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5" yWindow="660" windowWidth="12120" windowHeight="7485" tabRatio="869" activeTab="8"/>
  </bookViews>
  <sheets>
    <sheet name="St of Net Assets - GA" sheetId="16" r:id="rId1"/>
    <sheet name="St of Activites - GA Rev" sheetId="15" r:id="rId2"/>
    <sheet name="St of Activities - GA Exp" sheetId="17" r:id="rId3"/>
    <sheet name="Gen Fd BS" sheetId="14" r:id="rId4"/>
    <sheet name="GenRev" sheetId="1" r:id="rId5"/>
    <sheet name="GenExp" sheetId="2" r:id="rId6"/>
    <sheet name="Gov Fd BS" sheetId="26" r:id="rId7"/>
    <sheet name="Gov Fd Rv" sheetId="22" r:id="rId8"/>
    <sheet name="Gov Fnd Exp" sheetId="25" r:id="rId9"/>
    <sheet name="LT _Lia - GA" sheetId="10" r:id="rId10"/>
  </sheets>
  <definedNames>
    <definedName name="_xlnm.Print_Area" localSheetId="3">'Gen Fd BS'!$A$1:$AF$618</definedName>
    <definedName name="_xlnm.Print_Area" localSheetId="5">GenExp!$A$1:$BV$618</definedName>
    <definedName name="_xlnm.Print_Area" localSheetId="4">GenRev!$A$1:$AM$618</definedName>
    <definedName name="_xlnm.Print_Area" localSheetId="6">'Gov Fd BS'!$A$1:$AF$618</definedName>
    <definedName name="_xlnm.Print_Area" localSheetId="7">'Gov Fd Rv'!$A$1:$AQ$618</definedName>
    <definedName name="_xlnm.Print_Area" localSheetId="8">'Gov Fnd Exp'!$A$1:$BW$618</definedName>
    <definedName name="_xlnm.Print_Area" localSheetId="9">'LT _Lia - GA'!$A$1:$U$618</definedName>
    <definedName name="_xlnm.Print_Area" localSheetId="1">'St of Activites - GA Rev'!$A$1:$AI$621</definedName>
    <definedName name="_xlnm.Print_Area" localSheetId="2">'St of Activities - GA Exp'!$A$1:$BE$618</definedName>
    <definedName name="_xlnm.Print_Area" localSheetId="0">'St of Net Assets - GA'!$A$1:$AA$618</definedName>
    <definedName name="_xlnm.Print_Titles" localSheetId="3">'Gen Fd BS'!$1:$10</definedName>
    <definedName name="_xlnm.Print_Titles" localSheetId="5">GenExp!$1:$10</definedName>
    <definedName name="_xlnm.Print_Titles" localSheetId="4">GenRev!$1:$10</definedName>
    <definedName name="_xlnm.Print_Titles" localSheetId="6">'Gov Fd BS'!$1:$10</definedName>
    <definedName name="_xlnm.Print_Titles" localSheetId="7">'Gov Fd Rv'!$1:$10</definedName>
    <definedName name="_xlnm.Print_Titles" localSheetId="8">'Gov Fnd Exp'!$1:$10</definedName>
    <definedName name="_xlnm.Print_Titles" localSheetId="9">'LT _Lia - GA'!$1:$10</definedName>
    <definedName name="_xlnm.Print_Titles" localSheetId="1">'St of Activites - GA Rev'!$1:$10</definedName>
    <definedName name="_xlnm.Print_Titles" localSheetId="2">'St of Activities - GA Exp'!$1:$10</definedName>
    <definedName name="_xlnm.Print_Titles" localSheetId="0">'St of Net Assets - GA'!$1:$10</definedName>
  </definedNames>
  <calcPr calcId="145621"/>
</workbook>
</file>

<file path=xl/calcChain.xml><?xml version="1.0" encoding="utf-8"?>
<calcChain xmlns="http://schemas.openxmlformats.org/spreadsheetml/2006/main">
  <c r="G476" i="25" l="1"/>
  <c r="G476" i="2"/>
  <c r="I146" i="16"/>
  <c r="O616" i="10" l="1"/>
  <c r="G615" i="10"/>
  <c r="G604" i="10"/>
  <c r="O603" i="10"/>
  <c r="I603" i="10"/>
  <c r="M599" i="10"/>
  <c r="G599" i="10"/>
  <c r="O598" i="10"/>
  <c r="O592" i="10"/>
  <c r="G592" i="10"/>
  <c r="G589" i="10"/>
  <c r="O588" i="10"/>
  <c r="M588" i="10"/>
  <c r="G585" i="10"/>
  <c r="G583" i="10"/>
  <c r="O581" i="10"/>
  <c r="G577" i="10"/>
  <c r="G575" i="10"/>
  <c r="G574" i="10"/>
  <c r="G572" i="10"/>
  <c r="AX618" i="25"/>
  <c r="AX612" i="25"/>
  <c r="AX604" i="25"/>
  <c r="AR602" i="25"/>
  <c r="AX598" i="25"/>
  <c r="AX594" i="25"/>
  <c r="AX592" i="25"/>
  <c r="AX585" i="25"/>
  <c r="AX583" i="25"/>
  <c r="AX568" i="25"/>
  <c r="AK588" i="25"/>
  <c r="AK587" i="25"/>
  <c r="AE618" i="22"/>
  <c r="AK615" i="22"/>
  <c r="AE612" i="22"/>
  <c r="AK610" i="22"/>
  <c r="AE604" i="22"/>
  <c r="AK602" i="22"/>
  <c r="AE598" i="22"/>
  <c r="AE594" i="22"/>
  <c r="AE592" i="22"/>
  <c r="AK583" i="22"/>
  <c r="AE583" i="22"/>
  <c r="AK576" i="22"/>
  <c r="AK570" i="22"/>
  <c r="AE568" i="22"/>
  <c r="W618" i="22"/>
  <c r="W617" i="22"/>
  <c r="W616" i="22"/>
  <c r="W615" i="22"/>
  <c r="W614" i="22"/>
  <c r="W613" i="22"/>
  <c r="O613" i="22"/>
  <c r="K613" i="22"/>
  <c r="W612" i="22"/>
  <c r="W611" i="22"/>
  <c r="W610" i="22"/>
  <c r="W609" i="22"/>
  <c r="O609" i="22"/>
  <c r="K609" i="22"/>
  <c r="W608" i="22"/>
  <c r="W607" i="22"/>
  <c r="W606" i="22"/>
  <c r="O606" i="22"/>
  <c r="K606" i="22"/>
  <c r="W605" i="22"/>
  <c r="W604" i="22"/>
  <c r="W603" i="22"/>
  <c r="W602" i="22"/>
  <c r="O602" i="22"/>
  <c r="K602" i="22"/>
  <c r="W600" i="22"/>
  <c r="K600" i="22"/>
  <c r="W599" i="22"/>
  <c r="W598" i="22"/>
  <c r="O598" i="22"/>
  <c r="K598" i="22"/>
  <c r="W597" i="22"/>
  <c r="W596" i="22"/>
  <c r="K596" i="22"/>
  <c r="W595" i="22"/>
  <c r="W594" i="22"/>
  <c r="O594" i="22"/>
  <c r="K594" i="22"/>
  <c r="W593" i="22"/>
  <c r="W592" i="22"/>
  <c r="W591" i="22"/>
  <c r="W590" i="22"/>
  <c r="O590" i="22"/>
  <c r="K590" i="22"/>
  <c r="W589" i="22"/>
  <c r="W588" i="22"/>
  <c r="W587" i="22"/>
  <c r="W586" i="22"/>
  <c r="O586" i="22"/>
  <c r="K586" i="22"/>
  <c r="W585" i="22"/>
  <c r="O585" i="22"/>
  <c r="K585" i="22"/>
  <c r="W584" i="22"/>
  <c r="O584" i="22"/>
  <c r="K584" i="22"/>
  <c r="W583" i="22"/>
  <c r="W582" i="22"/>
  <c r="W581" i="22"/>
  <c r="O581" i="22"/>
  <c r="K581" i="22"/>
  <c r="W577" i="22"/>
  <c r="W576" i="22"/>
  <c r="O576" i="22"/>
  <c r="K576" i="22"/>
  <c r="W575" i="22"/>
  <c r="O575" i="22"/>
  <c r="K575" i="22"/>
  <c r="W574" i="22"/>
  <c r="M574" i="22"/>
  <c r="W573" i="22"/>
  <c r="O573" i="22"/>
  <c r="K573" i="22"/>
  <c r="W572" i="22"/>
  <c r="W571" i="22"/>
  <c r="W569" i="22"/>
  <c r="O569" i="22"/>
  <c r="K569" i="22"/>
  <c r="W568" i="22"/>
  <c r="O568" i="22"/>
  <c r="M568" i="22"/>
  <c r="K568" i="22"/>
  <c r="Y613" i="26"/>
  <c r="W613" i="26"/>
  <c r="U613" i="26"/>
  <c r="Q613" i="26"/>
  <c r="Y612" i="26"/>
  <c r="W612" i="26"/>
  <c r="AA609" i="26"/>
  <c r="W609" i="26"/>
  <c r="U609" i="26"/>
  <c r="Q609" i="26"/>
  <c r="AA606" i="26"/>
  <c r="W606" i="26"/>
  <c r="Q606" i="26"/>
  <c r="AA603" i="26"/>
  <c r="Y603" i="26"/>
  <c r="W603" i="26"/>
  <c r="U603" i="26"/>
  <c r="AA602" i="26"/>
  <c r="W602" i="26"/>
  <c r="U602" i="26"/>
  <c r="Q602" i="26"/>
  <c r="AA600" i="26"/>
  <c r="Y600" i="26"/>
  <c r="W600" i="26"/>
  <c r="AA598" i="26"/>
  <c r="W598" i="26"/>
  <c r="Q598" i="26"/>
  <c r="Y596" i="26"/>
  <c r="W596" i="26"/>
  <c r="AA594" i="26"/>
  <c r="W594" i="26"/>
  <c r="U594" i="26"/>
  <c r="Q594" i="26"/>
  <c r="AC590" i="26"/>
  <c r="AA590" i="26"/>
  <c r="Y590" i="26"/>
  <c r="W590" i="26"/>
  <c r="Q590" i="26"/>
  <c r="AA586" i="26"/>
  <c r="W586" i="26"/>
  <c r="U586" i="26"/>
  <c r="Q586" i="26"/>
  <c r="AA585" i="26"/>
  <c r="Y585" i="26"/>
  <c r="W585" i="26"/>
  <c r="U585" i="26"/>
  <c r="Q585" i="26"/>
  <c r="AA584" i="26"/>
  <c r="Y584" i="26"/>
  <c r="W584" i="26"/>
  <c r="U584" i="26"/>
  <c r="Q584" i="26"/>
  <c r="AA581" i="26"/>
  <c r="W581" i="26"/>
  <c r="U581" i="26"/>
  <c r="Q581" i="26"/>
  <c r="AA576" i="26"/>
  <c r="W576" i="26"/>
  <c r="U576" i="26"/>
  <c r="Q576" i="26"/>
  <c r="AA575" i="26"/>
  <c r="W575" i="26"/>
  <c r="Q575" i="26"/>
  <c r="AA573" i="26"/>
  <c r="W573" i="26"/>
  <c r="U573" i="26"/>
  <c r="Q573" i="26"/>
  <c r="Q569" i="26"/>
  <c r="AA568" i="26"/>
  <c r="W568" i="26"/>
  <c r="Q568" i="26"/>
  <c r="G618" i="26"/>
  <c r="G616" i="26"/>
  <c r="G613" i="26"/>
  <c r="G612" i="26"/>
  <c r="G608" i="26"/>
  <c r="G606" i="26"/>
  <c r="G600" i="26"/>
  <c r="I599" i="26"/>
  <c r="G594" i="26"/>
  <c r="G592" i="26"/>
  <c r="G591" i="26"/>
  <c r="G590" i="26"/>
  <c r="G583" i="26"/>
  <c r="G582" i="26"/>
  <c r="G581" i="26"/>
  <c r="G576" i="26"/>
  <c r="G575" i="26"/>
  <c r="G574" i="26"/>
  <c r="G573" i="26"/>
  <c r="I572" i="26"/>
  <c r="G572" i="26"/>
  <c r="G570" i="26"/>
  <c r="G569" i="26"/>
  <c r="AK588" i="2"/>
  <c r="AG615" i="1"/>
  <c r="AG610" i="1"/>
  <c r="AG602" i="1"/>
  <c r="AG583" i="1"/>
  <c r="AG576" i="1"/>
  <c r="AG570" i="1"/>
  <c r="W618" i="1"/>
  <c r="W617" i="1"/>
  <c r="W616" i="1"/>
  <c r="W615" i="1"/>
  <c r="W613" i="1"/>
  <c r="O613" i="1"/>
  <c r="K613" i="1"/>
  <c r="W611" i="1"/>
  <c r="W610" i="1"/>
  <c r="W609" i="1"/>
  <c r="O609" i="1"/>
  <c r="W607" i="1"/>
  <c r="O606" i="1"/>
  <c r="K606" i="1"/>
  <c r="W604" i="1"/>
  <c r="W603" i="1"/>
  <c r="W602" i="1"/>
  <c r="O602" i="1"/>
  <c r="K602" i="1"/>
  <c r="K600" i="1"/>
  <c r="W599" i="1"/>
  <c r="W598" i="1"/>
  <c r="O598" i="1"/>
  <c r="W597" i="1"/>
  <c r="W595" i="1"/>
  <c r="W594" i="1"/>
  <c r="O594" i="1"/>
  <c r="K594" i="1"/>
  <c r="W593" i="1"/>
  <c r="W592" i="1"/>
  <c r="W591" i="1"/>
  <c r="W590" i="1"/>
  <c r="O590" i="1"/>
  <c r="W589" i="1"/>
  <c r="W588" i="1"/>
  <c r="W587" i="1"/>
  <c r="W586" i="1"/>
  <c r="O586" i="1"/>
  <c r="K586" i="1"/>
  <c r="O585" i="1"/>
  <c r="K585" i="1"/>
  <c r="O584" i="1"/>
  <c r="W583" i="1"/>
  <c r="W582" i="1"/>
  <c r="O581" i="1"/>
  <c r="W577" i="1"/>
  <c r="O576" i="1"/>
  <c r="W575" i="1"/>
  <c r="O575" i="1"/>
  <c r="W574" i="1"/>
  <c r="M574" i="1"/>
  <c r="W573" i="1"/>
  <c r="O573" i="1"/>
  <c r="K573" i="1"/>
  <c r="W572" i="1"/>
  <c r="W571" i="1"/>
  <c r="O569" i="1"/>
  <c r="K569" i="1"/>
  <c r="W568" i="1"/>
  <c r="O568" i="1"/>
  <c r="M568" i="1"/>
  <c r="K568" i="1"/>
  <c r="Y613" i="14"/>
  <c r="Q613" i="14"/>
  <c r="AA609" i="14"/>
  <c r="U609" i="14"/>
  <c r="Q609" i="14"/>
  <c r="AA606" i="14"/>
  <c r="Q606" i="14"/>
  <c r="AA603" i="14"/>
  <c r="Y603" i="14"/>
  <c r="AA602" i="14"/>
  <c r="U602" i="14"/>
  <c r="Q602" i="14"/>
  <c r="AA600" i="14"/>
  <c r="AA598" i="14"/>
  <c r="Q598" i="14"/>
  <c r="AA594" i="14"/>
  <c r="Q594" i="14"/>
  <c r="AC590" i="14"/>
  <c r="AA590" i="14"/>
  <c r="Q590" i="14"/>
  <c r="AA586" i="14"/>
  <c r="Q586" i="14"/>
  <c r="AA585" i="14"/>
  <c r="Q585" i="14"/>
  <c r="AA584" i="14"/>
  <c r="W584" i="14"/>
  <c r="Q584" i="14"/>
  <c r="AA581" i="14"/>
  <c r="Q581" i="14"/>
  <c r="AA576" i="14"/>
  <c r="U576" i="14"/>
  <c r="Q576" i="14"/>
  <c r="AA575" i="14"/>
  <c r="Q575" i="14"/>
  <c r="AA573" i="14"/>
  <c r="U573" i="14"/>
  <c r="Q573" i="14"/>
  <c r="Q569" i="14"/>
  <c r="AA568" i="14"/>
  <c r="Q568" i="14"/>
  <c r="G612" i="14"/>
  <c r="G606" i="14"/>
  <c r="G591" i="14"/>
  <c r="G590" i="14"/>
  <c r="G581" i="14"/>
  <c r="G573" i="14"/>
  <c r="G572" i="14"/>
  <c r="AO588" i="17"/>
  <c r="AO587" i="17"/>
  <c r="S618" i="15"/>
  <c r="O618" i="15"/>
  <c r="O617" i="15"/>
  <c r="S616" i="15"/>
  <c r="O616" i="15"/>
  <c r="O615" i="15"/>
  <c r="S614" i="15"/>
  <c r="O614" i="15"/>
  <c r="O613" i="15"/>
  <c r="O612" i="15"/>
  <c r="O611" i="15"/>
  <c r="O610" i="15"/>
  <c r="O609" i="15"/>
  <c r="AA608" i="15"/>
  <c r="O608" i="15"/>
  <c r="O607" i="15"/>
  <c r="O606" i="15"/>
  <c r="O605" i="15"/>
  <c r="O604" i="15"/>
  <c r="O603" i="15"/>
  <c r="O602" i="15"/>
  <c r="O600" i="15"/>
  <c r="O599" i="15"/>
  <c r="O598" i="15"/>
  <c r="O597" i="15"/>
  <c r="O596" i="15"/>
  <c r="O595" i="15"/>
  <c r="O594" i="15"/>
  <c r="AA593" i="15"/>
  <c r="O593" i="15"/>
  <c r="O592" i="15"/>
  <c r="O591" i="15"/>
  <c r="O590" i="15"/>
  <c r="O589" i="15"/>
  <c r="O588" i="15"/>
  <c r="O587" i="15"/>
  <c r="O586" i="15"/>
  <c r="O585" i="15"/>
  <c r="O584" i="15"/>
  <c r="AA583" i="15"/>
  <c r="O583" i="15"/>
  <c r="O581" i="15"/>
  <c r="O577" i="15"/>
  <c r="O576" i="15"/>
  <c r="O575" i="15"/>
  <c r="AA574" i="15"/>
  <c r="O574" i="15"/>
  <c r="O573" i="15"/>
  <c r="O572" i="15"/>
  <c r="O571" i="15"/>
  <c r="O569" i="15"/>
  <c r="U568" i="15"/>
  <c r="S568" i="15"/>
  <c r="O568" i="15"/>
  <c r="I618" i="16"/>
  <c r="I617" i="16"/>
  <c r="I616" i="16"/>
  <c r="I615" i="16"/>
  <c r="I614" i="16"/>
  <c r="I612" i="16"/>
  <c r="I611" i="16"/>
  <c r="I608" i="16"/>
  <c r="I607" i="16"/>
  <c r="I605" i="16"/>
  <c r="I604" i="16"/>
  <c r="I603" i="16"/>
  <c r="I600" i="16"/>
  <c r="I599" i="16"/>
  <c r="I597" i="16"/>
  <c r="I596" i="16"/>
  <c r="I595" i="16"/>
  <c r="I594" i="16"/>
  <c r="I593" i="16"/>
  <c r="I592" i="16"/>
  <c r="I591" i="16"/>
  <c r="I589" i="16"/>
  <c r="I587" i="16"/>
  <c r="I583" i="16"/>
  <c r="I577" i="16"/>
  <c r="I574" i="16"/>
  <c r="I572" i="16"/>
  <c r="I571" i="16"/>
  <c r="I570" i="16"/>
  <c r="G567" i="10" l="1"/>
  <c r="O567" i="25"/>
  <c r="AK567" i="22"/>
  <c r="W567" i="22"/>
  <c r="AG567" i="1"/>
  <c r="W567" i="1"/>
  <c r="O567" i="17"/>
  <c r="AA567" i="15"/>
  <c r="O567" i="15"/>
  <c r="I567" i="16"/>
  <c r="G565" i="10"/>
  <c r="M565" i="10"/>
  <c r="AR565" i="25"/>
  <c r="W565" i="22"/>
  <c r="O565" i="22"/>
  <c r="K565" i="22"/>
  <c r="W565" i="1"/>
  <c r="O565" i="1"/>
  <c r="K565" i="1"/>
  <c r="AA565" i="26"/>
  <c r="Y565" i="26"/>
  <c r="W565" i="26"/>
  <c r="Q565" i="26"/>
  <c r="G565" i="26"/>
  <c r="AA565" i="14"/>
  <c r="Q565" i="14"/>
  <c r="O565" i="15"/>
  <c r="G563" i="10"/>
  <c r="AX563" i="25"/>
  <c r="AR563" i="25"/>
  <c r="AE563" i="22"/>
  <c r="W563" i="22"/>
  <c r="O563" i="22"/>
  <c r="K563" i="22"/>
  <c r="W563" i="1"/>
  <c r="O563" i="1"/>
  <c r="AA563" i="26"/>
  <c r="Y563" i="26"/>
  <c r="W563" i="26"/>
  <c r="U563" i="26"/>
  <c r="Q563" i="26"/>
  <c r="AA563" i="14"/>
  <c r="Y563" i="14"/>
  <c r="Q563" i="14"/>
  <c r="O563" i="15"/>
  <c r="W561" i="22"/>
  <c r="O561" i="26"/>
  <c r="O561" i="15"/>
  <c r="W561" i="16"/>
  <c r="I561" i="16"/>
  <c r="AR560" i="25"/>
  <c r="AO560" i="22"/>
  <c r="AQ560" i="22" s="1"/>
  <c r="W560" i="22"/>
  <c r="O560" i="22"/>
  <c r="K560" i="22"/>
  <c r="AR560" i="2"/>
  <c r="W560" i="1"/>
  <c r="O560" i="1"/>
  <c r="AA560" i="26"/>
  <c r="Y560" i="26"/>
  <c r="W560" i="26"/>
  <c r="U560" i="26"/>
  <c r="Q560" i="26"/>
  <c r="G560" i="26"/>
  <c r="AA560" i="14"/>
  <c r="U560" i="14"/>
  <c r="Q560" i="14"/>
  <c r="M560" i="16"/>
  <c r="O560" i="15"/>
  <c r="K558" i="10"/>
  <c r="W558" i="22"/>
  <c r="O558" i="22"/>
  <c r="K558" i="22"/>
  <c r="O558" i="1"/>
  <c r="W558" i="1"/>
  <c r="K558" i="1"/>
  <c r="AA558" i="26"/>
  <c r="Y558" i="26"/>
  <c r="W558" i="26"/>
  <c r="U558" i="26"/>
  <c r="Q558" i="26"/>
  <c r="W558" i="14"/>
  <c r="U558" i="14"/>
  <c r="AA558" i="14"/>
  <c r="Y558" i="14"/>
  <c r="Q558" i="14"/>
  <c r="O558" i="15"/>
  <c r="G555" i="10"/>
  <c r="W555" i="22"/>
  <c r="K555" i="22"/>
  <c r="W555" i="26"/>
  <c r="I555" i="16"/>
  <c r="W554" i="22"/>
  <c r="O554" i="22"/>
  <c r="K554" i="22"/>
  <c r="W554" i="1"/>
  <c r="O554" i="1"/>
  <c r="K554" i="1"/>
  <c r="W554" i="26"/>
  <c r="AA554" i="26"/>
  <c r="Y554" i="26"/>
  <c r="U554" i="26"/>
  <c r="Q554" i="26"/>
  <c r="AA554" i="14"/>
  <c r="Q554" i="14"/>
  <c r="O554" i="15"/>
  <c r="G553" i="10"/>
  <c r="W553" i="22"/>
  <c r="W553" i="1"/>
  <c r="O553" i="15"/>
  <c r="I553" i="16"/>
  <c r="W551" i="22"/>
  <c r="W551" i="1"/>
  <c r="G551" i="26"/>
  <c r="O551" i="15"/>
  <c r="G549" i="10"/>
  <c r="AX549" i="25"/>
  <c r="W549" i="22"/>
  <c r="W549" i="1"/>
  <c r="O549" i="15"/>
  <c r="I549" i="16"/>
  <c r="O548" i="10" l="1"/>
  <c r="G548" i="10"/>
  <c r="W548" i="22"/>
  <c r="O548" i="22"/>
  <c r="K548" i="22"/>
  <c r="W548" i="1"/>
  <c r="O548" i="1"/>
  <c r="AA548" i="26"/>
  <c r="W548" i="26"/>
  <c r="U548" i="26"/>
  <c r="Q548" i="26"/>
  <c r="AA548" i="14"/>
  <c r="U548" i="14"/>
  <c r="Q548" i="14"/>
  <c r="O548" i="15"/>
  <c r="G547" i="10"/>
  <c r="W547" i="22"/>
  <c r="AA547" i="26"/>
  <c r="W547" i="26"/>
  <c r="AA547" i="14"/>
  <c r="O547" i="15"/>
  <c r="I547" i="16"/>
  <c r="M546" i="10"/>
  <c r="AE546" i="22"/>
  <c r="W546" i="22"/>
  <c r="AE546" i="1"/>
  <c r="G546" i="26"/>
  <c r="G546" i="14"/>
  <c r="O546" i="15"/>
  <c r="I546" i="16"/>
  <c r="W543" i="22"/>
  <c r="O543" i="15"/>
  <c r="I543" i="16"/>
  <c r="O542" i="25"/>
  <c r="W542" i="22"/>
  <c r="O542" i="2"/>
  <c r="W542" i="1"/>
  <c r="G542" i="26"/>
  <c r="O542" i="17"/>
  <c r="O542" i="15"/>
  <c r="I542" i="16"/>
  <c r="W541" i="22" l="1"/>
  <c r="W541" i="1"/>
  <c r="O541" i="15"/>
  <c r="I541" i="16"/>
  <c r="G135" i="10" l="1"/>
  <c r="G124" i="10"/>
  <c r="M117" i="10"/>
  <c r="G116" i="10"/>
  <c r="G115" i="10"/>
  <c r="O114" i="10"/>
  <c r="G114" i="10"/>
  <c r="G109" i="10"/>
  <c r="AX138" i="25"/>
  <c r="AX132" i="25"/>
  <c r="AZ126" i="25"/>
  <c r="AZ124" i="25"/>
  <c r="AR122" i="25"/>
  <c r="AR110" i="25"/>
  <c r="AZ107" i="25"/>
  <c r="M138" i="25"/>
  <c r="AK114" i="25"/>
  <c r="AK112" i="25"/>
  <c r="AE138" i="22"/>
  <c r="AK131" i="22"/>
  <c r="AE126" i="22"/>
  <c r="AE124" i="22"/>
  <c r="AE123" i="22"/>
  <c r="AK122" i="22"/>
  <c r="AK118" i="22"/>
  <c r="AE116" i="22"/>
  <c r="AE107" i="22"/>
  <c r="W141" i="22"/>
  <c r="W140" i="22"/>
  <c r="O140" i="22"/>
  <c r="K140" i="22"/>
  <c r="W139" i="22"/>
  <c r="O139" i="22"/>
  <c r="K139" i="22"/>
  <c r="W138" i="22"/>
  <c r="W136" i="22"/>
  <c r="O136" i="22"/>
  <c r="K136" i="22"/>
  <c r="W135" i="22"/>
  <c r="W133" i="22"/>
  <c r="O133" i="22"/>
  <c r="K133" i="22"/>
  <c r="W132" i="22"/>
  <c r="W131" i="22"/>
  <c r="O131" i="22"/>
  <c r="K131" i="22"/>
  <c r="W130" i="22"/>
  <c r="W129" i="22"/>
  <c r="W127" i="22"/>
  <c r="K127" i="22"/>
  <c r="W126" i="22"/>
  <c r="W124" i="22"/>
  <c r="W123" i="22"/>
  <c r="W122" i="22"/>
  <c r="O122" i="22"/>
  <c r="K122" i="22"/>
  <c r="W121" i="22"/>
  <c r="O121" i="22"/>
  <c r="K121" i="22"/>
  <c r="W118" i="22"/>
  <c r="O118" i="22"/>
  <c r="K118" i="22"/>
  <c r="W117" i="22"/>
  <c r="W116" i="22"/>
  <c r="W115" i="22"/>
  <c r="K115" i="22"/>
  <c r="O114" i="22"/>
  <c r="W113" i="22"/>
  <c r="W112" i="22"/>
  <c r="W111" i="22"/>
  <c r="O111" i="22"/>
  <c r="K111" i="22"/>
  <c r="W110" i="22"/>
  <c r="O110" i="22"/>
  <c r="K110" i="22"/>
  <c r="W109" i="22"/>
  <c r="W108" i="22"/>
  <c r="W107" i="22"/>
  <c r="O107" i="22"/>
  <c r="K107" i="22"/>
  <c r="W106" i="22"/>
  <c r="K106" i="22"/>
  <c r="Q141" i="26"/>
  <c r="AA140" i="26"/>
  <c r="Y140" i="26"/>
  <c r="W140" i="26"/>
  <c r="U140" i="26"/>
  <c r="Q140" i="26"/>
  <c r="Q139" i="26"/>
  <c r="AA136" i="26"/>
  <c r="W136" i="26"/>
  <c r="U136" i="26"/>
  <c r="Q136" i="26"/>
  <c r="AA133" i="26"/>
  <c r="W133" i="26"/>
  <c r="U133" i="26"/>
  <c r="Q133" i="26"/>
  <c r="Q131" i="26"/>
  <c r="AA127" i="26"/>
  <c r="W127" i="26"/>
  <c r="U127" i="26"/>
  <c r="Q127" i="26"/>
  <c r="AA122" i="26"/>
  <c r="W122" i="26"/>
  <c r="Q122" i="26"/>
  <c r="AA121" i="26"/>
  <c r="Y121" i="26"/>
  <c r="W121" i="26"/>
  <c r="Q121" i="26"/>
  <c r="AA118" i="26"/>
  <c r="W118" i="26"/>
  <c r="U118" i="26"/>
  <c r="Q118" i="26"/>
  <c r="AA111" i="26"/>
  <c r="W111" i="26"/>
  <c r="U111" i="26"/>
  <c r="Q111" i="26"/>
  <c r="AA110" i="26"/>
  <c r="W110" i="26"/>
  <c r="U110" i="26"/>
  <c r="Q110" i="26"/>
  <c r="AA107" i="26"/>
  <c r="Y107" i="26"/>
  <c r="W107" i="26"/>
  <c r="U107" i="26"/>
  <c r="Q107" i="26"/>
  <c r="Q106" i="26"/>
  <c r="I138" i="26"/>
  <c r="G129" i="26"/>
  <c r="G124" i="26"/>
  <c r="G123" i="26"/>
  <c r="G118" i="26"/>
  <c r="G117" i="26"/>
  <c r="G115" i="26"/>
  <c r="G111" i="26"/>
  <c r="I109" i="26"/>
  <c r="G109" i="26"/>
  <c r="G107" i="26"/>
  <c r="G106" i="26"/>
  <c r="M138" i="2"/>
  <c r="AK114" i="2"/>
  <c r="K114" i="2"/>
  <c r="W141" i="1"/>
  <c r="W140" i="1"/>
  <c r="O140" i="1"/>
  <c r="K140" i="1"/>
  <c r="O139" i="1"/>
  <c r="K139" i="1"/>
  <c r="W138" i="1"/>
  <c r="W136" i="1"/>
  <c r="O136" i="1"/>
  <c r="W135" i="1"/>
  <c r="W133" i="1"/>
  <c r="O133" i="1"/>
  <c r="K133" i="1"/>
  <c r="W132" i="1"/>
  <c r="O131" i="1"/>
  <c r="W129" i="1"/>
  <c r="W126" i="1"/>
  <c r="W124" i="1"/>
  <c r="W123" i="1"/>
  <c r="W122" i="1"/>
  <c r="O122" i="1"/>
  <c r="W121" i="1"/>
  <c r="O121" i="1"/>
  <c r="K121" i="1"/>
  <c r="O118" i="1"/>
  <c r="W117" i="1"/>
  <c r="W116" i="1"/>
  <c r="W115" i="1"/>
  <c r="K115" i="1"/>
  <c r="O114" i="1"/>
  <c r="W111" i="1"/>
  <c r="O111" i="1"/>
  <c r="K111" i="1"/>
  <c r="W110" i="1"/>
  <c r="O110" i="1"/>
  <c r="K110" i="1"/>
  <c r="W108" i="1"/>
  <c r="W107" i="1"/>
  <c r="O107" i="1"/>
  <c r="K107" i="1"/>
  <c r="K106" i="1"/>
  <c r="Q141" i="14"/>
  <c r="AA140" i="14"/>
  <c r="U140" i="14"/>
  <c r="Q140" i="14"/>
  <c r="AA136" i="14"/>
  <c r="U136" i="14"/>
  <c r="Q136" i="14"/>
  <c r="AA133" i="14"/>
  <c r="Q133" i="14"/>
  <c r="AA127" i="14"/>
  <c r="W127" i="14"/>
  <c r="Q127" i="14"/>
  <c r="AA122" i="14"/>
  <c r="Q122" i="14"/>
  <c r="AA121" i="14"/>
  <c r="Q121" i="14"/>
  <c r="AA118" i="14"/>
  <c r="U118" i="14"/>
  <c r="Q118" i="14"/>
  <c r="S114" i="14"/>
  <c r="Q114" i="14"/>
  <c r="AA111" i="14"/>
  <c r="U111" i="14"/>
  <c r="Q111" i="14"/>
  <c r="AA110" i="14"/>
  <c r="Q110" i="14"/>
  <c r="AA107" i="14"/>
  <c r="Y107" i="14"/>
  <c r="U107" i="14"/>
  <c r="Q107" i="14"/>
  <c r="Q106" i="14"/>
  <c r="G138" i="14"/>
  <c r="G111" i="14"/>
  <c r="AO112" i="17"/>
  <c r="M138" i="17"/>
  <c r="O141" i="15"/>
  <c r="O140" i="15"/>
  <c r="O139" i="15"/>
  <c r="O138" i="15"/>
  <c r="O136" i="15"/>
  <c r="O135" i="15"/>
  <c r="O132" i="15"/>
  <c r="O131" i="15"/>
  <c r="O130" i="15"/>
  <c r="AA129" i="15"/>
  <c r="O129" i="15"/>
  <c r="O127" i="15"/>
  <c r="O126" i="15"/>
  <c r="O124" i="15"/>
  <c r="O123" i="15"/>
  <c r="O122" i="15"/>
  <c r="O121" i="15"/>
  <c r="O118" i="15"/>
  <c r="O117" i="15"/>
  <c r="O116" i="15"/>
  <c r="O115" i="15"/>
  <c r="O114" i="15"/>
  <c r="O113" i="15"/>
  <c r="O112" i="15"/>
  <c r="O111" i="15"/>
  <c r="O110" i="15"/>
  <c r="O109" i="15"/>
  <c r="O108" i="15"/>
  <c r="S107" i="15"/>
  <c r="Q107" i="15"/>
  <c r="O107" i="15"/>
  <c r="O106" i="15"/>
  <c r="I141" i="16"/>
  <c r="I139" i="16"/>
  <c r="I138" i="16"/>
  <c r="I135" i="16"/>
  <c r="I132" i="16"/>
  <c r="I131" i="16"/>
  <c r="I130" i="16"/>
  <c r="I126" i="16"/>
  <c r="I124" i="16"/>
  <c r="I123" i="16"/>
  <c r="I116" i="16"/>
  <c r="I115" i="16"/>
  <c r="I114" i="16"/>
  <c r="I113" i="16"/>
  <c r="I112" i="16"/>
  <c r="I109" i="16"/>
  <c r="I108" i="16"/>
  <c r="I106" i="16"/>
  <c r="S540" i="10" l="1"/>
  <c r="G540" i="10"/>
  <c r="AX540" i="25"/>
  <c r="W540" i="22"/>
  <c r="O540" i="22"/>
  <c r="K540" i="22"/>
  <c r="W540" i="1"/>
  <c r="O540" i="1"/>
  <c r="AA540" i="26"/>
  <c r="Y540" i="26"/>
  <c r="W540" i="26"/>
  <c r="U540" i="26"/>
  <c r="Q540" i="26"/>
  <c r="AA540" i="14"/>
  <c r="Q540" i="14"/>
  <c r="K540" i="14"/>
  <c r="O540" i="15"/>
  <c r="W540" i="16"/>
  <c r="I540" i="16"/>
  <c r="AX539" i="25"/>
  <c r="O539" i="25"/>
  <c r="AE539" i="22"/>
  <c r="W539" i="22"/>
  <c r="O539" i="2"/>
  <c r="G539" i="26"/>
  <c r="O539" i="17"/>
  <c r="AA539" i="15"/>
  <c r="S539" i="15"/>
  <c r="O539" i="15"/>
  <c r="I539" i="16"/>
  <c r="W539" i="16"/>
  <c r="W537" i="22"/>
  <c r="O537" i="22"/>
  <c r="K537" i="22"/>
  <c r="O537" i="1"/>
  <c r="K537" i="1"/>
  <c r="G537" i="26"/>
  <c r="O537" i="15"/>
  <c r="I537" i="16"/>
  <c r="W536" i="22"/>
  <c r="K536" i="22"/>
  <c r="O536" i="15"/>
  <c r="W536" i="16"/>
  <c r="I536" i="16"/>
  <c r="G535" i="10"/>
  <c r="W535" i="22"/>
  <c r="O535" i="22"/>
  <c r="K535" i="22"/>
  <c r="W535" i="1"/>
  <c r="O535" i="1"/>
  <c r="AA535" i="26"/>
  <c r="W535" i="26"/>
  <c r="U535" i="26"/>
  <c r="Q535" i="26"/>
  <c r="G535" i="26"/>
  <c r="AA535" i="14"/>
  <c r="Q535" i="14"/>
  <c r="G535" i="14"/>
  <c r="AA535" i="15"/>
  <c r="O535" i="15"/>
  <c r="I535" i="16"/>
  <c r="AE534" i="22"/>
  <c r="W534" i="22"/>
  <c r="W534" i="1"/>
  <c r="S534" i="15"/>
  <c r="O534" i="15"/>
  <c r="I534" i="16"/>
  <c r="G530" i="10"/>
  <c r="O533" i="25"/>
  <c r="W533" i="22"/>
  <c r="O533" i="2"/>
  <c r="W533" i="1"/>
  <c r="G533" i="26"/>
  <c r="O533" i="17"/>
  <c r="O533" i="15"/>
  <c r="I533" i="16"/>
  <c r="W529" i="22"/>
  <c r="AA529" i="15"/>
  <c r="O529" i="15"/>
  <c r="I529" i="16"/>
  <c r="W528" i="22"/>
  <c r="O528" i="22"/>
  <c r="K528" i="22"/>
  <c r="W528" i="1"/>
  <c r="O528" i="1"/>
  <c r="AA528" i="26"/>
  <c r="W528" i="26"/>
  <c r="Q528" i="26"/>
  <c r="AA528" i="14"/>
  <c r="Q528" i="14"/>
  <c r="O528" i="15"/>
  <c r="AK526" i="22"/>
  <c r="W526" i="22"/>
  <c r="AG526" i="1"/>
  <c r="W526" i="1"/>
  <c r="W526" i="26"/>
  <c r="U526" i="26"/>
  <c r="U526" i="14"/>
  <c r="AA526" i="15"/>
  <c r="O526" i="15"/>
  <c r="I526" i="16"/>
  <c r="W525" i="22" l="1"/>
  <c r="O525" i="15"/>
  <c r="I525" i="16"/>
  <c r="G524" i="10"/>
  <c r="I524" i="16"/>
  <c r="W524" i="22"/>
  <c r="W524" i="1"/>
  <c r="O524" i="15"/>
  <c r="AX523" i="25"/>
  <c r="AE523" i="22"/>
  <c r="W523" i="22"/>
  <c r="W523" i="1"/>
  <c r="AA523" i="15"/>
  <c r="O523" i="15"/>
  <c r="I523" i="16"/>
  <c r="W522" i="22"/>
  <c r="O522" i="15"/>
  <c r="I522" i="16"/>
  <c r="Q521" i="10"/>
  <c r="O521" i="25"/>
  <c r="W521" i="22"/>
  <c r="BL521" i="2"/>
  <c r="O521" i="2"/>
  <c r="AA521" i="15"/>
  <c r="W521" i="1"/>
  <c r="O521" i="17"/>
  <c r="O521" i="15"/>
  <c r="I521" i="16"/>
  <c r="W519" i="22"/>
  <c r="O519" i="22"/>
  <c r="K519" i="22"/>
  <c r="O519" i="1"/>
  <c r="K519" i="1"/>
  <c r="AA519" i="26"/>
  <c r="Y519" i="26"/>
  <c r="W519" i="26"/>
  <c r="U519" i="26"/>
  <c r="Q519" i="26"/>
  <c r="AA519" i="14"/>
  <c r="U519" i="14"/>
  <c r="Q519" i="14"/>
  <c r="O519" i="15"/>
  <c r="AX518" i="25"/>
  <c r="AE518" i="22"/>
  <c r="W518" i="22"/>
  <c r="AK518" i="1"/>
  <c r="W518" i="1"/>
  <c r="U518" i="26"/>
  <c r="AA518" i="26"/>
  <c r="W518" i="26"/>
  <c r="I518" i="26"/>
  <c r="AA518" i="14"/>
  <c r="O518" i="15"/>
  <c r="I518" i="16"/>
  <c r="W515" i="22"/>
  <c r="W515" i="1"/>
  <c r="W515" i="26"/>
  <c r="U515" i="26"/>
  <c r="G515" i="26"/>
  <c r="W515" i="14"/>
  <c r="U515" i="14"/>
  <c r="G515" i="14"/>
  <c r="O515" i="15"/>
  <c r="I515" i="16"/>
  <c r="W514" i="22"/>
  <c r="AK514" i="1"/>
  <c r="I514" i="16"/>
  <c r="AX513" i="25"/>
  <c r="AK513" i="25"/>
  <c r="AE513" i="22"/>
  <c r="W513" i="22"/>
  <c r="W513" i="1"/>
  <c r="AO513" i="17"/>
  <c r="O513" i="15"/>
  <c r="I513" i="16"/>
  <c r="M512" i="10"/>
  <c r="W512" i="22"/>
  <c r="O512" i="22"/>
  <c r="K512" i="22"/>
  <c r="W512" i="1"/>
  <c r="O512" i="1"/>
  <c r="AA512" i="26"/>
  <c r="W512" i="26"/>
  <c r="U512" i="26"/>
  <c r="Q512" i="26"/>
  <c r="AA512" i="14"/>
  <c r="Q512" i="14"/>
  <c r="O512" i="15"/>
  <c r="I512" i="16"/>
  <c r="G511" i="10"/>
  <c r="O511" i="25"/>
  <c r="W511" i="22"/>
  <c r="O511" i="2"/>
  <c r="W511" i="1"/>
  <c r="O511" i="17"/>
  <c r="AA511" i="15"/>
  <c r="O511" i="15"/>
  <c r="I511" i="16"/>
  <c r="G510" i="10"/>
  <c r="AX510" i="25"/>
  <c r="W510" i="22"/>
  <c r="W510" i="1"/>
  <c r="I510" i="26"/>
  <c r="K510" i="14"/>
  <c r="O510" i="15"/>
  <c r="I510" i="16"/>
  <c r="G509" i="10"/>
  <c r="W509" i="22"/>
  <c r="W509" i="1"/>
  <c r="I509" i="26"/>
  <c r="O509" i="15"/>
  <c r="G507" i="10"/>
  <c r="AE507" i="22"/>
  <c r="K507" i="22"/>
  <c r="K507" i="1"/>
  <c r="O507" i="15"/>
  <c r="W506" i="22" l="1"/>
  <c r="W506" i="1"/>
  <c r="G506" i="17"/>
  <c r="O506" i="15"/>
  <c r="I506" i="16"/>
  <c r="W504" i="22" l="1"/>
  <c r="K504" i="26"/>
  <c r="O504" i="15"/>
  <c r="I504" i="16"/>
  <c r="G502" i="10"/>
  <c r="AE502" i="22"/>
  <c r="AX502" i="25"/>
  <c r="W502" i="22"/>
  <c r="O502" i="15"/>
  <c r="I502" i="16"/>
  <c r="M501" i="10"/>
  <c r="W501" i="22"/>
  <c r="K501" i="22"/>
  <c r="W501" i="1"/>
  <c r="U501" i="26"/>
  <c r="AA501" i="26"/>
  <c r="W501" i="26"/>
  <c r="Q501" i="26"/>
  <c r="AA501" i="14"/>
  <c r="Q501" i="14"/>
  <c r="O501" i="15"/>
  <c r="W500" i="22" l="1"/>
  <c r="W500" i="1"/>
  <c r="O500" i="15"/>
  <c r="I500" i="16"/>
  <c r="G499" i="10"/>
  <c r="O499" i="25"/>
  <c r="W499" i="22"/>
  <c r="O499" i="2"/>
  <c r="O499" i="15"/>
  <c r="G499" i="26"/>
  <c r="O499" i="17"/>
  <c r="I499" i="16"/>
  <c r="AX497" i="25"/>
  <c r="O497" i="25"/>
  <c r="AU497" i="22"/>
  <c r="AE497" i="22"/>
  <c r="W497" i="22"/>
  <c r="O497" i="2"/>
  <c r="W497" i="1"/>
  <c r="O497" i="17"/>
  <c r="O497" i="15"/>
  <c r="I497" i="16"/>
  <c r="G496" i="10"/>
  <c r="AR496" i="25"/>
  <c r="W496" i="22"/>
  <c r="K496" i="22"/>
  <c r="AR496" i="2"/>
  <c r="W496" i="1"/>
  <c r="AA496" i="26"/>
  <c r="W496" i="26"/>
  <c r="Q496" i="26"/>
  <c r="AA496" i="14"/>
  <c r="Q496" i="14"/>
  <c r="AW496" i="17"/>
  <c r="O496" i="15"/>
  <c r="G495" i="10"/>
  <c r="AP495" i="25"/>
  <c r="O495" i="25"/>
  <c r="W495" i="22"/>
  <c r="O495" i="2"/>
  <c r="W495" i="1"/>
  <c r="G495" i="26"/>
  <c r="AQ495" i="17"/>
  <c r="O495" i="17"/>
  <c r="AA495" i="15"/>
  <c r="O495" i="15"/>
  <c r="I495" i="16"/>
  <c r="AX494" i="25"/>
  <c r="W494" i="22"/>
  <c r="W494" i="1"/>
  <c r="I494" i="16"/>
  <c r="O498" i="25"/>
  <c r="W498" i="22"/>
  <c r="W498" i="1"/>
  <c r="O498" i="2"/>
  <c r="O498" i="17"/>
  <c r="O498" i="15"/>
  <c r="I498" i="16"/>
  <c r="W493" i="22"/>
  <c r="O493" i="22"/>
  <c r="K493" i="22"/>
  <c r="BL493" i="2"/>
  <c r="O493" i="1"/>
  <c r="AA493" i="26"/>
  <c r="W493" i="26"/>
  <c r="U493" i="26"/>
  <c r="Q493" i="26"/>
  <c r="G493" i="26"/>
  <c r="AA493" i="14"/>
  <c r="U493" i="14"/>
  <c r="Q493" i="14"/>
  <c r="O493" i="15"/>
  <c r="AR492" i="25"/>
  <c r="W492" i="22"/>
  <c r="O492" i="22"/>
  <c r="K492" i="22"/>
  <c r="W492" i="1"/>
  <c r="O492" i="1"/>
  <c r="AA492" i="26"/>
  <c r="W492" i="26"/>
  <c r="U492" i="26"/>
  <c r="Q492" i="26"/>
  <c r="AA492" i="14"/>
  <c r="U492" i="14"/>
  <c r="Q492" i="14"/>
  <c r="O492" i="15"/>
  <c r="G490" i="10" l="1"/>
  <c r="AX490" i="25"/>
  <c r="AE490" i="22"/>
  <c r="W490" i="22"/>
  <c r="O490" i="22"/>
  <c r="K490" i="22"/>
  <c r="O490" i="1"/>
  <c r="W490" i="1"/>
  <c r="K490" i="1"/>
  <c r="AA490" i="26"/>
  <c r="W490" i="26"/>
  <c r="U490" i="26"/>
  <c r="Q490" i="26"/>
  <c r="G490" i="26"/>
  <c r="AA490" i="14"/>
  <c r="W490" i="14"/>
  <c r="U490" i="14"/>
  <c r="Q490" i="14"/>
  <c r="G490" i="14"/>
  <c r="O490" i="15"/>
  <c r="I490" i="16"/>
  <c r="W489" i="22"/>
  <c r="O489" i="15"/>
  <c r="I489" i="16"/>
  <c r="W487" i="22"/>
  <c r="W487" i="1"/>
  <c r="AA487" i="15"/>
  <c r="O487" i="15"/>
  <c r="I487" i="16"/>
  <c r="W486" i="22"/>
  <c r="W486" i="1"/>
  <c r="W486" i="26"/>
  <c r="U486" i="26"/>
  <c r="U486" i="14"/>
  <c r="O486" i="15"/>
  <c r="I486" i="16"/>
  <c r="W485" i="22" l="1"/>
  <c r="O485" i="22"/>
  <c r="K485" i="22"/>
  <c r="W485" i="1"/>
  <c r="O485" i="1"/>
  <c r="AA485" i="26"/>
  <c r="Y485" i="26"/>
  <c r="W485" i="26"/>
  <c r="U485" i="26"/>
  <c r="Q485" i="26"/>
  <c r="G485" i="26"/>
  <c r="AA485" i="14"/>
  <c r="U485" i="14"/>
  <c r="Q485" i="14"/>
  <c r="O485" i="15"/>
  <c r="I485" i="16"/>
  <c r="W484" i="22"/>
  <c r="O484" i="15"/>
  <c r="I484" i="16"/>
  <c r="W483" i="22"/>
  <c r="W483" i="1"/>
  <c r="G483" i="26"/>
  <c r="AA483" i="15"/>
  <c r="O483" i="15"/>
  <c r="I483" i="16"/>
  <c r="W482" i="22"/>
  <c r="O482" i="22"/>
  <c r="K482" i="22"/>
  <c r="W482" i="1"/>
  <c r="O482" i="1"/>
  <c r="K482" i="1"/>
  <c r="G482" i="26"/>
  <c r="O482" i="15"/>
  <c r="W481" i="22"/>
  <c r="W481" i="1"/>
  <c r="O481" i="15"/>
  <c r="I481" i="16"/>
  <c r="AX480" i="25"/>
  <c r="AO480" i="22"/>
  <c r="W480" i="22"/>
  <c r="O480" i="22"/>
  <c r="K480" i="22"/>
  <c r="W480" i="1"/>
  <c r="O480" i="1"/>
  <c r="K480" i="1"/>
  <c r="AA480" i="26"/>
  <c r="Y480" i="26"/>
  <c r="W480" i="26"/>
  <c r="U480" i="26"/>
  <c r="Q480" i="14"/>
  <c r="Q480" i="26"/>
  <c r="G480" i="26"/>
  <c r="AA480" i="14"/>
  <c r="U480" i="14"/>
  <c r="O480" i="15"/>
  <c r="I480" i="16"/>
  <c r="AR532" i="25" l="1"/>
  <c r="K532" i="22"/>
  <c r="O532" i="22"/>
  <c r="AA532" i="26"/>
  <c r="Y532" i="26"/>
  <c r="W532" i="26"/>
  <c r="U532" i="26"/>
  <c r="Q532" i="26"/>
  <c r="G532" i="26"/>
  <c r="K532" i="1"/>
  <c r="O532" i="1"/>
  <c r="AA532" i="14"/>
  <c r="U532" i="14"/>
  <c r="Q532" i="14"/>
  <c r="Q532" i="15"/>
  <c r="O532" i="15"/>
  <c r="Q532" i="16"/>
  <c r="G532" i="10"/>
  <c r="O531" i="22"/>
  <c r="Q531" i="26"/>
  <c r="O531" i="1"/>
  <c r="Q531" i="14"/>
  <c r="O531" i="15"/>
  <c r="I531" i="16"/>
  <c r="Q531" i="16"/>
  <c r="O530" i="22"/>
  <c r="G530" i="26"/>
  <c r="O530" i="15"/>
  <c r="I530" i="16"/>
  <c r="Q530" i="16"/>
  <c r="O479" i="22" l="1"/>
  <c r="G479" i="26"/>
  <c r="O479" i="1"/>
  <c r="O479" i="15"/>
  <c r="I479" i="16"/>
  <c r="Q479" i="16"/>
  <c r="O478" i="22"/>
  <c r="O478" i="1"/>
  <c r="I478" i="16"/>
  <c r="Q478" i="16"/>
  <c r="AE477" i="22"/>
  <c r="O477" i="22"/>
  <c r="AE477" i="1"/>
  <c r="O477" i="1"/>
  <c r="AA477" i="15"/>
  <c r="O477" i="15"/>
  <c r="I477" i="16"/>
  <c r="Q477" i="16"/>
  <c r="G477" i="10"/>
  <c r="O476" i="22"/>
  <c r="BB476" i="2"/>
  <c r="O476" i="1"/>
  <c r="O476" i="15"/>
  <c r="I476" i="16"/>
  <c r="O475" i="22"/>
  <c r="W475" i="26"/>
  <c r="U475" i="26"/>
  <c r="O475" i="1"/>
  <c r="W475" i="14"/>
  <c r="U475" i="14"/>
  <c r="I475" i="16"/>
  <c r="Q475" i="16"/>
  <c r="AX474" i="25"/>
  <c r="AE474" i="22"/>
  <c r="K474" i="22"/>
  <c r="O474" i="22"/>
  <c r="AA474" i="26"/>
  <c r="Y474" i="26"/>
  <c r="W474" i="26"/>
  <c r="U474" i="26"/>
  <c r="Q474" i="26"/>
  <c r="K474" i="1"/>
  <c r="O474" i="1"/>
  <c r="AA474" i="14"/>
  <c r="U474" i="14"/>
  <c r="Q474" i="14"/>
  <c r="O474" i="15"/>
  <c r="Q474" i="16"/>
  <c r="G474" i="10"/>
  <c r="O473" i="22"/>
  <c r="O473" i="15"/>
  <c r="I473" i="16"/>
  <c r="Q473" i="16"/>
  <c r="K472" i="22"/>
  <c r="O472" i="22"/>
  <c r="AA472" i="26"/>
  <c r="W472" i="26"/>
  <c r="Q472" i="26"/>
  <c r="Y472" i="1"/>
  <c r="O472" i="1"/>
  <c r="AA472" i="14"/>
  <c r="Q472" i="14"/>
  <c r="O472" i="15"/>
  <c r="Q472" i="16"/>
  <c r="G472" i="10"/>
  <c r="O471" i="22"/>
  <c r="O471" i="1"/>
  <c r="O471" i="15"/>
  <c r="I471" i="16"/>
  <c r="Q471" i="16"/>
  <c r="G471" i="10"/>
  <c r="O469" i="22" l="1"/>
  <c r="O469" i="1"/>
  <c r="O469" i="15"/>
  <c r="I469" i="16"/>
  <c r="Q469" i="16"/>
  <c r="O468" i="22"/>
  <c r="G468" i="26"/>
  <c r="O468" i="15"/>
  <c r="I468" i="16"/>
  <c r="Q468" i="16"/>
  <c r="K465" i="22"/>
  <c r="O465" i="22"/>
  <c r="AA465" i="26"/>
  <c r="Y465" i="26"/>
  <c r="W465" i="26"/>
  <c r="U465" i="26"/>
  <c r="Q465" i="26"/>
  <c r="K465" i="1"/>
  <c r="O465" i="1"/>
  <c r="AA465" i="14"/>
  <c r="Q465" i="14"/>
  <c r="O465" i="15"/>
  <c r="Q465" i="16"/>
  <c r="G465" i="10"/>
  <c r="O464" i="22"/>
  <c r="O464" i="1"/>
  <c r="O464" i="15"/>
  <c r="I464" i="16"/>
  <c r="Q464" i="16"/>
  <c r="G464" i="10"/>
  <c r="O463" i="25"/>
  <c r="O463" i="22"/>
  <c r="G463" i="26"/>
  <c r="O463" i="1"/>
  <c r="O463" i="17"/>
  <c r="I463" i="16" l="1"/>
  <c r="Q463" i="16"/>
  <c r="O462" i="22"/>
  <c r="O462" i="1"/>
  <c r="O462" i="15"/>
  <c r="I462" i="16"/>
  <c r="Q462" i="16"/>
  <c r="O460" i="25"/>
  <c r="O460" i="22"/>
  <c r="O460" i="2"/>
  <c r="O460" i="1"/>
  <c r="O460" i="17"/>
  <c r="O460" i="15"/>
  <c r="I460" i="16"/>
  <c r="Q460" i="16"/>
  <c r="O459" i="22"/>
  <c r="W459" i="26"/>
  <c r="AA459" i="26"/>
  <c r="Y459" i="26"/>
  <c r="O459" i="1"/>
  <c r="AA459" i="14"/>
  <c r="I459" i="16"/>
  <c r="Q459" i="16"/>
  <c r="O458" i="25" l="1"/>
  <c r="O458" i="22"/>
  <c r="O458" i="2"/>
  <c r="O458" i="1"/>
  <c r="O458" i="17"/>
  <c r="AA458" i="15"/>
  <c r="O458" i="15"/>
  <c r="I458" i="16"/>
  <c r="Q458" i="16"/>
  <c r="AA456" i="10" l="1"/>
  <c r="AC456" i="10"/>
  <c r="AD456" i="10"/>
  <c r="V456" i="10"/>
  <c r="CD456" i="25"/>
  <c r="CG456" i="25"/>
  <c r="CH456" i="25"/>
  <c r="CI456" i="25"/>
  <c r="AU456" i="22"/>
  <c r="AW456" i="22"/>
  <c r="AX456" i="22"/>
  <c r="AL456" i="26"/>
  <c r="AN456" i="26"/>
  <c r="AO456" i="26"/>
  <c r="CE456" i="2"/>
  <c r="CG456" i="2"/>
  <c r="CH456" i="2"/>
  <c r="CI456" i="2"/>
  <c r="AQ456" i="1"/>
  <c r="AT456" i="1"/>
  <c r="AU456" i="1"/>
  <c r="AL456" i="14"/>
  <c r="AN456" i="14"/>
  <c r="AO456" i="14"/>
  <c r="AU456" i="16"/>
  <c r="AS456" i="16"/>
  <c r="AR456" i="16"/>
  <c r="AL456" i="16"/>
  <c r="AI456" i="16"/>
  <c r="AH456" i="16"/>
  <c r="AB456" i="16"/>
  <c r="W456" i="16"/>
  <c r="M456" i="16"/>
  <c r="G456" i="16"/>
  <c r="AG456" i="15"/>
  <c r="M456" i="15"/>
  <c r="BP456" i="17"/>
  <c r="BO456" i="17"/>
  <c r="BM456" i="17"/>
  <c r="BL456" i="17"/>
  <c r="AY456" i="17"/>
  <c r="AK456" i="14"/>
  <c r="AM456" i="14" s="1"/>
  <c r="AE456" i="14"/>
  <c r="O456" i="14"/>
  <c r="K456" i="14"/>
  <c r="AP456" i="1"/>
  <c r="AK456" i="1"/>
  <c r="Y456" i="1"/>
  <c r="AM456" i="1" s="1"/>
  <c r="CC456" i="2"/>
  <c r="CB456" i="2"/>
  <c r="BB456" i="2"/>
  <c r="BL456" i="2" s="1"/>
  <c r="AK456" i="26"/>
  <c r="AM456" i="26" s="1"/>
  <c r="AE456" i="26"/>
  <c r="O456" i="26"/>
  <c r="AG456" i="26" s="1"/>
  <c r="K456" i="26"/>
  <c r="AT456" i="22"/>
  <c r="AV456" i="22" s="1"/>
  <c r="AO456" i="22"/>
  <c r="Y456" i="22"/>
  <c r="AQ456" i="22" s="1"/>
  <c r="CC456" i="25"/>
  <c r="CB456" i="25"/>
  <c r="BB456" i="25"/>
  <c r="BL456" i="25" s="1"/>
  <c r="Z456" i="10"/>
  <c r="S456" i="10"/>
  <c r="AX455" i="25"/>
  <c r="AE455" i="22"/>
  <c r="O455" i="22"/>
  <c r="O455" i="1"/>
  <c r="O455" i="15"/>
  <c r="I455" i="16"/>
  <c r="Q455" i="16"/>
  <c r="G455" i="10"/>
  <c r="O453" i="25"/>
  <c r="O453" i="22"/>
  <c r="O453" i="2"/>
  <c r="O453" i="1"/>
  <c r="O453" i="17"/>
  <c r="O453" i="15"/>
  <c r="I453" i="16"/>
  <c r="Q453" i="16"/>
  <c r="G453" i="10"/>
  <c r="O451" i="22"/>
  <c r="O451" i="1"/>
  <c r="O451" i="15"/>
  <c r="I451" i="16"/>
  <c r="Q451" i="16"/>
  <c r="G451" i="10"/>
  <c r="K450" i="22"/>
  <c r="O450" i="22"/>
  <c r="AA450" i="26"/>
  <c r="Y450" i="26"/>
  <c r="W450" i="26"/>
  <c r="U450" i="26"/>
  <c r="Q450" i="26"/>
  <c r="G450" i="26"/>
  <c r="O450" i="1"/>
  <c r="AA450" i="14"/>
  <c r="Y450" i="14"/>
  <c r="U450" i="14"/>
  <c r="Q450" i="14"/>
  <c r="O450" i="15"/>
  <c r="Q450" i="16"/>
  <c r="G450" i="10"/>
  <c r="M450" i="10"/>
  <c r="AX449" i="25"/>
  <c r="AE449" i="22"/>
  <c r="O449" i="22"/>
  <c r="O449" i="1"/>
  <c r="O449" i="15"/>
  <c r="I449" i="16"/>
  <c r="Q449" i="16"/>
  <c r="K448" i="22"/>
  <c r="W448" i="22"/>
  <c r="O448" i="22"/>
  <c r="U448" i="26"/>
  <c r="AA448" i="26"/>
  <c r="W448" i="26"/>
  <c r="Q448" i="26"/>
  <c r="K448" i="1"/>
  <c r="O448" i="1"/>
  <c r="AA448" i="14"/>
  <c r="U448" i="14"/>
  <c r="Q448" i="14"/>
  <c r="O448" i="15"/>
  <c r="Q448" i="16"/>
  <c r="G448" i="10"/>
  <c r="K447" i="22"/>
  <c r="W447" i="22"/>
  <c r="O447" i="22"/>
  <c r="Q447" i="26"/>
  <c r="I447" i="26"/>
  <c r="K447" i="1"/>
  <c r="O447" i="1"/>
  <c r="O447" i="15"/>
  <c r="I447" i="16"/>
  <c r="Q447" i="16"/>
  <c r="AB456" i="10" l="1"/>
  <c r="BN456" i="25"/>
  <c r="BV456" i="25" s="1"/>
  <c r="BX456" i="25" s="1"/>
  <c r="CE456" i="25"/>
  <c r="CF456" i="2"/>
  <c r="BN456" i="2"/>
  <c r="BV456" i="2" s="1"/>
  <c r="BX456" i="2" s="1"/>
  <c r="AN456" i="16"/>
  <c r="AD456" i="16"/>
  <c r="AR456" i="1"/>
  <c r="AW456" i="16"/>
  <c r="AI456" i="15"/>
  <c r="BA456" i="17" s="1"/>
  <c r="BE456" i="17" s="1"/>
  <c r="BG456" i="17" s="1"/>
  <c r="AT456" i="16"/>
  <c r="AG456" i="14"/>
  <c r="AJ456" i="16"/>
  <c r="O445" i="22" l="1"/>
  <c r="K445" i="22"/>
  <c r="AA445" i="26"/>
  <c r="Y445" i="26"/>
  <c r="W445" i="26"/>
  <c r="U445" i="26"/>
  <c r="Q445" i="26"/>
  <c r="G445" i="26"/>
  <c r="K445" i="1"/>
  <c r="O445" i="1"/>
  <c r="AA445" i="14"/>
  <c r="Y445" i="14"/>
  <c r="Q445" i="14"/>
  <c r="O445" i="15"/>
  <c r="Q445" i="16"/>
  <c r="G445" i="10"/>
  <c r="AX443" i="25"/>
  <c r="AR443" i="25"/>
  <c r="AE443" i="22"/>
  <c r="K443" i="22"/>
  <c r="O443" i="22"/>
  <c r="AA443" i="26"/>
  <c r="Y443" i="26"/>
  <c r="W443" i="26"/>
  <c r="U443" i="26"/>
  <c r="Q443" i="26"/>
  <c r="O443" i="1"/>
  <c r="AA443" i="14"/>
  <c r="W443" i="14"/>
  <c r="Q443" i="14"/>
  <c r="O443" i="15"/>
  <c r="Q443" i="16"/>
  <c r="G443" i="10"/>
  <c r="AX442" i="25"/>
  <c r="AE442" i="22"/>
  <c r="O442" i="22"/>
  <c r="O442" i="1"/>
  <c r="O442" i="15"/>
  <c r="I442" i="16"/>
  <c r="Q442" i="16"/>
  <c r="AK441" i="25"/>
  <c r="O441" i="22"/>
  <c r="AK441" i="2"/>
  <c r="O441" i="1"/>
  <c r="AO441" i="17"/>
  <c r="O441" i="15"/>
  <c r="I441" i="16"/>
  <c r="Q441" i="16"/>
  <c r="AR439" i="25"/>
  <c r="K439" i="22"/>
  <c r="O439" i="22"/>
  <c r="AA439" i="26"/>
  <c r="W439" i="26"/>
  <c r="U439" i="26"/>
  <c r="Q439" i="26"/>
  <c r="G439" i="26"/>
  <c r="AR439" i="2"/>
  <c r="K439" i="1"/>
  <c r="O439" i="1"/>
  <c r="AA439" i="14"/>
  <c r="U439" i="14"/>
  <c r="Q439" i="14"/>
  <c r="O439" i="15"/>
  <c r="Q439" i="16"/>
  <c r="M439" i="10"/>
  <c r="O437" i="25" l="1"/>
  <c r="O437" i="22"/>
  <c r="O437" i="2"/>
  <c r="O437" i="1"/>
  <c r="O437" i="17"/>
  <c r="O437" i="15"/>
  <c r="I437" i="16"/>
  <c r="Q437" i="16"/>
  <c r="O436" i="22"/>
  <c r="O436" i="1"/>
  <c r="O436" i="15"/>
  <c r="I436" i="16"/>
  <c r="Q436" i="16"/>
  <c r="I436" i="10"/>
  <c r="G436" i="10"/>
  <c r="K436" i="10"/>
  <c r="AX433" i="25"/>
  <c r="AE433" i="22"/>
  <c r="O433" i="22"/>
  <c r="O433" i="1"/>
  <c r="O433" i="15"/>
  <c r="I433" i="16"/>
  <c r="Q433" i="16"/>
  <c r="G433" i="10"/>
  <c r="AK428" i="22"/>
  <c r="K428" i="22"/>
  <c r="O428" i="22"/>
  <c r="Q428" i="26"/>
  <c r="G428" i="26"/>
  <c r="AG428" i="1"/>
  <c r="O428" i="1"/>
  <c r="Q428" i="14"/>
  <c r="G428" i="14"/>
  <c r="O428" i="15"/>
  <c r="Q428" i="16"/>
  <c r="AX427" i="25"/>
  <c r="O427" i="22"/>
  <c r="I427" i="26"/>
  <c r="O427" i="1"/>
  <c r="O427" i="15"/>
  <c r="I427" i="16"/>
  <c r="Q427" i="16"/>
  <c r="K426" i="22"/>
  <c r="O426" i="22"/>
  <c r="AA426" i="26"/>
  <c r="W426" i="26"/>
  <c r="U426" i="26"/>
  <c r="Q426" i="26"/>
  <c r="G426" i="26"/>
  <c r="K426" i="1"/>
  <c r="O426" i="1"/>
  <c r="AA426" i="14"/>
  <c r="Q426" i="14"/>
  <c r="O426" i="15"/>
  <c r="Q426" i="16"/>
  <c r="G426" i="10"/>
  <c r="K424" i="22"/>
  <c r="O424" i="22"/>
  <c r="AA424" i="26"/>
  <c r="W424" i="26"/>
  <c r="U424" i="26"/>
  <c r="Q424" i="26"/>
  <c r="G424" i="26"/>
  <c r="K424" i="1"/>
  <c r="O424" i="1"/>
  <c r="AA424" i="14"/>
  <c r="Q424" i="14"/>
  <c r="Q424" i="16"/>
  <c r="O424" i="15"/>
  <c r="G424" i="10"/>
  <c r="AX423" i="25"/>
  <c r="K423" i="22"/>
  <c r="O423" i="22"/>
  <c r="AA423" i="26"/>
  <c r="W423" i="26"/>
  <c r="U423" i="26"/>
  <c r="Q423" i="26"/>
  <c r="G423" i="26"/>
  <c r="O423" i="1"/>
  <c r="AA423" i="14"/>
  <c r="U423" i="14"/>
  <c r="Q423" i="14"/>
  <c r="O423" i="15"/>
  <c r="Q423" i="16"/>
  <c r="G423" i="10"/>
  <c r="AR422" i="25"/>
  <c r="K422" i="22"/>
  <c r="O422" i="22"/>
  <c r="W422" i="26"/>
  <c r="U422" i="26"/>
  <c r="Q422" i="26"/>
  <c r="K422" i="1"/>
  <c r="O422" i="1"/>
  <c r="U422" i="14"/>
  <c r="Q422" i="14"/>
  <c r="O422" i="15"/>
  <c r="Q422" i="16"/>
  <c r="G422" i="10"/>
  <c r="O421" i="22"/>
  <c r="O421" i="1"/>
  <c r="O421" i="15"/>
  <c r="I421" i="16"/>
  <c r="Q421" i="16"/>
  <c r="AK420" i="25"/>
  <c r="O420" i="22"/>
  <c r="K420" i="22"/>
  <c r="W420" i="26"/>
  <c r="I420" i="16"/>
  <c r="Q420" i="16"/>
  <c r="O418" i="22" l="1"/>
  <c r="O418" i="1"/>
  <c r="O418" i="15"/>
  <c r="I418" i="16"/>
  <c r="Q418" i="16"/>
  <c r="O417" i="22"/>
  <c r="G417" i="26"/>
  <c r="O417" i="1"/>
  <c r="G417" i="14"/>
  <c r="AO417" i="17"/>
  <c r="O417" i="15"/>
  <c r="I417" i="16"/>
  <c r="Q417" i="16"/>
  <c r="G417" i="10"/>
  <c r="O416" i="22"/>
  <c r="O416" i="1"/>
  <c r="O416" i="15"/>
  <c r="I416" i="16"/>
  <c r="Q416" i="16"/>
  <c r="O414" i="22"/>
  <c r="O414" i="1"/>
  <c r="I414" i="16"/>
  <c r="Q414" i="16"/>
  <c r="AD413" i="10"/>
  <c r="AC413" i="10"/>
  <c r="AA413" i="10"/>
  <c r="Z413" i="10"/>
  <c r="V413" i="10"/>
  <c r="S413" i="10"/>
  <c r="CI413" i="25"/>
  <c r="CH413" i="25"/>
  <c r="CG413" i="25"/>
  <c r="CD413" i="25"/>
  <c r="CC413" i="25"/>
  <c r="CB413" i="25"/>
  <c r="BB413" i="25"/>
  <c r="BL413" i="25" s="1"/>
  <c r="AX413" i="22"/>
  <c r="AW413" i="22"/>
  <c r="AU413" i="22"/>
  <c r="AT413" i="22"/>
  <c r="AO413" i="22"/>
  <c r="Y413" i="22"/>
  <c r="AO413" i="26"/>
  <c r="AN413" i="26"/>
  <c r="AL413" i="26"/>
  <c r="AK413" i="26"/>
  <c r="AE413" i="26"/>
  <c r="O413" i="26"/>
  <c r="K413" i="26"/>
  <c r="CI413" i="2"/>
  <c r="CH413" i="2"/>
  <c r="CG413" i="2"/>
  <c r="CE413" i="2"/>
  <c r="CC413" i="2"/>
  <c r="CB413" i="2"/>
  <c r="BB413" i="2"/>
  <c r="BL413" i="2" s="1"/>
  <c r="AU413" i="1"/>
  <c r="AT413" i="1"/>
  <c r="AQ413" i="1"/>
  <c r="AP413" i="1"/>
  <c r="AK413" i="1"/>
  <c r="Y413" i="1"/>
  <c r="AO413" i="14"/>
  <c r="AN413" i="14"/>
  <c r="AL413" i="14"/>
  <c r="AK413" i="14"/>
  <c r="AE413" i="14"/>
  <c r="O413" i="14"/>
  <c r="K413" i="14"/>
  <c r="AH413" i="16"/>
  <c r="AI413" i="16"/>
  <c r="AL413" i="16"/>
  <c r="AR413" i="16"/>
  <c r="AS413" i="16"/>
  <c r="AU413" i="16"/>
  <c r="BP413" i="17"/>
  <c r="BO413" i="17"/>
  <c r="BM413" i="17"/>
  <c r="BL413" i="17"/>
  <c r="AY413" i="17"/>
  <c r="AG413" i="15"/>
  <c r="M413" i="15"/>
  <c r="AB413" i="16"/>
  <c r="W413" i="16"/>
  <c r="M413" i="16"/>
  <c r="G413" i="16"/>
  <c r="O412" i="22"/>
  <c r="O412" i="1"/>
  <c r="O412" i="15"/>
  <c r="I412" i="16"/>
  <c r="Q412" i="16"/>
  <c r="O411" i="22"/>
  <c r="O411" i="1"/>
  <c r="O411" i="15"/>
  <c r="Q411" i="16"/>
  <c r="O410" i="22"/>
  <c r="O410" i="15"/>
  <c r="I410" i="16"/>
  <c r="Q410" i="16"/>
  <c r="AE408" i="22"/>
  <c r="O408" i="22"/>
  <c r="O408" i="1"/>
  <c r="I408" i="16"/>
  <c r="Q408" i="16"/>
  <c r="G408" i="10"/>
  <c r="AX407" i="25"/>
  <c r="AE407" i="22"/>
  <c r="K407" i="22"/>
  <c r="O407" i="22"/>
  <c r="AA407" i="26"/>
  <c r="W407" i="26"/>
  <c r="U407" i="26"/>
  <c r="Q407" i="26"/>
  <c r="G407" i="26"/>
  <c r="K407" i="1"/>
  <c r="O407" i="1"/>
  <c r="AA407" i="14"/>
  <c r="U407" i="14"/>
  <c r="Q407" i="14"/>
  <c r="O407" i="15"/>
  <c r="Q407" i="16"/>
  <c r="G407" i="10"/>
  <c r="O406" i="22"/>
  <c r="Y406" i="26"/>
  <c r="W406" i="26"/>
  <c r="O406" i="1"/>
  <c r="Y406" i="14"/>
  <c r="AA406" i="15"/>
  <c r="O406" i="15"/>
  <c r="I406" i="16"/>
  <c r="Q406" i="16"/>
  <c r="G406" i="10"/>
  <c r="O405" i="25"/>
  <c r="O405" i="22"/>
  <c r="O405" i="2"/>
  <c r="O405" i="1"/>
  <c r="O405" i="17"/>
  <c r="I405" i="16"/>
  <c r="Q405" i="16"/>
  <c r="CE413" i="25" l="1"/>
  <c r="AQ413" i="22"/>
  <c r="AG413" i="14"/>
  <c r="AR413" i="1"/>
  <c r="AI413" i="15"/>
  <c r="BA413" i="17" s="1"/>
  <c r="BE413" i="17" s="1"/>
  <c r="BG413" i="17" s="1"/>
  <c r="CF413" i="2"/>
  <c r="AN413" i="16"/>
  <c r="AW413" i="16"/>
  <c r="AD413" i="16"/>
  <c r="AT413" i="16"/>
  <c r="AJ413" i="16"/>
  <c r="AM413" i="14"/>
  <c r="AM413" i="1"/>
  <c r="BN413" i="2" s="1"/>
  <c r="BV413" i="2" s="1"/>
  <c r="BX413" i="2" s="1"/>
  <c r="AG413" i="26"/>
  <c r="AM413" i="26"/>
  <c r="AV413" i="22"/>
  <c r="BN413" i="25"/>
  <c r="BV413" i="25" s="1"/>
  <c r="BX413" i="25" s="1"/>
  <c r="AB413" i="10"/>
  <c r="AX404" i="25"/>
  <c r="O404" i="22"/>
  <c r="I404" i="26"/>
  <c r="G404" i="26"/>
  <c r="O404" i="1"/>
  <c r="I404" i="14"/>
  <c r="O404" i="15"/>
  <c r="I404" i="16"/>
  <c r="Q404" i="16"/>
  <c r="G404" i="10"/>
  <c r="O403" i="22"/>
  <c r="G403" i="26"/>
  <c r="O403" i="1"/>
  <c r="O403" i="15"/>
  <c r="I403" i="16"/>
  <c r="Q403" i="16"/>
  <c r="K402" i="22"/>
  <c r="O402" i="22"/>
  <c r="W402" i="26"/>
  <c r="AA402" i="26"/>
  <c r="U402" i="26"/>
  <c r="Q402" i="26"/>
  <c r="G402" i="26"/>
  <c r="O402" i="1"/>
  <c r="AA402" i="14"/>
  <c r="U402" i="14"/>
  <c r="Q402" i="14"/>
  <c r="O402" i="15"/>
  <c r="Q402" i="16"/>
  <c r="G402" i="10"/>
  <c r="O401" i="22" l="1"/>
  <c r="O401" i="1"/>
  <c r="I401" i="16"/>
  <c r="Q401" i="16"/>
  <c r="AH400" i="16"/>
  <c r="AI400" i="16"/>
  <c r="AL400" i="16"/>
  <c r="Z400" i="10"/>
  <c r="AA400" i="10"/>
  <c r="AC400" i="10"/>
  <c r="AD400" i="10"/>
  <c r="V400" i="10"/>
  <c r="S400" i="10"/>
  <c r="CB400" i="25"/>
  <c r="CC400" i="25"/>
  <c r="CD400" i="25"/>
  <c r="CG400" i="25"/>
  <c r="CH400" i="25"/>
  <c r="CI400" i="25"/>
  <c r="BB400" i="25"/>
  <c r="BL400" i="25" s="1"/>
  <c r="AT400" i="22"/>
  <c r="AU400" i="22"/>
  <c r="AW400" i="22"/>
  <c r="AX400" i="22"/>
  <c r="AO400" i="22"/>
  <c r="Y400" i="22"/>
  <c r="AK400" i="26"/>
  <c r="AL400" i="26"/>
  <c r="AN400" i="26"/>
  <c r="AO400" i="26"/>
  <c r="AE400" i="26"/>
  <c r="O400" i="26"/>
  <c r="K400" i="26"/>
  <c r="CB400" i="2"/>
  <c r="CC400" i="2"/>
  <c r="CE400" i="2"/>
  <c r="CG400" i="2"/>
  <c r="CH400" i="2"/>
  <c r="CI400" i="2"/>
  <c r="BB400" i="2"/>
  <c r="BL400" i="2" s="1"/>
  <c r="AP400" i="1"/>
  <c r="AQ400" i="1"/>
  <c r="AR400" i="1" s="1"/>
  <c r="AT400" i="1"/>
  <c r="AU400" i="1"/>
  <c r="AK400" i="1"/>
  <c r="Y400" i="1"/>
  <c r="AK400" i="14"/>
  <c r="AL400" i="14"/>
  <c r="AN400" i="14"/>
  <c r="AO400" i="14"/>
  <c r="AE400" i="14"/>
  <c r="O400" i="14"/>
  <c r="K400" i="14"/>
  <c r="BL400" i="17"/>
  <c r="BM400" i="17"/>
  <c r="BO400" i="17"/>
  <c r="BP400" i="17"/>
  <c r="AY400" i="17"/>
  <c r="AG400" i="15"/>
  <c r="M400" i="15"/>
  <c r="AB400" i="16"/>
  <c r="W400" i="16"/>
  <c r="M400" i="16"/>
  <c r="G400" i="16"/>
  <c r="AR400" i="16"/>
  <c r="AS400" i="16"/>
  <c r="AT400" i="16" s="1"/>
  <c r="AU400" i="16"/>
  <c r="O398" i="25"/>
  <c r="O398" i="22"/>
  <c r="G398" i="26"/>
  <c r="O398" i="2"/>
  <c r="O398" i="1"/>
  <c r="G398" i="14"/>
  <c r="O398" i="17"/>
  <c r="AA398" i="15"/>
  <c r="I398" i="16"/>
  <c r="Q398" i="16"/>
  <c r="O397" i="22"/>
  <c r="G397" i="26"/>
  <c r="O397" i="1"/>
  <c r="O397" i="15"/>
  <c r="I397" i="16"/>
  <c r="Q397" i="16"/>
  <c r="AQ400" i="22" l="1"/>
  <c r="AV400" i="22"/>
  <c r="AG400" i="26"/>
  <c r="AI400" i="15"/>
  <c r="AD400" i="16"/>
  <c r="CF400" i="2"/>
  <c r="AM400" i="26"/>
  <c r="AM400" i="1"/>
  <c r="BN400" i="2" s="1"/>
  <c r="BV400" i="2" s="1"/>
  <c r="BA400" i="17"/>
  <c r="BE400" i="17" s="1"/>
  <c r="AM400" i="14"/>
  <c r="BN400" i="25"/>
  <c r="BV400" i="25" s="1"/>
  <c r="AB400" i="10"/>
  <c r="CE400" i="25"/>
  <c r="AN400" i="16"/>
  <c r="AW400" i="16"/>
  <c r="AJ400" i="16"/>
  <c r="AX396" i="25"/>
  <c r="O396" i="22"/>
  <c r="O396" i="1"/>
  <c r="O396" i="15"/>
  <c r="I396" i="16"/>
  <c r="Q396" i="16"/>
  <c r="AE395" i="22"/>
  <c r="O395" i="22"/>
  <c r="O395" i="1"/>
  <c r="O395" i="15"/>
  <c r="I395" i="16"/>
  <c r="Q395" i="16"/>
  <c r="G395" i="10"/>
  <c r="O394" i="22"/>
  <c r="Q394" i="26"/>
  <c r="O394" i="1"/>
  <c r="Q394" i="14"/>
  <c r="O394" i="15"/>
  <c r="I394" i="16"/>
  <c r="Q394" i="16"/>
  <c r="AX393" i="25"/>
  <c r="K393" i="22"/>
  <c r="O393" i="22"/>
  <c r="AA393" i="26"/>
  <c r="W393" i="26"/>
  <c r="Q393" i="26"/>
  <c r="K393" i="1"/>
  <c r="O393" i="1"/>
  <c r="AA393" i="14"/>
  <c r="W393" i="14"/>
  <c r="Q393" i="14"/>
  <c r="O393" i="15"/>
  <c r="Q393" i="16"/>
  <c r="G393" i="10"/>
  <c r="O392" i="25"/>
  <c r="AE392" i="22"/>
  <c r="O392" i="22"/>
  <c r="O392" i="2"/>
  <c r="O392" i="1"/>
  <c r="O392" i="17"/>
  <c r="AA392" i="15"/>
  <c r="O392" i="15"/>
  <c r="Q392" i="16"/>
  <c r="G392" i="10"/>
  <c r="K390" i="22"/>
  <c r="O390" i="22"/>
  <c r="AA390" i="26"/>
  <c r="Y390" i="26"/>
  <c r="W390" i="26"/>
  <c r="Q390" i="26"/>
  <c r="K390" i="1"/>
  <c r="O390" i="1"/>
  <c r="AA390" i="14"/>
  <c r="W390" i="14"/>
  <c r="Q390" i="14"/>
  <c r="O390" i="15"/>
  <c r="Q390" i="16"/>
  <c r="G390" i="10"/>
  <c r="AA346" i="10"/>
  <c r="AC346" i="10"/>
  <c r="AD346" i="10"/>
  <c r="V346" i="10"/>
  <c r="CD346" i="25"/>
  <c r="CG346" i="25"/>
  <c r="CH346" i="25"/>
  <c r="CI346" i="25"/>
  <c r="AU346" i="22"/>
  <c r="AW346" i="22"/>
  <c r="AX346" i="22"/>
  <c r="AL346" i="26"/>
  <c r="AN346" i="26"/>
  <c r="AO346" i="26"/>
  <c r="CE346" i="2"/>
  <c r="CG346" i="2"/>
  <c r="CH346" i="2"/>
  <c r="CI346" i="2"/>
  <c r="AQ346" i="1"/>
  <c r="AT346" i="1"/>
  <c r="AU346" i="1"/>
  <c r="AL346" i="14"/>
  <c r="AN346" i="14"/>
  <c r="AO346" i="14"/>
  <c r="AH346" i="16"/>
  <c r="AI346" i="16"/>
  <c r="AL346" i="16"/>
  <c r="AR346" i="16"/>
  <c r="AS346" i="16"/>
  <c r="AU346" i="16"/>
  <c r="AB346" i="16"/>
  <c r="W346" i="16"/>
  <c r="M346" i="16"/>
  <c r="G346" i="16"/>
  <c r="AG346" i="15"/>
  <c r="M346" i="15"/>
  <c r="BL346" i="17"/>
  <c r="BM346" i="17"/>
  <c r="BO346" i="17"/>
  <c r="BP346" i="17"/>
  <c r="AY346" i="17"/>
  <c r="AK346" i="14"/>
  <c r="AE346" i="14"/>
  <c r="O346" i="14"/>
  <c r="AG346" i="14" s="1"/>
  <c r="K346" i="14"/>
  <c r="AP346" i="1"/>
  <c r="AK346" i="1"/>
  <c r="Y346" i="1"/>
  <c r="CB346" i="2"/>
  <c r="CC346" i="2"/>
  <c r="BB346" i="2"/>
  <c r="BL346" i="2" s="1"/>
  <c r="AK346" i="26"/>
  <c r="AE346" i="26"/>
  <c r="O346" i="26"/>
  <c r="K346" i="26"/>
  <c r="AG346" i="26" s="1"/>
  <c r="AT346" i="22"/>
  <c r="AO346" i="22"/>
  <c r="Y346" i="22"/>
  <c r="AQ346" i="22" s="1"/>
  <c r="CB346" i="25"/>
  <c r="CC346" i="25"/>
  <c r="BB346" i="25"/>
  <c r="BL346" i="25" s="1"/>
  <c r="S346" i="10"/>
  <c r="Z346" i="10"/>
  <c r="O388" i="22"/>
  <c r="O388" i="15"/>
  <c r="I388" i="16"/>
  <c r="Q388" i="16"/>
  <c r="G388" i="10"/>
  <c r="O387" i="22"/>
  <c r="O387" i="1"/>
  <c r="O387" i="15"/>
  <c r="I387" i="16"/>
  <c r="Q387" i="16"/>
  <c r="Q387" i="10"/>
  <c r="CE346" i="25" l="1"/>
  <c r="AB346" i="10"/>
  <c r="AM346" i="1"/>
  <c r="AN346" i="16"/>
  <c r="AI346" i="15"/>
  <c r="BA346" i="17" s="1"/>
  <c r="BE346" i="17" s="1"/>
  <c r="BG346" i="17" s="1"/>
  <c r="CF346" i="2"/>
  <c r="AD346" i="16"/>
  <c r="AV346" i="22"/>
  <c r="AT346" i="16"/>
  <c r="AM346" i="14"/>
  <c r="BN346" i="2"/>
  <c r="BV346" i="2" s="1"/>
  <c r="BX346" i="2" s="1"/>
  <c r="BN346" i="25"/>
  <c r="BV346" i="25" s="1"/>
  <c r="BX346" i="25" s="1"/>
  <c r="AW346" i="16"/>
  <c r="AJ346" i="16"/>
  <c r="AR346" i="1"/>
  <c r="AM346" i="26"/>
  <c r="O386" i="22" l="1"/>
  <c r="O386" i="1"/>
  <c r="AA386" i="15"/>
  <c r="I386" i="16"/>
  <c r="Q386" i="16"/>
  <c r="AX385" i="25"/>
  <c r="AE385" i="22"/>
  <c r="K385" i="22"/>
  <c r="O385" i="22"/>
  <c r="Y385" i="26"/>
  <c r="W385" i="26"/>
  <c r="Q385" i="26"/>
  <c r="O385" i="1"/>
  <c r="W385" i="14"/>
  <c r="Q385" i="14"/>
  <c r="O385" i="15"/>
  <c r="Q385" i="16"/>
  <c r="G385" i="10"/>
  <c r="O383" i="22"/>
  <c r="O383" i="1"/>
  <c r="O383" i="15"/>
  <c r="I383" i="16"/>
  <c r="Q383" i="16"/>
  <c r="AX382" i="25"/>
  <c r="AR382" i="25"/>
  <c r="AE382" i="22"/>
  <c r="K382" i="22"/>
  <c r="O382" i="22"/>
  <c r="AA382" i="26"/>
  <c r="Y382" i="26"/>
  <c r="W382" i="26"/>
  <c r="Q382" i="26"/>
  <c r="AR382" i="2"/>
  <c r="O382" i="1"/>
  <c r="AA382" i="14"/>
  <c r="Y382" i="14"/>
  <c r="Q382" i="14"/>
  <c r="O382" i="15"/>
  <c r="Q382" i="16"/>
  <c r="M382" i="10"/>
  <c r="G382" i="10"/>
  <c r="O381" i="22"/>
  <c r="Q381" i="26"/>
  <c r="O381" i="1"/>
  <c r="Q381" i="14"/>
  <c r="O381" i="15"/>
  <c r="Q381" i="16"/>
  <c r="K380" i="22"/>
  <c r="O380" i="22"/>
  <c r="AA380" i="26"/>
  <c r="Y380" i="26"/>
  <c r="W380" i="26"/>
  <c r="U380" i="26"/>
  <c r="Q380" i="26"/>
  <c r="K380" i="1"/>
  <c r="O380" i="1"/>
  <c r="AA380" i="14"/>
  <c r="Y380" i="14"/>
  <c r="Q380" i="14"/>
  <c r="AA380" i="15"/>
  <c r="O380" i="15"/>
  <c r="I380" i="16"/>
  <c r="Q380" i="16"/>
  <c r="G380" i="10"/>
  <c r="I378" i="16"/>
  <c r="Q378" i="16"/>
  <c r="O377" i="22"/>
  <c r="W377" i="26"/>
  <c r="U377" i="26"/>
  <c r="O377" i="1"/>
  <c r="U377" i="14"/>
  <c r="O377" i="15"/>
  <c r="I377" i="16"/>
  <c r="Q377" i="16"/>
  <c r="G377" i="10"/>
  <c r="O376" i="22"/>
  <c r="O376" i="1"/>
  <c r="O376" i="15"/>
  <c r="I376" i="16"/>
  <c r="Q376" i="16"/>
  <c r="M376" i="10"/>
  <c r="G376" i="10"/>
  <c r="AR375" i="25"/>
  <c r="K375" i="22"/>
  <c r="O375" i="22"/>
  <c r="AA375" i="26"/>
  <c r="W375" i="26"/>
  <c r="Q375" i="26"/>
  <c r="G375" i="26"/>
  <c r="AR375" i="2"/>
  <c r="K375" i="1"/>
  <c r="O375" i="1"/>
  <c r="AA375" i="14"/>
  <c r="Q375" i="14"/>
  <c r="O375" i="15"/>
  <c r="Q375" i="16"/>
  <c r="G375" i="10"/>
  <c r="O373" i="22"/>
  <c r="K373" i="22"/>
  <c r="AA373" i="26"/>
  <c r="W373" i="26"/>
  <c r="U373" i="26"/>
  <c r="Q373" i="26"/>
  <c r="K373" i="1"/>
  <c r="O373" i="1"/>
  <c r="AA373" i="14"/>
  <c r="Q373" i="14"/>
  <c r="O373" i="15"/>
  <c r="Q373" i="16"/>
  <c r="O371" i="22"/>
  <c r="O371" i="15"/>
  <c r="I371" i="16"/>
  <c r="Q371" i="16"/>
  <c r="O370" i="22"/>
  <c r="O370" i="1"/>
  <c r="O370" i="15"/>
  <c r="I370" i="16"/>
  <c r="Q370" i="16"/>
  <c r="G370" i="10"/>
  <c r="AK369" i="25"/>
  <c r="AE369" i="22"/>
  <c r="O369" i="22"/>
  <c r="K369" i="22"/>
  <c r="W369" i="26"/>
  <c r="AK369" i="2"/>
  <c r="AO369" i="17"/>
  <c r="I369" i="16"/>
  <c r="Q369" i="16"/>
  <c r="G369" i="10"/>
  <c r="O368" i="22"/>
  <c r="G368" i="26"/>
  <c r="O368" i="1"/>
  <c r="O368" i="15"/>
  <c r="I368" i="16"/>
  <c r="Q368" i="16"/>
  <c r="O366" i="22" l="1"/>
  <c r="O366" i="1"/>
  <c r="O366" i="15"/>
  <c r="I366" i="16"/>
  <c r="Q366" i="16"/>
  <c r="G366" i="10"/>
  <c r="I366" i="10"/>
  <c r="O365" i="22"/>
  <c r="O365" i="1"/>
  <c r="O365" i="15"/>
  <c r="I365" i="16"/>
  <c r="Q365" i="16"/>
  <c r="G365" i="10"/>
  <c r="M365" i="10"/>
  <c r="AR364" i="25"/>
  <c r="K364" i="22"/>
  <c r="O364" i="22"/>
  <c r="AA364" i="26"/>
  <c r="Y364" i="26"/>
  <c r="W364" i="26"/>
  <c r="U364" i="26"/>
  <c r="Q364" i="26"/>
  <c r="O364" i="1"/>
  <c r="AA364" i="14"/>
  <c r="U364" i="14"/>
  <c r="Q364" i="14"/>
  <c r="O364" i="15"/>
  <c r="Q364" i="16"/>
  <c r="G364" i="10"/>
  <c r="O363" i="22"/>
  <c r="O363" i="1"/>
  <c r="O363" i="15"/>
  <c r="I363" i="16"/>
  <c r="Q363" i="16"/>
  <c r="O362" i="22"/>
  <c r="G362" i="26"/>
  <c r="O362" i="1"/>
  <c r="AA362" i="15"/>
  <c r="O362" i="15"/>
  <c r="I362" i="16"/>
  <c r="Q362" i="16"/>
  <c r="G362" i="10"/>
  <c r="AE360" i="22"/>
  <c r="K360" i="22"/>
  <c r="O360" i="22"/>
  <c r="Q360" i="26"/>
  <c r="O360" i="1"/>
  <c r="Q360" i="14"/>
  <c r="O360" i="15"/>
  <c r="I360" i="16"/>
  <c r="Q360" i="16"/>
  <c r="O359" i="22"/>
  <c r="I359" i="16"/>
  <c r="Q359" i="16"/>
  <c r="G359" i="10"/>
  <c r="K359" i="10"/>
  <c r="O357" i="25" l="1"/>
  <c r="O357" i="22"/>
  <c r="G357" i="26"/>
  <c r="O357" i="2"/>
  <c r="O357" i="1"/>
  <c r="O357" i="17"/>
  <c r="O357" i="15"/>
  <c r="I357" i="16"/>
  <c r="Q357" i="16"/>
  <c r="G357" i="10"/>
  <c r="O355" i="22"/>
  <c r="O355" i="1"/>
  <c r="O355" i="15"/>
  <c r="I355" i="16"/>
  <c r="Q355" i="16"/>
  <c r="O354" i="22"/>
  <c r="O354" i="1"/>
  <c r="AA354" i="15"/>
  <c r="O354" i="15"/>
  <c r="I354" i="16"/>
  <c r="Q354" i="16"/>
  <c r="G354" i="10"/>
  <c r="O353" i="22"/>
  <c r="O353" i="1"/>
  <c r="O353" i="15"/>
  <c r="I353" i="16"/>
  <c r="Q353" i="16"/>
  <c r="O349" i="22" l="1"/>
  <c r="O349" i="15"/>
  <c r="I349" i="16"/>
  <c r="Q349" i="16"/>
  <c r="G349" i="10"/>
  <c r="AR348" i="25"/>
  <c r="AP348" i="25"/>
  <c r="G348" i="26"/>
  <c r="AR348" i="2"/>
  <c r="AP348" i="2"/>
  <c r="O348" i="15" l="1"/>
  <c r="I348" i="16"/>
  <c r="Q348" i="16"/>
  <c r="K348" i="10"/>
  <c r="G348" i="10"/>
  <c r="AR347" i="25"/>
  <c r="K347" i="22"/>
  <c r="O347" i="22"/>
  <c r="AA347" i="26"/>
  <c r="W347" i="26"/>
  <c r="Q347" i="26"/>
  <c r="AR347" i="2"/>
  <c r="K347" i="1"/>
  <c r="O347" i="1"/>
  <c r="AA347" i="14"/>
  <c r="W347" i="14"/>
  <c r="Q347" i="14"/>
  <c r="O347" i="15"/>
  <c r="Q347" i="16"/>
  <c r="G347" i="10"/>
  <c r="K347" i="10"/>
  <c r="AX345" i="25"/>
  <c r="O345" i="25"/>
  <c r="O345" i="22"/>
  <c r="G345" i="26"/>
  <c r="O345" i="2"/>
  <c r="O345" i="1"/>
  <c r="AO345" i="17"/>
  <c r="O345" i="17"/>
  <c r="O345" i="15"/>
  <c r="I345" i="16"/>
  <c r="Q345" i="16"/>
  <c r="K345" i="10"/>
  <c r="G345" i="10"/>
  <c r="O344" i="22"/>
  <c r="O344" i="1"/>
  <c r="O344" i="15"/>
  <c r="I344" i="16"/>
  <c r="Q344" i="16"/>
  <c r="AX343" i="25"/>
  <c r="O343" i="22"/>
  <c r="I343" i="26"/>
  <c r="G343" i="26"/>
  <c r="O343" i="1"/>
  <c r="O343" i="15"/>
  <c r="I343" i="16"/>
  <c r="Q343" i="16"/>
  <c r="O342" i="22"/>
  <c r="O342" i="1"/>
  <c r="O342" i="15"/>
  <c r="I342" i="16"/>
  <c r="Q342" i="16"/>
  <c r="Q342" i="10"/>
  <c r="O341" i="25"/>
  <c r="O341" i="22"/>
  <c r="O341" i="2"/>
  <c r="O341" i="1"/>
  <c r="O341" i="17"/>
  <c r="AA341" i="15"/>
  <c r="O341" i="15"/>
  <c r="I341" i="16"/>
  <c r="Q341" i="16"/>
  <c r="G341" i="10"/>
  <c r="K341" i="10"/>
  <c r="AX340" i="25" l="1"/>
  <c r="O340" i="22"/>
  <c r="O340" i="1"/>
  <c r="AA340" i="15"/>
  <c r="S340" i="15"/>
  <c r="O340" i="15"/>
  <c r="I340" i="16"/>
  <c r="Q340" i="16"/>
  <c r="G340" i="10"/>
  <c r="AX339" i="25"/>
  <c r="K339" i="22"/>
  <c r="O339" i="22"/>
  <c r="AA339" i="26"/>
  <c r="W339" i="26"/>
  <c r="U339" i="26"/>
  <c r="Q339" i="26"/>
  <c r="G339" i="26"/>
  <c r="K339" i="1"/>
  <c r="O339" i="1"/>
  <c r="AA339" i="14"/>
  <c r="U339" i="14"/>
  <c r="Q339" i="14"/>
  <c r="O339" i="15"/>
  <c r="Q339" i="16"/>
  <c r="G339" i="10"/>
  <c r="AX338" i="25"/>
  <c r="O338" i="22"/>
  <c r="O338" i="1"/>
  <c r="O338" i="15"/>
  <c r="I338" i="16"/>
  <c r="Q338" i="16"/>
  <c r="AY336" i="17"/>
  <c r="BL336" i="17"/>
  <c r="BM336" i="17"/>
  <c r="BO336" i="17"/>
  <c r="BP336" i="17"/>
  <c r="O336" i="22"/>
  <c r="G336" i="26"/>
  <c r="O336" i="1"/>
  <c r="O336" i="15"/>
  <c r="I336" i="16"/>
  <c r="Q336" i="16"/>
  <c r="O335" i="25"/>
  <c r="K335" i="25"/>
  <c r="O335" i="22"/>
  <c r="O335" i="2"/>
  <c r="O335" i="1"/>
  <c r="O335" i="17"/>
  <c r="K335" i="17"/>
  <c r="O335" i="15"/>
  <c r="I335" i="16"/>
  <c r="Q335" i="16"/>
  <c r="I335" i="10"/>
  <c r="W334" i="26"/>
  <c r="AA334" i="26"/>
  <c r="Y334" i="26"/>
  <c r="Q334" i="26"/>
  <c r="K334" i="22"/>
  <c r="O334" i="22"/>
  <c r="O334" i="1"/>
  <c r="AA334" i="14"/>
  <c r="Y334" i="14"/>
  <c r="Q334" i="14"/>
  <c r="O334" i="15"/>
  <c r="Q334" i="16"/>
  <c r="G334" i="10"/>
  <c r="K333" i="22"/>
  <c r="O333" i="22"/>
  <c r="AA333" i="26"/>
  <c r="W333" i="26"/>
  <c r="U333" i="26"/>
  <c r="Q333" i="26"/>
  <c r="K333" i="1"/>
  <c r="O333" i="1"/>
  <c r="AA333" i="14"/>
  <c r="U333" i="14"/>
  <c r="Q333" i="14"/>
  <c r="O333" i="15"/>
  <c r="Q333" i="16"/>
  <c r="AK332" i="25"/>
  <c r="O332" i="25"/>
  <c r="AE332" i="22"/>
  <c r="O332" i="22"/>
  <c r="G332" i="26"/>
  <c r="O332" i="2"/>
  <c r="O332" i="1"/>
  <c r="AO332" i="17"/>
  <c r="O332" i="17"/>
  <c r="AA332" i="15"/>
  <c r="O332" i="15"/>
  <c r="I332" i="16"/>
  <c r="Q332" i="16"/>
  <c r="O331" i="22" l="1"/>
  <c r="G331" i="26"/>
  <c r="O331" i="1"/>
  <c r="O331" i="15"/>
  <c r="I331" i="16"/>
  <c r="Q331" i="16"/>
  <c r="K330" i="22"/>
  <c r="O330" i="22"/>
  <c r="AA330" i="26"/>
  <c r="W330" i="26"/>
  <c r="U330" i="26"/>
  <c r="Q330" i="26"/>
  <c r="G330" i="26"/>
  <c r="K330" i="1"/>
  <c r="O330" i="1"/>
  <c r="AA330" i="14"/>
  <c r="Q330" i="14"/>
  <c r="O330" i="15"/>
  <c r="Q330" i="16"/>
  <c r="O329" i="22"/>
  <c r="W329" i="26"/>
  <c r="U329" i="26"/>
  <c r="I329" i="26"/>
  <c r="O329" i="1"/>
  <c r="U329" i="14"/>
  <c r="O329" i="15"/>
  <c r="I329" i="16"/>
  <c r="Q329" i="16"/>
  <c r="AK328" i="22"/>
  <c r="K328" i="22"/>
  <c r="O328" i="22"/>
  <c r="AA328" i="26"/>
  <c r="Y328" i="26"/>
  <c r="W328" i="26"/>
  <c r="U328" i="26"/>
  <c r="Q328" i="26"/>
  <c r="AG328" i="1"/>
  <c r="K328" i="1"/>
  <c r="O328" i="1"/>
  <c r="AA328" i="14"/>
  <c r="Y328" i="14"/>
  <c r="U328" i="14"/>
  <c r="Q328" i="14"/>
  <c r="O328" i="15"/>
  <c r="Q328" i="16"/>
  <c r="O326" i="22"/>
  <c r="O326" i="1"/>
  <c r="O326" i="15"/>
  <c r="I326" i="16"/>
  <c r="Q326" i="16"/>
  <c r="AE324" i="22"/>
  <c r="O324" i="22"/>
  <c r="O324" i="1"/>
  <c r="O324" i="15"/>
  <c r="I324" i="16"/>
  <c r="Q324" i="16"/>
  <c r="G324" i="10"/>
  <c r="K323" i="22"/>
  <c r="O323" i="22"/>
  <c r="AA323" i="26"/>
  <c r="W323" i="26"/>
  <c r="U323" i="26"/>
  <c r="Q323" i="26"/>
  <c r="K323" i="1"/>
  <c r="O323" i="1"/>
  <c r="AA323" i="14"/>
  <c r="Q323" i="14"/>
  <c r="O323" i="15"/>
  <c r="Q323" i="16"/>
  <c r="O322" i="22"/>
  <c r="O322" i="1"/>
  <c r="O322" i="15"/>
  <c r="I322" i="16"/>
  <c r="Q322" i="16"/>
  <c r="G322" i="10"/>
  <c r="AX321" i="25"/>
  <c r="AE321" i="22"/>
  <c r="K321" i="22"/>
  <c r="O321" i="22"/>
  <c r="AA321" i="26"/>
  <c r="W321" i="26"/>
  <c r="U321" i="26"/>
  <c r="Q321" i="26"/>
  <c r="G321" i="26"/>
  <c r="O321" i="1"/>
  <c r="AA321" i="14"/>
  <c r="Q321" i="14"/>
  <c r="G321" i="14"/>
  <c r="O321" i="15"/>
  <c r="Q321" i="16"/>
  <c r="G321" i="10"/>
  <c r="O320" i="22"/>
  <c r="O320" i="1"/>
  <c r="O320" i="15"/>
  <c r="I320" i="16"/>
  <c r="Q320" i="16"/>
  <c r="K319" i="22" l="1"/>
  <c r="O319" i="22"/>
  <c r="AA319" i="26"/>
  <c r="W319" i="26"/>
  <c r="U319" i="26"/>
  <c r="Q319" i="26"/>
  <c r="O319" i="1"/>
  <c r="K319" i="1"/>
  <c r="AA319" i="14"/>
  <c r="U319" i="14"/>
  <c r="Q319" i="14"/>
  <c r="O319" i="15"/>
  <c r="Q319" i="16"/>
  <c r="V318" i="10"/>
  <c r="G319" i="10"/>
  <c r="AD318" i="10"/>
  <c r="AA318" i="10"/>
  <c r="CI318" i="25"/>
  <c r="CD318" i="25"/>
  <c r="AX318" i="22"/>
  <c r="AU318" i="22"/>
  <c r="AO318" i="26"/>
  <c r="AL318" i="26"/>
  <c r="CI318" i="2"/>
  <c r="CE318" i="2"/>
  <c r="AU318" i="1"/>
  <c r="AQ318" i="1"/>
  <c r="AO318" i="14"/>
  <c r="AL318" i="14"/>
  <c r="AU318" i="16"/>
  <c r="AS318" i="16"/>
  <c r="AR318" i="16"/>
  <c r="AL318" i="16"/>
  <c r="AI318" i="16"/>
  <c r="AH318" i="16"/>
  <c r="AB318" i="16"/>
  <c r="W318" i="16"/>
  <c r="M318" i="16"/>
  <c r="G318" i="16"/>
  <c r="AG318" i="15"/>
  <c r="M318" i="15"/>
  <c r="BP318" i="17"/>
  <c r="BO318" i="17"/>
  <c r="BM318" i="17"/>
  <c r="BL318" i="17"/>
  <c r="AY318" i="17"/>
  <c r="AN318" i="14"/>
  <c r="AK318" i="14"/>
  <c r="AE318" i="14"/>
  <c r="O318" i="14"/>
  <c r="K318" i="14"/>
  <c r="AT318" i="1"/>
  <c r="AP318" i="1"/>
  <c r="AK318" i="1"/>
  <c r="Y318" i="1"/>
  <c r="CH318" i="2"/>
  <c r="CG318" i="2"/>
  <c r="CC318" i="2"/>
  <c r="CB318" i="2"/>
  <c r="BB318" i="2"/>
  <c r="BL318" i="2" s="1"/>
  <c r="AN318" i="26"/>
  <c r="AK318" i="26"/>
  <c r="AE318" i="26"/>
  <c r="O318" i="26"/>
  <c r="K318" i="26"/>
  <c r="AU315" i="22"/>
  <c r="AU316" i="22"/>
  <c r="AU317" i="22"/>
  <c r="AW318" i="22"/>
  <c r="AT318" i="22"/>
  <c r="AO318" i="22"/>
  <c r="Y318" i="22"/>
  <c r="CH318" i="25"/>
  <c r="CG318" i="25"/>
  <c r="CC318" i="25"/>
  <c r="CB318" i="25"/>
  <c r="BB318" i="25"/>
  <c r="BL318" i="25" s="1"/>
  <c r="AC318" i="10"/>
  <c r="Z318" i="10"/>
  <c r="S318" i="10"/>
  <c r="O317" i="25"/>
  <c r="AE317" i="22"/>
  <c r="O317" i="22"/>
  <c r="O317" i="2"/>
  <c r="O317" i="1"/>
  <c r="O317" i="17"/>
  <c r="O317" i="15"/>
  <c r="I317" i="16"/>
  <c r="AG318" i="26" l="1"/>
  <c r="AN318" i="16"/>
  <c r="AD318" i="16"/>
  <c r="AQ318" i="22"/>
  <c r="BN318" i="25" s="1"/>
  <c r="BV318" i="25" s="1"/>
  <c r="BX318" i="25" s="1"/>
  <c r="AG318" i="14"/>
  <c r="AI318" i="15"/>
  <c r="BA318" i="17" s="1"/>
  <c r="BE318" i="17" s="1"/>
  <c r="BG318" i="17" s="1"/>
  <c r="AM318" i="1"/>
  <c r="BN318" i="2" s="1"/>
  <c r="BV318" i="2" s="1"/>
  <c r="BX318" i="2" s="1"/>
  <c r="CF318" i="2"/>
  <c r="CE318" i="25"/>
  <c r="AT318" i="16"/>
  <c r="AW318" i="16"/>
  <c r="AM318" i="26"/>
  <c r="AR318" i="1"/>
  <c r="AJ318" i="16"/>
  <c r="AM318" i="14"/>
  <c r="AV318" i="22"/>
  <c r="AB318" i="10"/>
  <c r="Q317" i="16"/>
  <c r="M317" i="10"/>
  <c r="AX316" i="25"/>
  <c r="AE316" i="22"/>
  <c r="O316" i="22"/>
  <c r="O316" i="1"/>
  <c r="O316" i="15"/>
  <c r="I316" i="16"/>
  <c r="Q316" i="16"/>
  <c r="AE315" i="22"/>
  <c r="O315" i="22"/>
  <c r="K315" i="22"/>
  <c r="AA315" i="26"/>
  <c r="W315" i="26"/>
  <c r="Q315" i="26"/>
  <c r="K315" i="1"/>
  <c r="O315" i="1"/>
  <c r="AA315" i="14"/>
  <c r="Q315" i="14"/>
  <c r="O315" i="15"/>
  <c r="S315" i="15"/>
  <c r="Q315" i="16"/>
  <c r="G315" i="10"/>
  <c r="K313" i="22"/>
  <c r="W313" i="22"/>
  <c r="O313" i="22"/>
  <c r="K313" i="1"/>
  <c r="W313" i="1"/>
  <c r="O313" i="1"/>
  <c r="I313" i="16"/>
  <c r="Q313" i="16"/>
  <c r="O312" i="22"/>
  <c r="O312" i="1"/>
  <c r="O312" i="15"/>
  <c r="I312" i="16"/>
  <c r="Q312" i="16"/>
  <c r="O311" i="22"/>
  <c r="O311" i="1"/>
  <c r="O311" i="15"/>
  <c r="I311" i="16"/>
  <c r="Q311" i="16"/>
  <c r="K304" i="10" l="1"/>
  <c r="AK286" i="1"/>
  <c r="AK310" i="22"/>
  <c r="O310" i="22"/>
  <c r="AG310" i="1"/>
  <c r="O310" i="1"/>
  <c r="O310" i="15"/>
  <c r="I310" i="16"/>
  <c r="Q310" i="16"/>
  <c r="G310" i="10"/>
  <c r="K309" i="22"/>
  <c r="O309" i="22"/>
  <c r="AA309" i="26"/>
  <c r="W309" i="26"/>
  <c r="U309" i="26"/>
  <c r="Q309" i="26"/>
  <c r="AX309" i="2"/>
  <c r="K309" i="14"/>
  <c r="Q309" i="14"/>
  <c r="O309" i="14" s="1"/>
  <c r="AA309" i="14"/>
  <c r="AE309" i="14" s="1"/>
  <c r="AK309" i="14"/>
  <c r="AL309" i="14"/>
  <c r="AN309" i="14"/>
  <c r="AO309" i="14"/>
  <c r="O309" i="1"/>
  <c r="Q309" i="16"/>
  <c r="K308" i="22"/>
  <c r="O308" i="22"/>
  <c r="AA308" i="26"/>
  <c r="Y308" i="26"/>
  <c r="W308" i="26"/>
  <c r="U308" i="26"/>
  <c r="Q308" i="26"/>
  <c r="G308" i="26"/>
  <c r="O308" i="1"/>
  <c r="AA308" i="14"/>
  <c r="W308" i="14"/>
  <c r="U308" i="14"/>
  <c r="Q308" i="14"/>
  <c r="O308" i="15"/>
  <c r="Q308" i="16"/>
  <c r="G308" i="10"/>
  <c r="O307" i="22"/>
  <c r="O307" i="1"/>
  <c r="O307" i="15"/>
  <c r="I307" i="16"/>
  <c r="Q307" i="16"/>
  <c r="AX306" i="25"/>
  <c r="AE306" i="22"/>
  <c r="O306" i="22"/>
  <c r="G306" i="26"/>
  <c r="O306" i="1"/>
  <c r="O306" i="15"/>
  <c r="I306" i="16"/>
  <c r="Q306" i="16"/>
  <c r="G306" i="10"/>
  <c r="Q306" i="10"/>
  <c r="K305" i="22"/>
  <c r="O305" i="22"/>
  <c r="BB305" i="2"/>
  <c r="BL305" i="2" s="1"/>
  <c r="CB305" i="2"/>
  <c r="CC305" i="2"/>
  <c r="CE305" i="2"/>
  <c r="CG305" i="2"/>
  <c r="CH305" i="2"/>
  <c r="CI305" i="2"/>
  <c r="W305" i="26"/>
  <c r="U305" i="26"/>
  <c r="AA305" i="26"/>
  <c r="Y305" i="26"/>
  <c r="Q305" i="26"/>
  <c r="K305" i="1"/>
  <c r="O305" i="1"/>
  <c r="AA305" i="14"/>
  <c r="Y305" i="14"/>
  <c r="Q305" i="14"/>
  <c r="O305" i="15"/>
  <c r="Q305" i="16"/>
  <c r="O304" i="22"/>
  <c r="AX304" i="25"/>
  <c r="K304" i="22"/>
  <c r="AA304" i="26"/>
  <c r="W304" i="26"/>
  <c r="U304" i="26"/>
  <c r="Q304" i="26"/>
  <c r="O304" i="1"/>
  <c r="AA304" i="14"/>
  <c r="U304" i="14"/>
  <c r="Q304" i="14"/>
  <c r="O304" i="15"/>
  <c r="Q304" i="16"/>
  <c r="O303" i="25"/>
  <c r="O303" i="22"/>
  <c r="G303" i="26"/>
  <c r="O303" i="2"/>
  <c r="O303" i="1"/>
  <c r="G303" i="14"/>
  <c r="O303" i="17"/>
  <c r="O303" i="15"/>
  <c r="I303" i="16"/>
  <c r="Q303" i="16"/>
  <c r="O302" i="22"/>
  <c r="O302" i="1"/>
  <c r="O302" i="15"/>
  <c r="I302" i="16"/>
  <c r="Q302" i="16"/>
  <c r="G302" i="10"/>
  <c r="W301" i="22"/>
  <c r="K301" i="22"/>
  <c r="O301" i="22"/>
  <c r="Q301" i="26"/>
  <c r="K301" i="1"/>
  <c r="O301" i="1"/>
  <c r="O301" i="15"/>
  <c r="Q301" i="16"/>
  <c r="K300" i="22"/>
  <c r="O300" i="22"/>
  <c r="AA300" i="26"/>
  <c r="W300" i="26"/>
  <c r="U300" i="26"/>
  <c r="Q300" i="26"/>
  <c r="G300" i="26"/>
  <c r="K300" i="1"/>
  <c r="O300" i="1"/>
  <c r="AA300" i="14"/>
  <c r="Q300" i="14"/>
  <c r="O300" i="15"/>
  <c r="Q300" i="16"/>
  <c r="AG309" i="14" l="1"/>
  <c r="CF305" i="2"/>
  <c r="AM309" i="14"/>
  <c r="O298" i="22" l="1"/>
  <c r="O298" i="1"/>
  <c r="O298" i="15"/>
  <c r="I298" i="16"/>
  <c r="Q298" i="16"/>
  <c r="M298" i="10"/>
  <c r="O297" i="22"/>
  <c r="G297" i="26"/>
  <c r="O297" i="1"/>
  <c r="G297" i="14"/>
  <c r="O297" i="15"/>
  <c r="I297" i="16"/>
  <c r="Q297" i="16"/>
  <c r="G297" i="10"/>
  <c r="K296" i="22"/>
  <c r="O296" i="22"/>
  <c r="AA296" i="26"/>
  <c r="W296" i="26"/>
  <c r="U296" i="26"/>
  <c r="Q296" i="26"/>
  <c r="G296" i="26"/>
  <c r="K296" i="1"/>
  <c r="O296" i="1"/>
  <c r="AA296" i="14"/>
  <c r="Q296" i="14"/>
  <c r="O296" i="15"/>
  <c r="Q296" i="16"/>
  <c r="G296" i="10"/>
  <c r="AK294" i="22"/>
  <c r="O294" i="22"/>
  <c r="AA294" i="26"/>
  <c r="W294" i="26"/>
  <c r="AG294" i="1"/>
  <c r="O294" i="1"/>
  <c r="AA294" i="14"/>
  <c r="O294" i="15"/>
  <c r="I294" i="16"/>
  <c r="Q294" i="16"/>
  <c r="AX293" i="25"/>
  <c r="AK293" i="22"/>
  <c r="AE293" i="22"/>
  <c r="O293" i="22"/>
  <c r="AA293" i="26"/>
  <c r="W293" i="26"/>
  <c r="AG293" i="1"/>
  <c r="O293" i="1"/>
  <c r="AA293" i="14"/>
  <c r="O293" i="15"/>
  <c r="I293" i="16"/>
  <c r="Q293" i="16"/>
  <c r="G293" i="10"/>
  <c r="AX292" i="25"/>
  <c r="O292" i="25"/>
  <c r="AE292" i="22"/>
  <c r="O292" i="22"/>
  <c r="O292" i="2"/>
  <c r="O292" i="1"/>
  <c r="O292" i="17"/>
  <c r="AA292" i="15"/>
  <c r="O292" i="15"/>
  <c r="I292" i="16"/>
  <c r="Q292" i="16"/>
  <c r="G292" i="10"/>
  <c r="AX289" i="25" l="1"/>
  <c r="O289" i="22"/>
  <c r="O289" i="15"/>
  <c r="I289" i="16"/>
  <c r="Q289" i="16"/>
  <c r="I290" i="16"/>
  <c r="G290" i="16" s="1"/>
  <c r="Q290" i="16"/>
  <c r="M290" i="16" s="1"/>
  <c r="W290" i="16"/>
  <c r="AB290" i="16"/>
  <c r="AH290" i="16"/>
  <c r="AI290" i="16"/>
  <c r="AL290" i="16"/>
  <c r="AR290" i="16"/>
  <c r="AS290" i="16"/>
  <c r="AU290" i="16"/>
  <c r="O290" i="25"/>
  <c r="O290" i="22"/>
  <c r="AC290" i="26"/>
  <c r="U290" i="26"/>
  <c r="O290" i="2"/>
  <c r="O290" i="1"/>
  <c r="U290" i="14"/>
  <c r="O290" i="17"/>
  <c r="O290" i="15"/>
  <c r="G290" i="10"/>
  <c r="K291" i="22"/>
  <c r="O291" i="22"/>
  <c r="W291" i="26"/>
  <c r="AA291" i="26"/>
  <c r="U291" i="26"/>
  <c r="O291" i="1"/>
  <c r="AA291" i="14"/>
  <c r="W291" i="14"/>
  <c r="O291" i="15"/>
  <c r="Q291" i="16"/>
  <c r="G291" i="10"/>
  <c r="O285" i="22"/>
  <c r="O285" i="1"/>
  <c r="I285" i="16"/>
  <c r="Q285" i="16"/>
  <c r="O283" i="22"/>
  <c r="O283" i="1"/>
  <c r="AA283" i="15"/>
  <c r="I283" i="16"/>
  <c r="Q283" i="16"/>
  <c r="AN290" i="16" l="1"/>
  <c r="AJ290" i="16"/>
  <c r="AT290" i="16"/>
  <c r="AW290" i="16"/>
  <c r="AD290" i="16"/>
  <c r="S286" i="10" l="1"/>
  <c r="O281" i="22"/>
  <c r="O281" i="1"/>
  <c r="O281" i="15"/>
  <c r="I281" i="16"/>
  <c r="Q281" i="16"/>
  <c r="K280" i="22"/>
  <c r="W280" i="22"/>
  <c r="O280" i="22"/>
  <c r="Q280" i="26"/>
  <c r="G280" i="26"/>
  <c r="O280" i="1"/>
  <c r="K280" i="1"/>
  <c r="Q280" i="14"/>
  <c r="G280" i="14"/>
  <c r="O280" i="15"/>
  <c r="Q280" i="16"/>
  <c r="AR279" i="25"/>
  <c r="K279" i="22"/>
  <c r="O279" i="22"/>
  <c r="Y279" i="26"/>
  <c r="W279" i="26"/>
  <c r="AA279" i="26"/>
  <c r="Q279" i="26"/>
  <c r="K279" i="1"/>
  <c r="O279" i="1"/>
  <c r="AA279" i="14"/>
  <c r="O279" i="15"/>
  <c r="Q279" i="16"/>
  <c r="G279" i="10"/>
  <c r="AX278" i="25"/>
  <c r="O278" i="22"/>
  <c r="G278" i="26"/>
  <c r="O278" i="1"/>
  <c r="O278" i="15"/>
  <c r="I278" i="16"/>
  <c r="Q278" i="16"/>
  <c r="O276" i="25"/>
  <c r="O276" i="22"/>
  <c r="O276" i="2"/>
  <c r="O276" i="1"/>
  <c r="O276" i="17"/>
  <c r="O276" i="15"/>
  <c r="I276" i="16"/>
  <c r="Q276" i="16"/>
  <c r="K275" i="22"/>
  <c r="O275" i="22"/>
  <c r="AA275" i="26"/>
  <c r="W275" i="26"/>
  <c r="U275" i="26"/>
  <c r="Q275" i="26"/>
  <c r="G275" i="26"/>
  <c r="O275" i="1"/>
  <c r="AA275" i="14"/>
  <c r="U275" i="14"/>
  <c r="Q275" i="14"/>
  <c r="O275" i="15"/>
  <c r="Q275" i="16"/>
  <c r="G275" i="10"/>
  <c r="O273" i="22" l="1"/>
  <c r="O273" i="1"/>
  <c r="O273" i="15"/>
  <c r="I273" i="16"/>
  <c r="Q273" i="16"/>
  <c r="G273" i="10"/>
  <c r="AX272" i="25"/>
  <c r="AR272" i="25"/>
  <c r="AK272" i="25"/>
  <c r="AE272" i="22"/>
  <c r="K272" i="22"/>
  <c r="O272" i="22"/>
  <c r="AA272" i="26"/>
  <c r="Y272" i="26"/>
  <c r="W272" i="26"/>
  <c r="U272" i="26"/>
  <c r="Q272" i="26"/>
  <c r="G272" i="26"/>
  <c r="K272" i="1"/>
  <c r="O272" i="1"/>
  <c r="AA272" i="14"/>
  <c r="Q272" i="14"/>
  <c r="AO272" i="17"/>
  <c r="O272" i="15"/>
  <c r="Q272" i="16"/>
  <c r="Q272" i="10"/>
  <c r="G272" i="10"/>
  <c r="O271" i="22"/>
  <c r="G271" i="26"/>
  <c r="O271" i="1"/>
  <c r="G271" i="14"/>
  <c r="I271" i="16"/>
  <c r="Q271" i="16"/>
  <c r="O270" i="22"/>
  <c r="I270" i="16"/>
  <c r="Q270" i="16"/>
  <c r="O269" i="25"/>
  <c r="O269" i="22"/>
  <c r="G269" i="26"/>
  <c r="O269" i="2"/>
  <c r="O269" i="1"/>
  <c r="O269" i="17"/>
  <c r="O269" i="15"/>
  <c r="Q269" i="16"/>
  <c r="AK268" i="25"/>
  <c r="AK268" i="22"/>
  <c r="G268" i="26"/>
  <c r="AK268" i="2"/>
  <c r="AG268" i="1"/>
  <c r="G268" i="14"/>
  <c r="O268" i="15"/>
  <c r="I268" i="16"/>
  <c r="Q268" i="16"/>
  <c r="G268" i="10"/>
  <c r="K267" i="22"/>
  <c r="AA267" i="26"/>
  <c r="W267" i="26"/>
  <c r="Q267" i="26"/>
  <c r="G267" i="26"/>
  <c r="AA267" i="14"/>
  <c r="Q267" i="14"/>
  <c r="O267" i="15"/>
  <c r="O266" i="22" l="1"/>
  <c r="O266" i="1"/>
  <c r="O266" i="15"/>
  <c r="I266" i="16"/>
  <c r="Q266" i="16"/>
  <c r="K265" i="22"/>
  <c r="O265" i="22"/>
  <c r="AA265" i="26"/>
  <c r="W265" i="26"/>
  <c r="Q265" i="26"/>
  <c r="O265" i="1"/>
  <c r="AA265" i="14"/>
  <c r="Q265" i="14"/>
  <c r="O265" i="15"/>
  <c r="Q265" i="16"/>
  <c r="G265" i="10"/>
  <c r="K264" i="22"/>
  <c r="O264" i="22"/>
  <c r="AA264" i="26"/>
  <c r="W264" i="26"/>
  <c r="U264" i="26"/>
  <c r="Q264" i="26"/>
  <c r="O264" i="1"/>
  <c r="AA264" i="14" l="1"/>
  <c r="U264" i="14"/>
  <c r="Q264" i="14"/>
  <c r="Q264" i="16"/>
  <c r="K262" i="22"/>
  <c r="O262" i="22"/>
  <c r="AA262" i="26"/>
  <c r="Y262" i="26"/>
  <c r="W262" i="26"/>
  <c r="U262" i="26"/>
  <c r="Q262" i="26"/>
  <c r="O262" i="1"/>
  <c r="AA262" i="14"/>
  <c r="Y262" i="14"/>
  <c r="U262" i="14"/>
  <c r="Q262" i="14"/>
  <c r="O262" i="15"/>
  <c r="Q262" i="16"/>
  <c r="AX261" i="25"/>
  <c r="AE261" i="22"/>
  <c r="K261" i="22"/>
  <c r="O261" i="22"/>
  <c r="AA261" i="26"/>
  <c r="W261" i="26"/>
  <c r="U261" i="26"/>
  <c r="Q261" i="26"/>
  <c r="G261" i="26"/>
  <c r="K261" i="1"/>
  <c r="O261" i="1"/>
  <c r="AA261" i="14"/>
  <c r="Q261" i="14"/>
  <c r="O261" i="15"/>
  <c r="Q261" i="16"/>
  <c r="G261" i="10"/>
  <c r="O260" i="22"/>
  <c r="O260" i="1"/>
  <c r="O260" i="15"/>
  <c r="I260" i="16"/>
  <c r="Q260" i="16"/>
  <c r="K259" i="22"/>
  <c r="O259" i="22"/>
  <c r="AA259" i="26"/>
  <c r="Y259" i="26"/>
  <c r="W259" i="26"/>
  <c r="U259" i="26"/>
  <c r="Q259" i="26"/>
  <c r="O259" i="1"/>
  <c r="K259" i="1"/>
  <c r="AA259" i="14"/>
  <c r="Y259" i="14"/>
  <c r="W259" i="14"/>
  <c r="U259" i="14"/>
  <c r="Q259" i="14"/>
  <c r="O259" i="15"/>
  <c r="Q259" i="16"/>
  <c r="G259" i="10"/>
  <c r="K258" i="22"/>
  <c r="O258" i="22"/>
  <c r="AA258" i="26"/>
  <c r="W258" i="26"/>
  <c r="U258" i="26"/>
  <c r="Q258" i="26"/>
  <c r="K258" i="1"/>
  <c r="O258" i="1"/>
  <c r="AA258" i="14"/>
  <c r="Q258" i="14"/>
  <c r="O258" i="15"/>
  <c r="Q258" i="16"/>
  <c r="K258" i="10"/>
  <c r="AK257" i="22"/>
  <c r="K257" i="22"/>
  <c r="O257" i="22"/>
  <c r="AA257" i="26"/>
  <c r="W257" i="26"/>
  <c r="U257" i="26"/>
  <c r="Q257" i="26"/>
  <c r="AG257" i="1"/>
  <c r="O257" i="1"/>
  <c r="K257" i="1"/>
  <c r="AA257" i="14"/>
  <c r="U257" i="14"/>
  <c r="Q257" i="14"/>
  <c r="O257" i="15"/>
  <c r="Q257" i="16"/>
  <c r="G257" i="10"/>
  <c r="O254" i="22"/>
  <c r="I254" i="26"/>
  <c r="O254" i="1"/>
  <c r="AA254" i="15"/>
  <c r="O254" i="15"/>
  <c r="I254" i="16"/>
  <c r="O253" i="25"/>
  <c r="O253" i="22"/>
  <c r="O253" i="1"/>
  <c r="O253" i="17"/>
  <c r="O253" i="15"/>
  <c r="I253" i="16"/>
  <c r="G253" i="10"/>
  <c r="O249" i="25"/>
  <c r="O251" i="22"/>
  <c r="K251" i="22"/>
  <c r="O250" i="22"/>
  <c r="O249" i="22"/>
  <c r="O249" i="2"/>
  <c r="O251" i="1"/>
  <c r="O250" i="1"/>
  <c r="O249" i="1"/>
  <c r="AA251" i="26"/>
  <c r="W251" i="26"/>
  <c r="Q251" i="26"/>
  <c r="AA251" i="14"/>
  <c r="Q251" i="14"/>
  <c r="O249" i="17"/>
  <c r="O251" i="15"/>
  <c r="O250" i="15"/>
  <c r="O249" i="15"/>
  <c r="Q251" i="16"/>
  <c r="Q250" i="16"/>
  <c r="Q249" i="16"/>
  <c r="I250" i="16"/>
  <c r="I249" i="16"/>
  <c r="AO39" i="22" l="1"/>
  <c r="AO11" i="22"/>
  <c r="AO13" i="22"/>
  <c r="AO14" i="22"/>
  <c r="AO16" i="22"/>
  <c r="AO17" i="22"/>
  <c r="AO18" i="22"/>
  <c r="AO19" i="22"/>
  <c r="AO21" i="22"/>
  <c r="AO22" i="22"/>
  <c r="AO24" i="22"/>
  <c r="AO25" i="22"/>
  <c r="AO26" i="22"/>
  <c r="AO27" i="22"/>
  <c r="AO28" i="22"/>
  <c r="AO30" i="22"/>
  <c r="AO31" i="22"/>
  <c r="AO33" i="22"/>
  <c r="AO34" i="22"/>
  <c r="AO35" i="22"/>
  <c r="AO36" i="22"/>
  <c r="AO37" i="22"/>
  <c r="AO40" i="22"/>
  <c r="AO41" i="22"/>
  <c r="AO42" i="22"/>
  <c r="AO43" i="22"/>
  <c r="AO44" i="22"/>
  <c r="AO45" i="22"/>
  <c r="AO46" i="22"/>
  <c r="AO47" i="22"/>
  <c r="AO48" i="22"/>
  <c r="AO49" i="22"/>
  <c r="AO50" i="22"/>
  <c r="AO51" i="22"/>
  <c r="AO52" i="22"/>
  <c r="AO53" i="22"/>
  <c r="AO55" i="22"/>
  <c r="AO56" i="22"/>
  <c r="AO57" i="22"/>
  <c r="AO58" i="22"/>
  <c r="AO59" i="22"/>
  <c r="AO60" i="22"/>
  <c r="AO61" i="22"/>
  <c r="AO62" i="22"/>
  <c r="AO63" i="22"/>
  <c r="AO65" i="22"/>
  <c r="AO66" i="22"/>
  <c r="AO67" i="22"/>
  <c r="AO68" i="22"/>
  <c r="AO70" i="22"/>
  <c r="AO71" i="22"/>
  <c r="AO72" i="22"/>
  <c r="AO73" i="22"/>
  <c r="AO74" i="22"/>
  <c r="AO75" i="22"/>
  <c r="AO76" i="22"/>
  <c r="AO77" i="22"/>
  <c r="AO78" i="22"/>
  <c r="AO80" i="22"/>
  <c r="AO81" i="22"/>
  <c r="AO82" i="22"/>
  <c r="AO83" i="22"/>
  <c r="AO84" i="22"/>
  <c r="AO85" i="22"/>
  <c r="AO86" i="22"/>
  <c r="AO87" i="22"/>
  <c r="AO88" i="22"/>
  <c r="AO89" i="22"/>
  <c r="AO90" i="22"/>
  <c r="AO91" i="22"/>
  <c r="AO92" i="22"/>
  <c r="AO93" i="22"/>
  <c r="AO94" i="22"/>
  <c r="AO96" i="22"/>
  <c r="AO97" i="22"/>
  <c r="AO98" i="22"/>
  <c r="AO99" i="22"/>
  <c r="AO100" i="22"/>
  <c r="AO101" i="22"/>
  <c r="AO102" i="22"/>
  <c r="AO103" i="22"/>
  <c r="AO104" i="22"/>
  <c r="AO105" i="22"/>
  <c r="AO106" i="22"/>
  <c r="AO107" i="22"/>
  <c r="AO108" i="22"/>
  <c r="AO109" i="22"/>
  <c r="AO110" i="22"/>
  <c r="AO111" i="22"/>
  <c r="AO112" i="22"/>
  <c r="AO113" i="22"/>
  <c r="AO114" i="22"/>
  <c r="AO115" i="22"/>
  <c r="AO116" i="22"/>
  <c r="AO117" i="22"/>
  <c r="AO118" i="22"/>
  <c r="AO119" i="22"/>
  <c r="AO120" i="22"/>
  <c r="AO121" i="22"/>
  <c r="AO122" i="22"/>
  <c r="AO123" i="22"/>
  <c r="AO124" i="22"/>
  <c r="AO125" i="22"/>
  <c r="AO126" i="22"/>
  <c r="AO127" i="22"/>
  <c r="AO128" i="22"/>
  <c r="AO129" i="22"/>
  <c r="AO130" i="22"/>
  <c r="AO131" i="22"/>
  <c r="AO132" i="22"/>
  <c r="AO133" i="22"/>
  <c r="AO134" i="22"/>
  <c r="AO135" i="22"/>
  <c r="AO136" i="22"/>
  <c r="AO137" i="22"/>
  <c r="AO138" i="22"/>
  <c r="AO139" i="22"/>
  <c r="AO140" i="22"/>
  <c r="AO141" i="22"/>
  <c r="AO142" i="22"/>
  <c r="AO143" i="22"/>
  <c r="AO144" i="22"/>
  <c r="BB43" i="25"/>
  <c r="BL43" i="25" s="1"/>
  <c r="BR76" i="25"/>
  <c r="AX89" i="25"/>
  <c r="AX86" i="25"/>
  <c r="AX69" i="25"/>
  <c r="AV56" i="25"/>
  <c r="AX55" i="25"/>
  <c r="AR49" i="25"/>
  <c r="AR44" i="25"/>
  <c r="AR40" i="25"/>
  <c r="AP40" i="25"/>
  <c r="AV38" i="25"/>
  <c r="AP37" i="25"/>
  <c r="AX29" i="25"/>
  <c r="AX23" i="25"/>
  <c r="AX15" i="25"/>
  <c r="S101" i="25"/>
  <c r="O95" i="25"/>
  <c r="O94" i="25"/>
  <c r="O63" i="25"/>
  <c r="O58" i="25"/>
  <c r="O40" i="25"/>
  <c r="O39" i="25"/>
  <c r="AK37" i="25"/>
  <c r="AK31" i="25"/>
  <c r="O15" i="25"/>
  <c r="AK95" i="22"/>
  <c r="AE95" i="22"/>
  <c r="AO95" i="22" s="1"/>
  <c r="AK79" i="22"/>
  <c r="AE79" i="22"/>
  <c r="AO79" i="22" s="1"/>
  <c r="AE69" i="22"/>
  <c r="AO69" i="22" s="1"/>
  <c r="AK64" i="22"/>
  <c r="AO64" i="22" s="1"/>
  <c r="AE54" i="22"/>
  <c r="AO54" i="22" s="1"/>
  <c r="AE38" i="22"/>
  <c r="AO38" i="22" s="1"/>
  <c r="AK32" i="22"/>
  <c r="AO32" i="22" s="1"/>
  <c r="AK29" i="22"/>
  <c r="AE29" i="22"/>
  <c r="AK23" i="22"/>
  <c r="AE23" i="22"/>
  <c r="AK20" i="22"/>
  <c r="AO20" i="22" s="1"/>
  <c r="AE15" i="22"/>
  <c r="AO15" i="22" s="1"/>
  <c r="AK12" i="22"/>
  <c r="AO12" i="22" s="1"/>
  <c r="W105" i="22"/>
  <c r="K105" i="22"/>
  <c r="W104" i="22"/>
  <c r="W103" i="22"/>
  <c r="W101" i="22"/>
  <c r="O101" i="22"/>
  <c r="K101" i="22"/>
  <c r="W100" i="22"/>
  <c r="W98" i="22"/>
  <c r="W97" i="22"/>
  <c r="W95" i="22"/>
  <c r="W94" i="22"/>
  <c r="W93" i="22"/>
  <c r="W90" i="22"/>
  <c r="W89" i="22"/>
  <c r="M89" i="22"/>
  <c r="K89" i="22"/>
  <c r="W88" i="22"/>
  <c r="K88" i="22"/>
  <c r="W87" i="22"/>
  <c r="W86" i="22"/>
  <c r="K86" i="22"/>
  <c r="W85" i="22"/>
  <c r="W84" i="22"/>
  <c r="W83" i="22"/>
  <c r="W82" i="22"/>
  <c r="W81" i="22"/>
  <c r="K81" i="22"/>
  <c r="W79" i="22"/>
  <c r="W78" i="22"/>
  <c r="W77" i="22"/>
  <c r="W76" i="22"/>
  <c r="K76" i="22"/>
  <c r="W74" i="22"/>
  <c r="W73" i="22"/>
  <c r="W72" i="22"/>
  <c r="W71" i="22"/>
  <c r="W70" i="22"/>
  <c r="O70" i="22"/>
  <c r="K70" i="22"/>
  <c r="W69" i="22"/>
  <c r="O69" i="22"/>
  <c r="K69" i="22"/>
  <c r="W67" i="22"/>
  <c r="O67" i="22"/>
  <c r="K67" i="22"/>
  <c r="W66" i="22"/>
  <c r="W64" i="22"/>
  <c r="W63" i="22"/>
  <c r="W62" i="22"/>
  <c r="W60" i="22"/>
  <c r="W59" i="22"/>
  <c r="O59" i="22"/>
  <c r="K59" i="22"/>
  <c r="W58" i="22"/>
  <c r="W57" i="22"/>
  <c r="W56" i="22"/>
  <c r="O56" i="22"/>
  <c r="K56" i="22"/>
  <c r="W55" i="22"/>
  <c r="W54" i="22"/>
  <c r="K54" i="22"/>
  <c r="W52" i="22"/>
  <c r="W51" i="22"/>
  <c r="W49" i="22"/>
  <c r="O49" i="22"/>
  <c r="K49" i="22"/>
  <c r="W48" i="22"/>
  <c r="W47" i="22"/>
  <c r="W46" i="22"/>
  <c r="O46" i="22"/>
  <c r="K46" i="22"/>
  <c r="W45" i="22"/>
  <c r="O45" i="22"/>
  <c r="K45" i="22"/>
  <c r="W44" i="22"/>
  <c r="O44" i="22"/>
  <c r="K44" i="22"/>
  <c r="W43" i="22"/>
  <c r="Y43" i="22" s="1"/>
  <c r="AQ43" i="22" s="1"/>
  <c r="W42" i="22"/>
  <c r="W41" i="22"/>
  <c r="W40" i="22"/>
  <c r="W39" i="22"/>
  <c r="W38" i="22"/>
  <c r="W37" i="22"/>
  <c r="W34" i="22"/>
  <c r="W33" i="22"/>
  <c r="O33" i="22"/>
  <c r="K33" i="22"/>
  <c r="W32" i="22"/>
  <c r="K32" i="22"/>
  <c r="W31" i="22"/>
  <c r="W30" i="22"/>
  <c r="W29" i="22"/>
  <c r="K29" i="22"/>
  <c r="W28" i="22"/>
  <c r="W27" i="22"/>
  <c r="W26" i="22"/>
  <c r="W25" i="22"/>
  <c r="W24" i="22"/>
  <c r="W23" i="22"/>
  <c r="W21" i="22"/>
  <c r="W20" i="22"/>
  <c r="K20" i="22"/>
  <c r="W18" i="22"/>
  <c r="W17" i="22"/>
  <c r="W16" i="22"/>
  <c r="W15" i="22"/>
  <c r="W13" i="22"/>
  <c r="W12" i="22"/>
  <c r="W11" i="22"/>
  <c r="AK43" i="1"/>
  <c r="AE43" i="14"/>
  <c r="O43" i="14"/>
  <c r="K43" i="14"/>
  <c r="BB43" i="2"/>
  <c r="BL43" i="2" s="1"/>
  <c r="AR44" i="2"/>
  <c r="AR40" i="2"/>
  <c r="AP40" i="2"/>
  <c r="AP37" i="2"/>
  <c r="AX15" i="2"/>
  <c r="O95" i="2"/>
  <c r="O94" i="2"/>
  <c r="O63" i="2"/>
  <c r="O58" i="2"/>
  <c r="O40" i="2"/>
  <c r="AK37" i="2"/>
  <c r="O15" i="2"/>
  <c r="AG86" i="1"/>
  <c r="AG64" i="1"/>
  <c r="AG32" i="1"/>
  <c r="W105" i="1"/>
  <c r="W104" i="1"/>
  <c r="W103" i="1"/>
  <c r="W101" i="1"/>
  <c r="O101" i="1"/>
  <c r="W100" i="1"/>
  <c r="W98" i="1"/>
  <c r="W97" i="1"/>
  <c r="W95" i="1"/>
  <c r="W94" i="1"/>
  <c r="W93" i="1"/>
  <c r="W90" i="1"/>
  <c r="W89" i="1"/>
  <c r="K89" i="1"/>
  <c r="W88" i="1"/>
  <c r="K88" i="1"/>
  <c r="W87" i="1"/>
  <c r="W86" i="1"/>
  <c r="K86" i="1"/>
  <c r="W84" i="1"/>
  <c r="W81" i="1"/>
  <c r="K81" i="1"/>
  <c r="W79" i="1"/>
  <c r="W77" i="1"/>
  <c r="W76" i="1"/>
  <c r="K76" i="1"/>
  <c r="W74" i="1"/>
  <c r="W73" i="1"/>
  <c r="W72" i="1"/>
  <c r="W71" i="1"/>
  <c r="O70" i="1"/>
  <c r="K70" i="1"/>
  <c r="W69" i="1"/>
  <c r="O69" i="1"/>
  <c r="O67" i="1"/>
  <c r="K67" i="1"/>
  <c r="W66" i="1"/>
  <c r="W64" i="1"/>
  <c r="W63" i="1"/>
  <c r="W62" i="1"/>
  <c r="W60" i="1"/>
  <c r="W59" i="1"/>
  <c r="O59" i="1"/>
  <c r="W56" i="1"/>
  <c r="O56" i="1"/>
  <c r="W55" i="1"/>
  <c r="W52" i="1"/>
  <c r="W49" i="1"/>
  <c r="O49" i="1"/>
  <c r="K49" i="1"/>
  <c r="W48" i="1"/>
  <c r="W47" i="1"/>
  <c r="W46" i="1"/>
  <c r="O46" i="1"/>
  <c r="K46" i="1"/>
  <c r="W45" i="1"/>
  <c r="O45" i="1"/>
  <c r="K45" i="1"/>
  <c r="W44" i="1"/>
  <c r="O44" i="1"/>
  <c r="K44" i="1"/>
  <c r="W43" i="1"/>
  <c r="Y43" i="1" s="1"/>
  <c r="W42" i="1"/>
  <c r="W41" i="1"/>
  <c r="W40" i="1"/>
  <c r="W39" i="1"/>
  <c r="W38" i="1"/>
  <c r="W37" i="1"/>
  <c r="W34" i="1"/>
  <c r="O33" i="1"/>
  <c r="W32" i="1"/>
  <c r="K32" i="1"/>
  <c r="W29" i="1"/>
  <c r="W28" i="1"/>
  <c r="W27" i="1"/>
  <c r="W26" i="1"/>
  <c r="W25" i="1"/>
  <c r="W23" i="1"/>
  <c r="W20" i="1"/>
  <c r="W18" i="1"/>
  <c r="W17" i="1"/>
  <c r="W16" i="1"/>
  <c r="W15" i="1"/>
  <c r="W13" i="1"/>
  <c r="W12" i="1"/>
  <c r="W11" i="1"/>
  <c r="AE43" i="26"/>
  <c r="O43" i="26"/>
  <c r="AA105" i="26"/>
  <c r="W105" i="26"/>
  <c r="U105" i="26"/>
  <c r="Q105" i="26"/>
  <c r="AA104" i="26"/>
  <c r="Y104" i="26"/>
  <c r="W104" i="26"/>
  <c r="AA101" i="26"/>
  <c r="W101" i="26"/>
  <c r="U101" i="26"/>
  <c r="Q101" i="26"/>
  <c r="U89" i="26"/>
  <c r="Q89" i="26"/>
  <c r="AA88" i="26"/>
  <c r="W88" i="26"/>
  <c r="Q88" i="26"/>
  <c r="AA86" i="26"/>
  <c r="Y86" i="26"/>
  <c r="W86" i="26"/>
  <c r="Q86" i="26"/>
  <c r="AA84" i="26"/>
  <c r="Y84" i="26"/>
  <c r="W84" i="26"/>
  <c r="U84" i="26"/>
  <c r="AA81" i="26"/>
  <c r="W81" i="26"/>
  <c r="U81" i="26"/>
  <c r="Q81" i="26"/>
  <c r="W78" i="26"/>
  <c r="U78" i="26"/>
  <c r="AC76" i="26"/>
  <c r="AA76" i="26"/>
  <c r="W76" i="26"/>
  <c r="U76" i="26"/>
  <c r="Q76" i="26"/>
  <c r="AA70" i="26"/>
  <c r="W70" i="26"/>
  <c r="Q70" i="26"/>
  <c r="AA69" i="26"/>
  <c r="W69" i="26"/>
  <c r="U69" i="26"/>
  <c r="Q69" i="26"/>
  <c r="AA67" i="26"/>
  <c r="W67" i="26"/>
  <c r="U67" i="26"/>
  <c r="Q67" i="26"/>
  <c r="W59" i="26"/>
  <c r="U59" i="26"/>
  <c r="Q59" i="26"/>
  <c r="AA56" i="26"/>
  <c r="W56" i="26"/>
  <c r="U56" i="26"/>
  <c r="W54" i="26"/>
  <c r="U54" i="26"/>
  <c r="AA51" i="26"/>
  <c r="W51" i="26"/>
  <c r="AA49" i="26"/>
  <c r="Y49" i="26"/>
  <c r="W49" i="26"/>
  <c r="U49" i="26"/>
  <c r="AA46" i="26"/>
  <c r="Y46" i="26"/>
  <c r="W46" i="26"/>
  <c r="U46" i="26"/>
  <c r="Q46" i="26"/>
  <c r="AA45" i="26"/>
  <c r="W45" i="26"/>
  <c r="U45" i="26"/>
  <c r="Q45" i="26"/>
  <c r="AA44" i="26"/>
  <c r="W44" i="26"/>
  <c r="U44" i="26"/>
  <c r="Q44" i="26"/>
  <c r="W42" i="26"/>
  <c r="U42" i="26"/>
  <c r="W34" i="26"/>
  <c r="U34" i="26"/>
  <c r="AA33" i="26"/>
  <c r="W33" i="26"/>
  <c r="Q33" i="26"/>
  <c r="AA32" i="26"/>
  <c r="W32" i="26"/>
  <c r="U32" i="26"/>
  <c r="Q29" i="26"/>
  <c r="AA20" i="26"/>
  <c r="W20" i="26"/>
  <c r="U20" i="26"/>
  <c r="Q20" i="26"/>
  <c r="G95" i="26"/>
  <c r="G86" i="26"/>
  <c r="G84" i="26"/>
  <c r="G82" i="26"/>
  <c r="G78" i="26"/>
  <c r="G70" i="26"/>
  <c r="G64" i="26"/>
  <c r="I58" i="26"/>
  <c r="G55" i="26"/>
  <c r="G47" i="26"/>
  <c r="G46" i="26"/>
  <c r="G45" i="26"/>
  <c r="G43" i="26"/>
  <c r="G42" i="26"/>
  <c r="G41" i="26"/>
  <c r="G38" i="26"/>
  <c r="G33" i="26"/>
  <c r="G30" i="26"/>
  <c r="G29" i="26"/>
  <c r="G28" i="26"/>
  <c r="G25" i="26"/>
  <c r="G15" i="26"/>
  <c r="G13" i="26"/>
  <c r="G12" i="26"/>
  <c r="AA105" i="14"/>
  <c r="Q105" i="14"/>
  <c r="AA104" i="14"/>
  <c r="Y104" i="14"/>
  <c r="AA101" i="14"/>
  <c r="U101" i="14"/>
  <c r="Q101" i="14"/>
  <c r="U89" i="14"/>
  <c r="Q89" i="14"/>
  <c r="AA88" i="14"/>
  <c r="Q88" i="14"/>
  <c r="AA86" i="14"/>
  <c r="Y86" i="14"/>
  <c r="Q86" i="14"/>
  <c r="AA84" i="14"/>
  <c r="U84" i="14"/>
  <c r="Q82" i="14"/>
  <c r="AA81" i="14"/>
  <c r="U81" i="14"/>
  <c r="Q81" i="14"/>
  <c r="W78" i="14"/>
  <c r="U78" i="14"/>
  <c r="AC76" i="14"/>
  <c r="AA76" i="14"/>
  <c r="Q76" i="14"/>
  <c r="AA70" i="14"/>
  <c r="Q70" i="14"/>
  <c r="AA69" i="14"/>
  <c r="Q69" i="14"/>
  <c r="AA67" i="14"/>
  <c r="U67" i="14"/>
  <c r="Q67" i="14"/>
  <c r="W59" i="14"/>
  <c r="Q59" i="14"/>
  <c r="AA56" i="14"/>
  <c r="AA51" i="14"/>
  <c r="AA49" i="14"/>
  <c r="Y49" i="14"/>
  <c r="U49" i="14"/>
  <c r="AA46" i="14"/>
  <c r="W46" i="14"/>
  <c r="Q46" i="14"/>
  <c r="AA45" i="14"/>
  <c r="W45" i="14"/>
  <c r="Q45" i="14"/>
  <c r="AA44" i="14"/>
  <c r="U44" i="14"/>
  <c r="Q44" i="14"/>
  <c r="U42" i="14"/>
  <c r="U34" i="14"/>
  <c r="AA33" i="14"/>
  <c r="Q33" i="14"/>
  <c r="AA32" i="14"/>
  <c r="U32" i="14"/>
  <c r="AA20" i="14"/>
  <c r="U20" i="14"/>
  <c r="Q20" i="14"/>
  <c r="G84" i="14"/>
  <c r="G82" i="14"/>
  <c r="G78" i="14"/>
  <c r="G64" i="14"/>
  <c r="G46" i="14"/>
  <c r="G38" i="14"/>
  <c r="G33" i="14"/>
  <c r="G15" i="14"/>
  <c r="G13" i="14"/>
  <c r="AY43" i="17"/>
  <c r="M43" i="15"/>
  <c r="AS95" i="17"/>
  <c r="AQ40" i="17"/>
  <c r="AQ37" i="17"/>
  <c r="AO37" i="17"/>
  <c r="AQ31" i="17"/>
  <c r="AO31" i="17"/>
  <c r="AW23" i="17"/>
  <c r="O95" i="17"/>
  <c r="O94" i="17"/>
  <c r="O63" i="17"/>
  <c r="O58" i="17"/>
  <c r="O40" i="17"/>
  <c r="O39" i="17"/>
  <c r="O15" i="17"/>
  <c r="O105" i="15"/>
  <c r="AA104" i="15"/>
  <c r="O104" i="15"/>
  <c r="O103" i="15"/>
  <c r="O101" i="15"/>
  <c r="O100" i="15"/>
  <c r="O98" i="15"/>
  <c r="O97" i="15"/>
  <c r="AA95" i="15"/>
  <c r="O95" i="15"/>
  <c r="O93" i="15"/>
  <c r="O90" i="15"/>
  <c r="U89" i="15"/>
  <c r="O89" i="15"/>
  <c r="O88" i="15"/>
  <c r="O87" i="15"/>
  <c r="O86" i="15"/>
  <c r="O85" i="15"/>
  <c r="O84" i="15"/>
  <c r="O82" i="15"/>
  <c r="O81" i="15"/>
  <c r="AA79" i="15"/>
  <c r="O79" i="15"/>
  <c r="O78" i="15"/>
  <c r="O77" i="15"/>
  <c r="AE76" i="15"/>
  <c r="O76" i="15"/>
  <c r="O74" i="15"/>
  <c r="O73" i="15"/>
  <c r="O72" i="15"/>
  <c r="O71" i="15"/>
  <c r="O70" i="15"/>
  <c r="O69" i="15"/>
  <c r="O67" i="15"/>
  <c r="O66" i="15"/>
  <c r="O64" i="15"/>
  <c r="O63" i="15"/>
  <c r="O62" i="15"/>
  <c r="O60" i="15"/>
  <c r="O59" i="15"/>
  <c r="AA58" i="15"/>
  <c r="O58" i="15"/>
  <c r="O57" i="15"/>
  <c r="O56" i="15"/>
  <c r="O55" i="15"/>
  <c r="O52" i="15"/>
  <c r="O51" i="15"/>
  <c r="O49" i="15"/>
  <c r="O48" i="15"/>
  <c r="O47" i="15"/>
  <c r="O46" i="15"/>
  <c r="O44" i="15"/>
  <c r="O43" i="15"/>
  <c r="AG43" i="15" s="1"/>
  <c r="O42" i="15"/>
  <c r="AA41" i="15"/>
  <c r="O41" i="15"/>
  <c r="O40" i="15"/>
  <c r="AA39" i="15"/>
  <c r="O39" i="15"/>
  <c r="O37" i="15"/>
  <c r="O35" i="15"/>
  <c r="O34" i="15"/>
  <c r="O33" i="15"/>
  <c r="O32" i="15"/>
  <c r="O31" i="15"/>
  <c r="O30" i="15"/>
  <c r="S29" i="15"/>
  <c r="O29" i="15"/>
  <c r="O28" i="15"/>
  <c r="O27" i="15"/>
  <c r="S26" i="15"/>
  <c r="O26" i="15"/>
  <c r="O25" i="15"/>
  <c r="O24" i="15"/>
  <c r="AA23" i="15"/>
  <c r="O23" i="15"/>
  <c r="O20" i="15"/>
  <c r="AA18" i="15"/>
  <c r="O18" i="15"/>
  <c r="AA17" i="15"/>
  <c r="O17" i="15"/>
  <c r="AA16" i="15"/>
  <c r="O16" i="15"/>
  <c r="O15" i="15"/>
  <c r="AA13" i="15"/>
  <c r="O13" i="15"/>
  <c r="O12" i="15"/>
  <c r="O11" i="15"/>
  <c r="I104" i="16"/>
  <c r="I103" i="16"/>
  <c r="I100" i="16"/>
  <c r="I98" i="16"/>
  <c r="I97" i="16"/>
  <c r="I95" i="16"/>
  <c r="I94" i="16"/>
  <c r="I93" i="16"/>
  <c r="I90" i="16"/>
  <c r="I87" i="16"/>
  <c r="I85" i="16"/>
  <c r="I84" i="16"/>
  <c r="I83" i="16"/>
  <c r="I82" i="16"/>
  <c r="I79" i="16"/>
  <c r="I78" i="16"/>
  <c r="I77" i="16"/>
  <c r="I74" i="16"/>
  <c r="I73" i="16"/>
  <c r="I72" i="16"/>
  <c r="I71" i="16"/>
  <c r="I66" i="16"/>
  <c r="I64" i="16"/>
  <c r="I63" i="16"/>
  <c r="I62" i="16"/>
  <c r="I60" i="16"/>
  <c r="I58" i="16"/>
  <c r="I57" i="16"/>
  <c r="I55" i="16"/>
  <c r="I54" i="16"/>
  <c r="I52" i="16"/>
  <c r="I51" i="16"/>
  <c r="I48" i="16"/>
  <c r="I47" i="16"/>
  <c r="I43" i="16"/>
  <c r="I42" i="16"/>
  <c r="I41" i="16"/>
  <c r="I40" i="16"/>
  <c r="I39" i="16"/>
  <c r="I38" i="16"/>
  <c r="I37" i="16"/>
  <c r="I35" i="16"/>
  <c r="I34" i="16"/>
  <c r="I31" i="16"/>
  <c r="G31" i="16" s="1"/>
  <c r="I30" i="16"/>
  <c r="G30" i="16" s="1"/>
  <c r="I27" i="16"/>
  <c r="I26" i="16"/>
  <c r="G26" i="16" s="1"/>
  <c r="I25" i="16"/>
  <c r="G25" i="16" s="1"/>
  <c r="I24" i="16"/>
  <c r="G24" i="16" s="1"/>
  <c r="I23" i="16"/>
  <c r="I21" i="16"/>
  <c r="G21" i="16" s="1"/>
  <c r="I18" i="16"/>
  <c r="G18" i="16" s="1"/>
  <c r="I17" i="16"/>
  <c r="G17" i="16" s="1"/>
  <c r="I16" i="16"/>
  <c r="I15" i="16"/>
  <c r="G15" i="16" s="1"/>
  <c r="I13" i="16"/>
  <c r="G13" i="16" s="1"/>
  <c r="I12" i="16"/>
  <c r="G12" i="16" s="1"/>
  <c r="I11" i="16"/>
  <c r="G11" i="16" s="1"/>
  <c r="G251" i="10"/>
  <c r="G101" i="10"/>
  <c r="G95" i="10"/>
  <c r="Q89" i="10"/>
  <c r="O88" i="10"/>
  <c r="G87" i="10"/>
  <c r="G86" i="10"/>
  <c r="Q70" i="10"/>
  <c r="G70" i="10"/>
  <c r="V43" i="10"/>
  <c r="S43" i="10"/>
  <c r="G69" i="10"/>
  <c r="G67" i="10"/>
  <c r="Q66" i="10"/>
  <c r="G66" i="10"/>
  <c r="O64" i="10"/>
  <c r="G64" i="10"/>
  <c r="G62" i="10"/>
  <c r="G60" i="10"/>
  <c r="G58" i="10"/>
  <c r="G44" i="10"/>
  <c r="G40" i="10"/>
  <c r="I39" i="10"/>
  <c r="G35" i="10"/>
  <c r="G34" i="10"/>
  <c r="G33" i="10"/>
  <c r="M32" i="10"/>
  <c r="G31" i="10"/>
  <c r="G27" i="10"/>
  <c r="G26" i="10"/>
  <c r="G16" i="10"/>
  <c r="G15" i="10"/>
  <c r="G12" i="10"/>
  <c r="M11" i="16"/>
  <c r="M12" i="16"/>
  <c r="M13" i="16"/>
  <c r="G14" i="16"/>
  <c r="M14" i="16"/>
  <c r="M15" i="16"/>
  <c r="G16" i="16"/>
  <c r="M16" i="16"/>
  <c r="M17" i="16"/>
  <c r="M18" i="16"/>
  <c r="G19" i="16"/>
  <c r="M19" i="16"/>
  <c r="G20" i="16"/>
  <c r="M20" i="16"/>
  <c r="M21" i="16"/>
  <c r="G22" i="16"/>
  <c r="M22" i="16"/>
  <c r="G23" i="16"/>
  <c r="M23" i="16"/>
  <c r="M24" i="16"/>
  <c r="M25" i="16"/>
  <c r="M26" i="16"/>
  <c r="G27" i="16"/>
  <c r="M27" i="16"/>
  <c r="G28" i="16"/>
  <c r="M28" i="16"/>
  <c r="G29" i="16"/>
  <c r="M29" i="16"/>
  <c r="M30" i="16"/>
  <c r="M31" i="16"/>
  <c r="G32" i="16"/>
  <c r="M32" i="16"/>
  <c r="AI43" i="15" l="1"/>
  <c r="BA43" i="17" s="1"/>
  <c r="BE43" i="17" s="1"/>
  <c r="BG43" i="17" s="1"/>
  <c r="AM43" i="1"/>
  <c r="BN43" i="2" s="1"/>
  <c r="BV43" i="2" s="1"/>
  <c r="BX43" i="2" s="1"/>
  <c r="K43" i="26"/>
  <c r="AG43" i="26" s="1"/>
  <c r="AO23" i="22"/>
  <c r="AO29" i="22"/>
  <c r="BN43" i="25"/>
  <c r="BV43" i="25" s="1"/>
  <c r="BX43" i="25" s="1"/>
  <c r="AE203" i="22"/>
  <c r="AE193" i="22"/>
  <c r="AE171" i="22"/>
  <c r="AE145" i="22"/>
  <c r="AO145" i="22" s="1"/>
  <c r="AX248" i="25"/>
  <c r="O248" i="22"/>
  <c r="K248" i="22"/>
  <c r="AA248" i="26"/>
  <c r="W248" i="26"/>
  <c r="U248" i="26"/>
  <c r="Q248" i="26"/>
  <c r="G248" i="26"/>
  <c r="O248" i="1"/>
  <c r="AA248" i="14"/>
  <c r="Q248" i="14"/>
  <c r="G248" i="14"/>
  <c r="O248" i="15"/>
  <c r="Q248" i="16"/>
  <c r="G248" i="10"/>
  <c r="O247" i="22"/>
  <c r="O247" i="1"/>
  <c r="M247" i="1"/>
  <c r="O247" i="15"/>
  <c r="I247" i="16"/>
  <c r="Q247" i="16"/>
  <c r="K246" i="22"/>
  <c r="O246" i="22"/>
  <c r="AA246" i="26"/>
  <c r="W246" i="26"/>
  <c r="Q246" i="26"/>
  <c r="G246" i="26"/>
  <c r="O246" i="1"/>
  <c r="AA246" i="14"/>
  <c r="Q246" i="14"/>
  <c r="O246" i="15"/>
  <c r="Q246" i="16"/>
  <c r="G246" i="10"/>
  <c r="K245" i="22"/>
  <c r="O245" i="22"/>
  <c r="Q245" i="26"/>
  <c r="I245" i="26"/>
  <c r="G245" i="26"/>
  <c r="O245" i="1"/>
  <c r="K245" i="1"/>
  <c r="G245" i="14"/>
  <c r="O245" i="15"/>
  <c r="I245" i="16"/>
  <c r="Q245" i="16"/>
  <c r="K245" i="10"/>
  <c r="O244" i="22"/>
  <c r="O244" i="1"/>
  <c r="O244" i="15"/>
  <c r="I244" i="16"/>
  <c r="Q244" i="16"/>
  <c r="O243" i="22"/>
  <c r="K243" i="22"/>
  <c r="AA243" i="26"/>
  <c r="Y243" i="26"/>
  <c r="W243" i="26"/>
  <c r="U243" i="26"/>
  <c r="Q243" i="26"/>
  <c r="O243" i="1"/>
  <c r="AA243" i="14"/>
  <c r="U243" i="14"/>
  <c r="Q243" i="14"/>
  <c r="O243" i="15"/>
  <c r="I243" i="16"/>
  <c r="Q243" i="16"/>
  <c r="O242" i="22"/>
  <c r="AA242" i="15"/>
  <c r="O242" i="15"/>
  <c r="I242" i="16"/>
  <c r="Q242" i="16"/>
  <c r="K241" i="22"/>
  <c r="O241" i="22"/>
  <c r="AA241" i="26"/>
  <c r="W241" i="26"/>
  <c r="U241" i="26"/>
  <c r="Q241" i="26"/>
  <c r="O241" i="1"/>
  <c r="K241" i="1"/>
  <c r="AA241" i="14"/>
  <c r="U241" i="14"/>
  <c r="Q241" i="14"/>
  <c r="O241" i="15"/>
  <c r="I241" i="16"/>
  <c r="Q241" i="16"/>
  <c r="K241" i="10"/>
  <c r="AX240" i="25"/>
  <c r="AK240" i="25"/>
  <c r="AE240" i="22"/>
  <c r="O240" i="22"/>
  <c r="O240" i="1"/>
  <c r="O240" i="15"/>
  <c r="I240" i="16"/>
  <c r="Q240" i="16"/>
  <c r="G240" i="10"/>
  <c r="AO239" i="22"/>
  <c r="W239" i="22"/>
  <c r="O239" i="22"/>
  <c r="K239" i="22"/>
  <c r="G239" i="26"/>
  <c r="O239" i="1"/>
  <c r="K239" i="1"/>
  <c r="W239" i="1"/>
  <c r="G239" i="1"/>
  <c r="G239" i="14"/>
  <c r="O239" i="15"/>
  <c r="I239" i="16"/>
  <c r="Q239" i="16"/>
  <c r="K239" i="10"/>
  <c r="O238" i="22"/>
  <c r="I238" i="26"/>
  <c r="O238" i="15"/>
  <c r="I238" i="16"/>
  <c r="Q238" i="16"/>
  <c r="O237" i="22"/>
  <c r="G237" i="26"/>
  <c r="O237" i="1"/>
  <c r="AA237" i="15"/>
  <c r="O237" i="15"/>
  <c r="I237" i="16"/>
  <c r="Q237" i="16"/>
  <c r="AG242" i="15" l="1"/>
  <c r="K235" i="22"/>
  <c r="O235" i="22"/>
  <c r="Q235" i="26"/>
  <c r="G235" i="26"/>
  <c r="O235" i="1"/>
  <c r="Q235" i="14"/>
  <c r="G235" i="14"/>
  <c r="O235" i="15"/>
  <c r="Q235" i="16"/>
  <c r="O233" i="25"/>
  <c r="O233" i="22"/>
  <c r="O233" i="2"/>
  <c r="O233" i="1"/>
  <c r="O233" i="17"/>
  <c r="Q233" i="15"/>
  <c r="O233" i="15"/>
  <c r="I233" i="16"/>
  <c r="Q233" i="16"/>
  <c r="G233" i="10"/>
  <c r="O232" i="22"/>
  <c r="O232" i="1"/>
  <c r="O232" i="15"/>
  <c r="Q232" i="16"/>
  <c r="AE231" i="22" l="1"/>
  <c r="O231" i="22"/>
  <c r="W231" i="26"/>
  <c r="AA231" i="26"/>
  <c r="AA231" i="14"/>
  <c r="O231" i="15"/>
  <c r="I231" i="16"/>
  <c r="Q231" i="16"/>
  <c r="O229" i="22" l="1"/>
  <c r="AA229" i="26"/>
  <c r="W229" i="26"/>
  <c r="O229" i="1"/>
  <c r="AA229" i="14"/>
  <c r="W229" i="15"/>
  <c r="O229" i="15"/>
  <c r="I229" i="16"/>
  <c r="Q229" i="16"/>
  <c r="O228" i="22"/>
  <c r="G228" i="26"/>
  <c r="O228" i="1"/>
  <c r="O228" i="15"/>
  <c r="I228" i="16"/>
  <c r="Q228" i="16"/>
  <c r="O227" i="22"/>
  <c r="O227" i="1"/>
  <c r="AO227" i="17"/>
  <c r="I227" i="16"/>
  <c r="Q227" i="16"/>
  <c r="O226" i="22"/>
  <c r="O226" i="1"/>
  <c r="O226" i="15"/>
  <c r="Q226" i="16"/>
  <c r="G226" i="10"/>
  <c r="O225" i="22"/>
  <c r="G225" i="26"/>
  <c r="O225" i="1"/>
  <c r="S225" i="15"/>
  <c r="O225" i="15"/>
  <c r="Q225" i="16"/>
  <c r="O223" i="22"/>
  <c r="O223" i="1"/>
  <c r="O223" i="15"/>
  <c r="Q223" i="16"/>
  <c r="Q223" i="10"/>
  <c r="W222" i="22" l="1"/>
  <c r="W222" i="1"/>
  <c r="I222" i="16"/>
  <c r="Q222" i="16"/>
  <c r="W221" i="22"/>
  <c r="AA221" i="26"/>
  <c r="W221" i="26"/>
  <c r="U221" i="26"/>
  <c r="G221" i="26"/>
  <c r="AA221" i="14"/>
  <c r="O221" i="15"/>
  <c r="I221" i="16"/>
  <c r="Q221" i="16"/>
  <c r="K220" i="22"/>
  <c r="Y220" i="26"/>
  <c r="W220" i="26"/>
  <c r="Q220" i="26"/>
  <c r="O220" i="15"/>
  <c r="Q220" i="16"/>
  <c r="W219" i="22"/>
  <c r="W219" i="1"/>
  <c r="O219" i="15"/>
  <c r="I219" i="16"/>
  <c r="Q219" i="16"/>
  <c r="W217" i="22"/>
  <c r="W217" i="1"/>
  <c r="G217" i="26"/>
  <c r="O217" i="15"/>
  <c r="I217" i="16"/>
  <c r="Q217" i="16"/>
  <c r="G217" i="10"/>
  <c r="K217" i="10"/>
  <c r="W215" i="22"/>
  <c r="O215" i="22"/>
  <c r="K215" i="22"/>
  <c r="O215" i="1"/>
  <c r="K215" i="1"/>
  <c r="AA215" i="26"/>
  <c r="W215" i="26"/>
  <c r="U215" i="26"/>
  <c r="Q215" i="26"/>
  <c r="AA215" i="14"/>
  <c r="Q215" i="14"/>
  <c r="O215" i="15"/>
  <c r="Q215" i="16"/>
  <c r="W214" i="22"/>
  <c r="O214" i="22"/>
  <c r="K214" i="22"/>
  <c r="AA214" i="26"/>
  <c r="W214" i="26"/>
  <c r="U214" i="26"/>
  <c r="Q214" i="26"/>
  <c r="O214" i="1"/>
  <c r="W214" i="1"/>
  <c r="AA214" i="14"/>
  <c r="Q214" i="14"/>
  <c r="O214" i="15"/>
  <c r="Q214" i="16"/>
  <c r="M214" i="10"/>
  <c r="BO12" i="17"/>
  <c r="BP12" i="17"/>
  <c r="BO13" i="17"/>
  <c r="BP13" i="17"/>
  <c r="BO14" i="17"/>
  <c r="BP14" i="17"/>
  <c r="BO15" i="17"/>
  <c r="BP15" i="17"/>
  <c r="BO16" i="17"/>
  <c r="BP16" i="17"/>
  <c r="BO17" i="17"/>
  <c r="BP17" i="17"/>
  <c r="BO18" i="17"/>
  <c r="BP18" i="17"/>
  <c r="BO19" i="17"/>
  <c r="BP19" i="17"/>
  <c r="BO20" i="17"/>
  <c r="BP20" i="17"/>
  <c r="BO21" i="17"/>
  <c r="BP21" i="17"/>
  <c r="BO22" i="17"/>
  <c r="BP22" i="17"/>
  <c r="BO23" i="17"/>
  <c r="BP23" i="17"/>
  <c r="BO24" i="17"/>
  <c r="BP24" i="17"/>
  <c r="BO25" i="17"/>
  <c r="BP25" i="17"/>
  <c r="BO26" i="17"/>
  <c r="BP26" i="17"/>
  <c r="BO27" i="17"/>
  <c r="BP27" i="17"/>
  <c r="BO28" i="17"/>
  <c r="BP28" i="17"/>
  <c r="BO29" i="17"/>
  <c r="BP29" i="17"/>
  <c r="BO30" i="17"/>
  <c r="BP30" i="17"/>
  <c r="BO31" i="17"/>
  <c r="BP31" i="17"/>
  <c r="BO32" i="17"/>
  <c r="BP32" i="17"/>
  <c r="BO33" i="17"/>
  <c r="BP33" i="17"/>
  <c r="BO34" i="17"/>
  <c r="BP34" i="17"/>
  <c r="BO35" i="17"/>
  <c r="BP35" i="17"/>
  <c r="BO36" i="17"/>
  <c r="BP36" i="17"/>
  <c r="BO37" i="17"/>
  <c r="BP37" i="17"/>
  <c r="BO38" i="17"/>
  <c r="BP38" i="17"/>
  <c r="BO39" i="17"/>
  <c r="BP39" i="17"/>
  <c r="BO40" i="17"/>
  <c r="BP40" i="17"/>
  <c r="BO41" i="17"/>
  <c r="BP41" i="17"/>
  <c r="BO42" i="17"/>
  <c r="BP42" i="17"/>
  <c r="BO43" i="17"/>
  <c r="BP43" i="17"/>
  <c r="BO44" i="17"/>
  <c r="BP44" i="17"/>
  <c r="BO45" i="17"/>
  <c r="BP45" i="17"/>
  <c r="BO46" i="17"/>
  <c r="BP46" i="17"/>
  <c r="BO47" i="17"/>
  <c r="BP47" i="17"/>
  <c r="BO48" i="17"/>
  <c r="BP48" i="17"/>
  <c r="BO49" i="17"/>
  <c r="BP49" i="17"/>
  <c r="BO50" i="17"/>
  <c r="BP50" i="17"/>
  <c r="BO51" i="17"/>
  <c r="BP51" i="17"/>
  <c r="BO52" i="17"/>
  <c r="BP52" i="17"/>
  <c r="BO53" i="17"/>
  <c r="BP53" i="17"/>
  <c r="BO54" i="17"/>
  <c r="BP54" i="17"/>
  <c r="BO55" i="17"/>
  <c r="BP55" i="17"/>
  <c r="BO56" i="17"/>
  <c r="BP56" i="17"/>
  <c r="BO57" i="17"/>
  <c r="BP57" i="17"/>
  <c r="BO58" i="17"/>
  <c r="BP58" i="17"/>
  <c r="BO59" i="17"/>
  <c r="BP59" i="17"/>
  <c r="BO60" i="17"/>
  <c r="BP60" i="17"/>
  <c r="BO61" i="17"/>
  <c r="BP61" i="17"/>
  <c r="BO62" i="17"/>
  <c r="BP62" i="17"/>
  <c r="BO63" i="17"/>
  <c r="BP63" i="17"/>
  <c r="BO64" i="17"/>
  <c r="BP64" i="17"/>
  <c r="BO65" i="17"/>
  <c r="BP65" i="17"/>
  <c r="BO66" i="17"/>
  <c r="BP66" i="17"/>
  <c r="BO67" i="17"/>
  <c r="BP67" i="17"/>
  <c r="BO68" i="17"/>
  <c r="BP68" i="17"/>
  <c r="BO69" i="17"/>
  <c r="BP69" i="17"/>
  <c r="BO70" i="17"/>
  <c r="BP70" i="17"/>
  <c r="BO71" i="17"/>
  <c r="BP71" i="17"/>
  <c r="BO72" i="17"/>
  <c r="BP72" i="17"/>
  <c r="BO73" i="17"/>
  <c r="BP73" i="17"/>
  <c r="BO74" i="17"/>
  <c r="BP74" i="17"/>
  <c r="BO75" i="17"/>
  <c r="BP75" i="17"/>
  <c r="BO76" i="17"/>
  <c r="BP76" i="17"/>
  <c r="BO77" i="17"/>
  <c r="BP77" i="17"/>
  <c r="BO78" i="17"/>
  <c r="BP78" i="17"/>
  <c r="BO79" i="17"/>
  <c r="BP79" i="17"/>
  <c r="BO80" i="17"/>
  <c r="BP80" i="17"/>
  <c r="BO81" i="17"/>
  <c r="BP81" i="17"/>
  <c r="BO82" i="17"/>
  <c r="BP82" i="17"/>
  <c r="BO83" i="17"/>
  <c r="BP83" i="17"/>
  <c r="BO84" i="17"/>
  <c r="BP84" i="17"/>
  <c r="BO85" i="17"/>
  <c r="BP85" i="17"/>
  <c r="BO86" i="17"/>
  <c r="BP86" i="17"/>
  <c r="BO87" i="17"/>
  <c r="BP87" i="17"/>
  <c r="BO89" i="17"/>
  <c r="BP89" i="17"/>
  <c r="BO88" i="17"/>
  <c r="BP88" i="17"/>
  <c r="BO90" i="17"/>
  <c r="BP90" i="17"/>
  <c r="BO91" i="17"/>
  <c r="BP91" i="17"/>
  <c r="BO92" i="17"/>
  <c r="BP92" i="17"/>
  <c r="BO93" i="17"/>
  <c r="BP93" i="17"/>
  <c r="BO94" i="17"/>
  <c r="BP94" i="17"/>
  <c r="BO95" i="17"/>
  <c r="BP95" i="17"/>
  <c r="BO96" i="17"/>
  <c r="BP96" i="17"/>
  <c r="BO97" i="17"/>
  <c r="BP97" i="17"/>
  <c r="BO98" i="17"/>
  <c r="BP98" i="17"/>
  <c r="BO99" i="17"/>
  <c r="BP99" i="17"/>
  <c r="BO100" i="17"/>
  <c r="BP100" i="17"/>
  <c r="BO101" i="17"/>
  <c r="BP101" i="17"/>
  <c r="BO102" i="17"/>
  <c r="BP102" i="17"/>
  <c r="BO103" i="17"/>
  <c r="BP103" i="17"/>
  <c r="BO104" i="17"/>
  <c r="BP104" i="17"/>
  <c r="BO105" i="17"/>
  <c r="BP105" i="17"/>
  <c r="BO106" i="17"/>
  <c r="BP106" i="17"/>
  <c r="BO107" i="17"/>
  <c r="BP107" i="17"/>
  <c r="BO108" i="17"/>
  <c r="BP108" i="17"/>
  <c r="BO109" i="17"/>
  <c r="BP109" i="17"/>
  <c r="BO110" i="17"/>
  <c r="BP110" i="17"/>
  <c r="BO111" i="17"/>
  <c r="BP111" i="17"/>
  <c r="BO112" i="17"/>
  <c r="BP112" i="17"/>
  <c r="BO113" i="17"/>
  <c r="BP113" i="17"/>
  <c r="BO114" i="17"/>
  <c r="BP114" i="17"/>
  <c r="BO115" i="17"/>
  <c r="BP115" i="17"/>
  <c r="BO116" i="17"/>
  <c r="BP116" i="17"/>
  <c r="BO117" i="17"/>
  <c r="BP117" i="17"/>
  <c r="BO118" i="17"/>
  <c r="BP118" i="17"/>
  <c r="BO119" i="17"/>
  <c r="BP119" i="17"/>
  <c r="BO120" i="17"/>
  <c r="BP120" i="17"/>
  <c r="BO121" i="17"/>
  <c r="BP121" i="17"/>
  <c r="BO122" i="17"/>
  <c r="BP122" i="17"/>
  <c r="BO123" i="17"/>
  <c r="BP123" i="17"/>
  <c r="BO124" i="17"/>
  <c r="BP124" i="17"/>
  <c r="BO125" i="17"/>
  <c r="BP125" i="17"/>
  <c r="BO126" i="17"/>
  <c r="BP126" i="17"/>
  <c r="BO127" i="17"/>
  <c r="BP127" i="17"/>
  <c r="BO128" i="17"/>
  <c r="BP128" i="17"/>
  <c r="BO129" i="17"/>
  <c r="BP129" i="17"/>
  <c r="BO130" i="17"/>
  <c r="BP130" i="17"/>
  <c r="BO131" i="17"/>
  <c r="BP131" i="17"/>
  <c r="BO132" i="17"/>
  <c r="BP132" i="17"/>
  <c r="BO133" i="17"/>
  <c r="BP133" i="17"/>
  <c r="BO134" i="17"/>
  <c r="BP134" i="17"/>
  <c r="BO135" i="17"/>
  <c r="BP135" i="17"/>
  <c r="BO136" i="17"/>
  <c r="BP136" i="17"/>
  <c r="BO137" i="17"/>
  <c r="BP137" i="17"/>
  <c r="BO138" i="17"/>
  <c r="BP138" i="17"/>
  <c r="BO139" i="17"/>
  <c r="BP139" i="17"/>
  <c r="BO140" i="17"/>
  <c r="BP140" i="17"/>
  <c r="BO141" i="17"/>
  <c r="BP141" i="17"/>
  <c r="BO142" i="17"/>
  <c r="BP142" i="17"/>
  <c r="BO143" i="17"/>
  <c r="BP143" i="17"/>
  <c r="BO144" i="17"/>
  <c r="BP144" i="17"/>
  <c r="BO145" i="17"/>
  <c r="BP145" i="17"/>
  <c r="BO146" i="17"/>
  <c r="BP146" i="17"/>
  <c r="BO147" i="17"/>
  <c r="BP147" i="17"/>
  <c r="BO148" i="17"/>
  <c r="BP148" i="17"/>
  <c r="BO149" i="17"/>
  <c r="BP149" i="17"/>
  <c r="BO150" i="17"/>
  <c r="BP150" i="17"/>
  <c r="BO151" i="17"/>
  <c r="BP151" i="17"/>
  <c r="BO152" i="17"/>
  <c r="BP152" i="17"/>
  <c r="BO153" i="17"/>
  <c r="BP153" i="17"/>
  <c r="BO154" i="17"/>
  <c r="BP154" i="17"/>
  <c r="BO155" i="17"/>
  <c r="BP155" i="17"/>
  <c r="BO156" i="17"/>
  <c r="BP156" i="17"/>
  <c r="BO157" i="17"/>
  <c r="BP157" i="17"/>
  <c r="BO158" i="17"/>
  <c r="BP158" i="17"/>
  <c r="BO159" i="17"/>
  <c r="BP159" i="17"/>
  <c r="BO160" i="17"/>
  <c r="BP160" i="17"/>
  <c r="BO161" i="17"/>
  <c r="BP161" i="17"/>
  <c r="BO162" i="17"/>
  <c r="BP162" i="17"/>
  <c r="BO163" i="17"/>
  <c r="BP163" i="17"/>
  <c r="BO164" i="17"/>
  <c r="BP164" i="17"/>
  <c r="BO165" i="17"/>
  <c r="BP165" i="17"/>
  <c r="BO166" i="17"/>
  <c r="BP166" i="17"/>
  <c r="BO167" i="17"/>
  <c r="BP167" i="17"/>
  <c r="BO168" i="17"/>
  <c r="BP168" i="17"/>
  <c r="BO169" i="17"/>
  <c r="BP169" i="17"/>
  <c r="BO170" i="17"/>
  <c r="BP170" i="17"/>
  <c r="BO171" i="17"/>
  <c r="BP171" i="17"/>
  <c r="BO172" i="17"/>
  <c r="BP172" i="17"/>
  <c r="BO173" i="17"/>
  <c r="BP173" i="17"/>
  <c r="BO174" i="17"/>
  <c r="BP174" i="17"/>
  <c r="BO175" i="17"/>
  <c r="BP175" i="17"/>
  <c r="BO176" i="17"/>
  <c r="BP176" i="17"/>
  <c r="BO177" i="17"/>
  <c r="BP177" i="17"/>
  <c r="BO178" i="17"/>
  <c r="BP178" i="17"/>
  <c r="BO179" i="17"/>
  <c r="BP179" i="17"/>
  <c r="BO180" i="17"/>
  <c r="BP180" i="17"/>
  <c r="BO181" i="17"/>
  <c r="BP181" i="17"/>
  <c r="BO182" i="17"/>
  <c r="BP182" i="17"/>
  <c r="BO183" i="17"/>
  <c r="BP183" i="17"/>
  <c r="BO184" i="17"/>
  <c r="BP184" i="17"/>
  <c r="BO185" i="17"/>
  <c r="BP185" i="17"/>
  <c r="BO186" i="17"/>
  <c r="BP186" i="17"/>
  <c r="BO187" i="17"/>
  <c r="BP187" i="17"/>
  <c r="BO188" i="17"/>
  <c r="BP188" i="17"/>
  <c r="BO189" i="17"/>
  <c r="BP189" i="17"/>
  <c r="BO190" i="17"/>
  <c r="BP190" i="17"/>
  <c r="BO191" i="17"/>
  <c r="BP191" i="17"/>
  <c r="BO192" i="17"/>
  <c r="BP192" i="17"/>
  <c r="BO193" i="17"/>
  <c r="BP193" i="17"/>
  <c r="BO194" i="17"/>
  <c r="BP194" i="17"/>
  <c r="BO195" i="17"/>
  <c r="BP195" i="17"/>
  <c r="BO196" i="17"/>
  <c r="BP196" i="17"/>
  <c r="BO197" i="17"/>
  <c r="BP197" i="17"/>
  <c r="BO198" i="17"/>
  <c r="BP198" i="17"/>
  <c r="BO199" i="17"/>
  <c r="BP199" i="17"/>
  <c r="BO200" i="17"/>
  <c r="BP200" i="17"/>
  <c r="BO201" i="17"/>
  <c r="BP201" i="17"/>
  <c r="BO202" i="17"/>
  <c r="BP202" i="17"/>
  <c r="BO203" i="17"/>
  <c r="BP203" i="17"/>
  <c r="BO204" i="17"/>
  <c r="BP204" i="17"/>
  <c r="BO205" i="17"/>
  <c r="BP205" i="17"/>
  <c r="BO206" i="17"/>
  <c r="BP206" i="17"/>
  <c r="BO207" i="17"/>
  <c r="BP207" i="17"/>
  <c r="BO208" i="17"/>
  <c r="BP208" i="17"/>
  <c r="BO209" i="17"/>
  <c r="BP209" i="17"/>
  <c r="BO210" i="17"/>
  <c r="BP210" i="17"/>
  <c r="BO211" i="17"/>
  <c r="BP211" i="17"/>
  <c r="BO212" i="17"/>
  <c r="BP212" i="17"/>
  <c r="BO213" i="17"/>
  <c r="BP213" i="17"/>
  <c r="BO214" i="17"/>
  <c r="BP214" i="17"/>
  <c r="BO215" i="17"/>
  <c r="BP215" i="17"/>
  <c r="BO216" i="17"/>
  <c r="BP216" i="17"/>
  <c r="BO217" i="17"/>
  <c r="BP217" i="17"/>
  <c r="BO218" i="17"/>
  <c r="BP218" i="17"/>
  <c r="BO219" i="17"/>
  <c r="BP219" i="17"/>
  <c r="BO220" i="17"/>
  <c r="BP220" i="17"/>
  <c r="BO221" i="17"/>
  <c r="BP221" i="17"/>
  <c r="BO222" i="17"/>
  <c r="BP222" i="17"/>
  <c r="BO223" i="17"/>
  <c r="BP223" i="17"/>
  <c r="BO224" i="17"/>
  <c r="BP224" i="17"/>
  <c r="BO225" i="17"/>
  <c r="BP225" i="17"/>
  <c r="BO226" i="17"/>
  <c r="BP226" i="17"/>
  <c r="BO227" i="17"/>
  <c r="BP227" i="17"/>
  <c r="BO228" i="17"/>
  <c r="BP228" i="17"/>
  <c r="BO229" i="17"/>
  <c r="BP229" i="17"/>
  <c r="BO230" i="17"/>
  <c r="BP230" i="17"/>
  <c r="BO231" i="17"/>
  <c r="BP231" i="17"/>
  <c r="BO232" i="17"/>
  <c r="BP232" i="17"/>
  <c r="BO233" i="17"/>
  <c r="BP233" i="17"/>
  <c r="BO234" i="17"/>
  <c r="BP234" i="17"/>
  <c r="BO235" i="17"/>
  <c r="BP235" i="17"/>
  <c r="BO236" i="17"/>
  <c r="BP236" i="17"/>
  <c r="BO237" i="17"/>
  <c r="BP237" i="17"/>
  <c r="BO238" i="17"/>
  <c r="BP238" i="17"/>
  <c r="BO239" i="17"/>
  <c r="BP239" i="17"/>
  <c r="BO240" i="17"/>
  <c r="BP240" i="17"/>
  <c r="BO241" i="17"/>
  <c r="BP241" i="17"/>
  <c r="BO242" i="17"/>
  <c r="BP242" i="17"/>
  <c r="BO243" i="17"/>
  <c r="BP243" i="17"/>
  <c r="BO244" i="17"/>
  <c r="BP244" i="17"/>
  <c r="BO245" i="17"/>
  <c r="BP245" i="17"/>
  <c r="BO246" i="17"/>
  <c r="BP246" i="17"/>
  <c r="BO247" i="17"/>
  <c r="BP247" i="17"/>
  <c r="BO248" i="17"/>
  <c r="BP248" i="17"/>
  <c r="BO249" i="17"/>
  <c r="BP249" i="17"/>
  <c r="BO250" i="17"/>
  <c r="BP250" i="17"/>
  <c r="BO251" i="17"/>
  <c r="BP251" i="17"/>
  <c r="BO252" i="17"/>
  <c r="BP252" i="17"/>
  <c r="BO253" i="17"/>
  <c r="BP253" i="17"/>
  <c r="BO254" i="17"/>
  <c r="BP254" i="17"/>
  <c r="BO255" i="17"/>
  <c r="BP255" i="17"/>
  <c r="BO256" i="17"/>
  <c r="BP256" i="17"/>
  <c r="BO257" i="17"/>
  <c r="BP257" i="17"/>
  <c r="BO258" i="17"/>
  <c r="BP258" i="17"/>
  <c r="BO259" i="17"/>
  <c r="BP259" i="17"/>
  <c r="BO260" i="17"/>
  <c r="BP260" i="17"/>
  <c r="BO261" i="17"/>
  <c r="BP261" i="17"/>
  <c r="BO262" i="17"/>
  <c r="BP262" i="17"/>
  <c r="BO263" i="17"/>
  <c r="BP263" i="17"/>
  <c r="BO264" i="17"/>
  <c r="BP264" i="17"/>
  <c r="BO265" i="17"/>
  <c r="BP265" i="17"/>
  <c r="BO266" i="17"/>
  <c r="BP266" i="17"/>
  <c r="BO267" i="17"/>
  <c r="BP267" i="17"/>
  <c r="BO268" i="17"/>
  <c r="BP268" i="17"/>
  <c r="BO269" i="17"/>
  <c r="BP269" i="17"/>
  <c r="BO270" i="17"/>
  <c r="BP270" i="17"/>
  <c r="BO271" i="17"/>
  <c r="BP271" i="17"/>
  <c r="BO272" i="17"/>
  <c r="BP272" i="17"/>
  <c r="BO273" i="17"/>
  <c r="BP273" i="17"/>
  <c r="BO274" i="17"/>
  <c r="BP274" i="17"/>
  <c r="BO275" i="17"/>
  <c r="BP275" i="17"/>
  <c r="BO276" i="17"/>
  <c r="BP276" i="17"/>
  <c r="BO277" i="17"/>
  <c r="BP277" i="17"/>
  <c r="BO278" i="17"/>
  <c r="BP278" i="17"/>
  <c r="BO279" i="17"/>
  <c r="BP279" i="17"/>
  <c r="BO280" i="17"/>
  <c r="BP280" i="17"/>
  <c r="BO281" i="17"/>
  <c r="BP281" i="17"/>
  <c r="BO282" i="17"/>
  <c r="BP282" i="17"/>
  <c r="BO283" i="17"/>
  <c r="BP283" i="17"/>
  <c r="BO284" i="17"/>
  <c r="BP284" i="17"/>
  <c r="BO285" i="17"/>
  <c r="BP285" i="17"/>
  <c r="BO286" i="17"/>
  <c r="BP286" i="17"/>
  <c r="BO287" i="17"/>
  <c r="BP287" i="17"/>
  <c r="BO288" i="17"/>
  <c r="BP288" i="17"/>
  <c r="BO290" i="17"/>
  <c r="BP290" i="17"/>
  <c r="BO291" i="17"/>
  <c r="BP291" i="17"/>
  <c r="BO292" i="17"/>
  <c r="BP292" i="17"/>
  <c r="BO289" i="17"/>
  <c r="BP289" i="17"/>
  <c r="BO293" i="17"/>
  <c r="BP293" i="17"/>
  <c r="BO294" i="17"/>
  <c r="BP294" i="17"/>
  <c r="BO295" i="17"/>
  <c r="BP295" i="17"/>
  <c r="BO296" i="17"/>
  <c r="BP296" i="17"/>
  <c r="BO297" i="17"/>
  <c r="BP297" i="17"/>
  <c r="BO298" i="17"/>
  <c r="BP298" i="17"/>
  <c r="BO299" i="17"/>
  <c r="BP299" i="17"/>
  <c r="BO300" i="17"/>
  <c r="BP300" i="17"/>
  <c r="BO301" i="17"/>
  <c r="BP301" i="17"/>
  <c r="BO302" i="17"/>
  <c r="BP302" i="17"/>
  <c r="BO303" i="17"/>
  <c r="BP303" i="17"/>
  <c r="BO304" i="17"/>
  <c r="BP304" i="17"/>
  <c r="BO305" i="17"/>
  <c r="BP305" i="17"/>
  <c r="BO306" i="17"/>
  <c r="BP306" i="17"/>
  <c r="BO307" i="17"/>
  <c r="BP307" i="17"/>
  <c r="BO308" i="17"/>
  <c r="BP308" i="17"/>
  <c r="BO309" i="17"/>
  <c r="BP309" i="17"/>
  <c r="BO310" i="17"/>
  <c r="BP310" i="17"/>
  <c r="BO311" i="17"/>
  <c r="BP311" i="17"/>
  <c r="BO312" i="17"/>
  <c r="BP312" i="17"/>
  <c r="BO313" i="17"/>
  <c r="BP313" i="17"/>
  <c r="BO314" i="17"/>
  <c r="BP314" i="17"/>
  <c r="BO315" i="17"/>
  <c r="BP315" i="17"/>
  <c r="BO316" i="17"/>
  <c r="BP316" i="17"/>
  <c r="BO317" i="17"/>
  <c r="BP317" i="17"/>
  <c r="BO319" i="17"/>
  <c r="BP319" i="17"/>
  <c r="BO320" i="17"/>
  <c r="BP320" i="17"/>
  <c r="BO321" i="17"/>
  <c r="BP321" i="17"/>
  <c r="BO322" i="17"/>
  <c r="BP322" i="17"/>
  <c r="BO323" i="17"/>
  <c r="BP323" i="17"/>
  <c r="BO324" i="17"/>
  <c r="BP324" i="17"/>
  <c r="BO325" i="17"/>
  <c r="BP325" i="17"/>
  <c r="BO326" i="17"/>
  <c r="BP326" i="17"/>
  <c r="BO327" i="17"/>
  <c r="BP327" i="17"/>
  <c r="BO328" i="17"/>
  <c r="BP328" i="17"/>
  <c r="BO329" i="17"/>
  <c r="BP329" i="17"/>
  <c r="BO330" i="17"/>
  <c r="BP330" i="17"/>
  <c r="BO331" i="17"/>
  <c r="BP331" i="17"/>
  <c r="BO332" i="17"/>
  <c r="BP332" i="17"/>
  <c r="BO333" i="17"/>
  <c r="BP333" i="17"/>
  <c r="BO334" i="17"/>
  <c r="BP334" i="17"/>
  <c r="BO335" i="17"/>
  <c r="BP335" i="17"/>
  <c r="BO337" i="17"/>
  <c r="BP337" i="17"/>
  <c r="BO338" i="17"/>
  <c r="BP338" i="17"/>
  <c r="BO339" i="17"/>
  <c r="BP339" i="17"/>
  <c r="BO340" i="17"/>
  <c r="BP340" i="17"/>
  <c r="BO341" i="17"/>
  <c r="BP341" i="17"/>
  <c r="BO342" i="17"/>
  <c r="BP342" i="17"/>
  <c r="BO343" i="17"/>
  <c r="BP343" i="17"/>
  <c r="BO344" i="17"/>
  <c r="BP344" i="17"/>
  <c r="BO345" i="17"/>
  <c r="BP345" i="17"/>
  <c r="BO347" i="17"/>
  <c r="BP347" i="17"/>
  <c r="BO348" i="17"/>
  <c r="BP348" i="17"/>
  <c r="BO349" i="17"/>
  <c r="BP349" i="17"/>
  <c r="BO350" i="17"/>
  <c r="BP350" i="17"/>
  <c r="BO351" i="17"/>
  <c r="BP351" i="17"/>
  <c r="BO352" i="17"/>
  <c r="BP352" i="17"/>
  <c r="BO353" i="17"/>
  <c r="BP353" i="17"/>
  <c r="BO354" i="17"/>
  <c r="BP354" i="17"/>
  <c r="BO355" i="17"/>
  <c r="BP355" i="17"/>
  <c r="BO356" i="17"/>
  <c r="BP356" i="17"/>
  <c r="BO357" i="17"/>
  <c r="BP357" i="17"/>
  <c r="BO358" i="17"/>
  <c r="BP358" i="17"/>
  <c r="BO359" i="17"/>
  <c r="BP359" i="17"/>
  <c r="BO360" i="17"/>
  <c r="BP360" i="17"/>
  <c r="BO361" i="17"/>
  <c r="BP361" i="17"/>
  <c r="BO362" i="17"/>
  <c r="BP362" i="17"/>
  <c r="BO363" i="17"/>
  <c r="BP363" i="17"/>
  <c r="BO364" i="17"/>
  <c r="BP364" i="17"/>
  <c r="BO365" i="17"/>
  <c r="BP365" i="17"/>
  <c r="BO366" i="17"/>
  <c r="BP366" i="17"/>
  <c r="BO367" i="17"/>
  <c r="BP367" i="17"/>
  <c r="BO368" i="17"/>
  <c r="BP368" i="17"/>
  <c r="BO369" i="17"/>
  <c r="BP369" i="17"/>
  <c r="BO370" i="17"/>
  <c r="BP370" i="17"/>
  <c r="BO371" i="17"/>
  <c r="BP371" i="17"/>
  <c r="BO372" i="17"/>
  <c r="BP372" i="17"/>
  <c r="BO373" i="17"/>
  <c r="BP373" i="17"/>
  <c r="BO374" i="17"/>
  <c r="BP374" i="17"/>
  <c r="BO375" i="17"/>
  <c r="BP375" i="17"/>
  <c r="BO376" i="17"/>
  <c r="BP376" i="17"/>
  <c r="BO377" i="17"/>
  <c r="BP377" i="17"/>
  <c r="BO378" i="17"/>
  <c r="BP378" i="17"/>
  <c r="BO379" i="17"/>
  <c r="BP379" i="17"/>
  <c r="BO380" i="17"/>
  <c r="BP380" i="17"/>
  <c r="BO381" i="17"/>
  <c r="BP381" i="17"/>
  <c r="BO382" i="17"/>
  <c r="BP382" i="17"/>
  <c r="BO383" i="17"/>
  <c r="BP383" i="17"/>
  <c r="BO384" i="17"/>
  <c r="BP384" i="17"/>
  <c r="BO385" i="17"/>
  <c r="BP385" i="17"/>
  <c r="BO386" i="17"/>
  <c r="BP386" i="17"/>
  <c r="BO387" i="17"/>
  <c r="BP387" i="17"/>
  <c r="BO388" i="17"/>
  <c r="BP388" i="17"/>
  <c r="BO389" i="17"/>
  <c r="BP389" i="17"/>
  <c r="BO390" i="17"/>
  <c r="BP390" i="17"/>
  <c r="BO391" i="17"/>
  <c r="BP391" i="17"/>
  <c r="BO392" i="17"/>
  <c r="BP392" i="17"/>
  <c r="BO393" i="17"/>
  <c r="BP393" i="17"/>
  <c r="BO394" i="17"/>
  <c r="BP394" i="17"/>
  <c r="BO395" i="17"/>
  <c r="BP395" i="17"/>
  <c r="BO396" i="17"/>
  <c r="BP396" i="17"/>
  <c r="BO397" i="17"/>
  <c r="BP397" i="17"/>
  <c r="BO398" i="17"/>
  <c r="BP398" i="17"/>
  <c r="BO399" i="17"/>
  <c r="BP399" i="17"/>
  <c r="BO401" i="17"/>
  <c r="BP401" i="17"/>
  <c r="BO402" i="17"/>
  <c r="BP402" i="17"/>
  <c r="BO403" i="17"/>
  <c r="BP403" i="17"/>
  <c r="BO404" i="17"/>
  <c r="BP404" i="17"/>
  <c r="BO405" i="17"/>
  <c r="BP405" i="17"/>
  <c r="BO406" i="17"/>
  <c r="BP406" i="17"/>
  <c r="BO407" i="17"/>
  <c r="BP407" i="17"/>
  <c r="BO408" i="17"/>
  <c r="BP408" i="17"/>
  <c r="BO409" i="17"/>
  <c r="BP409" i="17"/>
  <c r="BO410" i="17"/>
  <c r="BP410" i="17"/>
  <c r="BO411" i="17"/>
  <c r="BP411" i="17"/>
  <c r="BO412" i="17"/>
  <c r="BP412" i="17"/>
  <c r="BO414" i="17"/>
  <c r="BP414" i="17"/>
  <c r="BO415" i="17"/>
  <c r="BP415" i="17"/>
  <c r="BO416" i="17"/>
  <c r="BP416" i="17"/>
  <c r="BO417" i="17"/>
  <c r="BP417" i="17"/>
  <c r="BO418" i="17"/>
  <c r="BP418" i="17"/>
  <c r="BO419" i="17"/>
  <c r="BP419" i="17"/>
  <c r="BO420" i="17"/>
  <c r="BP420" i="17"/>
  <c r="BO421" i="17"/>
  <c r="BP421" i="17"/>
  <c r="BO422" i="17"/>
  <c r="BP422" i="17"/>
  <c r="BO423" i="17"/>
  <c r="BP423" i="17"/>
  <c r="BO424" i="17"/>
  <c r="BP424" i="17"/>
  <c r="BO425" i="17"/>
  <c r="BP425" i="17"/>
  <c r="BO426" i="17"/>
  <c r="BP426" i="17"/>
  <c r="BO427" i="17"/>
  <c r="BP427" i="17"/>
  <c r="BO428" i="17"/>
  <c r="BP428" i="17"/>
  <c r="BO429" i="17"/>
  <c r="BP429" i="17"/>
  <c r="BO430" i="17"/>
  <c r="BP430" i="17"/>
  <c r="BO431" i="17"/>
  <c r="BP431" i="17"/>
  <c r="BO432" i="17"/>
  <c r="BP432" i="17"/>
  <c r="BO433" i="17"/>
  <c r="BP433" i="17"/>
  <c r="BO434" i="17"/>
  <c r="BP434" i="17"/>
  <c r="BO435" i="17"/>
  <c r="BP435" i="17"/>
  <c r="BO436" i="17"/>
  <c r="BP436" i="17"/>
  <c r="BO437" i="17"/>
  <c r="BP437" i="17"/>
  <c r="BO438" i="17"/>
  <c r="BP438" i="17"/>
  <c r="BO439" i="17"/>
  <c r="BP439" i="17"/>
  <c r="BO440" i="17"/>
  <c r="BP440" i="17"/>
  <c r="BO441" i="17"/>
  <c r="BP441" i="17"/>
  <c r="BO442" i="17"/>
  <c r="BP442" i="17"/>
  <c r="BO443" i="17"/>
  <c r="BP443" i="17"/>
  <c r="BO444" i="17"/>
  <c r="BP444" i="17"/>
  <c r="BO445" i="17"/>
  <c r="BP445" i="17"/>
  <c r="BO446" i="17"/>
  <c r="BP446" i="17"/>
  <c r="BO447" i="17"/>
  <c r="BP447" i="17"/>
  <c r="BO448" i="17"/>
  <c r="BP448" i="17"/>
  <c r="BO449" i="17"/>
  <c r="BP449" i="17"/>
  <c r="BO450" i="17"/>
  <c r="BP450" i="17"/>
  <c r="BO451" i="17"/>
  <c r="BP451" i="17"/>
  <c r="BO452" i="17"/>
  <c r="BP452" i="17"/>
  <c r="BO453" i="17"/>
  <c r="BP453" i="17"/>
  <c r="BO454" i="17"/>
  <c r="BP454" i="17"/>
  <c r="BO455" i="17"/>
  <c r="BP455" i="17"/>
  <c r="BO457" i="17"/>
  <c r="BP457" i="17"/>
  <c r="BO458" i="17"/>
  <c r="BP458" i="17"/>
  <c r="BO459" i="17"/>
  <c r="BP459" i="17"/>
  <c r="BO460" i="17"/>
  <c r="BP460" i="17"/>
  <c r="BO461" i="17"/>
  <c r="BP461" i="17"/>
  <c r="BO462" i="17"/>
  <c r="BP462" i="17"/>
  <c r="BO463" i="17"/>
  <c r="BP463" i="17"/>
  <c r="BO464" i="17"/>
  <c r="BP464" i="17"/>
  <c r="BO465" i="17"/>
  <c r="BP465" i="17"/>
  <c r="BO466" i="17"/>
  <c r="BP466" i="17"/>
  <c r="BO467" i="17"/>
  <c r="BP467" i="17"/>
  <c r="BO468" i="17"/>
  <c r="BP468" i="17"/>
  <c r="BO469" i="17"/>
  <c r="BP469" i="17"/>
  <c r="BO470" i="17"/>
  <c r="BP470" i="17"/>
  <c r="BO471" i="17"/>
  <c r="BP471" i="17"/>
  <c r="BO472" i="17"/>
  <c r="BP472" i="17"/>
  <c r="BO473" i="17"/>
  <c r="BP473" i="17"/>
  <c r="BO474" i="17"/>
  <c r="BP474" i="17"/>
  <c r="BO475" i="17"/>
  <c r="BP475" i="17"/>
  <c r="BO476" i="17"/>
  <c r="BP476" i="17"/>
  <c r="BO477" i="17"/>
  <c r="BP477" i="17"/>
  <c r="BO478" i="17"/>
  <c r="BP478" i="17"/>
  <c r="BO479" i="17"/>
  <c r="BP479" i="17"/>
  <c r="BO480" i="17"/>
  <c r="BP480" i="17"/>
  <c r="BO481" i="17"/>
  <c r="BP481" i="17"/>
  <c r="BO482" i="17"/>
  <c r="BP482" i="17"/>
  <c r="BO483" i="17"/>
  <c r="BP483" i="17"/>
  <c r="BO484" i="17"/>
  <c r="BP484" i="17"/>
  <c r="BO485" i="17"/>
  <c r="BP485" i="17"/>
  <c r="BO486" i="17"/>
  <c r="BP486" i="17"/>
  <c r="BO487" i="17"/>
  <c r="BP487" i="17"/>
  <c r="BO488" i="17"/>
  <c r="BP488" i="17"/>
  <c r="BO489" i="17"/>
  <c r="BP489" i="17"/>
  <c r="BO490" i="17"/>
  <c r="BP490" i="17"/>
  <c r="BO491" i="17"/>
  <c r="BP491" i="17"/>
  <c r="BO492" i="17"/>
  <c r="BP492" i="17"/>
  <c r="BO493" i="17"/>
  <c r="BP493" i="17"/>
  <c r="BO494" i="17"/>
  <c r="BP494" i="17"/>
  <c r="BO495" i="17"/>
  <c r="BP495" i="17"/>
  <c r="BO496" i="17"/>
  <c r="BP496" i="17"/>
  <c r="BO497" i="17"/>
  <c r="BP497" i="17"/>
  <c r="BO498" i="17"/>
  <c r="BP498" i="17"/>
  <c r="BO499" i="17"/>
  <c r="BP499" i="17"/>
  <c r="BO500" i="17"/>
  <c r="BP500" i="17"/>
  <c r="BO501" i="17"/>
  <c r="BP501" i="17"/>
  <c r="BO502" i="17"/>
  <c r="BP502" i="17"/>
  <c r="BO503" i="17"/>
  <c r="BP503" i="17"/>
  <c r="BO504" i="17"/>
  <c r="BP504" i="17"/>
  <c r="BO505" i="17"/>
  <c r="BP505" i="17"/>
  <c r="BO506" i="17"/>
  <c r="BP506" i="17"/>
  <c r="BO507" i="17"/>
  <c r="BP507" i="17"/>
  <c r="BO508" i="17"/>
  <c r="BP508" i="17"/>
  <c r="BO509" i="17"/>
  <c r="BP509" i="17"/>
  <c r="BO510" i="17"/>
  <c r="BP510" i="17"/>
  <c r="BO511" i="17"/>
  <c r="BP511" i="17"/>
  <c r="BO512" i="17"/>
  <c r="BP512" i="17"/>
  <c r="BO513" i="17"/>
  <c r="BP513" i="17"/>
  <c r="BO514" i="17"/>
  <c r="BP514" i="17"/>
  <c r="BO515" i="17"/>
  <c r="BP515" i="17"/>
  <c r="BO516" i="17"/>
  <c r="BP516" i="17"/>
  <c r="BO517" i="17"/>
  <c r="BP517" i="17"/>
  <c r="BO518" i="17"/>
  <c r="BP518" i="17"/>
  <c r="BO519" i="17"/>
  <c r="BP519" i="17"/>
  <c r="BO520" i="17"/>
  <c r="BP520" i="17"/>
  <c r="BO521" i="17"/>
  <c r="BP521" i="17"/>
  <c r="BO522" i="17"/>
  <c r="BP522" i="17"/>
  <c r="BO523" i="17"/>
  <c r="BP523" i="17"/>
  <c r="BO524" i="17"/>
  <c r="BP524" i="17"/>
  <c r="BO525" i="17"/>
  <c r="BP525" i="17"/>
  <c r="BO526" i="17"/>
  <c r="BP526" i="17"/>
  <c r="BO527" i="17"/>
  <c r="BP527" i="17"/>
  <c r="BO528" i="17"/>
  <c r="BP528" i="17"/>
  <c r="BO529" i="17"/>
  <c r="BP529" i="17"/>
  <c r="BO530" i="17"/>
  <c r="BP530" i="17"/>
  <c r="BO531" i="17"/>
  <c r="BP531" i="17"/>
  <c r="BO532" i="17"/>
  <c r="BP532" i="17"/>
  <c r="BO533" i="17"/>
  <c r="BP533" i="17"/>
  <c r="BO534" i="17"/>
  <c r="BP534" i="17"/>
  <c r="BO535" i="17"/>
  <c r="BP535" i="17"/>
  <c r="BO536" i="17"/>
  <c r="BP536" i="17"/>
  <c r="BO537" i="17"/>
  <c r="BP537" i="17"/>
  <c r="BO538" i="17"/>
  <c r="BP538" i="17"/>
  <c r="BO539" i="17"/>
  <c r="BP539" i="17"/>
  <c r="BO540" i="17"/>
  <c r="BP540" i="17"/>
  <c r="BO541" i="17"/>
  <c r="BP541" i="17"/>
  <c r="BO542" i="17"/>
  <c r="BP542" i="17"/>
  <c r="BO543" i="17"/>
  <c r="BP543" i="17"/>
  <c r="BO544" i="17"/>
  <c r="BP544" i="17"/>
  <c r="BO545" i="17"/>
  <c r="BP545" i="17"/>
  <c r="BO546" i="17"/>
  <c r="BP546" i="17"/>
  <c r="BO547" i="17"/>
  <c r="BP547" i="17"/>
  <c r="BO548" i="17"/>
  <c r="BP548" i="17"/>
  <c r="BO549" i="17"/>
  <c r="BP549" i="17"/>
  <c r="BO550" i="17"/>
  <c r="BP550" i="17"/>
  <c r="BO551" i="17"/>
  <c r="BP551" i="17"/>
  <c r="BO552" i="17"/>
  <c r="BP552" i="17"/>
  <c r="BO553" i="17"/>
  <c r="BP553" i="17"/>
  <c r="BO554" i="17"/>
  <c r="BP554" i="17"/>
  <c r="BO555" i="17"/>
  <c r="BP555" i="17"/>
  <c r="BO556" i="17"/>
  <c r="BP556" i="17"/>
  <c r="BO557" i="17"/>
  <c r="BP557" i="17"/>
  <c r="BO558" i="17"/>
  <c r="BP558" i="17"/>
  <c r="BO559" i="17"/>
  <c r="BP559" i="17"/>
  <c r="BO560" i="17"/>
  <c r="BP560" i="17"/>
  <c r="BO561" i="17"/>
  <c r="BP561" i="17"/>
  <c r="BO562" i="17"/>
  <c r="BP562" i="17"/>
  <c r="BO563" i="17"/>
  <c r="BP563" i="17"/>
  <c r="BO564" i="17"/>
  <c r="BP564" i="17"/>
  <c r="BO565" i="17"/>
  <c r="BP565" i="17"/>
  <c r="BO566" i="17"/>
  <c r="BP566" i="17"/>
  <c r="BO567" i="17"/>
  <c r="BP567" i="17"/>
  <c r="BO568" i="17"/>
  <c r="BP568" i="17"/>
  <c r="BO569" i="17"/>
  <c r="BP569" i="17"/>
  <c r="BO570" i="17"/>
  <c r="BP570" i="17"/>
  <c r="BO571" i="17"/>
  <c r="BP571" i="17"/>
  <c r="BO572" i="17"/>
  <c r="BP572" i="17"/>
  <c r="BO573" i="17"/>
  <c r="BP573" i="17"/>
  <c r="BO574" i="17"/>
  <c r="BP574" i="17"/>
  <c r="BO575" i="17"/>
  <c r="BP575" i="17"/>
  <c r="BO576" i="17"/>
  <c r="BP576" i="17"/>
  <c r="BO577" i="17"/>
  <c r="BP577" i="17"/>
  <c r="BO578" i="17"/>
  <c r="BP578" i="17"/>
  <c r="BO579" i="17"/>
  <c r="BP579" i="17"/>
  <c r="BO580" i="17"/>
  <c r="BP580" i="17"/>
  <c r="BO581" i="17"/>
  <c r="BP581" i="17"/>
  <c r="BO582" i="17"/>
  <c r="BP582" i="17"/>
  <c r="BO583" i="17"/>
  <c r="BP583" i="17"/>
  <c r="BO584" i="17"/>
  <c r="BP584" i="17"/>
  <c r="BO585" i="17"/>
  <c r="BP585" i="17"/>
  <c r="BO586" i="17"/>
  <c r="BP586" i="17"/>
  <c r="BO587" i="17"/>
  <c r="BP587" i="17"/>
  <c r="BO588" i="17"/>
  <c r="BP588" i="17"/>
  <c r="BO589" i="17"/>
  <c r="BP589" i="17"/>
  <c r="BO590" i="17"/>
  <c r="BP590" i="17"/>
  <c r="BO591" i="17"/>
  <c r="BP591" i="17"/>
  <c r="BO592" i="17"/>
  <c r="BP592" i="17"/>
  <c r="BO593" i="17"/>
  <c r="BP593" i="17"/>
  <c r="BO594" i="17"/>
  <c r="BP594" i="17"/>
  <c r="BO595" i="17"/>
  <c r="BP595" i="17"/>
  <c r="BO596" i="17"/>
  <c r="BP596" i="17"/>
  <c r="BO597" i="17"/>
  <c r="BP597" i="17"/>
  <c r="BO598" i="17"/>
  <c r="BP598" i="17"/>
  <c r="BO599" i="17"/>
  <c r="BP599" i="17"/>
  <c r="BO600" i="17"/>
  <c r="BP600" i="17"/>
  <c r="BO601" i="17"/>
  <c r="BP601" i="17"/>
  <c r="BO602" i="17"/>
  <c r="BP602" i="17"/>
  <c r="BO603" i="17"/>
  <c r="BP603" i="17"/>
  <c r="BO604" i="17"/>
  <c r="BP604" i="17"/>
  <c r="BO605" i="17"/>
  <c r="BP605" i="17"/>
  <c r="BO606" i="17"/>
  <c r="BP606" i="17"/>
  <c r="BO607" i="17"/>
  <c r="BP607" i="17"/>
  <c r="BO608" i="17"/>
  <c r="BP608" i="17"/>
  <c r="BO609" i="17"/>
  <c r="BP609" i="17"/>
  <c r="BO610" i="17"/>
  <c r="BP610" i="17"/>
  <c r="BO611" i="17"/>
  <c r="BP611" i="17"/>
  <c r="BO612" i="17"/>
  <c r="BP612" i="17"/>
  <c r="BO613" i="17"/>
  <c r="BP613" i="17"/>
  <c r="BO614" i="17"/>
  <c r="BP614" i="17"/>
  <c r="BO615" i="17"/>
  <c r="BP615" i="17"/>
  <c r="BO616" i="17"/>
  <c r="BP616" i="17"/>
  <c r="BO617" i="17"/>
  <c r="BP617" i="17"/>
  <c r="BO618" i="17"/>
  <c r="BP618" i="17"/>
  <c r="BP11" i="17"/>
  <c r="BO11" i="17"/>
  <c r="BM12" i="17"/>
  <c r="BM13" i="17"/>
  <c r="BM14" i="17"/>
  <c r="BM15" i="17"/>
  <c r="BM16" i="17"/>
  <c r="BM17" i="17"/>
  <c r="BM18" i="17"/>
  <c r="BM19" i="17"/>
  <c r="BM20" i="17"/>
  <c r="BM21" i="17"/>
  <c r="BM22" i="17"/>
  <c r="BM23" i="17"/>
  <c r="BM24" i="17"/>
  <c r="BM25" i="17"/>
  <c r="BM26" i="17"/>
  <c r="BM27" i="17"/>
  <c r="BM28" i="17"/>
  <c r="BM29" i="17"/>
  <c r="BM30" i="17"/>
  <c r="BM31" i="17"/>
  <c r="BM32" i="17"/>
  <c r="BM33" i="17"/>
  <c r="BM34" i="17"/>
  <c r="BM35" i="17"/>
  <c r="BM36" i="17"/>
  <c r="BM37" i="17"/>
  <c r="BM38" i="17"/>
  <c r="BM39" i="17"/>
  <c r="BM40" i="17"/>
  <c r="BM41" i="17"/>
  <c r="BM42" i="17"/>
  <c r="BM43" i="17"/>
  <c r="BM44" i="17"/>
  <c r="BM45" i="17"/>
  <c r="BM46" i="17"/>
  <c r="BM47" i="17"/>
  <c r="BM48" i="17"/>
  <c r="BM49" i="17"/>
  <c r="BM50" i="17"/>
  <c r="BM51" i="17"/>
  <c r="BM52" i="17"/>
  <c r="BM53" i="17"/>
  <c r="BM54" i="17"/>
  <c r="BM55" i="17"/>
  <c r="BM56" i="17"/>
  <c r="BM57" i="17"/>
  <c r="BM58" i="17"/>
  <c r="BM59" i="17"/>
  <c r="BM60" i="17"/>
  <c r="BM61" i="17"/>
  <c r="BM62" i="17"/>
  <c r="BM63" i="17"/>
  <c r="BM64" i="17"/>
  <c r="BM65" i="17"/>
  <c r="BM66" i="17"/>
  <c r="BM67" i="17"/>
  <c r="BM68" i="17"/>
  <c r="BM69" i="17"/>
  <c r="BM70" i="17"/>
  <c r="BM71" i="17"/>
  <c r="BM72" i="17"/>
  <c r="BM73" i="17"/>
  <c r="BM74" i="17"/>
  <c r="BM75" i="17"/>
  <c r="BM76" i="17"/>
  <c r="BM77" i="17"/>
  <c r="BM78" i="17"/>
  <c r="BM79" i="17"/>
  <c r="BM80" i="17"/>
  <c r="BM81" i="17"/>
  <c r="BM82" i="17"/>
  <c r="BM83" i="17"/>
  <c r="BM84" i="17"/>
  <c r="BM85" i="17"/>
  <c r="BM86" i="17"/>
  <c r="BM87" i="17"/>
  <c r="BM89" i="17"/>
  <c r="BM88" i="17"/>
  <c r="BM90" i="17"/>
  <c r="BM91" i="17"/>
  <c r="BM92" i="17"/>
  <c r="BM93" i="17"/>
  <c r="BM94" i="17"/>
  <c r="BM95" i="17"/>
  <c r="BM96" i="17"/>
  <c r="BM97" i="17"/>
  <c r="BM98" i="17"/>
  <c r="BM99" i="17"/>
  <c r="BM100" i="17"/>
  <c r="BM101" i="17"/>
  <c r="BM102" i="17"/>
  <c r="BM103" i="17"/>
  <c r="BM104" i="17"/>
  <c r="BM105" i="17"/>
  <c r="BM106" i="17"/>
  <c r="BM107" i="17"/>
  <c r="BM108" i="17"/>
  <c r="BM109" i="17"/>
  <c r="BM110" i="17"/>
  <c r="BM111" i="17"/>
  <c r="BM112" i="17"/>
  <c r="BM113" i="17"/>
  <c r="BM114" i="17"/>
  <c r="BM115" i="17"/>
  <c r="BM116" i="17"/>
  <c r="BM117" i="17"/>
  <c r="BM118" i="17"/>
  <c r="BM119" i="17"/>
  <c r="BM120" i="17"/>
  <c r="BM121" i="17"/>
  <c r="BM122" i="17"/>
  <c r="BM123" i="17"/>
  <c r="BM124" i="17"/>
  <c r="BM125" i="17"/>
  <c r="BM126" i="17"/>
  <c r="BM127" i="17"/>
  <c r="BM128" i="17"/>
  <c r="BM129" i="17"/>
  <c r="BM130" i="17"/>
  <c r="BM131" i="17"/>
  <c r="BM132" i="17"/>
  <c r="BM133" i="17"/>
  <c r="BM134" i="17"/>
  <c r="BM135" i="17"/>
  <c r="BM136" i="17"/>
  <c r="BM137" i="17"/>
  <c r="BM138" i="17"/>
  <c r="BM139" i="17"/>
  <c r="BM140" i="17"/>
  <c r="BM141" i="17"/>
  <c r="BM142" i="17"/>
  <c r="BM143" i="17"/>
  <c r="BM144" i="17"/>
  <c r="BM145" i="17"/>
  <c r="BM146" i="17"/>
  <c r="BM147" i="17"/>
  <c r="BM148" i="17"/>
  <c r="BM149" i="17"/>
  <c r="BM150" i="17"/>
  <c r="BM151" i="17"/>
  <c r="BM152" i="17"/>
  <c r="BM153" i="17"/>
  <c r="BM154" i="17"/>
  <c r="BM155" i="17"/>
  <c r="BM156" i="17"/>
  <c r="BM157" i="17"/>
  <c r="BM158" i="17"/>
  <c r="BM159" i="17"/>
  <c r="BM160" i="17"/>
  <c r="BM161" i="17"/>
  <c r="BM162" i="17"/>
  <c r="BM163" i="17"/>
  <c r="BM164" i="17"/>
  <c r="BM165" i="17"/>
  <c r="BM166" i="17"/>
  <c r="BM167" i="17"/>
  <c r="BM168" i="17"/>
  <c r="BM169" i="17"/>
  <c r="BM170" i="17"/>
  <c r="BM171" i="17"/>
  <c r="BM172" i="17"/>
  <c r="BM173" i="17"/>
  <c r="BM174" i="17"/>
  <c r="BM175" i="17"/>
  <c r="BM176" i="17"/>
  <c r="BM177" i="17"/>
  <c r="BM178" i="17"/>
  <c r="BM179" i="17"/>
  <c r="BM180" i="17"/>
  <c r="BM181" i="17"/>
  <c r="BM182" i="17"/>
  <c r="BM183" i="17"/>
  <c r="BM184" i="17"/>
  <c r="BM185" i="17"/>
  <c r="BM186" i="17"/>
  <c r="BM187" i="17"/>
  <c r="BM188" i="17"/>
  <c r="BM189" i="17"/>
  <c r="BM190" i="17"/>
  <c r="BM191" i="17"/>
  <c r="BM192" i="17"/>
  <c r="BM193" i="17"/>
  <c r="BM194" i="17"/>
  <c r="BM195" i="17"/>
  <c r="BM196" i="17"/>
  <c r="BM197" i="17"/>
  <c r="BM198" i="17"/>
  <c r="BM199" i="17"/>
  <c r="BM200" i="17"/>
  <c r="BM201" i="17"/>
  <c r="BM202" i="17"/>
  <c r="BM203" i="17"/>
  <c r="BM204" i="17"/>
  <c r="BM205" i="17"/>
  <c r="BM206" i="17"/>
  <c r="BM207" i="17"/>
  <c r="BM208" i="17"/>
  <c r="BM209" i="17"/>
  <c r="BM210" i="17"/>
  <c r="BM211" i="17"/>
  <c r="BM212" i="17"/>
  <c r="BM213" i="17"/>
  <c r="BM214" i="17"/>
  <c r="BM215" i="17"/>
  <c r="BM216" i="17"/>
  <c r="BM217" i="17"/>
  <c r="BM218" i="17"/>
  <c r="BM219" i="17"/>
  <c r="BM220" i="17"/>
  <c r="BM221" i="17"/>
  <c r="BM222" i="17"/>
  <c r="BM223" i="17"/>
  <c r="BM224" i="17"/>
  <c r="BM225" i="17"/>
  <c r="BM226" i="17"/>
  <c r="BM227" i="17"/>
  <c r="BM228" i="17"/>
  <c r="BM229" i="17"/>
  <c r="BM230" i="17"/>
  <c r="BM231" i="17"/>
  <c r="BM232" i="17"/>
  <c r="BM233" i="17"/>
  <c r="BM234" i="17"/>
  <c r="BM235" i="17"/>
  <c r="BM236" i="17"/>
  <c r="BM237" i="17"/>
  <c r="BM238" i="17"/>
  <c r="BM239" i="17"/>
  <c r="BM240" i="17"/>
  <c r="BM241" i="17"/>
  <c r="BM242" i="17"/>
  <c r="BM243" i="17"/>
  <c r="BM244" i="17"/>
  <c r="BM245" i="17"/>
  <c r="BM246" i="17"/>
  <c r="BM247" i="17"/>
  <c r="BM248" i="17"/>
  <c r="BM249" i="17"/>
  <c r="BM250" i="17"/>
  <c r="BM251" i="17"/>
  <c r="BM252" i="17"/>
  <c r="BM253" i="17"/>
  <c r="BM254" i="17"/>
  <c r="BM255" i="17"/>
  <c r="BM256" i="17"/>
  <c r="BM257" i="17"/>
  <c r="BM258" i="17"/>
  <c r="BM259" i="17"/>
  <c r="BM260" i="17"/>
  <c r="BM261" i="17"/>
  <c r="BM262" i="17"/>
  <c r="BM263" i="17"/>
  <c r="BM264" i="17"/>
  <c r="BM265" i="17"/>
  <c r="BM266" i="17"/>
  <c r="BM267" i="17"/>
  <c r="BM268" i="17"/>
  <c r="BM269" i="17"/>
  <c r="BM270" i="17"/>
  <c r="BM271" i="17"/>
  <c r="BM272" i="17"/>
  <c r="BM273" i="17"/>
  <c r="BM274" i="17"/>
  <c r="BM275" i="17"/>
  <c r="BM276" i="17"/>
  <c r="BM277" i="17"/>
  <c r="BM278" i="17"/>
  <c r="BM279" i="17"/>
  <c r="BM280" i="17"/>
  <c r="BM281" i="17"/>
  <c r="BM282" i="17"/>
  <c r="BM283" i="17"/>
  <c r="BM284" i="17"/>
  <c r="BM285" i="17"/>
  <c r="BM286" i="17"/>
  <c r="BM287" i="17"/>
  <c r="BM288" i="17"/>
  <c r="BM290" i="17"/>
  <c r="BM291" i="17"/>
  <c r="BM292" i="17"/>
  <c r="BM289" i="17"/>
  <c r="BM293" i="17"/>
  <c r="BM294" i="17"/>
  <c r="BM295" i="17"/>
  <c r="BM296" i="17"/>
  <c r="BM297" i="17"/>
  <c r="BM298" i="17"/>
  <c r="BM299" i="17"/>
  <c r="BM300" i="17"/>
  <c r="BM301" i="17"/>
  <c r="BM302" i="17"/>
  <c r="BM303" i="17"/>
  <c r="BM304" i="17"/>
  <c r="BM305" i="17"/>
  <c r="BM306" i="17"/>
  <c r="BM307" i="17"/>
  <c r="BM308" i="17"/>
  <c r="BM309" i="17"/>
  <c r="BM310" i="17"/>
  <c r="BM311" i="17"/>
  <c r="BM312" i="17"/>
  <c r="BM313" i="17"/>
  <c r="BM314" i="17"/>
  <c r="BM315" i="17"/>
  <c r="BM316" i="17"/>
  <c r="BM317" i="17"/>
  <c r="BM319" i="17"/>
  <c r="BM320" i="17"/>
  <c r="BM321" i="17"/>
  <c r="BM322" i="17"/>
  <c r="BM323" i="17"/>
  <c r="BM324" i="17"/>
  <c r="BM325" i="17"/>
  <c r="BM326" i="17"/>
  <c r="BM327" i="17"/>
  <c r="BM328" i="17"/>
  <c r="BM329" i="17"/>
  <c r="BM330" i="17"/>
  <c r="BM331" i="17"/>
  <c r="BM332" i="17"/>
  <c r="BM333" i="17"/>
  <c r="BM334" i="17"/>
  <c r="BM335" i="17"/>
  <c r="BM337" i="17"/>
  <c r="BM338" i="17"/>
  <c r="BM339" i="17"/>
  <c r="BM340" i="17"/>
  <c r="BM341" i="17"/>
  <c r="BM342" i="17"/>
  <c r="BM343" i="17"/>
  <c r="BM344" i="17"/>
  <c r="BM345" i="17"/>
  <c r="BM347" i="17"/>
  <c r="BM348" i="17"/>
  <c r="BM349" i="17"/>
  <c r="BM350" i="17"/>
  <c r="BM351" i="17"/>
  <c r="BM352" i="17"/>
  <c r="BM353" i="17"/>
  <c r="BM354" i="17"/>
  <c r="BM355" i="17"/>
  <c r="BM356" i="17"/>
  <c r="BM357" i="17"/>
  <c r="BM358" i="17"/>
  <c r="BM359" i="17"/>
  <c r="BM360" i="17"/>
  <c r="BM361" i="17"/>
  <c r="BM362" i="17"/>
  <c r="BM363" i="17"/>
  <c r="BM364" i="17"/>
  <c r="BM365" i="17"/>
  <c r="BM366" i="17"/>
  <c r="BM367" i="17"/>
  <c r="BM368" i="17"/>
  <c r="BM369" i="17"/>
  <c r="BM370" i="17"/>
  <c r="BM371" i="17"/>
  <c r="BM372" i="17"/>
  <c r="BM373" i="17"/>
  <c r="BM374" i="17"/>
  <c r="BM375" i="17"/>
  <c r="BM376" i="17"/>
  <c r="BM377" i="17"/>
  <c r="BM378" i="17"/>
  <c r="BM379" i="17"/>
  <c r="BM380" i="17"/>
  <c r="BM381" i="17"/>
  <c r="BM382" i="17"/>
  <c r="BM383" i="17"/>
  <c r="BM384" i="17"/>
  <c r="BM385" i="17"/>
  <c r="BM386" i="17"/>
  <c r="BM387" i="17"/>
  <c r="BM388" i="17"/>
  <c r="BM389" i="17"/>
  <c r="BM390" i="17"/>
  <c r="BM391" i="17"/>
  <c r="BM392" i="17"/>
  <c r="BM393" i="17"/>
  <c r="BM394" i="17"/>
  <c r="BM395" i="17"/>
  <c r="BM396" i="17"/>
  <c r="BM397" i="17"/>
  <c r="BM398" i="17"/>
  <c r="BM399" i="17"/>
  <c r="BM401" i="17"/>
  <c r="BM402" i="17"/>
  <c r="BM403" i="17"/>
  <c r="BM404" i="17"/>
  <c r="BM405" i="17"/>
  <c r="BM406" i="17"/>
  <c r="BM407" i="17"/>
  <c r="BM408" i="17"/>
  <c r="BM409" i="17"/>
  <c r="BM410" i="17"/>
  <c r="BM411" i="17"/>
  <c r="BM412" i="17"/>
  <c r="BM414" i="17"/>
  <c r="BM415" i="17"/>
  <c r="BM416" i="17"/>
  <c r="BM417" i="17"/>
  <c r="BM418" i="17"/>
  <c r="BM419" i="17"/>
  <c r="BM420" i="17"/>
  <c r="BM421" i="17"/>
  <c r="BM422" i="17"/>
  <c r="BM423" i="17"/>
  <c r="BM424" i="17"/>
  <c r="BM425" i="17"/>
  <c r="BM426" i="17"/>
  <c r="BM427" i="17"/>
  <c r="BM428" i="17"/>
  <c r="BM429" i="17"/>
  <c r="BM430" i="17"/>
  <c r="BM431" i="17"/>
  <c r="BM432" i="17"/>
  <c r="BM433" i="17"/>
  <c r="BM434" i="17"/>
  <c r="BM435" i="17"/>
  <c r="BM436" i="17"/>
  <c r="BM437" i="17"/>
  <c r="BM438" i="17"/>
  <c r="BM439" i="17"/>
  <c r="BM440" i="17"/>
  <c r="BM441" i="17"/>
  <c r="BM442" i="17"/>
  <c r="BM443" i="17"/>
  <c r="BM444" i="17"/>
  <c r="BM445" i="17"/>
  <c r="BM446" i="17"/>
  <c r="BM447" i="17"/>
  <c r="BM448" i="17"/>
  <c r="BM449" i="17"/>
  <c r="BM450" i="17"/>
  <c r="BM451" i="17"/>
  <c r="BM452" i="17"/>
  <c r="BM453" i="17"/>
  <c r="BM454" i="17"/>
  <c r="BM455" i="17"/>
  <c r="BM457" i="17"/>
  <c r="BM458" i="17"/>
  <c r="BM459" i="17"/>
  <c r="BM460" i="17"/>
  <c r="BM461" i="17"/>
  <c r="BM462" i="17"/>
  <c r="BM463" i="17"/>
  <c r="BM464" i="17"/>
  <c r="BM465" i="17"/>
  <c r="BM466" i="17"/>
  <c r="BM467" i="17"/>
  <c r="BM468" i="17"/>
  <c r="BM469" i="17"/>
  <c r="BM470" i="17"/>
  <c r="BM471" i="17"/>
  <c r="BM472" i="17"/>
  <c r="BM473" i="17"/>
  <c r="BM474" i="17"/>
  <c r="BM475" i="17"/>
  <c r="BM476" i="17"/>
  <c r="BM477" i="17"/>
  <c r="BM478" i="17"/>
  <c r="BM479" i="17"/>
  <c r="BM480" i="17"/>
  <c r="BM481" i="17"/>
  <c r="BM482" i="17"/>
  <c r="BM483" i="17"/>
  <c r="BM484" i="17"/>
  <c r="BM485" i="17"/>
  <c r="BM486" i="17"/>
  <c r="BM487" i="17"/>
  <c r="BM488" i="17"/>
  <c r="BM489" i="17"/>
  <c r="BM490" i="17"/>
  <c r="BM491" i="17"/>
  <c r="BM492" i="17"/>
  <c r="BM493" i="17"/>
  <c r="BM494" i="17"/>
  <c r="BM495" i="17"/>
  <c r="BM496" i="17"/>
  <c r="BM497" i="17"/>
  <c r="BM498" i="17"/>
  <c r="BM499" i="17"/>
  <c r="BM500" i="17"/>
  <c r="BM501" i="17"/>
  <c r="BM502" i="17"/>
  <c r="BM503" i="17"/>
  <c r="BM504" i="17"/>
  <c r="BM505" i="17"/>
  <c r="BM506" i="17"/>
  <c r="BM507" i="17"/>
  <c r="BM508" i="17"/>
  <c r="BM509" i="17"/>
  <c r="BM510" i="17"/>
  <c r="BM511" i="17"/>
  <c r="BM512" i="17"/>
  <c r="BM513" i="17"/>
  <c r="BM514" i="17"/>
  <c r="BM515" i="17"/>
  <c r="BM516" i="17"/>
  <c r="BM517" i="17"/>
  <c r="BM518" i="17"/>
  <c r="BM519" i="17"/>
  <c r="BM520" i="17"/>
  <c r="BM521" i="17"/>
  <c r="BM522" i="17"/>
  <c r="BM523" i="17"/>
  <c r="BM524" i="17"/>
  <c r="BM525" i="17"/>
  <c r="BM526" i="17"/>
  <c r="BM527" i="17"/>
  <c r="BM528" i="17"/>
  <c r="BM529" i="17"/>
  <c r="BM530" i="17"/>
  <c r="BM531" i="17"/>
  <c r="BM532" i="17"/>
  <c r="BM533" i="17"/>
  <c r="BM534" i="17"/>
  <c r="BM535" i="17"/>
  <c r="BM536" i="17"/>
  <c r="BM537" i="17"/>
  <c r="BM538" i="17"/>
  <c r="BM539" i="17"/>
  <c r="BM540" i="17"/>
  <c r="BM541" i="17"/>
  <c r="BM542" i="17"/>
  <c r="BM543" i="17"/>
  <c r="BM544" i="17"/>
  <c r="BM545" i="17"/>
  <c r="BM546" i="17"/>
  <c r="BM547" i="17"/>
  <c r="BM548" i="17"/>
  <c r="BM549" i="17"/>
  <c r="BM550" i="17"/>
  <c r="BM551" i="17"/>
  <c r="BM552" i="17"/>
  <c r="BM553" i="17"/>
  <c r="BM554" i="17"/>
  <c r="BM555" i="17"/>
  <c r="BM556" i="17"/>
  <c r="BM557" i="17"/>
  <c r="BM558" i="17"/>
  <c r="BM559" i="17"/>
  <c r="BM560" i="17"/>
  <c r="BM561" i="17"/>
  <c r="BM562" i="17"/>
  <c r="BM563" i="17"/>
  <c r="BM564" i="17"/>
  <c r="BM565" i="17"/>
  <c r="BM566" i="17"/>
  <c r="BM567" i="17"/>
  <c r="BM568" i="17"/>
  <c r="BM569" i="17"/>
  <c r="BM570" i="17"/>
  <c r="BM571" i="17"/>
  <c r="BM572" i="17"/>
  <c r="BM573" i="17"/>
  <c r="BM574" i="17"/>
  <c r="BM575" i="17"/>
  <c r="BM576" i="17"/>
  <c r="BM577" i="17"/>
  <c r="BM578" i="17"/>
  <c r="BM579" i="17"/>
  <c r="BM580" i="17"/>
  <c r="BM581" i="17"/>
  <c r="BM582" i="17"/>
  <c r="BM583" i="17"/>
  <c r="BM584" i="17"/>
  <c r="BM585" i="17"/>
  <c r="BM586" i="17"/>
  <c r="BM587" i="17"/>
  <c r="BM588" i="17"/>
  <c r="BM589" i="17"/>
  <c r="BM590" i="17"/>
  <c r="BM591" i="17"/>
  <c r="BM592" i="17"/>
  <c r="BM593" i="17"/>
  <c r="BM594" i="17"/>
  <c r="BM595" i="17"/>
  <c r="BM596" i="17"/>
  <c r="BM597" i="17"/>
  <c r="BM598" i="17"/>
  <c r="BM599" i="17"/>
  <c r="BM600" i="17"/>
  <c r="BM601" i="17"/>
  <c r="BM602" i="17"/>
  <c r="BM603" i="17"/>
  <c r="BM604" i="17"/>
  <c r="BM605" i="17"/>
  <c r="BM606" i="17"/>
  <c r="BM607" i="17"/>
  <c r="BM608" i="17"/>
  <c r="BM609" i="17"/>
  <c r="BM610" i="17"/>
  <c r="BM611" i="17"/>
  <c r="BM612" i="17"/>
  <c r="BM613" i="17"/>
  <c r="BM614" i="17"/>
  <c r="BM615" i="17"/>
  <c r="BM616" i="17"/>
  <c r="BM617" i="17"/>
  <c r="BM618" i="17"/>
  <c r="BM11" i="17"/>
  <c r="BL12" i="17"/>
  <c r="BL13" i="17"/>
  <c r="BL14" i="17"/>
  <c r="BL15" i="17"/>
  <c r="BL16" i="17"/>
  <c r="BL17" i="17"/>
  <c r="BL18" i="17"/>
  <c r="BL19" i="17"/>
  <c r="BL20" i="17"/>
  <c r="BL21" i="17"/>
  <c r="BL22" i="17"/>
  <c r="BL23" i="17"/>
  <c r="BL24" i="17"/>
  <c r="BL25" i="17"/>
  <c r="BL26" i="17"/>
  <c r="BL27" i="17"/>
  <c r="BL28" i="17"/>
  <c r="BL29" i="17"/>
  <c r="BL30" i="17"/>
  <c r="BL31" i="17"/>
  <c r="BL32" i="17"/>
  <c r="BL33" i="17"/>
  <c r="BL34" i="17"/>
  <c r="BL35" i="17"/>
  <c r="BL36" i="17"/>
  <c r="BL37" i="17"/>
  <c r="BL38" i="17"/>
  <c r="BL39" i="17"/>
  <c r="BL40" i="17"/>
  <c r="BL41" i="17"/>
  <c r="BL42" i="17"/>
  <c r="BL43" i="17"/>
  <c r="BL44" i="17"/>
  <c r="BL45" i="17"/>
  <c r="BL46" i="17"/>
  <c r="BL47" i="17"/>
  <c r="BL48" i="17"/>
  <c r="BL49" i="17"/>
  <c r="BL50" i="17"/>
  <c r="BL51" i="17"/>
  <c r="BL52" i="17"/>
  <c r="BL53" i="17"/>
  <c r="BL54" i="17"/>
  <c r="BL55" i="17"/>
  <c r="BL56" i="17"/>
  <c r="BL57" i="17"/>
  <c r="BL58" i="17"/>
  <c r="BL59" i="17"/>
  <c r="BL60" i="17"/>
  <c r="BL61" i="17"/>
  <c r="BL62" i="17"/>
  <c r="BL63" i="17"/>
  <c r="BL64" i="17"/>
  <c r="BL65" i="17"/>
  <c r="BL66" i="17"/>
  <c r="BL67" i="17"/>
  <c r="BL68" i="17"/>
  <c r="BL69" i="17"/>
  <c r="BL70" i="17"/>
  <c r="BL71" i="17"/>
  <c r="BL72" i="17"/>
  <c r="BL73" i="17"/>
  <c r="BL74" i="17"/>
  <c r="BL75" i="17"/>
  <c r="BL76" i="17"/>
  <c r="BL77" i="17"/>
  <c r="BL78" i="17"/>
  <c r="BL79" i="17"/>
  <c r="BL80" i="17"/>
  <c r="BL81" i="17"/>
  <c r="BL82" i="17"/>
  <c r="BL83" i="17"/>
  <c r="BL84" i="17"/>
  <c r="BL85" i="17"/>
  <c r="BL86" i="17"/>
  <c r="BL87" i="17"/>
  <c r="BL89" i="17"/>
  <c r="BL88" i="17"/>
  <c r="BL90" i="17"/>
  <c r="BL91" i="17"/>
  <c r="BL92" i="17"/>
  <c r="BL93" i="17"/>
  <c r="BL94" i="17"/>
  <c r="BL95" i="17"/>
  <c r="BL96" i="17"/>
  <c r="BL97" i="17"/>
  <c r="BL98" i="17"/>
  <c r="BL99" i="17"/>
  <c r="BL100" i="17"/>
  <c r="BL101" i="17"/>
  <c r="BL102" i="17"/>
  <c r="BL103" i="17"/>
  <c r="BL104" i="17"/>
  <c r="BL105" i="17"/>
  <c r="BL106" i="17"/>
  <c r="BL107" i="17"/>
  <c r="BL108" i="17"/>
  <c r="BL109" i="17"/>
  <c r="BL110" i="17"/>
  <c r="BL111" i="17"/>
  <c r="BL112" i="17"/>
  <c r="BL113" i="17"/>
  <c r="BL114" i="17"/>
  <c r="BL115" i="17"/>
  <c r="BL116" i="17"/>
  <c r="BL117" i="17"/>
  <c r="BL118" i="17"/>
  <c r="BL119" i="17"/>
  <c r="BL120" i="17"/>
  <c r="BL121" i="17"/>
  <c r="BL122" i="17"/>
  <c r="BL123" i="17"/>
  <c r="BL124" i="17"/>
  <c r="BL125" i="17"/>
  <c r="BL126" i="17"/>
  <c r="BL127" i="17"/>
  <c r="BL128" i="17"/>
  <c r="BL129" i="17"/>
  <c r="BL130" i="17"/>
  <c r="BL131" i="17"/>
  <c r="BL132" i="17"/>
  <c r="BL133" i="17"/>
  <c r="BL134" i="17"/>
  <c r="BL135" i="17"/>
  <c r="BL136" i="17"/>
  <c r="BL137" i="17"/>
  <c r="BL138" i="17"/>
  <c r="BL139" i="17"/>
  <c r="BL140" i="17"/>
  <c r="BL141" i="17"/>
  <c r="BL142" i="17"/>
  <c r="BL143" i="17"/>
  <c r="BL144" i="17"/>
  <c r="BL145" i="17"/>
  <c r="BL146" i="17"/>
  <c r="BL147" i="17"/>
  <c r="BL148" i="17"/>
  <c r="BL149" i="17"/>
  <c r="BL150" i="17"/>
  <c r="BL151" i="17"/>
  <c r="BL152" i="17"/>
  <c r="BL153" i="17"/>
  <c r="BL154" i="17"/>
  <c r="BL155" i="17"/>
  <c r="BL156" i="17"/>
  <c r="BL157" i="17"/>
  <c r="BL158" i="17"/>
  <c r="BL159" i="17"/>
  <c r="BL160" i="17"/>
  <c r="BL161" i="17"/>
  <c r="BL162" i="17"/>
  <c r="BL163" i="17"/>
  <c r="BL164" i="17"/>
  <c r="BL165" i="17"/>
  <c r="BL166" i="17"/>
  <c r="BL167" i="17"/>
  <c r="BL168" i="17"/>
  <c r="BL169" i="17"/>
  <c r="BL170" i="17"/>
  <c r="BL171" i="17"/>
  <c r="BL172" i="17"/>
  <c r="BL173" i="17"/>
  <c r="BL174" i="17"/>
  <c r="BL175" i="17"/>
  <c r="BL176" i="17"/>
  <c r="BL177" i="17"/>
  <c r="BL178" i="17"/>
  <c r="BL179" i="17"/>
  <c r="BL180" i="17"/>
  <c r="BL181" i="17"/>
  <c r="BL182" i="17"/>
  <c r="BL183" i="17"/>
  <c r="BL184" i="17"/>
  <c r="BL185" i="17"/>
  <c r="BL186" i="17"/>
  <c r="BL187" i="17"/>
  <c r="BL188" i="17"/>
  <c r="BL189" i="17"/>
  <c r="BL190" i="17"/>
  <c r="BL191" i="17"/>
  <c r="BL192" i="17"/>
  <c r="BL193" i="17"/>
  <c r="BL194" i="17"/>
  <c r="BL195" i="17"/>
  <c r="BL196" i="17"/>
  <c r="BL197" i="17"/>
  <c r="BL198" i="17"/>
  <c r="BL199" i="17"/>
  <c r="BL200" i="17"/>
  <c r="BL201" i="17"/>
  <c r="BL202" i="17"/>
  <c r="BL203" i="17"/>
  <c r="BL204" i="17"/>
  <c r="BL205" i="17"/>
  <c r="BL206" i="17"/>
  <c r="BL207" i="17"/>
  <c r="BL208" i="17"/>
  <c r="BL209" i="17"/>
  <c r="BL210" i="17"/>
  <c r="BL211" i="17"/>
  <c r="BL212" i="17"/>
  <c r="BL213" i="17"/>
  <c r="BL214" i="17"/>
  <c r="BL215" i="17"/>
  <c r="BL216" i="17"/>
  <c r="BL217" i="17"/>
  <c r="BL218" i="17"/>
  <c r="BL219" i="17"/>
  <c r="BL220" i="17"/>
  <c r="BL221" i="17"/>
  <c r="BL222" i="17"/>
  <c r="BL223" i="17"/>
  <c r="BL224" i="17"/>
  <c r="BL225" i="17"/>
  <c r="BL226" i="17"/>
  <c r="BL227" i="17"/>
  <c r="BL228" i="17"/>
  <c r="BL229" i="17"/>
  <c r="BL230" i="17"/>
  <c r="BL231" i="17"/>
  <c r="BL232" i="17"/>
  <c r="BL233" i="17"/>
  <c r="BL234" i="17"/>
  <c r="BL235" i="17"/>
  <c r="BL236" i="17"/>
  <c r="BL237" i="17"/>
  <c r="BL238" i="17"/>
  <c r="BL239" i="17"/>
  <c r="BL240" i="17"/>
  <c r="BL241" i="17"/>
  <c r="BL242" i="17"/>
  <c r="BL243" i="17"/>
  <c r="BL244" i="17"/>
  <c r="BL245" i="17"/>
  <c r="BL246" i="17"/>
  <c r="BL247" i="17"/>
  <c r="BL248" i="17"/>
  <c r="BL249" i="17"/>
  <c r="BL250" i="17"/>
  <c r="BL251" i="17"/>
  <c r="BL252" i="17"/>
  <c r="BL253" i="17"/>
  <c r="BL254" i="17"/>
  <c r="BL255" i="17"/>
  <c r="BL256" i="17"/>
  <c r="BL257" i="17"/>
  <c r="BL258" i="17"/>
  <c r="BL259" i="17"/>
  <c r="BL260" i="17"/>
  <c r="BL261" i="17"/>
  <c r="BL262" i="17"/>
  <c r="BL263" i="17"/>
  <c r="BL264" i="17"/>
  <c r="BL265" i="17"/>
  <c r="BL266" i="17"/>
  <c r="BL267" i="17"/>
  <c r="BL268" i="17"/>
  <c r="BL269" i="17"/>
  <c r="BL270" i="17"/>
  <c r="BL271" i="17"/>
  <c r="BL272" i="17"/>
  <c r="BL273" i="17"/>
  <c r="BL274" i="17"/>
  <c r="BL275" i="17"/>
  <c r="BL276" i="17"/>
  <c r="BL277" i="17"/>
  <c r="BL278" i="17"/>
  <c r="BL279" i="17"/>
  <c r="BL280" i="17"/>
  <c r="BL281" i="17"/>
  <c r="BL282" i="17"/>
  <c r="BL283" i="17"/>
  <c r="BL284" i="17"/>
  <c r="BL285" i="17"/>
  <c r="BL286" i="17"/>
  <c r="BL287" i="17"/>
  <c r="BL288" i="17"/>
  <c r="BL290" i="17"/>
  <c r="BL291" i="17"/>
  <c r="BL292" i="17"/>
  <c r="BL289" i="17"/>
  <c r="BL293" i="17"/>
  <c r="BL294" i="17"/>
  <c r="BL295" i="17"/>
  <c r="BL296" i="17"/>
  <c r="BL297" i="17"/>
  <c r="BL298" i="17"/>
  <c r="BL299" i="17"/>
  <c r="BL300" i="17"/>
  <c r="BL301" i="17"/>
  <c r="BL302" i="17"/>
  <c r="BL303" i="17"/>
  <c r="BL304" i="17"/>
  <c r="BL305" i="17"/>
  <c r="BL306" i="17"/>
  <c r="BL307" i="17"/>
  <c r="BL308" i="17"/>
  <c r="BL309" i="17"/>
  <c r="BL310" i="17"/>
  <c r="BL311" i="17"/>
  <c r="BL312" i="17"/>
  <c r="BL313" i="17"/>
  <c r="BL314" i="17"/>
  <c r="BL315" i="17"/>
  <c r="BL316" i="17"/>
  <c r="BL317" i="17"/>
  <c r="BL319" i="17"/>
  <c r="BL320" i="17"/>
  <c r="BL321" i="17"/>
  <c r="BL322" i="17"/>
  <c r="BL323" i="17"/>
  <c r="BL324" i="17"/>
  <c r="BL325" i="17"/>
  <c r="BL326" i="17"/>
  <c r="BL327" i="17"/>
  <c r="BL328" i="17"/>
  <c r="BL329" i="17"/>
  <c r="BL330" i="17"/>
  <c r="BL331" i="17"/>
  <c r="BL332" i="17"/>
  <c r="BL333" i="17"/>
  <c r="BL334" i="17"/>
  <c r="BL335" i="17"/>
  <c r="BL337" i="17"/>
  <c r="BL338" i="17"/>
  <c r="BL339" i="17"/>
  <c r="BL340" i="17"/>
  <c r="BL341" i="17"/>
  <c r="BL342" i="17"/>
  <c r="BL343" i="17"/>
  <c r="BL344" i="17"/>
  <c r="BL345" i="17"/>
  <c r="BL347" i="17"/>
  <c r="BL348" i="17"/>
  <c r="BL349" i="17"/>
  <c r="BL350" i="17"/>
  <c r="BL351" i="17"/>
  <c r="BL352" i="17"/>
  <c r="BL353" i="17"/>
  <c r="BL354" i="17"/>
  <c r="BL355" i="17"/>
  <c r="BL356" i="17"/>
  <c r="BL357" i="17"/>
  <c r="BL358" i="17"/>
  <c r="BL359" i="17"/>
  <c r="BL360" i="17"/>
  <c r="BL361" i="17"/>
  <c r="BL362" i="17"/>
  <c r="BL363" i="17"/>
  <c r="BL364" i="17"/>
  <c r="BL365" i="17"/>
  <c r="BL366" i="17"/>
  <c r="BL367" i="17"/>
  <c r="BL368" i="17"/>
  <c r="BL369" i="17"/>
  <c r="BL370" i="17"/>
  <c r="BL371" i="17"/>
  <c r="BL372" i="17"/>
  <c r="BL373" i="17"/>
  <c r="BL374" i="17"/>
  <c r="BL375" i="17"/>
  <c r="BL376" i="17"/>
  <c r="BL377" i="17"/>
  <c r="BL378" i="17"/>
  <c r="BL379" i="17"/>
  <c r="BL380" i="17"/>
  <c r="BL381" i="17"/>
  <c r="BL382" i="17"/>
  <c r="BL383" i="17"/>
  <c r="BL384" i="17"/>
  <c r="BL385" i="17"/>
  <c r="BL386" i="17"/>
  <c r="BL387" i="17"/>
  <c r="BL388" i="17"/>
  <c r="BL389" i="17"/>
  <c r="BL390" i="17"/>
  <c r="BL391" i="17"/>
  <c r="BL392" i="17"/>
  <c r="BL393" i="17"/>
  <c r="BL394" i="17"/>
  <c r="BL395" i="17"/>
  <c r="BL396" i="17"/>
  <c r="BL397" i="17"/>
  <c r="BL398" i="17"/>
  <c r="BL399" i="17"/>
  <c r="BL401" i="17"/>
  <c r="BL402" i="17"/>
  <c r="BL403" i="17"/>
  <c r="BL404" i="17"/>
  <c r="BL405" i="17"/>
  <c r="BL406" i="17"/>
  <c r="BL407" i="17"/>
  <c r="BL408" i="17"/>
  <c r="BL409" i="17"/>
  <c r="BL410" i="17"/>
  <c r="BL411" i="17"/>
  <c r="BL412" i="17"/>
  <c r="BL414" i="17"/>
  <c r="BL415" i="17"/>
  <c r="BL416" i="17"/>
  <c r="BL417" i="17"/>
  <c r="BL418" i="17"/>
  <c r="BL419" i="17"/>
  <c r="BL420" i="17"/>
  <c r="BL421" i="17"/>
  <c r="BL422" i="17"/>
  <c r="BL423" i="17"/>
  <c r="BL424" i="17"/>
  <c r="BL425" i="17"/>
  <c r="BL426" i="17"/>
  <c r="BL427" i="17"/>
  <c r="BL428" i="17"/>
  <c r="BL429" i="17"/>
  <c r="BL430" i="17"/>
  <c r="BL431" i="17"/>
  <c r="BL432" i="17"/>
  <c r="BL433" i="17"/>
  <c r="BL434" i="17"/>
  <c r="BL435" i="17"/>
  <c r="BL436" i="17"/>
  <c r="BL437" i="17"/>
  <c r="BL438" i="17"/>
  <c r="BL439" i="17"/>
  <c r="BL440" i="17"/>
  <c r="BL441" i="17"/>
  <c r="BL442" i="17"/>
  <c r="BL443" i="17"/>
  <c r="BL444" i="17"/>
  <c r="BL445" i="17"/>
  <c r="BL446" i="17"/>
  <c r="BL447" i="17"/>
  <c r="BL448" i="17"/>
  <c r="BL449" i="17"/>
  <c r="BL450" i="17"/>
  <c r="BL451" i="17"/>
  <c r="BL452" i="17"/>
  <c r="BL453" i="17"/>
  <c r="BL454" i="17"/>
  <c r="BL455" i="17"/>
  <c r="BL457" i="17"/>
  <c r="BL458" i="17"/>
  <c r="BL459" i="17"/>
  <c r="BL460" i="17"/>
  <c r="BL461" i="17"/>
  <c r="BL462" i="17"/>
  <c r="BL463" i="17"/>
  <c r="BL464" i="17"/>
  <c r="BL465" i="17"/>
  <c r="BL466" i="17"/>
  <c r="BL467" i="17"/>
  <c r="BL468" i="17"/>
  <c r="BL469" i="17"/>
  <c r="BL470" i="17"/>
  <c r="BL471" i="17"/>
  <c r="BL472" i="17"/>
  <c r="BL473" i="17"/>
  <c r="BL474" i="17"/>
  <c r="BL475" i="17"/>
  <c r="BL476" i="17"/>
  <c r="BL477" i="17"/>
  <c r="BL478" i="17"/>
  <c r="BL479" i="17"/>
  <c r="BL480" i="17"/>
  <c r="BL481" i="17"/>
  <c r="BL482" i="17"/>
  <c r="BL483" i="17"/>
  <c r="BL484" i="17"/>
  <c r="BL485" i="17"/>
  <c r="BL486" i="17"/>
  <c r="BL487" i="17"/>
  <c r="BL488" i="17"/>
  <c r="BL489" i="17"/>
  <c r="BL490" i="17"/>
  <c r="BL491" i="17"/>
  <c r="BL492" i="17"/>
  <c r="BL493" i="17"/>
  <c r="BL494" i="17"/>
  <c r="BL495" i="17"/>
  <c r="BL496" i="17"/>
  <c r="BL497" i="17"/>
  <c r="BL498" i="17"/>
  <c r="BL499" i="17"/>
  <c r="BL500" i="17"/>
  <c r="BL501" i="17"/>
  <c r="BL502" i="17"/>
  <c r="BL503" i="17"/>
  <c r="BL504" i="17"/>
  <c r="BL505" i="17"/>
  <c r="BL506" i="17"/>
  <c r="BL507" i="17"/>
  <c r="BL508" i="17"/>
  <c r="BL509" i="17"/>
  <c r="BL510" i="17"/>
  <c r="BL511" i="17"/>
  <c r="BL512" i="17"/>
  <c r="BL513" i="17"/>
  <c r="BL514" i="17"/>
  <c r="BL515" i="17"/>
  <c r="BL516" i="17"/>
  <c r="BL517" i="17"/>
  <c r="BL518" i="17"/>
  <c r="BL519" i="17"/>
  <c r="BL520" i="17"/>
  <c r="BL521" i="17"/>
  <c r="BL522" i="17"/>
  <c r="BL523" i="17"/>
  <c r="BL524" i="17"/>
  <c r="BL525" i="17"/>
  <c r="BL526" i="17"/>
  <c r="BL527" i="17"/>
  <c r="BL528" i="17"/>
  <c r="BL529" i="17"/>
  <c r="BL530" i="17"/>
  <c r="BL531" i="17"/>
  <c r="BL532" i="17"/>
  <c r="BL533" i="17"/>
  <c r="BL534" i="17"/>
  <c r="BL535" i="17"/>
  <c r="BL536" i="17"/>
  <c r="BL537" i="17"/>
  <c r="BL538" i="17"/>
  <c r="BL539" i="17"/>
  <c r="BL540" i="17"/>
  <c r="BL541" i="17"/>
  <c r="BL542" i="17"/>
  <c r="BL543" i="17"/>
  <c r="BL544" i="17"/>
  <c r="BL545" i="17"/>
  <c r="BL546" i="17"/>
  <c r="BL547" i="17"/>
  <c r="BL548" i="17"/>
  <c r="BL549" i="17"/>
  <c r="BL550" i="17"/>
  <c r="BL551" i="17"/>
  <c r="BL552" i="17"/>
  <c r="BL553" i="17"/>
  <c r="BL554" i="17"/>
  <c r="BL555" i="17"/>
  <c r="BL556" i="17"/>
  <c r="BL557" i="17"/>
  <c r="BL558" i="17"/>
  <c r="BL559" i="17"/>
  <c r="BL560" i="17"/>
  <c r="BL561" i="17"/>
  <c r="BL562" i="17"/>
  <c r="BL563" i="17"/>
  <c r="BL564" i="17"/>
  <c r="BL565" i="17"/>
  <c r="BL566" i="17"/>
  <c r="BL567" i="17"/>
  <c r="BL568" i="17"/>
  <c r="BL569" i="17"/>
  <c r="BL570" i="17"/>
  <c r="BL571" i="17"/>
  <c r="BL572" i="17"/>
  <c r="BL573" i="17"/>
  <c r="BL574" i="17"/>
  <c r="BL575" i="17"/>
  <c r="BL576" i="17"/>
  <c r="BL577" i="17"/>
  <c r="BL578" i="17"/>
  <c r="BL579" i="17"/>
  <c r="BL580" i="17"/>
  <c r="BL581" i="17"/>
  <c r="BL582" i="17"/>
  <c r="BL583" i="17"/>
  <c r="BL584" i="17"/>
  <c r="BL585" i="17"/>
  <c r="BL586" i="17"/>
  <c r="BL587" i="17"/>
  <c r="BL588" i="17"/>
  <c r="BL589" i="17"/>
  <c r="BL590" i="17"/>
  <c r="BL591" i="17"/>
  <c r="BL592" i="17"/>
  <c r="BL593" i="17"/>
  <c r="BL594" i="17"/>
  <c r="BL595" i="17"/>
  <c r="BL596" i="17"/>
  <c r="BL597" i="17"/>
  <c r="BL598" i="17"/>
  <c r="BL599" i="17"/>
  <c r="BL600" i="17"/>
  <c r="BL601" i="17"/>
  <c r="BL602" i="17"/>
  <c r="BL603" i="17"/>
  <c r="BL604" i="17"/>
  <c r="BL605" i="17"/>
  <c r="BL606" i="17"/>
  <c r="BL607" i="17"/>
  <c r="BL608" i="17"/>
  <c r="BL609" i="17"/>
  <c r="BL610" i="17"/>
  <c r="BL611" i="17"/>
  <c r="BL612" i="17"/>
  <c r="BL613" i="17"/>
  <c r="BL614" i="17"/>
  <c r="BL615" i="17"/>
  <c r="BL616" i="17"/>
  <c r="BL617" i="17"/>
  <c r="BL618" i="17"/>
  <c r="BL11" i="17"/>
  <c r="W211" i="22"/>
  <c r="W211" i="1"/>
  <c r="G211" i="26"/>
  <c r="O211" i="15"/>
  <c r="Q211" i="16"/>
  <c r="W210" i="22"/>
  <c r="G210" i="26"/>
  <c r="W210" i="1"/>
  <c r="G210" i="14"/>
  <c r="O210" i="15"/>
  <c r="I210" i="16"/>
  <c r="Q210" i="16"/>
  <c r="W209" i="22"/>
  <c r="O209" i="22"/>
  <c r="K209" i="22"/>
  <c r="AA209" i="26"/>
  <c r="W209" i="26"/>
  <c r="U209" i="26"/>
  <c r="Q209" i="26"/>
  <c r="W209" i="1"/>
  <c r="O209" i="1"/>
  <c r="K209" i="1"/>
  <c r="AA209" i="14"/>
  <c r="Q209" i="14"/>
  <c r="O209" i="15"/>
  <c r="Q209" i="16"/>
  <c r="W208" i="22"/>
  <c r="O208" i="22"/>
  <c r="K208" i="22"/>
  <c r="AA208" i="26"/>
  <c r="Y208" i="26"/>
  <c r="W208" i="26"/>
  <c r="U208" i="26"/>
  <c r="Q208" i="26"/>
  <c r="W208" i="1"/>
  <c r="O208" i="1"/>
  <c r="AA208" i="14"/>
  <c r="U208" i="14"/>
  <c r="Q208" i="14"/>
  <c r="S208" i="15"/>
  <c r="O208" i="15"/>
  <c r="I208" i="16"/>
  <c r="Q208" i="16"/>
  <c r="G208" i="10"/>
  <c r="AO206" i="22"/>
  <c r="W206" i="22"/>
  <c r="O206" i="15"/>
  <c r="I206" i="16"/>
  <c r="Q206" i="16"/>
  <c r="K205" i="22"/>
  <c r="AA205" i="26"/>
  <c r="W205" i="26"/>
  <c r="AA205" i="14"/>
  <c r="O205" i="15"/>
  <c r="I205" i="16"/>
  <c r="Q205" i="16"/>
  <c r="AX204" i="25" l="1"/>
  <c r="AE204" i="22"/>
  <c r="W204" i="22"/>
  <c r="O204" i="22"/>
  <c r="K204" i="22"/>
  <c r="O204" i="1"/>
  <c r="K204" i="1"/>
  <c r="AA204" i="26"/>
  <c r="W204" i="26"/>
  <c r="Q204" i="26"/>
  <c r="G204" i="26"/>
  <c r="AA204" i="14"/>
  <c r="Q204" i="14"/>
  <c r="O204" i="15"/>
  <c r="I204" i="16"/>
  <c r="Q204" i="16"/>
  <c r="AX203" i="25"/>
  <c r="AO193" i="22"/>
  <c r="AO203" i="22"/>
  <c r="W203" i="22"/>
  <c r="W203" i="1"/>
  <c r="G203" i="26"/>
  <c r="O203" i="15"/>
  <c r="I203" i="16"/>
  <c r="Q203" i="16"/>
  <c r="M200" i="15"/>
  <c r="O200" i="15"/>
  <c r="AG200" i="15" s="1"/>
  <c r="W200" i="22"/>
  <c r="G200" i="26"/>
  <c r="I200" i="16"/>
  <c r="Q200" i="16"/>
  <c r="AX199" i="25"/>
  <c r="O199" i="25"/>
  <c r="AE199" i="22"/>
  <c r="AO199" i="22" s="1"/>
  <c r="W199" i="22"/>
  <c r="O199" i="2"/>
  <c r="W199" i="1"/>
  <c r="O199" i="15"/>
  <c r="O199" i="17"/>
  <c r="I199" i="16"/>
  <c r="Q199" i="16"/>
  <c r="W196" i="22"/>
  <c r="W196" i="1"/>
  <c r="O196" i="15"/>
  <c r="I196" i="16"/>
  <c r="Q196" i="16"/>
  <c r="AI200" i="15" l="1"/>
  <c r="W194" i="22"/>
  <c r="O194" i="15"/>
  <c r="I194" i="16"/>
  <c r="Q194" i="16"/>
  <c r="G194" i="10"/>
  <c r="AX193" i="25"/>
  <c r="AR193" i="25"/>
  <c r="W193" i="22"/>
  <c r="O193" i="22"/>
  <c r="K193" i="22"/>
  <c r="AA193" i="26"/>
  <c r="Y193" i="26"/>
  <c r="W193" i="26"/>
  <c r="U193" i="26"/>
  <c r="Q193" i="26"/>
  <c r="W193" i="1"/>
  <c r="K193" i="1"/>
  <c r="O193" i="1"/>
  <c r="AA193" i="14"/>
  <c r="Q193" i="14"/>
  <c r="O193" i="15"/>
  <c r="I193" i="16"/>
  <c r="Q193" i="16"/>
  <c r="AX192" i="25"/>
  <c r="AE192" i="22"/>
  <c r="W192" i="22"/>
  <c r="W192" i="1"/>
  <c r="O192" i="15"/>
  <c r="I192" i="16"/>
  <c r="Q192" i="16"/>
  <c r="W191" i="22"/>
  <c r="O191" i="22"/>
  <c r="K191" i="22"/>
  <c r="AA191" i="26"/>
  <c r="W191" i="26"/>
  <c r="U191" i="26"/>
  <c r="Q191" i="26"/>
  <c r="O191" i="1"/>
  <c r="W191" i="1"/>
  <c r="K191" i="1"/>
  <c r="AA191" i="14"/>
  <c r="U191" i="14"/>
  <c r="Q191" i="14"/>
  <c r="O191" i="15"/>
  <c r="I191" i="16"/>
  <c r="Q191" i="16"/>
  <c r="W190" i="22"/>
  <c r="G190" i="26"/>
  <c r="W190" i="1"/>
  <c r="O190" i="15"/>
  <c r="I190" i="16"/>
  <c r="Q190" i="16"/>
  <c r="G190" i="10"/>
  <c r="W189" i="22"/>
  <c r="O189" i="15"/>
  <c r="I189" i="16"/>
  <c r="Q189" i="16"/>
  <c r="W188" i="22"/>
  <c r="G188" i="26"/>
  <c r="W188" i="1"/>
  <c r="O188" i="15"/>
  <c r="I188" i="16"/>
  <c r="Q188" i="16"/>
  <c r="W187" i="22"/>
  <c r="O187" i="15"/>
  <c r="I187" i="16"/>
  <c r="Q187" i="16"/>
  <c r="G187" i="10"/>
  <c r="W185" i="22"/>
  <c r="K185" i="22"/>
  <c r="O185" i="22"/>
  <c r="AA185" i="26"/>
  <c r="Y185" i="26"/>
  <c r="W185" i="26"/>
  <c r="Q185" i="26"/>
  <c r="W185" i="1"/>
  <c r="K185" i="1"/>
  <c r="O185" i="1"/>
  <c r="AA185" i="14"/>
  <c r="Q185" i="14"/>
  <c r="O185" i="15"/>
  <c r="I185" i="16"/>
  <c r="Q185" i="16"/>
  <c r="G185" i="10"/>
  <c r="W183" i="22"/>
  <c r="K183" i="22"/>
  <c r="O183" i="22"/>
  <c r="AA183" i="26"/>
  <c r="W183" i="26"/>
  <c r="U183" i="26"/>
  <c r="Q183" i="26"/>
  <c r="W183" i="1"/>
  <c r="AA183" i="14"/>
  <c r="Q183" i="14"/>
  <c r="O183" i="15"/>
  <c r="I183" i="16"/>
  <c r="Q183" i="16"/>
  <c r="AO181" i="22"/>
  <c r="O181" i="25"/>
  <c r="W181" i="22"/>
  <c r="AA181" i="26"/>
  <c r="W181" i="26"/>
  <c r="O181" i="2"/>
  <c r="W181" i="1"/>
  <c r="AA181" i="14"/>
  <c r="O181" i="17"/>
  <c r="AE181" i="15"/>
  <c r="O181" i="15"/>
  <c r="I181" i="16"/>
  <c r="Q181" i="16"/>
  <c r="W180" i="22"/>
  <c r="K180" i="22"/>
  <c r="O180" i="22"/>
  <c r="AA180" i="26"/>
  <c r="Y180" i="26"/>
  <c r="W180" i="26"/>
  <c r="Q180" i="26"/>
  <c r="G180" i="26"/>
  <c r="W180" i="1" l="1"/>
  <c r="K180" i="1"/>
  <c r="O180" i="1"/>
  <c r="AA180" i="14"/>
  <c r="Q180" i="14"/>
  <c r="S180" i="15"/>
  <c r="O180" i="15"/>
  <c r="I180" i="16"/>
  <c r="Q180" i="16"/>
  <c r="G180" i="10"/>
  <c r="W179" i="22" l="1"/>
  <c r="G179" i="26"/>
  <c r="W179" i="1"/>
  <c r="O179" i="15"/>
  <c r="I179" i="16"/>
  <c r="Q179" i="16"/>
  <c r="G179" i="10"/>
  <c r="AX178" i="25"/>
  <c r="W178" i="22"/>
  <c r="W178" i="1"/>
  <c r="O178" i="15"/>
  <c r="I178" i="16"/>
  <c r="Q178" i="16"/>
  <c r="W177" i="22"/>
  <c r="W177" i="1"/>
  <c r="O177" i="15"/>
  <c r="I177" i="16"/>
  <c r="Q177" i="16"/>
  <c r="G177" i="10"/>
  <c r="W176" i="22"/>
  <c r="K176" i="22"/>
  <c r="O176" i="22"/>
  <c r="AA176" i="26"/>
  <c r="W176" i="26"/>
  <c r="U176" i="26"/>
  <c r="Q176" i="26"/>
  <c r="K176" i="1"/>
  <c r="O176" i="1"/>
  <c r="AA176" i="14"/>
  <c r="Q176" i="14"/>
  <c r="O176" i="15"/>
  <c r="I176" i="16"/>
  <c r="Q176" i="16"/>
  <c r="M176" i="10"/>
  <c r="W174" i="22"/>
  <c r="O174" i="22"/>
  <c r="G174" i="26"/>
  <c r="W174" i="1"/>
  <c r="O174" i="1"/>
  <c r="O174" i="15"/>
  <c r="I174" i="16"/>
  <c r="Q174" i="16"/>
  <c r="G174" i="10"/>
  <c r="Q174" i="10"/>
  <c r="O173" i="25"/>
  <c r="AO173" i="22"/>
  <c r="W173" i="22"/>
  <c r="G173" i="14"/>
  <c r="O173" i="2"/>
  <c r="W173" i="1"/>
  <c r="O173" i="17"/>
  <c r="O173" i="15"/>
  <c r="I173" i="16"/>
  <c r="Q173" i="16"/>
  <c r="AO172" i="22" l="1"/>
  <c r="Y172" i="22"/>
  <c r="AK172" i="1"/>
  <c r="Y172" i="1"/>
  <c r="AE152" i="22"/>
  <c r="AO152" i="22" s="1"/>
  <c r="AE155" i="22"/>
  <c r="AO155" i="22" s="1"/>
  <c r="AO165" i="22"/>
  <c r="AX171" i="25"/>
  <c r="AO171" i="22"/>
  <c r="W171" i="22"/>
  <c r="G171" i="26"/>
  <c r="O171" i="15"/>
  <c r="I171" i="16"/>
  <c r="Q171" i="16"/>
  <c r="BN286" i="2"/>
  <c r="BN367" i="2"/>
  <c r="BN409" i="2"/>
  <c r="BN415" i="2"/>
  <c r="W168" i="22"/>
  <c r="K168" i="22"/>
  <c r="O168" i="22"/>
  <c r="AA168" i="26"/>
  <c r="W168" i="26"/>
  <c r="U168" i="26"/>
  <c r="Q168" i="26"/>
  <c r="W168" i="1"/>
  <c r="O168" i="1"/>
  <c r="AA168" i="14"/>
  <c r="Q168" i="14"/>
  <c r="I168" i="16"/>
  <c r="Q168" i="16"/>
  <c r="AM172" i="1" l="1"/>
  <c r="AQ172" i="22"/>
  <c r="AK167" i="22"/>
  <c r="W167" i="22"/>
  <c r="K167" i="22"/>
  <c r="O167" i="22"/>
  <c r="AA167" i="26"/>
  <c r="W167" i="26"/>
  <c r="U167" i="26"/>
  <c r="Q167" i="26"/>
  <c r="G167" i="26"/>
  <c r="AG167" i="1"/>
  <c r="W167" i="1"/>
  <c r="K167" i="1"/>
  <c r="O167" i="1"/>
  <c r="AA167" i="14"/>
  <c r="Q167" i="14"/>
  <c r="O167" i="15"/>
  <c r="Q167" i="16"/>
  <c r="G167" i="10"/>
  <c r="M167" i="10"/>
  <c r="W165" i="22" l="1"/>
  <c r="K165" i="22"/>
  <c r="O165" i="22"/>
  <c r="Q165" i="26"/>
  <c r="G165" i="26"/>
  <c r="W165" i="1"/>
  <c r="K165" i="1"/>
  <c r="O165" i="1"/>
  <c r="G165" i="14"/>
  <c r="O165" i="15"/>
  <c r="I165" i="16"/>
  <c r="Q165" i="16"/>
  <c r="O165" i="10"/>
  <c r="G165" i="10"/>
  <c r="W164" i="22"/>
  <c r="O164" i="15"/>
  <c r="I164" i="16"/>
  <c r="Q164" i="16"/>
  <c r="W162" i="22" l="1"/>
  <c r="W162" i="1"/>
  <c r="O162" i="15"/>
  <c r="I162" i="16"/>
  <c r="Q162" i="16"/>
  <c r="G162" i="10"/>
  <c r="W161" i="22"/>
  <c r="W161" i="1"/>
  <c r="S161" i="15"/>
  <c r="O161" i="15"/>
  <c r="I161" i="16"/>
  <c r="Q161" i="16"/>
  <c r="G161" i="10"/>
  <c r="W160" i="22"/>
  <c r="G160" i="26"/>
  <c r="W160" i="1"/>
  <c r="G160" i="14"/>
  <c r="O160" i="15"/>
  <c r="I160" i="16"/>
  <c r="Q160" i="16"/>
  <c r="AX159" i="25"/>
  <c r="W159" i="22"/>
  <c r="AA159" i="26"/>
  <c r="W159" i="26"/>
  <c r="U159" i="26"/>
  <c r="G159" i="26"/>
  <c r="W159" i="1"/>
  <c r="AA159" i="14"/>
  <c r="U159" i="14"/>
  <c r="O159" i="15"/>
  <c r="I159" i="16"/>
  <c r="Q159" i="16"/>
  <c r="O158" i="25"/>
  <c r="W158" i="22" l="1"/>
  <c r="O158" i="2"/>
  <c r="W158" i="1"/>
  <c r="O158" i="17"/>
  <c r="O158" i="15"/>
  <c r="I158" i="16"/>
  <c r="Q158" i="16"/>
  <c r="W156" i="22"/>
  <c r="W156" i="1"/>
  <c r="O156" i="15"/>
  <c r="I156" i="16"/>
  <c r="Q156" i="16"/>
  <c r="G156" i="10"/>
  <c r="AX155" i="25"/>
  <c r="W155" i="22"/>
  <c r="W155" i="26"/>
  <c r="U155" i="26"/>
  <c r="W155" i="1"/>
  <c r="U155" i="14"/>
  <c r="O155" i="15"/>
  <c r="I155" i="16"/>
  <c r="Q155" i="16"/>
  <c r="W154" i="22"/>
  <c r="W154" i="1"/>
  <c r="O154" i="15"/>
  <c r="I154" i="16"/>
  <c r="Q154" i="16"/>
  <c r="G154" i="10"/>
  <c r="AX153" i="25" l="1"/>
  <c r="W153" i="22"/>
  <c r="W153" i="1"/>
  <c r="G153" i="14"/>
  <c r="O153" i="15"/>
  <c r="I153" i="16"/>
  <c r="Q153" i="16"/>
  <c r="AR152" i="25"/>
  <c r="AK152" i="25"/>
  <c r="W152" i="22"/>
  <c r="K152" i="22"/>
  <c r="AA152" i="26"/>
  <c r="W152" i="26"/>
  <c r="W152" i="1"/>
  <c r="AA152" i="14"/>
  <c r="AO152" i="17"/>
  <c r="AM152" i="17"/>
  <c r="U152" i="15"/>
  <c r="O152" i="15"/>
  <c r="Q152" i="16"/>
  <c r="G152" i="10"/>
  <c r="O152" i="10"/>
  <c r="O151" i="25"/>
  <c r="W151" i="22"/>
  <c r="O151" i="2"/>
  <c r="O151" i="17"/>
  <c r="O151" i="15"/>
  <c r="Q151" i="16"/>
  <c r="W150" i="22"/>
  <c r="O150" i="15"/>
  <c r="Q150" i="16"/>
  <c r="O149" i="25"/>
  <c r="W149" i="22"/>
  <c r="O149" i="2"/>
  <c r="W149" i="1"/>
  <c r="O149" i="17"/>
  <c r="O149" i="15"/>
  <c r="Q149" i="16"/>
  <c r="W147" i="22"/>
  <c r="W147" i="1"/>
  <c r="O147" i="15"/>
  <c r="Q147" i="16"/>
  <c r="O146" i="25"/>
  <c r="W146" i="22"/>
  <c r="G146" i="26"/>
  <c r="O146" i="2"/>
  <c r="W146" i="1"/>
  <c r="O146" i="17"/>
  <c r="O146" i="15"/>
  <c r="Q146" i="16"/>
  <c r="Q146" i="10"/>
  <c r="AX145" i="25"/>
  <c r="W145" i="22"/>
  <c r="G145" i="26"/>
  <c r="W145" i="1"/>
  <c r="AA145" i="15"/>
  <c r="O145" i="15"/>
  <c r="Q145" i="16"/>
  <c r="G145" i="10"/>
  <c r="W142" i="22"/>
  <c r="K142" i="22"/>
  <c r="O142" i="22"/>
  <c r="AA142" i="26"/>
  <c r="W142" i="26"/>
  <c r="Q142" i="26"/>
  <c r="BX286" i="2"/>
  <c r="BX367" i="2"/>
  <c r="BX409" i="2"/>
  <c r="BX415" i="2"/>
  <c r="O142" i="1" l="1"/>
  <c r="W142" i="1"/>
  <c r="K142" i="1"/>
  <c r="AA142" i="14"/>
  <c r="Q142" i="14"/>
  <c r="O142" i="15"/>
  <c r="Q142" i="16"/>
  <c r="AC12" i="10"/>
  <c r="AD12" i="10"/>
  <c r="AC13" i="10"/>
  <c r="AD13" i="10"/>
  <c r="AC14" i="10"/>
  <c r="AD14" i="10"/>
  <c r="AC15" i="10"/>
  <c r="AD15" i="10"/>
  <c r="AC16" i="10"/>
  <c r="AD16" i="10"/>
  <c r="AC17" i="10"/>
  <c r="AD17" i="10"/>
  <c r="AC18" i="10"/>
  <c r="AD18" i="10"/>
  <c r="AC19" i="10"/>
  <c r="AD19" i="10"/>
  <c r="AC20" i="10"/>
  <c r="AD20" i="10"/>
  <c r="AC21" i="10"/>
  <c r="AD21" i="10"/>
  <c r="AC22" i="10"/>
  <c r="AD22" i="10"/>
  <c r="AC23" i="10"/>
  <c r="AD23" i="10"/>
  <c r="AC24" i="10"/>
  <c r="AD24" i="10"/>
  <c r="AC25" i="10"/>
  <c r="AD25" i="10"/>
  <c r="AC26" i="10"/>
  <c r="AD26" i="10"/>
  <c r="AC27" i="10"/>
  <c r="AD27" i="10"/>
  <c r="AC28" i="10"/>
  <c r="AD28" i="10"/>
  <c r="AC29" i="10"/>
  <c r="AD29" i="10"/>
  <c r="AC30" i="10"/>
  <c r="AD30" i="10"/>
  <c r="AC31" i="10"/>
  <c r="AD31" i="10"/>
  <c r="AC32" i="10"/>
  <c r="AD32" i="10"/>
  <c r="AC33" i="10"/>
  <c r="AD33" i="10"/>
  <c r="AC34" i="10"/>
  <c r="AD34" i="10"/>
  <c r="AC35" i="10"/>
  <c r="AD35" i="10"/>
  <c r="AC36" i="10"/>
  <c r="AD36" i="10"/>
  <c r="AC37" i="10"/>
  <c r="AD37" i="10"/>
  <c r="AC38" i="10"/>
  <c r="AD38" i="10"/>
  <c r="AC39" i="10"/>
  <c r="AD39" i="10"/>
  <c r="AC40" i="10"/>
  <c r="AD40" i="10"/>
  <c r="AC41" i="10"/>
  <c r="AD41" i="10"/>
  <c r="AC42" i="10"/>
  <c r="AD42" i="10"/>
  <c r="AC43" i="10"/>
  <c r="AD43" i="10"/>
  <c r="AC44" i="10"/>
  <c r="AD44" i="10"/>
  <c r="AC45" i="10"/>
  <c r="AD45" i="10"/>
  <c r="AC46" i="10"/>
  <c r="AD46" i="10"/>
  <c r="AC47" i="10"/>
  <c r="AD47" i="10"/>
  <c r="AC48" i="10"/>
  <c r="AD48" i="10"/>
  <c r="AC49" i="10"/>
  <c r="AD49" i="10"/>
  <c r="AC50" i="10"/>
  <c r="AD50" i="10"/>
  <c r="AC51" i="10"/>
  <c r="AD51" i="10"/>
  <c r="AC52" i="10"/>
  <c r="AD52" i="10"/>
  <c r="AC53" i="10"/>
  <c r="AD53" i="10"/>
  <c r="AC54" i="10"/>
  <c r="AD54" i="10"/>
  <c r="AC55" i="10"/>
  <c r="AD55" i="10"/>
  <c r="AC56" i="10"/>
  <c r="AD56" i="10"/>
  <c r="AC57" i="10"/>
  <c r="AD57" i="10"/>
  <c r="AC58" i="10"/>
  <c r="AD58" i="10"/>
  <c r="AC59" i="10"/>
  <c r="AD59" i="10"/>
  <c r="AC60" i="10"/>
  <c r="AD60" i="10"/>
  <c r="AC61" i="10"/>
  <c r="AD61" i="10"/>
  <c r="AC62" i="10"/>
  <c r="AD62" i="10"/>
  <c r="AC63" i="10"/>
  <c r="AD63" i="10"/>
  <c r="AC64" i="10"/>
  <c r="AD64" i="10"/>
  <c r="AC65" i="10"/>
  <c r="AD65" i="10"/>
  <c r="AC66" i="10"/>
  <c r="AD66" i="10"/>
  <c r="AC67" i="10"/>
  <c r="AD67" i="10"/>
  <c r="AC68" i="10"/>
  <c r="AD68" i="10"/>
  <c r="AC69" i="10"/>
  <c r="AD69" i="10"/>
  <c r="AC70" i="10"/>
  <c r="AD70" i="10"/>
  <c r="AC71" i="10"/>
  <c r="AD71" i="10"/>
  <c r="AC72" i="10"/>
  <c r="AD72" i="10"/>
  <c r="AC73" i="10"/>
  <c r="AD73" i="10"/>
  <c r="AC74" i="10"/>
  <c r="AD74" i="10"/>
  <c r="AC75" i="10"/>
  <c r="AD75" i="10"/>
  <c r="AC76" i="10"/>
  <c r="AD76" i="10"/>
  <c r="AC77" i="10"/>
  <c r="AD77" i="10"/>
  <c r="AC78" i="10"/>
  <c r="AD78" i="10"/>
  <c r="AC79" i="10"/>
  <c r="AD79" i="10"/>
  <c r="AC80" i="10"/>
  <c r="AD80" i="10"/>
  <c r="AC81" i="10"/>
  <c r="AD81" i="10"/>
  <c r="AC82" i="10"/>
  <c r="AD82" i="10"/>
  <c r="AC83" i="10"/>
  <c r="AD83" i="10"/>
  <c r="AC84" i="10"/>
  <c r="AD84" i="10"/>
  <c r="AC85" i="10"/>
  <c r="AD85" i="10"/>
  <c r="AC86" i="10"/>
  <c r="AD86" i="10"/>
  <c r="AC87" i="10"/>
  <c r="AD87" i="10"/>
  <c r="AC89" i="10"/>
  <c r="AD89" i="10"/>
  <c r="AC88" i="10"/>
  <c r="AD88" i="10"/>
  <c r="AC90" i="10"/>
  <c r="AD90" i="10"/>
  <c r="AC91" i="10"/>
  <c r="AD91" i="10"/>
  <c r="AC92" i="10"/>
  <c r="AD92" i="10"/>
  <c r="AC93" i="10"/>
  <c r="AD93" i="10"/>
  <c r="AC94" i="10"/>
  <c r="AD94" i="10"/>
  <c r="AC95" i="10"/>
  <c r="AD95" i="10"/>
  <c r="AC96" i="10"/>
  <c r="AD96" i="10"/>
  <c r="AC97" i="10"/>
  <c r="AD97" i="10"/>
  <c r="AC98" i="10"/>
  <c r="AD98" i="10"/>
  <c r="AC99" i="10"/>
  <c r="AD99" i="10"/>
  <c r="AC100" i="10"/>
  <c r="AD100" i="10"/>
  <c r="AC101" i="10"/>
  <c r="AD101" i="10"/>
  <c r="AC102" i="10"/>
  <c r="AD102" i="10"/>
  <c r="AC103" i="10"/>
  <c r="AD103" i="10"/>
  <c r="AC104" i="10"/>
  <c r="AD104" i="10"/>
  <c r="AC105" i="10"/>
  <c r="AD105" i="10"/>
  <c r="AC106" i="10"/>
  <c r="AD106" i="10"/>
  <c r="AC107" i="10"/>
  <c r="AD107" i="10"/>
  <c r="AC108" i="10"/>
  <c r="AD108" i="10"/>
  <c r="AC109" i="10"/>
  <c r="AD109" i="10"/>
  <c r="AC110" i="10"/>
  <c r="AD110" i="10"/>
  <c r="AC111" i="10"/>
  <c r="AD111" i="10"/>
  <c r="AC112" i="10"/>
  <c r="AD112" i="10"/>
  <c r="AC113" i="10"/>
  <c r="AD113" i="10"/>
  <c r="AC114" i="10"/>
  <c r="AD114" i="10"/>
  <c r="AC115" i="10"/>
  <c r="AD115" i="10"/>
  <c r="AC116" i="10"/>
  <c r="AD116" i="10"/>
  <c r="AC117" i="10"/>
  <c r="AD117" i="10"/>
  <c r="AC118" i="10"/>
  <c r="AD118" i="10"/>
  <c r="AC119" i="10"/>
  <c r="AD119" i="10"/>
  <c r="AC120" i="10"/>
  <c r="AD120" i="10"/>
  <c r="AC121" i="10"/>
  <c r="AD121" i="10"/>
  <c r="AC122" i="10"/>
  <c r="AD122" i="10"/>
  <c r="AC123" i="10"/>
  <c r="AD123" i="10"/>
  <c r="AC124" i="10"/>
  <c r="AD124" i="10"/>
  <c r="AC125" i="10"/>
  <c r="AD125" i="10"/>
  <c r="AC126" i="10"/>
  <c r="AD126" i="10"/>
  <c r="AC127" i="10"/>
  <c r="AD127" i="10"/>
  <c r="AC128" i="10"/>
  <c r="AD128" i="10"/>
  <c r="AC129" i="10"/>
  <c r="AD129" i="10"/>
  <c r="AC130" i="10"/>
  <c r="AD130" i="10"/>
  <c r="AC131" i="10"/>
  <c r="AD131" i="10"/>
  <c r="AC132" i="10"/>
  <c r="AD132" i="10"/>
  <c r="AC133" i="10"/>
  <c r="AD133" i="10"/>
  <c r="AC134" i="10"/>
  <c r="AD134" i="10"/>
  <c r="AC135" i="10"/>
  <c r="AD135" i="10"/>
  <c r="AC136" i="10"/>
  <c r="AD136" i="10"/>
  <c r="AC137" i="10"/>
  <c r="AD137" i="10"/>
  <c r="AC138" i="10"/>
  <c r="AD138" i="10"/>
  <c r="AC139" i="10"/>
  <c r="AD139" i="10"/>
  <c r="AC140" i="10"/>
  <c r="AD140" i="10"/>
  <c r="AC141" i="10"/>
  <c r="AD141" i="10"/>
  <c r="AC142" i="10"/>
  <c r="AD142" i="10"/>
  <c r="AC143" i="10"/>
  <c r="AD143" i="10"/>
  <c r="AC144" i="10"/>
  <c r="AD144" i="10"/>
  <c r="AC145" i="10"/>
  <c r="AD145" i="10"/>
  <c r="AC146" i="10"/>
  <c r="AD146" i="10"/>
  <c r="AC147" i="10"/>
  <c r="AD147" i="10"/>
  <c r="AC148" i="10"/>
  <c r="AD148" i="10"/>
  <c r="AC149" i="10"/>
  <c r="AD149" i="10"/>
  <c r="AC150" i="10"/>
  <c r="AD150" i="10"/>
  <c r="AC151" i="10"/>
  <c r="AD151" i="10"/>
  <c r="AC152" i="10"/>
  <c r="AD152" i="10"/>
  <c r="AC153" i="10"/>
  <c r="AD153" i="10"/>
  <c r="AC154" i="10"/>
  <c r="AD154" i="10"/>
  <c r="AC155" i="10"/>
  <c r="AD155" i="10"/>
  <c r="AC156" i="10"/>
  <c r="AD156" i="10"/>
  <c r="AC157" i="10"/>
  <c r="AD157" i="10"/>
  <c r="AC158" i="10"/>
  <c r="AD158" i="10"/>
  <c r="AC159" i="10"/>
  <c r="AD159" i="10"/>
  <c r="AC160" i="10"/>
  <c r="AD160" i="10"/>
  <c r="AC161" i="10"/>
  <c r="AD161" i="10"/>
  <c r="AC162" i="10"/>
  <c r="AD162" i="10"/>
  <c r="AC163" i="10"/>
  <c r="AD163" i="10"/>
  <c r="AC164" i="10"/>
  <c r="AD164" i="10"/>
  <c r="AC165" i="10"/>
  <c r="AD165" i="10"/>
  <c r="AC166" i="10"/>
  <c r="AD166" i="10"/>
  <c r="AC167" i="10"/>
  <c r="AD167" i="10"/>
  <c r="AC168" i="10"/>
  <c r="AD168" i="10"/>
  <c r="AC169" i="10"/>
  <c r="AD169" i="10"/>
  <c r="AC170" i="10"/>
  <c r="AD170" i="10"/>
  <c r="AC171" i="10"/>
  <c r="AD171" i="10"/>
  <c r="AC172" i="10"/>
  <c r="AD172" i="10"/>
  <c r="AC173" i="10"/>
  <c r="AD173" i="10"/>
  <c r="AC174" i="10"/>
  <c r="AD174" i="10"/>
  <c r="AC175" i="10"/>
  <c r="AD175" i="10"/>
  <c r="AC176" i="10"/>
  <c r="AD176" i="10"/>
  <c r="AC177" i="10"/>
  <c r="AD177" i="10"/>
  <c r="AC178" i="10"/>
  <c r="AD178" i="10"/>
  <c r="AC179" i="10"/>
  <c r="AD179" i="10"/>
  <c r="AC180" i="10"/>
  <c r="AD180" i="10"/>
  <c r="AC181" i="10"/>
  <c r="AD181" i="10"/>
  <c r="AC182" i="10"/>
  <c r="AD182" i="10"/>
  <c r="AC183" i="10"/>
  <c r="AD183" i="10"/>
  <c r="AC184" i="10"/>
  <c r="AD184" i="10"/>
  <c r="AC185" i="10"/>
  <c r="AD185" i="10"/>
  <c r="AC186" i="10"/>
  <c r="AD186" i="10"/>
  <c r="AC187" i="10"/>
  <c r="AD187" i="10"/>
  <c r="AC188" i="10"/>
  <c r="AD188" i="10"/>
  <c r="AC189" i="10"/>
  <c r="AD189" i="10"/>
  <c r="AC190" i="10"/>
  <c r="AD190" i="10"/>
  <c r="AC191" i="10"/>
  <c r="AD191" i="10"/>
  <c r="AC192" i="10"/>
  <c r="AD192" i="10"/>
  <c r="AC193" i="10"/>
  <c r="AD193" i="10"/>
  <c r="AC194" i="10"/>
  <c r="AD194" i="10"/>
  <c r="AC195" i="10"/>
  <c r="AD195" i="10"/>
  <c r="AC196" i="10"/>
  <c r="AD196" i="10"/>
  <c r="AC197" i="10"/>
  <c r="AD197" i="10"/>
  <c r="AC198" i="10"/>
  <c r="AD198" i="10"/>
  <c r="AC199" i="10"/>
  <c r="AD199" i="10"/>
  <c r="AC200" i="10"/>
  <c r="AD200" i="10"/>
  <c r="AC201" i="10"/>
  <c r="AD201" i="10"/>
  <c r="AC202" i="10"/>
  <c r="AD202" i="10"/>
  <c r="AC203" i="10"/>
  <c r="AD203" i="10"/>
  <c r="AC204" i="10"/>
  <c r="AD204" i="10"/>
  <c r="AC205" i="10"/>
  <c r="AD205" i="10"/>
  <c r="AC206" i="10"/>
  <c r="AD206" i="10"/>
  <c r="AC207" i="10"/>
  <c r="AD207" i="10"/>
  <c r="AC208" i="10"/>
  <c r="AD208" i="10"/>
  <c r="AC209" i="10"/>
  <c r="AD209" i="10"/>
  <c r="AC210" i="10"/>
  <c r="AD210" i="10"/>
  <c r="AC211" i="10"/>
  <c r="AD211" i="10"/>
  <c r="AC212" i="10"/>
  <c r="AD212" i="10"/>
  <c r="AC213" i="10"/>
  <c r="AD213" i="10"/>
  <c r="AC214" i="10"/>
  <c r="AD214" i="10"/>
  <c r="AC215" i="10"/>
  <c r="AD215" i="10"/>
  <c r="AC216" i="10"/>
  <c r="AD216" i="10"/>
  <c r="AC217" i="10"/>
  <c r="AD217" i="10"/>
  <c r="AC218" i="10"/>
  <c r="AD218" i="10"/>
  <c r="AC219" i="10"/>
  <c r="AD219" i="10"/>
  <c r="AC220" i="10"/>
  <c r="AD220" i="10"/>
  <c r="AC221" i="10"/>
  <c r="AD221" i="10"/>
  <c r="AC222" i="10"/>
  <c r="AD222" i="10"/>
  <c r="AC223" i="10"/>
  <c r="AD223" i="10"/>
  <c r="AC224" i="10"/>
  <c r="AD224" i="10"/>
  <c r="AC225" i="10"/>
  <c r="AD225" i="10"/>
  <c r="AC226" i="10"/>
  <c r="AD226" i="10"/>
  <c r="AC227" i="10"/>
  <c r="AD227" i="10"/>
  <c r="AC228" i="10"/>
  <c r="AD228" i="10"/>
  <c r="AC229" i="10"/>
  <c r="AD229" i="10"/>
  <c r="AC230" i="10"/>
  <c r="AD230" i="10"/>
  <c r="AC231" i="10"/>
  <c r="AD231" i="10"/>
  <c r="AC232" i="10"/>
  <c r="AD232" i="10"/>
  <c r="AC233" i="10"/>
  <c r="AD233" i="10"/>
  <c r="AC234" i="10"/>
  <c r="AD234" i="10"/>
  <c r="AC235" i="10"/>
  <c r="AD235" i="10"/>
  <c r="AC236" i="10"/>
  <c r="AD236" i="10"/>
  <c r="AC237" i="10"/>
  <c r="AD237" i="10"/>
  <c r="AC238" i="10"/>
  <c r="AD238" i="10"/>
  <c r="AC239" i="10"/>
  <c r="AD239" i="10"/>
  <c r="AC240" i="10"/>
  <c r="AD240" i="10"/>
  <c r="AC241" i="10"/>
  <c r="AD241" i="10"/>
  <c r="AC242" i="10"/>
  <c r="AD242" i="10"/>
  <c r="AC243" i="10"/>
  <c r="AD243" i="10"/>
  <c r="AC244" i="10"/>
  <c r="AD244" i="10"/>
  <c r="AC245" i="10"/>
  <c r="AD245" i="10"/>
  <c r="AC246" i="10"/>
  <c r="AD246" i="10"/>
  <c r="AC247" i="10"/>
  <c r="AD247" i="10"/>
  <c r="AC248" i="10"/>
  <c r="AD248" i="10"/>
  <c r="AC249" i="10"/>
  <c r="AD249" i="10"/>
  <c r="AC250" i="10"/>
  <c r="AD250" i="10"/>
  <c r="AC251" i="10"/>
  <c r="AD251" i="10"/>
  <c r="AC252" i="10"/>
  <c r="AD252" i="10"/>
  <c r="AC253" i="10"/>
  <c r="AD253" i="10"/>
  <c r="AC254" i="10"/>
  <c r="AD254" i="10"/>
  <c r="AC255" i="10"/>
  <c r="AD255" i="10"/>
  <c r="AC256" i="10"/>
  <c r="AD256" i="10"/>
  <c r="AC257" i="10"/>
  <c r="AD257" i="10"/>
  <c r="AC258" i="10"/>
  <c r="AD258" i="10"/>
  <c r="AC259" i="10"/>
  <c r="AD259" i="10"/>
  <c r="AC260" i="10"/>
  <c r="AD260" i="10"/>
  <c r="AC261" i="10"/>
  <c r="AD261" i="10"/>
  <c r="AC262" i="10"/>
  <c r="AD262" i="10"/>
  <c r="AC263" i="10"/>
  <c r="AD263" i="10"/>
  <c r="AC264" i="10"/>
  <c r="AD264" i="10"/>
  <c r="AC265" i="10"/>
  <c r="AD265" i="10"/>
  <c r="AC266" i="10"/>
  <c r="AD266" i="10"/>
  <c r="AC267" i="10"/>
  <c r="AD267" i="10"/>
  <c r="AC268" i="10"/>
  <c r="AD268" i="10"/>
  <c r="AC269" i="10"/>
  <c r="AD269" i="10"/>
  <c r="AC270" i="10"/>
  <c r="AD270" i="10"/>
  <c r="AC271" i="10"/>
  <c r="AD271" i="10"/>
  <c r="AC272" i="10"/>
  <c r="AD272" i="10"/>
  <c r="AC273" i="10"/>
  <c r="AD273" i="10"/>
  <c r="AC274" i="10"/>
  <c r="AD274" i="10"/>
  <c r="AC275" i="10"/>
  <c r="AD275" i="10"/>
  <c r="AC276" i="10"/>
  <c r="AD276" i="10"/>
  <c r="AC277" i="10"/>
  <c r="AD277" i="10"/>
  <c r="AC278" i="10"/>
  <c r="AD278" i="10"/>
  <c r="AC279" i="10"/>
  <c r="AD279" i="10"/>
  <c r="AC280" i="10"/>
  <c r="AD280" i="10"/>
  <c r="AC281" i="10"/>
  <c r="AD281" i="10"/>
  <c r="AC282" i="10"/>
  <c r="AD282" i="10"/>
  <c r="AC283" i="10"/>
  <c r="AD283" i="10"/>
  <c r="AC284" i="10"/>
  <c r="AD284" i="10"/>
  <c r="AC285" i="10"/>
  <c r="AD285" i="10"/>
  <c r="AC286" i="10"/>
  <c r="AD286" i="10"/>
  <c r="AC287" i="10"/>
  <c r="AD287" i="10"/>
  <c r="AC288" i="10"/>
  <c r="AD288" i="10"/>
  <c r="AC290" i="10"/>
  <c r="AD290" i="10"/>
  <c r="AC291" i="10"/>
  <c r="AD291" i="10"/>
  <c r="AC292" i="10"/>
  <c r="AD292" i="10"/>
  <c r="AC289" i="10"/>
  <c r="AD289" i="10"/>
  <c r="AC293" i="10"/>
  <c r="AD293" i="10"/>
  <c r="AC294" i="10"/>
  <c r="AD294" i="10"/>
  <c r="AC295" i="10"/>
  <c r="AD295" i="10"/>
  <c r="AC296" i="10"/>
  <c r="AD296" i="10"/>
  <c r="AC297" i="10"/>
  <c r="AD297" i="10"/>
  <c r="AC298" i="10"/>
  <c r="AD298" i="10"/>
  <c r="AC299" i="10"/>
  <c r="AD299" i="10"/>
  <c r="AC300" i="10"/>
  <c r="AD300" i="10"/>
  <c r="AC301" i="10"/>
  <c r="AD301" i="10"/>
  <c r="AC302" i="10"/>
  <c r="AD302" i="10"/>
  <c r="AC303" i="10"/>
  <c r="AD303" i="10"/>
  <c r="AC304" i="10"/>
  <c r="AD304" i="10"/>
  <c r="AC305" i="10"/>
  <c r="AD305" i="10"/>
  <c r="AC306" i="10"/>
  <c r="AD306" i="10"/>
  <c r="AC307" i="10"/>
  <c r="AD307" i="10"/>
  <c r="AC308" i="10"/>
  <c r="AD308" i="10"/>
  <c r="AC309" i="10"/>
  <c r="AD309" i="10"/>
  <c r="AC310" i="10"/>
  <c r="AD310" i="10"/>
  <c r="AC311" i="10"/>
  <c r="AD311" i="10"/>
  <c r="AC312" i="10"/>
  <c r="AD312" i="10"/>
  <c r="AC313" i="10"/>
  <c r="AD313" i="10"/>
  <c r="AC314" i="10"/>
  <c r="AD314" i="10"/>
  <c r="AC315" i="10"/>
  <c r="AD315" i="10"/>
  <c r="AC316" i="10"/>
  <c r="AD316" i="10"/>
  <c r="AC317" i="10"/>
  <c r="AD317" i="10"/>
  <c r="AC319" i="10"/>
  <c r="AD319" i="10"/>
  <c r="AC320" i="10"/>
  <c r="AD320" i="10"/>
  <c r="AC321" i="10"/>
  <c r="AD321" i="10"/>
  <c r="AC322" i="10"/>
  <c r="AD322" i="10"/>
  <c r="AC323" i="10"/>
  <c r="AD323" i="10"/>
  <c r="AC324" i="10"/>
  <c r="AD324" i="10"/>
  <c r="AC325" i="10"/>
  <c r="AD325" i="10"/>
  <c r="AC326" i="10"/>
  <c r="AD326" i="10"/>
  <c r="AC327" i="10"/>
  <c r="AD327" i="10"/>
  <c r="AC328" i="10"/>
  <c r="AD328" i="10"/>
  <c r="AC329" i="10"/>
  <c r="AD329" i="10"/>
  <c r="AC330" i="10"/>
  <c r="AD330" i="10"/>
  <c r="AC331" i="10"/>
  <c r="AD331" i="10"/>
  <c r="AC332" i="10"/>
  <c r="AD332" i="10"/>
  <c r="AC333" i="10"/>
  <c r="AD333" i="10"/>
  <c r="AC334" i="10"/>
  <c r="AD334" i="10"/>
  <c r="AC335" i="10"/>
  <c r="AD335" i="10"/>
  <c r="AC336" i="10"/>
  <c r="AD336" i="10"/>
  <c r="AC337" i="10"/>
  <c r="AD337" i="10"/>
  <c r="AC338" i="10"/>
  <c r="AD338" i="10"/>
  <c r="AC339" i="10"/>
  <c r="AD339" i="10"/>
  <c r="AC340" i="10"/>
  <c r="AD340" i="10"/>
  <c r="AC341" i="10"/>
  <c r="AD341" i="10"/>
  <c r="AC342" i="10"/>
  <c r="AD342" i="10"/>
  <c r="AC343" i="10"/>
  <c r="AD343" i="10"/>
  <c r="AC344" i="10"/>
  <c r="AD344" i="10"/>
  <c r="AC345" i="10"/>
  <c r="AD345" i="10"/>
  <c r="AC347" i="10"/>
  <c r="AD347" i="10"/>
  <c r="AC348" i="10"/>
  <c r="AD348" i="10"/>
  <c r="AC349" i="10"/>
  <c r="AD349" i="10"/>
  <c r="AC350" i="10"/>
  <c r="AD350" i="10"/>
  <c r="AC351" i="10"/>
  <c r="AD351" i="10"/>
  <c r="AC352" i="10"/>
  <c r="AD352" i="10"/>
  <c r="AC353" i="10"/>
  <c r="AD353" i="10"/>
  <c r="AC354" i="10"/>
  <c r="AD354" i="10"/>
  <c r="AC355" i="10"/>
  <c r="AD355" i="10"/>
  <c r="AC356" i="10"/>
  <c r="AD356" i="10"/>
  <c r="AC357" i="10"/>
  <c r="AD357" i="10"/>
  <c r="AC358" i="10"/>
  <c r="AD358" i="10"/>
  <c r="AC359" i="10"/>
  <c r="AD359" i="10"/>
  <c r="AC360" i="10"/>
  <c r="AD360" i="10"/>
  <c r="AC361" i="10"/>
  <c r="AD361" i="10"/>
  <c r="AC362" i="10"/>
  <c r="AD362" i="10"/>
  <c r="AC363" i="10"/>
  <c r="AD363" i="10"/>
  <c r="AC364" i="10"/>
  <c r="AD364" i="10"/>
  <c r="AC365" i="10"/>
  <c r="AD365" i="10"/>
  <c r="AC366" i="10"/>
  <c r="AD366" i="10"/>
  <c r="AC367" i="10"/>
  <c r="AD367" i="10"/>
  <c r="AC368" i="10"/>
  <c r="AD368" i="10"/>
  <c r="AC369" i="10"/>
  <c r="AD369" i="10"/>
  <c r="AC370" i="10"/>
  <c r="AD370" i="10"/>
  <c r="AC371" i="10"/>
  <c r="AD371" i="10"/>
  <c r="AC372" i="10"/>
  <c r="AD372" i="10"/>
  <c r="AC373" i="10"/>
  <c r="AD373" i="10"/>
  <c r="AC374" i="10"/>
  <c r="AD374" i="10"/>
  <c r="AC375" i="10"/>
  <c r="AD375" i="10"/>
  <c r="AC376" i="10"/>
  <c r="AD376" i="10"/>
  <c r="AC377" i="10"/>
  <c r="AD377" i="10"/>
  <c r="AC378" i="10"/>
  <c r="AD378" i="10"/>
  <c r="AC379" i="10"/>
  <c r="AD379" i="10"/>
  <c r="AC380" i="10"/>
  <c r="AD380" i="10"/>
  <c r="AC381" i="10"/>
  <c r="AD381" i="10"/>
  <c r="AC382" i="10"/>
  <c r="AD382" i="10"/>
  <c r="AC383" i="10"/>
  <c r="AD383" i="10"/>
  <c r="AC384" i="10"/>
  <c r="AD384" i="10"/>
  <c r="AC385" i="10"/>
  <c r="AD385" i="10"/>
  <c r="AC386" i="10"/>
  <c r="AD386" i="10"/>
  <c r="AC387" i="10"/>
  <c r="AD387" i="10"/>
  <c r="AC388" i="10"/>
  <c r="AD388" i="10"/>
  <c r="AC389" i="10"/>
  <c r="AD389" i="10"/>
  <c r="AC390" i="10"/>
  <c r="AD390" i="10"/>
  <c r="AC391" i="10"/>
  <c r="AD391" i="10"/>
  <c r="AC392" i="10"/>
  <c r="AD392" i="10"/>
  <c r="AC393" i="10"/>
  <c r="AD393" i="10"/>
  <c r="AC394" i="10"/>
  <c r="AD394" i="10"/>
  <c r="AC395" i="10"/>
  <c r="AD395" i="10"/>
  <c r="AC396" i="10"/>
  <c r="AD396" i="10"/>
  <c r="AC397" i="10"/>
  <c r="AD397" i="10"/>
  <c r="AC398" i="10"/>
  <c r="AD398" i="10"/>
  <c r="AC399" i="10"/>
  <c r="AD399" i="10"/>
  <c r="AC401" i="10"/>
  <c r="AD401" i="10"/>
  <c r="AC402" i="10"/>
  <c r="AD402" i="10"/>
  <c r="AC403" i="10"/>
  <c r="AD403" i="10"/>
  <c r="AC404" i="10"/>
  <c r="AD404" i="10"/>
  <c r="AC405" i="10"/>
  <c r="AD405" i="10"/>
  <c r="AC406" i="10"/>
  <c r="AD406" i="10"/>
  <c r="AC407" i="10"/>
  <c r="AD407" i="10"/>
  <c r="AC408" i="10"/>
  <c r="AD408" i="10"/>
  <c r="AC409" i="10"/>
  <c r="AD409" i="10"/>
  <c r="AC410" i="10"/>
  <c r="AD410" i="10"/>
  <c r="AC411" i="10"/>
  <c r="AD411" i="10"/>
  <c r="AC412" i="10"/>
  <c r="AD412" i="10"/>
  <c r="AC414" i="10"/>
  <c r="AD414" i="10"/>
  <c r="AC415" i="10"/>
  <c r="AD415" i="10"/>
  <c r="AC416" i="10"/>
  <c r="AD416" i="10"/>
  <c r="AC417" i="10"/>
  <c r="AD417" i="10"/>
  <c r="AC418" i="10"/>
  <c r="AD418" i="10"/>
  <c r="AC419" i="10"/>
  <c r="AD419" i="10"/>
  <c r="AC420" i="10"/>
  <c r="AD420" i="10"/>
  <c r="AC421" i="10"/>
  <c r="AD421" i="10"/>
  <c r="AC422" i="10"/>
  <c r="AD422" i="10"/>
  <c r="AC423" i="10"/>
  <c r="AD423" i="10"/>
  <c r="AC424" i="10"/>
  <c r="AD424" i="10"/>
  <c r="AC425" i="10"/>
  <c r="AD425" i="10"/>
  <c r="AC426" i="10"/>
  <c r="AD426" i="10"/>
  <c r="AC427" i="10"/>
  <c r="AD427" i="10"/>
  <c r="AC428" i="10"/>
  <c r="AD428" i="10"/>
  <c r="AC429" i="10"/>
  <c r="AD429" i="10"/>
  <c r="AC430" i="10"/>
  <c r="AD430" i="10"/>
  <c r="AC431" i="10"/>
  <c r="AD431" i="10"/>
  <c r="AC432" i="10"/>
  <c r="AD432" i="10"/>
  <c r="AC433" i="10"/>
  <c r="AD433" i="10"/>
  <c r="AC434" i="10"/>
  <c r="AD434" i="10"/>
  <c r="AC435" i="10"/>
  <c r="AD435" i="10"/>
  <c r="AC436" i="10"/>
  <c r="AD436" i="10"/>
  <c r="AC437" i="10"/>
  <c r="AD437" i="10"/>
  <c r="AC438" i="10"/>
  <c r="AD438" i="10"/>
  <c r="AC439" i="10"/>
  <c r="AD439" i="10"/>
  <c r="AC440" i="10"/>
  <c r="AD440" i="10"/>
  <c r="AC441" i="10"/>
  <c r="AD441" i="10"/>
  <c r="AC442" i="10"/>
  <c r="AD442" i="10"/>
  <c r="AC443" i="10"/>
  <c r="AD443" i="10"/>
  <c r="AC444" i="10"/>
  <c r="AD444" i="10"/>
  <c r="AC445" i="10"/>
  <c r="AD445" i="10"/>
  <c r="AC446" i="10"/>
  <c r="AD446" i="10"/>
  <c r="AC447" i="10"/>
  <c r="AD447" i="10"/>
  <c r="AC448" i="10"/>
  <c r="AD448" i="10"/>
  <c r="AC449" i="10"/>
  <c r="AD449" i="10"/>
  <c r="AC450" i="10"/>
  <c r="AD450" i="10"/>
  <c r="AC451" i="10"/>
  <c r="AD451" i="10"/>
  <c r="AC452" i="10"/>
  <c r="AD452" i="10"/>
  <c r="AC453" i="10"/>
  <c r="AD453" i="10"/>
  <c r="AC454" i="10"/>
  <c r="AD454" i="10"/>
  <c r="AC455" i="10"/>
  <c r="AD455" i="10"/>
  <c r="AC457" i="10"/>
  <c r="AD457" i="10"/>
  <c r="AC458" i="10"/>
  <c r="AD458" i="10"/>
  <c r="AC459" i="10"/>
  <c r="AD459" i="10"/>
  <c r="AC460" i="10"/>
  <c r="AD460" i="10"/>
  <c r="AC461" i="10"/>
  <c r="AD461" i="10"/>
  <c r="AC462" i="10"/>
  <c r="AD462" i="10"/>
  <c r="AC463" i="10"/>
  <c r="AD463" i="10"/>
  <c r="AC464" i="10"/>
  <c r="AD464" i="10"/>
  <c r="AC465" i="10"/>
  <c r="AD465" i="10"/>
  <c r="AC466" i="10"/>
  <c r="AD466" i="10"/>
  <c r="AC467" i="10"/>
  <c r="AD467" i="10"/>
  <c r="AC468" i="10"/>
  <c r="AD468" i="10"/>
  <c r="AC469" i="10"/>
  <c r="AD469" i="10"/>
  <c r="AC470" i="10"/>
  <c r="AD470" i="10"/>
  <c r="AC471" i="10"/>
  <c r="AD471" i="10"/>
  <c r="AC472" i="10"/>
  <c r="AD472" i="10"/>
  <c r="AC473" i="10"/>
  <c r="AD473" i="10"/>
  <c r="AC474" i="10"/>
  <c r="AD474" i="10"/>
  <c r="AC475" i="10"/>
  <c r="AD475" i="10"/>
  <c r="AC476" i="10"/>
  <c r="AD476" i="10"/>
  <c r="AC477" i="10"/>
  <c r="AD477" i="10"/>
  <c r="AC478" i="10"/>
  <c r="AD478" i="10"/>
  <c r="AC479" i="10"/>
  <c r="AD479" i="10"/>
  <c r="AC480" i="10"/>
  <c r="AD480" i="10"/>
  <c r="AC481" i="10"/>
  <c r="AD481" i="10"/>
  <c r="AC482" i="10"/>
  <c r="AD482" i="10"/>
  <c r="AC483" i="10"/>
  <c r="AD483" i="10"/>
  <c r="AC484" i="10"/>
  <c r="AD484" i="10"/>
  <c r="AC485" i="10"/>
  <c r="AD485" i="10"/>
  <c r="AC486" i="10"/>
  <c r="AD486" i="10"/>
  <c r="AC487" i="10"/>
  <c r="AD487" i="10"/>
  <c r="AC488" i="10"/>
  <c r="AD488" i="10"/>
  <c r="AC489" i="10"/>
  <c r="AD489" i="10"/>
  <c r="AC490" i="10"/>
  <c r="AD490" i="10"/>
  <c r="AC491" i="10"/>
  <c r="AD491" i="10"/>
  <c r="AC492" i="10"/>
  <c r="AD492" i="10"/>
  <c r="AC493" i="10"/>
  <c r="AD493" i="10"/>
  <c r="AC494" i="10"/>
  <c r="AD494" i="10"/>
  <c r="AC495" i="10"/>
  <c r="AD495" i="10"/>
  <c r="AC496" i="10"/>
  <c r="AD496" i="10"/>
  <c r="AC497" i="10"/>
  <c r="AD497" i="10"/>
  <c r="AC498" i="10"/>
  <c r="AD498" i="10"/>
  <c r="AC499" i="10"/>
  <c r="AD499" i="10"/>
  <c r="AC500" i="10"/>
  <c r="AD500" i="10"/>
  <c r="AC501" i="10"/>
  <c r="AD501" i="10"/>
  <c r="AC502" i="10"/>
  <c r="AD502" i="10"/>
  <c r="AC503" i="10"/>
  <c r="AD503" i="10"/>
  <c r="AC504" i="10"/>
  <c r="AD504" i="10"/>
  <c r="AC505" i="10"/>
  <c r="AD505" i="10"/>
  <c r="AC506" i="10"/>
  <c r="AD506" i="10"/>
  <c r="AC507" i="10"/>
  <c r="AD507" i="10"/>
  <c r="AC508" i="10"/>
  <c r="AD508" i="10"/>
  <c r="AC509" i="10"/>
  <c r="AD509" i="10"/>
  <c r="AC510" i="10"/>
  <c r="AD510" i="10"/>
  <c r="AC511" i="10"/>
  <c r="AD511" i="10"/>
  <c r="AC512" i="10"/>
  <c r="AD512" i="10"/>
  <c r="AC513" i="10"/>
  <c r="AD513" i="10"/>
  <c r="AC514" i="10"/>
  <c r="AD514" i="10"/>
  <c r="AC515" i="10"/>
  <c r="AD515" i="10"/>
  <c r="AC516" i="10"/>
  <c r="AD516" i="10"/>
  <c r="AC517" i="10"/>
  <c r="AD517" i="10"/>
  <c r="AC518" i="10"/>
  <c r="AD518" i="10"/>
  <c r="AC519" i="10"/>
  <c r="AD519" i="10"/>
  <c r="AC520" i="10"/>
  <c r="AD520" i="10"/>
  <c r="AC521" i="10"/>
  <c r="AD521" i="10"/>
  <c r="AC522" i="10"/>
  <c r="AD522" i="10"/>
  <c r="AC523" i="10"/>
  <c r="AD523" i="10"/>
  <c r="AC524" i="10"/>
  <c r="AD524" i="10"/>
  <c r="AC525" i="10"/>
  <c r="AD525" i="10"/>
  <c r="AC526" i="10"/>
  <c r="AD526" i="10"/>
  <c r="AC527" i="10"/>
  <c r="AD527" i="10"/>
  <c r="AC528" i="10"/>
  <c r="AD528" i="10"/>
  <c r="AC529" i="10"/>
  <c r="AD529" i="10"/>
  <c r="AC530" i="10"/>
  <c r="AD530" i="10"/>
  <c r="AC531" i="10"/>
  <c r="AD531" i="10"/>
  <c r="AC532" i="10"/>
  <c r="AD532" i="10"/>
  <c r="AC533" i="10"/>
  <c r="AD533" i="10"/>
  <c r="AC534" i="10"/>
  <c r="AD534" i="10"/>
  <c r="AC535" i="10"/>
  <c r="AD535" i="10"/>
  <c r="AC536" i="10"/>
  <c r="AD536" i="10"/>
  <c r="AC537" i="10"/>
  <c r="AD537" i="10"/>
  <c r="AC538" i="10"/>
  <c r="AD538" i="10"/>
  <c r="AC539" i="10"/>
  <c r="AD539" i="10"/>
  <c r="AC540" i="10"/>
  <c r="AD540" i="10"/>
  <c r="AC541" i="10"/>
  <c r="AD541" i="10"/>
  <c r="AC542" i="10"/>
  <c r="AD542" i="10"/>
  <c r="AC543" i="10"/>
  <c r="AD543" i="10"/>
  <c r="AC544" i="10"/>
  <c r="AD544" i="10"/>
  <c r="AC545" i="10"/>
  <c r="AD545" i="10"/>
  <c r="AC546" i="10"/>
  <c r="AD546" i="10"/>
  <c r="AC547" i="10"/>
  <c r="AD547" i="10"/>
  <c r="AC548" i="10"/>
  <c r="AD548" i="10"/>
  <c r="AC549" i="10"/>
  <c r="AD549" i="10"/>
  <c r="AC550" i="10"/>
  <c r="AD550" i="10"/>
  <c r="AC551" i="10"/>
  <c r="AD551" i="10"/>
  <c r="AC552" i="10"/>
  <c r="AD552" i="10"/>
  <c r="AC553" i="10"/>
  <c r="AD553" i="10"/>
  <c r="AC554" i="10"/>
  <c r="AD554" i="10"/>
  <c r="AC555" i="10"/>
  <c r="AD555" i="10"/>
  <c r="AC556" i="10"/>
  <c r="AD556" i="10"/>
  <c r="AC557" i="10"/>
  <c r="AD557" i="10"/>
  <c r="AC558" i="10"/>
  <c r="AD558" i="10"/>
  <c r="AC559" i="10"/>
  <c r="AD559" i="10"/>
  <c r="AC560" i="10"/>
  <c r="AD560" i="10"/>
  <c r="AC561" i="10"/>
  <c r="AD561" i="10"/>
  <c r="AC562" i="10"/>
  <c r="AD562" i="10"/>
  <c r="AC563" i="10"/>
  <c r="AD563" i="10"/>
  <c r="AC564" i="10"/>
  <c r="AD564" i="10"/>
  <c r="AC565" i="10"/>
  <c r="AD565" i="10"/>
  <c r="AC566" i="10"/>
  <c r="AD566" i="10"/>
  <c r="AC567" i="10"/>
  <c r="AD567" i="10"/>
  <c r="AC568" i="10"/>
  <c r="AD568" i="10"/>
  <c r="AC569" i="10"/>
  <c r="AD569" i="10"/>
  <c r="AC570" i="10"/>
  <c r="AD570" i="10"/>
  <c r="AC571" i="10"/>
  <c r="AD571" i="10"/>
  <c r="AC572" i="10"/>
  <c r="AD572" i="10"/>
  <c r="AC573" i="10"/>
  <c r="AD573" i="10"/>
  <c r="AC574" i="10"/>
  <c r="AD574" i="10"/>
  <c r="AC575" i="10"/>
  <c r="AD575" i="10"/>
  <c r="AC576" i="10"/>
  <c r="AD576" i="10"/>
  <c r="AC577" i="10"/>
  <c r="AD577" i="10"/>
  <c r="AC578" i="10"/>
  <c r="AD578" i="10"/>
  <c r="AC579" i="10"/>
  <c r="AD579" i="10"/>
  <c r="AC580" i="10"/>
  <c r="AD580" i="10"/>
  <c r="AC581" i="10"/>
  <c r="AD581" i="10"/>
  <c r="AC582" i="10"/>
  <c r="AD582" i="10"/>
  <c r="AC583" i="10"/>
  <c r="AD583" i="10"/>
  <c r="AC584" i="10"/>
  <c r="AD584" i="10"/>
  <c r="AC585" i="10"/>
  <c r="AD585" i="10"/>
  <c r="AC586" i="10"/>
  <c r="AD586" i="10"/>
  <c r="AC587" i="10"/>
  <c r="AD587" i="10"/>
  <c r="AC588" i="10"/>
  <c r="AD588" i="10"/>
  <c r="AC589" i="10"/>
  <c r="AD589" i="10"/>
  <c r="AC590" i="10"/>
  <c r="AD590" i="10"/>
  <c r="AC591" i="10"/>
  <c r="AD591" i="10"/>
  <c r="AC592" i="10"/>
  <c r="AD592" i="10"/>
  <c r="AC593" i="10"/>
  <c r="AD593" i="10"/>
  <c r="AC594" i="10"/>
  <c r="AD594" i="10"/>
  <c r="AC595" i="10"/>
  <c r="AD595" i="10"/>
  <c r="AC596" i="10"/>
  <c r="AD596" i="10"/>
  <c r="AC597" i="10"/>
  <c r="AD597" i="10"/>
  <c r="AC598" i="10"/>
  <c r="AD598" i="10"/>
  <c r="AC599" i="10"/>
  <c r="AD599" i="10"/>
  <c r="AC600" i="10"/>
  <c r="AD600" i="10"/>
  <c r="AC601" i="10"/>
  <c r="AD601" i="10"/>
  <c r="AC602" i="10"/>
  <c r="AD602" i="10"/>
  <c r="AC603" i="10"/>
  <c r="AD603" i="10"/>
  <c r="AC604" i="10"/>
  <c r="AD604" i="10"/>
  <c r="AC605" i="10"/>
  <c r="AD605" i="10"/>
  <c r="AC606" i="10"/>
  <c r="AD606" i="10"/>
  <c r="AC607" i="10"/>
  <c r="AD607" i="10"/>
  <c r="AC608" i="10"/>
  <c r="AD608" i="10"/>
  <c r="AC609" i="10"/>
  <c r="AD609" i="10"/>
  <c r="AC610" i="10"/>
  <c r="AD610" i="10"/>
  <c r="AC611" i="10"/>
  <c r="AD611" i="10"/>
  <c r="AC612" i="10"/>
  <c r="AD612" i="10"/>
  <c r="AC613" i="10"/>
  <c r="AD613" i="10"/>
  <c r="AC614" i="10"/>
  <c r="AD614" i="10"/>
  <c r="AC615" i="10"/>
  <c r="AD615" i="10"/>
  <c r="AC616" i="10"/>
  <c r="AD616" i="10"/>
  <c r="AC617" i="10"/>
  <c r="AD617" i="10"/>
  <c r="AC618" i="10"/>
  <c r="AD618" i="10"/>
  <c r="AD11" i="10"/>
  <c r="AC11" i="10"/>
  <c r="CG12" i="25"/>
  <c r="CH12" i="25"/>
  <c r="CI12" i="25"/>
  <c r="CG13" i="25"/>
  <c r="CH13" i="25"/>
  <c r="CI13" i="25"/>
  <c r="CG14" i="25"/>
  <c r="CH14" i="25"/>
  <c r="CI14" i="25"/>
  <c r="CG15" i="25"/>
  <c r="CH15" i="25"/>
  <c r="CI15" i="25"/>
  <c r="CG16" i="25"/>
  <c r="CH16" i="25"/>
  <c r="CI16" i="25"/>
  <c r="CG17" i="25"/>
  <c r="CH17" i="25"/>
  <c r="CI17" i="25"/>
  <c r="CG18" i="25"/>
  <c r="CH18" i="25"/>
  <c r="CI18" i="25"/>
  <c r="CG19" i="25"/>
  <c r="CH19" i="25"/>
  <c r="CI19" i="25"/>
  <c r="CG20" i="25"/>
  <c r="CH20" i="25"/>
  <c r="CI20" i="25"/>
  <c r="CG21" i="25"/>
  <c r="CH21" i="25"/>
  <c r="CI21" i="25"/>
  <c r="CG22" i="25"/>
  <c r="CH22" i="25"/>
  <c r="CI22" i="25"/>
  <c r="CG23" i="25"/>
  <c r="CH23" i="25"/>
  <c r="CI23" i="25"/>
  <c r="CG24" i="25"/>
  <c r="CH24" i="25"/>
  <c r="CI24" i="25"/>
  <c r="CG25" i="25"/>
  <c r="CH25" i="25"/>
  <c r="CI25" i="25"/>
  <c r="CG26" i="25"/>
  <c r="CH26" i="25"/>
  <c r="CI26" i="25"/>
  <c r="CG27" i="25"/>
  <c r="CH27" i="25"/>
  <c r="CI27" i="25"/>
  <c r="CG28" i="25"/>
  <c r="CH28" i="25"/>
  <c r="CI28" i="25"/>
  <c r="CG29" i="25"/>
  <c r="CH29" i="25"/>
  <c r="CI29" i="25"/>
  <c r="CG30" i="25"/>
  <c r="CH30" i="25"/>
  <c r="CI30" i="25"/>
  <c r="CG31" i="25"/>
  <c r="CH31" i="25"/>
  <c r="CI31" i="25"/>
  <c r="CG32" i="25"/>
  <c r="CH32" i="25"/>
  <c r="CI32" i="25"/>
  <c r="CG33" i="25"/>
  <c r="CH33" i="25"/>
  <c r="CI33" i="25"/>
  <c r="CG34" i="25"/>
  <c r="CH34" i="25"/>
  <c r="CI34" i="25"/>
  <c r="CG35" i="25"/>
  <c r="CH35" i="25"/>
  <c r="CI35" i="25"/>
  <c r="CG36" i="25"/>
  <c r="CH36" i="25"/>
  <c r="CI36" i="25"/>
  <c r="CG37" i="25"/>
  <c r="CH37" i="25"/>
  <c r="CI37" i="25"/>
  <c r="CG38" i="25"/>
  <c r="CH38" i="25"/>
  <c r="CI38" i="25"/>
  <c r="CG39" i="25"/>
  <c r="CH39" i="25"/>
  <c r="CI39" i="25"/>
  <c r="CG40" i="25"/>
  <c r="CH40" i="25"/>
  <c r="CI40" i="25"/>
  <c r="CG41" i="25"/>
  <c r="CH41" i="25"/>
  <c r="CI41" i="25"/>
  <c r="CG42" i="25"/>
  <c r="CH42" i="25"/>
  <c r="CI42" i="25"/>
  <c r="CG43" i="25"/>
  <c r="CH43" i="25"/>
  <c r="CI43" i="25"/>
  <c r="CG44" i="25"/>
  <c r="CH44" i="25"/>
  <c r="CI44" i="25"/>
  <c r="CG45" i="25"/>
  <c r="CH45" i="25"/>
  <c r="CI45" i="25"/>
  <c r="CG46" i="25"/>
  <c r="CH46" i="25"/>
  <c r="CI46" i="25"/>
  <c r="CG47" i="25"/>
  <c r="CH47" i="25"/>
  <c r="CI47" i="25"/>
  <c r="CG48" i="25"/>
  <c r="CH48" i="25"/>
  <c r="CI48" i="25"/>
  <c r="CG49" i="25"/>
  <c r="CH49" i="25"/>
  <c r="CI49" i="25"/>
  <c r="CG50" i="25"/>
  <c r="CH50" i="25"/>
  <c r="CI50" i="25"/>
  <c r="CG51" i="25"/>
  <c r="CH51" i="25"/>
  <c r="CI51" i="25"/>
  <c r="CG52" i="25"/>
  <c r="CH52" i="25"/>
  <c r="CI52" i="25"/>
  <c r="CG53" i="25"/>
  <c r="CH53" i="25"/>
  <c r="CI53" i="25"/>
  <c r="CG54" i="25"/>
  <c r="CH54" i="25"/>
  <c r="CI54" i="25"/>
  <c r="CG55" i="25"/>
  <c r="CH55" i="25"/>
  <c r="CI55" i="25"/>
  <c r="CG56" i="25"/>
  <c r="CH56" i="25"/>
  <c r="CI56" i="25"/>
  <c r="CG57" i="25"/>
  <c r="CH57" i="25"/>
  <c r="CI57" i="25"/>
  <c r="CG58" i="25"/>
  <c r="CH58" i="25"/>
  <c r="CI58" i="25"/>
  <c r="CG59" i="25"/>
  <c r="CH59" i="25"/>
  <c r="CI59" i="25"/>
  <c r="CG60" i="25"/>
  <c r="CH60" i="25"/>
  <c r="CI60" i="25"/>
  <c r="CG61" i="25"/>
  <c r="CH61" i="25"/>
  <c r="CI61" i="25"/>
  <c r="CG62" i="25"/>
  <c r="CH62" i="25"/>
  <c r="CI62" i="25"/>
  <c r="CG63" i="25"/>
  <c r="CH63" i="25"/>
  <c r="CI63" i="25"/>
  <c r="CG64" i="25"/>
  <c r="CH64" i="25"/>
  <c r="CI64" i="25"/>
  <c r="CG65" i="25"/>
  <c r="CH65" i="25"/>
  <c r="CI65" i="25"/>
  <c r="CG66" i="25"/>
  <c r="CH66" i="25"/>
  <c r="CI66" i="25"/>
  <c r="CG67" i="25"/>
  <c r="CH67" i="25"/>
  <c r="CI67" i="25"/>
  <c r="CG68" i="25"/>
  <c r="CH68" i="25"/>
  <c r="CI68" i="25"/>
  <c r="CG69" i="25"/>
  <c r="CH69" i="25"/>
  <c r="CI69" i="25"/>
  <c r="CG70" i="25"/>
  <c r="CH70" i="25"/>
  <c r="CI70" i="25"/>
  <c r="CG71" i="25"/>
  <c r="CH71" i="25"/>
  <c r="CI71" i="25"/>
  <c r="CG72" i="25"/>
  <c r="CH72" i="25"/>
  <c r="CI72" i="25"/>
  <c r="CG73" i="25"/>
  <c r="CH73" i="25"/>
  <c r="CI73" i="25"/>
  <c r="CG74" i="25"/>
  <c r="CH74" i="25"/>
  <c r="CI74" i="25"/>
  <c r="CG75" i="25"/>
  <c r="CH75" i="25"/>
  <c r="CI75" i="25"/>
  <c r="CG76" i="25"/>
  <c r="CH76" i="25"/>
  <c r="CI76" i="25"/>
  <c r="CG77" i="25"/>
  <c r="CH77" i="25"/>
  <c r="CI77" i="25"/>
  <c r="CG78" i="25"/>
  <c r="CH78" i="25"/>
  <c r="CI78" i="25"/>
  <c r="CG79" i="25"/>
  <c r="CH79" i="25"/>
  <c r="CI79" i="25"/>
  <c r="CG80" i="25"/>
  <c r="CH80" i="25"/>
  <c r="CI80" i="25"/>
  <c r="CG81" i="25"/>
  <c r="CH81" i="25"/>
  <c r="CI81" i="25"/>
  <c r="CG82" i="25"/>
  <c r="CH82" i="25"/>
  <c r="CI82" i="25"/>
  <c r="CG83" i="25"/>
  <c r="CH83" i="25"/>
  <c r="CI83" i="25"/>
  <c r="CG84" i="25"/>
  <c r="CH84" i="25"/>
  <c r="CI84" i="25"/>
  <c r="CG85" i="25"/>
  <c r="CH85" i="25"/>
  <c r="CI85" i="25"/>
  <c r="CG86" i="25"/>
  <c r="CH86" i="25"/>
  <c r="CI86" i="25"/>
  <c r="CG87" i="25"/>
  <c r="CH87" i="25"/>
  <c r="CI87" i="25"/>
  <c r="CG89" i="25"/>
  <c r="CH89" i="25"/>
  <c r="CI89" i="25"/>
  <c r="CG88" i="25"/>
  <c r="CH88" i="25"/>
  <c r="CI88" i="25"/>
  <c r="CG90" i="25"/>
  <c r="CH90" i="25"/>
  <c r="CI90" i="25"/>
  <c r="CG91" i="25"/>
  <c r="CH91" i="25"/>
  <c r="CI91" i="25"/>
  <c r="CG92" i="25"/>
  <c r="CH92" i="25"/>
  <c r="CI92" i="25"/>
  <c r="CG93" i="25"/>
  <c r="CH93" i="25"/>
  <c r="CI93" i="25"/>
  <c r="CG94" i="25"/>
  <c r="CH94" i="25"/>
  <c r="CI94" i="25"/>
  <c r="CG95" i="25"/>
  <c r="CH95" i="25"/>
  <c r="CI95" i="25"/>
  <c r="CG96" i="25"/>
  <c r="CH96" i="25"/>
  <c r="CI96" i="25"/>
  <c r="CG97" i="25"/>
  <c r="CH97" i="25"/>
  <c r="CI97" i="25"/>
  <c r="CG98" i="25"/>
  <c r="CH98" i="25"/>
  <c r="CI98" i="25"/>
  <c r="CG99" i="25"/>
  <c r="CH99" i="25"/>
  <c r="CI99" i="25"/>
  <c r="CG100" i="25"/>
  <c r="CH100" i="25"/>
  <c r="CI100" i="25"/>
  <c r="CG101" i="25"/>
  <c r="CH101" i="25"/>
  <c r="CI101" i="25"/>
  <c r="CG102" i="25"/>
  <c r="CH102" i="25"/>
  <c r="CI102" i="25"/>
  <c r="CG103" i="25"/>
  <c r="CH103" i="25"/>
  <c r="CI103" i="25"/>
  <c r="CG104" i="25"/>
  <c r="CH104" i="25"/>
  <c r="CI104" i="25"/>
  <c r="CG105" i="25"/>
  <c r="CH105" i="25"/>
  <c r="CI105" i="25"/>
  <c r="CG106" i="25"/>
  <c r="CH106" i="25"/>
  <c r="CI106" i="25"/>
  <c r="CG107" i="25"/>
  <c r="CH107" i="25"/>
  <c r="CI107" i="25"/>
  <c r="CG108" i="25"/>
  <c r="CH108" i="25"/>
  <c r="CI108" i="25"/>
  <c r="CG109" i="25"/>
  <c r="CH109" i="25"/>
  <c r="CI109" i="25"/>
  <c r="CG110" i="25"/>
  <c r="CH110" i="25"/>
  <c r="CI110" i="25"/>
  <c r="CG111" i="25"/>
  <c r="CH111" i="25"/>
  <c r="CI111" i="25"/>
  <c r="CG112" i="25"/>
  <c r="CH112" i="25"/>
  <c r="CI112" i="25"/>
  <c r="CG113" i="25"/>
  <c r="CH113" i="25"/>
  <c r="CI113" i="25"/>
  <c r="CG114" i="25"/>
  <c r="CH114" i="25"/>
  <c r="CI114" i="25"/>
  <c r="CG115" i="25"/>
  <c r="CH115" i="25"/>
  <c r="CI115" i="25"/>
  <c r="CG116" i="25"/>
  <c r="CH116" i="25"/>
  <c r="CI116" i="25"/>
  <c r="CG117" i="25"/>
  <c r="CH117" i="25"/>
  <c r="CI117" i="25"/>
  <c r="CG118" i="25"/>
  <c r="CH118" i="25"/>
  <c r="CI118" i="25"/>
  <c r="CG119" i="25"/>
  <c r="CH119" i="25"/>
  <c r="CI119" i="25"/>
  <c r="CG120" i="25"/>
  <c r="CH120" i="25"/>
  <c r="CI120" i="25"/>
  <c r="CG121" i="25"/>
  <c r="CH121" i="25"/>
  <c r="CI121" i="25"/>
  <c r="CG122" i="25"/>
  <c r="CH122" i="25"/>
  <c r="CI122" i="25"/>
  <c r="CG123" i="25"/>
  <c r="CH123" i="25"/>
  <c r="CI123" i="25"/>
  <c r="CG124" i="25"/>
  <c r="CH124" i="25"/>
  <c r="CI124" i="25"/>
  <c r="CG125" i="25"/>
  <c r="CH125" i="25"/>
  <c r="CI125" i="25"/>
  <c r="CG126" i="25"/>
  <c r="CH126" i="25"/>
  <c r="CI126" i="25"/>
  <c r="CG127" i="25"/>
  <c r="CH127" i="25"/>
  <c r="CI127" i="25"/>
  <c r="CG128" i="25"/>
  <c r="CH128" i="25"/>
  <c r="CI128" i="25"/>
  <c r="CG129" i="25"/>
  <c r="CH129" i="25"/>
  <c r="CI129" i="25"/>
  <c r="CG130" i="25"/>
  <c r="CH130" i="25"/>
  <c r="CI130" i="25"/>
  <c r="CG131" i="25"/>
  <c r="CH131" i="25"/>
  <c r="CI131" i="25"/>
  <c r="CG132" i="25"/>
  <c r="CH132" i="25"/>
  <c r="CI132" i="25"/>
  <c r="CG133" i="25"/>
  <c r="CH133" i="25"/>
  <c r="CI133" i="25"/>
  <c r="CG134" i="25"/>
  <c r="CH134" i="25"/>
  <c r="CI134" i="25"/>
  <c r="CG135" i="25"/>
  <c r="CH135" i="25"/>
  <c r="CI135" i="25"/>
  <c r="CG136" i="25"/>
  <c r="CH136" i="25"/>
  <c r="CI136" i="25"/>
  <c r="CG137" i="25"/>
  <c r="CH137" i="25"/>
  <c r="CI137" i="25"/>
  <c r="CG138" i="25"/>
  <c r="CH138" i="25"/>
  <c r="CI138" i="25"/>
  <c r="CG139" i="25"/>
  <c r="CH139" i="25"/>
  <c r="CI139" i="25"/>
  <c r="CG140" i="25"/>
  <c r="CH140" i="25"/>
  <c r="CI140" i="25"/>
  <c r="CG141" i="25"/>
  <c r="CH141" i="25"/>
  <c r="CI141" i="25"/>
  <c r="CG142" i="25"/>
  <c r="CH142" i="25"/>
  <c r="CI142" i="25"/>
  <c r="CG143" i="25"/>
  <c r="CH143" i="25"/>
  <c r="CI143" i="25"/>
  <c r="CG144" i="25"/>
  <c r="CH144" i="25"/>
  <c r="CI144" i="25"/>
  <c r="CG145" i="25"/>
  <c r="CH145" i="25"/>
  <c r="CI145" i="25"/>
  <c r="CG146" i="25"/>
  <c r="CH146" i="25"/>
  <c r="CI146" i="25"/>
  <c r="CG147" i="25"/>
  <c r="CH147" i="25"/>
  <c r="CI147" i="25"/>
  <c r="CG148" i="25"/>
  <c r="CH148" i="25"/>
  <c r="CI148" i="25"/>
  <c r="CG149" i="25"/>
  <c r="CH149" i="25"/>
  <c r="CI149" i="25"/>
  <c r="CG150" i="25"/>
  <c r="CH150" i="25"/>
  <c r="CI150" i="25"/>
  <c r="CG151" i="25"/>
  <c r="CH151" i="25"/>
  <c r="CI151" i="25"/>
  <c r="CG152" i="25"/>
  <c r="CH152" i="25"/>
  <c r="CI152" i="25"/>
  <c r="CG153" i="25"/>
  <c r="CH153" i="25"/>
  <c r="CI153" i="25"/>
  <c r="CG154" i="25"/>
  <c r="CH154" i="25"/>
  <c r="CI154" i="25"/>
  <c r="CG155" i="25"/>
  <c r="CH155" i="25"/>
  <c r="CI155" i="25"/>
  <c r="CG156" i="25"/>
  <c r="CH156" i="25"/>
  <c r="CI156" i="25"/>
  <c r="CG157" i="25"/>
  <c r="CH157" i="25"/>
  <c r="CI157" i="25"/>
  <c r="CG158" i="25"/>
  <c r="CH158" i="25"/>
  <c r="CI158" i="25"/>
  <c r="CG159" i="25"/>
  <c r="CH159" i="25"/>
  <c r="CI159" i="25"/>
  <c r="CG160" i="25"/>
  <c r="CH160" i="25"/>
  <c r="CI160" i="25"/>
  <c r="CG161" i="25"/>
  <c r="CH161" i="25"/>
  <c r="CI161" i="25"/>
  <c r="CG162" i="25"/>
  <c r="CH162" i="25"/>
  <c r="CI162" i="25"/>
  <c r="CG163" i="25"/>
  <c r="CH163" i="25"/>
  <c r="CI163" i="25"/>
  <c r="CG164" i="25"/>
  <c r="CH164" i="25"/>
  <c r="CI164" i="25"/>
  <c r="CG165" i="25"/>
  <c r="CH165" i="25"/>
  <c r="CI165" i="25"/>
  <c r="CG166" i="25"/>
  <c r="CH166" i="25"/>
  <c r="CI166" i="25"/>
  <c r="CG167" i="25"/>
  <c r="CH167" i="25"/>
  <c r="CI167" i="25"/>
  <c r="CG168" i="25"/>
  <c r="CH168" i="25"/>
  <c r="CI168" i="25"/>
  <c r="CG169" i="25"/>
  <c r="CH169" i="25"/>
  <c r="CI169" i="25"/>
  <c r="CG170" i="25"/>
  <c r="CH170" i="25"/>
  <c r="CI170" i="25"/>
  <c r="CG171" i="25"/>
  <c r="CH171" i="25"/>
  <c r="CI171" i="25"/>
  <c r="CG172" i="25"/>
  <c r="CH172" i="25"/>
  <c r="CI172" i="25"/>
  <c r="CG173" i="25"/>
  <c r="CH173" i="25"/>
  <c r="CI173" i="25"/>
  <c r="CG174" i="25"/>
  <c r="CH174" i="25"/>
  <c r="CI174" i="25"/>
  <c r="CG175" i="25"/>
  <c r="CH175" i="25"/>
  <c r="CI175" i="25"/>
  <c r="CG176" i="25"/>
  <c r="CH176" i="25"/>
  <c r="CI176" i="25"/>
  <c r="CG177" i="25"/>
  <c r="CH177" i="25"/>
  <c r="CI177" i="25"/>
  <c r="CG178" i="25"/>
  <c r="CH178" i="25"/>
  <c r="CI178" i="25"/>
  <c r="CG179" i="25"/>
  <c r="CH179" i="25"/>
  <c r="CI179" i="25"/>
  <c r="CG180" i="25"/>
  <c r="CH180" i="25"/>
  <c r="CI180" i="25"/>
  <c r="CG181" i="25"/>
  <c r="CH181" i="25"/>
  <c r="CI181" i="25"/>
  <c r="CG182" i="25"/>
  <c r="CH182" i="25"/>
  <c r="CI182" i="25"/>
  <c r="CG183" i="25"/>
  <c r="CH183" i="25"/>
  <c r="CI183" i="25"/>
  <c r="CG184" i="25"/>
  <c r="CH184" i="25"/>
  <c r="CI184" i="25"/>
  <c r="CG185" i="25"/>
  <c r="CH185" i="25"/>
  <c r="CI185" i="25"/>
  <c r="CG186" i="25"/>
  <c r="CH186" i="25"/>
  <c r="CI186" i="25"/>
  <c r="CG187" i="25"/>
  <c r="CH187" i="25"/>
  <c r="CI187" i="25"/>
  <c r="CG188" i="25"/>
  <c r="CH188" i="25"/>
  <c r="CI188" i="25"/>
  <c r="CG189" i="25"/>
  <c r="CH189" i="25"/>
  <c r="CI189" i="25"/>
  <c r="CG190" i="25"/>
  <c r="CH190" i="25"/>
  <c r="CI190" i="25"/>
  <c r="CG191" i="25"/>
  <c r="CH191" i="25"/>
  <c r="CI191" i="25"/>
  <c r="CG192" i="25"/>
  <c r="CH192" i="25"/>
  <c r="CI192" i="25"/>
  <c r="CG193" i="25"/>
  <c r="CH193" i="25"/>
  <c r="CI193" i="25"/>
  <c r="CG194" i="25"/>
  <c r="CH194" i="25"/>
  <c r="CI194" i="25"/>
  <c r="CG195" i="25"/>
  <c r="CH195" i="25"/>
  <c r="CI195" i="25"/>
  <c r="CG196" i="25"/>
  <c r="CH196" i="25"/>
  <c r="CI196" i="25"/>
  <c r="CG197" i="25"/>
  <c r="CH197" i="25"/>
  <c r="CI197" i="25"/>
  <c r="CG198" i="25"/>
  <c r="CH198" i="25"/>
  <c r="CI198" i="25"/>
  <c r="CG199" i="25"/>
  <c r="CH199" i="25"/>
  <c r="CI199" i="25"/>
  <c r="CG200" i="25"/>
  <c r="CH200" i="25"/>
  <c r="CI200" i="25"/>
  <c r="CG201" i="25"/>
  <c r="CH201" i="25"/>
  <c r="CI201" i="25"/>
  <c r="CG202" i="25"/>
  <c r="CH202" i="25"/>
  <c r="CI202" i="25"/>
  <c r="CG203" i="25"/>
  <c r="CH203" i="25"/>
  <c r="CI203" i="25"/>
  <c r="CG204" i="25"/>
  <c r="CH204" i="25"/>
  <c r="CI204" i="25"/>
  <c r="CG205" i="25"/>
  <c r="CH205" i="25"/>
  <c r="CI205" i="25"/>
  <c r="CG206" i="25"/>
  <c r="CH206" i="25"/>
  <c r="CI206" i="25"/>
  <c r="CG207" i="25"/>
  <c r="CH207" i="25"/>
  <c r="CI207" i="25"/>
  <c r="CG208" i="25"/>
  <c r="CH208" i="25"/>
  <c r="CI208" i="25"/>
  <c r="CG209" i="25"/>
  <c r="CH209" i="25"/>
  <c r="CI209" i="25"/>
  <c r="CG210" i="25"/>
  <c r="CH210" i="25"/>
  <c r="CI210" i="25"/>
  <c r="CG211" i="25"/>
  <c r="CH211" i="25"/>
  <c r="CI211" i="25"/>
  <c r="CG212" i="25"/>
  <c r="CH212" i="25"/>
  <c r="CI212" i="25"/>
  <c r="CG213" i="25"/>
  <c r="CH213" i="25"/>
  <c r="CI213" i="25"/>
  <c r="CG214" i="25"/>
  <c r="CH214" i="25"/>
  <c r="CI214" i="25"/>
  <c r="CG215" i="25"/>
  <c r="CH215" i="25"/>
  <c r="CI215" i="25"/>
  <c r="CG216" i="25"/>
  <c r="CH216" i="25"/>
  <c r="CI216" i="25"/>
  <c r="CG217" i="25"/>
  <c r="CH217" i="25"/>
  <c r="CI217" i="25"/>
  <c r="CG218" i="25"/>
  <c r="CH218" i="25"/>
  <c r="CI218" i="25"/>
  <c r="CG219" i="25"/>
  <c r="CH219" i="25"/>
  <c r="CI219" i="25"/>
  <c r="CG220" i="25"/>
  <c r="CH220" i="25"/>
  <c r="CI220" i="25"/>
  <c r="CG221" i="25"/>
  <c r="CH221" i="25"/>
  <c r="CI221" i="25"/>
  <c r="CG222" i="25"/>
  <c r="CH222" i="25"/>
  <c r="CI222" i="25"/>
  <c r="CG223" i="25"/>
  <c r="CH223" i="25"/>
  <c r="CI223" i="25"/>
  <c r="CG224" i="25"/>
  <c r="CH224" i="25"/>
  <c r="CI224" i="25"/>
  <c r="CG225" i="25"/>
  <c r="CH225" i="25"/>
  <c r="CI225" i="25"/>
  <c r="CG226" i="25"/>
  <c r="CH226" i="25"/>
  <c r="CI226" i="25"/>
  <c r="CG227" i="25"/>
  <c r="CH227" i="25"/>
  <c r="CI227" i="25"/>
  <c r="CG228" i="25"/>
  <c r="CH228" i="25"/>
  <c r="CI228" i="25"/>
  <c r="CG229" i="25"/>
  <c r="CH229" i="25"/>
  <c r="CI229" i="25"/>
  <c r="CG230" i="25"/>
  <c r="CH230" i="25"/>
  <c r="CI230" i="25"/>
  <c r="CG231" i="25"/>
  <c r="CH231" i="25"/>
  <c r="CI231" i="25"/>
  <c r="CG232" i="25"/>
  <c r="CH232" i="25"/>
  <c r="CI232" i="25"/>
  <c r="CG233" i="25"/>
  <c r="CH233" i="25"/>
  <c r="CI233" i="25"/>
  <c r="CG234" i="25"/>
  <c r="CH234" i="25"/>
  <c r="CI234" i="25"/>
  <c r="CG235" i="25"/>
  <c r="CH235" i="25"/>
  <c r="CI235" i="25"/>
  <c r="CG236" i="25"/>
  <c r="CH236" i="25"/>
  <c r="CI236" i="25"/>
  <c r="CG237" i="25"/>
  <c r="CH237" i="25"/>
  <c r="CI237" i="25"/>
  <c r="CG238" i="25"/>
  <c r="CH238" i="25"/>
  <c r="CI238" i="25"/>
  <c r="CG239" i="25"/>
  <c r="CH239" i="25"/>
  <c r="CI239" i="25"/>
  <c r="CG240" i="25"/>
  <c r="CH240" i="25"/>
  <c r="CI240" i="25"/>
  <c r="CG241" i="25"/>
  <c r="CH241" i="25"/>
  <c r="CI241" i="25"/>
  <c r="CG242" i="25"/>
  <c r="CH242" i="25"/>
  <c r="CI242" i="25"/>
  <c r="CG243" i="25"/>
  <c r="CH243" i="25"/>
  <c r="CI243" i="25"/>
  <c r="CG244" i="25"/>
  <c r="CH244" i="25"/>
  <c r="CI244" i="25"/>
  <c r="CG245" i="25"/>
  <c r="CH245" i="25"/>
  <c r="CI245" i="25"/>
  <c r="CG246" i="25"/>
  <c r="CH246" i="25"/>
  <c r="CI246" i="25"/>
  <c r="CG247" i="25"/>
  <c r="CH247" i="25"/>
  <c r="CI247" i="25"/>
  <c r="CG248" i="25"/>
  <c r="CH248" i="25"/>
  <c r="CI248" i="25"/>
  <c r="CG249" i="25"/>
  <c r="CH249" i="25"/>
  <c r="CI249" i="25"/>
  <c r="CG250" i="25"/>
  <c r="CH250" i="25"/>
  <c r="CI250" i="25"/>
  <c r="CG251" i="25"/>
  <c r="CH251" i="25"/>
  <c r="CI251" i="25"/>
  <c r="CG252" i="25"/>
  <c r="CH252" i="25"/>
  <c r="CI252" i="25"/>
  <c r="CG253" i="25"/>
  <c r="CH253" i="25"/>
  <c r="CI253" i="25"/>
  <c r="CG254" i="25"/>
  <c r="CH254" i="25"/>
  <c r="CI254" i="25"/>
  <c r="CG255" i="25"/>
  <c r="CH255" i="25"/>
  <c r="CI255" i="25"/>
  <c r="CG256" i="25"/>
  <c r="CH256" i="25"/>
  <c r="CI256" i="25"/>
  <c r="CG257" i="25"/>
  <c r="CH257" i="25"/>
  <c r="CI257" i="25"/>
  <c r="CG258" i="25"/>
  <c r="CH258" i="25"/>
  <c r="CI258" i="25"/>
  <c r="CG259" i="25"/>
  <c r="CH259" i="25"/>
  <c r="CI259" i="25"/>
  <c r="CG260" i="25"/>
  <c r="CH260" i="25"/>
  <c r="CI260" i="25"/>
  <c r="CG261" i="25"/>
  <c r="CH261" i="25"/>
  <c r="CI261" i="25"/>
  <c r="CG262" i="25"/>
  <c r="CH262" i="25"/>
  <c r="CI262" i="25"/>
  <c r="CG263" i="25"/>
  <c r="CH263" i="25"/>
  <c r="CI263" i="25"/>
  <c r="CG264" i="25"/>
  <c r="CH264" i="25"/>
  <c r="CI264" i="25"/>
  <c r="CG265" i="25"/>
  <c r="CH265" i="25"/>
  <c r="CI265" i="25"/>
  <c r="CG266" i="25"/>
  <c r="CH266" i="25"/>
  <c r="CI266" i="25"/>
  <c r="CG267" i="25"/>
  <c r="CH267" i="25"/>
  <c r="CI267" i="25"/>
  <c r="CG268" i="25"/>
  <c r="CH268" i="25"/>
  <c r="CI268" i="25"/>
  <c r="CG269" i="25"/>
  <c r="CH269" i="25"/>
  <c r="CI269" i="25"/>
  <c r="CG270" i="25"/>
  <c r="CH270" i="25"/>
  <c r="CI270" i="25"/>
  <c r="CG271" i="25"/>
  <c r="CH271" i="25"/>
  <c r="CI271" i="25"/>
  <c r="CG272" i="25"/>
  <c r="CH272" i="25"/>
  <c r="CI272" i="25"/>
  <c r="CG273" i="25"/>
  <c r="CH273" i="25"/>
  <c r="CI273" i="25"/>
  <c r="CG274" i="25"/>
  <c r="CH274" i="25"/>
  <c r="CI274" i="25"/>
  <c r="CG275" i="25"/>
  <c r="CH275" i="25"/>
  <c r="CI275" i="25"/>
  <c r="CG276" i="25"/>
  <c r="CH276" i="25"/>
  <c r="CI276" i="25"/>
  <c r="CG277" i="25"/>
  <c r="CH277" i="25"/>
  <c r="CI277" i="25"/>
  <c r="CG278" i="25"/>
  <c r="CH278" i="25"/>
  <c r="CI278" i="25"/>
  <c r="CG279" i="25"/>
  <c r="CH279" i="25"/>
  <c r="CI279" i="25"/>
  <c r="CG280" i="25"/>
  <c r="CH280" i="25"/>
  <c r="CI280" i="25"/>
  <c r="CG281" i="25"/>
  <c r="CH281" i="25"/>
  <c r="CI281" i="25"/>
  <c r="CG282" i="25"/>
  <c r="CH282" i="25"/>
  <c r="CI282" i="25"/>
  <c r="CG283" i="25"/>
  <c r="CH283" i="25"/>
  <c r="CI283" i="25"/>
  <c r="CG284" i="25"/>
  <c r="CH284" i="25"/>
  <c r="CI284" i="25"/>
  <c r="CG285" i="25"/>
  <c r="CH285" i="25"/>
  <c r="CI285" i="25"/>
  <c r="CG286" i="25"/>
  <c r="CH286" i="25"/>
  <c r="CI286" i="25"/>
  <c r="CG287" i="25"/>
  <c r="CH287" i="25"/>
  <c r="CI287" i="25"/>
  <c r="CG288" i="25"/>
  <c r="CH288" i="25"/>
  <c r="CI288" i="25"/>
  <c r="CG290" i="25"/>
  <c r="CH290" i="25"/>
  <c r="CI290" i="25"/>
  <c r="CG291" i="25"/>
  <c r="CH291" i="25"/>
  <c r="CI291" i="25"/>
  <c r="CG292" i="25"/>
  <c r="CH292" i="25"/>
  <c r="CI292" i="25"/>
  <c r="CG289" i="25"/>
  <c r="CH289" i="25"/>
  <c r="CI289" i="25"/>
  <c r="CG293" i="25"/>
  <c r="CH293" i="25"/>
  <c r="CI293" i="25"/>
  <c r="CG294" i="25"/>
  <c r="CH294" i="25"/>
  <c r="CI294" i="25"/>
  <c r="CG295" i="25"/>
  <c r="CH295" i="25"/>
  <c r="CI295" i="25"/>
  <c r="CG296" i="25"/>
  <c r="CH296" i="25"/>
  <c r="CI296" i="25"/>
  <c r="CG297" i="25"/>
  <c r="CH297" i="25"/>
  <c r="CI297" i="25"/>
  <c r="CG298" i="25"/>
  <c r="CH298" i="25"/>
  <c r="CI298" i="25"/>
  <c r="CG299" i="25"/>
  <c r="CH299" i="25"/>
  <c r="CI299" i="25"/>
  <c r="CG300" i="25"/>
  <c r="CH300" i="25"/>
  <c r="CI300" i="25"/>
  <c r="CG301" i="25"/>
  <c r="CH301" i="25"/>
  <c r="CI301" i="25"/>
  <c r="CG302" i="25"/>
  <c r="CH302" i="25"/>
  <c r="CI302" i="25"/>
  <c r="CG303" i="25"/>
  <c r="CH303" i="25"/>
  <c r="CI303" i="25"/>
  <c r="CG304" i="25"/>
  <c r="CH304" i="25"/>
  <c r="CI304" i="25"/>
  <c r="CG305" i="25"/>
  <c r="CH305" i="25"/>
  <c r="CI305" i="25"/>
  <c r="CG306" i="25"/>
  <c r="CH306" i="25"/>
  <c r="CI306" i="25"/>
  <c r="CG307" i="25"/>
  <c r="CH307" i="25"/>
  <c r="CI307" i="25"/>
  <c r="CG308" i="25"/>
  <c r="CH308" i="25"/>
  <c r="CI308" i="25"/>
  <c r="CG309" i="25"/>
  <c r="CH309" i="25"/>
  <c r="CI309" i="25"/>
  <c r="CG310" i="25"/>
  <c r="CH310" i="25"/>
  <c r="CI310" i="25"/>
  <c r="CG311" i="25"/>
  <c r="CH311" i="25"/>
  <c r="CI311" i="25"/>
  <c r="CG312" i="25"/>
  <c r="CH312" i="25"/>
  <c r="CI312" i="25"/>
  <c r="CG313" i="25"/>
  <c r="CH313" i="25"/>
  <c r="CI313" i="25"/>
  <c r="CG314" i="25"/>
  <c r="CH314" i="25"/>
  <c r="CI314" i="25"/>
  <c r="CG315" i="25"/>
  <c r="CH315" i="25"/>
  <c r="CI315" i="25"/>
  <c r="CG316" i="25"/>
  <c r="CH316" i="25"/>
  <c r="CI316" i="25"/>
  <c r="CG317" i="25"/>
  <c r="CH317" i="25"/>
  <c r="CI317" i="25"/>
  <c r="CG319" i="25"/>
  <c r="CH319" i="25"/>
  <c r="CI319" i="25"/>
  <c r="CG320" i="25"/>
  <c r="CH320" i="25"/>
  <c r="CI320" i="25"/>
  <c r="CG321" i="25"/>
  <c r="CH321" i="25"/>
  <c r="CI321" i="25"/>
  <c r="CG322" i="25"/>
  <c r="CH322" i="25"/>
  <c r="CI322" i="25"/>
  <c r="CG323" i="25"/>
  <c r="CH323" i="25"/>
  <c r="CI323" i="25"/>
  <c r="CG324" i="25"/>
  <c r="CH324" i="25"/>
  <c r="CI324" i="25"/>
  <c r="CG325" i="25"/>
  <c r="CH325" i="25"/>
  <c r="CI325" i="25"/>
  <c r="CG326" i="25"/>
  <c r="CH326" i="25"/>
  <c r="CI326" i="25"/>
  <c r="CG327" i="25"/>
  <c r="CH327" i="25"/>
  <c r="CI327" i="25"/>
  <c r="CG328" i="25"/>
  <c r="CH328" i="25"/>
  <c r="CI328" i="25"/>
  <c r="CG329" i="25"/>
  <c r="CH329" i="25"/>
  <c r="CI329" i="25"/>
  <c r="CG330" i="25"/>
  <c r="CH330" i="25"/>
  <c r="CI330" i="25"/>
  <c r="CG331" i="25"/>
  <c r="CH331" i="25"/>
  <c r="CI331" i="25"/>
  <c r="CG332" i="25"/>
  <c r="CH332" i="25"/>
  <c r="CI332" i="25"/>
  <c r="CG333" i="25"/>
  <c r="CH333" i="25"/>
  <c r="CI333" i="25"/>
  <c r="CG334" i="25"/>
  <c r="CH334" i="25"/>
  <c r="CI334" i="25"/>
  <c r="CG335" i="25"/>
  <c r="CH335" i="25"/>
  <c r="CI335" i="25"/>
  <c r="CG336" i="25"/>
  <c r="CH336" i="25"/>
  <c r="CI336" i="25"/>
  <c r="CG337" i="25"/>
  <c r="CH337" i="25"/>
  <c r="CI337" i="25"/>
  <c r="CG338" i="25"/>
  <c r="CH338" i="25"/>
  <c r="CI338" i="25"/>
  <c r="CG339" i="25"/>
  <c r="CH339" i="25"/>
  <c r="CI339" i="25"/>
  <c r="CG340" i="25"/>
  <c r="CH340" i="25"/>
  <c r="CI340" i="25"/>
  <c r="CG341" i="25"/>
  <c r="CH341" i="25"/>
  <c r="CI341" i="25"/>
  <c r="CG342" i="25"/>
  <c r="CH342" i="25"/>
  <c r="CI342" i="25"/>
  <c r="CG343" i="25"/>
  <c r="CH343" i="25"/>
  <c r="CI343" i="25"/>
  <c r="CG344" i="25"/>
  <c r="CH344" i="25"/>
  <c r="CI344" i="25"/>
  <c r="CG345" i="25"/>
  <c r="CH345" i="25"/>
  <c r="CI345" i="25"/>
  <c r="CG347" i="25"/>
  <c r="CH347" i="25"/>
  <c r="CI347" i="25"/>
  <c r="CG348" i="25"/>
  <c r="CH348" i="25"/>
  <c r="CI348" i="25"/>
  <c r="CG349" i="25"/>
  <c r="CH349" i="25"/>
  <c r="CI349" i="25"/>
  <c r="CG350" i="25"/>
  <c r="CH350" i="25"/>
  <c r="CI350" i="25"/>
  <c r="CG351" i="25"/>
  <c r="CH351" i="25"/>
  <c r="CI351" i="25"/>
  <c r="CG352" i="25"/>
  <c r="CH352" i="25"/>
  <c r="CI352" i="25"/>
  <c r="CG353" i="25"/>
  <c r="CH353" i="25"/>
  <c r="CI353" i="25"/>
  <c r="CG354" i="25"/>
  <c r="CH354" i="25"/>
  <c r="CI354" i="25"/>
  <c r="CG355" i="25"/>
  <c r="CH355" i="25"/>
  <c r="CI355" i="25"/>
  <c r="CG356" i="25"/>
  <c r="CH356" i="25"/>
  <c r="CI356" i="25"/>
  <c r="CG357" i="25"/>
  <c r="CH357" i="25"/>
  <c r="CI357" i="25"/>
  <c r="CG358" i="25"/>
  <c r="CH358" i="25"/>
  <c r="CI358" i="25"/>
  <c r="CG359" i="25"/>
  <c r="CH359" i="25"/>
  <c r="CI359" i="25"/>
  <c r="CG360" i="25"/>
  <c r="CH360" i="25"/>
  <c r="CI360" i="25"/>
  <c r="CG361" i="25"/>
  <c r="CH361" i="25"/>
  <c r="CI361" i="25"/>
  <c r="CG362" i="25"/>
  <c r="CH362" i="25"/>
  <c r="CI362" i="25"/>
  <c r="CG363" i="25"/>
  <c r="CH363" i="25"/>
  <c r="CI363" i="25"/>
  <c r="CG364" i="25"/>
  <c r="CH364" i="25"/>
  <c r="CI364" i="25"/>
  <c r="CG365" i="25"/>
  <c r="CH365" i="25"/>
  <c r="CI365" i="25"/>
  <c r="CG366" i="25"/>
  <c r="CH366" i="25"/>
  <c r="CI366" i="25"/>
  <c r="CG367" i="25"/>
  <c r="CH367" i="25"/>
  <c r="CI367" i="25"/>
  <c r="CG368" i="25"/>
  <c r="CH368" i="25"/>
  <c r="CI368" i="25"/>
  <c r="CG369" i="25"/>
  <c r="CH369" i="25"/>
  <c r="CI369" i="25"/>
  <c r="CG370" i="25"/>
  <c r="CH370" i="25"/>
  <c r="CI370" i="25"/>
  <c r="CG371" i="25"/>
  <c r="CH371" i="25"/>
  <c r="CI371" i="25"/>
  <c r="CG372" i="25"/>
  <c r="CH372" i="25"/>
  <c r="CI372" i="25"/>
  <c r="CG373" i="25"/>
  <c r="CH373" i="25"/>
  <c r="CI373" i="25"/>
  <c r="CG374" i="25"/>
  <c r="CH374" i="25"/>
  <c r="CI374" i="25"/>
  <c r="CG375" i="25"/>
  <c r="CH375" i="25"/>
  <c r="CI375" i="25"/>
  <c r="CG376" i="25"/>
  <c r="CH376" i="25"/>
  <c r="CI376" i="25"/>
  <c r="CG377" i="25"/>
  <c r="CH377" i="25"/>
  <c r="CI377" i="25"/>
  <c r="CG378" i="25"/>
  <c r="CH378" i="25"/>
  <c r="CI378" i="25"/>
  <c r="CG379" i="25"/>
  <c r="CH379" i="25"/>
  <c r="CI379" i="25"/>
  <c r="CG380" i="25"/>
  <c r="CH380" i="25"/>
  <c r="CI380" i="25"/>
  <c r="CG381" i="25"/>
  <c r="CH381" i="25"/>
  <c r="CI381" i="25"/>
  <c r="CG382" i="25"/>
  <c r="CH382" i="25"/>
  <c r="CI382" i="25"/>
  <c r="CG383" i="25"/>
  <c r="CH383" i="25"/>
  <c r="CI383" i="25"/>
  <c r="CG384" i="25"/>
  <c r="CH384" i="25"/>
  <c r="CI384" i="25"/>
  <c r="CG385" i="25"/>
  <c r="CH385" i="25"/>
  <c r="CI385" i="25"/>
  <c r="CG386" i="25"/>
  <c r="CH386" i="25"/>
  <c r="CI386" i="25"/>
  <c r="CG387" i="25"/>
  <c r="CH387" i="25"/>
  <c r="CI387" i="25"/>
  <c r="CG388" i="25"/>
  <c r="CH388" i="25"/>
  <c r="CI388" i="25"/>
  <c r="CG389" i="25"/>
  <c r="CH389" i="25"/>
  <c r="CI389" i="25"/>
  <c r="CG390" i="25"/>
  <c r="CH390" i="25"/>
  <c r="CI390" i="25"/>
  <c r="CG391" i="25"/>
  <c r="CH391" i="25"/>
  <c r="CI391" i="25"/>
  <c r="CG392" i="25"/>
  <c r="CH392" i="25"/>
  <c r="CI392" i="25"/>
  <c r="CG393" i="25"/>
  <c r="CH393" i="25"/>
  <c r="CI393" i="25"/>
  <c r="CG394" i="25"/>
  <c r="CH394" i="25"/>
  <c r="CI394" i="25"/>
  <c r="CG395" i="25"/>
  <c r="CH395" i="25"/>
  <c r="CI395" i="25"/>
  <c r="CG396" i="25"/>
  <c r="CH396" i="25"/>
  <c r="CI396" i="25"/>
  <c r="CG397" i="25"/>
  <c r="CH397" i="25"/>
  <c r="CI397" i="25"/>
  <c r="CG398" i="25"/>
  <c r="CH398" i="25"/>
  <c r="CI398" i="25"/>
  <c r="CG399" i="25"/>
  <c r="CH399" i="25"/>
  <c r="CI399" i="25"/>
  <c r="CG401" i="25"/>
  <c r="CH401" i="25"/>
  <c r="CI401" i="25"/>
  <c r="CG402" i="25"/>
  <c r="CH402" i="25"/>
  <c r="CI402" i="25"/>
  <c r="CG403" i="25"/>
  <c r="CH403" i="25"/>
  <c r="CI403" i="25"/>
  <c r="CG404" i="25"/>
  <c r="CH404" i="25"/>
  <c r="CI404" i="25"/>
  <c r="CG405" i="25"/>
  <c r="CH405" i="25"/>
  <c r="CI405" i="25"/>
  <c r="CG406" i="25"/>
  <c r="CH406" i="25"/>
  <c r="CI406" i="25"/>
  <c r="CG407" i="25"/>
  <c r="CH407" i="25"/>
  <c r="CI407" i="25"/>
  <c r="CG408" i="25"/>
  <c r="CH408" i="25"/>
  <c r="CI408" i="25"/>
  <c r="CG409" i="25"/>
  <c r="CH409" i="25"/>
  <c r="CI409" i="25"/>
  <c r="CG410" i="25"/>
  <c r="CH410" i="25"/>
  <c r="CI410" i="25"/>
  <c r="CG411" i="25"/>
  <c r="CH411" i="25"/>
  <c r="CI411" i="25"/>
  <c r="CG412" i="25"/>
  <c r="CH412" i="25"/>
  <c r="CI412" i="25"/>
  <c r="CG414" i="25"/>
  <c r="CH414" i="25"/>
  <c r="CI414" i="25"/>
  <c r="CG415" i="25"/>
  <c r="CH415" i="25"/>
  <c r="CI415" i="25"/>
  <c r="CG416" i="25"/>
  <c r="CH416" i="25"/>
  <c r="CI416" i="25"/>
  <c r="CG417" i="25"/>
  <c r="CH417" i="25"/>
  <c r="CI417" i="25"/>
  <c r="CG418" i="25"/>
  <c r="CH418" i="25"/>
  <c r="CI418" i="25"/>
  <c r="CG419" i="25"/>
  <c r="CH419" i="25"/>
  <c r="CI419" i="25"/>
  <c r="CG420" i="25"/>
  <c r="CH420" i="25"/>
  <c r="CI420" i="25"/>
  <c r="CG421" i="25"/>
  <c r="CH421" i="25"/>
  <c r="CI421" i="25"/>
  <c r="CG422" i="25"/>
  <c r="CH422" i="25"/>
  <c r="CI422" i="25"/>
  <c r="CG423" i="25"/>
  <c r="CH423" i="25"/>
  <c r="CI423" i="25"/>
  <c r="CG424" i="25"/>
  <c r="CH424" i="25"/>
  <c r="CI424" i="25"/>
  <c r="CG425" i="25"/>
  <c r="CH425" i="25"/>
  <c r="CI425" i="25"/>
  <c r="CG426" i="25"/>
  <c r="CH426" i="25"/>
  <c r="CI426" i="25"/>
  <c r="CG427" i="25"/>
  <c r="CH427" i="25"/>
  <c r="CI427" i="25"/>
  <c r="CG428" i="25"/>
  <c r="CH428" i="25"/>
  <c r="CI428" i="25"/>
  <c r="CG429" i="25"/>
  <c r="CH429" i="25"/>
  <c r="CI429" i="25"/>
  <c r="CG430" i="25"/>
  <c r="CH430" i="25"/>
  <c r="CI430" i="25"/>
  <c r="CG431" i="25"/>
  <c r="CH431" i="25"/>
  <c r="CI431" i="25"/>
  <c r="CG432" i="25"/>
  <c r="CH432" i="25"/>
  <c r="CI432" i="25"/>
  <c r="CG433" i="25"/>
  <c r="CH433" i="25"/>
  <c r="CI433" i="25"/>
  <c r="CG434" i="25"/>
  <c r="CH434" i="25"/>
  <c r="CI434" i="25"/>
  <c r="CG435" i="25"/>
  <c r="CH435" i="25"/>
  <c r="CI435" i="25"/>
  <c r="CG436" i="25"/>
  <c r="CH436" i="25"/>
  <c r="CI436" i="25"/>
  <c r="CG437" i="25"/>
  <c r="CH437" i="25"/>
  <c r="CI437" i="25"/>
  <c r="CG438" i="25"/>
  <c r="CH438" i="25"/>
  <c r="CI438" i="25"/>
  <c r="CG439" i="25"/>
  <c r="CH439" i="25"/>
  <c r="CI439" i="25"/>
  <c r="CG440" i="25"/>
  <c r="CH440" i="25"/>
  <c r="CI440" i="25"/>
  <c r="CG441" i="25"/>
  <c r="CH441" i="25"/>
  <c r="CI441" i="25"/>
  <c r="CG442" i="25"/>
  <c r="CH442" i="25"/>
  <c r="CI442" i="25"/>
  <c r="CG443" i="25"/>
  <c r="CH443" i="25"/>
  <c r="CI443" i="25"/>
  <c r="CG444" i="25"/>
  <c r="CH444" i="25"/>
  <c r="CI444" i="25"/>
  <c r="CG445" i="25"/>
  <c r="CH445" i="25"/>
  <c r="CI445" i="25"/>
  <c r="CG446" i="25"/>
  <c r="CH446" i="25"/>
  <c r="CI446" i="25"/>
  <c r="CG447" i="25"/>
  <c r="CH447" i="25"/>
  <c r="CI447" i="25"/>
  <c r="CG448" i="25"/>
  <c r="CH448" i="25"/>
  <c r="CI448" i="25"/>
  <c r="CG449" i="25"/>
  <c r="CH449" i="25"/>
  <c r="CI449" i="25"/>
  <c r="CG450" i="25"/>
  <c r="CH450" i="25"/>
  <c r="CI450" i="25"/>
  <c r="CG451" i="25"/>
  <c r="CH451" i="25"/>
  <c r="CI451" i="25"/>
  <c r="CG452" i="25"/>
  <c r="CH452" i="25"/>
  <c r="CI452" i="25"/>
  <c r="CG453" i="25"/>
  <c r="CH453" i="25"/>
  <c r="CI453" i="25"/>
  <c r="CG454" i="25"/>
  <c r="CH454" i="25"/>
  <c r="CI454" i="25"/>
  <c r="CG455" i="25"/>
  <c r="CH455" i="25"/>
  <c r="CI455" i="25"/>
  <c r="CG457" i="25"/>
  <c r="CH457" i="25"/>
  <c r="CI457" i="25"/>
  <c r="CG458" i="25"/>
  <c r="CH458" i="25"/>
  <c r="CI458" i="25"/>
  <c r="CG459" i="25"/>
  <c r="CH459" i="25"/>
  <c r="CI459" i="25"/>
  <c r="CG460" i="25"/>
  <c r="CH460" i="25"/>
  <c r="CI460" i="25"/>
  <c r="CG461" i="25"/>
  <c r="CH461" i="25"/>
  <c r="CI461" i="25"/>
  <c r="CG462" i="25"/>
  <c r="CH462" i="25"/>
  <c r="CI462" i="25"/>
  <c r="CG463" i="25"/>
  <c r="CH463" i="25"/>
  <c r="CI463" i="25"/>
  <c r="CG464" i="25"/>
  <c r="CH464" i="25"/>
  <c r="CI464" i="25"/>
  <c r="CG465" i="25"/>
  <c r="CH465" i="25"/>
  <c r="CI465" i="25"/>
  <c r="CG466" i="25"/>
  <c r="CH466" i="25"/>
  <c r="CI466" i="25"/>
  <c r="CG467" i="25"/>
  <c r="CH467" i="25"/>
  <c r="CI467" i="25"/>
  <c r="CG468" i="25"/>
  <c r="CH468" i="25"/>
  <c r="CI468" i="25"/>
  <c r="CG469" i="25"/>
  <c r="CH469" i="25"/>
  <c r="CI469" i="25"/>
  <c r="CG470" i="25"/>
  <c r="CH470" i="25"/>
  <c r="CI470" i="25"/>
  <c r="CG471" i="25"/>
  <c r="CH471" i="25"/>
  <c r="CI471" i="25"/>
  <c r="CG472" i="25"/>
  <c r="CH472" i="25"/>
  <c r="CI472" i="25"/>
  <c r="CG473" i="25"/>
  <c r="CH473" i="25"/>
  <c r="CI473" i="25"/>
  <c r="CG474" i="25"/>
  <c r="CH474" i="25"/>
  <c r="CI474" i="25"/>
  <c r="CG475" i="25"/>
  <c r="CH475" i="25"/>
  <c r="CI475" i="25"/>
  <c r="CG476" i="25"/>
  <c r="CH476" i="25"/>
  <c r="CI476" i="25"/>
  <c r="CG477" i="25"/>
  <c r="CH477" i="25"/>
  <c r="CI477" i="25"/>
  <c r="CG478" i="25"/>
  <c r="CH478" i="25"/>
  <c r="CI478" i="25"/>
  <c r="CG479" i="25"/>
  <c r="CH479" i="25"/>
  <c r="CI479" i="25"/>
  <c r="CG480" i="25"/>
  <c r="CH480" i="25"/>
  <c r="CI480" i="25"/>
  <c r="CG481" i="25"/>
  <c r="CH481" i="25"/>
  <c r="CI481" i="25"/>
  <c r="CG482" i="25"/>
  <c r="CH482" i="25"/>
  <c r="CI482" i="25"/>
  <c r="CG483" i="25"/>
  <c r="CH483" i="25"/>
  <c r="CI483" i="25"/>
  <c r="CG484" i="25"/>
  <c r="CH484" i="25"/>
  <c r="CI484" i="25"/>
  <c r="CG485" i="25"/>
  <c r="CH485" i="25"/>
  <c r="CI485" i="25"/>
  <c r="CG486" i="25"/>
  <c r="CH486" i="25"/>
  <c r="CI486" i="25"/>
  <c r="CG487" i="25"/>
  <c r="CH487" i="25"/>
  <c r="CI487" i="25"/>
  <c r="CG488" i="25"/>
  <c r="CH488" i="25"/>
  <c r="CI488" i="25"/>
  <c r="CG489" i="25"/>
  <c r="CH489" i="25"/>
  <c r="CI489" i="25"/>
  <c r="CG490" i="25"/>
  <c r="CH490" i="25"/>
  <c r="CI490" i="25"/>
  <c r="CG491" i="25"/>
  <c r="CH491" i="25"/>
  <c r="CI491" i="25"/>
  <c r="CG492" i="25"/>
  <c r="CH492" i="25"/>
  <c r="CI492" i="25"/>
  <c r="CG493" i="25"/>
  <c r="CH493" i="25"/>
  <c r="CI493" i="25"/>
  <c r="CG494" i="25"/>
  <c r="CH494" i="25"/>
  <c r="CI494" i="25"/>
  <c r="CG495" i="25"/>
  <c r="CH495" i="25"/>
  <c r="CI495" i="25"/>
  <c r="CG496" i="25"/>
  <c r="CH496" i="25"/>
  <c r="CI496" i="25"/>
  <c r="CG497" i="25"/>
  <c r="CH497" i="25"/>
  <c r="CI497" i="25"/>
  <c r="CG498" i="25"/>
  <c r="CH498" i="25"/>
  <c r="CI498" i="25"/>
  <c r="CG499" i="25"/>
  <c r="CH499" i="25"/>
  <c r="CI499" i="25"/>
  <c r="CG500" i="25"/>
  <c r="CH500" i="25"/>
  <c r="CI500" i="25"/>
  <c r="CG501" i="25"/>
  <c r="CH501" i="25"/>
  <c r="CI501" i="25"/>
  <c r="CG502" i="25"/>
  <c r="CH502" i="25"/>
  <c r="CI502" i="25"/>
  <c r="CG503" i="25"/>
  <c r="CH503" i="25"/>
  <c r="CI503" i="25"/>
  <c r="CG504" i="25"/>
  <c r="CH504" i="25"/>
  <c r="CI504" i="25"/>
  <c r="CG505" i="25"/>
  <c r="CH505" i="25"/>
  <c r="CI505" i="25"/>
  <c r="CG506" i="25"/>
  <c r="CH506" i="25"/>
  <c r="CI506" i="25"/>
  <c r="CG507" i="25"/>
  <c r="CH507" i="25"/>
  <c r="CI507" i="25"/>
  <c r="CG508" i="25"/>
  <c r="CH508" i="25"/>
  <c r="CI508" i="25"/>
  <c r="CG509" i="25"/>
  <c r="CH509" i="25"/>
  <c r="CI509" i="25"/>
  <c r="CG510" i="25"/>
  <c r="CH510" i="25"/>
  <c r="CI510" i="25"/>
  <c r="CG511" i="25"/>
  <c r="CH511" i="25"/>
  <c r="CI511" i="25"/>
  <c r="CG512" i="25"/>
  <c r="CH512" i="25"/>
  <c r="CI512" i="25"/>
  <c r="CG513" i="25"/>
  <c r="CH513" i="25"/>
  <c r="CI513" i="25"/>
  <c r="CG514" i="25"/>
  <c r="CH514" i="25"/>
  <c r="CI514" i="25"/>
  <c r="CG515" i="25"/>
  <c r="CH515" i="25"/>
  <c r="CI515" i="25"/>
  <c r="CG516" i="25"/>
  <c r="CH516" i="25"/>
  <c r="CI516" i="25"/>
  <c r="CG517" i="25"/>
  <c r="CH517" i="25"/>
  <c r="CI517" i="25"/>
  <c r="CG518" i="25"/>
  <c r="CH518" i="25"/>
  <c r="CI518" i="25"/>
  <c r="CG519" i="25"/>
  <c r="CH519" i="25"/>
  <c r="CI519" i="25"/>
  <c r="CG520" i="25"/>
  <c r="CH520" i="25"/>
  <c r="CI520" i="25"/>
  <c r="CG521" i="25"/>
  <c r="CH521" i="25"/>
  <c r="CI521" i="25"/>
  <c r="CG522" i="25"/>
  <c r="CH522" i="25"/>
  <c r="CI522" i="25"/>
  <c r="CG523" i="25"/>
  <c r="CH523" i="25"/>
  <c r="CI523" i="25"/>
  <c r="CG524" i="25"/>
  <c r="CH524" i="25"/>
  <c r="CI524" i="25"/>
  <c r="CG525" i="25"/>
  <c r="CH525" i="25"/>
  <c r="CI525" i="25"/>
  <c r="CG526" i="25"/>
  <c r="CH526" i="25"/>
  <c r="CI526" i="25"/>
  <c r="CG527" i="25"/>
  <c r="CH527" i="25"/>
  <c r="CI527" i="25"/>
  <c r="CG528" i="25"/>
  <c r="CH528" i="25"/>
  <c r="CI528" i="25"/>
  <c r="CG529" i="25"/>
  <c r="CH529" i="25"/>
  <c r="CI529" i="25"/>
  <c r="CG530" i="25"/>
  <c r="CH530" i="25"/>
  <c r="CI530" i="25"/>
  <c r="CG531" i="25"/>
  <c r="CH531" i="25"/>
  <c r="CI531" i="25"/>
  <c r="CG532" i="25"/>
  <c r="CH532" i="25"/>
  <c r="CI532" i="25"/>
  <c r="CG533" i="25"/>
  <c r="CH533" i="25"/>
  <c r="CI533" i="25"/>
  <c r="CG534" i="25"/>
  <c r="CH534" i="25"/>
  <c r="CI534" i="25"/>
  <c r="CG535" i="25"/>
  <c r="CH535" i="25"/>
  <c r="CI535" i="25"/>
  <c r="CG536" i="25"/>
  <c r="CH536" i="25"/>
  <c r="CI536" i="25"/>
  <c r="CG537" i="25"/>
  <c r="CH537" i="25"/>
  <c r="CI537" i="25"/>
  <c r="CG538" i="25"/>
  <c r="CH538" i="25"/>
  <c r="CI538" i="25"/>
  <c r="CG539" i="25"/>
  <c r="CH539" i="25"/>
  <c r="CI539" i="25"/>
  <c r="CG540" i="25"/>
  <c r="CH540" i="25"/>
  <c r="CI540" i="25"/>
  <c r="CG541" i="25"/>
  <c r="CH541" i="25"/>
  <c r="CI541" i="25"/>
  <c r="CG542" i="25"/>
  <c r="CH542" i="25"/>
  <c r="CI542" i="25"/>
  <c r="CG543" i="25"/>
  <c r="CH543" i="25"/>
  <c r="CI543" i="25"/>
  <c r="CG544" i="25"/>
  <c r="CH544" i="25"/>
  <c r="CI544" i="25"/>
  <c r="CG545" i="25"/>
  <c r="CH545" i="25"/>
  <c r="CI545" i="25"/>
  <c r="CG546" i="25"/>
  <c r="CH546" i="25"/>
  <c r="CI546" i="25"/>
  <c r="CG547" i="25"/>
  <c r="CH547" i="25"/>
  <c r="CI547" i="25"/>
  <c r="CG548" i="25"/>
  <c r="CH548" i="25"/>
  <c r="CI548" i="25"/>
  <c r="CG549" i="25"/>
  <c r="CH549" i="25"/>
  <c r="CI549" i="25"/>
  <c r="CG550" i="25"/>
  <c r="CH550" i="25"/>
  <c r="CI550" i="25"/>
  <c r="CG551" i="25"/>
  <c r="CH551" i="25"/>
  <c r="CI551" i="25"/>
  <c r="CG552" i="25"/>
  <c r="CH552" i="25"/>
  <c r="CI552" i="25"/>
  <c r="CG553" i="25"/>
  <c r="CH553" i="25"/>
  <c r="CI553" i="25"/>
  <c r="CG554" i="25"/>
  <c r="CH554" i="25"/>
  <c r="CI554" i="25"/>
  <c r="CG555" i="25"/>
  <c r="CH555" i="25"/>
  <c r="CI555" i="25"/>
  <c r="CG556" i="25"/>
  <c r="CH556" i="25"/>
  <c r="CI556" i="25"/>
  <c r="CG557" i="25"/>
  <c r="CH557" i="25"/>
  <c r="CI557" i="25"/>
  <c r="CG558" i="25"/>
  <c r="CH558" i="25"/>
  <c r="CI558" i="25"/>
  <c r="CG559" i="25"/>
  <c r="CH559" i="25"/>
  <c r="CI559" i="25"/>
  <c r="CG560" i="25"/>
  <c r="CH560" i="25"/>
  <c r="CI560" i="25"/>
  <c r="CG561" i="25"/>
  <c r="CH561" i="25"/>
  <c r="CI561" i="25"/>
  <c r="CG562" i="25"/>
  <c r="CH562" i="25"/>
  <c r="CI562" i="25"/>
  <c r="CG563" i="25"/>
  <c r="CH563" i="25"/>
  <c r="CI563" i="25"/>
  <c r="CG564" i="25"/>
  <c r="CH564" i="25"/>
  <c r="CI564" i="25"/>
  <c r="CG565" i="25"/>
  <c r="CH565" i="25"/>
  <c r="CI565" i="25"/>
  <c r="CG566" i="25"/>
  <c r="CH566" i="25"/>
  <c r="CI566" i="25"/>
  <c r="CG567" i="25"/>
  <c r="CH567" i="25"/>
  <c r="CI567" i="25"/>
  <c r="CG568" i="25"/>
  <c r="CH568" i="25"/>
  <c r="CI568" i="25"/>
  <c r="CG569" i="25"/>
  <c r="CH569" i="25"/>
  <c r="CI569" i="25"/>
  <c r="CG570" i="25"/>
  <c r="CH570" i="25"/>
  <c r="CI570" i="25"/>
  <c r="CG571" i="25"/>
  <c r="CH571" i="25"/>
  <c r="CI571" i="25"/>
  <c r="CG572" i="25"/>
  <c r="CH572" i="25"/>
  <c r="CI572" i="25"/>
  <c r="CG573" i="25"/>
  <c r="CH573" i="25"/>
  <c r="CI573" i="25"/>
  <c r="CG574" i="25"/>
  <c r="CH574" i="25"/>
  <c r="CI574" i="25"/>
  <c r="CG575" i="25"/>
  <c r="CH575" i="25"/>
  <c r="CI575" i="25"/>
  <c r="CG576" i="25"/>
  <c r="CH576" i="25"/>
  <c r="CI576" i="25"/>
  <c r="CG577" i="25"/>
  <c r="CH577" i="25"/>
  <c r="CI577" i="25"/>
  <c r="CG578" i="25"/>
  <c r="CH578" i="25"/>
  <c r="CI578" i="25"/>
  <c r="CG579" i="25"/>
  <c r="CH579" i="25"/>
  <c r="CI579" i="25"/>
  <c r="CG580" i="25"/>
  <c r="CH580" i="25"/>
  <c r="CI580" i="25"/>
  <c r="CG581" i="25"/>
  <c r="CH581" i="25"/>
  <c r="CI581" i="25"/>
  <c r="CG582" i="25"/>
  <c r="CH582" i="25"/>
  <c r="CI582" i="25"/>
  <c r="CG583" i="25"/>
  <c r="CH583" i="25"/>
  <c r="CI583" i="25"/>
  <c r="CG584" i="25"/>
  <c r="CH584" i="25"/>
  <c r="CI584" i="25"/>
  <c r="CG585" i="25"/>
  <c r="CH585" i="25"/>
  <c r="CI585" i="25"/>
  <c r="CG586" i="25"/>
  <c r="CH586" i="25"/>
  <c r="CI586" i="25"/>
  <c r="CG587" i="25"/>
  <c r="CH587" i="25"/>
  <c r="CI587" i="25"/>
  <c r="CG588" i="25"/>
  <c r="CH588" i="25"/>
  <c r="CI588" i="25"/>
  <c r="CG589" i="25"/>
  <c r="CH589" i="25"/>
  <c r="CI589" i="25"/>
  <c r="CG590" i="25"/>
  <c r="CH590" i="25"/>
  <c r="CI590" i="25"/>
  <c r="CG591" i="25"/>
  <c r="CH591" i="25"/>
  <c r="CI591" i="25"/>
  <c r="CG592" i="25"/>
  <c r="CH592" i="25"/>
  <c r="CI592" i="25"/>
  <c r="CG593" i="25"/>
  <c r="CH593" i="25"/>
  <c r="CI593" i="25"/>
  <c r="CG594" i="25"/>
  <c r="CH594" i="25"/>
  <c r="CI594" i="25"/>
  <c r="CG595" i="25"/>
  <c r="CH595" i="25"/>
  <c r="CI595" i="25"/>
  <c r="CG596" i="25"/>
  <c r="CH596" i="25"/>
  <c r="CI596" i="25"/>
  <c r="CG597" i="25"/>
  <c r="CH597" i="25"/>
  <c r="CI597" i="25"/>
  <c r="CG598" i="25"/>
  <c r="CH598" i="25"/>
  <c r="CI598" i="25"/>
  <c r="CG599" i="25"/>
  <c r="CH599" i="25"/>
  <c r="CI599" i="25"/>
  <c r="CG600" i="25"/>
  <c r="CH600" i="25"/>
  <c r="CI600" i="25"/>
  <c r="CG601" i="25"/>
  <c r="CH601" i="25"/>
  <c r="CI601" i="25"/>
  <c r="CG602" i="25"/>
  <c r="CH602" i="25"/>
  <c r="CI602" i="25"/>
  <c r="CG603" i="25"/>
  <c r="CH603" i="25"/>
  <c r="CI603" i="25"/>
  <c r="CG604" i="25"/>
  <c r="CH604" i="25"/>
  <c r="CI604" i="25"/>
  <c r="CG605" i="25"/>
  <c r="CH605" i="25"/>
  <c r="CI605" i="25"/>
  <c r="CG606" i="25"/>
  <c r="CH606" i="25"/>
  <c r="CI606" i="25"/>
  <c r="CG607" i="25"/>
  <c r="CH607" i="25"/>
  <c r="CI607" i="25"/>
  <c r="CG608" i="25"/>
  <c r="CH608" i="25"/>
  <c r="CI608" i="25"/>
  <c r="CG609" i="25"/>
  <c r="CH609" i="25"/>
  <c r="CI609" i="25"/>
  <c r="CG610" i="25"/>
  <c r="CH610" i="25"/>
  <c r="CI610" i="25"/>
  <c r="CG611" i="25"/>
  <c r="CH611" i="25"/>
  <c r="CI611" i="25"/>
  <c r="CG612" i="25"/>
  <c r="CH612" i="25"/>
  <c r="CI612" i="25"/>
  <c r="CG613" i="25"/>
  <c r="CH613" i="25"/>
  <c r="CI613" i="25"/>
  <c r="CG614" i="25"/>
  <c r="CH614" i="25"/>
  <c r="CI614" i="25"/>
  <c r="CG615" i="25"/>
  <c r="CH615" i="25"/>
  <c r="CI615" i="25"/>
  <c r="CG616" i="25"/>
  <c r="CH616" i="25"/>
  <c r="CI616" i="25"/>
  <c r="CG617" i="25"/>
  <c r="CH617" i="25"/>
  <c r="CI617" i="25"/>
  <c r="CG618" i="25"/>
  <c r="CH618" i="25"/>
  <c r="CI618" i="25"/>
  <c r="CI11" i="25"/>
  <c r="CH11" i="25"/>
  <c r="CG11" i="25"/>
  <c r="CC12" i="25"/>
  <c r="CC13" i="25"/>
  <c r="CC14" i="25"/>
  <c r="CC15" i="25"/>
  <c r="CC16" i="25"/>
  <c r="CC17" i="25"/>
  <c r="CC18" i="25"/>
  <c r="CC19" i="25"/>
  <c r="CC20" i="25"/>
  <c r="CC21" i="25"/>
  <c r="CC22" i="25"/>
  <c r="CC23" i="25"/>
  <c r="CC24" i="25"/>
  <c r="CC25" i="25"/>
  <c r="CC26" i="25"/>
  <c r="CC27" i="25"/>
  <c r="CC28" i="25"/>
  <c r="CC29" i="25"/>
  <c r="CC30" i="25"/>
  <c r="CC31" i="25"/>
  <c r="CC32" i="25"/>
  <c r="CC33" i="25"/>
  <c r="CC34" i="25"/>
  <c r="CC35" i="25"/>
  <c r="CC36" i="25"/>
  <c r="CC37" i="25"/>
  <c r="CC38" i="25"/>
  <c r="CC39" i="25"/>
  <c r="CC40" i="25"/>
  <c r="CC41" i="25"/>
  <c r="CC42" i="25"/>
  <c r="CC43" i="25"/>
  <c r="CC44" i="25"/>
  <c r="CC45" i="25"/>
  <c r="CC46" i="25"/>
  <c r="CC47" i="25"/>
  <c r="CC48" i="25"/>
  <c r="CC49" i="25"/>
  <c r="CC50" i="25"/>
  <c r="CC51" i="25"/>
  <c r="CC52" i="25"/>
  <c r="CC53" i="25"/>
  <c r="CC54" i="25"/>
  <c r="CC55" i="25"/>
  <c r="CC56" i="25"/>
  <c r="CC57" i="25"/>
  <c r="CC58" i="25"/>
  <c r="CC59" i="25"/>
  <c r="CC60" i="25"/>
  <c r="CC61" i="25"/>
  <c r="CC62" i="25"/>
  <c r="CC63" i="25"/>
  <c r="CC64" i="25"/>
  <c r="CC65" i="25"/>
  <c r="CC66" i="25"/>
  <c r="CC67" i="25"/>
  <c r="CC68" i="25"/>
  <c r="CC69" i="25"/>
  <c r="CC70" i="25"/>
  <c r="CC71" i="25"/>
  <c r="CC72" i="25"/>
  <c r="CC73" i="25"/>
  <c r="CC74" i="25"/>
  <c r="CC75" i="25"/>
  <c r="CC76" i="25"/>
  <c r="CC77" i="25"/>
  <c r="CC78" i="25"/>
  <c r="CC79" i="25"/>
  <c r="CC80" i="25"/>
  <c r="CC81" i="25"/>
  <c r="CC82" i="25"/>
  <c r="CC83" i="25"/>
  <c r="CC84" i="25"/>
  <c r="CC85" i="25"/>
  <c r="CC86" i="25"/>
  <c r="CC87" i="25"/>
  <c r="CC89" i="25"/>
  <c r="CC88" i="25"/>
  <c r="CC90" i="25"/>
  <c r="CC91" i="25"/>
  <c r="CC92" i="25"/>
  <c r="CC93" i="25"/>
  <c r="CC94" i="25"/>
  <c r="CC95" i="25"/>
  <c r="CC96" i="25"/>
  <c r="CC97" i="25"/>
  <c r="CC98" i="25"/>
  <c r="CC99" i="25"/>
  <c r="CC100" i="25"/>
  <c r="CC101" i="25"/>
  <c r="CC102" i="25"/>
  <c r="CC103" i="25"/>
  <c r="CC104" i="25"/>
  <c r="CC105" i="25"/>
  <c r="CC106" i="25"/>
  <c r="CC107" i="25"/>
  <c r="CC108" i="25"/>
  <c r="CC109" i="25"/>
  <c r="CC110" i="25"/>
  <c r="CC111" i="25"/>
  <c r="CC112" i="25"/>
  <c r="CC113" i="25"/>
  <c r="CC114" i="25"/>
  <c r="CC115" i="25"/>
  <c r="CC116" i="25"/>
  <c r="CC117" i="25"/>
  <c r="CC118" i="25"/>
  <c r="CC119" i="25"/>
  <c r="CC120" i="25"/>
  <c r="CC121" i="25"/>
  <c r="CC122" i="25"/>
  <c r="CC123" i="25"/>
  <c r="CC124" i="25"/>
  <c r="CC125" i="25"/>
  <c r="CC126" i="25"/>
  <c r="CC127" i="25"/>
  <c r="CC128" i="25"/>
  <c r="CC129" i="25"/>
  <c r="CC130" i="25"/>
  <c r="CC131" i="25"/>
  <c r="CC132" i="25"/>
  <c r="CC133" i="25"/>
  <c r="CC134" i="25"/>
  <c r="CC135" i="25"/>
  <c r="CC136" i="25"/>
  <c r="CC137" i="25"/>
  <c r="CC138" i="25"/>
  <c r="CC139" i="25"/>
  <c r="CC140" i="25"/>
  <c r="CC141" i="25"/>
  <c r="CC142" i="25"/>
  <c r="CC143" i="25"/>
  <c r="CC144" i="25"/>
  <c r="CC145" i="25"/>
  <c r="CC146" i="25"/>
  <c r="CC147" i="25"/>
  <c r="CC148" i="25"/>
  <c r="CC149" i="25"/>
  <c r="CC150" i="25"/>
  <c r="CC151" i="25"/>
  <c r="CC152" i="25"/>
  <c r="CC153" i="25"/>
  <c r="CC154" i="25"/>
  <c r="CC155" i="25"/>
  <c r="CC156" i="25"/>
  <c r="CC157" i="25"/>
  <c r="CC158" i="25"/>
  <c r="CC159" i="25"/>
  <c r="CC160" i="25"/>
  <c r="CC161" i="25"/>
  <c r="CC162" i="25"/>
  <c r="CC163" i="25"/>
  <c r="CC164" i="25"/>
  <c r="CC165" i="25"/>
  <c r="CC166" i="25"/>
  <c r="CC167" i="25"/>
  <c r="CC168" i="25"/>
  <c r="CC169" i="25"/>
  <c r="CC170" i="25"/>
  <c r="CC171" i="25"/>
  <c r="CC172" i="25"/>
  <c r="CC173" i="25"/>
  <c r="CC174" i="25"/>
  <c r="CC175" i="25"/>
  <c r="CC176" i="25"/>
  <c r="CC177" i="25"/>
  <c r="CC178" i="25"/>
  <c r="CC179" i="25"/>
  <c r="CC180" i="25"/>
  <c r="CC181" i="25"/>
  <c r="CC182" i="25"/>
  <c r="CC183" i="25"/>
  <c r="CC184" i="25"/>
  <c r="CC185" i="25"/>
  <c r="CC186" i="25"/>
  <c r="CC187" i="25"/>
  <c r="CC188" i="25"/>
  <c r="CC189" i="25"/>
  <c r="CC190" i="25"/>
  <c r="CC191" i="25"/>
  <c r="CC192" i="25"/>
  <c r="CC193" i="25"/>
  <c r="CC194" i="25"/>
  <c r="CC195" i="25"/>
  <c r="CC196" i="25"/>
  <c r="CC197" i="25"/>
  <c r="CC198" i="25"/>
  <c r="CC199" i="25"/>
  <c r="CC200" i="25"/>
  <c r="CC201" i="25"/>
  <c r="CC202" i="25"/>
  <c r="CC203" i="25"/>
  <c r="CC204" i="25"/>
  <c r="CC205" i="25"/>
  <c r="CC206" i="25"/>
  <c r="CC207" i="25"/>
  <c r="CC208" i="25"/>
  <c r="CC209" i="25"/>
  <c r="CC210" i="25"/>
  <c r="CC211" i="25"/>
  <c r="CC212" i="25"/>
  <c r="CC213" i="25"/>
  <c r="CC214" i="25"/>
  <c r="CC215" i="25"/>
  <c r="CC216" i="25"/>
  <c r="CC217" i="25"/>
  <c r="CC218" i="25"/>
  <c r="CC219" i="25"/>
  <c r="CC220" i="25"/>
  <c r="CC221" i="25"/>
  <c r="CC222" i="25"/>
  <c r="CC223" i="25"/>
  <c r="CC224" i="25"/>
  <c r="CC225" i="25"/>
  <c r="CC226" i="25"/>
  <c r="CC227" i="25"/>
  <c r="CC228" i="25"/>
  <c r="CC229" i="25"/>
  <c r="CC230" i="25"/>
  <c r="CC231" i="25"/>
  <c r="CC232" i="25"/>
  <c r="CC233" i="25"/>
  <c r="CC234" i="25"/>
  <c r="CC235" i="25"/>
  <c r="CC236" i="25"/>
  <c r="CC237" i="25"/>
  <c r="CC238" i="25"/>
  <c r="CC239" i="25"/>
  <c r="CC240" i="25"/>
  <c r="CC241" i="25"/>
  <c r="CC242" i="25"/>
  <c r="CC243" i="25"/>
  <c r="CC244" i="25"/>
  <c r="CC245" i="25"/>
  <c r="CC246" i="25"/>
  <c r="CC247" i="25"/>
  <c r="CC248" i="25"/>
  <c r="CC249" i="25"/>
  <c r="CC250" i="25"/>
  <c r="CC251" i="25"/>
  <c r="CC252" i="25"/>
  <c r="CC253" i="25"/>
  <c r="CC254" i="25"/>
  <c r="CC255" i="25"/>
  <c r="CC256" i="25"/>
  <c r="CC257" i="25"/>
  <c r="CC258" i="25"/>
  <c r="CC259" i="25"/>
  <c r="CC260" i="25"/>
  <c r="CC261" i="25"/>
  <c r="CC262" i="25"/>
  <c r="CC263" i="25"/>
  <c r="CC264" i="25"/>
  <c r="CC265" i="25"/>
  <c r="CC266" i="25"/>
  <c r="CC267" i="25"/>
  <c r="CC268" i="25"/>
  <c r="CC269" i="25"/>
  <c r="CC270" i="25"/>
  <c r="CC271" i="25"/>
  <c r="CC272" i="25"/>
  <c r="CC273" i="25"/>
  <c r="CC274" i="25"/>
  <c r="CC275" i="25"/>
  <c r="CC276" i="25"/>
  <c r="CC277" i="25"/>
  <c r="CC278" i="25"/>
  <c r="CC279" i="25"/>
  <c r="CC280" i="25"/>
  <c r="CC281" i="25"/>
  <c r="CC282" i="25"/>
  <c r="CC283" i="25"/>
  <c r="CC284" i="25"/>
  <c r="CC285" i="25"/>
  <c r="CC286" i="25"/>
  <c r="CC287" i="25"/>
  <c r="CC288" i="25"/>
  <c r="CC290" i="25"/>
  <c r="CC291" i="25"/>
  <c r="CC292" i="25"/>
  <c r="CC289" i="25"/>
  <c r="CC293" i="25"/>
  <c r="CC294" i="25"/>
  <c r="CC295" i="25"/>
  <c r="CC296" i="25"/>
  <c r="CC297" i="25"/>
  <c r="CC298" i="25"/>
  <c r="CC299" i="25"/>
  <c r="CC300" i="25"/>
  <c r="CC301" i="25"/>
  <c r="CC302" i="25"/>
  <c r="CC303" i="25"/>
  <c r="CC304" i="25"/>
  <c r="CC305" i="25"/>
  <c r="CC306" i="25"/>
  <c r="CC307" i="25"/>
  <c r="CC308" i="25"/>
  <c r="CC309" i="25"/>
  <c r="CC310" i="25"/>
  <c r="CC311" i="25"/>
  <c r="CC312" i="25"/>
  <c r="CC313" i="25"/>
  <c r="CC314" i="25"/>
  <c r="CC315" i="25"/>
  <c r="CC316" i="25"/>
  <c r="CC317" i="25"/>
  <c r="CC319" i="25"/>
  <c r="CC320" i="25"/>
  <c r="CC321" i="25"/>
  <c r="CC322" i="25"/>
  <c r="CC323" i="25"/>
  <c r="CC324" i="25"/>
  <c r="CC325" i="25"/>
  <c r="CC326" i="25"/>
  <c r="CC327" i="25"/>
  <c r="CC328" i="25"/>
  <c r="CC329" i="25"/>
  <c r="CC330" i="25"/>
  <c r="CC331" i="25"/>
  <c r="CC332" i="25"/>
  <c r="CC333" i="25"/>
  <c r="CC334" i="25"/>
  <c r="CC335" i="25"/>
  <c r="CC336" i="25"/>
  <c r="CC337" i="25"/>
  <c r="CC338" i="25"/>
  <c r="CC339" i="25"/>
  <c r="CC340" i="25"/>
  <c r="CC341" i="25"/>
  <c r="CC342" i="25"/>
  <c r="CC343" i="25"/>
  <c r="CC344" i="25"/>
  <c r="CC345" i="25"/>
  <c r="CC347" i="25"/>
  <c r="CC348" i="25"/>
  <c r="CC349" i="25"/>
  <c r="CC350" i="25"/>
  <c r="CC351" i="25"/>
  <c r="CC352" i="25"/>
  <c r="CC353" i="25"/>
  <c r="CC354" i="25"/>
  <c r="CC355" i="25"/>
  <c r="CC356" i="25"/>
  <c r="CC357" i="25"/>
  <c r="CC358" i="25"/>
  <c r="CC359" i="25"/>
  <c r="CC360" i="25"/>
  <c r="CC361" i="25"/>
  <c r="CC362" i="25"/>
  <c r="CC363" i="25"/>
  <c r="CC364" i="25"/>
  <c r="CC365" i="25"/>
  <c r="CC366" i="25"/>
  <c r="CC367" i="25"/>
  <c r="CC368" i="25"/>
  <c r="CC369" i="25"/>
  <c r="CC370" i="25"/>
  <c r="CC371" i="25"/>
  <c r="CC372" i="25"/>
  <c r="CC373" i="25"/>
  <c r="CC374" i="25"/>
  <c r="CC375" i="25"/>
  <c r="CC376" i="25"/>
  <c r="CC377" i="25"/>
  <c r="CC378" i="25"/>
  <c r="CC379" i="25"/>
  <c r="CC380" i="25"/>
  <c r="CC381" i="25"/>
  <c r="CC382" i="25"/>
  <c r="CC383" i="25"/>
  <c r="CC384" i="25"/>
  <c r="CC385" i="25"/>
  <c r="CC386" i="25"/>
  <c r="CC387" i="25"/>
  <c r="CC388" i="25"/>
  <c r="CC389" i="25"/>
  <c r="CC390" i="25"/>
  <c r="CC391" i="25"/>
  <c r="CC392" i="25"/>
  <c r="CC393" i="25"/>
  <c r="CC394" i="25"/>
  <c r="CC395" i="25"/>
  <c r="CC396" i="25"/>
  <c r="CC397" i="25"/>
  <c r="CC398" i="25"/>
  <c r="CC399" i="25"/>
  <c r="CC401" i="25"/>
  <c r="CC402" i="25"/>
  <c r="CC403" i="25"/>
  <c r="CC404" i="25"/>
  <c r="CC405" i="25"/>
  <c r="CC406" i="25"/>
  <c r="CC407" i="25"/>
  <c r="CC408" i="25"/>
  <c r="CC409" i="25"/>
  <c r="CC410" i="25"/>
  <c r="CC411" i="25"/>
  <c r="CC412" i="25"/>
  <c r="CC414" i="25"/>
  <c r="CC415" i="25"/>
  <c r="CC416" i="25"/>
  <c r="CC417" i="25"/>
  <c r="CC418" i="25"/>
  <c r="CC419" i="25"/>
  <c r="CC420" i="25"/>
  <c r="CC421" i="25"/>
  <c r="CC422" i="25"/>
  <c r="CC423" i="25"/>
  <c r="CC424" i="25"/>
  <c r="CC425" i="25"/>
  <c r="CC426" i="25"/>
  <c r="CC427" i="25"/>
  <c r="CC428" i="25"/>
  <c r="CC429" i="25"/>
  <c r="CC430" i="25"/>
  <c r="CC431" i="25"/>
  <c r="CC432" i="25"/>
  <c r="CC433" i="25"/>
  <c r="CC434" i="25"/>
  <c r="CC435" i="25"/>
  <c r="CC436" i="25"/>
  <c r="CC437" i="25"/>
  <c r="CC438" i="25"/>
  <c r="CC439" i="25"/>
  <c r="CC440" i="25"/>
  <c r="CC441" i="25"/>
  <c r="CC442" i="25"/>
  <c r="CC443" i="25"/>
  <c r="CC444" i="25"/>
  <c r="CC445" i="25"/>
  <c r="CC446" i="25"/>
  <c r="CC447" i="25"/>
  <c r="CC448" i="25"/>
  <c r="CC449" i="25"/>
  <c r="CC450" i="25"/>
  <c r="CC451" i="25"/>
  <c r="CC452" i="25"/>
  <c r="CC453" i="25"/>
  <c r="CC454" i="25"/>
  <c r="CC455" i="25"/>
  <c r="CC457" i="25"/>
  <c r="CC458" i="25"/>
  <c r="CC459" i="25"/>
  <c r="CC460" i="25"/>
  <c r="CC461" i="25"/>
  <c r="CC462" i="25"/>
  <c r="CC463" i="25"/>
  <c r="CC464" i="25"/>
  <c r="CC465" i="25"/>
  <c r="CC466" i="25"/>
  <c r="CC467" i="25"/>
  <c r="CC468" i="25"/>
  <c r="CC469" i="25"/>
  <c r="CC470" i="25"/>
  <c r="CC471" i="25"/>
  <c r="CC472" i="25"/>
  <c r="CC473" i="25"/>
  <c r="CC474" i="25"/>
  <c r="CC475" i="25"/>
  <c r="CC476" i="25"/>
  <c r="CC477" i="25"/>
  <c r="CC478" i="25"/>
  <c r="CC479" i="25"/>
  <c r="CC480" i="25"/>
  <c r="CC481" i="25"/>
  <c r="CC482" i="25"/>
  <c r="CC483" i="25"/>
  <c r="CC484" i="25"/>
  <c r="CC485" i="25"/>
  <c r="CC486" i="25"/>
  <c r="CC487" i="25"/>
  <c r="CC488" i="25"/>
  <c r="CC489" i="25"/>
  <c r="CC490" i="25"/>
  <c r="CC491" i="25"/>
  <c r="CC492" i="25"/>
  <c r="CC493" i="25"/>
  <c r="CC494" i="25"/>
  <c r="CC495" i="25"/>
  <c r="CC496" i="25"/>
  <c r="CC497" i="25"/>
  <c r="CC498" i="25"/>
  <c r="CC499" i="25"/>
  <c r="CC500" i="25"/>
  <c r="CC501" i="25"/>
  <c r="CC502" i="25"/>
  <c r="CC503" i="25"/>
  <c r="CC504" i="25"/>
  <c r="CC505" i="25"/>
  <c r="CC506" i="25"/>
  <c r="CC507" i="25"/>
  <c r="CC508" i="25"/>
  <c r="CC509" i="25"/>
  <c r="CC510" i="25"/>
  <c r="CC511" i="25"/>
  <c r="CC512" i="25"/>
  <c r="CC513" i="25"/>
  <c r="CC514" i="25"/>
  <c r="CC515" i="25"/>
  <c r="CC516" i="25"/>
  <c r="CC517" i="25"/>
  <c r="CC518" i="25"/>
  <c r="CC519" i="25"/>
  <c r="CC520" i="25"/>
  <c r="CC521" i="25"/>
  <c r="CC522" i="25"/>
  <c r="CC523" i="25"/>
  <c r="CC524" i="25"/>
  <c r="CC525" i="25"/>
  <c r="CC526" i="25"/>
  <c r="CC527" i="25"/>
  <c r="CC528" i="25"/>
  <c r="CC529" i="25"/>
  <c r="CC530" i="25"/>
  <c r="CC531" i="25"/>
  <c r="CC532" i="25"/>
  <c r="CC533" i="25"/>
  <c r="CC534" i="25"/>
  <c r="CC535" i="25"/>
  <c r="CC536" i="25"/>
  <c r="CC537" i="25"/>
  <c r="CC538" i="25"/>
  <c r="CC539" i="25"/>
  <c r="CC540" i="25"/>
  <c r="CC541" i="25"/>
  <c r="CC542" i="25"/>
  <c r="CC543" i="25"/>
  <c r="CC544" i="25"/>
  <c r="CC545" i="25"/>
  <c r="CC546" i="25"/>
  <c r="CC547" i="25"/>
  <c r="CC548" i="25"/>
  <c r="CC549" i="25"/>
  <c r="CC550" i="25"/>
  <c r="CC551" i="25"/>
  <c r="CC552" i="25"/>
  <c r="CC553" i="25"/>
  <c r="CC554" i="25"/>
  <c r="CC555" i="25"/>
  <c r="CC556" i="25"/>
  <c r="CC557" i="25"/>
  <c r="CC558" i="25"/>
  <c r="CC559" i="25"/>
  <c r="CC560" i="25"/>
  <c r="CC561" i="25"/>
  <c r="CC562" i="25"/>
  <c r="CC563" i="25"/>
  <c r="CC564" i="25"/>
  <c r="CC565" i="25"/>
  <c r="CC566" i="25"/>
  <c r="CC567" i="25"/>
  <c r="CC568" i="25"/>
  <c r="CC569" i="25"/>
  <c r="CC570" i="25"/>
  <c r="CC571" i="25"/>
  <c r="CC572" i="25"/>
  <c r="CC573" i="25"/>
  <c r="CC574" i="25"/>
  <c r="CC575" i="25"/>
  <c r="CC576" i="25"/>
  <c r="CC577" i="25"/>
  <c r="CC578" i="25"/>
  <c r="CC579" i="25"/>
  <c r="CC580" i="25"/>
  <c r="CC581" i="25"/>
  <c r="CC582" i="25"/>
  <c r="CC583" i="25"/>
  <c r="CC584" i="25"/>
  <c r="CC585" i="25"/>
  <c r="CC586" i="25"/>
  <c r="CC587" i="25"/>
  <c r="CC588" i="25"/>
  <c r="CC589" i="25"/>
  <c r="CC590" i="25"/>
  <c r="CC591" i="25"/>
  <c r="CC592" i="25"/>
  <c r="CC593" i="25"/>
  <c r="CC594" i="25"/>
  <c r="CC595" i="25"/>
  <c r="CC596" i="25"/>
  <c r="CC597" i="25"/>
  <c r="CC598" i="25"/>
  <c r="CC599" i="25"/>
  <c r="CC600" i="25"/>
  <c r="CC601" i="25"/>
  <c r="CC602" i="25"/>
  <c r="CC603" i="25"/>
  <c r="CC604" i="25"/>
  <c r="CC605" i="25"/>
  <c r="CC606" i="25"/>
  <c r="CC607" i="25"/>
  <c r="CC608" i="25"/>
  <c r="CC609" i="25"/>
  <c r="CC610" i="25"/>
  <c r="CC611" i="25"/>
  <c r="CC612" i="25"/>
  <c r="CC613" i="25"/>
  <c r="CC614" i="25"/>
  <c r="CC615" i="25"/>
  <c r="CC616" i="25"/>
  <c r="CC617" i="25"/>
  <c r="CC618" i="25"/>
  <c r="CC11" i="25"/>
  <c r="AW12" i="22"/>
  <c r="AX12" i="22"/>
  <c r="AW13" i="22"/>
  <c r="AX13" i="22"/>
  <c r="AW14" i="22"/>
  <c r="AX14" i="22"/>
  <c r="AW15" i="22"/>
  <c r="AX15" i="22"/>
  <c r="AW16" i="22"/>
  <c r="AX16" i="22"/>
  <c r="AW17" i="22"/>
  <c r="AX17" i="22"/>
  <c r="AW18" i="22"/>
  <c r="AX18" i="22"/>
  <c r="AW19" i="22"/>
  <c r="AX19" i="22"/>
  <c r="AW20" i="22"/>
  <c r="AX20" i="22"/>
  <c r="AW21" i="22"/>
  <c r="AX21" i="22"/>
  <c r="AW22" i="22"/>
  <c r="AX22" i="22"/>
  <c r="AW23" i="22"/>
  <c r="AX23" i="22"/>
  <c r="AW24" i="22"/>
  <c r="AX24" i="22"/>
  <c r="AW25" i="22"/>
  <c r="AX25" i="22"/>
  <c r="AW26" i="22"/>
  <c r="AX26" i="22"/>
  <c r="AW27" i="22"/>
  <c r="AX27" i="22"/>
  <c r="AW28" i="22"/>
  <c r="AX28" i="22"/>
  <c r="AW29" i="22"/>
  <c r="AX29" i="22"/>
  <c r="AW30" i="22"/>
  <c r="AX30" i="22"/>
  <c r="AW31" i="22"/>
  <c r="AX31" i="22"/>
  <c r="AW32" i="22"/>
  <c r="AX32" i="22"/>
  <c r="AW33" i="22"/>
  <c r="AX33" i="22"/>
  <c r="AW34" i="22"/>
  <c r="AX34" i="22"/>
  <c r="AW35" i="22"/>
  <c r="AX35" i="22"/>
  <c r="AW36" i="22"/>
  <c r="AX36" i="22"/>
  <c r="AW37" i="22"/>
  <c r="AX37" i="22"/>
  <c r="AW38" i="22"/>
  <c r="AX38" i="22"/>
  <c r="AW39" i="22"/>
  <c r="AX39" i="22"/>
  <c r="AW40" i="22"/>
  <c r="AX40" i="22"/>
  <c r="AW41" i="22"/>
  <c r="AX41" i="22"/>
  <c r="AW42" i="22"/>
  <c r="AX42" i="22"/>
  <c r="AW43" i="22"/>
  <c r="AX43" i="22"/>
  <c r="AW44" i="22"/>
  <c r="AX44" i="22"/>
  <c r="AW45" i="22"/>
  <c r="AX45" i="22"/>
  <c r="AW46" i="22"/>
  <c r="AX46" i="22"/>
  <c r="AW47" i="22"/>
  <c r="AX47" i="22"/>
  <c r="AW48" i="22"/>
  <c r="AX48" i="22"/>
  <c r="AW49" i="22"/>
  <c r="AX49" i="22"/>
  <c r="AW50" i="22"/>
  <c r="AX50" i="22"/>
  <c r="AW51" i="22"/>
  <c r="AX51" i="22"/>
  <c r="AW52" i="22"/>
  <c r="AX52" i="22"/>
  <c r="AW53" i="22"/>
  <c r="AX53" i="22"/>
  <c r="AW54" i="22"/>
  <c r="AX54" i="22"/>
  <c r="AW55" i="22"/>
  <c r="AX55" i="22"/>
  <c r="AW56" i="22"/>
  <c r="AX56" i="22"/>
  <c r="AW57" i="22"/>
  <c r="AX57" i="22"/>
  <c r="AW58" i="22"/>
  <c r="AX58" i="22"/>
  <c r="AW59" i="22"/>
  <c r="AX59" i="22"/>
  <c r="AW60" i="22"/>
  <c r="AX60" i="22"/>
  <c r="AW61" i="22"/>
  <c r="AX61" i="22"/>
  <c r="AW62" i="22"/>
  <c r="AX62" i="22"/>
  <c r="AW63" i="22"/>
  <c r="AX63" i="22"/>
  <c r="AW64" i="22"/>
  <c r="AX64" i="22"/>
  <c r="AW65" i="22"/>
  <c r="AX65" i="22"/>
  <c r="AW66" i="22"/>
  <c r="AX66" i="22"/>
  <c r="AW67" i="22"/>
  <c r="AX67" i="22"/>
  <c r="AW68" i="22"/>
  <c r="AX68" i="22"/>
  <c r="AW69" i="22"/>
  <c r="AX69" i="22"/>
  <c r="AW70" i="22"/>
  <c r="AX70" i="22"/>
  <c r="AW71" i="22"/>
  <c r="AX71" i="22"/>
  <c r="AW72" i="22"/>
  <c r="AX72" i="22"/>
  <c r="AW73" i="22"/>
  <c r="AX73" i="22"/>
  <c r="AW74" i="22"/>
  <c r="AX74" i="22"/>
  <c r="AW75" i="22"/>
  <c r="AX75" i="22"/>
  <c r="AW76" i="22"/>
  <c r="AX76" i="22"/>
  <c r="AW77" i="22"/>
  <c r="AX77" i="22"/>
  <c r="AW78" i="22"/>
  <c r="AX78" i="22"/>
  <c r="AW79" i="22"/>
  <c r="AX79" i="22"/>
  <c r="AW80" i="22"/>
  <c r="AX80" i="22"/>
  <c r="AW81" i="22"/>
  <c r="AX81" i="22"/>
  <c r="AW82" i="22"/>
  <c r="AX82" i="22"/>
  <c r="AW83" i="22"/>
  <c r="AX83" i="22"/>
  <c r="AW84" i="22"/>
  <c r="AX84" i="22"/>
  <c r="AW85" i="22"/>
  <c r="AX85" i="22"/>
  <c r="AW86" i="22"/>
  <c r="AX86" i="22"/>
  <c r="AW87" i="22"/>
  <c r="AX87" i="22"/>
  <c r="AW89" i="22"/>
  <c r="AX89" i="22"/>
  <c r="AW88" i="22"/>
  <c r="AX88" i="22"/>
  <c r="AW90" i="22"/>
  <c r="AX90" i="22"/>
  <c r="AW91" i="22"/>
  <c r="AX91" i="22"/>
  <c r="AW92" i="22"/>
  <c r="AX92" i="22"/>
  <c r="AW93" i="22"/>
  <c r="AX93" i="22"/>
  <c r="AW94" i="22"/>
  <c r="AX94" i="22"/>
  <c r="AW95" i="22"/>
  <c r="AX95" i="22"/>
  <c r="AW96" i="22"/>
  <c r="AX96" i="22"/>
  <c r="AW97" i="22"/>
  <c r="AX97" i="22"/>
  <c r="AW98" i="22"/>
  <c r="AX98" i="22"/>
  <c r="AW99" i="22"/>
  <c r="AX99" i="22"/>
  <c r="AW100" i="22"/>
  <c r="AX100" i="22"/>
  <c r="AW101" i="22"/>
  <c r="AX101" i="22"/>
  <c r="AW102" i="22"/>
  <c r="AX102" i="22"/>
  <c r="AW103" i="22"/>
  <c r="AX103" i="22"/>
  <c r="AW104" i="22"/>
  <c r="AX104" i="22"/>
  <c r="AW105" i="22"/>
  <c r="AX105" i="22"/>
  <c r="AW106" i="22"/>
  <c r="AX106" i="22"/>
  <c r="AW107" i="22"/>
  <c r="AX107" i="22"/>
  <c r="AW108" i="22"/>
  <c r="AX108" i="22"/>
  <c r="AW109" i="22"/>
  <c r="AX109" i="22"/>
  <c r="AW110" i="22"/>
  <c r="AX110" i="22"/>
  <c r="AW111" i="22"/>
  <c r="AX111" i="22"/>
  <c r="AW112" i="22"/>
  <c r="AX112" i="22"/>
  <c r="AW113" i="22"/>
  <c r="AX113" i="22"/>
  <c r="AW114" i="22"/>
  <c r="AX114" i="22"/>
  <c r="AW115" i="22"/>
  <c r="AX115" i="22"/>
  <c r="AW116" i="22"/>
  <c r="AX116" i="22"/>
  <c r="AW117" i="22"/>
  <c r="AX117" i="22"/>
  <c r="AW118" i="22"/>
  <c r="AX118" i="22"/>
  <c r="AW119" i="22"/>
  <c r="AX119" i="22"/>
  <c r="AW120" i="22"/>
  <c r="AX120" i="22"/>
  <c r="AW121" i="22"/>
  <c r="AX121" i="22"/>
  <c r="AW122" i="22"/>
  <c r="AX122" i="22"/>
  <c r="AW123" i="22"/>
  <c r="AX123" i="22"/>
  <c r="AW124" i="22"/>
  <c r="AX124" i="22"/>
  <c r="AW125" i="22"/>
  <c r="AX125" i="22"/>
  <c r="AW126" i="22"/>
  <c r="AX126" i="22"/>
  <c r="AW127" i="22"/>
  <c r="AX127" i="22"/>
  <c r="AW128" i="22"/>
  <c r="AX128" i="22"/>
  <c r="AW129" i="22"/>
  <c r="AX129" i="22"/>
  <c r="AW130" i="22"/>
  <c r="AX130" i="22"/>
  <c r="AW131" i="22"/>
  <c r="AX131" i="22"/>
  <c r="AW132" i="22"/>
  <c r="AX132" i="22"/>
  <c r="AW133" i="22"/>
  <c r="AX133" i="22"/>
  <c r="AW134" i="22"/>
  <c r="AX134" i="22"/>
  <c r="AW135" i="22"/>
  <c r="AX135" i="22"/>
  <c r="AW136" i="22"/>
  <c r="AX136" i="22"/>
  <c r="AW137" i="22"/>
  <c r="AX137" i="22"/>
  <c r="AW138" i="22"/>
  <c r="AX138" i="22"/>
  <c r="AW139" i="22"/>
  <c r="AX139" i="22"/>
  <c r="AW140" i="22"/>
  <c r="AX140" i="22"/>
  <c r="AW141" i="22"/>
  <c r="AX141" i="22"/>
  <c r="AW142" i="22"/>
  <c r="AX142" i="22"/>
  <c r="AW143" i="22"/>
  <c r="AX143" i="22"/>
  <c r="AW144" i="22"/>
  <c r="AX144" i="22"/>
  <c r="AW145" i="22"/>
  <c r="AX145" i="22"/>
  <c r="AW146" i="22"/>
  <c r="AX146" i="22"/>
  <c r="AW147" i="22"/>
  <c r="AX147" i="22"/>
  <c r="AW148" i="22"/>
  <c r="AX148" i="22"/>
  <c r="AW149" i="22"/>
  <c r="AX149" i="22"/>
  <c r="AW150" i="22"/>
  <c r="AX150" i="22"/>
  <c r="AW151" i="22"/>
  <c r="AX151" i="22"/>
  <c r="AW152" i="22"/>
  <c r="AX152" i="22"/>
  <c r="AW153" i="22"/>
  <c r="AX153" i="22"/>
  <c r="AW154" i="22"/>
  <c r="AX154" i="22"/>
  <c r="AW155" i="22"/>
  <c r="AX155" i="22"/>
  <c r="AW156" i="22"/>
  <c r="AX156" i="22"/>
  <c r="AW157" i="22"/>
  <c r="AX157" i="22"/>
  <c r="AW158" i="22"/>
  <c r="AX158" i="22"/>
  <c r="AW159" i="22"/>
  <c r="AX159" i="22"/>
  <c r="AW160" i="22"/>
  <c r="AX160" i="22"/>
  <c r="AW161" i="22"/>
  <c r="AX161" i="22"/>
  <c r="AW162" i="22"/>
  <c r="AX162" i="22"/>
  <c r="AW163" i="22"/>
  <c r="AX163" i="22"/>
  <c r="AW164" i="22"/>
  <c r="AX164" i="22"/>
  <c r="AW165" i="22"/>
  <c r="AX165" i="22"/>
  <c r="AW166" i="22"/>
  <c r="AX166" i="22"/>
  <c r="AW167" i="22"/>
  <c r="AX167" i="22"/>
  <c r="AW168" i="22"/>
  <c r="AX168" i="22"/>
  <c r="AW169" i="22"/>
  <c r="AX169" i="22"/>
  <c r="AW170" i="22"/>
  <c r="AX170" i="22"/>
  <c r="AW171" i="22"/>
  <c r="AX171" i="22"/>
  <c r="AW172" i="22"/>
  <c r="AX172" i="22"/>
  <c r="AW173" i="22"/>
  <c r="AX173" i="22"/>
  <c r="AW174" i="22"/>
  <c r="AX174" i="22"/>
  <c r="AW175" i="22"/>
  <c r="AX175" i="22"/>
  <c r="AW176" i="22"/>
  <c r="AX176" i="22"/>
  <c r="AW177" i="22"/>
  <c r="AX177" i="22"/>
  <c r="AW178" i="22"/>
  <c r="AX178" i="22"/>
  <c r="AW179" i="22"/>
  <c r="AX179" i="22"/>
  <c r="AW180" i="22"/>
  <c r="AX180" i="22"/>
  <c r="AW181" i="22"/>
  <c r="AX181" i="22"/>
  <c r="AW182" i="22"/>
  <c r="AX182" i="22"/>
  <c r="AW183" i="22"/>
  <c r="AX183" i="22"/>
  <c r="AW184" i="22"/>
  <c r="AX184" i="22"/>
  <c r="AW185" i="22"/>
  <c r="AX185" i="22"/>
  <c r="AW186" i="22"/>
  <c r="AX186" i="22"/>
  <c r="AW187" i="22"/>
  <c r="AX187" i="22"/>
  <c r="AW188" i="22"/>
  <c r="AX188" i="22"/>
  <c r="AW189" i="22"/>
  <c r="AX189" i="22"/>
  <c r="AW190" i="22"/>
  <c r="AX190" i="22"/>
  <c r="AW191" i="22"/>
  <c r="AX191" i="22"/>
  <c r="AW192" i="22"/>
  <c r="AX192" i="22"/>
  <c r="AW193" i="22"/>
  <c r="AX193" i="22"/>
  <c r="AW194" i="22"/>
  <c r="AX194" i="22"/>
  <c r="AW195" i="22"/>
  <c r="AX195" i="22"/>
  <c r="AW196" i="22"/>
  <c r="AX196" i="22"/>
  <c r="AW197" i="22"/>
  <c r="AX197" i="22"/>
  <c r="AW198" i="22"/>
  <c r="AX198" i="22"/>
  <c r="AW199" i="22"/>
  <c r="AX199" i="22"/>
  <c r="AW200" i="22"/>
  <c r="AX200" i="22"/>
  <c r="AW201" i="22"/>
  <c r="AX201" i="22"/>
  <c r="AW202" i="22"/>
  <c r="AX202" i="22"/>
  <c r="AW203" i="22"/>
  <c r="AX203" i="22"/>
  <c r="AW204" i="22"/>
  <c r="AX204" i="22"/>
  <c r="AW205" i="22"/>
  <c r="AX205" i="22"/>
  <c r="AW206" i="22"/>
  <c r="AX206" i="22"/>
  <c r="AW207" i="22"/>
  <c r="AX207" i="22"/>
  <c r="AW208" i="22"/>
  <c r="AX208" i="22"/>
  <c r="AW209" i="22"/>
  <c r="AX209" i="22"/>
  <c r="AW210" i="22"/>
  <c r="AX210" i="22"/>
  <c r="AW211" i="22"/>
  <c r="AX211" i="22"/>
  <c r="AW212" i="22"/>
  <c r="AX212" i="22"/>
  <c r="AW213" i="22"/>
  <c r="AX213" i="22"/>
  <c r="AW214" i="22"/>
  <c r="AX214" i="22"/>
  <c r="AW215" i="22"/>
  <c r="AX215" i="22"/>
  <c r="AW216" i="22"/>
  <c r="AX216" i="22"/>
  <c r="AW217" i="22"/>
  <c r="AX217" i="22"/>
  <c r="AW218" i="22"/>
  <c r="AX218" i="22"/>
  <c r="AW219" i="22"/>
  <c r="AX219" i="22"/>
  <c r="AW220" i="22"/>
  <c r="AX220" i="22"/>
  <c r="AW221" i="22"/>
  <c r="AX221" i="22"/>
  <c r="AW222" i="22"/>
  <c r="AX222" i="22"/>
  <c r="AW223" i="22"/>
  <c r="AX223" i="22"/>
  <c r="AW224" i="22"/>
  <c r="AX224" i="22"/>
  <c r="AW225" i="22"/>
  <c r="AX225" i="22"/>
  <c r="AW226" i="22"/>
  <c r="AX226" i="22"/>
  <c r="AW227" i="22"/>
  <c r="AX227" i="22"/>
  <c r="AW228" i="22"/>
  <c r="AX228" i="22"/>
  <c r="AW229" i="22"/>
  <c r="AX229" i="22"/>
  <c r="AW230" i="22"/>
  <c r="AX230" i="22"/>
  <c r="AW231" i="22"/>
  <c r="AX231" i="22"/>
  <c r="AW232" i="22"/>
  <c r="AX232" i="22"/>
  <c r="AW233" i="22"/>
  <c r="AX233" i="22"/>
  <c r="AW234" i="22"/>
  <c r="AX234" i="22"/>
  <c r="AW235" i="22"/>
  <c r="AX235" i="22"/>
  <c r="AW236" i="22"/>
  <c r="AX236" i="22"/>
  <c r="AW237" i="22"/>
  <c r="AX237" i="22"/>
  <c r="AW238" i="22"/>
  <c r="AX238" i="22"/>
  <c r="AW239" i="22"/>
  <c r="AX239" i="22"/>
  <c r="AW240" i="22"/>
  <c r="AX240" i="22"/>
  <c r="AW241" i="22"/>
  <c r="AX241" i="22"/>
  <c r="AW242" i="22"/>
  <c r="AX242" i="22"/>
  <c r="AW243" i="22"/>
  <c r="AX243" i="22"/>
  <c r="AW244" i="22"/>
  <c r="AX244" i="22"/>
  <c r="AW245" i="22"/>
  <c r="AX245" i="22"/>
  <c r="AW246" i="22"/>
  <c r="AX246" i="22"/>
  <c r="AW247" i="22"/>
  <c r="AX247" i="22"/>
  <c r="AW248" i="22"/>
  <c r="AX248" i="22"/>
  <c r="AW249" i="22"/>
  <c r="AX249" i="22"/>
  <c r="AW250" i="22"/>
  <c r="AX250" i="22"/>
  <c r="AW251" i="22"/>
  <c r="AX251" i="22"/>
  <c r="AW252" i="22"/>
  <c r="AX252" i="22"/>
  <c r="AW253" i="22"/>
  <c r="AX253" i="22"/>
  <c r="AW254" i="22"/>
  <c r="AX254" i="22"/>
  <c r="AW255" i="22"/>
  <c r="AX255" i="22"/>
  <c r="AW256" i="22"/>
  <c r="AX256" i="22"/>
  <c r="AW257" i="22"/>
  <c r="AX257" i="22"/>
  <c r="AW258" i="22"/>
  <c r="AX258" i="22"/>
  <c r="AW259" i="22"/>
  <c r="AX259" i="22"/>
  <c r="AW260" i="22"/>
  <c r="AX260" i="22"/>
  <c r="AW261" i="22"/>
  <c r="AX261" i="22"/>
  <c r="AW262" i="22"/>
  <c r="AX262" i="22"/>
  <c r="AW263" i="22"/>
  <c r="AX263" i="22"/>
  <c r="AW264" i="22"/>
  <c r="AX264" i="22"/>
  <c r="AW265" i="22"/>
  <c r="AX265" i="22"/>
  <c r="AW266" i="22"/>
  <c r="AX266" i="22"/>
  <c r="AW267" i="22"/>
  <c r="AX267" i="22"/>
  <c r="AW268" i="22"/>
  <c r="AX268" i="22"/>
  <c r="AW269" i="22"/>
  <c r="AX269" i="22"/>
  <c r="AW270" i="22"/>
  <c r="AX270" i="22"/>
  <c r="AW271" i="22"/>
  <c r="AX271" i="22"/>
  <c r="AW272" i="22"/>
  <c r="AX272" i="22"/>
  <c r="AW273" i="22"/>
  <c r="AX273" i="22"/>
  <c r="AW274" i="22"/>
  <c r="AX274" i="22"/>
  <c r="AW275" i="22"/>
  <c r="AX275" i="22"/>
  <c r="AW276" i="22"/>
  <c r="AX276" i="22"/>
  <c r="AW277" i="22"/>
  <c r="AX277" i="22"/>
  <c r="AW278" i="22"/>
  <c r="AX278" i="22"/>
  <c r="AW279" i="22"/>
  <c r="AX279" i="22"/>
  <c r="AW280" i="22"/>
  <c r="AX280" i="22"/>
  <c r="AW281" i="22"/>
  <c r="AX281" i="22"/>
  <c r="AW282" i="22"/>
  <c r="AX282" i="22"/>
  <c r="AW283" i="22"/>
  <c r="AX283" i="22"/>
  <c r="AW284" i="22"/>
  <c r="AX284" i="22"/>
  <c r="AW285" i="22"/>
  <c r="AX285" i="22"/>
  <c r="AW286" i="22"/>
  <c r="AX286" i="22"/>
  <c r="AW287" i="22"/>
  <c r="AX287" i="22"/>
  <c r="AW288" i="22"/>
  <c r="AX288" i="22"/>
  <c r="AW290" i="22"/>
  <c r="AX290" i="22"/>
  <c r="AW291" i="22"/>
  <c r="AX291" i="22"/>
  <c r="AW292" i="22"/>
  <c r="AX292" i="22"/>
  <c r="AW289" i="22"/>
  <c r="AX289" i="22"/>
  <c r="AW293" i="22"/>
  <c r="AX293" i="22"/>
  <c r="AW294" i="22"/>
  <c r="AX294" i="22"/>
  <c r="AW295" i="22"/>
  <c r="AX295" i="22"/>
  <c r="AW296" i="22"/>
  <c r="AX296" i="22"/>
  <c r="AW297" i="22"/>
  <c r="AX297" i="22"/>
  <c r="AW298" i="22"/>
  <c r="AX298" i="22"/>
  <c r="AW299" i="22"/>
  <c r="AX299" i="22"/>
  <c r="AW300" i="22"/>
  <c r="AX300" i="22"/>
  <c r="AW301" i="22"/>
  <c r="AX301" i="22"/>
  <c r="AW302" i="22"/>
  <c r="AX302" i="22"/>
  <c r="AW303" i="22"/>
  <c r="AX303" i="22"/>
  <c r="AW304" i="22"/>
  <c r="AX304" i="22"/>
  <c r="AW305" i="22"/>
  <c r="AX305" i="22"/>
  <c r="AW306" i="22"/>
  <c r="AX306" i="22"/>
  <c r="AW307" i="22"/>
  <c r="AX307" i="22"/>
  <c r="AW308" i="22"/>
  <c r="AX308" i="22"/>
  <c r="AW309" i="22"/>
  <c r="AX309" i="22"/>
  <c r="AW310" i="22"/>
  <c r="AX310" i="22"/>
  <c r="AW311" i="22"/>
  <c r="AX311" i="22"/>
  <c r="AW312" i="22"/>
  <c r="AX312" i="22"/>
  <c r="AW313" i="22"/>
  <c r="AX313" i="22"/>
  <c r="AW314" i="22"/>
  <c r="AX314" i="22"/>
  <c r="AW315" i="22"/>
  <c r="AX315" i="22"/>
  <c r="AW316" i="22"/>
  <c r="AX316" i="22"/>
  <c r="AW317" i="22"/>
  <c r="AX317" i="22"/>
  <c r="AW319" i="22"/>
  <c r="AX319" i="22"/>
  <c r="AW320" i="22"/>
  <c r="AX320" i="22"/>
  <c r="AW321" i="22"/>
  <c r="AX321" i="22"/>
  <c r="AW322" i="22"/>
  <c r="AX322" i="22"/>
  <c r="AW323" i="22"/>
  <c r="AX323" i="22"/>
  <c r="AW324" i="22"/>
  <c r="AX324" i="22"/>
  <c r="AW325" i="22"/>
  <c r="AX325" i="22"/>
  <c r="AW326" i="22"/>
  <c r="AX326" i="22"/>
  <c r="AW327" i="22"/>
  <c r="AX327" i="22"/>
  <c r="AW328" i="22"/>
  <c r="AX328" i="22"/>
  <c r="AW329" i="22"/>
  <c r="AX329" i="22"/>
  <c r="AW330" i="22"/>
  <c r="AX330" i="22"/>
  <c r="AW331" i="22"/>
  <c r="AX331" i="22"/>
  <c r="AW332" i="22"/>
  <c r="AX332" i="22"/>
  <c r="AW333" i="22"/>
  <c r="AX333" i="22"/>
  <c r="AW334" i="22"/>
  <c r="AX334" i="22"/>
  <c r="AW335" i="22"/>
  <c r="AX335" i="22"/>
  <c r="AW336" i="22"/>
  <c r="AX336" i="22"/>
  <c r="AW337" i="22"/>
  <c r="AX337" i="22"/>
  <c r="AW338" i="22"/>
  <c r="AX338" i="22"/>
  <c r="AW339" i="22"/>
  <c r="AX339" i="22"/>
  <c r="AW340" i="22"/>
  <c r="AX340" i="22"/>
  <c r="AW341" i="22"/>
  <c r="AX341" i="22"/>
  <c r="AW342" i="22"/>
  <c r="AX342" i="22"/>
  <c r="AW343" i="22"/>
  <c r="AX343" i="22"/>
  <c r="AW344" i="22"/>
  <c r="AX344" i="22"/>
  <c r="AW345" i="22"/>
  <c r="AX345" i="22"/>
  <c r="AW347" i="22"/>
  <c r="AX347" i="22"/>
  <c r="AW348" i="22"/>
  <c r="AX348" i="22"/>
  <c r="AW349" i="22"/>
  <c r="AX349" i="22"/>
  <c r="AW350" i="22"/>
  <c r="AX350" i="22"/>
  <c r="AW351" i="22"/>
  <c r="AX351" i="22"/>
  <c r="AW352" i="22"/>
  <c r="AX352" i="22"/>
  <c r="AW353" i="22"/>
  <c r="AX353" i="22"/>
  <c r="AW354" i="22"/>
  <c r="AX354" i="22"/>
  <c r="AW355" i="22"/>
  <c r="AX355" i="22"/>
  <c r="AW356" i="22"/>
  <c r="AX356" i="22"/>
  <c r="AW357" i="22"/>
  <c r="AX357" i="22"/>
  <c r="AW358" i="22"/>
  <c r="AX358" i="22"/>
  <c r="AW359" i="22"/>
  <c r="AX359" i="22"/>
  <c r="AW360" i="22"/>
  <c r="AX360" i="22"/>
  <c r="AW361" i="22"/>
  <c r="AX361" i="22"/>
  <c r="AW362" i="22"/>
  <c r="AX362" i="22"/>
  <c r="AW363" i="22"/>
  <c r="AX363" i="22"/>
  <c r="AW364" i="22"/>
  <c r="AX364" i="22"/>
  <c r="AW365" i="22"/>
  <c r="AX365" i="22"/>
  <c r="AW366" i="22"/>
  <c r="AX366" i="22"/>
  <c r="AW367" i="22"/>
  <c r="AX367" i="22"/>
  <c r="AW368" i="22"/>
  <c r="AX368" i="22"/>
  <c r="AW369" i="22"/>
  <c r="AX369" i="22"/>
  <c r="AW370" i="22"/>
  <c r="AX370" i="22"/>
  <c r="AW371" i="22"/>
  <c r="AX371" i="22"/>
  <c r="AW372" i="22"/>
  <c r="AX372" i="22"/>
  <c r="AW373" i="22"/>
  <c r="AX373" i="22"/>
  <c r="AW374" i="22"/>
  <c r="AX374" i="22"/>
  <c r="AW375" i="22"/>
  <c r="AX375" i="22"/>
  <c r="AW376" i="22"/>
  <c r="AX376" i="22"/>
  <c r="AW377" i="22"/>
  <c r="AX377" i="22"/>
  <c r="AW378" i="22"/>
  <c r="AX378" i="22"/>
  <c r="AW379" i="22"/>
  <c r="AX379" i="22"/>
  <c r="AW380" i="22"/>
  <c r="AX380" i="22"/>
  <c r="AW381" i="22"/>
  <c r="AX381" i="22"/>
  <c r="AW382" i="22"/>
  <c r="AX382" i="22"/>
  <c r="AW383" i="22"/>
  <c r="AX383" i="22"/>
  <c r="AW384" i="22"/>
  <c r="AX384" i="22"/>
  <c r="AW385" i="22"/>
  <c r="AX385" i="22"/>
  <c r="AW386" i="22"/>
  <c r="AX386" i="22"/>
  <c r="AW387" i="22"/>
  <c r="AX387" i="22"/>
  <c r="AW388" i="22"/>
  <c r="AX388" i="22"/>
  <c r="AW389" i="22"/>
  <c r="AX389" i="22"/>
  <c r="AW390" i="22"/>
  <c r="AX390" i="22"/>
  <c r="AW391" i="22"/>
  <c r="AX391" i="22"/>
  <c r="AW392" i="22"/>
  <c r="AX392" i="22"/>
  <c r="AW393" i="22"/>
  <c r="AX393" i="22"/>
  <c r="AW394" i="22"/>
  <c r="AX394" i="22"/>
  <c r="AW395" i="22"/>
  <c r="AX395" i="22"/>
  <c r="AW396" i="22"/>
  <c r="AX396" i="22"/>
  <c r="AW397" i="22"/>
  <c r="AX397" i="22"/>
  <c r="AW398" i="22"/>
  <c r="AX398" i="22"/>
  <c r="AW399" i="22"/>
  <c r="AX399" i="22"/>
  <c r="AW401" i="22"/>
  <c r="AX401" i="22"/>
  <c r="AW402" i="22"/>
  <c r="AX402" i="22"/>
  <c r="AW403" i="22"/>
  <c r="AX403" i="22"/>
  <c r="AW404" i="22"/>
  <c r="AX404" i="22"/>
  <c r="AW405" i="22"/>
  <c r="AX405" i="22"/>
  <c r="AW406" i="22"/>
  <c r="AX406" i="22"/>
  <c r="AW407" i="22"/>
  <c r="AX407" i="22"/>
  <c r="AW408" i="22"/>
  <c r="AX408" i="22"/>
  <c r="AW409" i="22"/>
  <c r="AX409" i="22"/>
  <c r="AW410" i="22"/>
  <c r="AX410" i="22"/>
  <c r="AW411" i="22"/>
  <c r="AX411" i="22"/>
  <c r="AW412" i="22"/>
  <c r="AX412" i="22"/>
  <c r="AW414" i="22"/>
  <c r="AX414" i="22"/>
  <c r="AW415" i="22"/>
  <c r="AX415" i="22"/>
  <c r="AW416" i="22"/>
  <c r="AX416" i="22"/>
  <c r="AW417" i="22"/>
  <c r="AX417" i="22"/>
  <c r="AW418" i="22"/>
  <c r="AX418" i="22"/>
  <c r="AW419" i="22"/>
  <c r="AX419" i="22"/>
  <c r="AW420" i="22"/>
  <c r="AX420" i="22"/>
  <c r="AW421" i="22"/>
  <c r="AX421" i="22"/>
  <c r="AW422" i="22"/>
  <c r="AX422" i="22"/>
  <c r="AW423" i="22"/>
  <c r="AX423" i="22"/>
  <c r="AW424" i="22"/>
  <c r="AX424" i="22"/>
  <c r="AW425" i="22"/>
  <c r="AX425" i="22"/>
  <c r="AW426" i="22"/>
  <c r="AX426" i="22"/>
  <c r="AW427" i="22"/>
  <c r="AX427" i="22"/>
  <c r="AW428" i="22"/>
  <c r="AX428" i="22"/>
  <c r="AW429" i="22"/>
  <c r="AX429" i="22"/>
  <c r="AW430" i="22"/>
  <c r="AX430" i="22"/>
  <c r="AW431" i="22"/>
  <c r="AX431" i="22"/>
  <c r="AW432" i="22"/>
  <c r="AX432" i="22"/>
  <c r="AW433" i="22"/>
  <c r="AX433" i="22"/>
  <c r="AW434" i="22"/>
  <c r="AX434" i="22"/>
  <c r="AW435" i="22"/>
  <c r="AX435" i="22"/>
  <c r="AW436" i="22"/>
  <c r="AX436" i="22"/>
  <c r="AW437" i="22"/>
  <c r="AX437" i="22"/>
  <c r="AW438" i="22"/>
  <c r="AX438" i="22"/>
  <c r="AW439" i="22"/>
  <c r="AX439" i="22"/>
  <c r="AW440" i="22"/>
  <c r="AX440" i="22"/>
  <c r="AW441" i="22"/>
  <c r="AX441" i="22"/>
  <c r="AW442" i="22"/>
  <c r="AX442" i="22"/>
  <c r="AW443" i="22"/>
  <c r="AX443" i="22"/>
  <c r="AW444" i="22"/>
  <c r="AX444" i="22"/>
  <c r="AW445" i="22"/>
  <c r="AX445" i="22"/>
  <c r="AW446" i="22"/>
  <c r="AX446" i="22"/>
  <c r="AW447" i="22"/>
  <c r="AX447" i="22"/>
  <c r="AW448" i="22"/>
  <c r="AX448" i="22"/>
  <c r="AW449" i="22"/>
  <c r="AX449" i="22"/>
  <c r="AW450" i="22"/>
  <c r="AX450" i="22"/>
  <c r="AW451" i="22"/>
  <c r="AX451" i="22"/>
  <c r="AW452" i="22"/>
  <c r="AX452" i="22"/>
  <c r="AW453" i="22"/>
  <c r="AX453" i="22"/>
  <c r="AW454" i="22"/>
  <c r="AX454" i="22"/>
  <c r="AW455" i="22"/>
  <c r="AX455" i="22"/>
  <c r="AW457" i="22"/>
  <c r="AX457" i="22"/>
  <c r="AW458" i="22"/>
  <c r="AX458" i="22"/>
  <c r="AW459" i="22"/>
  <c r="AX459" i="22"/>
  <c r="AW460" i="22"/>
  <c r="AX460" i="22"/>
  <c r="AW461" i="22"/>
  <c r="AX461" i="22"/>
  <c r="AW462" i="22"/>
  <c r="AX462" i="22"/>
  <c r="AW463" i="22"/>
  <c r="AX463" i="22"/>
  <c r="AW464" i="22"/>
  <c r="AX464" i="22"/>
  <c r="AW465" i="22"/>
  <c r="AX465" i="22"/>
  <c r="AW466" i="22"/>
  <c r="AX466" i="22"/>
  <c r="AW467" i="22"/>
  <c r="AX467" i="22"/>
  <c r="AW468" i="22"/>
  <c r="AX468" i="22"/>
  <c r="AW469" i="22"/>
  <c r="AX469" i="22"/>
  <c r="AW470" i="22"/>
  <c r="AX470" i="22"/>
  <c r="AW471" i="22"/>
  <c r="AX471" i="22"/>
  <c r="AW472" i="22"/>
  <c r="AX472" i="22"/>
  <c r="AW473" i="22"/>
  <c r="AX473" i="22"/>
  <c r="AW474" i="22"/>
  <c r="AX474" i="22"/>
  <c r="AW475" i="22"/>
  <c r="AX475" i="22"/>
  <c r="AW476" i="22"/>
  <c r="AX476" i="22"/>
  <c r="AW477" i="22"/>
  <c r="AX477" i="22"/>
  <c r="AW478" i="22"/>
  <c r="AX478" i="22"/>
  <c r="AW479" i="22"/>
  <c r="AX479" i="22"/>
  <c r="AW480" i="22"/>
  <c r="AX480" i="22"/>
  <c r="AW481" i="22"/>
  <c r="AX481" i="22"/>
  <c r="AW482" i="22"/>
  <c r="AX482" i="22"/>
  <c r="AW483" i="22"/>
  <c r="AX483" i="22"/>
  <c r="AW484" i="22"/>
  <c r="AX484" i="22"/>
  <c r="AW485" i="22"/>
  <c r="AX485" i="22"/>
  <c r="AW486" i="22"/>
  <c r="AX486" i="22"/>
  <c r="AW487" i="22"/>
  <c r="AX487" i="22"/>
  <c r="AW488" i="22"/>
  <c r="AX488" i="22"/>
  <c r="AW489" i="22"/>
  <c r="AX489" i="22"/>
  <c r="AW490" i="22"/>
  <c r="AX490" i="22"/>
  <c r="AW491" i="22"/>
  <c r="AX491" i="22"/>
  <c r="AW492" i="22"/>
  <c r="AX492" i="22"/>
  <c r="AW493" i="22"/>
  <c r="AX493" i="22"/>
  <c r="AW494" i="22"/>
  <c r="AX494" i="22"/>
  <c r="AW495" i="22"/>
  <c r="AX495" i="22"/>
  <c r="AW496" i="22"/>
  <c r="AX496" i="22"/>
  <c r="AW497" i="22"/>
  <c r="AX497" i="22"/>
  <c r="AW498" i="22"/>
  <c r="AX498" i="22"/>
  <c r="AW499" i="22"/>
  <c r="AX499" i="22"/>
  <c r="AW500" i="22"/>
  <c r="AX500" i="22"/>
  <c r="AW501" i="22"/>
  <c r="AX501" i="22"/>
  <c r="AW502" i="22"/>
  <c r="AX502" i="22"/>
  <c r="AW503" i="22"/>
  <c r="AX503" i="22"/>
  <c r="AW504" i="22"/>
  <c r="AX504" i="22"/>
  <c r="AW505" i="22"/>
  <c r="AX505" i="22"/>
  <c r="AW506" i="22"/>
  <c r="AX506" i="22"/>
  <c r="AW507" i="22"/>
  <c r="AX507" i="22"/>
  <c r="AW508" i="22"/>
  <c r="AX508" i="22"/>
  <c r="AW509" i="22"/>
  <c r="AX509" i="22"/>
  <c r="AW510" i="22"/>
  <c r="AX510" i="22"/>
  <c r="AW511" i="22"/>
  <c r="AX511" i="22"/>
  <c r="AW512" i="22"/>
  <c r="AX512" i="22"/>
  <c r="AW513" i="22"/>
  <c r="AX513" i="22"/>
  <c r="AW514" i="22"/>
  <c r="AX514" i="22"/>
  <c r="AW515" i="22"/>
  <c r="AX515" i="22"/>
  <c r="AW516" i="22"/>
  <c r="AX516" i="22"/>
  <c r="AW517" i="22"/>
  <c r="AX517" i="22"/>
  <c r="AW518" i="22"/>
  <c r="AX518" i="22"/>
  <c r="AW519" i="22"/>
  <c r="AX519" i="22"/>
  <c r="AW520" i="22"/>
  <c r="AX520" i="22"/>
  <c r="AW521" i="22"/>
  <c r="AX521" i="22"/>
  <c r="AW522" i="22"/>
  <c r="AX522" i="22"/>
  <c r="AW523" i="22"/>
  <c r="AX523" i="22"/>
  <c r="AW524" i="22"/>
  <c r="AX524" i="22"/>
  <c r="AW525" i="22"/>
  <c r="AX525" i="22"/>
  <c r="AW526" i="22"/>
  <c r="AX526" i="22"/>
  <c r="AW527" i="22"/>
  <c r="AX527" i="22"/>
  <c r="AW528" i="22"/>
  <c r="AX528" i="22"/>
  <c r="AW529" i="22"/>
  <c r="AX529" i="22"/>
  <c r="AW530" i="22"/>
  <c r="AX530" i="22"/>
  <c r="AW531" i="22"/>
  <c r="AX531" i="22"/>
  <c r="AW532" i="22"/>
  <c r="AX532" i="22"/>
  <c r="AW533" i="22"/>
  <c r="AX533" i="22"/>
  <c r="AW534" i="22"/>
  <c r="AX534" i="22"/>
  <c r="AW535" i="22"/>
  <c r="AX535" i="22"/>
  <c r="AW536" i="22"/>
  <c r="AX536" i="22"/>
  <c r="AW537" i="22"/>
  <c r="AX537" i="22"/>
  <c r="AW538" i="22"/>
  <c r="AX538" i="22"/>
  <c r="AW539" i="22"/>
  <c r="AX539" i="22"/>
  <c r="AW540" i="22"/>
  <c r="AX540" i="22"/>
  <c r="AW541" i="22"/>
  <c r="AX541" i="22"/>
  <c r="AW542" i="22"/>
  <c r="AX542" i="22"/>
  <c r="AW543" i="22"/>
  <c r="AX543" i="22"/>
  <c r="AW544" i="22"/>
  <c r="AX544" i="22"/>
  <c r="AW545" i="22"/>
  <c r="AX545" i="22"/>
  <c r="AW546" i="22"/>
  <c r="AX546" i="22"/>
  <c r="AW547" i="22"/>
  <c r="AX547" i="22"/>
  <c r="AW548" i="22"/>
  <c r="AX548" i="22"/>
  <c r="AW549" i="22"/>
  <c r="AX549" i="22"/>
  <c r="AW550" i="22"/>
  <c r="AX550" i="22"/>
  <c r="AW551" i="22"/>
  <c r="AX551" i="22"/>
  <c r="AW552" i="22"/>
  <c r="AX552" i="22"/>
  <c r="AW553" i="22"/>
  <c r="AX553" i="22"/>
  <c r="AW554" i="22"/>
  <c r="AX554" i="22"/>
  <c r="AW555" i="22"/>
  <c r="AX555" i="22"/>
  <c r="AW556" i="22"/>
  <c r="AX556" i="22"/>
  <c r="AW557" i="22"/>
  <c r="AX557" i="22"/>
  <c r="AW558" i="22"/>
  <c r="AX558" i="22"/>
  <c r="AW559" i="22"/>
  <c r="AX559" i="22"/>
  <c r="AW560" i="22"/>
  <c r="AX560" i="22"/>
  <c r="AW561" i="22"/>
  <c r="AX561" i="22"/>
  <c r="AW562" i="22"/>
  <c r="AX562" i="22"/>
  <c r="AW563" i="22"/>
  <c r="AX563" i="22"/>
  <c r="AW564" i="22"/>
  <c r="AX564" i="22"/>
  <c r="AW565" i="22"/>
  <c r="AX565" i="22"/>
  <c r="AW566" i="22"/>
  <c r="AX566" i="22"/>
  <c r="AW567" i="22"/>
  <c r="AX567" i="22"/>
  <c r="AW568" i="22"/>
  <c r="AX568" i="22"/>
  <c r="AW569" i="22"/>
  <c r="AX569" i="22"/>
  <c r="AW570" i="22"/>
  <c r="AX570" i="22"/>
  <c r="AW571" i="22"/>
  <c r="AX571" i="22"/>
  <c r="AW572" i="22"/>
  <c r="AX572" i="22"/>
  <c r="AW573" i="22"/>
  <c r="AX573" i="22"/>
  <c r="AW574" i="22"/>
  <c r="AX574" i="22"/>
  <c r="AW575" i="22"/>
  <c r="AX575" i="22"/>
  <c r="AW576" i="22"/>
  <c r="AX576" i="22"/>
  <c r="AW577" i="22"/>
  <c r="AX577" i="22"/>
  <c r="AW578" i="22"/>
  <c r="AX578" i="22"/>
  <c r="AW579" i="22"/>
  <c r="AX579" i="22"/>
  <c r="AW580" i="22"/>
  <c r="AX580" i="22"/>
  <c r="AW581" i="22"/>
  <c r="AX581" i="22"/>
  <c r="AW582" i="22"/>
  <c r="AX582" i="22"/>
  <c r="AW583" i="22"/>
  <c r="AX583" i="22"/>
  <c r="AW584" i="22"/>
  <c r="AX584" i="22"/>
  <c r="AW585" i="22"/>
  <c r="AX585" i="22"/>
  <c r="AW586" i="22"/>
  <c r="AX586" i="22"/>
  <c r="AW587" i="22"/>
  <c r="AX587" i="22"/>
  <c r="AW588" i="22"/>
  <c r="AX588" i="22"/>
  <c r="AW589" i="22"/>
  <c r="AX589" i="22"/>
  <c r="AW590" i="22"/>
  <c r="AX590" i="22"/>
  <c r="AW591" i="22"/>
  <c r="AX591" i="22"/>
  <c r="AW592" i="22"/>
  <c r="AX592" i="22"/>
  <c r="AW593" i="22"/>
  <c r="AX593" i="22"/>
  <c r="AW594" i="22"/>
  <c r="AX594" i="22"/>
  <c r="AW595" i="22"/>
  <c r="AX595" i="22"/>
  <c r="AW596" i="22"/>
  <c r="AX596" i="22"/>
  <c r="AW597" i="22"/>
  <c r="AX597" i="22"/>
  <c r="AW598" i="22"/>
  <c r="AX598" i="22"/>
  <c r="AW599" i="22"/>
  <c r="AX599" i="22"/>
  <c r="AW600" i="22"/>
  <c r="AX600" i="22"/>
  <c r="AW601" i="22"/>
  <c r="AX601" i="22"/>
  <c r="AW602" i="22"/>
  <c r="AX602" i="22"/>
  <c r="AW603" i="22"/>
  <c r="AX603" i="22"/>
  <c r="AW604" i="22"/>
  <c r="AX604" i="22"/>
  <c r="AW605" i="22"/>
  <c r="AX605" i="22"/>
  <c r="AW606" i="22"/>
  <c r="AX606" i="22"/>
  <c r="AW607" i="22"/>
  <c r="AX607" i="22"/>
  <c r="AW608" i="22"/>
  <c r="AX608" i="22"/>
  <c r="AW609" i="22"/>
  <c r="AX609" i="22"/>
  <c r="AW610" i="22"/>
  <c r="AX610" i="22"/>
  <c r="AW611" i="22"/>
  <c r="AX611" i="22"/>
  <c r="AW612" i="22"/>
  <c r="AX612" i="22"/>
  <c r="AW613" i="22"/>
  <c r="AX613" i="22"/>
  <c r="AW614" i="22"/>
  <c r="AX614" i="22"/>
  <c r="AW615" i="22"/>
  <c r="AX615" i="22"/>
  <c r="AW616" i="22"/>
  <c r="AX616" i="22"/>
  <c r="AW617" i="22"/>
  <c r="AX617" i="22"/>
  <c r="AW618" i="22"/>
  <c r="AX618" i="22"/>
  <c r="AX11" i="22"/>
  <c r="AW11" i="22"/>
  <c r="AN12" i="26"/>
  <c r="AO12" i="26"/>
  <c r="AN13" i="26"/>
  <c r="AO13" i="26"/>
  <c r="AN14" i="26"/>
  <c r="AO14" i="26"/>
  <c r="AN15" i="26"/>
  <c r="AO15" i="26"/>
  <c r="AN16" i="26"/>
  <c r="AO16" i="26"/>
  <c r="AN17" i="26"/>
  <c r="AO17" i="26"/>
  <c r="AN18" i="26"/>
  <c r="AO18" i="26"/>
  <c r="AN19" i="26"/>
  <c r="AO19" i="26"/>
  <c r="AN20" i="26"/>
  <c r="AO20" i="26"/>
  <c r="AN21" i="26"/>
  <c r="AO21" i="26"/>
  <c r="AN22" i="26"/>
  <c r="AO22" i="26"/>
  <c r="AN23" i="26"/>
  <c r="AO23" i="26"/>
  <c r="AN24" i="26"/>
  <c r="AO24" i="26"/>
  <c r="AN25" i="26"/>
  <c r="AO25" i="26"/>
  <c r="AN26" i="26"/>
  <c r="AO26" i="26"/>
  <c r="AN27" i="26"/>
  <c r="AO27" i="26"/>
  <c r="AN28" i="26"/>
  <c r="AO28" i="26"/>
  <c r="AN29" i="26"/>
  <c r="AO29" i="26"/>
  <c r="AN30" i="26"/>
  <c r="AO30" i="26"/>
  <c r="AN31" i="26"/>
  <c r="AO31" i="26"/>
  <c r="AN32" i="26"/>
  <c r="AO32" i="26"/>
  <c r="AN33" i="26"/>
  <c r="AO33" i="26"/>
  <c r="AN34" i="26"/>
  <c r="AO34" i="26"/>
  <c r="AN35" i="26"/>
  <c r="AO35" i="26"/>
  <c r="AN36" i="26"/>
  <c r="AO36" i="26"/>
  <c r="AN37" i="26"/>
  <c r="AO37" i="26"/>
  <c r="AN38" i="26"/>
  <c r="AO38" i="26"/>
  <c r="AN39" i="26"/>
  <c r="AO39" i="26"/>
  <c r="AN40" i="26"/>
  <c r="AO40" i="26"/>
  <c r="AN41" i="26"/>
  <c r="AO41" i="26"/>
  <c r="AN42" i="26"/>
  <c r="AO42" i="26"/>
  <c r="AN43" i="26"/>
  <c r="AO43" i="26"/>
  <c r="AN44" i="26"/>
  <c r="AO44" i="26"/>
  <c r="AN45" i="26"/>
  <c r="AO45" i="26"/>
  <c r="AN46" i="26"/>
  <c r="AO46" i="26"/>
  <c r="AN47" i="26"/>
  <c r="AO47" i="26"/>
  <c r="AN48" i="26"/>
  <c r="AO48" i="26"/>
  <c r="AN49" i="26"/>
  <c r="AO49" i="26"/>
  <c r="AN50" i="26"/>
  <c r="AO50" i="26"/>
  <c r="AN51" i="26"/>
  <c r="AO51" i="26"/>
  <c r="AN52" i="26"/>
  <c r="AO52" i="26"/>
  <c r="AN53" i="26"/>
  <c r="AO53" i="26"/>
  <c r="AN54" i="26"/>
  <c r="AO54" i="26"/>
  <c r="AN55" i="26"/>
  <c r="AO55" i="26"/>
  <c r="AN56" i="26"/>
  <c r="AO56" i="26"/>
  <c r="AN57" i="26"/>
  <c r="AO57" i="26"/>
  <c r="AN58" i="26"/>
  <c r="AO58" i="26"/>
  <c r="AN59" i="26"/>
  <c r="AO59" i="26"/>
  <c r="AN60" i="26"/>
  <c r="AO60" i="26"/>
  <c r="AN61" i="26"/>
  <c r="AO61" i="26"/>
  <c r="AN62" i="26"/>
  <c r="AO62" i="26"/>
  <c r="AN63" i="26"/>
  <c r="AO63" i="26"/>
  <c r="AN64" i="26"/>
  <c r="AO64" i="26"/>
  <c r="AN65" i="26"/>
  <c r="AO65" i="26"/>
  <c r="AN66" i="26"/>
  <c r="AO66" i="26"/>
  <c r="AN67" i="26"/>
  <c r="AO67" i="26"/>
  <c r="AN68" i="26"/>
  <c r="AO68" i="26"/>
  <c r="AN69" i="26"/>
  <c r="AO69" i="26"/>
  <c r="AN70" i="26"/>
  <c r="AO70" i="26"/>
  <c r="AN71" i="26"/>
  <c r="AO71" i="26"/>
  <c r="AN72" i="26"/>
  <c r="AO72" i="26"/>
  <c r="AN73" i="26"/>
  <c r="AO73" i="26"/>
  <c r="AN74" i="26"/>
  <c r="AO74" i="26"/>
  <c r="AN75" i="26"/>
  <c r="AO75" i="26"/>
  <c r="AN76" i="26"/>
  <c r="AO76" i="26"/>
  <c r="AN77" i="26"/>
  <c r="AO77" i="26"/>
  <c r="AN78" i="26"/>
  <c r="AO78" i="26"/>
  <c r="AN79" i="26"/>
  <c r="AO79" i="26"/>
  <c r="AN80" i="26"/>
  <c r="AO80" i="26"/>
  <c r="AN81" i="26"/>
  <c r="AO81" i="26"/>
  <c r="AN82" i="26"/>
  <c r="AO82" i="26"/>
  <c r="AN83" i="26"/>
  <c r="AO83" i="26"/>
  <c r="AN84" i="26"/>
  <c r="AO84" i="26"/>
  <c r="AN85" i="26"/>
  <c r="AO85" i="26"/>
  <c r="AN86" i="26"/>
  <c r="AO86" i="26"/>
  <c r="AN87" i="26"/>
  <c r="AO87" i="26"/>
  <c r="AN89" i="26"/>
  <c r="AO89" i="26"/>
  <c r="AN88" i="26"/>
  <c r="AO88" i="26"/>
  <c r="AN90" i="26"/>
  <c r="AO90" i="26"/>
  <c r="AN91" i="26"/>
  <c r="AO91" i="26"/>
  <c r="AN92" i="26"/>
  <c r="AO92" i="26"/>
  <c r="AN93" i="26"/>
  <c r="AO93" i="26"/>
  <c r="AN94" i="26"/>
  <c r="AO94" i="26"/>
  <c r="AN95" i="26"/>
  <c r="AO95" i="26"/>
  <c r="AN96" i="26"/>
  <c r="AO96" i="26"/>
  <c r="AN97" i="26"/>
  <c r="AO97" i="26"/>
  <c r="AN98" i="26"/>
  <c r="AO98" i="26"/>
  <c r="AN99" i="26"/>
  <c r="AO99" i="26"/>
  <c r="AN100" i="26"/>
  <c r="AO100" i="26"/>
  <c r="AN101" i="26"/>
  <c r="AO101" i="26"/>
  <c r="AN102" i="26"/>
  <c r="AO102" i="26"/>
  <c r="AN103" i="26"/>
  <c r="AO103" i="26"/>
  <c r="AN104" i="26"/>
  <c r="AO104" i="26"/>
  <c r="AN105" i="26"/>
  <c r="AO105" i="26"/>
  <c r="AN106" i="26"/>
  <c r="AO106" i="26"/>
  <c r="AN107" i="26"/>
  <c r="AO107" i="26"/>
  <c r="AN108" i="26"/>
  <c r="AO108" i="26"/>
  <c r="AN109" i="26"/>
  <c r="AO109" i="26"/>
  <c r="AN110" i="26"/>
  <c r="AO110" i="26"/>
  <c r="AN111" i="26"/>
  <c r="AO111" i="26"/>
  <c r="AN112" i="26"/>
  <c r="AO112" i="26"/>
  <c r="AN113" i="26"/>
  <c r="AO113" i="26"/>
  <c r="AN114" i="26"/>
  <c r="AO114" i="26"/>
  <c r="AN115" i="26"/>
  <c r="AO115" i="26"/>
  <c r="AN116" i="26"/>
  <c r="AO116" i="26"/>
  <c r="AN117" i="26"/>
  <c r="AO117" i="26"/>
  <c r="AN118" i="26"/>
  <c r="AO118" i="26"/>
  <c r="AN119" i="26"/>
  <c r="AO119" i="26"/>
  <c r="AN120" i="26"/>
  <c r="AO120" i="26"/>
  <c r="AN121" i="26"/>
  <c r="AO121" i="26"/>
  <c r="AN122" i="26"/>
  <c r="AO122" i="26"/>
  <c r="AN123" i="26"/>
  <c r="AO123" i="26"/>
  <c r="AN124" i="26"/>
  <c r="AO124" i="26"/>
  <c r="AN125" i="26"/>
  <c r="AO125" i="26"/>
  <c r="AN126" i="26"/>
  <c r="AO126" i="26"/>
  <c r="AN127" i="26"/>
  <c r="AO127" i="26"/>
  <c r="AN128" i="26"/>
  <c r="AO128" i="26"/>
  <c r="AN129" i="26"/>
  <c r="AO129" i="26"/>
  <c r="AN130" i="26"/>
  <c r="AO130" i="26"/>
  <c r="AN131" i="26"/>
  <c r="AO131" i="26"/>
  <c r="AN132" i="26"/>
  <c r="AO132" i="26"/>
  <c r="AN133" i="26"/>
  <c r="AO133" i="26"/>
  <c r="AN134" i="26"/>
  <c r="AO134" i="26"/>
  <c r="AN135" i="26"/>
  <c r="AO135" i="26"/>
  <c r="AN136" i="26"/>
  <c r="AO136" i="26"/>
  <c r="AN137" i="26"/>
  <c r="AO137" i="26"/>
  <c r="AN138" i="26"/>
  <c r="AO138" i="26"/>
  <c r="AN139" i="26"/>
  <c r="AO139" i="26"/>
  <c r="AN140" i="26"/>
  <c r="AO140" i="26"/>
  <c r="AN141" i="26"/>
  <c r="AO141" i="26"/>
  <c r="AN142" i="26"/>
  <c r="AO142" i="26"/>
  <c r="AN143" i="26"/>
  <c r="AO143" i="26"/>
  <c r="AN144" i="26"/>
  <c r="AO144" i="26"/>
  <c r="AN145" i="26"/>
  <c r="AO145" i="26"/>
  <c r="AN146" i="26"/>
  <c r="AO146" i="26"/>
  <c r="AN147" i="26"/>
  <c r="AO147" i="26"/>
  <c r="AN148" i="26"/>
  <c r="AO148" i="26"/>
  <c r="AN149" i="26"/>
  <c r="AO149" i="26"/>
  <c r="AN150" i="26"/>
  <c r="AO150" i="26"/>
  <c r="AN151" i="26"/>
  <c r="AO151" i="26"/>
  <c r="AN152" i="26"/>
  <c r="AO152" i="26"/>
  <c r="AN153" i="26"/>
  <c r="AO153" i="26"/>
  <c r="AN154" i="26"/>
  <c r="AO154" i="26"/>
  <c r="AN155" i="26"/>
  <c r="AO155" i="26"/>
  <c r="AN156" i="26"/>
  <c r="AO156" i="26"/>
  <c r="AN157" i="26"/>
  <c r="AO157" i="26"/>
  <c r="AN158" i="26"/>
  <c r="AO158" i="26"/>
  <c r="AN159" i="26"/>
  <c r="AO159" i="26"/>
  <c r="AN160" i="26"/>
  <c r="AO160" i="26"/>
  <c r="AN161" i="26"/>
  <c r="AO161" i="26"/>
  <c r="AN162" i="26"/>
  <c r="AO162" i="26"/>
  <c r="AN163" i="26"/>
  <c r="AO163" i="26"/>
  <c r="AN164" i="26"/>
  <c r="AO164" i="26"/>
  <c r="AN165" i="26"/>
  <c r="AO165" i="26"/>
  <c r="AN166" i="26"/>
  <c r="AO166" i="26"/>
  <c r="AN167" i="26"/>
  <c r="AO167" i="26"/>
  <c r="AN168" i="26"/>
  <c r="AO168" i="26"/>
  <c r="AN169" i="26"/>
  <c r="AO169" i="26"/>
  <c r="AN170" i="26"/>
  <c r="AO170" i="26"/>
  <c r="AN171" i="26"/>
  <c r="AO171" i="26"/>
  <c r="AN172" i="26"/>
  <c r="AO172" i="26"/>
  <c r="AN173" i="26"/>
  <c r="AO173" i="26"/>
  <c r="AN174" i="26"/>
  <c r="AO174" i="26"/>
  <c r="AN175" i="26"/>
  <c r="AO175" i="26"/>
  <c r="AN176" i="26"/>
  <c r="AO176" i="26"/>
  <c r="AN177" i="26"/>
  <c r="AO177" i="26"/>
  <c r="AN178" i="26"/>
  <c r="AO178" i="26"/>
  <c r="AN179" i="26"/>
  <c r="AO179" i="26"/>
  <c r="AN180" i="26"/>
  <c r="AO180" i="26"/>
  <c r="AN181" i="26"/>
  <c r="AO181" i="26"/>
  <c r="AN182" i="26"/>
  <c r="AO182" i="26"/>
  <c r="AN183" i="26"/>
  <c r="AO183" i="26"/>
  <c r="AN184" i="26"/>
  <c r="AO184" i="26"/>
  <c r="AN185" i="26"/>
  <c r="AO185" i="26"/>
  <c r="AN186" i="26"/>
  <c r="AO186" i="26"/>
  <c r="AN187" i="26"/>
  <c r="AO187" i="26"/>
  <c r="AN188" i="26"/>
  <c r="AO188" i="26"/>
  <c r="AN189" i="26"/>
  <c r="AO189" i="26"/>
  <c r="AN190" i="26"/>
  <c r="AO190" i="26"/>
  <c r="AN191" i="26"/>
  <c r="AO191" i="26"/>
  <c r="AN192" i="26"/>
  <c r="AO192" i="26"/>
  <c r="AN193" i="26"/>
  <c r="AO193" i="26"/>
  <c r="AN194" i="26"/>
  <c r="AO194" i="26"/>
  <c r="AN195" i="26"/>
  <c r="AO195" i="26"/>
  <c r="AN196" i="26"/>
  <c r="AO196" i="26"/>
  <c r="AN197" i="26"/>
  <c r="AO197" i="26"/>
  <c r="AN198" i="26"/>
  <c r="AO198" i="26"/>
  <c r="AN199" i="26"/>
  <c r="AO199" i="26"/>
  <c r="AN200" i="26"/>
  <c r="AO200" i="26"/>
  <c r="AN201" i="26"/>
  <c r="AO201" i="26"/>
  <c r="AN202" i="26"/>
  <c r="AO202" i="26"/>
  <c r="AN203" i="26"/>
  <c r="AO203" i="26"/>
  <c r="AN204" i="26"/>
  <c r="AO204" i="26"/>
  <c r="AN205" i="26"/>
  <c r="AO205" i="26"/>
  <c r="AN206" i="26"/>
  <c r="AO206" i="26"/>
  <c r="AN207" i="26"/>
  <c r="AO207" i="26"/>
  <c r="AN208" i="26"/>
  <c r="AO208" i="26"/>
  <c r="AN209" i="26"/>
  <c r="AO209" i="26"/>
  <c r="AN210" i="26"/>
  <c r="AO210" i="26"/>
  <c r="AN211" i="26"/>
  <c r="AO211" i="26"/>
  <c r="AN212" i="26"/>
  <c r="AO212" i="26"/>
  <c r="AN213" i="26"/>
  <c r="AO213" i="26"/>
  <c r="AN214" i="26"/>
  <c r="AO214" i="26"/>
  <c r="AN215" i="26"/>
  <c r="AO215" i="26"/>
  <c r="AN216" i="26"/>
  <c r="AO216" i="26"/>
  <c r="AN217" i="26"/>
  <c r="AO217" i="26"/>
  <c r="AN218" i="26"/>
  <c r="AO218" i="26"/>
  <c r="AN219" i="26"/>
  <c r="AO219" i="26"/>
  <c r="AN220" i="26"/>
  <c r="AO220" i="26"/>
  <c r="AN221" i="26"/>
  <c r="AO221" i="26"/>
  <c r="AN222" i="26"/>
  <c r="AO222" i="26"/>
  <c r="AN223" i="26"/>
  <c r="AO223" i="26"/>
  <c r="AN224" i="26"/>
  <c r="AO224" i="26"/>
  <c r="AN225" i="26"/>
  <c r="AO225" i="26"/>
  <c r="AN226" i="26"/>
  <c r="AO226" i="26"/>
  <c r="AN227" i="26"/>
  <c r="AO227" i="26"/>
  <c r="AN228" i="26"/>
  <c r="AO228" i="26"/>
  <c r="AN229" i="26"/>
  <c r="AO229" i="26"/>
  <c r="AN230" i="26"/>
  <c r="AO230" i="26"/>
  <c r="AN231" i="26"/>
  <c r="AO231" i="26"/>
  <c r="AN232" i="26"/>
  <c r="AO232" i="26"/>
  <c r="AN233" i="26"/>
  <c r="AO233" i="26"/>
  <c r="AN234" i="26"/>
  <c r="AO234" i="26"/>
  <c r="AN235" i="26"/>
  <c r="AO235" i="26"/>
  <c r="AN236" i="26"/>
  <c r="AO236" i="26"/>
  <c r="AN237" i="26"/>
  <c r="AO237" i="26"/>
  <c r="AN238" i="26"/>
  <c r="AO238" i="26"/>
  <c r="AN239" i="26"/>
  <c r="AO239" i="26"/>
  <c r="AN240" i="26"/>
  <c r="AO240" i="26"/>
  <c r="AN241" i="26"/>
  <c r="AO241" i="26"/>
  <c r="AN242" i="26"/>
  <c r="AO242" i="26"/>
  <c r="AN243" i="26"/>
  <c r="AO243" i="26"/>
  <c r="AN244" i="26"/>
  <c r="AO244" i="26"/>
  <c r="AN245" i="26"/>
  <c r="AO245" i="26"/>
  <c r="AN246" i="26"/>
  <c r="AO246" i="26"/>
  <c r="AN247" i="26"/>
  <c r="AO247" i="26"/>
  <c r="AN248" i="26"/>
  <c r="AO248" i="26"/>
  <c r="AN249" i="26"/>
  <c r="AO249" i="26"/>
  <c r="AN250" i="26"/>
  <c r="AO250" i="26"/>
  <c r="AN251" i="26"/>
  <c r="AO251" i="26"/>
  <c r="AN252" i="26"/>
  <c r="AO252" i="26"/>
  <c r="AN253" i="26"/>
  <c r="AO253" i="26"/>
  <c r="AN254" i="26"/>
  <c r="AO254" i="26"/>
  <c r="AN255" i="26"/>
  <c r="AO255" i="26"/>
  <c r="AN256" i="26"/>
  <c r="AO256" i="26"/>
  <c r="AN257" i="26"/>
  <c r="AO257" i="26"/>
  <c r="AN258" i="26"/>
  <c r="AO258" i="26"/>
  <c r="AN259" i="26"/>
  <c r="AO259" i="26"/>
  <c r="AN260" i="26"/>
  <c r="AO260" i="26"/>
  <c r="AN261" i="26"/>
  <c r="AO261" i="26"/>
  <c r="AN262" i="26"/>
  <c r="AO262" i="26"/>
  <c r="AN263" i="26"/>
  <c r="AO263" i="26"/>
  <c r="AN264" i="26"/>
  <c r="AO264" i="26"/>
  <c r="AN265" i="26"/>
  <c r="AO265" i="26"/>
  <c r="AN266" i="26"/>
  <c r="AO266" i="26"/>
  <c r="AN267" i="26"/>
  <c r="AO267" i="26"/>
  <c r="AN268" i="26"/>
  <c r="AO268" i="26"/>
  <c r="AN269" i="26"/>
  <c r="AO269" i="26"/>
  <c r="AN270" i="26"/>
  <c r="AO270" i="26"/>
  <c r="AN271" i="26"/>
  <c r="AO271" i="26"/>
  <c r="AN272" i="26"/>
  <c r="AO272" i="26"/>
  <c r="AN273" i="26"/>
  <c r="AO273" i="26"/>
  <c r="AN274" i="26"/>
  <c r="AO274" i="26"/>
  <c r="AN275" i="26"/>
  <c r="AO275" i="26"/>
  <c r="AN276" i="26"/>
  <c r="AO276" i="26"/>
  <c r="AN277" i="26"/>
  <c r="AO277" i="26"/>
  <c r="AN278" i="26"/>
  <c r="AO278" i="26"/>
  <c r="AN279" i="26"/>
  <c r="AO279" i="26"/>
  <c r="AN280" i="26"/>
  <c r="AO280" i="26"/>
  <c r="AN281" i="26"/>
  <c r="AO281" i="26"/>
  <c r="AN282" i="26"/>
  <c r="AO282" i="26"/>
  <c r="AN283" i="26"/>
  <c r="AO283" i="26"/>
  <c r="AN284" i="26"/>
  <c r="AO284" i="26"/>
  <c r="AN285" i="26"/>
  <c r="AO285" i="26"/>
  <c r="AN286" i="26"/>
  <c r="AO286" i="26"/>
  <c r="AN287" i="26"/>
  <c r="AO287" i="26"/>
  <c r="AN288" i="26"/>
  <c r="AO288" i="26"/>
  <c r="AN290" i="26"/>
  <c r="AO290" i="26"/>
  <c r="AN291" i="26"/>
  <c r="AO291" i="26"/>
  <c r="AN292" i="26"/>
  <c r="AO292" i="26"/>
  <c r="AN289" i="26"/>
  <c r="AO289" i="26"/>
  <c r="AN293" i="26"/>
  <c r="AO293" i="26"/>
  <c r="AN294" i="26"/>
  <c r="AO294" i="26"/>
  <c r="AN295" i="26"/>
  <c r="AO295" i="26"/>
  <c r="AN296" i="26"/>
  <c r="AO296" i="26"/>
  <c r="AN297" i="26"/>
  <c r="AO297" i="26"/>
  <c r="AN298" i="26"/>
  <c r="AO298" i="26"/>
  <c r="AN299" i="26"/>
  <c r="AO299" i="26"/>
  <c r="AN300" i="26"/>
  <c r="AO300" i="26"/>
  <c r="AN301" i="26"/>
  <c r="AO301" i="26"/>
  <c r="AN302" i="26"/>
  <c r="AO302" i="26"/>
  <c r="AN303" i="26"/>
  <c r="AO303" i="26"/>
  <c r="AN304" i="26"/>
  <c r="AO304" i="26"/>
  <c r="AN305" i="26"/>
  <c r="AO305" i="26"/>
  <c r="AN306" i="26"/>
  <c r="AO306" i="26"/>
  <c r="AN307" i="26"/>
  <c r="AO307" i="26"/>
  <c r="AN308" i="26"/>
  <c r="AO308" i="26"/>
  <c r="AN309" i="26"/>
  <c r="AO309" i="26"/>
  <c r="AN310" i="26"/>
  <c r="AO310" i="26"/>
  <c r="AN311" i="26"/>
  <c r="AO311" i="26"/>
  <c r="AN312" i="26"/>
  <c r="AO312" i="26"/>
  <c r="AN313" i="26"/>
  <c r="AO313" i="26"/>
  <c r="AN314" i="26"/>
  <c r="AO314" i="26"/>
  <c r="AN315" i="26"/>
  <c r="AO315" i="26"/>
  <c r="AN316" i="26"/>
  <c r="AO316" i="26"/>
  <c r="AN317" i="26"/>
  <c r="AO317" i="26"/>
  <c r="AN319" i="26"/>
  <c r="AO319" i="26"/>
  <c r="AN320" i="26"/>
  <c r="AO320" i="26"/>
  <c r="AN321" i="26"/>
  <c r="AO321" i="26"/>
  <c r="AN322" i="26"/>
  <c r="AO322" i="26"/>
  <c r="AN323" i="26"/>
  <c r="AO323" i="26"/>
  <c r="AN324" i="26"/>
  <c r="AO324" i="26"/>
  <c r="AN325" i="26"/>
  <c r="AO325" i="26"/>
  <c r="AN326" i="26"/>
  <c r="AO326" i="26"/>
  <c r="AN327" i="26"/>
  <c r="AO327" i="26"/>
  <c r="AN328" i="26"/>
  <c r="AO328" i="26"/>
  <c r="AN329" i="26"/>
  <c r="AO329" i="26"/>
  <c r="AN330" i="26"/>
  <c r="AO330" i="26"/>
  <c r="AN331" i="26"/>
  <c r="AO331" i="26"/>
  <c r="AN332" i="26"/>
  <c r="AO332" i="26"/>
  <c r="AN333" i="26"/>
  <c r="AO333" i="26"/>
  <c r="AN334" i="26"/>
  <c r="AO334" i="26"/>
  <c r="AN335" i="26"/>
  <c r="AO335" i="26"/>
  <c r="AN336" i="26"/>
  <c r="AO336" i="26"/>
  <c r="AN337" i="26"/>
  <c r="AO337" i="26"/>
  <c r="AN338" i="26"/>
  <c r="AO338" i="26"/>
  <c r="AN339" i="26"/>
  <c r="AO339" i="26"/>
  <c r="AN340" i="26"/>
  <c r="AO340" i="26"/>
  <c r="AN341" i="26"/>
  <c r="AO341" i="26"/>
  <c r="AN342" i="26"/>
  <c r="AO342" i="26"/>
  <c r="AN343" i="26"/>
  <c r="AO343" i="26"/>
  <c r="AN344" i="26"/>
  <c r="AO344" i="26"/>
  <c r="AN345" i="26"/>
  <c r="AO345" i="26"/>
  <c r="AN347" i="26"/>
  <c r="AO347" i="26"/>
  <c r="AN348" i="26"/>
  <c r="AO348" i="26"/>
  <c r="AN349" i="26"/>
  <c r="AO349" i="26"/>
  <c r="AN350" i="26"/>
  <c r="AO350" i="26"/>
  <c r="AN351" i="26"/>
  <c r="AO351" i="26"/>
  <c r="AN352" i="26"/>
  <c r="AO352" i="26"/>
  <c r="AN353" i="26"/>
  <c r="AO353" i="26"/>
  <c r="AN354" i="26"/>
  <c r="AO354" i="26"/>
  <c r="AN355" i="26"/>
  <c r="AO355" i="26"/>
  <c r="AN356" i="26"/>
  <c r="AO356" i="26"/>
  <c r="AN357" i="26"/>
  <c r="AO357" i="26"/>
  <c r="AN358" i="26"/>
  <c r="AO358" i="26"/>
  <c r="AN359" i="26"/>
  <c r="AO359" i="26"/>
  <c r="AN360" i="26"/>
  <c r="AO360" i="26"/>
  <c r="AN361" i="26"/>
  <c r="AO361" i="26"/>
  <c r="AN362" i="26"/>
  <c r="AO362" i="26"/>
  <c r="AN363" i="26"/>
  <c r="AO363" i="26"/>
  <c r="AN364" i="26"/>
  <c r="AO364" i="26"/>
  <c r="AN365" i="26"/>
  <c r="AO365" i="26"/>
  <c r="AN366" i="26"/>
  <c r="AO366" i="26"/>
  <c r="AN367" i="26"/>
  <c r="AO367" i="26"/>
  <c r="AN368" i="26"/>
  <c r="AO368" i="26"/>
  <c r="AN369" i="26"/>
  <c r="AO369" i="26"/>
  <c r="AN370" i="26"/>
  <c r="AO370" i="26"/>
  <c r="AN371" i="26"/>
  <c r="AO371" i="26"/>
  <c r="AN372" i="26"/>
  <c r="AO372" i="26"/>
  <c r="AN373" i="26"/>
  <c r="AO373" i="26"/>
  <c r="AN374" i="26"/>
  <c r="AO374" i="26"/>
  <c r="AN375" i="26"/>
  <c r="AO375" i="26"/>
  <c r="AN376" i="26"/>
  <c r="AO376" i="26"/>
  <c r="AN377" i="26"/>
  <c r="AO377" i="26"/>
  <c r="AN378" i="26"/>
  <c r="AO378" i="26"/>
  <c r="AN379" i="26"/>
  <c r="AO379" i="26"/>
  <c r="AN380" i="26"/>
  <c r="AO380" i="26"/>
  <c r="AN381" i="26"/>
  <c r="AO381" i="26"/>
  <c r="AN382" i="26"/>
  <c r="AO382" i="26"/>
  <c r="AN383" i="26"/>
  <c r="AO383" i="26"/>
  <c r="AN384" i="26"/>
  <c r="AO384" i="26"/>
  <c r="AN385" i="26"/>
  <c r="AO385" i="26"/>
  <c r="AN386" i="26"/>
  <c r="AO386" i="26"/>
  <c r="AN387" i="26"/>
  <c r="AO387" i="26"/>
  <c r="AN388" i="26"/>
  <c r="AO388" i="26"/>
  <c r="AN389" i="26"/>
  <c r="AO389" i="26"/>
  <c r="AN390" i="26"/>
  <c r="AO390" i="26"/>
  <c r="AN391" i="26"/>
  <c r="AO391" i="26"/>
  <c r="AN392" i="26"/>
  <c r="AO392" i="26"/>
  <c r="AN393" i="26"/>
  <c r="AO393" i="26"/>
  <c r="AN394" i="26"/>
  <c r="AO394" i="26"/>
  <c r="AN395" i="26"/>
  <c r="AO395" i="26"/>
  <c r="AN396" i="26"/>
  <c r="AO396" i="26"/>
  <c r="AN397" i="26"/>
  <c r="AO397" i="26"/>
  <c r="AN398" i="26"/>
  <c r="AO398" i="26"/>
  <c r="AN399" i="26"/>
  <c r="AO399" i="26"/>
  <c r="AN401" i="26"/>
  <c r="AO401" i="26"/>
  <c r="AN402" i="26"/>
  <c r="AO402" i="26"/>
  <c r="AN403" i="26"/>
  <c r="AO403" i="26"/>
  <c r="AN404" i="26"/>
  <c r="AO404" i="26"/>
  <c r="AN405" i="26"/>
  <c r="AO405" i="26"/>
  <c r="AN406" i="26"/>
  <c r="AO406" i="26"/>
  <c r="AN407" i="26"/>
  <c r="AO407" i="26"/>
  <c r="AN408" i="26"/>
  <c r="AO408" i="26"/>
  <c r="AN409" i="26"/>
  <c r="AO409" i="26"/>
  <c r="AN410" i="26"/>
  <c r="AO410" i="26"/>
  <c r="AN411" i="26"/>
  <c r="AO411" i="26"/>
  <c r="AN412" i="26"/>
  <c r="AO412" i="26"/>
  <c r="AN414" i="26"/>
  <c r="AO414" i="26"/>
  <c r="AN415" i="26"/>
  <c r="AO415" i="26"/>
  <c r="AN416" i="26"/>
  <c r="AO416" i="26"/>
  <c r="AN417" i="26"/>
  <c r="AO417" i="26"/>
  <c r="AN418" i="26"/>
  <c r="AO418" i="26"/>
  <c r="AN419" i="26"/>
  <c r="AO419" i="26"/>
  <c r="AN420" i="26"/>
  <c r="AO420" i="26"/>
  <c r="AN421" i="26"/>
  <c r="AO421" i="26"/>
  <c r="AN422" i="26"/>
  <c r="AO422" i="26"/>
  <c r="AN423" i="26"/>
  <c r="AO423" i="26"/>
  <c r="AN424" i="26"/>
  <c r="AO424" i="26"/>
  <c r="AN425" i="26"/>
  <c r="AO425" i="26"/>
  <c r="AN426" i="26"/>
  <c r="AO426" i="26"/>
  <c r="AN427" i="26"/>
  <c r="AO427" i="26"/>
  <c r="AN428" i="26"/>
  <c r="AO428" i="26"/>
  <c r="AN429" i="26"/>
  <c r="AO429" i="26"/>
  <c r="AN430" i="26"/>
  <c r="AO430" i="26"/>
  <c r="AN431" i="26"/>
  <c r="AO431" i="26"/>
  <c r="AN432" i="26"/>
  <c r="AO432" i="26"/>
  <c r="AN433" i="26"/>
  <c r="AO433" i="26"/>
  <c r="AN434" i="26"/>
  <c r="AO434" i="26"/>
  <c r="AN435" i="26"/>
  <c r="AO435" i="26"/>
  <c r="AN436" i="26"/>
  <c r="AO436" i="26"/>
  <c r="AN437" i="26"/>
  <c r="AO437" i="26"/>
  <c r="AN438" i="26"/>
  <c r="AO438" i="26"/>
  <c r="AN439" i="26"/>
  <c r="AO439" i="26"/>
  <c r="AN440" i="26"/>
  <c r="AO440" i="26"/>
  <c r="AN441" i="26"/>
  <c r="AO441" i="26"/>
  <c r="AN442" i="26"/>
  <c r="AO442" i="26"/>
  <c r="AN443" i="26"/>
  <c r="AO443" i="26"/>
  <c r="AN444" i="26"/>
  <c r="AO444" i="26"/>
  <c r="AN445" i="26"/>
  <c r="AO445" i="26"/>
  <c r="AN446" i="26"/>
  <c r="AO446" i="26"/>
  <c r="AN447" i="26"/>
  <c r="AO447" i="26"/>
  <c r="AN448" i="26"/>
  <c r="AO448" i="26"/>
  <c r="AN449" i="26"/>
  <c r="AO449" i="26"/>
  <c r="AN450" i="26"/>
  <c r="AO450" i="26"/>
  <c r="AN451" i="26"/>
  <c r="AO451" i="26"/>
  <c r="AN452" i="26"/>
  <c r="AO452" i="26"/>
  <c r="AN453" i="26"/>
  <c r="AO453" i="26"/>
  <c r="AN454" i="26"/>
  <c r="AO454" i="26"/>
  <c r="AN455" i="26"/>
  <c r="AO455" i="26"/>
  <c r="AN457" i="26"/>
  <c r="AO457" i="26"/>
  <c r="AN458" i="26"/>
  <c r="AO458" i="26"/>
  <c r="AN459" i="26"/>
  <c r="AO459" i="26"/>
  <c r="AN460" i="26"/>
  <c r="AO460" i="26"/>
  <c r="AN461" i="26"/>
  <c r="AO461" i="26"/>
  <c r="AN462" i="26"/>
  <c r="AO462" i="26"/>
  <c r="AN463" i="26"/>
  <c r="AO463" i="26"/>
  <c r="AN464" i="26"/>
  <c r="AO464" i="26"/>
  <c r="AN465" i="26"/>
  <c r="AO465" i="26"/>
  <c r="AN466" i="26"/>
  <c r="AO466" i="26"/>
  <c r="AN467" i="26"/>
  <c r="AO467" i="26"/>
  <c r="AN468" i="26"/>
  <c r="AO468" i="26"/>
  <c r="AN469" i="26"/>
  <c r="AO469" i="26"/>
  <c r="AN470" i="26"/>
  <c r="AO470" i="26"/>
  <c r="AN471" i="26"/>
  <c r="AO471" i="26"/>
  <c r="AN472" i="26"/>
  <c r="AO472" i="26"/>
  <c r="AN473" i="26"/>
  <c r="AO473" i="26"/>
  <c r="AN474" i="26"/>
  <c r="AO474" i="26"/>
  <c r="AN475" i="26"/>
  <c r="AO475" i="26"/>
  <c r="AN476" i="26"/>
  <c r="AO476" i="26"/>
  <c r="AN477" i="26"/>
  <c r="AO477" i="26"/>
  <c r="AN478" i="26"/>
  <c r="AO478" i="26"/>
  <c r="AN479" i="26"/>
  <c r="AO479" i="26"/>
  <c r="AN480" i="26"/>
  <c r="AO480" i="26"/>
  <c r="AN481" i="26"/>
  <c r="AO481" i="26"/>
  <c r="AN482" i="26"/>
  <c r="AO482" i="26"/>
  <c r="AN483" i="26"/>
  <c r="AO483" i="26"/>
  <c r="AN484" i="26"/>
  <c r="AO484" i="26"/>
  <c r="AN485" i="26"/>
  <c r="AO485" i="26"/>
  <c r="AN486" i="26"/>
  <c r="AO486" i="26"/>
  <c r="AN487" i="26"/>
  <c r="AO487" i="26"/>
  <c r="AN488" i="26"/>
  <c r="AO488" i="26"/>
  <c r="AN489" i="26"/>
  <c r="AO489" i="26"/>
  <c r="AN490" i="26"/>
  <c r="AO490" i="26"/>
  <c r="AN491" i="26"/>
  <c r="AO491" i="26"/>
  <c r="AN492" i="26"/>
  <c r="AO492" i="26"/>
  <c r="AN493" i="26"/>
  <c r="AO493" i="26"/>
  <c r="AN494" i="26"/>
  <c r="AO494" i="26"/>
  <c r="AN495" i="26"/>
  <c r="AO495" i="26"/>
  <c r="AN496" i="26"/>
  <c r="AO496" i="26"/>
  <c r="AN497" i="26"/>
  <c r="AO497" i="26"/>
  <c r="AN498" i="26"/>
  <c r="AO498" i="26"/>
  <c r="AN499" i="26"/>
  <c r="AO499" i="26"/>
  <c r="AN500" i="26"/>
  <c r="AO500" i="26"/>
  <c r="AN501" i="26"/>
  <c r="AO501" i="26"/>
  <c r="AN502" i="26"/>
  <c r="AO502" i="26"/>
  <c r="AN503" i="26"/>
  <c r="AO503" i="26"/>
  <c r="AN504" i="26"/>
  <c r="AO504" i="26"/>
  <c r="AN505" i="26"/>
  <c r="AO505" i="26"/>
  <c r="AN506" i="26"/>
  <c r="AO506" i="26"/>
  <c r="AN507" i="26"/>
  <c r="AO507" i="26"/>
  <c r="AN508" i="26"/>
  <c r="AO508" i="26"/>
  <c r="AN509" i="26"/>
  <c r="AO509" i="26"/>
  <c r="AN510" i="26"/>
  <c r="AO510" i="26"/>
  <c r="AN511" i="26"/>
  <c r="AO511" i="26"/>
  <c r="AN512" i="26"/>
  <c r="AO512" i="26"/>
  <c r="AN513" i="26"/>
  <c r="AO513" i="26"/>
  <c r="AN514" i="26"/>
  <c r="AO514" i="26"/>
  <c r="AN515" i="26"/>
  <c r="AO515" i="26"/>
  <c r="AN516" i="26"/>
  <c r="AO516" i="26"/>
  <c r="AN517" i="26"/>
  <c r="AO517" i="26"/>
  <c r="AN518" i="26"/>
  <c r="AO518" i="26"/>
  <c r="AN519" i="26"/>
  <c r="AO519" i="26"/>
  <c r="AN520" i="26"/>
  <c r="AO520" i="26"/>
  <c r="AN521" i="26"/>
  <c r="AO521" i="26"/>
  <c r="AN522" i="26"/>
  <c r="AO522" i="26"/>
  <c r="AN523" i="26"/>
  <c r="AO523" i="26"/>
  <c r="AN524" i="26"/>
  <c r="AO524" i="26"/>
  <c r="AN525" i="26"/>
  <c r="AO525" i="26"/>
  <c r="AN526" i="26"/>
  <c r="AO526" i="26"/>
  <c r="AN527" i="26"/>
  <c r="AO527" i="26"/>
  <c r="AN528" i="26"/>
  <c r="AO528" i="26"/>
  <c r="AN529" i="26"/>
  <c r="AO529" i="26"/>
  <c r="AN530" i="26"/>
  <c r="AO530" i="26"/>
  <c r="AN531" i="26"/>
  <c r="AO531" i="26"/>
  <c r="AN532" i="26"/>
  <c r="AO532" i="26"/>
  <c r="AN533" i="26"/>
  <c r="AO533" i="26"/>
  <c r="AN534" i="26"/>
  <c r="AO534" i="26"/>
  <c r="AN535" i="26"/>
  <c r="AO535" i="26"/>
  <c r="AN536" i="26"/>
  <c r="AO536" i="26"/>
  <c r="AN537" i="26"/>
  <c r="AO537" i="26"/>
  <c r="AN538" i="26"/>
  <c r="AO538" i="26"/>
  <c r="AN539" i="26"/>
  <c r="AO539" i="26"/>
  <c r="AN540" i="26"/>
  <c r="AO540" i="26"/>
  <c r="AN541" i="26"/>
  <c r="AO541" i="26"/>
  <c r="AN542" i="26"/>
  <c r="AO542" i="26"/>
  <c r="AN543" i="26"/>
  <c r="AO543" i="26"/>
  <c r="AN544" i="26"/>
  <c r="AO544" i="26"/>
  <c r="AN545" i="26"/>
  <c r="AO545" i="26"/>
  <c r="AN546" i="26"/>
  <c r="AO546" i="26"/>
  <c r="AN547" i="26"/>
  <c r="AO547" i="26"/>
  <c r="AN548" i="26"/>
  <c r="AO548" i="26"/>
  <c r="AN549" i="26"/>
  <c r="AO549" i="26"/>
  <c r="AN550" i="26"/>
  <c r="AO550" i="26"/>
  <c r="AN551" i="26"/>
  <c r="AO551" i="26"/>
  <c r="AN552" i="26"/>
  <c r="AO552" i="26"/>
  <c r="AN553" i="26"/>
  <c r="AO553" i="26"/>
  <c r="AN554" i="26"/>
  <c r="AO554" i="26"/>
  <c r="AN555" i="26"/>
  <c r="AO555" i="26"/>
  <c r="AN556" i="26"/>
  <c r="AO556" i="26"/>
  <c r="AN557" i="26"/>
  <c r="AO557" i="26"/>
  <c r="AN558" i="26"/>
  <c r="AO558" i="26"/>
  <c r="AN559" i="26"/>
  <c r="AO559" i="26"/>
  <c r="AN560" i="26"/>
  <c r="AO560" i="26"/>
  <c r="AN561" i="26"/>
  <c r="AO561" i="26"/>
  <c r="AN562" i="26"/>
  <c r="AO562" i="26"/>
  <c r="AN563" i="26"/>
  <c r="AO563" i="26"/>
  <c r="AN564" i="26"/>
  <c r="AO564" i="26"/>
  <c r="AN565" i="26"/>
  <c r="AO565" i="26"/>
  <c r="AN566" i="26"/>
  <c r="AO566" i="26"/>
  <c r="AN567" i="26"/>
  <c r="AO567" i="26"/>
  <c r="AN568" i="26"/>
  <c r="AO568" i="26"/>
  <c r="AN569" i="26"/>
  <c r="AO569" i="26"/>
  <c r="AN570" i="26"/>
  <c r="AO570" i="26"/>
  <c r="AN571" i="26"/>
  <c r="AO571" i="26"/>
  <c r="AN572" i="26"/>
  <c r="AO572" i="26"/>
  <c r="AN573" i="26"/>
  <c r="AO573" i="26"/>
  <c r="AN574" i="26"/>
  <c r="AO574" i="26"/>
  <c r="AN575" i="26"/>
  <c r="AO575" i="26"/>
  <c r="AN576" i="26"/>
  <c r="AO576" i="26"/>
  <c r="AN577" i="26"/>
  <c r="AO577" i="26"/>
  <c r="AN578" i="26"/>
  <c r="AO578" i="26"/>
  <c r="AN579" i="26"/>
  <c r="AO579" i="26"/>
  <c r="AN580" i="26"/>
  <c r="AO580" i="26"/>
  <c r="AN581" i="26"/>
  <c r="AO581" i="26"/>
  <c r="AN582" i="26"/>
  <c r="AO582" i="26"/>
  <c r="AN583" i="26"/>
  <c r="AO583" i="26"/>
  <c r="AN584" i="26"/>
  <c r="AO584" i="26"/>
  <c r="AN585" i="26"/>
  <c r="AO585" i="26"/>
  <c r="AN586" i="26"/>
  <c r="AO586" i="26"/>
  <c r="AN587" i="26"/>
  <c r="AO587" i="26"/>
  <c r="AN588" i="26"/>
  <c r="AO588" i="26"/>
  <c r="AN589" i="26"/>
  <c r="AO589" i="26"/>
  <c r="AN590" i="26"/>
  <c r="AO590" i="26"/>
  <c r="AN591" i="26"/>
  <c r="AO591" i="26"/>
  <c r="AN592" i="26"/>
  <c r="AO592" i="26"/>
  <c r="AN593" i="26"/>
  <c r="AO593" i="26"/>
  <c r="AN594" i="26"/>
  <c r="AO594" i="26"/>
  <c r="AN595" i="26"/>
  <c r="AO595" i="26"/>
  <c r="AN596" i="26"/>
  <c r="AO596" i="26"/>
  <c r="AN597" i="26"/>
  <c r="AO597" i="26"/>
  <c r="AN598" i="26"/>
  <c r="AO598" i="26"/>
  <c r="AN599" i="26"/>
  <c r="AO599" i="26"/>
  <c r="AN600" i="26"/>
  <c r="AO600" i="26"/>
  <c r="AN601" i="26"/>
  <c r="AO601" i="26"/>
  <c r="AN602" i="26"/>
  <c r="AO602" i="26"/>
  <c r="AN603" i="26"/>
  <c r="AO603" i="26"/>
  <c r="AN604" i="26"/>
  <c r="AO604" i="26"/>
  <c r="AN605" i="26"/>
  <c r="AO605" i="26"/>
  <c r="AN606" i="26"/>
  <c r="AO606" i="26"/>
  <c r="AN607" i="26"/>
  <c r="AO607" i="26"/>
  <c r="AN608" i="26"/>
  <c r="AO608" i="26"/>
  <c r="AN609" i="26"/>
  <c r="AO609" i="26"/>
  <c r="AN610" i="26"/>
  <c r="AO610" i="26"/>
  <c r="AN611" i="26"/>
  <c r="AO611" i="26"/>
  <c r="AN612" i="26"/>
  <c r="AO612" i="26"/>
  <c r="AN613" i="26"/>
  <c r="AO613" i="26"/>
  <c r="AN614" i="26"/>
  <c r="AO614" i="26"/>
  <c r="AN615" i="26"/>
  <c r="AO615" i="26"/>
  <c r="AN616" i="26"/>
  <c r="AO616" i="26"/>
  <c r="AN617" i="26"/>
  <c r="AO617" i="26"/>
  <c r="AN618" i="26"/>
  <c r="AO618" i="26"/>
  <c r="AO11" i="26"/>
  <c r="AN11" i="26"/>
  <c r="CG12" i="2"/>
  <c r="CH12" i="2"/>
  <c r="CI12" i="2"/>
  <c r="CG13" i="2"/>
  <c r="CH13" i="2"/>
  <c r="CI13" i="2"/>
  <c r="CG14" i="2"/>
  <c r="CH14" i="2"/>
  <c r="CI14" i="2"/>
  <c r="CG15" i="2"/>
  <c r="CH15" i="2"/>
  <c r="CI15" i="2"/>
  <c r="CG16" i="2"/>
  <c r="CH16" i="2"/>
  <c r="CI16" i="2"/>
  <c r="CG17" i="2"/>
  <c r="CH17" i="2"/>
  <c r="CI17" i="2"/>
  <c r="CG18" i="2"/>
  <c r="CH18" i="2"/>
  <c r="CI18" i="2"/>
  <c r="CG19" i="2"/>
  <c r="CH19" i="2"/>
  <c r="CI19" i="2"/>
  <c r="CG20" i="2"/>
  <c r="CH20" i="2"/>
  <c r="CI20" i="2"/>
  <c r="CG21" i="2"/>
  <c r="CH21" i="2"/>
  <c r="CI21" i="2"/>
  <c r="CG22" i="2"/>
  <c r="CH22" i="2"/>
  <c r="CI22" i="2"/>
  <c r="CG23" i="2"/>
  <c r="CH23" i="2"/>
  <c r="CI23" i="2"/>
  <c r="CG24" i="2"/>
  <c r="CH24" i="2"/>
  <c r="CI24" i="2"/>
  <c r="CG25" i="2"/>
  <c r="CH25" i="2"/>
  <c r="CI25" i="2"/>
  <c r="CG26" i="2"/>
  <c r="CH26" i="2"/>
  <c r="CI26" i="2"/>
  <c r="CG27" i="2"/>
  <c r="CH27" i="2"/>
  <c r="CI27" i="2"/>
  <c r="CG28" i="2"/>
  <c r="CH28" i="2"/>
  <c r="CI28" i="2"/>
  <c r="CG29" i="2"/>
  <c r="CH29" i="2"/>
  <c r="CI29" i="2"/>
  <c r="CG30" i="2"/>
  <c r="CH30" i="2"/>
  <c r="CI30" i="2"/>
  <c r="CG31" i="2"/>
  <c r="CH31" i="2"/>
  <c r="CI31" i="2"/>
  <c r="CG32" i="2"/>
  <c r="CH32" i="2"/>
  <c r="CI32" i="2"/>
  <c r="CG33" i="2"/>
  <c r="CH33" i="2"/>
  <c r="CI33" i="2"/>
  <c r="CG34" i="2"/>
  <c r="CH34" i="2"/>
  <c r="CI34" i="2"/>
  <c r="CG35" i="2"/>
  <c r="CH35" i="2"/>
  <c r="CI35" i="2"/>
  <c r="CG36" i="2"/>
  <c r="CH36" i="2"/>
  <c r="CI36" i="2"/>
  <c r="CG37" i="2"/>
  <c r="CH37" i="2"/>
  <c r="CI37" i="2"/>
  <c r="CG38" i="2"/>
  <c r="CH38" i="2"/>
  <c r="CI38" i="2"/>
  <c r="CG39" i="2"/>
  <c r="CH39" i="2"/>
  <c r="CI39" i="2"/>
  <c r="CG40" i="2"/>
  <c r="CH40" i="2"/>
  <c r="CI40" i="2"/>
  <c r="CG41" i="2"/>
  <c r="CH41" i="2"/>
  <c r="CI41" i="2"/>
  <c r="CG42" i="2"/>
  <c r="CH42" i="2"/>
  <c r="CI42" i="2"/>
  <c r="CG43" i="2"/>
  <c r="CH43" i="2"/>
  <c r="CI43" i="2"/>
  <c r="CG44" i="2"/>
  <c r="CH44" i="2"/>
  <c r="CI44" i="2"/>
  <c r="CG45" i="2"/>
  <c r="CH45" i="2"/>
  <c r="CI45" i="2"/>
  <c r="CG46" i="2"/>
  <c r="CH46" i="2"/>
  <c r="CI46" i="2"/>
  <c r="CG47" i="2"/>
  <c r="CH47" i="2"/>
  <c r="CI47" i="2"/>
  <c r="CG48" i="2"/>
  <c r="CH48" i="2"/>
  <c r="CI48" i="2"/>
  <c r="CG49" i="2"/>
  <c r="CH49" i="2"/>
  <c r="CI49" i="2"/>
  <c r="CG50" i="2"/>
  <c r="CH50" i="2"/>
  <c r="CI50" i="2"/>
  <c r="CG51" i="2"/>
  <c r="CH51" i="2"/>
  <c r="CI51" i="2"/>
  <c r="CG52" i="2"/>
  <c r="CH52" i="2"/>
  <c r="CI52" i="2"/>
  <c r="CG53" i="2"/>
  <c r="CH53" i="2"/>
  <c r="CI53" i="2"/>
  <c r="CG54" i="2"/>
  <c r="CH54" i="2"/>
  <c r="CI54" i="2"/>
  <c r="CG55" i="2"/>
  <c r="CH55" i="2"/>
  <c r="CI55" i="2"/>
  <c r="CG56" i="2"/>
  <c r="CH56" i="2"/>
  <c r="CI56" i="2"/>
  <c r="CG57" i="2"/>
  <c r="CH57" i="2"/>
  <c r="CI57" i="2"/>
  <c r="CG58" i="2"/>
  <c r="CH58" i="2"/>
  <c r="CI58" i="2"/>
  <c r="CG59" i="2"/>
  <c r="CH59" i="2"/>
  <c r="CI59" i="2"/>
  <c r="CG60" i="2"/>
  <c r="CH60" i="2"/>
  <c r="CI60" i="2"/>
  <c r="CG61" i="2"/>
  <c r="CH61" i="2"/>
  <c r="CI61" i="2"/>
  <c r="CG62" i="2"/>
  <c r="CH62" i="2"/>
  <c r="CI62" i="2"/>
  <c r="CG63" i="2"/>
  <c r="CH63" i="2"/>
  <c r="CI63" i="2"/>
  <c r="CG64" i="2"/>
  <c r="CH64" i="2"/>
  <c r="CI64" i="2"/>
  <c r="CG65" i="2"/>
  <c r="CH65" i="2"/>
  <c r="CI65" i="2"/>
  <c r="CG66" i="2"/>
  <c r="CH66" i="2"/>
  <c r="CI66" i="2"/>
  <c r="CG67" i="2"/>
  <c r="CH67" i="2"/>
  <c r="CI67" i="2"/>
  <c r="CG68" i="2"/>
  <c r="CH68" i="2"/>
  <c r="CI68" i="2"/>
  <c r="CG69" i="2"/>
  <c r="CH69" i="2"/>
  <c r="CI69" i="2"/>
  <c r="CG70" i="2"/>
  <c r="CH70" i="2"/>
  <c r="CI70" i="2"/>
  <c r="CG71" i="2"/>
  <c r="CH71" i="2"/>
  <c r="CI71" i="2"/>
  <c r="CG72" i="2"/>
  <c r="CH72" i="2"/>
  <c r="CI72" i="2"/>
  <c r="CG73" i="2"/>
  <c r="CH73" i="2"/>
  <c r="CI73" i="2"/>
  <c r="CG74" i="2"/>
  <c r="CH74" i="2"/>
  <c r="CI74" i="2"/>
  <c r="CG75" i="2"/>
  <c r="CH75" i="2"/>
  <c r="CI75" i="2"/>
  <c r="CG76" i="2"/>
  <c r="CH76" i="2"/>
  <c r="CI76" i="2"/>
  <c r="CG77" i="2"/>
  <c r="CH77" i="2"/>
  <c r="CI77" i="2"/>
  <c r="CG78" i="2"/>
  <c r="CH78" i="2"/>
  <c r="CI78" i="2"/>
  <c r="CG79" i="2"/>
  <c r="CH79" i="2"/>
  <c r="CI79" i="2"/>
  <c r="CG80" i="2"/>
  <c r="CH80" i="2"/>
  <c r="CI80" i="2"/>
  <c r="CG81" i="2"/>
  <c r="CH81" i="2"/>
  <c r="CI81" i="2"/>
  <c r="CG82" i="2"/>
  <c r="CH82" i="2"/>
  <c r="CI82" i="2"/>
  <c r="CG83" i="2"/>
  <c r="CH83" i="2"/>
  <c r="CI83" i="2"/>
  <c r="CG84" i="2"/>
  <c r="CH84" i="2"/>
  <c r="CI84" i="2"/>
  <c r="CG85" i="2"/>
  <c r="CH85" i="2"/>
  <c r="CI85" i="2"/>
  <c r="CG86" i="2"/>
  <c r="CH86" i="2"/>
  <c r="CI86" i="2"/>
  <c r="CG87" i="2"/>
  <c r="CH87" i="2"/>
  <c r="CI87" i="2"/>
  <c r="CG89" i="2"/>
  <c r="CH89" i="2"/>
  <c r="CI89" i="2"/>
  <c r="CG88" i="2"/>
  <c r="CH88" i="2"/>
  <c r="CI88" i="2"/>
  <c r="CG90" i="2"/>
  <c r="CH90" i="2"/>
  <c r="CI90" i="2"/>
  <c r="CG91" i="2"/>
  <c r="CH91" i="2"/>
  <c r="CI91" i="2"/>
  <c r="CG92" i="2"/>
  <c r="CH92" i="2"/>
  <c r="CI92" i="2"/>
  <c r="CG93" i="2"/>
  <c r="CH93" i="2"/>
  <c r="CI93" i="2"/>
  <c r="CG94" i="2"/>
  <c r="CH94" i="2"/>
  <c r="CI94" i="2"/>
  <c r="CG95" i="2"/>
  <c r="CH95" i="2"/>
  <c r="CI95" i="2"/>
  <c r="CG96" i="2"/>
  <c r="CH96" i="2"/>
  <c r="CI96" i="2"/>
  <c r="CG97" i="2"/>
  <c r="CH97" i="2"/>
  <c r="CI97" i="2"/>
  <c r="CG98" i="2"/>
  <c r="CH98" i="2"/>
  <c r="CI98" i="2"/>
  <c r="CG99" i="2"/>
  <c r="CH99" i="2"/>
  <c r="CI99" i="2"/>
  <c r="CG100" i="2"/>
  <c r="CH100" i="2"/>
  <c r="CI100" i="2"/>
  <c r="CG101" i="2"/>
  <c r="CH101" i="2"/>
  <c r="CI101" i="2"/>
  <c r="CG102" i="2"/>
  <c r="CH102" i="2"/>
  <c r="CI102" i="2"/>
  <c r="CG103" i="2"/>
  <c r="CH103" i="2"/>
  <c r="CI103" i="2"/>
  <c r="CG104" i="2"/>
  <c r="CH104" i="2"/>
  <c r="CI104" i="2"/>
  <c r="CG105" i="2"/>
  <c r="CH105" i="2"/>
  <c r="CI105" i="2"/>
  <c r="CG106" i="2"/>
  <c r="CH106" i="2"/>
  <c r="CI106" i="2"/>
  <c r="CG107" i="2"/>
  <c r="CH107" i="2"/>
  <c r="CI107" i="2"/>
  <c r="CG108" i="2"/>
  <c r="CH108" i="2"/>
  <c r="CI108" i="2"/>
  <c r="CG109" i="2"/>
  <c r="CH109" i="2"/>
  <c r="CI109" i="2"/>
  <c r="CG110" i="2"/>
  <c r="CH110" i="2"/>
  <c r="CI110" i="2"/>
  <c r="CG111" i="2"/>
  <c r="CH111" i="2"/>
  <c r="CI111" i="2"/>
  <c r="CG112" i="2"/>
  <c r="CH112" i="2"/>
  <c r="CI112" i="2"/>
  <c r="CG113" i="2"/>
  <c r="CH113" i="2"/>
  <c r="CI113" i="2"/>
  <c r="CG114" i="2"/>
  <c r="CH114" i="2"/>
  <c r="CI114" i="2"/>
  <c r="CG115" i="2"/>
  <c r="CH115" i="2"/>
  <c r="CI115" i="2"/>
  <c r="CG116" i="2"/>
  <c r="CH116" i="2"/>
  <c r="CI116" i="2"/>
  <c r="CG117" i="2"/>
  <c r="CH117" i="2"/>
  <c r="CI117" i="2"/>
  <c r="CG118" i="2"/>
  <c r="CH118" i="2"/>
  <c r="CI118" i="2"/>
  <c r="CG119" i="2"/>
  <c r="CH119" i="2"/>
  <c r="CI119" i="2"/>
  <c r="CG120" i="2"/>
  <c r="CH120" i="2"/>
  <c r="CI120" i="2"/>
  <c r="CG121" i="2"/>
  <c r="CH121" i="2"/>
  <c r="CI121" i="2"/>
  <c r="CG122" i="2"/>
  <c r="CH122" i="2"/>
  <c r="CI122" i="2"/>
  <c r="CG123" i="2"/>
  <c r="CH123" i="2"/>
  <c r="CI123" i="2"/>
  <c r="CG124" i="2"/>
  <c r="CH124" i="2"/>
  <c r="CI124" i="2"/>
  <c r="CG125" i="2"/>
  <c r="CH125" i="2"/>
  <c r="CI125" i="2"/>
  <c r="CG126" i="2"/>
  <c r="CH126" i="2"/>
  <c r="CI126" i="2"/>
  <c r="CG127" i="2"/>
  <c r="CH127" i="2"/>
  <c r="CI127" i="2"/>
  <c r="CG128" i="2"/>
  <c r="CH128" i="2"/>
  <c r="CI128" i="2"/>
  <c r="CG129" i="2"/>
  <c r="CH129" i="2"/>
  <c r="CI129" i="2"/>
  <c r="CG130" i="2"/>
  <c r="CH130" i="2"/>
  <c r="CI130" i="2"/>
  <c r="CG131" i="2"/>
  <c r="CH131" i="2"/>
  <c r="CI131" i="2"/>
  <c r="CG132" i="2"/>
  <c r="CH132" i="2"/>
  <c r="CI132" i="2"/>
  <c r="CG133" i="2"/>
  <c r="CH133" i="2"/>
  <c r="CI133" i="2"/>
  <c r="CG134" i="2"/>
  <c r="CH134" i="2"/>
  <c r="CI134" i="2"/>
  <c r="CG135" i="2"/>
  <c r="CH135" i="2"/>
  <c r="CI135" i="2"/>
  <c r="CG136" i="2"/>
  <c r="CH136" i="2"/>
  <c r="CI136" i="2"/>
  <c r="CG137" i="2"/>
  <c r="CH137" i="2"/>
  <c r="CI137" i="2"/>
  <c r="CG138" i="2"/>
  <c r="CH138" i="2"/>
  <c r="CI138" i="2"/>
  <c r="CG139" i="2"/>
  <c r="CH139" i="2"/>
  <c r="CI139" i="2"/>
  <c r="CG140" i="2"/>
  <c r="CH140" i="2"/>
  <c r="CI140" i="2"/>
  <c r="CG141" i="2"/>
  <c r="CH141" i="2"/>
  <c r="CI141" i="2"/>
  <c r="CG142" i="2"/>
  <c r="CH142" i="2"/>
  <c r="CI142" i="2"/>
  <c r="CG143" i="2"/>
  <c r="CH143" i="2"/>
  <c r="CI143" i="2"/>
  <c r="CG144" i="2"/>
  <c r="CH144" i="2"/>
  <c r="CI144" i="2"/>
  <c r="CG145" i="2"/>
  <c r="CH145" i="2"/>
  <c r="CI145" i="2"/>
  <c r="CG146" i="2"/>
  <c r="CH146" i="2"/>
  <c r="CI146" i="2"/>
  <c r="CG147" i="2"/>
  <c r="CH147" i="2"/>
  <c r="CI147" i="2"/>
  <c r="CG148" i="2"/>
  <c r="CH148" i="2"/>
  <c r="CI148" i="2"/>
  <c r="CG149" i="2"/>
  <c r="CH149" i="2"/>
  <c r="CI149" i="2"/>
  <c r="CG150" i="2"/>
  <c r="CH150" i="2"/>
  <c r="CI150" i="2"/>
  <c r="CG151" i="2"/>
  <c r="CH151" i="2"/>
  <c r="CI151" i="2"/>
  <c r="CG152" i="2"/>
  <c r="CH152" i="2"/>
  <c r="CI152" i="2"/>
  <c r="CG153" i="2"/>
  <c r="CH153" i="2"/>
  <c r="CI153" i="2"/>
  <c r="CG154" i="2"/>
  <c r="CH154" i="2"/>
  <c r="CI154" i="2"/>
  <c r="CG155" i="2"/>
  <c r="CH155" i="2"/>
  <c r="CI155" i="2"/>
  <c r="CG156" i="2"/>
  <c r="CH156" i="2"/>
  <c r="CI156" i="2"/>
  <c r="CG157" i="2"/>
  <c r="CH157" i="2"/>
  <c r="CI157" i="2"/>
  <c r="CG158" i="2"/>
  <c r="CH158" i="2"/>
  <c r="CI158" i="2"/>
  <c r="CG159" i="2"/>
  <c r="CH159" i="2"/>
  <c r="CI159" i="2"/>
  <c r="CG160" i="2"/>
  <c r="CH160" i="2"/>
  <c r="CI160" i="2"/>
  <c r="CG161" i="2"/>
  <c r="CH161" i="2"/>
  <c r="CI161" i="2"/>
  <c r="CG162" i="2"/>
  <c r="CH162" i="2"/>
  <c r="CI162" i="2"/>
  <c r="CG163" i="2"/>
  <c r="CH163" i="2"/>
  <c r="CI163" i="2"/>
  <c r="CG164" i="2"/>
  <c r="CH164" i="2"/>
  <c r="CI164" i="2"/>
  <c r="CG165" i="2"/>
  <c r="CH165" i="2"/>
  <c r="CI165" i="2"/>
  <c r="CG166" i="2"/>
  <c r="CH166" i="2"/>
  <c r="CI166" i="2"/>
  <c r="CG167" i="2"/>
  <c r="CH167" i="2"/>
  <c r="CI167" i="2"/>
  <c r="CG168" i="2"/>
  <c r="CH168" i="2"/>
  <c r="CI168" i="2"/>
  <c r="CG169" i="2"/>
  <c r="CH169" i="2"/>
  <c r="CI169" i="2"/>
  <c r="CG170" i="2"/>
  <c r="CH170" i="2"/>
  <c r="CI170" i="2"/>
  <c r="CG171" i="2"/>
  <c r="CH171" i="2"/>
  <c r="CI171" i="2"/>
  <c r="CG172" i="2"/>
  <c r="CH172" i="2"/>
  <c r="CI172" i="2"/>
  <c r="CG173" i="2"/>
  <c r="CH173" i="2"/>
  <c r="CI173" i="2"/>
  <c r="CG174" i="2"/>
  <c r="CH174" i="2"/>
  <c r="CI174" i="2"/>
  <c r="CG175" i="2"/>
  <c r="CH175" i="2"/>
  <c r="CI175" i="2"/>
  <c r="CG176" i="2"/>
  <c r="CH176" i="2"/>
  <c r="CI176" i="2"/>
  <c r="CG177" i="2"/>
  <c r="CH177" i="2"/>
  <c r="CI177" i="2"/>
  <c r="CG178" i="2"/>
  <c r="CH178" i="2"/>
  <c r="CI178" i="2"/>
  <c r="CG179" i="2"/>
  <c r="CH179" i="2"/>
  <c r="CI179" i="2"/>
  <c r="CG180" i="2"/>
  <c r="CH180" i="2"/>
  <c r="CI180" i="2"/>
  <c r="CG181" i="2"/>
  <c r="CH181" i="2"/>
  <c r="CI181" i="2"/>
  <c r="CG182" i="2"/>
  <c r="CH182" i="2"/>
  <c r="CI182" i="2"/>
  <c r="CG183" i="2"/>
  <c r="CH183" i="2"/>
  <c r="CI183" i="2"/>
  <c r="CG184" i="2"/>
  <c r="CH184" i="2"/>
  <c r="CI184" i="2"/>
  <c r="CG185" i="2"/>
  <c r="CH185" i="2"/>
  <c r="CI185" i="2"/>
  <c r="CG186" i="2"/>
  <c r="CH186" i="2"/>
  <c r="CI186" i="2"/>
  <c r="CG187" i="2"/>
  <c r="CH187" i="2"/>
  <c r="CI187" i="2"/>
  <c r="CG188" i="2"/>
  <c r="CH188" i="2"/>
  <c r="CI188" i="2"/>
  <c r="CG189" i="2"/>
  <c r="CH189" i="2"/>
  <c r="CI189" i="2"/>
  <c r="CG190" i="2"/>
  <c r="CH190" i="2"/>
  <c r="CI190" i="2"/>
  <c r="CG191" i="2"/>
  <c r="CH191" i="2"/>
  <c r="CI191" i="2"/>
  <c r="CG192" i="2"/>
  <c r="CH192" i="2"/>
  <c r="CI192" i="2"/>
  <c r="CG193" i="2"/>
  <c r="CH193" i="2"/>
  <c r="CI193" i="2"/>
  <c r="CG194" i="2"/>
  <c r="CH194" i="2"/>
  <c r="CI194" i="2"/>
  <c r="CG195" i="2"/>
  <c r="CH195" i="2"/>
  <c r="CI195" i="2"/>
  <c r="CG196" i="2"/>
  <c r="CH196" i="2"/>
  <c r="CI196" i="2"/>
  <c r="CG197" i="2"/>
  <c r="CH197" i="2"/>
  <c r="CI197" i="2"/>
  <c r="CG198" i="2"/>
  <c r="CH198" i="2"/>
  <c r="CI198" i="2"/>
  <c r="CG199" i="2"/>
  <c r="CH199" i="2"/>
  <c r="CI199" i="2"/>
  <c r="CG200" i="2"/>
  <c r="CH200" i="2"/>
  <c r="CI200" i="2"/>
  <c r="CG201" i="2"/>
  <c r="CH201" i="2"/>
  <c r="CI201" i="2"/>
  <c r="CG202" i="2"/>
  <c r="CH202" i="2"/>
  <c r="CI202" i="2"/>
  <c r="CG203" i="2"/>
  <c r="CH203" i="2"/>
  <c r="CI203" i="2"/>
  <c r="CG204" i="2"/>
  <c r="CH204" i="2"/>
  <c r="CI204" i="2"/>
  <c r="CG205" i="2"/>
  <c r="CH205" i="2"/>
  <c r="CI205" i="2"/>
  <c r="CG206" i="2"/>
  <c r="CH206" i="2"/>
  <c r="CI206" i="2"/>
  <c r="CG207" i="2"/>
  <c r="CH207" i="2"/>
  <c r="CI207" i="2"/>
  <c r="CG208" i="2"/>
  <c r="CH208" i="2"/>
  <c r="CI208" i="2"/>
  <c r="CG209" i="2"/>
  <c r="CH209" i="2"/>
  <c r="CI209" i="2"/>
  <c r="CG210" i="2"/>
  <c r="CH210" i="2"/>
  <c r="CI210" i="2"/>
  <c r="CG211" i="2"/>
  <c r="CH211" i="2"/>
  <c r="CI211" i="2"/>
  <c r="CG212" i="2"/>
  <c r="CH212" i="2"/>
  <c r="CI212" i="2"/>
  <c r="CG213" i="2"/>
  <c r="CH213" i="2"/>
  <c r="CI213" i="2"/>
  <c r="CG214" i="2"/>
  <c r="CH214" i="2"/>
  <c r="CI214" i="2"/>
  <c r="CG215" i="2"/>
  <c r="CH215" i="2"/>
  <c r="CI215" i="2"/>
  <c r="CG216" i="2"/>
  <c r="CH216" i="2"/>
  <c r="CI216" i="2"/>
  <c r="CG217" i="2"/>
  <c r="CH217" i="2"/>
  <c r="CI217" i="2"/>
  <c r="CG218" i="2"/>
  <c r="CH218" i="2"/>
  <c r="CI218" i="2"/>
  <c r="CG219" i="2"/>
  <c r="CH219" i="2"/>
  <c r="CI219" i="2"/>
  <c r="CG220" i="2"/>
  <c r="CH220" i="2"/>
  <c r="CI220" i="2"/>
  <c r="CG221" i="2"/>
  <c r="CH221" i="2"/>
  <c r="CI221" i="2"/>
  <c r="CG222" i="2"/>
  <c r="CH222" i="2"/>
  <c r="CI222" i="2"/>
  <c r="CG223" i="2"/>
  <c r="CH223" i="2"/>
  <c r="CI223" i="2"/>
  <c r="CG224" i="2"/>
  <c r="CH224" i="2"/>
  <c r="CI224" i="2"/>
  <c r="CG225" i="2"/>
  <c r="CH225" i="2"/>
  <c r="CI225" i="2"/>
  <c r="CG226" i="2"/>
  <c r="CH226" i="2"/>
  <c r="CI226" i="2"/>
  <c r="CG227" i="2"/>
  <c r="CH227" i="2"/>
  <c r="CI227" i="2"/>
  <c r="CG228" i="2"/>
  <c r="CH228" i="2"/>
  <c r="CI228" i="2"/>
  <c r="CG229" i="2"/>
  <c r="CH229" i="2"/>
  <c r="CI229" i="2"/>
  <c r="CG230" i="2"/>
  <c r="CH230" i="2"/>
  <c r="CI230" i="2"/>
  <c r="CG231" i="2"/>
  <c r="CH231" i="2"/>
  <c r="CI231" i="2"/>
  <c r="CG232" i="2"/>
  <c r="CH232" i="2"/>
  <c r="CI232" i="2"/>
  <c r="CG233" i="2"/>
  <c r="CH233" i="2"/>
  <c r="CI233" i="2"/>
  <c r="CG234" i="2"/>
  <c r="CH234" i="2"/>
  <c r="CI234" i="2"/>
  <c r="CG235" i="2"/>
  <c r="CH235" i="2"/>
  <c r="CI235" i="2"/>
  <c r="CG236" i="2"/>
  <c r="CH236" i="2"/>
  <c r="CI236" i="2"/>
  <c r="CG237" i="2"/>
  <c r="CH237" i="2"/>
  <c r="CI237" i="2"/>
  <c r="CG238" i="2"/>
  <c r="CH238" i="2"/>
  <c r="CI238" i="2"/>
  <c r="CG239" i="2"/>
  <c r="CH239" i="2"/>
  <c r="CI239" i="2"/>
  <c r="CG240" i="2"/>
  <c r="CH240" i="2"/>
  <c r="CI240" i="2"/>
  <c r="CG241" i="2"/>
  <c r="CH241" i="2"/>
  <c r="CI241" i="2"/>
  <c r="CG242" i="2"/>
  <c r="CH242" i="2"/>
  <c r="CI242" i="2"/>
  <c r="CG243" i="2"/>
  <c r="CH243" i="2"/>
  <c r="CI243" i="2"/>
  <c r="CG244" i="2"/>
  <c r="CH244" i="2"/>
  <c r="CI244" i="2"/>
  <c r="CG245" i="2"/>
  <c r="CH245" i="2"/>
  <c r="CI245" i="2"/>
  <c r="CG246" i="2"/>
  <c r="CH246" i="2"/>
  <c r="CI246" i="2"/>
  <c r="CG247" i="2"/>
  <c r="CH247" i="2"/>
  <c r="CI247" i="2"/>
  <c r="CG248" i="2"/>
  <c r="CH248" i="2"/>
  <c r="CI248" i="2"/>
  <c r="CG249" i="2"/>
  <c r="CH249" i="2"/>
  <c r="CI249" i="2"/>
  <c r="CG250" i="2"/>
  <c r="CH250" i="2"/>
  <c r="CI250" i="2"/>
  <c r="CG251" i="2"/>
  <c r="CH251" i="2"/>
  <c r="CI251" i="2"/>
  <c r="CG252" i="2"/>
  <c r="CH252" i="2"/>
  <c r="CI252" i="2"/>
  <c r="CG253" i="2"/>
  <c r="CH253" i="2"/>
  <c r="CI253" i="2"/>
  <c r="CG254" i="2"/>
  <c r="CH254" i="2"/>
  <c r="CI254" i="2"/>
  <c r="CG255" i="2"/>
  <c r="CH255" i="2"/>
  <c r="CI255" i="2"/>
  <c r="CG256" i="2"/>
  <c r="CH256" i="2"/>
  <c r="CI256" i="2"/>
  <c r="CG257" i="2"/>
  <c r="CH257" i="2"/>
  <c r="CI257" i="2"/>
  <c r="CG258" i="2"/>
  <c r="CH258" i="2"/>
  <c r="CI258" i="2"/>
  <c r="CG259" i="2"/>
  <c r="CH259" i="2"/>
  <c r="CI259" i="2"/>
  <c r="CG260" i="2"/>
  <c r="CH260" i="2"/>
  <c r="CI260" i="2"/>
  <c r="CG261" i="2"/>
  <c r="CH261" i="2"/>
  <c r="CI261" i="2"/>
  <c r="CG262" i="2"/>
  <c r="CH262" i="2"/>
  <c r="CI262" i="2"/>
  <c r="CG263" i="2"/>
  <c r="CH263" i="2"/>
  <c r="CI263" i="2"/>
  <c r="CG264" i="2"/>
  <c r="CH264" i="2"/>
  <c r="CI264" i="2"/>
  <c r="CG265" i="2"/>
  <c r="CH265" i="2"/>
  <c r="CI265" i="2"/>
  <c r="CG266" i="2"/>
  <c r="CH266" i="2"/>
  <c r="CI266" i="2"/>
  <c r="CG267" i="2"/>
  <c r="CH267" i="2"/>
  <c r="CI267" i="2"/>
  <c r="CG268" i="2"/>
  <c r="CH268" i="2"/>
  <c r="CI268" i="2"/>
  <c r="CG269" i="2"/>
  <c r="CH269" i="2"/>
  <c r="CI269" i="2"/>
  <c r="CG270" i="2"/>
  <c r="CH270" i="2"/>
  <c r="CI270" i="2"/>
  <c r="CG271" i="2"/>
  <c r="CH271" i="2"/>
  <c r="CI271" i="2"/>
  <c r="CG272" i="2"/>
  <c r="CH272" i="2"/>
  <c r="CI272" i="2"/>
  <c r="CG273" i="2"/>
  <c r="CH273" i="2"/>
  <c r="CI273" i="2"/>
  <c r="CG274" i="2"/>
  <c r="CH274" i="2"/>
  <c r="CI274" i="2"/>
  <c r="CG275" i="2"/>
  <c r="CH275" i="2"/>
  <c r="CI275" i="2"/>
  <c r="CG276" i="2"/>
  <c r="CH276" i="2"/>
  <c r="CI276" i="2"/>
  <c r="CG277" i="2"/>
  <c r="CH277" i="2"/>
  <c r="CI277" i="2"/>
  <c r="CG278" i="2"/>
  <c r="CH278" i="2"/>
  <c r="CI278" i="2"/>
  <c r="CG279" i="2"/>
  <c r="CH279" i="2"/>
  <c r="CI279" i="2"/>
  <c r="CG280" i="2"/>
  <c r="CH280" i="2"/>
  <c r="CI280" i="2"/>
  <c r="CG281" i="2"/>
  <c r="CH281" i="2"/>
  <c r="CI281" i="2"/>
  <c r="CG282" i="2"/>
  <c r="CH282" i="2"/>
  <c r="CI282" i="2"/>
  <c r="CG283" i="2"/>
  <c r="CH283" i="2"/>
  <c r="CI283" i="2"/>
  <c r="CG284" i="2"/>
  <c r="CH284" i="2"/>
  <c r="CI284" i="2"/>
  <c r="CG285" i="2"/>
  <c r="CH285" i="2"/>
  <c r="CI285" i="2"/>
  <c r="CG286" i="2"/>
  <c r="CH286" i="2"/>
  <c r="CI286" i="2"/>
  <c r="CG287" i="2"/>
  <c r="CH287" i="2"/>
  <c r="CI287" i="2"/>
  <c r="CG288" i="2"/>
  <c r="CH288" i="2"/>
  <c r="CI288" i="2"/>
  <c r="CG290" i="2"/>
  <c r="CH290" i="2"/>
  <c r="CI290" i="2"/>
  <c r="CG291" i="2"/>
  <c r="CH291" i="2"/>
  <c r="CI291" i="2"/>
  <c r="CG292" i="2"/>
  <c r="CH292" i="2"/>
  <c r="CI292" i="2"/>
  <c r="CG289" i="2"/>
  <c r="CH289" i="2"/>
  <c r="CI289" i="2"/>
  <c r="CG293" i="2"/>
  <c r="CH293" i="2"/>
  <c r="CI293" i="2"/>
  <c r="CG294" i="2"/>
  <c r="CH294" i="2"/>
  <c r="CI294" i="2"/>
  <c r="CG295" i="2"/>
  <c r="CH295" i="2"/>
  <c r="CI295" i="2"/>
  <c r="CG296" i="2"/>
  <c r="CH296" i="2"/>
  <c r="CI296" i="2"/>
  <c r="CG297" i="2"/>
  <c r="CH297" i="2"/>
  <c r="CI297" i="2"/>
  <c r="CG298" i="2"/>
  <c r="CH298" i="2"/>
  <c r="CI298" i="2"/>
  <c r="CG299" i="2"/>
  <c r="CH299" i="2"/>
  <c r="CI299" i="2"/>
  <c r="CG300" i="2"/>
  <c r="CH300" i="2"/>
  <c r="CI300" i="2"/>
  <c r="CG301" i="2"/>
  <c r="CH301" i="2"/>
  <c r="CI301" i="2"/>
  <c r="CG302" i="2"/>
  <c r="CH302" i="2"/>
  <c r="CI302" i="2"/>
  <c r="CG303" i="2"/>
  <c r="CH303" i="2"/>
  <c r="CI303" i="2"/>
  <c r="CG304" i="2"/>
  <c r="CH304" i="2"/>
  <c r="CI304" i="2"/>
  <c r="CG306" i="2"/>
  <c r="CH306" i="2"/>
  <c r="CI306" i="2"/>
  <c r="CG307" i="2"/>
  <c r="CH307" i="2"/>
  <c r="CI307" i="2"/>
  <c r="CG308" i="2"/>
  <c r="CH308" i="2"/>
  <c r="CI308" i="2"/>
  <c r="CG309" i="2"/>
  <c r="CH309" i="2"/>
  <c r="CI309" i="2"/>
  <c r="CG310" i="2"/>
  <c r="CH310" i="2"/>
  <c r="CI310" i="2"/>
  <c r="CG311" i="2"/>
  <c r="CH311" i="2"/>
  <c r="CI311" i="2"/>
  <c r="CG312" i="2"/>
  <c r="CH312" i="2"/>
  <c r="CI312" i="2"/>
  <c r="CG313" i="2"/>
  <c r="CH313" i="2"/>
  <c r="CI313" i="2"/>
  <c r="CG314" i="2"/>
  <c r="CH314" i="2"/>
  <c r="CI314" i="2"/>
  <c r="CG315" i="2"/>
  <c r="CH315" i="2"/>
  <c r="CI315" i="2"/>
  <c r="CG316" i="2"/>
  <c r="CH316" i="2"/>
  <c r="CI316" i="2"/>
  <c r="CG317" i="2"/>
  <c r="CH317" i="2"/>
  <c r="CI317" i="2"/>
  <c r="CG319" i="2"/>
  <c r="CH319" i="2"/>
  <c r="CI319" i="2"/>
  <c r="CG320" i="2"/>
  <c r="CH320" i="2"/>
  <c r="CI320" i="2"/>
  <c r="CG321" i="2"/>
  <c r="CH321" i="2"/>
  <c r="CI321" i="2"/>
  <c r="CG322" i="2"/>
  <c r="CH322" i="2"/>
  <c r="CI322" i="2"/>
  <c r="CG323" i="2"/>
  <c r="CH323" i="2"/>
  <c r="CI323" i="2"/>
  <c r="CG324" i="2"/>
  <c r="CH324" i="2"/>
  <c r="CI324" i="2"/>
  <c r="CG325" i="2"/>
  <c r="CH325" i="2"/>
  <c r="CI325" i="2"/>
  <c r="CG326" i="2"/>
  <c r="CH326" i="2"/>
  <c r="CI326" i="2"/>
  <c r="CG327" i="2"/>
  <c r="CH327" i="2"/>
  <c r="CI327" i="2"/>
  <c r="CG328" i="2"/>
  <c r="CH328" i="2"/>
  <c r="CI328" i="2"/>
  <c r="CG329" i="2"/>
  <c r="CH329" i="2"/>
  <c r="CI329" i="2"/>
  <c r="CG330" i="2"/>
  <c r="CH330" i="2"/>
  <c r="CI330" i="2"/>
  <c r="CG331" i="2"/>
  <c r="CH331" i="2"/>
  <c r="CI331" i="2"/>
  <c r="CG332" i="2"/>
  <c r="CH332" i="2"/>
  <c r="CI332" i="2"/>
  <c r="CG333" i="2"/>
  <c r="CH333" i="2"/>
  <c r="CI333" i="2"/>
  <c r="CG334" i="2"/>
  <c r="CH334" i="2"/>
  <c r="CI334" i="2"/>
  <c r="CG335" i="2"/>
  <c r="CH335" i="2"/>
  <c r="CI335" i="2"/>
  <c r="CG336" i="2"/>
  <c r="CH336" i="2"/>
  <c r="CI336" i="2"/>
  <c r="CG337" i="2"/>
  <c r="CH337" i="2"/>
  <c r="CI337" i="2"/>
  <c r="CG338" i="2"/>
  <c r="CH338" i="2"/>
  <c r="CI338" i="2"/>
  <c r="CG339" i="2"/>
  <c r="CH339" i="2"/>
  <c r="CI339" i="2"/>
  <c r="CG340" i="2"/>
  <c r="CH340" i="2"/>
  <c r="CI340" i="2"/>
  <c r="CG341" i="2"/>
  <c r="CH341" i="2"/>
  <c r="CI341" i="2"/>
  <c r="CG342" i="2"/>
  <c r="CH342" i="2"/>
  <c r="CI342" i="2"/>
  <c r="CG343" i="2"/>
  <c r="CH343" i="2"/>
  <c r="CI343" i="2"/>
  <c r="CG344" i="2"/>
  <c r="CH344" i="2"/>
  <c r="CI344" i="2"/>
  <c r="CG345" i="2"/>
  <c r="CH345" i="2"/>
  <c r="CI345" i="2"/>
  <c r="CG347" i="2"/>
  <c r="CH347" i="2"/>
  <c r="CI347" i="2"/>
  <c r="CG348" i="2"/>
  <c r="CH348" i="2"/>
  <c r="CI348" i="2"/>
  <c r="CG349" i="2"/>
  <c r="CH349" i="2"/>
  <c r="CI349" i="2"/>
  <c r="CG350" i="2"/>
  <c r="CH350" i="2"/>
  <c r="CI350" i="2"/>
  <c r="CG351" i="2"/>
  <c r="CH351" i="2"/>
  <c r="CI351" i="2"/>
  <c r="CG352" i="2"/>
  <c r="CH352" i="2"/>
  <c r="CI352" i="2"/>
  <c r="CG353" i="2"/>
  <c r="CH353" i="2"/>
  <c r="CI353" i="2"/>
  <c r="CG354" i="2"/>
  <c r="CH354" i="2"/>
  <c r="CI354" i="2"/>
  <c r="CG355" i="2"/>
  <c r="CH355" i="2"/>
  <c r="CI355" i="2"/>
  <c r="CG356" i="2"/>
  <c r="CH356" i="2"/>
  <c r="CI356" i="2"/>
  <c r="CG357" i="2"/>
  <c r="CH357" i="2"/>
  <c r="CI357" i="2"/>
  <c r="CG358" i="2"/>
  <c r="CH358" i="2"/>
  <c r="CI358" i="2"/>
  <c r="CG359" i="2"/>
  <c r="CH359" i="2"/>
  <c r="CI359" i="2"/>
  <c r="CG360" i="2"/>
  <c r="CH360" i="2"/>
  <c r="CI360" i="2"/>
  <c r="CG361" i="2"/>
  <c r="CH361" i="2"/>
  <c r="CI361" i="2"/>
  <c r="CG362" i="2"/>
  <c r="CH362" i="2"/>
  <c r="CI362" i="2"/>
  <c r="CG363" i="2"/>
  <c r="CH363" i="2"/>
  <c r="CI363" i="2"/>
  <c r="CG364" i="2"/>
  <c r="CH364" i="2"/>
  <c r="CI364" i="2"/>
  <c r="CG365" i="2"/>
  <c r="CH365" i="2"/>
  <c r="CI365" i="2"/>
  <c r="CG366" i="2"/>
  <c r="CH366" i="2"/>
  <c r="CI366" i="2"/>
  <c r="CG367" i="2"/>
  <c r="CH367" i="2"/>
  <c r="CI367" i="2"/>
  <c r="CG368" i="2"/>
  <c r="CH368" i="2"/>
  <c r="CI368" i="2"/>
  <c r="CG369" i="2"/>
  <c r="CH369" i="2"/>
  <c r="CI369" i="2"/>
  <c r="CG370" i="2"/>
  <c r="CH370" i="2"/>
  <c r="CI370" i="2"/>
  <c r="CG371" i="2"/>
  <c r="CH371" i="2"/>
  <c r="CI371" i="2"/>
  <c r="CG372" i="2"/>
  <c r="CH372" i="2"/>
  <c r="CI372" i="2"/>
  <c r="CG373" i="2"/>
  <c r="CH373" i="2"/>
  <c r="CI373" i="2"/>
  <c r="CG374" i="2"/>
  <c r="CH374" i="2"/>
  <c r="CI374" i="2"/>
  <c r="CG375" i="2"/>
  <c r="CH375" i="2"/>
  <c r="CI375" i="2"/>
  <c r="CG376" i="2"/>
  <c r="CH376" i="2"/>
  <c r="CI376" i="2"/>
  <c r="CG377" i="2"/>
  <c r="CH377" i="2"/>
  <c r="CI377" i="2"/>
  <c r="CG378" i="2"/>
  <c r="CH378" i="2"/>
  <c r="CI378" i="2"/>
  <c r="CG379" i="2"/>
  <c r="CH379" i="2"/>
  <c r="CI379" i="2"/>
  <c r="CG380" i="2"/>
  <c r="CH380" i="2"/>
  <c r="CI380" i="2"/>
  <c r="CG381" i="2"/>
  <c r="CH381" i="2"/>
  <c r="CI381" i="2"/>
  <c r="CG382" i="2"/>
  <c r="CH382" i="2"/>
  <c r="CI382" i="2"/>
  <c r="CG383" i="2"/>
  <c r="CH383" i="2"/>
  <c r="CI383" i="2"/>
  <c r="CG384" i="2"/>
  <c r="CH384" i="2"/>
  <c r="CI384" i="2"/>
  <c r="CG385" i="2"/>
  <c r="CH385" i="2"/>
  <c r="CI385" i="2"/>
  <c r="CG386" i="2"/>
  <c r="CH386" i="2"/>
  <c r="CI386" i="2"/>
  <c r="CG387" i="2"/>
  <c r="CH387" i="2"/>
  <c r="CI387" i="2"/>
  <c r="CG388" i="2"/>
  <c r="CH388" i="2"/>
  <c r="CI388" i="2"/>
  <c r="CG389" i="2"/>
  <c r="CH389" i="2"/>
  <c r="CI389" i="2"/>
  <c r="CG390" i="2"/>
  <c r="CH390" i="2"/>
  <c r="CI390" i="2"/>
  <c r="CG391" i="2"/>
  <c r="CH391" i="2"/>
  <c r="CI391" i="2"/>
  <c r="CG392" i="2"/>
  <c r="CH392" i="2"/>
  <c r="CI392" i="2"/>
  <c r="CG393" i="2"/>
  <c r="CH393" i="2"/>
  <c r="CI393" i="2"/>
  <c r="CG394" i="2"/>
  <c r="CH394" i="2"/>
  <c r="CI394" i="2"/>
  <c r="CG395" i="2"/>
  <c r="CH395" i="2"/>
  <c r="CI395" i="2"/>
  <c r="CG396" i="2"/>
  <c r="CH396" i="2"/>
  <c r="CI396" i="2"/>
  <c r="CG397" i="2"/>
  <c r="CH397" i="2"/>
  <c r="CI397" i="2"/>
  <c r="CG398" i="2"/>
  <c r="CH398" i="2"/>
  <c r="CI398" i="2"/>
  <c r="CG399" i="2"/>
  <c r="CH399" i="2"/>
  <c r="CI399" i="2"/>
  <c r="CG401" i="2"/>
  <c r="CH401" i="2"/>
  <c r="CI401" i="2"/>
  <c r="CG402" i="2"/>
  <c r="CH402" i="2"/>
  <c r="CI402" i="2"/>
  <c r="CG403" i="2"/>
  <c r="CH403" i="2"/>
  <c r="CI403" i="2"/>
  <c r="CG404" i="2"/>
  <c r="CH404" i="2"/>
  <c r="CI404" i="2"/>
  <c r="CG405" i="2"/>
  <c r="CH405" i="2"/>
  <c r="CI405" i="2"/>
  <c r="CG406" i="2"/>
  <c r="CH406" i="2"/>
  <c r="CI406" i="2"/>
  <c r="CG407" i="2"/>
  <c r="CH407" i="2"/>
  <c r="CI407" i="2"/>
  <c r="CG408" i="2"/>
  <c r="CH408" i="2"/>
  <c r="CI408" i="2"/>
  <c r="CG409" i="2"/>
  <c r="CH409" i="2"/>
  <c r="CI409" i="2"/>
  <c r="CG410" i="2"/>
  <c r="CH410" i="2"/>
  <c r="CI410" i="2"/>
  <c r="CG411" i="2"/>
  <c r="CH411" i="2"/>
  <c r="CI411" i="2"/>
  <c r="CG412" i="2"/>
  <c r="CH412" i="2"/>
  <c r="CI412" i="2"/>
  <c r="CG414" i="2"/>
  <c r="CH414" i="2"/>
  <c r="CI414" i="2"/>
  <c r="CG415" i="2"/>
  <c r="CH415" i="2"/>
  <c r="CI415" i="2"/>
  <c r="CG416" i="2"/>
  <c r="CH416" i="2"/>
  <c r="CI416" i="2"/>
  <c r="CG417" i="2"/>
  <c r="CH417" i="2"/>
  <c r="CI417" i="2"/>
  <c r="CG418" i="2"/>
  <c r="CH418" i="2"/>
  <c r="CI418" i="2"/>
  <c r="CG419" i="2"/>
  <c r="CH419" i="2"/>
  <c r="CI419" i="2"/>
  <c r="CG420" i="2"/>
  <c r="CH420" i="2"/>
  <c r="CI420" i="2"/>
  <c r="CG421" i="2"/>
  <c r="CH421" i="2"/>
  <c r="CI421" i="2"/>
  <c r="CG422" i="2"/>
  <c r="CH422" i="2"/>
  <c r="CI422" i="2"/>
  <c r="CG423" i="2"/>
  <c r="CH423" i="2"/>
  <c r="CI423" i="2"/>
  <c r="CG424" i="2"/>
  <c r="CH424" i="2"/>
  <c r="CI424" i="2"/>
  <c r="CG425" i="2"/>
  <c r="CH425" i="2"/>
  <c r="CI425" i="2"/>
  <c r="CG426" i="2"/>
  <c r="CH426" i="2"/>
  <c r="CI426" i="2"/>
  <c r="CG427" i="2"/>
  <c r="CH427" i="2"/>
  <c r="CI427" i="2"/>
  <c r="CG428" i="2"/>
  <c r="CH428" i="2"/>
  <c r="CI428" i="2"/>
  <c r="CG429" i="2"/>
  <c r="CH429" i="2"/>
  <c r="CI429" i="2"/>
  <c r="CG430" i="2"/>
  <c r="CH430" i="2"/>
  <c r="CI430" i="2"/>
  <c r="CG431" i="2"/>
  <c r="CH431" i="2"/>
  <c r="CI431" i="2"/>
  <c r="CG432" i="2"/>
  <c r="CH432" i="2"/>
  <c r="CI432" i="2"/>
  <c r="CG433" i="2"/>
  <c r="CH433" i="2"/>
  <c r="CI433" i="2"/>
  <c r="CG434" i="2"/>
  <c r="CH434" i="2"/>
  <c r="CI434" i="2"/>
  <c r="CG435" i="2"/>
  <c r="CH435" i="2"/>
  <c r="CI435" i="2"/>
  <c r="CG436" i="2"/>
  <c r="CH436" i="2"/>
  <c r="CI436" i="2"/>
  <c r="CG437" i="2"/>
  <c r="CH437" i="2"/>
  <c r="CI437" i="2"/>
  <c r="CG438" i="2"/>
  <c r="CH438" i="2"/>
  <c r="CI438" i="2"/>
  <c r="CG439" i="2"/>
  <c r="CH439" i="2"/>
  <c r="CI439" i="2"/>
  <c r="CG440" i="2"/>
  <c r="CH440" i="2"/>
  <c r="CI440" i="2"/>
  <c r="CG441" i="2"/>
  <c r="CH441" i="2"/>
  <c r="CI441" i="2"/>
  <c r="CG442" i="2"/>
  <c r="CH442" i="2"/>
  <c r="CI442" i="2"/>
  <c r="CG443" i="2"/>
  <c r="CH443" i="2"/>
  <c r="CI443" i="2"/>
  <c r="CG444" i="2"/>
  <c r="CH444" i="2"/>
  <c r="CI444" i="2"/>
  <c r="CG445" i="2"/>
  <c r="CH445" i="2"/>
  <c r="CI445" i="2"/>
  <c r="CG446" i="2"/>
  <c r="CH446" i="2"/>
  <c r="CI446" i="2"/>
  <c r="CG447" i="2"/>
  <c r="CH447" i="2"/>
  <c r="CI447" i="2"/>
  <c r="CG448" i="2"/>
  <c r="CH448" i="2"/>
  <c r="CI448" i="2"/>
  <c r="CG449" i="2"/>
  <c r="CH449" i="2"/>
  <c r="CI449" i="2"/>
  <c r="CG450" i="2"/>
  <c r="CH450" i="2"/>
  <c r="CI450" i="2"/>
  <c r="CG451" i="2"/>
  <c r="CH451" i="2"/>
  <c r="CI451" i="2"/>
  <c r="CG452" i="2"/>
  <c r="CH452" i="2"/>
  <c r="CI452" i="2"/>
  <c r="CG453" i="2"/>
  <c r="CH453" i="2"/>
  <c r="CI453" i="2"/>
  <c r="CG454" i="2"/>
  <c r="CH454" i="2"/>
  <c r="CI454" i="2"/>
  <c r="CG455" i="2"/>
  <c r="CH455" i="2"/>
  <c r="CI455" i="2"/>
  <c r="CG457" i="2"/>
  <c r="CH457" i="2"/>
  <c r="CI457" i="2"/>
  <c r="CG458" i="2"/>
  <c r="CH458" i="2"/>
  <c r="CI458" i="2"/>
  <c r="CG459" i="2"/>
  <c r="CH459" i="2"/>
  <c r="CI459" i="2"/>
  <c r="CG460" i="2"/>
  <c r="CH460" i="2"/>
  <c r="CI460" i="2"/>
  <c r="CG461" i="2"/>
  <c r="CH461" i="2"/>
  <c r="CI461" i="2"/>
  <c r="CG462" i="2"/>
  <c r="CH462" i="2"/>
  <c r="CI462" i="2"/>
  <c r="CG463" i="2"/>
  <c r="CH463" i="2"/>
  <c r="CI463" i="2"/>
  <c r="CG464" i="2"/>
  <c r="CH464" i="2"/>
  <c r="CI464" i="2"/>
  <c r="CG465" i="2"/>
  <c r="CH465" i="2"/>
  <c r="CI465" i="2"/>
  <c r="CG466" i="2"/>
  <c r="CH466" i="2"/>
  <c r="CI466" i="2"/>
  <c r="CG467" i="2"/>
  <c r="CH467" i="2"/>
  <c r="CI467" i="2"/>
  <c r="CG468" i="2"/>
  <c r="CH468" i="2"/>
  <c r="CI468" i="2"/>
  <c r="CG469" i="2"/>
  <c r="CH469" i="2"/>
  <c r="CI469" i="2"/>
  <c r="CG470" i="2"/>
  <c r="CH470" i="2"/>
  <c r="CI470" i="2"/>
  <c r="CG471" i="2"/>
  <c r="CH471" i="2"/>
  <c r="CI471" i="2"/>
  <c r="CG472" i="2"/>
  <c r="CH472" i="2"/>
  <c r="CI472" i="2"/>
  <c r="CG473" i="2"/>
  <c r="CH473" i="2"/>
  <c r="CI473" i="2"/>
  <c r="CG474" i="2"/>
  <c r="CH474" i="2"/>
  <c r="CI474" i="2"/>
  <c r="CG475" i="2"/>
  <c r="CH475" i="2"/>
  <c r="CI475" i="2"/>
  <c r="CG476" i="2"/>
  <c r="CH476" i="2"/>
  <c r="CI476" i="2"/>
  <c r="CG477" i="2"/>
  <c r="CH477" i="2"/>
  <c r="CI477" i="2"/>
  <c r="CG478" i="2"/>
  <c r="CH478" i="2"/>
  <c r="CI478" i="2"/>
  <c r="CG479" i="2"/>
  <c r="CH479" i="2"/>
  <c r="CI479" i="2"/>
  <c r="CG480" i="2"/>
  <c r="CH480" i="2"/>
  <c r="CI480" i="2"/>
  <c r="CG481" i="2"/>
  <c r="CH481" i="2"/>
  <c r="CI481" i="2"/>
  <c r="CG482" i="2"/>
  <c r="CH482" i="2"/>
  <c r="CI482" i="2"/>
  <c r="CG483" i="2"/>
  <c r="CH483" i="2"/>
  <c r="CI483" i="2"/>
  <c r="CG484" i="2"/>
  <c r="CH484" i="2"/>
  <c r="CI484" i="2"/>
  <c r="CG485" i="2"/>
  <c r="CH485" i="2"/>
  <c r="CI485" i="2"/>
  <c r="CG486" i="2"/>
  <c r="CH486" i="2"/>
  <c r="CI486" i="2"/>
  <c r="CG487" i="2"/>
  <c r="CH487" i="2"/>
  <c r="CI487" i="2"/>
  <c r="CG488" i="2"/>
  <c r="CH488" i="2"/>
  <c r="CI488" i="2"/>
  <c r="CG489" i="2"/>
  <c r="CH489" i="2"/>
  <c r="CI489" i="2"/>
  <c r="CG490" i="2"/>
  <c r="CH490" i="2"/>
  <c r="CI490" i="2"/>
  <c r="CG491" i="2"/>
  <c r="CH491" i="2"/>
  <c r="CI491" i="2"/>
  <c r="CG492" i="2"/>
  <c r="CH492" i="2"/>
  <c r="CI492" i="2"/>
  <c r="CG493" i="2"/>
  <c r="CH493" i="2"/>
  <c r="CI493" i="2"/>
  <c r="CG494" i="2"/>
  <c r="CH494" i="2"/>
  <c r="CI494" i="2"/>
  <c r="CG495" i="2"/>
  <c r="CH495" i="2"/>
  <c r="CI495" i="2"/>
  <c r="CG496" i="2"/>
  <c r="CH496" i="2"/>
  <c r="CI496" i="2"/>
  <c r="CG497" i="2"/>
  <c r="CH497" i="2"/>
  <c r="CI497" i="2"/>
  <c r="CG498" i="2"/>
  <c r="CH498" i="2"/>
  <c r="CI498" i="2"/>
  <c r="CG499" i="2"/>
  <c r="CH499" i="2"/>
  <c r="CI499" i="2"/>
  <c r="CG500" i="2"/>
  <c r="CH500" i="2"/>
  <c r="CI500" i="2"/>
  <c r="CG501" i="2"/>
  <c r="CH501" i="2"/>
  <c r="CI501" i="2"/>
  <c r="CG502" i="2"/>
  <c r="CH502" i="2"/>
  <c r="CI502" i="2"/>
  <c r="CG503" i="2"/>
  <c r="CH503" i="2"/>
  <c r="CI503" i="2"/>
  <c r="CG504" i="2"/>
  <c r="CH504" i="2"/>
  <c r="CI504" i="2"/>
  <c r="CG505" i="2"/>
  <c r="CH505" i="2"/>
  <c r="CI505" i="2"/>
  <c r="CG506" i="2"/>
  <c r="CH506" i="2"/>
  <c r="CI506" i="2"/>
  <c r="CG507" i="2"/>
  <c r="CH507" i="2"/>
  <c r="CI507" i="2"/>
  <c r="CG508" i="2"/>
  <c r="CH508" i="2"/>
  <c r="CI508" i="2"/>
  <c r="CG509" i="2"/>
  <c r="CH509" i="2"/>
  <c r="CI509" i="2"/>
  <c r="CG510" i="2"/>
  <c r="CH510" i="2"/>
  <c r="CI510" i="2"/>
  <c r="CG511" i="2"/>
  <c r="CH511" i="2"/>
  <c r="CI511" i="2"/>
  <c r="CG512" i="2"/>
  <c r="CH512" i="2"/>
  <c r="CI512" i="2"/>
  <c r="CG513" i="2"/>
  <c r="CH513" i="2"/>
  <c r="CI513" i="2"/>
  <c r="CG514" i="2"/>
  <c r="CH514" i="2"/>
  <c r="CI514" i="2"/>
  <c r="CG515" i="2"/>
  <c r="CH515" i="2"/>
  <c r="CI515" i="2"/>
  <c r="CG516" i="2"/>
  <c r="CH516" i="2"/>
  <c r="CI516" i="2"/>
  <c r="CG517" i="2"/>
  <c r="CH517" i="2"/>
  <c r="CI517" i="2"/>
  <c r="CG518" i="2"/>
  <c r="CH518" i="2"/>
  <c r="CI518" i="2"/>
  <c r="CG519" i="2"/>
  <c r="CH519" i="2"/>
  <c r="CI519" i="2"/>
  <c r="CG520" i="2"/>
  <c r="CH520" i="2"/>
  <c r="CI520" i="2"/>
  <c r="CG521" i="2"/>
  <c r="CH521" i="2"/>
  <c r="CI521" i="2"/>
  <c r="CG522" i="2"/>
  <c r="CH522" i="2"/>
  <c r="CI522" i="2"/>
  <c r="CG523" i="2"/>
  <c r="CH523" i="2"/>
  <c r="CI523" i="2"/>
  <c r="CG524" i="2"/>
  <c r="CH524" i="2"/>
  <c r="CI524" i="2"/>
  <c r="CG525" i="2"/>
  <c r="CH525" i="2"/>
  <c r="CI525" i="2"/>
  <c r="CG526" i="2"/>
  <c r="CH526" i="2"/>
  <c r="CI526" i="2"/>
  <c r="CG527" i="2"/>
  <c r="CH527" i="2"/>
  <c r="CI527" i="2"/>
  <c r="CG528" i="2"/>
  <c r="CH528" i="2"/>
  <c r="CI528" i="2"/>
  <c r="CG529" i="2"/>
  <c r="CH529" i="2"/>
  <c r="CI529" i="2"/>
  <c r="CG530" i="2"/>
  <c r="CH530" i="2"/>
  <c r="CI530" i="2"/>
  <c r="CG531" i="2"/>
  <c r="CH531" i="2"/>
  <c r="CI531" i="2"/>
  <c r="CG532" i="2"/>
  <c r="CH532" i="2"/>
  <c r="CI532" i="2"/>
  <c r="CG533" i="2"/>
  <c r="CH533" i="2"/>
  <c r="CI533" i="2"/>
  <c r="CG534" i="2"/>
  <c r="CH534" i="2"/>
  <c r="CI534" i="2"/>
  <c r="CG535" i="2"/>
  <c r="CH535" i="2"/>
  <c r="CI535" i="2"/>
  <c r="CG536" i="2"/>
  <c r="CH536" i="2"/>
  <c r="CI536" i="2"/>
  <c r="CG537" i="2"/>
  <c r="CH537" i="2"/>
  <c r="CI537" i="2"/>
  <c r="CG538" i="2"/>
  <c r="CH538" i="2"/>
  <c r="CI538" i="2"/>
  <c r="CG539" i="2"/>
  <c r="CH539" i="2"/>
  <c r="CI539" i="2"/>
  <c r="CG540" i="2"/>
  <c r="CH540" i="2"/>
  <c r="CI540" i="2"/>
  <c r="CG541" i="2"/>
  <c r="CH541" i="2"/>
  <c r="CI541" i="2"/>
  <c r="CG542" i="2"/>
  <c r="CH542" i="2"/>
  <c r="CI542" i="2"/>
  <c r="CG543" i="2"/>
  <c r="CH543" i="2"/>
  <c r="CI543" i="2"/>
  <c r="CG544" i="2"/>
  <c r="CH544" i="2"/>
  <c r="CI544" i="2"/>
  <c r="CG545" i="2"/>
  <c r="CH545" i="2"/>
  <c r="CI545" i="2"/>
  <c r="CG546" i="2"/>
  <c r="CH546" i="2"/>
  <c r="CI546" i="2"/>
  <c r="CG547" i="2"/>
  <c r="CH547" i="2"/>
  <c r="CI547" i="2"/>
  <c r="CG548" i="2"/>
  <c r="CH548" i="2"/>
  <c r="CI548" i="2"/>
  <c r="CG549" i="2"/>
  <c r="CH549" i="2"/>
  <c r="CI549" i="2"/>
  <c r="CG550" i="2"/>
  <c r="CH550" i="2"/>
  <c r="CI550" i="2"/>
  <c r="CG551" i="2"/>
  <c r="CH551" i="2"/>
  <c r="CI551" i="2"/>
  <c r="CG552" i="2"/>
  <c r="CH552" i="2"/>
  <c r="CI552" i="2"/>
  <c r="CG553" i="2"/>
  <c r="CH553" i="2"/>
  <c r="CI553" i="2"/>
  <c r="CG554" i="2"/>
  <c r="CH554" i="2"/>
  <c r="CI554" i="2"/>
  <c r="CG555" i="2"/>
  <c r="CH555" i="2"/>
  <c r="CI555" i="2"/>
  <c r="CG556" i="2"/>
  <c r="CH556" i="2"/>
  <c r="CI556" i="2"/>
  <c r="CG557" i="2"/>
  <c r="CH557" i="2"/>
  <c r="CI557" i="2"/>
  <c r="CG558" i="2"/>
  <c r="CH558" i="2"/>
  <c r="CI558" i="2"/>
  <c r="CG559" i="2"/>
  <c r="CH559" i="2"/>
  <c r="CI559" i="2"/>
  <c r="CG560" i="2"/>
  <c r="CH560" i="2"/>
  <c r="CI560" i="2"/>
  <c r="CG561" i="2"/>
  <c r="CH561" i="2"/>
  <c r="CI561" i="2"/>
  <c r="CG562" i="2"/>
  <c r="CH562" i="2"/>
  <c r="CI562" i="2"/>
  <c r="CG563" i="2"/>
  <c r="CH563" i="2"/>
  <c r="CI563" i="2"/>
  <c r="CG564" i="2"/>
  <c r="CH564" i="2"/>
  <c r="CI564" i="2"/>
  <c r="CG565" i="2"/>
  <c r="CH565" i="2"/>
  <c r="CI565" i="2"/>
  <c r="CG566" i="2"/>
  <c r="CH566" i="2"/>
  <c r="CI566" i="2"/>
  <c r="CG567" i="2"/>
  <c r="CH567" i="2"/>
  <c r="CI567" i="2"/>
  <c r="CG568" i="2"/>
  <c r="CH568" i="2"/>
  <c r="CI568" i="2"/>
  <c r="CG569" i="2"/>
  <c r="CH569" i="2"/>
  <c r="CI569" i="2"/>
  <c r="CG570" i="2"/>
  <c r="CH570" i="2"/>
  <c r="CI570" i="2"/>
  <c r="CG571" i="2"/>
  <c r="CH571" i="2"/>
  <c r="CI571" i="2"/>
  <c r="CG572" i="2"/>
  <c r="CH572" i="2"/>
  <c r="CI572" i="2"/>
  <c r="CG573" i="2"/>
  <c r="CH573" i="2"/>
  <c r="CI573" i="2"/>
  <c r="CG574" i="2"/>
  <c r="CH574" i="2"/>
  <c r="CI574" i="2"/>
  <c r="CG575" i="2"/>
  <c r="CH575" i="2"/>
  <c r="CI575" i="2"/>
  <c r="CG576" i="2"/>
  <c r="CH576" i="2"/>
  <c r="CI576" i="2"/>
  <c r="CG577" i="2"/>
  <c r="CH577" i="2"/>
  <c r="CI577" i="2"/>
  <c r="CG578" i="2"/>
  <c r="CH578" i="2"/>
  <c r="CI578" i="2"/>
  <c r="CG579" i="2"/>
  <c r="CH579" i="2"/>
  <c r="CI579" i="2"/>
  <c r="CG580" i="2"/>
  <c r="CH580" i="2"/>
  <c r="CI580" i="2"/>
  <c r="CG581" i="2"/>
  <c r="CH581" i="2"/>
  <c r="CI581" i="2"/>
  <c r="CG582" i="2"/>
  <c r="CH582" i="2"/>
  <c r="CI582" i="2"/>
  <c r="CG583" i="2"/>
  <c r="CH583" i="2"/>
  <c r="CI583" i="2"/>
  <c r="CG584" i="2"/>
  <c r="CH584" i="2"/>
  <c r="CI584" i="2"/>
  <c r="CG585" i="2"/>
  <c r="CH585" i="2"/>
  <c r="CI585" i="2"/>
  <c r="CG586" i="2"/>
  <c r="CH586" i="2"/>
  <c r="CI586" i="2"/>
  <c r="CG587" i="2"/>
  <c r="CH587" i="2"/>
  <c r="CI587" i="2"/>
  <c r="CG588" i="2"/>
  <c r="CH588" i="2"/>
  <c r="CI588" i="2"/>
  <c r="CG589" i="2"/>
  <c r="CH589" i="2"/>
  <c r="CI589" i="2"/>
  <c r="CG590" i="2"/>
  <c r="CH590" i="2"/>
  <c r="CI590" i="2"/>
  <c r="CG591" i="2"/>
  <c r="CH591" i="2"/>
  <c r="CI591" i="2"/>
  <c r="CG592" i="2"/>
  <c r="CH592" i="2"/>
  <c r="CI592" i="2"/>
  <c r="CG593" i="2"/>
  <c r="CH593" i="2"/>
  <c r="CI593" i="2"/>
  <c r="CG594" i="2"/>
  <c r="CH594" i="2"/>
  <c r="CI594" i="2"/>
  <c r="CG595" i="2"/>
  <c r="CH595" i="2"/>
  <c r="CI595" i="2"/>
  <c r="CG596" i="2"/>
  <c r="CH596" i="2"/>
  <c r="CI596" i="2"/>
  <c r="CG597" i="2"/>
  <c r="CH597" i="2"/>
  <c r="CI597" i="2"/>
  <c r="CG598" i="2"/>
  <c r="CH598" i="2"/>
  <c r="CI598" i="2"/>
  <c r="CG599" i="2"/>
  <c r="CH599" i="2"/>
  <c r="CI599" i="2"/>
  <c r="CG600" i="2"/>
  <c r="CH600" i="2"/>
  <c r="CI600" i="2"/>
  <c r="CG601" i="2"/>
  <c r="CH601" i="2"/>
  <c r="CI601" i="2"/>
  <c r="CG602" i="2"/>
  <c r="CH602" i="2"/>
  <c r="CI602" i="2"/>
  <c r="CG603" i="2"/>
  <c r="CH603" i="2"/>
  <c r="CI603" i="2"/>
  <c r="CG604" i="2"/>
  <c r="CH604" i="2"/>
  <c r="CI604" i="2"/>
  <c r="CG605" i="2"/>
  <c r="CH605" i="2"/>
  <c r="CI605" i="2"/>
  <c r="CG606" i="2"/>
  <c r="CH606" i="2"/>
  <c r="CI606" i="2"/>
  <c r="CG607" i="2"/>
  <c r="CH607" i="2"/>
  <c r="CI607" i="2"/>
  <c r="CG608" i="2"/>
  <c r="CH608" i="2"/>
  <c r="CI608" i="2"/>
  <c r="CG609" i="2"/>
  <c r="CH609" i="2"/>
  <c r="CI609" i="2"/>
  <c r="CG610" i="2"/>
  <c r="CH610" i="2"/>
  <c r="CI610" i="2"/>
  <c r="CG611" i="2"/>
  <c r="CH611" i="2"/>
  <c r="CI611" i="2"/>
  <c r="CG612" i="2"/>
  <c r="CH612" i="2"/>
  <c r="CI612" i="2"/>
  <c r="CG613" i="2"/>
  <c r="CH613" i="2"/>
  <c r="CI613" i="2"/>
  <c r="CG614" i="2"/>
  <c r="CH614" i="2"/>
  <c r="CI614" i="2"/>
  <c r="CG615" i="2"/>
  <c r="CH615" i="2"/>
  <c r="CI615" i="2"/>
  <c r="CG616" i="2"/>
  <c r="CH616" i="2"/>
  <c r="CI616" i="2"/>
  <c r="CG617" i="2"/>
  <c r="CH617" i="2"/>
  <c r="CI617" i="2"/>
  <c r="CG618" i="2"/>
  <c r="CH618" i="2"/>
  <c r="CI618" i="2"/>
  <c r="CI11" i="2"/>
  <c r="CH11" i="2"/>
  <c r="CG11" i="2"/>
  <c r="CC12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C85" i="2"/>
  <c r="CC86" i="2"/>
  <c r="CC87" i="2"/>
  <c r="CC89" i="2"/>
  <c r="CC88" i="2"/>
  <c r="CC90" i="2"/>
  <c r="CC91" i="2"/>
  <c r="CC92" i="2"/>
  <c r="CC93" i="2"/>
  <c r="CC94" i="2"/>
  <c r="CC95" i="2"/>
  <c r="CC96" i="2"/>
  <c r="CC97" i="2"/>
  <c r="CC98" i="2"/>
  <c r="CC99" i="2"/>
  <c r="CC100" i="2"/>
  <c r="CC101" i="2"/>
  <c r="CC102" i="2"/>
  <c r="CC103" i="2"/>
  <c r="CC104" i="2"/>
  <c r="CC105" i="2"/>
  <c r="CC106" i="2"/>
  <c r="CC107" i="2"/>
  <c r="CC108" i="2"/>
  <c r="CC109" i="2"/>
  <c r="CC110" i="2"/>
  <c r="CC111" i="2"/>
  <c r="CC112" i="2"/>
  <c r="CC113" i="2"/>
  <c r="CC114" i="2"/>
  <c r="CC115" i="2"/>
  <c r="CC116" i="2"/>
  <c r="CC117" i="2"/>
  <c r="CC118" i="2"/>
  <c r="CC119" i="2"/>
  <c r="CC120" i="2"/>
  <c r="CC121" i="2"/>
  <c r="CC122" i="2"/>
  <c r="CC123" i="2"/>
  <c r="CC124" i="2"/>
  <c r="CC125" i="2"/>
  <c r="CC126" i="2"/>
  <c r="CC127" i="2"/>
  <c r="CC128" i="2"/>
  <c r="CC129" i="2"/>
  <c r="CC130" i="2"/>
  <c r="CC131" i="2"/>
  <c r="CC132" i="2"/>
  <c r="CC133" i="2"/>
  <c r="CC134" i="2"/>
  <c r="CC135" i="2"/>
  <c r="CC136" i="2"/>
  <c r="CC137" i="2"/>
  <c r="CC138" i="2"/>
  <c r="CC139" i="2"/>
  <c r="CC140" i="2"/>
  <c r="CC141" i="2"/>
  <c r="CC142" i="2"/>
  <c r="CC143" i="2"/>
  <c r="CC144" i="2"/>
  <c r="CC145" i="2"/>
  <c r="CC146" i="2"/>
  <c r="CC147" i="2"/>
  <c r="CC148" i="2"/>
  <c r="CC149" i="2"/>
  <c r="CC150" i="2"/>
  <c r="CC151" i="2"/>
  <c r="CC152" i="2"/>
  <c r="CC153" i="2"/>
  <c r="CC154" i="2"/>
  <c r="CC155" i="2"/>
  <c r="CC156" i="2"/>
  <c r="CC157" i="2"/>
  <c r="CC158" i="2"/>
  <c r="CC159" i="2"/>
  <c r="CC160" i="2"/>
  <c r="CC161" i="2"/>
  <c r="CC162" i="2"/>
  <c r="CC163" i="2"/>
  <c r="CC164" i="2"/>
  <c r="CC165" i="2"/>
  <c r="CC166" i="2"/>
  <c r="CC167" i="2"/>
  <c r="CC168" i="2"/>
  <c r="CC169" i="2"/>
  <c r="CC170" i="2"/>
  <c r="CC171" i="2"/>
  <c r="CC172" i="2"/>
  <c r="CC173" i="2"/>
  <c r="CC174" i="2"/>
  <c r="CC175" i="2"/>
  <c r="CC176" i="2"/>
  <c r="CC177" i="2"/>
  <c r="CC178" i="2"/>
  <c r="CC179" i="2"/>
  <c r="CC180" i="2"/>
  <c r="CC181" i="2"/>
  <c r="CC182" i="2"/>
  <c r="CC183" i="2"/>
  <c r="CC184" i="2"/>
  <c r="CC185" i="2"/>
  <c r="CC186" i="2"/>
  <c r="CC187" i="2"/>
  <c r="CC188" i="2"/>
  <c r="CC189" i="2"/>
  <c r="CC190" i="2"/>
  <c r="CC191" i="2"/>
  <c r="CC192" i="2"/>
  <c r="CC193" i="2"/>
  <c r="CC194" i="2"/>
  <c r="CC195" i="2"/>
  <c r="CC196" i="2"/>
  <c r="CC197" i="2"/>
  <c r="CC198" i="2"/>
  <c r="CC199" i="2"/>
  <c r="CC200" i="2"/>
  <c r="CC201" i="2"/>
  <c r="CC202" i="2"/>
  <c r="CC203" i="2"/>
  <c r="CC204" i="2"/>
  <c r="CC205" i="2"/>
  <c r="CC206" i="2"/>
  <c r="CC207" i="2"/>
  <c r="CC208" i="2"/>
  <c r="CC209" i="2"/>
  <c r="CC210" i="2"/>
  <c r="CC211" i="2"/>
  <c r="CC212" i="2"/>
  <c r="CC213" i="2"/>
  <c r="CC214" i="2"/>
  <c r="CC215" i="2"/>
  <c r="CC216" i="2"/>
  <c r="CC217" i="2"/>
  <c r="CC218" i="2"/>
  <c r="CC219" i="2"/>
  <c r="CC220" i="2"/>
  <c r="CC221" i="2"/>
  <c r="CC222" i="2"/>
  <c r="CC223" i="2"/>
  <c r="CC224" i="2"/>
  <c r="CC225" i="2"/>
  <c r="CC226" i="2"/>
  <c r="CC227" i="2"/>
  <c r="CC228" i="2"/>
  <c r="CC229" i="2"/>
  <c r="CC230" i="2"/>
  <c r="CC231" i="2"/>
  <c r="CC232" i="2"/>
  <c r="CC233" i="2"/>
  <c r="CC234" i="2"/>
  <c r="CC235" i="2"/>
  <c r="CC236" i="2"/>
  <c r="CC237" i="2"/>
  <c r="CC238" i="2"/>
  <c r="CC239" i="2"/>
  <c r="CC240" i="2"/>
  <c r="CC241" i="2"/>
  <c r="CC242" i="2"/>
  <c r="CC243" i="2"/>
  <c r="CC244" i="2"/>
  <c r="CC245" i="2"/>
  <c r="CC246" i="2"/>
  <c r="CC247" i="2"/>
  <c r="CC248" i="2"/>
  <c r="CC249" i="2"/>
  <c r="CC250" i="2"/>
  <c r="CC251" i="2"/>
  <c r="CC252" i="2"/>
  <c r="CC253" i="2"/>
  <c r="CC254" i="2"/>
  <c r="CC255" i="2"/>
  <c r="CC256" i="2"/>
  <c r="CC257" i="2"/>
  <c r="CC258" i="2"/>
  <c r="CC259" i="2"/>
  <c r="CC260" i="2"/>
  <c r="CC261" i="2"/>
  <c r="CC262" i="2"/>
  <c r="CC263" i="2"/>
  <c r="CC264" i="2"/>
  <c r="CC265" i="2"/>
  <c r="CC266" i="2"/>
  <c r="CC267" i="2"/>
  <c r="CC268" i="2"/>
  <c r="CC269" i="2"/>
  <c r="CC270" i="2"/>
  <c r="CC271" i="2"/>
  <c r="CC272" i="2"/>
  <c r="CC273" i="2"/>
  <c r="CC274" i="2"/>
  <c r="CC275" i="2"/>
  <c r="CC276" i="2"/>
  <c r="CC277" i="2"/>
  <c r="CC278" i="2"/>
  <c r="CC279" i="2"/>
  <c r="CC280" i="2"/>
  <c r="CC281" i="2"/>
  <c r="CC282" i="2"/>
  <c r="CC283" i="2"/>
  <c r="CC284" i="2"/>
  <c r="CC285" i="2"/>
  <c r="CC286" i="2"/>
  <c r="CC287" i="2"/>
  <c r="CC288" i="2"/>
  <c r="CC290" i="2"/>
  <c r="CC291" i="2"/>
  <c r="CC292" i="2"/>
  <c r="CC289" i="2"/>
  <c r="CC293" i="2"/>
  <c r="CC294" i="2"/>
  <c r="CC295" i="2"/>
  <c r="CC296" i="2"/>
  <c r="CC297" i="2"/>
  <c r="CC298" i="2"/>
  <c r="CC299" i="2"/>
  <c r="CC300" i="2"/>
  <c r="CC301" i="2"/>
  <c r="CC302" i="2"/>
  <c r="CC303" i="2"/>
  <c r="CC304" i="2"/>
  <c r="CC306" i="2"/>
  <c r="CC307" i="2"/>
  <c r="CC308" i="2"/>
  <c r="CC309" i="2"/>
  <c r="CC310" i="2"/>
  <c r="CC311" i="2"/>
  <c r="CC312" i="2"/>
  <c r="CC313" i="2"/>
  <c r="CC314" i="2"/>
  <c r="CC315" i="2"/>
  <c r="CC316" i="2"/>
  <c r="CC317" i="2"/>
  <c r="CC319" i="2"/>
  <c r="CC320" i="2"/>
  <c r="CC321" i="2"/>
  <c r="CC322" i="2"/>
  <c r="CC323" i="2"/>
  <c r="CC324" i="2"/>
  <c r="CC325" i="2"/>
  <c r="CC326" i="2"/>
  <c r="CC327" i="2"/>
  <c r="CC328" i="2"/>
  <c r="CC329" i="2"/>
  <c r="CC330" i="2"/>
  <c r="CC331" i="2"/>
  <c r="CC332" i="2"/>
  <c r="CC333" i="2"/>
  <c r="CC334" i="2"/>
  <c r="CC335" i="2"/>
  <c r="CC336" i="2"/>
  <c r="CC337" i="2"/>
  <c r="CC338" i="2"/>
  <c r="CC339" i="2"/>
  <c r="CC340" i="2"/>
  <c r="CC341" i="2"/>
  <c r="CC342" i="2"/>
  <c r="CC343" i="2"/>
  <c r="CC344" i="2"/>
  <c r="CC345" i="2"/>
  <c r="CC347" i="2"/>
  <c r="CC348" i="2"/>
  <c r="CC349" i="2"/>
  <c r="CC350" i="2"/>
  <c r="CC351" i="2"/>
  <c r="CC352" i="2"/>
  <c r="CC353" i="2"/>
  <c r="CC354" i="2"/>
  <c r="CC355" i="2"/>
  <c r="CC356" i="2"/>
  <c r="CC357" i="2"/>
  <c r="CC358" i="2"/>
  <c r="CC359" i="2"/>
  <c r="CC360" i="2"/>
  <c r="CC361" i="2"/>
  <c r="CC362" i="2"/>
  <c r="CC363" i="2"/>
  <c r="CC364" i="2"/>
  <c r="CC365" i="2"/>
  <c r="CC366" i="2"/>
  <c r="CC367" i="2"/>
  <c r="CC368" i="2"/>
  <c r="CC369" i="2"/>
  <c r="CC370" i="2"/>
  <c r="CC371" i="2"/>
  <c r="CC372" i="2"/>
  <c r="CC373" i="2"/>
  <c r="CC374" i="2"/>
  <c r="CC375" i="2"/>
  <c r="CC376" i="2"/>
  <c r="CC377" i="2"/>
  <c r="CC378" i="2"/>
  <c r="CC379" i="2"/>
  <c r="CC380" i="2"/>
  <c r="CC381" i="2"/>
  <c r="CC382" i="2"/>
  <c r="CC383" i="2"/>
  <c r="CC384" i="2"/>
  <c r="CC385" i="2"/>
  <c r="CC386" i="2"/>
  <c r="CC387" i="2"/>
  <c r="CC388" i="2"/>
  <c r="CC389" i="2"/>
  <c r="CC390" i="2"/>
  <c r="CC391" i="2"/>
  <c r="CC392" i="2"/>
  <c r="CC393" i="2"/>
  <c r="CC394" i="2"/>
  <c r="CC395" i="2"/>
  <c r="CC396" i="2"/>
  <c r="CC397" i="2"/>
  <c r="CC398" i="2"/>
  <c r="CC399" i="2"/>
  <c r="CC401" i="2"/>
  <c r="CC402" i="2"/>
  <c r="CC403" i="2"/>
  <c r="CC404" i="2"/>
  <c r="CC405" i="2"/>
  <c r="CC406" i="2"/>
  <c r="CC407" i="2"/>
  <c r="CC408" i="2"/>
  <c r="CC409" i="2"/>
  <c r="CC410" i="2"/>
  <c r="CC411" i="2"/>
  <c r="CC412" i="2"/>
  <c r="CC414" i="2"/>
  <c r="CC415" i="2"/>
  <c r="CC416" i="2"/>
  <c r="CC417" i="2"/>
  <c r="CC418" i="2"/>
  <c r="CC419" i="2"/>
  <c r="CC420" i="2"/>
  <c r="CC421" i="2"/>
  <c r="CC422" i="2"/>
  <c r="CC423" i="2"/>
  <c r="CC424" i="2"/>
  <c r="CC425" i="2"/>
  <c r="CC426" i="2"/>
  <c r="CC427" i="2"/>
  <c r="CC428" i="2"/>
  <c r="CC429" i="2"/>
  <c r="CC430" i="2"/>
  <c r="CC431" i="2"/>
  <c r="CC432" i="2"/>
  <c r="CC433" i="2"/>
  <c r="CC434" i="2"/>
  <c r="CC435" i="2"/>
  <c r="CC436" i="2"/>
  <c r="CC437" i="2"/>
  <c r="CC438" i="2"/>
  <c r="CC439" i="2"/>
  <c r="CC440" i="2"/>
  <c r="CC441" i="2"/>
  <c r="CC442" i="2"/>
  <c r="CC443" i="2"/>
  <c r="CC444" i="2"/>
  <c r="CC445" i="2"/>
  <c r="CC446" i="2"/>
  <c r="CC447" i="2"/>
  <c r="CC448" i="2"/>
  <c r="CC449" i="2"/>
  <c r="CC450" i="2"/>
  <c r="CC451" i="2"/>
  <c r="CC452" i="2"/>
  <c r="CC453" i="2"/>
  <c r="CC454" i="2"/>
  <c r="CC455" i="2"/>
  <c r="CC457" i="2"/>
  <c r="CC458" i="2"/>
  <c r="CC459" i="2"/>
  <c r="CC460" i="2"/>
  <c r="CC461" i="2"/>
  <c r="CC462" i="2"/>
  <c r="CC463" i="2"/>
  <c r="CC464" i="2"/>
  <c r="CC465" i="2"/>
  <c r="CC466" i="2"/>
  <c r="CC467" i="2"/>
  <c r="CC468" i="2"/>
  <c r="CC469" i="2"/>
  <c r="CC470" i="2"/>
  <c r="CC471" i="2"/>
  <c r="CC472" i="2"/>
  <c r="CC473" i="2"/>
  <c r="CC474" i="2"/>
  <c r="CC475" i="2"/>
  <c r="CC476" i="2"/>
  <c r="CC477" i="2"/>
  <c r="CC478" i="2"/>
  <c r="CC479" i="2"/>
  <c r="CC480" i="2"/>
  <c r="CC481" i="2"/>
  <c r="CC482" i="2"/>
  <c r="CC483" i="2"/>
  <c r="CC484" i="2"/>
  <c r="CC485" i="2"/>
  <c r="CC486" i="2"/>
  <c r="CC487" i="2"/>
  <c r="CC488" i="2"/>
  <c r="CC489" i="2"/>
  <c r="CC490" i="2"/>
  <c r="CC491" i="2"/>
  <c r="CC492" i="2"/>
  <c r="CC493" i="2"/>
  <c r="CC494" i="2"/>
  <c r="CC495" i="2"/>
  <c r="CC496" i="2"/>
  <c r="CC497" i="2"/>
  <c r="CC498" i="2"/>
  <c r="CC499" i="2"/>
  <c r="CC500" i="2"/>
  <c r="CC501" i="2"/>
  <c r="CC502" i="2"/>
  <c r="CC503" i="2"/>
  <c r="CC504" i="2"/>
  <c r="CC505" i="2"/>
  <c r="CC506" i="2"/>
  <c r="CC507" i="2"/>
  <c r="CC508" i="2"/>
  <c r="CC509" i="2"/>
  <c r="CC510" i="2"/>
  <c r="CC511" i="2"/>
  <c r="CC512" i="2"/>
  <c r="CC513" i="2"/>
  <c r="CC514" i="2"/>
  <c r="CC515" i="2"/>
  <c r="CC516" i="2"/>
  <c r="CC517" i="2"/>
  <c r="CC518" i="2"/>
  <c r="CC519" i="2"/>
  <c r="CC520" i="2"/>
  <c r="CC521" i="2"/>
  <c r="CC522" i="2"/>
  <c r="CC523" i="2"/>
  <c r="CC524" i="2"/>
  <c r="CC525" i="2"/>
  <c r="CC526" i="2"/>
  <c r="CC527" i="2"/>
  <c r="CC528" i="2"/>
  <c r="CC529" i="2"/>
  <c r="CC530" i="2"/>
  <c r="CC531" i="2"/>
  <c r="CC532" i="2"/>
  <c r="CC533" i="2"/>
  <c r="CC534" i="2"/>
  <c r="CC535" i="2"/>
  <c r="CC536" i="2"/>
  <c r="CC537" i="2"/>
  <c r="CC538" i="2"/>
  <c r="CC539" i="2"/>
  <c r="CC540" i="2"/>
  <c r="CC541" i="2"/>
  <c r="CC542" i="2"/>
  <c r="CC543" i="2"/>
  <c r="CC544" i="2"/>
  <c r="CC545" i="2"/>
  <c r="CC546" i="2"/>
  <c r="CC547" i="2"/>
  <c r="CC548" i="2"/>
  <c r="CC549" i="2"/>
  <c r="CC550" i="2"/>
  <c r="CC551" i="2"/>
  <c r="CC552" i="2"/>
  <c r="CC553" i="2"/>
  <c r="CC554" i="2"/>
  <c r="CC555" i="2"/>
  <c r="CC556" i="2"/>
  <c r="CC557" i="2"/>
  <c r="CC558" i="2"/>
  <c r="CC559" i="2"/>
  <c r="CC560" i="2"/>
  <c r="CC561" i="2"/>
  <c r="CC562" i="2"/>
  <c r="CC563" i="2"/>
  <c r="CC564" i="2"/>
  <c r="CC565" i="2"/>
  <c r="CC566" i="2"/>
  <c r="CC567" i="2"/>
  <c r="CC568" i="2"/>
  <c r="CC569" i="2"/>
  <c r="CC570" i="2"/>
  <c r="CC571" i="2"/>
  <c r="CC572" i="2"/>
  <c r="CC573" i="2"/>
  <c r="CC574" i="2"/>
  <c r="CC575" i="2"/>
  <c r="CC576" i="2"/>
  <c r="CC577" i="2"/>
  <c r="CC578" i="2"/>
  <c r="CC579" i="2"/>
  <c r="CC580" i="2"/>
  <c r="CC581" i="2"/>
  <c r="CC582" i="2"/>
  <c r="CC583" i="2"/>
  <c r="CC584" i="2"/>
  <c r="CC585" i="2"/>
  <c r="CC586" i="2"/>
  <c r="CC587" i="2"/>
  <c r="CC588" i="2"/>
  <c r="CC589" i="2"/>
  <c r="CC590" i="2"/>
  <c r="CC591" i="2"/>
  <c r="CC592" i="2"/>
  <c r="CC593" i="2"/>
  <c r="CC594" i="2"/>
  <c r="CC595" i="2"/>
  <c r="CC596" i="2"/>
  <c r="CC597" i="2"/>
  <c r="CC598" i="2"/>
  <c r="CC599" i="2"/>
  <c r="CC600" i="2"/>
  <c r="CC601" i="2"/>
  <c r="CC602" i="2"/>
  <c r="CC603" i="2"/>
  <c r="CC604" i="2"/>
  <c r="CC605" i="2"/>
  <c r="CC606" i="2"/>
  <c r="CC607" i="2"/>
  <c r="CC608" i="2"/>
  <c r="CC609" i="2"/>
  <c r="CC610" i="2"/>
  <c r="CC611" i="2"/>
  <c r="CC612" i="2"/>
  <c r="CC613" i="2"/>
  <c r="CC614" i="2"/>
  <c r="CC615" i="2"/>
  <c r="CC616" i="2"/>
  <c r="CC617" i="2"/>
  <c r="CC618" i="2"/>
  <c r="CC11" i="2"/>
  <c r="AT12" i="1"/>
  <c r="AU12" i="1"/>
  <c r="AT13" i="1"/>
  <c r="AU13" i="1"/>
  <c r="AT14" i="1"/>
  <c r="AU14" i="1"/>
  <c r="AT15" i="1"/>
  <c r="AU15" i="1"/>
  <c r="AT16" i="1"/>
  <c r="AU16" i="1"/>
  <c r="AT17" i="1"/>
  <c r="AU17" i="1"/>
  <c r="AT18" i="1"/>
  <c r="AU18" i="1"/>
  <c r="AT19" i="1"/>
  <c r="AU19" i="1"/>
  <c r="AT20" i="1"/>
  <c r="AU20" i="1"/>
  <c r="AT21" i="1"/>
  <c r="AU21" i="1"/>
  <c r="AT22" i="1"/>
  <c r="AU22" i="1"/>
  <c r="AT23" i="1"/>
  <c r="AU23" i="1"/>
  <c r="AT24" i="1"/>
  <c r="AU24" i="1"/>
  <c r="AT25" i="1"/>
  <c r="AU25" i="1"/>
  <c r="AT26" i="1"/>
  <c r="AU26" i="1"/>
  <c r="AT27" i="1"/>
  <c r="AU27" i="1"/>
  <c r="AT28" i="1"/>
  <c r="AU28" i="1"/>
  <c r="AT29" i="1"/>
  <c r="AU29" i="1"/>
  <c r="AT30" i="1"/>
  <c r="AU30" i="1"/>
  <c r="AT31" i="1"/>
  <c r="AU31" i="1"/>
  <c r="AT32" i="1"/>
  <c r="AU32" i="1"/>
  <c r="AT33" i="1"/>
  <c r="AU33" i="1"/>
  <c r="AT34" i="1"/>
  <c r="AU34" i="1"/>
  <c r="AT35" i="1"/>
  <c r="AU35" i="1"/>
  <c r="AT36" i="1"/>
  <c r="AU36" i="1"/>
  <c r="AT37" i="1"/>
  <c r="AU37" i="1"/>
  <c r="AT38" i="1"/>
  <c r="AU38" i="1"/>
  <c r="AT39" i="1"/>
  <c r="AU39" i="1"/>
  <c r="AT40" i="1"/>
  <c r="AU40" i="1"/>
  <c r="AT41" i="1"/>
  <c r="AU41" i="1"/>
  <c r="AT42" i="1"/>
  <c r="AU42" i="1"/>
  <c r="AT43" i="1"/>
  <c r="AU43" i="1"/>
  <c r="AT44" i="1"/>
  <c r="AU44" i="1"/>
  <c r="AT45" i="1"/>
  <c r="AU45" i="1"/>
  <c r="AT46" i="1"/>
  <c r="AU46" i="1"/>
  <c r="AT47" i="1"/>
  <c r="AU47" i="1"/>
  <c r="AT48" i="1"/>
  <c r="AU48" i="1"/>
  <c r="AT49" i="1"/>
  <c r="AU49" i="1"/>
  <c r="AT50" i="1"/>
  <c r="AU50" i="1"/>
  <c r="AT51" i="1"/>
  <c r="AU51" i="1"/>
  <c r="AT52" i="1"/>
  <c r="AU52" i="1"/>
  <c r="AT53" i="1"/>
  <c r="AU53" i="1"/>
  <c r="AT54" i="1"/>
  <c r="AU54" i="1"/>
  <c r="AT55" i="1"/>
  <c r="AU55" i="1"/>
  <c r="AT56" i="1"/>
  <c r="AU56" i="1"/>
  <c r="AT57" i="1"/>
  <c r="AU57" i="1"/>
  <c r="AT58" i="1"/>
  <c r="AU58" i="1"/>
  <c r="AT59" i="1"/>
  <c r="AU59" i="1"/>
  <c r="AT60" i="1"/>
  <c r="AU60" i="1"/>
  <c r="AT61" i="1"/>
  <c r="AU61" i="1"/>
  <c r="AT62" i="1"/>
  <c r="AU62" i="1"/>
  <c r="AT63" i="1"/>
  <c r="AU63" i="1"/>
  <c r="AT64" i="1"/>
  <c r="AU64" i="1"/>
  <c r="AT65" i="1"/>
  <c r="AU65" i="1"/>
  <c r="AT66" i="1"/>
  <c r="AU66" i="1"/>
  <c r="AT67" i="1"/>
  <c r="AU67" i="1"/>
  <c r="AT68" i="1"/>
  <c r="AU68" i="1"/>
  <c r="AT69" i="1"/>
  <c r="AU69" i="1"/>
  <c r="AT70" i="1"/>
  <c r="AU70" i="1"/>
  <c r="AT71" i="1"/>
  <c r="AU71" i="1"/>
  <c r="AT72" i="1"/>
  <c r="AU72" i="1"/>
  <c r="AT73" i="1"/>
  <c r="AU73" i="1"/>
  <c r="AT74" i="1"/>
  <c r="AU74" i="1"/>
  <c r="AT75" i="1"/>
  <c r="AU75" i="1"/>
  <c r="AT76" i="1"/>
  <c r="AU76" i="1"/>
  <c r="AT77" i="1"/>
  <c r="AU77" i="1"/>
  <c r="AT78" i="1"/>
  <c r="AU78" i="1"/>
  <c r="AT79" i="1"/>
  <c r="AU79" i="1"/>
  <c r="AT80" i="1"/>
  <c r="AU80" i="1"/>
  <c r="AT81" i="1"/>
  <c r="AU81" i="1"/>
  <c r="AT82" i="1"/>
  <c r="AU82" i="1"/>
  <c r="AT83" i="1"/>
  <c r="AU83" i="1"/>
  <c r="AT84" i="1"/>
  <c r="AU84" i="1"/>
  <c r="AT85" i="1"/>
  <c r="AU85" i="1"/>
  <c r="AT86" i="1"/>
  <c r="AU86" i="1"/>
  <c r="AT87" i="1"/>
  <c r="AU87" i="1"/>
  <c r="AT89" i="1"/>
  <c r="AU89" i="1"/>
  <c r="AT88" i="1"/>
  <c r="AU88" i="1"/>
  <c r="AT90" i="1"/>
  <c r="AU90" i="1"/>
  <c r="AT91" i="1"/>
  <c r="AU91" i="1"/>
  <c r="AT92" i="1"/>
  <c r="AU92" i="1"/>
  <c r="AT93" i="1"/>
  <c r="AU93" i="1"/>
  <c r="AT94" i="1"/>
  <c r="AU94" i="1"/>
  <c r="AT95" i="1"/>
  <c r="AU95" i="1"/>
  <c r="AT96" i="1"/>
  <c r="AU96" i="1"/>
  <c r="AT97" i="1"/>
  <c r="AU97" i="1"/>
  <c r="AT98" i="1"/>
  <c r="AU98" i="1"/>
  <c r="AT99" i="1"/>
  <c r="AU99" i="1"/>
  <c r="AT100" i="1"/>
  <c r="AU100" i="1"/>
  <c r="AT101" i="1"/>
  <c r="AU101" i="1"/>
  <c r="AT102" i="1"/>
  <c r="AU102" i="1"/>
  <c r="AT103" i="1"/>
  <c r="AU103" i="1"/>
  <c r="AT104" i="1"/>
  <c r="AU104" i="1"/>
  <c r="AT105" i="1"/>
  <c r="AU105" i="1"/>
  <c r="AT106" i="1"/>
  <c r="AU106" i="1"/>
  <c r="AT107" i="1"/>
  <c r="AU107" i="1"/>
  <c r="AT108" i="1"/>
  <c r="AU108" i="1"/>
  <c r="AT109" i="1"/>
  <c r="AU109" i="1"/>
  <c r="AT110" i="1"/>
  <c r="AU110" i="1"/>
  <c r="AT111" i="1"/>
  <c r="AU111" i="1"/>
  <c r="AT112" i="1"/>
  <c r="AU112" i="1"/>
  <c r="AT113" i="1"/>
  <c r="AU113" i="1"/>
  <c r="AT114" i="1"/>
  <c r="AU114" i="1"/>
  <c r="AT115" i="1"/>
  <c r="AU115" i="1"/>
  <c r="AT116" i="1"/>
  <c r="AU116" i="1"/>
  <c r="AT117" i="1"/>
  <c r="AU117" i="1"/>
  <c r="AT118" i="1"/>
  <c r="AU118" i="1"/>
  <c r="AT119" i="1"/>
  <c r="AU119" i="1"/>
  <c r="AT120" i="1"/>
  <c r="AU120" i="1"/>
  <c r="AT121" i="1"/>
  <c r="AU121" i="1"/>
  <c r="AT122" i="1"/>
  <c r="AU122" i="1"/>
  <c r="AT123" i="1"/>
  <c r="AU123" i="1"/>
  <c r="AT124" i="1"/>
  <c r="AU124" i="1"/>
  <c r="AT125" i="1"/>
  <c r="AU125" i="1"/>
  <c r="AT126" i="1"/>
  <c r="AU126" i="1"/>
  <c r="AT127" i="1"/>
  <c r="AU127" i="1"/>
  <c r="AT128" i="1"/>
  <c r="AU128" i="1"/>
  <c r="AT129" i="1"/>
  <c r="AU129" i="1"/>
  <c r="AT130" i="1"/>
  <c r="AU130" i="1"/>
  <c r="AT131" i="1"/>
  <c r="AU131" i="1"/>
  <c r="AT132" i="1"/>
  <c r="AU132" i="1"/>
  <c r="AT133" i="1"/>
  <c r="AU133" i="1"/>
  <c r="AT134" i="1"/>
  <c r="AU134" i="1"/>
  <c r="AT135" i="1"/>
  <c r="AU135" i="1"/>
  <c r="AT136" i="1"/>
  <c r="AU136" i="1"/>
  <c r="AT137" i="1"/>
  <c r="AU137" i="1"/>
  <c r="AT138" i="1"/>
  <c r="AU138" i="1"/>
  <c r="AT139" i="1"/>
  <c r="AU139" i="1"/>
  <c r="AT140" i="1"/>
  <c r="AU140" i="1"/>
  <c r="AT141" i="1"/>
  <c r="AU141" i="1"/>
  <c r="AT142" i="1"/>
  <c r="AU142" i="1"/>
  <c r="AT143" i="1"/>
  <c r="AU143" i="1"/>
  <c r="AT144" i="1"/>
  <c r="AU144" i="1"/>
  <c r="AT145" i="1"/>
  <c r="AU145" i="1"/>
  <c r="AT146" i="1"/>
  <c r="AU146" i="1"/>
  <c r="AT147" i="1"/>
  <c r="AU147" i="1"/>
  <c r="AT148" i="1"/>
  <c r="AU148" i="1"/>
  <c r="AT149" i="1"/>
  <c r="AU149" i="1"/>
  <c r="AT150" i="1"/>
  <c r="AU150" i="1"/>
  <c r="AT151" i="1"/>
  <c r="AU151" i="1"/>
  <c r="AT152" i="1"/>
  <c r="AU152" i="1"/>
  <c r="AT153" i="1"/>
  <c r="AU153" i="1"/>
  <c r="AT154" i="1"/>
  <c r="AU154" i="1"/>
  <c r="AT155" i="1"/>
  <c r="AU155" i="1"/>
  <c r="AT156" i="1"/>
  <c r="AU156" i="1"/>
  <c r="AT157" i="1"/>
  <c r="AU157" i="1"/>
  <c r="AT158" i="1"/>
  <c r="AU158" i="1"/>
  <c r="AT159" i="1"/>
  <c r="AU159" i="1"/>
  <c r="AT160" i="1"/>
  <c r="AU160" i="1"/>
  <c r="AT161" i="1"/>
  <c r="AU161" i="1"/>
  <c r="AT162" i="1"/>
  <c r="AU162" i="1"/>
  <c r="AT163" i="1"/>
  <c r="AU163" i="1"/>
  <c r="AT164" i="1"/>
  <c r="AU164" i="1"/>
  <c r="AT165" i="1"/>
  <c r="AU165" i="1"/>
  <c r="AT166" i="1"/>
  <c r="AU166" i="1"/>
  <c r="AT167" i="1"/>
  <c r="AU167" i="1"/>
  <c r="AT168" i="1"/>
  <c r="AU168" i="1"/>
  <c r="AT169" i="1"/>
  <c r="AU169" i="1"/>
  <c r="AT170" i="1"/>
  <c r="AU170" i="1"/>
  <c r="AT171" i="1"/>
  <c r="AU171" i="1"/>
  <c r="AT172" i="1"/>
  <c r="AU172" i="1"/>
  <c r="AT173" i="1"/>
  <c r="AU173" i="1"/>
  <c r="AT174" i="1"/>
  <c r="AU174" i="1"/>
  <c r="AT175" i="1"/>
  <c r="AU175" i="1"/>
  <c r="AT176" i="1"/>
  <c r="AU176" i="1"/>
  <c r="AT177" i="1"/>
  <c r="AU177" i="1"/>
  <c r="AT178" i="1"/>
  <c r="AU178" i="1"/>
  <c r="AT179" i="1"/>
  <c r="AU179" i="1"/>
  <c r="AT180" i="1"/>
  <c r="AU180" i="1"/>
  <c r="AT181" i="1"/>
  <c r="AU181" i="1"/>
  <c r="AT182" i="1"/>
  <c r="AU182" i="1"/>
  <c r="AT183" i="1"/>
  <c r="AU183" i="1"/>
  <c r="AT184" i="1"/>
  <c r="AU184" i="1"/>
  <c r="AT185" i="1"/>
  <c r="AU185" i="1"/>
  <c r="AT186" i="1"/>
  <c r="AU186" i="1"/>
  <c r="AT187" i="1"/>
  <c r="AU187" i="1"/>
  <c r="AT188" i="1"/>
  <c r="AU188" i="1"/>
  <c r="AT189" i="1"/>
  <c r="AU189" i="1"/>
  <c r="AT190" i="1"/>
  <c r="AU190" i="1"/>
  <c r="AT191" i="1"/>
  <c r="AU191" i="1"/>
  <c r="AT192" i="1"/>
  <c r="AU192" i="1"/>
  <c r="AT193" i="1"/>
  <c r="AU193" i="1"/>
  <c r="AT194" i="1"/>
  <c r="AU194" i="1"/>
  <c r="AT195" i="1"/>
  <c r="AU195" i="1"/>
  <c r="AT196" i="1"/>
  <c r="AU196" i="1"/>
  <c r="AT197" i="1"/>
  <c r="AU197" i="1"/>
  <c r="AT198" i="1"/>
  <c r="AU198" i="1"/>
  <c r="AT199" i="1"/>
  <c r="AU199" i="1"/>
  <c r="AT200" i="1"/>
  <c r="AU200" i="1"/>
  <c r="AT201" i="1"/>
  <c r="AU201" i="1"/>
  <c r="AT202" i="1"/>
  <c r="AU202" i="1"/>
  <c r="AT203" i="1"/>
  <c r="AU203" i="1"/>
  <c r="AT204" i="1"/>
  <c r="AU204" i="1"/>
  <c r="AT205" i="1"/>
  <c r="AU205" i="1"/>
  <c r="AT206" i="1"/>
  <c r="AU206" i="1"/>
  <c r="AT207" i="1"/>
  <c r="AU207" i="1"/>
  <c r="AT208" i="1"/>
  <c r="AU208" i="1"/>
  <c r="AT209" i="1"/>
  <c r="AU209" i="1"/>
  <c r="AT210" i="1"/>
  <c r="AU210" i="1"/>
  <c r="AT211" i="1"/>
  <c r="AU211" i="1"/>
  <c r="AT212" i="1"/>
  <c r="AU212" i="1"/>
  <c r="AT213" i="1"/>
  <c r="AU213" i="1"/>
  <c r="AT214" i="1"/>
  <c r="AU214" i="1"/>
  <c r="AT215" i="1"/>
  <c r="AU215" i="1"/>
  <c r="AT216" i="1"/>
  <c r="AU216" i="1"/>
  <c r="AT217" i="1"/>
  <c r="AU217" i="1"/>
  <c r="AT218" i="1"/>
  <c r="AU218" i="1"/>
  <c r="AT219" i="1"/>
  <c r="AU219" i="1"/>
  <c r="AT220" i="1"/>
  <c r="AU220" i="1"/>
  <c r="AT221" i="1"/>
  <c r="AU221" i="1"/>
  <c r="AT222" i="1"/>
  <c r="AU222" i="1"/>
  <c r="AT223" i="1"/>
  <c r="AU223" i="1"/>
  <c r="AT224" i="1"/>
  <c r="AU224" i="1"/>
  <c r="AT225" i="1"/>
  <c r="AU225" i="1"/>
  <c r="AT226" i="1"/>
  <c r="AU226" i="1"/>
  <c r="AT227" i="1"/>
  <c r="AU227" i="1"/>
  <c r="AT228" i="1"/>
  <c r="AU228" i="1"/>
  <c r="AT229" i="1"/>
  <c r="AU229" i="1"/>
  <c r="AT230" i="1"/>
  <c r="AU230" i="1"/>
  <c r="AT231" i="1"/>
  <c r="AU231" i="1"/>
  <c r="AT232" i="1"/>
  <c r="AU232" i="1"/>
  <c r="AT233" i="1"/>
  <c r="AU233" i="1"/>
  <c r="AT234" i="1"/>
  <c r="AU234" i="1"/>
  <c r="AT235" i="1"/>
  <c r="AU235" i="1"/>
  <c r="AT236" i="1"/>
  <c r="AU236" i="1"/>
  <c r="AT237" i="1"/>
  <c r="AU237" i="1"/>
  <c r="AT238" i="1"/>
  <c r="AU238" i="1"/>
  <c r="AT239" i="1"/>
  <c r="AU239" i="1"/>
  <c r="AT240" i="1"/>
  <c r="AU240" i="1"/>
  <c r="AT241" i="1"/>
  <c r="AU241" i="1"/>
  <c r="AT242" i="1"/>
  <c r="AU242" i="1"/>
  <c r="AT243" i="1"/>
  <c r="AU243" i="1"/>
  <c r="AT244" i="1"/>
  <c r="AU244" i="1"/>
  <c r="AT245" i="1"/>
  <c r="AU245" i="1"/>
  <c r="AT246" i="1"/>
  <c r="AU246" i="1"/>
  <c r="AT247" i="1"/>
  <c r="AU247" i="1"/>
  <c r="AT248" i="1"/>
  <c r="AU248" i="1"/>
  <c r="AT249" i="1"/>
  <c r="AU249" i="1"/>
  <c r="AT250" i="1"/>
  <c r="AU250" i="1"/>
  <c r="AT251" i="1"/>
  <c r="AU251" i="1"/>
  <c r="AT252" i="1"/>
  <c r="AU252" i="1"/>
  <c r="AT253" i="1"/>
  <c r="AU253" i="1"/>
  <c r="AT254" i="1"/>
  <c r="AU254" i="1"/>
  <c r="AT255" i="1"/>
  <c r="AU255" i="1"/>
  <c r="AT256" i="1"/>
  <c r="AU256" i="1"/>
  <c r="AT257" i="1"/>
  <c r="AU257" i="1"/>
  <c r="AT258" i="1"/>
  <c r="AU258" i="1"/>
  <c r="AT259" i="1"/>
  <c r="AU259" i="1"/>
  <c r="AT260" i="1"/>
  <c r="AU260" i="1"/>
  <c r="AT261" i="1"/>
  <c r="AU261" i="1"/>
  <c r="AT262" i="1"/>
  <c r="AU262" i="1"/>
  <c r="AT263" i="1"/>
  <c r="AU263" i="1"/>
  <c r="AT264" i="1"/>
  <c r="AU264" i="1"/>
  <c r="AT265" i="1"/>
  <c r="AU265" i="1"/>
  <c r="AT266" i="1"/>
  <c r="AU266" i="1"/>
  <c r="AT267" i="1"/>
  <c r="AU267" i="1"/>
  <c r="AT268" i="1"/>
  <c r="AU268" i="1"/>
  <c r="AT269" i="1"/>
  <c r="AU269" i="1"/>
  <c r="AT270" i="1"/>
  <c r="AU270" i="1"/>
  <c r="AT271" i="1"/>
  <c r="AU271" i="1"/>
  <c r="AT272" i="1"/>
  <c r="AU272" i="1"/>
  <c r="AT273" i="1"/>
  <c r="AU273" i="1"/>
  <c r="AT274" i="1"/>
  <c r="AU274" i="1"/>
  <c r="AT275" i="1"/>
  <c r="AU275" i="1"/>
  <c r="AT276" i="1"/>
  <c r="AU276" i="1"/>
  <c r="AT277" i="1"/>
  <c r="AU277" i="1"/>
  <c r="AT278" i="1"/>
  <c r="AU278" i="1"/>
  <c r="AT279" i="1"/>
  <c r="AU279" i="1"/>
  <c r="AT280" i="1"/>
  <c r="AU280" i="1"/>
  <c r="AT281" i="1"/>
  <c r="AU281" i="1"/>
  <c r="AT282" i="1"/>
  <c r="AU282" i="1"/>
  <c r="AT283" i="1"/>
  <c r="AU283" i="1"/>
  <c r="AT284" i="1"/>
  <c r="AU284" i="1"/>
  <c r="AT285" i="1"/>
  <c r="AU285" i="1"/>
  <c r="AT286" i="1"/>
  <c r="AU286" i="1"/>
  <c r="AT287" i="1"/>
  <c r="AU287" i="1"/>
  <c r="AT288" i="1"/>
  <c r="AU288" i="1"/>
  <c r="AT290" i="1"/>
  <c r="AU290" i="1"/>
  <c r="AT291" i="1"/>
  <c r="AU291" i="1"/>
  <c r="AT292" i="1"/>
  <c r="AU292" i="1"/>
  <c r="AT289" i="1"/>
  <c r="AU289" i="1"/>
  <c r="AT293" i="1"/>
  <c r="AU293" i="1"/>
  <c r="AT294" i="1"/>
  <c r="AU294" i="1"/>
  <c r="AT295" i="1"/>
  <c r="AU295" i="1"/>
  <c r="AT296" i="1"/>
  <c r="AU296" i="1"/>
  <c r="AT297" i="1"/>
  <c r="AU297" i="1"/>
  <c r="AT298" i="1"/>
  <c r="AU298" i="1"/>
  <c r="AT299" i="1"/>
  <c r="AU299" i="1"/>
  <c r="AT300" i="1"/>
  <c r="AU300" i="1"/>
  <c r="AT301" i="1"/>
  <c r="AU301" i="1"/>
  <c r="AT302" i="1"/>
  <c r="AU302" i="1"/>
  <c r="AT303" i="1"/>
  <c r="AU303" i="1"/>
  <c r="AT304" i="1"/>
  <c r="AU304" i="1"/>
  <c r="AT305" i="1"/>
  <c r="AU305" i="1"/>
  <c r="AT306" i="1"/>
  <c r="AU306" i="1"/>
  <c r="AT307" i="1"/>
  <c r="AU307" i="1"/>
  <c r="AT308" i="1"/>
  <c r="AU308" i="1"/>
  <c r="AT309" i="1"/>
  <c r="AU309" i="1"/>
  <c r="AT310" i="1"/>
  <c r="AU310" i="1"/>
  <c r="AT311" i="1"/>
  <c r="AU311" i="1"/>
  <c r="AT312" i="1"/>
  <c r="AU312" i="1"/>
  <c r="AT313" i="1"/>
  <c r="AU313" i="1"/>
  <c r="AT314" i="1"/>
  <c r="AU314" i="1"/>
  <c r="AT315" i="1"/>
  <c r="AU315" i="1"/>
  <c r="AT316" i="1"/>
  <c r="AU316" i="1"/>
  <c r="AT317" i="1"/>
  <c r="AU317" i="1"/>
  <c r="AT319" i="1"/>
  <c r="AU319" i="1"/>
  <c r="AT320" i="1"/>
  <c r="AU320" i="1"/>
  <c r="AT321" i="1"/>
  <c r="AU321" i="1"/>
  <c r="AT322" i="1"/>
  <c r="AU322" i="1"/>
  <c r="AT323" i="1"/>
  <c r="AU323" i="1"/>
  <c r="AT324" i="1"/>
  <c r="AU324" i="1"/>
  <c r="AT325" i="1"/>
  <c r="AU325" i="1"/>
  <c r="AT326" i="1"/>
  <c r="AU326" i="1"/>
  <c r="AT327" i="1"/>
  <c r="AU327" i="1"/>
  <c r="AT328" i="1"/>
  <c r="AU328" i="1"/>
  <c r="AT329" i="1"/>
  <c r="AU329" i="1"/>
  <c r="AT330" i="1"/>
  <c r="AU330" i="1"/>
  <c r="AT331" i="1"/>
  <c r="AU331" i="1"/>
  <c r="AT332" i="1"/>
  <c r="AU332" i="1"/>
  <c r="AT333" i="1"/>
  <c r="AU333" i="1"/>
  <c r="AT334" i="1"/>
  <c r="AU334" i="1"/>
  <c r="AT335" i="1"/>
  <c r="AU335" i="1"/>
  <c r="AT336" i="1"/>
  <c r="AU336" i="1"/>
  <c r="AT337" i="1"/>
  <c r="AU337" i="1"/>
  <c r="AT338" i="1"/>
  <c r="AU338" i="1"/>
  <c r="AT339" i="1"/>
  <c r="AU339" i="1"/>
  <c r="AT340" i="1"/>
  <c r="AU340" i="1"/>
  <c r="AT341" i="1"/>
  <c r="AU341" i="1"/>
  <c r="AT342" i="1"/>
  <c r="AU342" i="1"/>
  <c r="AT343" i="1"/>
  <c r="AU343" i="1"/>
  <c r="AT344" i="1"/>
  <c r="AU344" i="1"/>
  <c r="AT345" i="1"/>
  <c r="AU345" i="1"/>
  <c r="AT347" i="1"/>
  <c r="AU347" i="1"/>
  <c r="AT348" i="1"/>
  <c r="AU348" i="1"/>
  <c r="AT349" i="1"/>
  <c r="AU349" i="1"/>
  <c r="AT350" i="1"/>
  <c r="AU350" i="1"/>
  <c r="AT351" i="1"/>
  <c r="AU351" i="1"/>
  <c r="AT352" i="1"/>
  <c r="AU352" i="1"/>
  <c r="AT353" i="1"/>
  <c r="AU353" i="1"/>
  <c r="AT354" i="1"/>
  <c r="AU354" i="1"/>
  <c r="AT355" i="1"/>
  <c r="AU355" i="1"/>
  <c r="AT356" i="1"/>
  <c r="AU356" i="1"/>
  <c r="AT357" i="1"/>
  <c r="AU357" i="1"/>
  <c r="AT358" i="1"/>
  <c r="AU358" i="1"/>
  <c r="AT359" i="1"/>
  <c r="AU359" i="1"/>
  <c r="AT360" i="1"/>
  <c r="AU360" i="1"/>
  <c r="AT361" i="1"/>
  <c r="AU361" i="1"/>
  <c r="AT362" i="1"/>
  <c r="AU362" i="1"/>
  <c r="AT363" i="1"/>
  <c r="AU363" i="1"/>
  <c r="AT364" i="1"/>
  <c r="AU364" i="1"/>
  <c r="AT365" i="1"/>
  <c r="AU365" i="1"/>
  <c r="AT366" i="1"/>
  <c r="AU366" i="1"/>
  <c r="AT367" i="1"/>
  <c r="AU367" i="1"/>
  <c r="AT368" i="1"/>
  <c r="AU368" i="1"/>
  <c r="AT369" i="1"/>
  <c r="AU369" i="1"/>
  <c r="AT370" i="1"/>
  <c r="AU370" i="1"/>
  <c r="AT371" i="1"/>
  <c r="AU371" i="1"/>
  <c r="AT372" i="1"/>
  <c r="AU372" i="1"/>
  <c r="AT373" i="1"/>
  <c r="AU373" i="1"/>
  <c r="AT374" i="1"/>
  <c r="AU374" i="1"/>
  <c r="AT375" i="1"/>
  <c r="AU375" i="1"/>
  <c r="AT376" i="1"/>
  <c r="AU376" i="1"/>
  <c r="AT377" i="1"/>
  <c r="AU377" i="1"/>
  <c r="AT378" i="1"/>
  <c r="AU378" i="1"/>
  <c r="AT379" i="1"/>
  <c r="AU379" i="1"/>
  <c r="AT380" i="1"/>
  <c r="AU380" i="1"/>
  <c r="AT381" i="1"/>
  <c r="AU381" i="1"/>
  <c r="AT382" i="1"/>
  <c r="AU382" i="1"/>
  <c r="AT383" i="1"/>
  <c r="AU383" i="1"/>
  <c r="AT384" i="1"/>
  <c r="AU384" i="1"/>
  <c r="AT385" i="1"/>
  <c r="AU385" i="1"/>
  <c r="AT386" i="1"/>
  <c r="AU386" i="1"/>
  <c r="AT387" i="1"/>
  <c r="AU387" i="1"/>
  <c r="AT388" i="1"/>
  <c r="AU388" i="1"/>
  <c r="AT389" i="1"/>
  <c r="AU389" i="1"/>
  <c r="AT390" i="1"/>
  <c r="AU390" i="1"/>
  <c r="AT391" i="1"/>
  <c r="AU391" i="1"/>
  <c r="AT392" i="1"/>
  <c r="AU392" i="1"/>
  <c r="AT393" i="1"/>
  <c r="AU393" i="1"/>
  <c r="AT394" i="1"/>
  <c r="AU394" i="1"/>
  <c r="AT395" i="1"/>
  <c r="AU395" i="1"/>
  <c r="AT396" i="1"/>
  <c r="AU396" i="1"/>
  <c r="AT397" i="1"/>
  <c r="AU397" i="1"/>
  <c r="AT398" i="1"/>
  <c r="AU398" i="1"/>
  <c r="AT399" i="1"/>
  <c r="AU399" i="1"/>
  <c r="AT401" i="1"/>
  <c r="AU401" i="1"/>
  <c r="AT402" i="1"/>
  <c r="AU402" i="1"/>
  <c r="AT403" i="1"/>
  <c r="AU403" i="1"/>
  <c r="AT404" i="1"/>
  <c r="AU404" i="1"/>
  <c r="AT405" i="1"/>
  <c r="AU405" i="1"/>
  <c r="AT406" i="1"/>
  <c r="AU406" i="1"/>
  <c r="AT407" i="1"/>
  <c r="AU407" i="1"/>
  <c r="AT408" i="1"/>
  <c r="AU408" i="1"/>
  <c r="AT409" i="1"/>
  <c r="AU409" i="1"/>
  <c r="AT410" i="1"/>
  <c r="AU410" i="1"/>
  <c r="AT411" i="1"/>
  <c r="AU411" i="1"/>
  <c r="AT412" i="1"/>
  <c r="AU412" i="1"/>
  <c r="AT414" i="1"/>
  <c r="AU414" i="1"/>
  <c r="AT415" i="1"/>
  <c r="AU415" i="1"/>
  <c r="AT416" i="1"/>
  <c r="AU416" i="1"/>
  <c r="AT417" i="1"/>
  <c r="AU417" i="1"/>
  <c r="AT418" i="1"/>
  <c r="AU418" i="1"/>
  <c r="AT419" i="1"/>
  <c r="AU419" i="1"/>
  <c r="AT420" i="1"/>
  <c r="AU420" i="1"/>
  <c r="AT421" i="1"/>
  <c r="AU421" i="1"/>
  <c r="AT422" i="1"/>
  <c r="AU422" i="1"/>
  <c r="AT423" i="1"/>
  <c r="AU423" i="1"/>
  <c r="AT424" i="1"/>
  <c r="AU424" i="1"/>
  <c r="AT425" i="1"/>
  <c r="AU425" i="1"/>
  <c r="AT426" i="1"/>
  <c r="AU426" i="1"/>
  <c r="AT427" i="1"/>
  <c r="AU427" i="1"/>
  <c r="AT428" i="1"/>
  <c r="AU428" i="1"/>
  <c r="AT429" i="1"/>
  <c r="AU429" i="1"/>
  <c r="AT430" i="1"/>
  <c r="AU430" i="1"/>
  <c r="AT431" i="1"/>
  <c r="AU431" i="1"/>
  <c r="AT432" i="1"/>
  <c r="AU432" i="1"/>
  <c r="AT433" i="1"/>
  <c r="AU433" i="1"/>
  <c r="AT434" i="1"/>
  <c r="AU434" i="1"/>
  <c r="AT435" i="1"/>
  <c r="AU435" i="1"/>
  <c r="AT436" i="1"/>
  <c r="AU436" i="1"/>
  <c r="AT437" i="1"/>
  <c r="AU437" i="1"/>
  <c r="AT438" i="1"/>
  <c r="AU438" i="1"/>
  <c r="AT439" i="1"/>
  <c r="AU439" i="1"/>
  <c r="AT440" i="1"/>
  <c r="AU440" i="1"/>
  <c r="AT441" i="1"/>
  <c r="AU441" i="1"/>
  <c r="AT442" i="1"/>
  <c r="AU442" i="1"/>
  <c r="AT443" i="1"/>
  <c r="AU443" i="1"/>
  <c r="AT444" i="1"/>
  <c r="AU444" i="1"/>
  <c r="AT445" i="1"/>
  <c r="AU445" i="1"/>
  <c r="AT446" i="1"/>
  <c r="AU446" i="1"/>
  <c r="AT447" i="1"/>
  <c r="AU447" i="1"/>
  <c r="AT448" i="1"/>
  <c r="AU448" i="1"/>
  <c r="AT449" i="1"/>
  <c r="AU449" i="1"/>
  <c r="AT450" i="1"/>
  <c r="AU450" i="1"/>
  <c r="AT451" i="1"/>
  <c r="AU451" i="1"/>
  <c r="AT452" i="1"/>
  <c r="AU452" i="1"/>
  <c r="AT453" i="1"/>
  <c r="AU453" i="1"/>
  <c r="AT454" i="1"/>
  <c r="AU454" i="1"/>
  <c r="AT455" i="1"/>
  <c r="AU455" i="1"/>
  <c r="AT457" i="1"/>
  <c r="AU457" i="1"/>
  <c r="AT458" i="1"/>
  <c r="AU458" i="1"/>
  <c r="AT459" i="1"/>
  <c r="AU459" i="1"/>
  <c r="AT460" i="1"/>
  <c r="AU460" i="1"/>
  <c r="AT461" i="1"/>
  <c r="AU461" i="1"/>
  <c r="AT462" i="1"/>
  <c r="AU462" i="1"/>
  <c r="AT463" i="1"/>
  <c r="AU463" i="1"/>
  <c r="AT464" i="1"/>
  <c r="AU464" i="1"/>
  <c r="AT465" i="1"/>
  <c r="AU465" i="1"/>
  <c r="AT466" i="1"/>
  <c r="AU466" i="1"/>
  <c r="AT467" i="1"/>
  <c r="AU467" i="1"/>
  <c r="AT468" i="1"/>
  <c r="AU468" i="1"/>
  <c r="AT469" i="1"/>
  <c r="AU469" i="1"/>
  <c r="AT470" i="1"/>
  <c r="AU470" i="1"/>
  <c r="AT471" i="1"/>
  <c r="AU471" i="1"/>
  <c r="AT472" i="1"/>
  <c r="AU472" i="1"/>
  <c r="AT473" i="1"/>
  <c r="AU473" i="1"/>
  <c r="AT474" i="1"/>
  <c r="AU474" i="1"/>
  <c r="AT475" i="1"/>
  <c r="AU475" i="1"/>
  <c r="AT476" i="1"/>
  <c r="AU476" i="1"/>
  <c r="AT477" i="1"/>
  <c r="AU477" i="1"/>
  <c r="AT478" i="1"/>
  <c r="AU478" i="1"/>
  <c r="AT479" i="1"/>
  <c r="AU479" i="1"/>
  <c r="AT480" i="1"/>
  <c r="AU480" i="1"/>
  <c r="AT481" i="1"/>
  <c r="AU481" i="1"/>
  <c r="AT482" i="1"/>
  <c r="AU482" i="1"/>
  <c r="AT483" i="1"/>
  <c r="AU483" i="1"/>
  <c r="AT484" i="1"/>
  <c r="AU484" i="1"/>
  <c r="AT485" i="1"/>
  <c r="AU485" i="1"/>
  <c r="AT486" i="1"/>
  <c r="AU486" i="1"/>
  <c r="AT487" i="1"/>
  <c r="AU487" i="1"/>
  <c r="AT488" i="1"/>
  <c r="AU488" i="1"/>
  <c r="AT489" i="1"/>
  <c r="AU489" i="1"/>
  <c r="AT490" i="1"/>
  <c r="AU490" i="1"/>
  <c r="AT491" i="1"/>
  <c r="AU491" i="1"/>
  <c r="AT492" i="1"/>
  <c r="AU492" i="1"/>
  <c r="AT493" i="1"/>
  <c r="AU493" i="1"/>
  <c r="AT494" i="1"/>
  <c r="AU494" i="1"/>
  <c r="AT495" i="1"/>
  <c r="AU495" i="1"/>
  <c r="AT496" i="1"/>
  <c r="AU496" i="1"/>
  <c r="AT497" i="1"/>
  <c r="AU497" i="1"/>
  <c r="AT498" i="1"/>
  <c r="AU498" i="1"/>
  <c r="AT499" i="1"/>
  <c r="AU499" i="1"/>
  <c r="AT500" i="1"/>
  <c r="AU500" i="1"/>
  <c r="AT501" i="1"/>
  <c r="AU501" i="1"/>
  <c r="AT502" i="1"/>
  <c r="AU502" i="1"/>
  <c r="AT503" i="1"/>
  <c r="AU503" i="1"/>
  <c r="AT504" i="1"/>
  <c r="AU504" i="1"/>
  <c r="AT505" i="1"/>
  <c r="AU505" i="1"/>
  <c r="AT506" i="1"/>
  <c r="AU506" i="1"/>
  <c r="AT507" i="1"/>
  <c r="AU507" i="1"/>
  <c r="AT508" i="1"/>
  <c r="AU508" i="1"/>
  <c r="AT509" i="1"/>
  <c r="AU509" i="1"/>
  <c r="AT510" i="1"/>
  <c r="AU510" i="1"/>
  <c r="AT511" i="1"/>
  <c r="AU511" i="1"/>
  <c r="AT512" i="1"/>
  <c r="AU512" i="1"/>
  <c r="AT513" i="1"/>
  <c r="AU513" i="1"/>
  <c r="AT514" i="1"/>
  <c r="AU514" i="1"/>
  <c r="AT515" i="1"/>
  <c r="AU515" i="1"/>
  <c r="AT516" i="1"/>
  <c r="AU516" i="1"/>
  <c r="AT517" i="1"/>
  <c r="AU517" i="1"/>
  <c r="AT518" i="1"/>
  <c r="AU518" i="1"/>
  <c r="AT519" i="1"/>
  <c r="AU519" i="1"/>
  <c r="AT520" i="1"/>
  <c r="AU520" i="1"/>
  <c r="AT521" i="1"/>
  <c r="AU521" i="1"/>
  <c r="AT522" i="1"/>
  <c r="AU522" i="1"/>
  <c r="AT523" i="1"/>
  <c r="AU523" i="1"/>
  <c r="AT524" i="1"/>
  <c r="AU524" i="1"/>
  <c r="AT525" i="1"/>
  <c r="AU525" i="1"/>
  <c r="AT526" i="1"/>
  <c r="AU526" i="1"/>
  <c r="AT527" i="1"/>
  <c r="AU527" i="1"/>
  <c r="AT528" i="1"/>
  <c r="AU528" i="1"/>
  <c r="AT529" i="1"/>
  <c r="AU529" i="1"/>
  <c r="AT530" i="1"/>
  <c r="AU530" i="1"/>
  <c r="AT531" i="1"/>
  <c r="AU531" i="1"/>
  <c r="AT532" i="1"/>
  <c r="AU532" i="1"/>
  <c r="AT533" i="1"/>
  <c r="AU533" i="1"/>
  <c r="AT534" i="1"/>
  <c r="AU534" i="1"/>
  <c r="AT535" i="1"/>
  <c r="AU535" i="1"/>
  <c r="AT536" i="1"/>
  <c r="AU536" i="1"/>
  <c r="AT537" i="1"/>
  <c r="AU537" i="1"/>
  <c r="AT538" i="1"/>
  <c r="AU538" i="1"/>
  <c r="AT539" i="1"/>
  <c r="AU539" i="1"/>
  <c r="AT540" i="1"/>
  <c r="AU540" i="1"/>
  <c r="AT541" i="1"/>
  <c r="AU541" i="1"/>
  <c r="AT542" i="1"/>
  <c r="AU542" i="1"/>
  <c r="AT543" i="1"/>
  <c r="AU543" i="1"/>
  <c r="AT544" i="1"/>
  <c r="AU544" i="1"/>
  <c r="AT545" i="1"/>
  <c r="AU545" i="1"/>
  <c r="AT546" i="1"/>
  <c r="AU546" i="1"/>
  <c r="AT547" i="1"/>
  <c r="AU547" i="1"/>
  <c r="AT548" i="1"/>
  <c r="AU548" i="1"/>
  <c r="AT549" i="1"/>
  <c r="AU549" i="1"/>
  <c r="AT550" i="1"/>
  <c r="AU550" i="1"/>
  <c r="AT551" i="1"/>
  <c r="AU551" i="1"/>
  <c r="AT552" i="1"/>
  <c r="AU552" i="1"/>
  <c r="AT553" i="1"/>
  <c r="AU553" i="1"/>
  <c r="AT554" i="1"/>
  <c r="AU554" i="1"/>
  <c r="AT555" i="1"/>
  <c r="AU555" i="1"/>
  <c r="AT556" i="1"/>
  <c r="AU556" i="1"/>
  <c r="AT557" i="1"/>
  <c r="AU557" i="1"/>
  <c r="AT558" i="1"/>
  <c r="AU558" i="1"/>
  <c r="AT559" i="1"/>
  <c r="AU559" i="1"/>
  <c r="AT560" i="1"/>
  <c r="AU560" i="1"/>
  <c r="AT561" i="1"/>
  <c r="AU561" i="1"/>
  <c r="AT562" i="1"/>
  <c r="AU562" i="1"/>
  <c r="AT563" i="1"/>
  <c r="AU563" i="1"/>
  <c r="AT564" i="1"/>
  <c r="AU564" i="1"/>
  <c r="AT565" i="1"/>
  <c r="AU565" i="1"/>
  <c r="AT566" i="1"/>
  <c r="AU566" i="1"/>
  <c r="AT567" i="1"/>
  <c r="AU567" i="1"/>
  <c r="AT568" i="1"/>
  <c r="AU568" i="1"/>
  <c r="AT569" i="1"/>
  <c r="AU569" i="1"/>
  <c r="AT570" i="1"/>
  <c r="AU570" i="1"/>
  <c r="AT571" i="1"/>
  <c r="AU571" i="1"/>
  <c r="AT572" i="1"/>
  <c r="AU572" i="1"/>
  <c r="AT573" i="1"/>
  <c r="AU573" i="1"/>
  <c r="AT574" i="1"/>
  <c r="AU574" i="1"/>
  <c r="AT575" i="1"/>
  <c r="AU575" i="1"/>
  <c r="AT576" i="1"/>
  <c r="AU576" i="1"/>
  <c r="AT577" i="1"/>
  <c r="AU577" i="1"/>
  <c r="AT578" i="1"/>
  <c r="AU578" i="1"/>
  <c r="AT579" i="1"/>
  <c r="AU579" i="1"/>
  <c r="AT580" i="1"/>
  <c r="AU580" i="1"/>
  <c r="AT581" i="1"/>
  <c r="AU581" i="1"/>
  <c r="AT582" i="1"/>
  <c r="AU582" i="1"/>
  <c r="AT583" i="1"/>
  <c r="AU583" i="1"/>
  <c r="AT584" i="1"/>
  <c r="AU584" i="1"/>
  <c r="AT585" i="1"/>
  <c r="AU585" i="1"/>
  <c r="AT586" i="1"/>
  <c r="AU586" i="1"/>
  <c r="AT587" i="1"/>
  <c r="AU587" i="1"/>
  <c r="AT588" i="1"/>
  <c r="AU588" i="1"/>
  <c r="AT589" i="1"/>
  <c r="AU589" i="1"/>
  <c r="AT590" i="1"/>
  <c r="AU590" i="1"/>
  <c r="AT591" i="1"/>
  <c r="AU591" i="1"/>
  <c r="AT592" i="1"/>
  <c r="AU592" i="1"/>
  <c r="AT593" i="1"/>
  <c r="AU593" i="1"/>
  <c r="AT594" i="1"/>
  <c r="AU594" i="1"/>
  <c r="AT595" i="1"/>
  <c r="AU595" i="1"/>
  <c r="AT596" i="1"/>
  <c r="AU596" i="1"/>
  <c r="AT597" i="1"/>
  <c r="AU597" i="1"/>
  <c r="AT598" i="1"/>
  <c r="AU598" i="1"/>
  <c r="AT599" i="1"/>
  <c r="AU599" i="1"/>
  <c r="AT600" i="1"/>
  <c r="AU600" i="1"/>
  <c r="AT601" i="1"/>
  <c r="AU601" i="1"/>
  <c r="AT602" i="1"/>
  <c r="AU602" i="1"/>
  <c r="AT603" i="1"/>
  <c r="AU603" i="1"/>
  <c r="AT604" i="1"/>
  <c r="AU604" i="1"/>
  <c r="AT605" i="1"/>
  <c r="AU605" i="1"/>
  <c r="AT606" i="1"/>
  <c r="AU606" i="1"/>
  <c r="AT607" i="1"/>
  <c r="AU607" i="1"/>
  <c r="AT608" i="1"/>
  <c r="AU608" i="1"/>
  <c r="AT609" i="1"/>
  <c r="AU609" i="1"/>
  <c r="AT610" i="1"/>
  <c r="AU610" i="1"/>
  <c r="AT611" i="1"/>
  <c r="AU611" i="1"/>
  <c r="AT612" i="1"/>
  <c r="AU612" i="1"/>
  <c r="AT613" i="1"/>
  <c r="AU613" i="1"/>
  <c r="AT614" i="1"/>
  <c r="AU614" i="1"/>
  <c r="AT615" i="1"/>
  <c r="AU615" i="1"/>
  <c r="AT616" i="1"/>
  <c r="AU616" i="1"/>
  <c r="AT617" i="1"/>
  <c r="AU617" i="1"/>
  <c r="AT618" i="1"/>
  <c r="AU618" i="1"/>
  <c r="AU11" i="1"/>
  <c r="AT11" i="1"/>
  <c r="AN12" i="14"/>
  <c r="AO12" i="14"/>
  <c r="AN13" i="14"/>
  <c r="AO13" i="14"/>
  <c r="AN14" i="14"/>
  <c r="AO14" i="14"/>
  <c r="AN15" i="14"/>
  <c r="AO15" i="14"/>
  <c r="AN16" i="14"/>
  <c r="AO16" i="14"/>
  <c r="AN17" i="14"/>
  <c r="AO17" i="14"/>
  <c r="AN18" i="14"/>
  <c r="AO18" i="14"/>
  <c r="AN19" i="14"/>
  <c r="AO19" i="14"/>
  <c r="AN20" i="14"/>
  <c r="AO20" i="14"/>
  <c r="AN21" i="14"/>
  <c r="AO21" i="14"/>
  <c r="AN22" i="14"/>
  <c r="AO22" i="14"/>
  <c r="AN23" i="14"/>
  <c r="AO23" i="14"/>
  <c r="AN24" i="14"/>
  <c r="AO24" i="14"/>
  <c r="AN25" i="14"/>
  <c r="AO25" i="14"/>
  <c r="AN26" i="14"/>
  <c r="AO26" i="14"/>
  <c r="AN27" i="14"/>
  <c r="AO27" i="14"/>
  <c r="AN28" i="14"/>
  <c r="AO28" i="14"/>
  <c r="AN29" i="14"/>
  <c r="AO29" i="14"/>
  <c r="AN30" i="14"/>
  <c r="AO30" i="14"/>
  <c r="AN31" i="14"/>
  <c r="AO31" i="14"/>
  <c r="AN32" i="14"/>
  <c r="AO32" i="14"/>
  <c r="AN33" i="14"/>
  <c r="AO33" i="14"/>
  <c r="AN34" i="14"/>
  <c r="AO34" i="14"/>
  <c r="AN35" i="14"/>
  <c r="AO35" i="14"/>
  <c r="AN36" i="14"/>
  <c r="AO36" i="14"/>
  <c r="AN37" i="14"/>
  <c r="AO37" i="14"/>
  <c r="AN38" i="14"/>
  <c r="AO38" i="14"/>
  <c r="AN39" i="14"/>
  <c r="AO39" i="14"/>
  <c r="AN40" i="14"/>
  <c r="AO40" i="14"/>
  <c r="AN41" i="14"/>
  <c r="AO41" i="14"/>
  <c r="AN42" i="14"/>
  <c r="AO42" i="14"/>
  <c r="AN43" i="14"/>
  <c r="AO43" i="14"/>
  <c r="AN44" i="14"/>
  <c r="AO44" i="14"/>
  <c r="AN45" i="14"/>
  <c r="AO45" i="14"/>
  <c r="AN46" i="14"/>
  <c r="AO46" i="14"/>
  <c r="AN47" i="14"/>
  <c r="AO47" i="14"/>
  <c r="AN48" i="14"/>
  <c r="AO48" i="14"/>
  <c r="AN49" i="14"/>
  <c r="AO49" i="14"/>
  <c r="AN50" i="14"/>
  <c r="AO50" i="14"/>
  <c r="AN51" i="14"/>
  <c r="AO51" i="14"/>
  <c r="AN52" i="14"/>
  <c r="AO52" i="14"/>
  <c r="AN53" i="14"/>
  <c r="AO53" i="14"/>
  <c r="AN54" i="14"/>
  <c r="AO54" i="14"/>
  <c r="AN55" i="14"/>
  <c r="AO55" i="14"/>
  <c r="AN56" i="14"/>
  <c r="AO56" i="14"/>
  <c r="AN57" i="14"/>
  <c r="AO57" i="14"/>
  <c r="AN58" i="14"/>
  <c r="AO58" i="14"/>
  <c r="AN59" i="14"/>
  <c r="AO59" i="14"/>
  <c r="AN60" i="14"/>
  <c r="AO60" i="14"/>
  <c r="AN61" i="14"/>
  <c r="AO61" i="14"/>
  <c r="AN62" i="14"/>
  <c r="AO62" i="14"/>
  <c r="AN63" i="14"/>
  <c r="AO63" i="14"/>
  <c r="AN64" i="14"/>
  <c r="AO64" i="14"/>
  <c r="AN65" i="14"/>
  <c r="AO65" i="14"/>
  <c r="AN66" i="14"/>
  <c r="AO66" i="14"/>
  <c r="AN67" i="14"/>
  <c r="AO67" i="14"/>
  <c r="AN68" i="14"/>
  <c r="AO68" i="14"/>
  <c r="AN69" i="14"/>
  <c r="AO69" i="14"/>
  <c r="AN70" i="14"/>
  <c r="AO70" i="14"/>
  <c r="AN71" i="14"/>
  <c r="AO71" i="14"/>
  <c r="AN72" i="14"/>
  <c r="AO72" i="14"/>
  <c r="AN73" i="14"/>
  <c r="AO73" i="14"/>
  <c r="AN74" i="14"/>
  <c r="AO74" i="14"/>
  <c r="AN75" i="14"/>
  <c r="AO75" i="14"/>
  <c r="AN76" i="14"/>
  <c r="AO76" i="14"/>
  <c r="AN77" i="14"/>
  <c r="AO77" i="14"/>
  <c r="AN78" i="14"/>
  <c r="AO78" i="14"/>
  <c r="AN79" i="14"/>
  <c r="AO79" i="14"/>
  <c r="AN80" i="14"/>
  <c r="AO80" i="14"/>
  <c r="AN81" i="14"/>
  <c r="AO81" i="14"/>
  <c r="AN82" i="14"/>
  <c r="AO82" i="14"/>
  <c r="AN83" i="14"/>
  <c r="AO83" i="14"/>
  <c r="AN84" i="14"/>
  <c r="AO84" i="14"/>
  <c r="AN85" i="14"/>
  <c r="AO85" i="14"/>
  <c r="AN86" i="14"/>
  <c r="AO86" i="14"/>
  <c r="AN87" i="14"/>
  <c r="AO87" i="14"/>
  <c r="AN89" i="14"/>
  <c r="AO89" i="14"/>
  <c r="AN88" i="14"/>
  <c r="AO88" i="14"/>
  <c r="AN90" i="14"/>
  <c r="AO90" i="14"/>
  <c r="AN91" i="14"/>
  <c r="AO91" i="14"/>
  <c r="AN92" i="14"/>
  <c r="AO92" i="14"/>
  <c r="AN93" i="14"/>
  <c r="AO93" i="14"/>
  <c r="AN94" i="14"/>
  <c r="AO94" i="14"/>
  <c r="AN95" i="14"/>
  <c r="AO95" i="14"/>
  <c r="AN96" i="14"/>
  <c r="AO96" i="14"/>
  <c r="AN97" i="14"/>
  <c r="AO97" i="14"/>
  <c r="AN98" i="14"/>
  <c r="AO98" i="14"/>
  <c r="AN99" i="14"/>
  <c r="AO99" i="14"/>
  <c r="AN100" i="14"/>
  <c r="AO100" i="14"/>
  <c r="AN101" i="14"/>
  <c r="AO101" i="14"/>
  <c r="AN102" i="14"/>
  <c r="AO102" i="14"/>
  <c r="AN103" i="14"/>
  <c r="AO103" i="14"/>
  <c r="AN104" i="14"/>
  <c r="AO104" i="14"/>
  <c r="AN105" i="14"/>
  <c r="AO105" i="14"/>
  <c r="AN106" i="14"/>
  <c r="AO106" i="14"/>
  <c r="AN107" i="14"/>
  <c r="AO107" i="14"/>
  <c r="AN108" i="14"/>
  <c r="AO108" i="14"/>
  <c r="AN109" i="14"/>
  <c r="AO109" i="14"/>
  <c r="AN110" i="14"/>
  <c r="AO110" i="14"/>
  <c r="AN111" i="14"/>
  <c r="AO111" i="14"/>
  <c r="AN112" i="14"/>
  <c r="AO112" i="14"/>
  <c r="AN113" i="14"/>
  <c r="AO113" i="14"/>
  <c r="AN114" i="14"/>
  <c r="AO114" i="14"/>
  <c r="AN115" i="14"/>
  <c r="AO115" i="14"/>
  <c r="AN116" i="14"/>
  <c r="AO116" i="14"/>
  <c r="AN117" i="14"/>
  <c r="AO117" i="14"/>
  <c r="AN118" i="14"/>
  <c r="AO118" i="14"/>
  <c r="AN119" i="14"/>
  <c r="AO119" i="14"/>
  <c r="AN120" i="14"/>
  <c r="AO120" i="14"/>
  <c r="AN121" i="14"/>
  <c r="AO121" i="14"/>
  <c r="AN122" i="14"/>
  <c r="AO122" i="14"/>
  <c r="AN123" i="14"/>
  <c r="AO123" i="14"/>
  <c r="AN124" i="14"/>
  <c r="AO124" i="14"/>
  <c r="AN125" i="14"/>
  <c r="AO125" i="14"/>
  <c r="AN126" i="14"/>
  <c r="AO126" i="14"/>
  <c r="AN127" i="14"/>
  <c r="AO127" i="14"/>
  <c r="AN128" i="14"/>
  <c r="AO128" i="14"/>
  <c r="AN129" i="14"/>
  <c r="AO129" i="14"/>
  <c r="AN130" i="14"/>
  <c r="AO130" i="14"/>
  <c r="AN131" i="14"/>
  <c r="AO131" i="14"/>
  <c r="AN132" i="14"/>
  <c r="AO132" i="14"/>
  <c r="AN133" i="14"/>
  <c r="AO133" i="14"/>
  <c r="AN134" i="14"/>
  <c r="AO134" i="14"/>
  <c r="AN135" i="14"/>
  <c r="AO135" i="14"/>
  <c r="AN136" i="14"/>
  <c r="AO136" i="14"/>
  <c r="AN137" i="14"/>
  <c r="AO137" i="14"/>
  <c r="AN138" i="14"/>
  <c r="AO138" i="14"/>
  <c r="AN139" i="14"/>
  <c r="AO139" i="14"/>
  <c r="AN140" i="14"/>
  <c r="AO140" i="14"/>
  <c r="AN141" i="14"/>
  <c r="AO141" i="14"/>
  <c r="AN142" i="14"/>
  <c r="AO142" i="14"/>
  <c r="AN143" i="14"/>
  <c r="AO143" i="14"/>
  <c r="AN144" i="14"/>
  <c r="AO144" i="14"/>
  <c r="AN145" i="14"/>
  <c r="AO145" i="14"/>
  <c r="AN146" i="14"/>
  <c r="AO146" i="14"/>
  <c r="AN147" i="14"/>
  <c r="AO147" i="14"/>
  <c r="AN148" i="14"/>
  <c r="AO148" i="14"/>
  <c r="AN149" i="14"/>
  <c r="AO149" i="14"/>
  <c r="AN150" i="14"/>
  <c r="AO150" i="14"/>
  <c r="AN151" i="14"/>
  <c r="AO151" i="14"/>
  <c r="AN152" i="14"/>
  <c r="AO152" i="14"/>
  <c r="AN153" i="14"/>
  <c r="AO153" i="14"/>
  <c r="AN154" i="14"/>
  <c r="AO154" i="14"/>
  <c r="AN155" i="14"/>
  <c r="AO155" i="14"/>
  <c r="AN156" i="14"/>
  <c r="AO156" i="14"/>
  <c r="AN157" i="14"/>
  <c r="AO157" i="14"/>
  <c r="AN158" i="14"/>
  <c r="AO158" i="14"/>
  <c r="AN159" i="14"/>
  <c r="AO159" i="14"/>
  <c r="AN160" i="14"/>
  <c r="AO160" i="14"/>
  <c r="AN161" i="14"/>
  <c r="AO161" i="14"/>
  <c r="AN162" i="14"/>
  <c r="AO162" i="14"/>
  <c r="AN163" i="14"/>
  <c r="AO163" i="14"/>
  <c r="AN164" i="14"/>
  <c r="AO164" i="14"/>
  <c r="AN165" i="14"/>
  <c r="AO165" i="14"/>
  <c r="AN166" i="14"/>
  <c r="AO166" i="14"/>
  <c r="AN167" i="14"/>
  <c r="AO167" i="14"/>
  <c r="AN168" i="14"/>
  <c r="AO168" i="14"/>
  <c r="AN169" i="14"/>
  <c r="AO169" i="14"/>
  <c r="AN170" i="14"/>
  <c r="AO170" i="14"/>
  <c r="AN171" i="14"/>
  <c r="AO171" i="14"/>
  <c r="AN172" i="14"/>
  <c r="AO172" i="14"/>
  <c r="AN173" i="14"/>
  <c r="AO173" i="14"/>
  <c r="AN174" i="14"/>
  <c r="AO174" i="14"/>
  <c r="AN175" i="14"/>
  <c r="AO175" i="14"/>
  <c r="AN176" i="14"/>
  <c r="AO176" i="14"/>
  <c r="AN177" i="14"/>
  <c r="AO177" i="14"/>
  <c r="AN178" i="14"/>
  <c r="AO178" i="14"/>
  <c r="AN179" i="14"/>
  <c r="AO179" i="14"/>
  <c r="AN180" i="14"/>
  <c r="AO180" i="14"/>
  <c r="AN181" i="14"/>
  <c r="AO181" i="14"/>
  <c r="AN182" i="14"/>
  <c r="AO182" i="14"/>
  <c r="AN183" i="14"/>
  <c r="AO183" i="14"/>
  <c r="AN184" i="14"/>
  <c r="AO184" i="14"/>
  <c r="AN185" i="14"/>
  <c r="AO185" i="14"/>
  <c r="AN186" i="14"/>
  <c r="AO186" i="14"/>
  <c r="AN187" i="14"/>
  <c r="AO187" i="14"/>
  <c r="AN188" i="14"/>
  <c r="AO188" i="14"/>
  <c r="AN189" i="14"/>
  <c r="AO189" i="14"/>
  <c r="AN190" i="14"/>
  <c r="AO190" i="14"/>
  <c r="AN191" i="14"/>
  <c r="AO191" i="14"/>
  <c r="AN192" i="14"/>
  <c r="AO192" i="14"/>
  <c r="AN193" i="14"/>
  <c r="AO193" i="14"/>
  <c r="AN194" i="14"/>
  <c r="AO194" i="14"/>
  <c r="AN195" i="14"/>
  <c r="AO195" i="14"/>
  <c r="AN196" i="14"/>
  <c r="AO196" i="14"/>
  <c r="AN197" i="14"/>
  <c r="AO197" i="14"/>
  <c r="AN198" i="14"/>
  <c r="AO198" i="14"/>
  <c r="AN199" i="14"/>
  <c r="AO199" i="14"/>
  <c r="AN200" i="14"/>
  <c r="AO200" i="14"/>
  <c r="AN201" i="14"/>
  <c r="AO201" i="14"/>
  <c r="AN202" i="14"/>
  <c r="AO202" i="14"/>
  <c r="AN203" i="14"/>
  <c r="AO203" i="14"/>
  <c r="AN204" i="14"/>
  <c r="AO204" i="14"/>
  <c r="AN205" i="14"/>
  <c r="AO205" i="14"/>
  <c r="AN206" i="14"/>
  <c r="AO206" i="14"/>
  <c r="AN207" i="14"/>
  <c r="AO207" i="14"/>
  <c r="AN208" i="14"/>
  <c r="AO208" i="14"/>
  <c r="AN209" i="14"/>
  <c r="AO209" i="14"/>
  <c r="AN210" i="14"/>
  <c r="AO210" i="14"/>
  <c r="AN211" i="14"/>
  <c r="AO211" i="14"/>
  <c r="AN212" i="14"/>
  <c r="AO212" i="14"/>
  <c r="AN213" i="14"/>
  <c r="AO213" i="14"/>
  <c r="AN214" i="14"/>
  <c r="AO214" i="14"/>
  <c r="AN215" i="14"/>
  <c r="AO215" i="14"/>
  <c r="AN216" i="14"/>
  <c r="AO216" i="14"/>
  <c r="AN217" i="14"/>
  <c r="AO217" i="14"/>
  <c r="AN218" i="14"/>
  <c r="AO218" i="14"/>
  <c r="AN219" i="14"/>
  <c r="AO219" i="14"/>
  <c r="AN220" i="14"/>
  <c r="AO220" i="14"/>
  <c r="AN221" i="14"/>
  <c r="AO221" i="14"/>
  <c r="AN222" i="14"/>
  <c r="AO222" i="14"/>
  <c r="AN223" i="14"/>
  <c r="AO223" i="14"/>
  <c r="AN224" i="14"/>
  <c r="AO224" i="14"/>
  <c r="AN225" i="14"/>
  <c r="AO225" i="14"/>
  <c r="AN226" i="14"/>
  <c r="AO226" i="14"/>
  <c r="AN227" i="14"/>
  <c r="AO227" i="14"/>
  <c r="AN228" i="14"/>
  <c r="AO228" i="14"/>
  <c r="AN229" i="14"/>
  <c r="AO229" i="14"/>
  <c r="AN230" i="14"/>
  <c r="AO230" i="14"/>
  <c r="AN231" i="14"/>
  <c r="AO231" i="14"/>
  <c r="AN232" i="14"/>
  <c r="AO232" i="14"/>
  <c r="AN233" i="14"/>
  <c r="AO233" i="14"/>
  <c r="AN234" i="14"/>
  <c r="AO234" i="14"/>
  <c r="AN235" i="14"/>
  <c r="AO235" i="14"/>
  <c r="AN236" i="14"/>
  <c r="AO236" i="14"/>
  <c r="AN237" i="14"/>
  <c r="AO237" i="14"/>
  <c r="AN238" i="14"/>
  <c r="AO238" i="14"/>
  <c r="AN239" i="14"/>
  <c r="AO239" i="14"/>
  <c r="AN240" i="14"/>
  <c r="AO240" i="14"/>
  <c r="AN241" i="14"/>
  <c r="AO241" i="14"/>
  <c r="AN242" i="14"/>
  <c r="AO242" i="14"/>
  <c r="AN243" i="14"/>
  <c r="AO243" i="14"/>
  <c r="AN244" i="14"/>
  <c r="AO244" i="14"/>
  <c r="AN245" i="14"/>
  <c r="AO245" i="14"/>
  <c r="AN246" i="14"/>
  <c r="AO246" i="14"/>
  <c r="AN247" i="14"/>
  <c r="AO247" i="14"/>
  <c r="AN248" i="14"/>
  <c r="AO248" i="14"/>
  <c r="AN249" i="14"/>
  <c r="AO249" i="14"/>
  <c r="AN250" i="14"/>
  <c r="AO250" i="14"/>
  <c r="AN251" i="14"/>
  <c r="AO251" i="14"/>
  <c r="AN252" i="14"/>
  <c r="AO252" i="14"/>
  <c r="AN253" i="14"/>
  <c r="AO253" i="14"/>
  <c r="AN254" i="14"/>
  <c r="AO254" i="14"/>
  <c r="AN255" i="14"/>
  <c r="AO255" i="14"/>
  <c r="AN256" i="14"/>
  <c r="AO256" i="14"/>
  <c r="AN257" i="14"/>
  <c r="AO257" i="14"/>
  <c r="AN258" i="14"/>
  <c r="AO258" i="14"/>
  <c r="AN259" i="14"/>
  <c r="AO259" i="14"/>
  <c r="AN260" i="14"/>
  <c r="AO260" i="14"/>
  <c r="AN261" i="14"/>
  <c r="AO261" i="14"/>
  <c r="AN262" i="14"/>
  <c r="AO262" i="14"/>
  <c r="AN263" i="14"/>
  <c r="AO263" i="14"/>
  <c r="AN264" i="14"/>
  <c r="AO264" i="14"/>
  <c r="AN265" i="14"/>
  <c r="AO265" i="14"/>
  <c r="AN266" i="14"/>
  <c r="AO266" i="14"/>
  <c r="AN267" i="14"/>
  <c r="AO267" i="14"/>
  <c r="AN268" i="14"/>
  <c r="AO268" i="14"/>
  <c r="AN269" i="14"/>
  <c r="AO269" i="14"/>
  <c r="AN270" i="14"/>
  <c r="AO270" i="14"/>
  <c r="AN271" i="14"/>
  <c r="AO271" i="14"/>
  <c r="AN272" i="14"/>
  <c r="AO272" i="14"/>
  <c r="AN273" i="14"/>
  <c r="AO273" i="14"/>
  <c r="AN274" i="14"/>
  <c r="AO274" i="14"/>
  <c r="AN275" i="14"/>
  <c r="AO275" i="14"/>
  <c r="AN276" i="14"/>
  <c r="AO276" i="14"/>
  <c r="AN277" i="14"/>
  <c r="AO277" i="14"/>
  <c r="AN278" i="14"/>
  <c r="AO278" i="14"/>
  <c r="AN279" i="14"/>
  <c r="AO279" i="14"/>
  <c r="AN280" i="14"/>
  <c r="AO280" i="14"/>
  <c r="AN281" i="14"/>
  <c r="AO281" i="14"/>
  <c r="AN282" i="14"/>
  <c r="AO282" i="14"/>
  <c r="AN283" i="14"/>
  <c r="AO283" i="14"/>
  <c r="AN284" i="14"/>
  <c r="AO284" i="14"/>
  <c r="AN285" i="14"/>
  <c r="AO285" i="14"/>
  <c r="AN286" i="14"/>
  <c r="AO286" i="14"/>
  <c r="AN287" i="14"/>
  <c r="AO287" i="14"/>
  <c r="AN288" i="14"/>
  <c r="AO288" i="14"/>
  <c r="AN290" i="14"/>
  <c r="AO290" i="14"/>
  <c r="AN291" i="14"/>
  <c r="AO291" i="14"/>
  <c r="AN292" i="14"/>
  <c r="AO292" i="14"/>
  <c r="AN289" i="14"/>
  <c r="AO289" i="14"/>
  <c r="AN293" i="14"/>
  <c r="AO293" i="14"/>
  <c r="AN294" i="14"/>
  <c r="AO294" i="14"/>
  <c r="AN295" i="14"/>
  <c r="AO295" i="14"/>
  <c r="AN296" i="14"/>
  <c r="AO296" i="14"/>
  <c r="AN297" i="14"/>
  <c r="AO297" i="14"/>
  <c r="AN298" i="14"/>
  <c r="AO298" i="14"/>
  <c r="AN299" i="14"/>
  <c r="AO299" i="14"/>
  <c r="AN300" i="14"/>
  <c r="AO300" i="14"/>
  <c r="AN301" i="14"/>
  <c r="AO301" i="14"/>
  <c r="AN302" i="14"/>
  <c r="AO302" i="14"/>
  <c r="AN303" i="14"/>
  <c r="AO303" i="14"/>
  <c r="AN304" i="14"/>
  <c r="AO304" i="14"/>
  <c r="AN305" i="14"/>
  <c r="AO305" i="14"/>
  <c r="AN306" i="14"/>
  <c r="AO306" i="14"/>
  <c r="AN307" i="14"/>
  <c r="AO307" i="14"/>
  <c r="AN308" i="14"/>
  <c r="AO308" i="14"/>
  <c r="AN310" i="14"/>
  <c r="AO310" i="14"/>
  <c r="AN311" i="14"/>
  <c r="AO311" i="14"/>
  <c r="AN312" i="14"/>
  <c r="AO312" i="14"/>
  <c r="AN313" i="14"/>
  <c r="AO313" i="14"/>
  <c r="AN314" i="14"/>
  <c r="AO314" i="14"/>
  <c r="AN315" i="14"/>
  <c r="AO315" i="14"/>
  <c r="AN316" i="14"/>
  <c r="AO316" i="14"/>
  <c r="AN317" i="14"/>
  <c r="AO317" i="14"/>
  <c r="AN319" i="14"/>
  <c r="AO319" i="14"/>
  <c r="AN320" i="14"/>
  <c r="AO320" i="14"/>
  <c r="AN321" i="14"/>
  <c r="AO321" i="14"/>
  <c r="AN322" i="14"/>
  <c r="AO322" i="14"/>
  <c r="AN323" i="14"/>
  <c r="AO323" i="14"/>
  <c r="AN324" i="14"/>
  <c r="AO324" i="14"/>
  <c r="AN325" i="14"/>
  <c r="AO325" i="14"/>
  <c r="AN326" i="14"/>
  <c r="AO326" i="14"/>
  <c r="AN327" i="14"/>
  <c r="AO327" i="14"/>
  <c r="AN328" i="14"/>
  <c r="AO328" i="14"/>
  <c r="AN329" i="14"/>
  <c r="AO329" i="14"/>
  <c r="AN330" i="14"/>
  <c r="AO330" i="14"/>
  <c r="AN331" i="14"/>
  <c r="AO331" i="14"/>
  <c r="AN332" i="14"/>
  <c r="AO332" i="14"/>
  <c r="AN333" i="14"/>
  <c r="AO333" i="14"/>
  <c r="AN334" i="14"/>
  <c r="AO334" i="14"/>
  <c r="AN335" i="14"/>
  <c r="AO335" i="14"/>
  <c r="AN336" i="14"/>
  <c r="AO336" i="14"/>
  <c r="AN337" i="14"/>
  <c r="AO337" i="14"/>
  <c r="AN338" i="14"/>
  <c r="AO338" i="14"/>
  <c r="AN339" i="14"/>
  <c r="AO339" i="14"/>
  <c r="AN340" i="14"/>
  <c r="AO340" i="14"/>
  <c r="AN341" i="14"/>
  <c r="AO341" i="14"/>
  <c r="AN342" i="14"/>
  <c r="AO342" i="14"/>
  <c r="AN343" i="14"/>
  <c r="AO343" i="14"/>
  <c r="AN344" i="14"/>
  <c r="AO344" i="14"/>
  <c r="AN345" i="14"/>
  <c r="AO345" i="14"/>
  <c r="AN347" i="14"/>
  <c r="AO347" i="14"/>
  <c r="AN348" i="14"/>
  <c r="AO348" i="14"/>
  <c r="AN349" i="14"/>
  <c r="AO349" i="14"/>
  <c r="AN350" i="14"/>
  <c r="AO350" i="14"/>
  <c r="AN351" i="14"/>
  <c r="AO351" i="14"/>
  <c r="AN352" i="14"/>
  <c r="AO352" i="14"/>
  <c r="AN353" i="14"/>
  <c r="AO353" i="14"/>
  <c r="AN354" i="14"/>
  <c r="AO354" i="14"/>
  <c r="AN355" i="14"/>
  <c r="AO355" i="14"/>
  <c r="AN356" i="14"/>
  <c r="AO356" i="14"/>
  <c r="AN357" i="14"/>
  <c r="AO357" i="14"/>
  <c r="AN358" i="14"/>
  <c r="AO358" i="14"/>
  <c r="AN359" i="14"/>
  <c r="AO359" i="14"/>
  <c r="AN360" i="14"/>
  <c r="AO360" i="14"/>
  <c r="AN361" i="14"/>
  <c r="AO361" i="14"/>
  <c r="AN362" i="14"/>
  <c r="AO362" i="14"/>
  <c r="AN363" i="14"/>
  <c r="AO363" i="14"/>
  <c r="AN364" i="14"/>
  <c r="AO364" i="14"/>
  <c r="AN365" i="14"/>
  <c r="AO365" i="14"/>
  <c r="AN366" i="14"/>
  <c r="AO366" i="14"/>
  <c r="AN367" i="14"/>
  <c r="AO367" i="14"/>
  <c r="AN368" i="14"/>
  <c r="AO368" i="14"/>
  <c r="AN369" i="14"/>
  <c r="AO369" i="14"/>
  <c r="AN370" i="14"/>
  <c r="AO370" i="14"/>
  <c r="AN371" i="14"/>
  <c r="AO371" i="14"/>
  <c r="AN372" i="14"/>
  <c r="AO372" i="14"/>
  <c r="AN373" i="14"/>
  <c r="AO373" i="14"/>
  <c r="AN374" i="14"/>
  <c r="AO374" i="14"/>
  <c r="AN375" i="14"/>
  <c r="AO375" i="14"/>
  <c r="AN376" i="14"/>
  <c r="AO376" i="14"/>
  <c r="AN377" i="14"/>
  <c r="AO377" i="14"/>
  <c r="AN378" i="14"/>
  <c r="AO378" i="14"/>
  <c r="AN379" i="14"/>
  <c r="AO379" i="14"/>
  <c r="AN380" i="14"/>
  <c r="AO380" i="14"/>
  <c r="AN381" i="14"/>
  <c r="AO381" i="14"/>
  <c r="AN382" i="14"/>
  <c r="AO382" i="14"/>
  <c r="AN383" i="14"/>
  <c r="AO383" i="14"/>
  <c r="AN384" i="14"/>
  <c r="AO384" i="14"/>
  <c r="AN385" i="14"/>
  <c r="AO385" i="14"/>
  <c r="AN386" i="14"/>
  <c r="AO386" i="14"/>
  <c r="AN387" i="14"/>
  <c r="AO387" i="14"/>
  <c r="AN388" i="14"/>
  <c r="AO388" i="14"/>
  <c r="AN389" i="14"/>
  <c r="AO389" i="14"/>
  <c r="AN390" i="14"/>
  <c r="AO390" i="14"/>
  <c r="AN391" i="14"/>
  <c r="AO391" i="14"/>
  <c r="AN392" i="14"/>
  <c r="AO392" i="14"/>
  <c r="AN393" i="14"/>
  <c r="AO393" i="14"/>
  <c r="AN394" i="14"/>
  <c r="AO394" i="14"/>
  <c r="AN395" i="14"/>
  <c r="AO395" i="14"/>
  <c r="AN396" i="14"/>
  <c r="AO396" i="14"/>
  <c r="AN397" i="14"/>
  <c r="AO397" i="14"/>
  <c r="AN398" i="14"/>
  <c r="AO398" i="14"/>
  <c r="AN399" i="14"/>
  <c r="AO399" i="14"/>
  <c r="AN401" i="14"/>
  <c r="AO401" i="14"/>
  <c r="AN402" i="14"/>
  <c r="AO402" i="14"/>
  <c r="AN403" i="14"/>
  <c r="AO403" i="14"/>
  <c r="AN404" i="14"/>
  <c r="AO404" i="14"/>
  <c r="AN405" i="14"/>
  <c r="AO405" i="14"/>
  <c r="AN406" i="14"/>
  <c r="AO406" i="14"/>
  <c r="AN407" i="14"/>
  <c r="AO407" i="14"/>
  <c r="AN408" i="14"/>
  <c r="AO408" i="14"/>
  <c r="AN409" i="14"/>
  <c r="AO409" i="14"/>
  <c r="AN410" i="14"/>
  <c r="AO410" i="14"/>
  <c r="AN411" i="14"/>
  <c r="AO411" i="14"/>
  <c r="AN412" i="14"/>
  <c r="AO412" i="14"/>
  <c r="AN414" i="14"/>
  <c r="AO414" i="14"/>
  <c r="AN415" i="14"/>
  <c r="AO415" i="14"/>
  <c r="AN416" i="14"/>
  <c r="AO416" i="14"/>
  <c r="AN417" i="14"/>
  <c r="AO417" i="14"/>
  <c r="AN418" i="14"/>
  <c r="AO418" i="14"/>
  <c r="AN419" i="14"/>
  <c r="AO419" i="14"/>
  <c r="AN420" i="14"/>
  <c r="AO420" i="14"/>
  <c r="AN421" i="14"/>
  <c r="AO421" i="14"/>
  <c r="AN422" i="14"/>
  <c r="AO422" i="14"/>
  <c r="AN423" i="14"/>
  <c r="AO423" i="14"/>
  <c r="AN424" i="14"/>
  <c r="AO424" i="14"/>
  <c r="AN425" i="14"/>
  <c r="AO425" i="14"/>
  <c r="AN426" i="14"/>
  <c r="AO426" i="14"/>
  <c r="AN427" i="14"/>
  <c r="AO427" i="14"/>
  <c r="AN428" i="14"/>
  <c r="AO428" i="14"/>
  <c r="AN429" i="14"/>
  <c r="AO429" i="14"/>
  <c r="AN430" i="14"/>
  <c r="AO430" i="14"/>
  <c r="AN431" i="14"/>
  <c r="AO431" i="14"/>
  <c r="AN432" i="14"/>
  <c r="AO432" i="14"/>
  <c r="AN433" i="14"/>
  <c r="AO433" i="14"/>
  <c r="AN434" i="14"/>
  <c r="AO434" i="14"/>
  <c r="AN435" i="14"/>
  <c r="AO435" i="14"/>
  <c r="AN436" i="14"/>
  <c r="AO436" i="14"/>
  <c r="AN437" i="14"/>
  <c r="AO437" i="14"/>
  <c r="AN438" i="14"/>
  <c r="AO438" i="14"/>
  <c r="AN439" i="14"/>
  <c r="AO439" i="14"/>
  <c r="AN440" i="14"/>
  <c r="AO440" i="14"/>
  <c r="AN441" i="14"/>
  <c r="AO441" i="14"/>
  <c r="AN442" i="14"/>
  <c r="AO442" i="14"/>
  <c r="AN443" i="14"/>
  <c r="AO443" i="14"/>
  <c r="AN444" i="14"/>
  <c r="AO444" i="14"/>
  <c r="AN445" i="14"/>
  <c r="AO445" i="14"/>
  <c r="AN446" i="14"/>
  <c r="AO446" i="14"/>
  <c r="AN447" i="14"/>
  <c r="AO447" i="14"/>
  <c r="AN448" i="14"/>
  <c r="AO448" i="14"/>
  <c r="AN449" i="14"/>
  <c r="AO449" i="14"/>
  <c r="AN450" i="14"/>
  <c r="AO450" i="14"/>
  <c r="AN451" i="14"/>
  <c r="AO451" i="14"/>
  <c r="AN452" i="14"/>
  <c r="AO452" i="14"/>
  <c r="AN453" i="14"/>
  <c r="AO453" i="14"/>
  <c r="AN454" i="14"/>
  <c r="AO454" i="14"/>
  <c r="AN455" i="14"/>
  <c r="AO455" i="14"/>
  <c r="AN457" i="14"/>
  <c r="AO457" i="14"/>
  <c r="AN458" i="14"/>
  <c r="AO458" i="14"/>
  <c r="AN459" i="14"/>
  <c r="AO459" i="14"/>
  <c r="AN460" i="14"/>
  <c r="AO460" i="14"/>
  <c r="AN461" i="14"/>
  <c r="AO461" i="14"/>
  <c r="AN462" i="14"/>
  <c r="AO462" i="14"/>
  <c r="AN463" i="14"/>
  <c r="AO463" i="14"/>
  <c r="AN464" i="14"/>
  <c r="AO464" i="14"/>
  <c r="AN465" i="14"/>
  <c r="AO465" i="14"/>
  <c r="AN466" i="14"/>
  <c r="AO466" i="14"/>
  <c r="AN467" i="14"/>
  <c r="AO467" i="14"/>
  <c r="AN468" i="14"/>
  <c r="AO468" i="14"/>
  <c r="AN469" i="14"/>
  <c r="AO469" i="14"/>
  <c r="AN470" i="14"/>
  <c r="AO470" i="14"/>
  <c r="AN471" i="14"/>
  <c r="AO471" i="14"/>
  <c r="AN472" i="14"/>
  <c r="AO472" i="14"/>
  <c r="AN473" i="14"/>
  <c r="AO473" i="14"/>
  <c r="AN474" i="14"/>
  <c r="AO474" i="14"/>
  <c r="AN475" i="14"/>
  <c r="AO475" i="14"/>
  <c r="AN476" i="14"/>
  <c r="AO476" i="14"/>
  <c r="AN477" i="14"/>
  <c r="AO477" i="14"/>
  <c r="AN478" i="14"/>
  <c r="AO478" i="14"/>
  <c r="AN479" i="14"/>
  <c r="AO479" i="14"/>
  <c r="AN480" i="14"/>
  <c r="AO480" i="14"/>
  <c r="AN481" i="14"/>
  <c r="AO481" i="14"/>
  <c r="AN482" i="14"/>
  <c r="AO482" i="14"/>
  <c r="AN483" i="14"/>
  <c r="AO483" i="14"/>
  <c r="AN484" i="14"/>
  <c r="AO484" i="14"/>
  <c r="AN485" i="14"/>
  <c r="AO485" i="14"/>
  <c r="AN486" i="14"/>
  <c r="AO486" i="14"/>
  <c r="AN487" i="14"/>
  <c r="AO487" i="14"/>
  <c r="AN488" i="14"/>
  <c r="AO488" i="14"/>
  <c r="AN489" i="14"/>
  <c r="AO489" i="14"/>
  <c r="AN490" i="14"/>
  <c r="AO490" i="14"/>
  <c r="AN491" i="14"/>
  <c r="AO491" i="14"/>
  <c r="AN492" i="14"/>
  <c r="AO492" i="14"/>
  <c r="AN493" i="14"/>
  <c r="AO493" i="14"/>
  <c r="AN494" i="14"/>
  <c r="AO494" i="14"/>
  <c r="AN495" i="14"/>
  <c r="AO495" i="14"/>
  <c r="AN496" i="14"/>
  <c r="AO496" i="14"/>
  <c r="AN497" i="14"/>
  <c r="AO497" i="14"/>
  <c r="AN498" i="14"/>
  <c r="AO498" i="14"/>
  <c r="AN499" i="14"/>
  <c r="AO499" i="14"/>
  <c r="AN500" i="14"/>
  <c r="AO500" i="14"/>
  <c r="AN501" i="14"/>
  <c r="AO501" i="14"/>
  <c r="AN502" i="14"/>
  <c r="AO502" i="14"/>
  <c r="AN503" i="14"/>
  <c r="AO503" i="14"/>
  <c r="AN504" i="14"/>
  <c r="AO504" i="14"/>
  <c r="AN505" i="14"/>
  <c r="AO505" i="14"/>
  <c r="AN506" i="14"/>
  <c r="AO506" i="14"/>
  <c r="AN507" i="14"/>
  <c r="AO507" i="14"/>
  <c r="AN508" i="14"/>
  <c r="AO508" i="14"/>
  <c r="AN509" i="14"/>
  <c r="AO509" i="14"/>
  <c r="AN510" i="14"/>
  <c r="AO510" i="14"/>
  <c r="AN511" i="14"/>
  <c r="AO511" i="14"/>
  <c r="AN512" i="14"/>
  <c r="AO512" i="14"/>
  <c r="AN513" i="14"/>
  <c r="AO513" i="14"/>
  <c r="AN514" i="14"/>
  <c r="AO514" i="14"/>
  <c r="AN515" i="14"/>
  <c r="AO515" i="14"/>
  <c r="AN516" i="14"/>
  <c r="AO516" i="14"/>
  <c r="AN517" i="14"/>
  <c r="AO517" i="14"/>
  <c r="AN518" i="14"/>
  <c r="AO518" i="14"/>
  <c r="AN519" i="14"/>
  <c r="AO519" i="14"/>
  <c r="AN520" i="14"/>
  <c r="AO520" i="14"/>
  <c r="AN521" i="14"/>
  <c r="AO521" i="14"/>
  <c r="AN522" i="14"/>
  <c r="AO522" i="14"/>
  <c r="AN523" i="14"/>
  <c r="AO523" i="14"/>
  <c r="AN524" i="14"/>
  <c r="AO524" i="14"/>
  <c r="AN525" i="14"/>
  <c r="AO525" i="14"/>
  <c r="AN526" i="14"/>
  <c r="AO526" i="14"/>
  <c r="AN527" i="14"/>
  <c r="AO527" i="14"/>
  <c r="AN528" i="14"/>
  <c r="AO528" i="14"/>
  <c r="AN529" i="14"/>
  <c r="AO529" i="14"/>
  <c r="AN530" i="14"/>
  <c r="AO530" i="14"/>
  <c r="AN531" i="14"/>
  <c r="AO531" i="14"/>
  <c r="AN532" i="14"/>
  <c r="AO532" i="14"/>
  <c r="AN533" i="14"/>
  <c r="AO533" i="14"/>
  <c r="AN534" i="14"/>
  <c r="AO534" i="14"/>
  <c r="AN535" i="14"/>
  <c r="AO535" i="14"/>
  <c r="AN536" i="14"/>
  <c r="AO536" i="14"/>
  <c r="AN537" i="14"/>
  <c r="AO537" i="14"/>
  <c r="AN538" i="14"/>
  <c r="AO538" i="14"/>
  <c r="AN539" i="14"/>
  <c r="AO539" i="14"/>
  <c r="AN540" i="14"/>
  <c r="AO540" i="14"/>
  <c r="AN541" i="14"/>
  <c r="AO541" i="14"/>
  <c r="AN542" i="14"/>
  <c r="AO542" i="14"/>
  <c r="AN543" i="14"/>
  <c r="AO543" i="14"/>
  <c r="AN544" i="14"/>
  <c r="AO544" i="14"/>
  <c r="AN545" i="14"/>
  <c r="AO545" i="14"/>
  <c r="AN546" i="14"/>
  <c r="AO546" i="14"/>
  <c r="AN547" i="14"/>
  <c r="AO547" i="14"/>
  <c r="AN548" i="14"/>
  <c r="AO548" i="14"/>
  <c r="AN549" i="14"/>
  <c r="AO549" i="14"/>
  <c r="AN550" i="14"/>
  <c r="AO550" i="14"/>
  <c r="AN551" i="14"/>
  <c r="AO551" i="14"/>
  <c r="AN552" i="14"/>
  <c r="AO552" i="14"/>
  <c r="AN553" i="14"/>
  <c r="AO553" i="14"/>
  <c r="AN554" i="14"/>
  <c r="AO554" i="14"/>
  <c r="AN555" i="14"/>
  <c r="AO555" i="14"/>
  <c r="AN556" i="14"/>
  <c r="AO556" i="14"/>
  <c r="AN557" i="14"/>
  <c r="AO557" i="14"/>
  <c r="AN558" i="14"/>
  <c r="AO558" i="14"/>
  <c r="AN559" i="14"/>
  <c r="AO559" i="14"/>
  <c r="AN560" i="14"/>
  <c r="AO560" i="14"/>
  <c r="AN561" i="14"/>
  <c r="AO561" i="14"/>
  <c r="AN562" i="14"/>
  <c r="AO562" i="14"/>
  <c r="AN563" i="14"/>
  <c r="AO563" i="14"/>
  <c r="AN564" i="14"/>
  <c r="AO564" i="14"/>
  <c r="AN565" i="14"/>
  <c r="AO565" i="14"/>
  <c r="AN566" i="14"/>
  <c r="AO566" i="14"/>
  <c r="AN567" i="14"/>
  <c r="AO567" i="14"/>
  <c r="AN568" i="14"/>
  <c r="AO568" i="14"/>
  <c r="AN569" i="14"/>
  <c r="AO569" i="14"/>
  <c r="AN570" i="14"/>
  <c r="AO570" i="14"/>
  <c r="AN571" i="14"/>
  <c r="AO571" i="14"/>
  <c r="AN572" i="14"/>
  <c r="AO572" i="14"/>
  <c r="AN573" i="14"/>
  <c r="AO573" i="14"/>
  <c r="AN574" i="14"/>
  <c r="AO574" i="14"/>
  <c r="AN575" i="14"/>
  <c r="AO575" i="14"/>
  <c r="AN576" i="14"/>
  <c r="AO576" i="14"/>
  <c r="AN577" i="14"/>
  <c r="AO577" i="14"/>
  <c r="AN578" i="14"/>
  <c r="AO578" i="14"/>
  <c r="AN579" i="14"/>
  <c r="AO579" i="14"/>
  <c r="AN580" i="14"/>
  <c r="AO580" i="14"/>
  <c r="AN581" i="14"/>
  <c r="AO581" i="14"/>
  <c r="AN582" i="14"/>
  <c r="AO582" i="14"/>
  <c r="AN583" i="14"/>
  <c r="AO583" i="14"/>
  <c r="AN584" i="14"/>
  <c r="AO584" i="14"/>
  <c r="AN585" i="14"/>
  <c r="AO585" i="14"/>
  <c r="AN586" i="14"/>
  <c r="AO586" i="14"/>
  <c r="AN587" i="14"/>
  <c r="AO587" i="14"/>
  <c r="AN588" i="14"/>
  <c r="AO588" i="14"/>
  <c r="AN589" i="14"/>
  <c r="AO589" i="14"/>
  <c r="AN590" i="14"/>
  <c r="AO590" i="14"/>
  <c r="AN591" i="14"/>
  <c r="AO591" i="14"/>
  <c r="AN592" i="14"/>
  <c r="AO592" i="14"/>
  <c r="AN593" i="14"/>
  <c r="AO593" i="14"/>
  <c r="AN594" i="14"/>
  <c r="AO594" i="14"/>
  <c r="AN595" i="14"/>
  <c r="AO595" i="14"/>
  <c r="AN596" i="14"/>
  <c r="AO596" i="14"/>
  <c r="AN597" i="14"/>
  <c r="AO597" i="14"/>
  <c r="AN598" i="14"/>
  <c r="AO598" i="14"/>
  <c r="AN599" i="14"/>
  <c r="AO599" i="14"/>
  <c r="AN600" i="14"/>
  <c r="AO600" i="14"/>
  <c r="AN601" i="14"/>
  <c r="AO601" i="14"/>
  <c r="AN602" i="14"/>
  <c r="AO602" i="14"/>
  <c r="AN603" i="14"/>
  <c r="AO603" i="14"/>
  <c r="AN604" i="14"/>
  <c r="AO604" i="14"/>
  <c r="AN605" i="14"/>
  <c r="AO605" i="14"/>
  <c r="AN606" i="14"/>
  <c r="AO606" i="14"/>
  <c r="AN607" i="14"/>
  <c r="AO607" i="14"/>
  <c r="AN608" i="14"/>
  <c r="AO608" i="14"/>
  <c r="AN609" i="14"/>
  <c r="AO609" i="14"/>
  <c r="AN610" i="14"/>
  <c r="AO610" i="14"/>
  <c r="AN611" i="14"/>
  <c r="AO611" i="14"/>
  <c r="AN612" i="14"/>
  <c r="AO612" i="14"/>
  <c r="AN613" i="14"/>
  <c r="AO613" i="14"/>
  <c r="AN614" i="14"/>
  <c r="AO614" i="14"/>
  <c r="AN615" i="14"/>
  <c r="AO615" i="14"/>
  <c r="AN616" i="14"/>
  <c r="AO616" i="14"/>
  <c r="AN617" i="14"/>
  <c r="AO617" i="14"/>
  <c r="AN618" i="14"/>
  <c r="AO618" i="14"/>
  <c r="AO11" i="14"/>
  <c r="AN11" i="14"/>
  <c r="AU12" i="16"/>
  <c r="AU13" i="16"/>
  <c r="AU14" i="16"/>
  <c r="AU15" i="16"/>
  <c r="AU16" i="16"/>
  <c r="AU17" i="16"/>
  <c r="AU18" i="16"/>
  <c r="AU19" i="16"/>
  <c r="AU20" i="16"/>
  <c r="AU21" i="16"/>
  <c r="AU22" i="16"/>
  <c r="AU23" i="16"/>
  <c r="AU24" i="16"/>
  <c r="AU25" i="16"/>
  <c r="AU26" i="16"/>
  <c r="AU27" i="16"/>
  <c r="AU28" i="16"/>
  <c r="AU29" i="16"/>
  <c r="AU30" i="16"/>
  <c r="AU31" i="16"/>
  <c r="AU32" i="16"/>
  <c r="AU33" i="16"/>
  <c r="AU34" i="16"/>
  <c r="AU35" i="16"/>
  <c r="AU36" i="16"/>
  <c r="AU37" i="16"/>
  <c r="AU38" i="16"/>
  <c r="AU39" i="16"/>
  <c r="AU40" i="16"/>
  <c r="AU41" i="16"/>
  <c r="AU42" i="16"/>
  <c r="AU43" i="16"/>
  <c r="AU44" i="16"/>
  <c r="AU45" i="16"/>
  <c r="AU46" i="16"/>
  <c r="AU47" i="16"/>
  <c r="AU48" i="16"/>
  <c r="AU49" i="16"/>
  <c r="AU50" i="16"/>
  <c r="AU51" i="16"/>
  <c r="AU52" i="16"/>
  <c r="AU53" i="16"/>
  <c r="AU54" i="16"/>
  <c r="AU55" i="16"/>
  <c r="AU56" i="16"/>
  <c r="AU57" i="16"/>
  <c r="AU58" i="16"/>
  <c r="AU59" i="16"/>
  <c r="AU60" i="16"/>
  <c r="AU61" i="16"/>
  <c r="AU62" i="16"/>
  <c r="AU63" i="16"/>
  <c r="AU64" i="16"/>
  <c r="AU65" i="16"/>
  <c r="AU66" i="16"/>
  <c r="AU67" i="16"/>
  <c r="AU68" i="16"/>
  <c r="AU69" i="16"/>
  <c r="AU70" i="16"/>
  <c r="AU71" i="16"/>
  <c r="AU72" i="16"/>
  <c r="AU73" i="16"/>
  <c r="AU74" i="16"/>
  <c r="AU75" i="16"/>
  <c r="AU76" i="16"/>
  <c r="AU77" i="16"/>
  <c r="AU78" i="16"/>
  <c r="AU79" i="16"/>
  <c r="AU80" i="16"/>
  <c r="AU81" i="16"/>
  <c r="AU82" i="16"/>
  <c r="AU83" i="16"/>
  <c r="AU84" i="16"/>
  <c r="AU85" i="16"/>
  <c r="AU86" i="16"/>
  <c r="AU87" i="16"/>
  <c r="AU89" i="16"/>
  <c r="AU88" i="16"/>
  <c r="AU90" i="16"/>
  <c r="AU91" i="16"/>
  <c r="AU92" i="16"/>
  <c r="AU93" i="16"/>
  <c r="AU94" i="16"/>
  <c r="AU95" i="16"/>
  <c r="AU96" i="16"/>
  <c r="AU97" i="16"/>
  <c r="AU98" i="16"/>
  <c r="AU99" i="16"/>
  <c r="AU100" i="16"/>
  <c r="AU101" i="16"/>
  <c r="AU102" i="16"/>
  <c r="AU103" i="16"/>
  <c r="AU104" i="16"/>
  <c r="AU105" i="16"/>
  <c r="AU106" i="16"/>
  <c r="AU107" i="16"/>
  <c r="AU108" i="16"/>
  <c r="AU109" i="16"/>
  <c r="AU110" i="16"/>
  <c r="AU111" i="16"/>
  <c r="AU112" i="16"/>
  <c r="AU113" i="16"/>
  <c r="AU114" i="16"/>
  <c r="AU115" i="16"/>
  <c r="AU116" i="16"/>
  <c r="AU117" i="16"/>
  <c r="AU118" i="16"/>
  <c r="AU119" i="16"/>
  <c r="AU120" i="16"/>
  <c r="AU121" i="16"/>
  <c r="AU122" i="16"/>
  <c r="AU123" i="16"/>
  <c r="AU124" i="16"/>
  <c r="AU125" i="16"/>
  <c r="AU126" i="16"/>
  <c r="AU127" i="16"/>
  <c r="AU128" i="16"/>
  <c r="AU129" i="16"/>
  <c r="AU130" i="16"/>
  <c r="AU131" i="16"/>
  <c r="AU132" i="16"/>
  <c r="AU133" i="16"/>
  <c r="AU134" i="16"/>
  <c r="AU135" i="16"/>
  <c r="AU136" i="16"/>
  <c r="AU137" i="16"/>
  <c r="AU138" i="16"/>
  <c r="AU139" i="16"/>
  <c r="AU140" i="16"/>
  <c r="AU141" i="16"/>
  <c r="AU142" i="16"/>
  <c r="AU143" i="16"/>
  <c r="AU144" i="16"/>
  <c r="AU145" i="16"/>
  <c r="AU146" i="16"/>
  <c r="AU147" i="16"/>
  <c r="AU148" i="16"/>
  <c r="AU149" i="16"/>
  <c r="AU150" i="16"/>
  <c r="AU151" i="16"/>
  <c r="AU152" i="16"/>
  <c r="AU153" i="16"/>
  <c r="AU154" i="16"/>
  <c r="AU155" i="16"/>
  <c r="AU156" i="16"/>
  <c r="AU157" i="16"/>
  <c r="AU158" i="16"/>
  <c r="AU159" i="16"/>
  <c r="AU160" i="16"/>
  <c r="AU161" i="16"/>
  <c r="AU162" i="16"/>
  <c r="AU163" i="16"/>
  <c r="AU164" i="16"/>
  <c r="AU165" i="16"/>
  <c r="AU166" i="16"/>
  <c r="AU167" i="16"/>
  <c r="AU168" i="16"/>
  <c r="AU169" i="16"/>
  <c r="AU170" i="16"/>
  <c r="AU171" i="16"/>
  <c r="AU172" i="16"/>
  <c r="AU173" i="16"/>
  <c r="AU174" i="16"/>
  <c r="AU175" i="16"/>
  <c r="AU176" i="16"/>
  <c r="AU177" i="16"/>
  <c r="AU178" i="16"/>
  <c r="AU179" i="16"/>
  <c r="AU180" i="16"/>
  <c r="AU181" i="16"/>
  <c r="AU182" i="16"/>
  <c r="AU183" i="16"/>
  <c r="AU184" i="16"/>
  <c r="AU185" i="16"/>
  <c r="AU186" i="16"/>
  <c r="AU187" i="16"/>
  <c r="AU188" i="16"/>
  <c r="AU189" i="16"/>
  <c r="AU190" i="16"/>
  <c r="AU191" i="16"/>
  <c r="AU192" i="16"/>
  <c r="AU193" i="16"/>
  <c r="AU194" i="16"/>
  <c r="AU195" i="16"/>
  <c r="AU196" i="16"/>
  <c r="AU197" i="16"/>
  <c r="AU198" i="16"/>
  <c r="AU199" i="16"/>
  <c r="AU200" i="16"/>
  <c r="AU201" i="16"/>
  <c r="AU202" i="16"/>
  <c r="AU203" i="16"/>
  <c r="AU204" i="16"/>
  <c r="AU205" i="16"/>
  <c r="AU206" i="16"/>
  <c r="AU207" i="16"/>
  <c r="AU208" i="16"/>
  <c r="AU209" i="16"/>
  <c r="AU210" i="16"/>
  <c r="AU211" i="16"/>
  <c r="AU212" i="16"/>
  <c r="AU213" i="16"/>
  <c r="AU214" i="16"/>
  <c r="AU215" i="16"/>
  <c r="AU216" i="16"/>
  <c r="AU217" i="16"/>
  <c r="AU218" i="16"/>
  <c r="AU219" i="16"/>
  <c r="AU220" i="16"/>
  <c r="AU221" i="16"/>
  <c r="AU222" i="16"/>
  <c r="AU223" i="16"/>
  <c r="AU224" i="16"/>
  <c r="AU225" i="16"/>
  <c r="AU226" i="16"/>
  <c r="AU227" i="16"/>
  <c r="AU228" i="16"/>
  <c r="AU229" i="16"/>
  <c r="AU230" i="16"/>
  <c r="AU231" i="16"/>
  <c r="AU232" i="16"/>
  <c r="AU233" i="16"/>
  <c r="AU234" i="16"/>
  <c r="AU235" i="16"/>
  <c r="AU236" i="16"/>
  <c r="AU237" i="16"/>
  <c r="AU238" i="16"/>
  <c r="AU239" i="16"/>
  <c r="AU240" i="16"/>
  <c r="AU241" i="16"/>
  <c r="AU242" i="16"/>
  <c r="AU243" i="16"/>
  <c r="AU244" i="16"/>
  <c r="AU245" i="16"/>
  <c r="AU246" i="16"/>
  <c r="AU247" i="16"/>
  <c r="AU248" i="16"/>
  <c r="AU249" i="16"/>
  <c r="AU250" i="16"/>
  <c r="AU251" i="16"/>
  <c r="AU252" i="16"/>
  <c r="AU253" i="16"/>
  <c r="AU254" i="16"/>
  <c r="AU255" i="16"/>
  <c r="AU256" i="16"/>
  <c r="AU257" i="16"/>
  <c r="AU258" i="16"/>
  <c r="AU259" i="16"/>
  <c r="AU260" i="16"/>
  <c r="AU261" i="16"/>
  <c r="AU262" i="16"/>
  <c r="AU263" i="16"/>
  <c r="AU264" i="16"/>
  <c r="AU265" i="16"/>
  <c r="AU266" i="16"/>
  <c r="AU267" i="16"/>
  <c r="AU268" i="16"/>
  <c r="AU269" i="16"/>
  <c r="AU270" i="16"/>
  <c r="AU271" i="16"/>
  <c r="AU272" i="16"/>
  <c r="AU273" i="16"/>
  <c r="AU274" i="16"/>
  <c r="AU275" i="16"/>
  <c r="AU276" i="16"/>
  <c r="AU277" i="16"/>
  <c r="AU278" i="16"/>
  <c r="AU279" i="16"/>
  <c r="AU280" i="16"/>
  <c r="AU281" i="16"/>
  <c r="AU282" i="16"/>
  <c r="AU283" i="16"/>
  <c r="AU284" i="16"/>
  <c r="AU285" i="16"/>
  <c r="AU286" i="16"/>
  <c r="AU287" i="16"/>
  <c r="AU288" i="16"/>
  <c r="AU291" i="16"/>
  <c r="AU292" i="16"/>
  <c r="AU289" i="16"/>
  <c r="AU293" i="16"/>
  <c r="AU294" i="16"/>
  <c r="AU295" i="16"/>
  <c r="AU296" i="16"/>
  <c r="AU297" i="16"/>
  <c r="AU298" i="16"/>
  <c r="AU299" i="16"/>
  <c r="AU300" i="16"/>
  <c r="AU301" i="16"/>
  <c r="AU302" i="16"/>
  <c r="AU303" i="16"/>
  <c r="AU304" i="16"/>
  <c r="AU305" i="16"/>
  <c r="AU306" i="16"/>
  <c r="AU307" i="16"/>
  <c r="AU308" i="16"/>
  <c r="AU309" i="16"/>
  <c r="AU310" i="16"/>
  <c r="AU311" i="16"/>
  <c r="AU312" i="16"/>
  <c r="AU313" i="16"/>
  <c r="AU314" i="16"/>
  <c r="AU315" i="16"/>
  <c r="AU316" i="16"/>
  <c r="AU317" i="16"/>
  <c r="AU319" i="16"/>
  <c r="AU320" i="16"/>
  <c r="AU321" i="16"/>
  <c r="AU322" i="16"/>
  <c r="AU323" i="16"/>
  <c r="AU324" i="16"/>
  <c r="AU325" i="16"/>
  <c r="AU326" i="16"/>
  <c r="AU327" i="16"/>
  <c r="AU328" i="16"/>
  <c r="AU329" i="16"/>
  <c r="AU330" i="16"/>
  <c r="AU331" i="16"/>
  <c r="AU332" i="16"/>
  <c r="AU333" i="16"/>
  <c r="AU334" i="16"/>
  <c r="AU335" i="16"/>
  <c r="AU336" i="16"/>
  <c r="AU337" i="16"/>
  <c r="AU338" i="16"/>
  <c r="AU339" i="16"/>
  <c r="AU340" i="16"/>
  <c r="AU341" i="16"/>
  <c r="AU342" i="16"/>
  <c r="AU343" i="16"/>
  <c r="AU344" i="16"/>
  <c r="AU345" i="16"/>
  <c r="AU347" i="16"/>
  <c r="AU348" i="16"/>
  <c r="AU349" i="16"/>
  <c r="AU350" i="16"/>
  <c r="AU351" i="16"/>
  <c r="AU352" i="16"/>
  <c r="AU353" i="16"/>
  <c r="AU354" i="16"/>
  <c r="AU355" i="16"/>
  <c r="AU356" i="16"/>
  <c r="AU357" i="16"/>
  <c r="AU358" i="16"/>
  <c r="AU359" i="16"/>
  <c r="AU360" i="16"/>
  <c r="AU361" i="16"/>
  <c r="AU362" i="16"/>
  <c r="AU363" i="16"/>
  <c r="AU364" i="16"/>
  <c r="AU365" i="16"/>
  <c r="AU366" i="16"/>
  <c r="AU367" i="16"/>
  <c r="AU368" i="16"/>
  <c r="AU369" i="16"/>
  <c r="AU370" i="16"/>
  <c r="AU371" i="16"/>
  <c r="AU372" i="16"/>
  <c r="AU373" i="16"/>
  <c r="AU374" i="16"/>
  <c r="AU375" i="16"/>
  <c r="AU376" i="16"/>
  <c r="AU377" i="16"/>
  <c r="AU378" i="16"/>
  <c r="AU379" i="16"/>
  <c r="AU380" i="16"/>
  <c r="AU381" i="16"/>
  <c r="AU382" i="16"/>
  <c r="AU383" i="16"/>
  <c r="AU384" i="16"/>
  <c r="AU385" i="16"/>
  <c r="AU386" i="16"/>
  <c r="AU387" i="16"/>
  <c r="AU388" i="16"/>
  <c r="AU389" i="16"/>
  <c r="AU390" i="16"/>
  <c r="AU391" i="16"/>
  <c r="AU392" i="16"/>
  <c r="AU393" i="16"/>
  <c r="AU394" i="16"/>
  <c r="AU395" i="16"/>
  <c r="AU396" i="16"/>
  <c r="AU397" i="16"/>
  <c r="AU398" i="16"/>
  <c r="AU399" i="16"/>
  <c r="AU401" i="16"/>
  <c r="AU402" i="16"/>
  <c r="AU403" i="16"/>
  <c r="AU404" i="16"/>
  <c r="AU405" i="16"/>
  <c r="AU406" i="16"/>
  <c r="AU407" i="16"/>
  <c r="AU408" i="16"/>
  <c r="AU409" i="16"/>
  <c r="AU410" i="16"/>
  <c r="AU411" i="16"/>
  <c r="AU412" i="16"/>
  <c r="AU414" i="16"/>
  <c r="AU415" i="16"/>
  <c r="AU416" i="16"/>
  <c r="AU417" i="16"/>
  <c r="AU418" i="16"/>
  <c r="AU419" i="16"/>
  <c r="AU420" i="16"/>
  <c r="AU421" i="16"/>
  <c r="AU422" i="16"/>
  <c r="AU423" i="16"/>
  <c r="AU424" i="16"/>
  <c r="AU425" i="16"/>
  <c r="AU426" i="16"/>
  <c r="AU427" i="16"/>
  <c r="AU428" i="16"/>
  <c r="AU429" i="16"/>
  <c r="AU430" i="16"/>
  <c r="AU431" i="16"/>
  <c r="AU432" i="16"/>
  <c r="AU433" i="16"/>
  <c r="AU434" i="16"/>
  <c r="AU435" i="16"/>
  <c r="AU436" i="16"/>
  <c r="AU437" i="16"/>
  <c r="AU438" i="16"/>
  <c r="AU439" i="16"/>
  <c r="AU440" i="16"/>
  <c r="AU441" i="16"/>
  <c r="AU442" i="16"/>
  <c r="AU443" i="16"/>
  <c r="AU444" i="16"/>
  <c r="AU445" i="16"/>
  <c r="AU446" i="16"/>
  <c r="AU447" i="16"/>
  <c r="AU448" i="16"/>
  <c r="AU449" i="16"/>
  <c r="AU450" i="16"/>
  <c r="AU451" i="16"/>
  <c r="AU452" i="16"/>
  <c r="AU453" i="16"/>
  <c r="AU454" i="16"/>
  <c r="AU455" i="16"/>
  <c r="AU457" i="16"/>
  <c r="AU458" i="16"/>
  <c r="AU459" i="16"/>
  <c r="AU460" i="16"/>
  <c r="AU461" i="16"/>
  <c r="AU462" i="16"/>
  <c r="AU463" i="16"/>
  <c r="AU464" i="16"/>
  <c r="AU465" i="16"/>
  <c r="AU466" i="16"/>
  <c r="AU467" i="16"/>
  <c r="AU468" i="16"/>
  <c r="AU469" i="16"/>
  <c r="AU470" i="16"/>
  <c r="AU471" i="16"/>
  <c r="AU472" i="16"/>
  <c r="AU473" i="16"/>
  <c r="AU474" i="16"/>
  <c r="AU475" i="16"/>
  <c r="AU476" i="16"/>
  <c r="AU477" i="16"/>
  <c r="AU478" i="16"/>
  <c r="AU479" i="16"/>
  <c r="AU480" i="16"/>
  <c r="AU481" i="16"/>
  <c r="AU482" i="16"/>
  <c r="AU483" i="16"/>
  <c r="AU484" i="16"/>
  <c r="AU485" i="16"/>
  <c r="AU486" i="16"/>
  <c r="AU487" i="16"/>
  <c r="AU488" i="16"/>
  <c r="AU489" i="16"/>
  <c r="AU490" i="16"/>
  <c r="AU491" i="16"/>
  <c r="AU492" i="16"/>
  <c r="AU493" i="16"/>
  <c r="AU494" i="16"/>
  <c r="AU495" i="16"/>
  <c r="AU496" i="16"/>
  <c r="AU497" i="16"/>
  <c r="AU498" i="16"/>
  <c r="AU499" i="16"/>
  <c r="AU500" i="16"/>
  <c r="AU501" i="16"/>
  <c r="AU502" i="16"/>
  <c r="AU503" i="16"/>
  <c r="AU504" i="16"/>
  <c r="AU505" i="16"/>
  <c r="AU506" i="16"/>
  <c r="AU507" i="16"/>
  <c r="AU508" i="16"/>
  <c r="AU509" i="16"/>
  <c r="AU510" i="16"/>
  <c r="AU511" i="16"/>
  <c r="AU512" i="16"/>
  <c r="AU513" i="16"/>
  <c r="AU514" i="16"/>
  <c r="AU515" i="16"/>
  <c r="AU516" i="16"/>
  <c r="AU517" i="16"/>
  <c r="AU518" i="16"/>
  <c r="AU519" i="16"/>
  <c r="AU520" i="16"/>
  <c r="AU521" i="16"/>
  <c r="AU522" i="16"/>
  <c r="AU523" i="16"/>
  <c r="AU524" i="16"/>
  <c r="AU525" i="16"/>
  <c r="AU526" i="16"/>
  <c r="AU527" i="16"/>
  <c r="AU528" i="16"/>
  <c r="AU529" i="16"/>
  <c r="AU530" i="16"/>
  <c r="AU531" i="16"/>
  <c r="AU532" i="16"/>
  <c r="AU533" i="16"/>
  <c r="AU534" i="16"/>
  <c r="AU535" i="16"/>
  <c r="AU536" i="16"/>
  <c r="AU537" i="16"/>
  <c r="AU538" i="16"/>
  <c r="AU539" i="16"/>
  <c r="AU540" i="16"/>
  <c r="AU541" i="16"/>
  <c r="AU542" i="16"/>
  <c r="AU543" i="16"/>
  <c r="AU544" i="16"/>
  <c r="AU545" i="16"/>
  <c r="AU546" i="16"/>
  <c r="AU547" i="16"/>
  <c r="AU548" i="16"/>
  <c r="AU549" i="16"/>
  <c r="AU550" i="16"/>
  <c r="AU551" i="16"/>
  <c r="AU552" i="16"/>
  <c r="AU553" i="16"/>
  <c r="AU554" i="16"/>
  <c r="AU555" i="16"/>
  <c r="AU556" i="16"/>
  <c r="AU557" i="16"/>
  <c r="AU558" i="16"/>
  <c r="AU559" i="16"/>
  <c r="AU560" i="16"/>
  <c r="AU561" i="16"/>
  <c r="AU562" i="16"/>
  <c r="AU563" i="16"/>
  <c r="AU564" i="16"/>
  <c r="AU565" i="16"/>
  <c r="AU566" i="16"/>
  <c r="AU567" i="16"/>
  <c r="AU568" i="16"/>
  <c r="AU569" i="16"/>
  <c r="AU570" i="16"/>
  <c r="AU571" i="16"/>
  <c r="AU572" i="16"/>
  <c r="AU573" i="16"/>
  <c r="AU574" i="16"/>
  <c r="AU575" i="16"/>
  <c r="AU576" i="16"/>
  <c r="AU577" i="16"/>
  <c r="AU578" i="16"/>
  <c r="AU579" i="16"/>
  <c r="AU580" i="16"/>
  <c r="AU581" i="16"/>
  <c r="AU582" i="16"/>
  <c r="AU583" i="16"/>
  <c r="AU584" i="16"/>
  <c r="AU585" i="16"/>
  <c r="AU586" i="16"/>
  <c r="AU587" i="16"/>
  <c r="AU588" i="16"/>
  <c r="AU589" i="16"/>
  <c r="AU590" i="16"/>
  <c r="AU591" i="16"/>
  <c r="AU592" i="16"/>
  <c r="AU593" i="16"/>
  <c r="AU594" i="16"/>
  <c r="AU595" i="16"/>
  <c r="AU596" i="16"/>
  <c r="AU597" i="16"/>
  <c r="AU598" i="16"/>
  <c r="AU599" i="16"/>
  <c r="AU600" i="16"/>
  <c r="AU601" i="16"/>
  <c r="AU602" i="16"/>
  <c r="AU603" i="16"/>
  <c r="AU604" i="16"/>
  <c r="AU605" i="16"/>
  <c r="AU606" i="16"/>
  <c r="AU607" i="16"/>
  <c r="AU608" i="16"/>
  <c r="AU609" i="16"/>
  <c r="AU610" i="16"/>
  <c r="AU611" i="16"/>
  <c r="AU612" i="16"/>
  <c r="AU613" i="16"/>
  <c r="AU614" i="16"/>
  <c r="AU615" i="16"/>
  <c r="AU616" i="16"/>
  <c r="AU617" i="16"/>
  <c r="AU618" i="16"/>
  <c r="AU11" i="16"/>
  <c r="AS12" i="16"/>
  <c r="AS13" i="16"/>
  <c r="AS14" i="16"/>
  <c r="AS15" i="16"/>
  <c r="AS16" i="16"/>
  <c r="AS17" i="16"/>
  <c r="AS18" i="16"/>
  <c r="AS19" i="16"/>
  <c r="AS20" i="16"/>
  <c r="AS21" i="16"/>
  <c r="AS22" i="16"/>
  <c r="AS23" i="16"/>
  <c r="AS24" i="16"/>
  <c r="AS25" i="16"/>
  <c r="AS26" i="16"/>
  <c r="AS27" i="16"/>
  <c r="AS28" i="16"/>
  <c r="AS29" i="16"/>
  <c r="AS30" i="16"/>
  <c r="AS31" i="16"/>
  <c r="AS32" i="16"/>
  <c r="AS33" i="16"/>
  <c r="AS34" i="16"/>
  <c r="AS35" i="16"/>
  <c r="AS36" i="16"/>
  <c r="AS37" i="16"/>
  <c r="AS38" i="16"/>
  <c r="AS39" i="16"/>
  <c r="AS40" i="16"/>
  <c r="AS41" i="16"/>
  <c r="AS42" i="16"/>
  <c r="AS43" i="16"/>
  <c r="AS44" i="16"/>
  <c r="AS45" i="16"/>
  <c r="AS46" i="16"/>
  <c r="AS47" i="16"/>
  <c r="AS48" i="16"/>
  <c r="AS49" i="16"/>
  <c r="AS50" i="16"/>
  <c r="AS51" i="16"/>
  <c r="AS52" i="16"/>
  <c r="AS53" i="16"/>
  <c r="AS54" i="16"/>
  <c r="AS55" i="16"/>
  <c r="AS56" i="16"/>
  <c r="AS57" i="16"/>
  <c r="AS58" i="16"/>
  <c r="AS59" i="16"/>
  <c r="AS60" i="16"/>
  <c r="AS61" i="16"/>
  <c r="AS62" i="16"/>
  <c r="AS63" i="16"/>
  <c r="AS64" i="16"/>
  <c r="AS65" i="16"/>
  <c r="AS66" i="16"/>
  <c r="AS67" i="16"/>
  <c r="AS68" i="16"/>
  <c r="AS69" i="16"/>
  <c r="AS70" i="16"/>
  <c r="AS71" i="16"/>
  <c r="AS72" i="16"/>
  <c r="AS73" i="16"/>
  <c r="AS74" i="16"/>
  <c r="AS75" i="16"/>
  <c r="AS76" i="16"/>
  <c r="AS77" i="16"/>
  <c r="AS78" i="16"/>
  <c r="AS79" i="16"/>
  <c r="AS80" i="16"/>
  <c r="AS81" i="16"/>
  <c r="AS82" i="16"/>
  <c r="AS83" i="16"/>
  <c r="AS84" i="16"/>
  <c r="AS85" i="16"/>
  <c r="AS86" i="16"/>
  <c r="AS87" i="16"/>
  <c r="AS89" i="16"/>
  <c r="AS88" i="16"/>
  <c r="AS90" i="16"/>
  <c r="AS91" i="16"/>
  <c r="AS92" i="16"/>
  <c r="AS93" i="16"/>
  <c r="AS94" i="16"/>
  <c r="AS95" i="16"/>
  <c r="AS96" i="16"/>
  <c r="AS97" i="16"/>
  <c r="AS98" i="16"/>
  <c r="AS99" i="16"/>
  <c r="AS100" i="16"/>
  <c r="AS101" i="16"/>
  <c r="AS102" i="16"/>
  <c r="AS103" i="16"/>
  <c r="AS104" i="16"/>
  <c r="AS105" i="16"/>
  <c r="AS106" i="16"/>
  <c r="AS107" i="16"/>
  <c r="AS108" i="16"/>
  <c r="AS109" i="16"/>
  <c r="AS110" i="16"/>
  <c r="AS111" i="16"/>
  <c r="AS112" i="16"/>
  <c r="AS113" i="16"/>
  <c r="AS114" i="16"/>
  <c r="AS115" i="16"/>
  <c r="AS116" i="16"/>
  <c r="AS117" i="16"/>
  <c r="AS118" i="16"/>
  <c r="AS119" i="16"/>
  <c r="AS120" i="16"/>
  <c r="AS121" i="16"/>
  <c r="AS122" i="16"/>
  <c r="AS123" i="16"/>
  <c r="AS124" i="16"/>
  <c r="AS125" i="16"/>
  <c r="AS126" i="16"/>
  <c r="AS127" i="16"/>
  <c r="AS128" i="16"/>
  <c r="AS129" i="16"/>
  <c r="AS130" i="16"/>
  <c r="AS131" i="16"/>
  <c r="AS132" i="16"/>
  <c r="AS133" i="16"/>
  <c r="AS134" i="16"/>
  <c r="AS135" i="16"/>
  <c r="AS136" i="16"/>
  <c r="AS137" i="16"/>
  <c r="AS138" i="16"/>
  <c r="AS139" i="16"/>
  <c r="AS140" i="16"/>
  <c r="AS141" i="16"/>
  <c r="AS142" i="16"/>
  <c r="AS143" i="16"/>
  <c r="AS144" i="16"/>
  <c r="AS145" i="16"/>
  <c r="AS146" i="16"/>
  <c r="AS147" i="16"/>
  <c r="AS148" i="16"/>
  <c r="AS149" i="16"/>
  <c r="AS150" i="16"/>
  <c r="AS151" i="16"/>
  <c r="AS152" i="16"/>
  <c r="AS153" i="16"/>
  <c r="AS154" i="16"/>
  <c r="AS155" i="16"/>
  <c r="AS156" i="16"/>
  <c r="AS157" i="16"/>
  <c r="AS158" i="16"/>
  <c r="AS159" i="16"/>
  <c r="AS160" i="16"/>
  <c r="AS161" i="16"/>
  <c r="AS162" i="16"/>
  <c r="AS163" i="16"/>
  <c r="AS164" i="16"/>
  <c r="AS165" i="16"/>
  <c r="AS166" i="16"/>
  <c r="AS167" i="16"/>
  <c r="AS168" i="16"/>
  <c r="AS169" i="16"/>
  <c r="AS170" i="16"/>
  <c r="AS171" i="16"/>
  <c r="AS172" i="16"/>
  <c r="AS173" i="16"/>
  <c r="AS174" i="16"/>
  <c r="AS175" i="16"/>
  <c r="AS176" i="16"/>
  <c r="AS177" i="16"/>
  <c r="AS178" i="16"/>
  <c r="AS179" i="16"/>
  <c r="AS180" i="16"/>
  <c r="AS181" i="16"/>
  <c r="AS182" i="16"/>
  <c r="AS183" i="16"/>
  <c r="AS184" i="16"/>
  <c r="AS185" i="16"/>
  <c r="AS186" i="16"/>
  <c r="AS187" i="16"/>
  <c r="AS188" i="16"/>
  <c r="AS189" i="16"/>
  <c r="AS190" i="16"/>
  <c r="AS191" i="16"/>
  <c r="AS192" i="16"/>
  <c r="AS193" i="16"/>
  <c r="AS194" i="16"/>
  <c r="AS195" i="16"/>
  <c r="AS196" i="16"/>
  <c r="AS197" i="16"/>
  <c r="AS198" i="16"/>
  <c r="AS199" i="16"/>
  <c r="AS200" i="16"/>
  <c r="AS201" i="16"/>
  <c r="AS202" i="16"/>
  <c r="AS203" i="16"/>
  <c r="AS204" i="16"/>
  <c r="AS205" i="16"/>
  <c r="AS206" i="16"/>
  <c r="AS207" i="16"/>
  <c r="AS208" i="16"/>
  <c r="AS209" i="16"/>
  <c r="AS210" i="16"/>
  <c r="AS211" i="16"/>
  <c r="AS212" i="16"/>
  <c r="AS213" i="16"/>
  <c r="AS214" i="16"/>
  <c r="AS215" i="16"/>
  <c r="AS216" i="16"/>
  <c r="AS217" i="16"/>
  <c r="AS218" i="16"/>
  <c r="AS219" i="16"/>
  <c r="AS220" i="16"/>
  <c r="AS221" i="16"/>
  <c r="AS222" i="16"/>
  <c r="AS223" i="16"/>
  <c r="AS224" i="16"/>
  <c r="AS225" i="16"/>
  <c r="AS226" i="16"/>
  <c r="AS227" i="16"/>
  <c r="AS228" i="16"/>
  <c r="AS229" i="16"/>
  <c r="AS230" i="16"/>
  <c r="AS231" i="16"/>
  <c r="AS232" i="16"/>
  <c r="AS233" i="16"/>
  <c r="AS234" i="16"/>
  <c r="AS235" i="16"/>
  <c r="AS236" i="16"/>
  <c r="AS237" i="16"/>
  <c r="AS238" i="16"/>
  <c r="AS239" i="16"/>
  <c r="AS240" i="16"/>
  <c r="AS241" i="16"/>
  <c r="AS242" i="16"/>
  <c r="AS243" i="16"/>
  <c r="AS244" i="16"/>
  <c r="AS245" i="16"/>
  <c r="AS246" i="16"/>
  <c r="AS247" i="16"/>
  <c r="AS248" i="16"/>
  <c r="AS249" i="16"/>
  <c r="AS250" i="16"/>
  <c r="AS251" i="16"/>
  <c r="AS252" i="16"/>
  <c r="AS253" i="16"/>
  <c r="AS254" i="16"/>
  <c r="AS255" i="16"/>
  <c r="AS256" i="16"/>
  <c r="AS257" i="16"/>
  <c r="AS258" i="16"/>
  <c r="AS259" i="16"/>
  <c r="AS260" i="16"/>
  <c r="AS261" i="16"/>
  <c r="AS262" i="16"/>
  <c r="AS263" i="16"/>
  <c r="AS264" i="16"/>
  <c r="AS265" i="16"/>
  <c r="AS266" i="16"/>
  <c r="AS267" i="16"/>
  <c r="AS268" i="16"/>
  <c r="AS269" i="16"/>
  <c r="AS270" i="16"/>
  <c r="AS271" i="16"/>
  <c r="AS272" i="16"/>
  <c r="AS273" i="16"/>
  <c r="AS274" i="16"/>
  <c r="AS275" i="16"/>
  <c r="AS276" i="16"/>
  <c r="AS277" i="16"/>
  <c r="AS278" i="16"/>
  <c r="AS279" i="16"/>
  <c r="AS280" i="16"/>
  <c r="AS281" i="16"/>
  <c r="AS282" i="16"/>
  <c r="AS283" i="16"/>
  <c r="AS284" i="16"/>
  <c r="AS285" i="16"/>
  <c r="AS286" i="16"/>
  <c r="AS287" i="16"/>
  <c r="AS288" i="16"/>
  <c r="AS291" i="16"/>
  <c r="AS292" i="16"/>
  <c r="AS289" i="16"/>
  <c r="AS293" i="16"/>
  <c r="AS294" i="16"/>
  <c r="AS295" i="16"/>
  <c r="AS296" i="16"/>
  <c r="AS297" i="16"/>
  <c r="AS298" i="16"/>
  <c r="AS299" i="16"/>
  <c r="AS300" i="16"/>
  <c r="AS301" i="16"/>
  <c r="AS302" i="16"/>
  <c r="AS303" i="16"/>
  <c r="AS304" i="16"/>
  <c r="AS305" i="16"/>
  <c r="AS306" i="16"/>
  <c r="AS307" i="16"/>
  <c r="AS308" i="16"/>
  <c r="AS309" i="16"/>
  <c r="AS310" i="16"/>
  <c r="AS311" i="16"/>
  <c r="AS312" i="16"/>
  <c r="AS313" i="16"/>
  <c r="AS314" i="16"/>
  <c r="AS315" i="16"/>
  <c r="AS316" i="16"/>
  <c r="AS317" i="16"/>
  <c r="AS319" i="16"/>
  <c r="AS320" i="16"/>
  <c r="AS321" i="16"/>
  <c r="AS322" i="16"/>
  <c r="AS323" i="16"/>
  <c r="AS324" i="16"/>
  <c r="AS325" i="16"/>
  <c r="AS326" i="16"/>
  <c r="AS327" i="16"/>
  <c r="AS328" i="16"/>
  <c r="AS329" i="16"/>
  <c r="AS330" i="16"/>
  <c r="AS331" i="16"/>
  <c r="AS332" i="16"/>
  <c r="AS333" i="16"/>
  <c r="AS334" i="16"/>
  <c r="AS335" i="16"/>
  <c r="AS336" i="16"/>
  <c r="AS337" i="16"/>
  <c r="AS338" i="16"/>
  <c r="AS339" i="16"/>
  <c r="AS340" i="16"/>
  <c r="AS341" i="16"/>
  <c r="AS342" i="16"/>
  <c r="AS343" i="16"/>
  <c r="AS344" i="16"/>
  <c r="AS345" i="16"/>
  <c r="AS347" i="16"/>
  <c r="AS348" i="16"/>
  <c r="AS349" i="16"/>
  <c r="AS350" i="16"/>
  <c r="AS351" i="16"/>
  <c r="AS352" i="16"/>
  <c r="AS353" i="16"/>
  <c r="AS354" i="16"/>
  <c r="AS355" i="16"/>
  <c r="AS356" i="16"/>
  <c r="AS357" i="16"/>
  <c r="AS358" i="16"/>
  <c r="AS359" i="16"/>
  <c r="AS360" i="16"/>
  <c r="AS361" i="16"/>
  <c r="AS362" i="16"/>
  <c r="AS363" i="16"/>
  <c r="AS364" i="16"/>
  <c r="AS365" i="16"/>
  <c r="AS366" i="16"/>
  <c r="AS367" i="16"/>
  <c r="AS368" i="16"/>
  <c r="AS369" i="16"/>
  <c r="AS370" i="16"/>
  <c r="AS371" i="16"/>
  <c r="AS372" i="16"/>
  <c r="AS373" i="16"/>
  <c r="AS374" i="16"/>
  <c r="AS375" i="16"/>
  <c r="AS376" i="16"/>
  <c r="AS377" i="16"/>
  <c r="AS378" i="16"/>
  <c r="AS379" i="16"/>
  <c r="AS380" i="16"/>
  <c r="AS381" i="16"/>
  <c r="AS382" i="16"/>
  <c r="AS383" i="16"/>
  <c r="AS384" i="16"/>
  <c r="AS385" i="16"/>
  <c r="AS386" i="16"/>
  <c r="AS387" i="16"/>
  <c r="AS388" i="16"/>
  <c r="AS389" i="16"/>
  <c r="AS390" i="16"/>
  <c r="AS391" i="16"/>
  <c r="AS392" i="16"/>
  <c r="AS393" i="16"/>
  <c r="AS394" i="16"/>
  <c r="AS395" i="16"/>
  <c r="AS396" i="16"/>
  <c r="AS397" i="16"/>
  <c r="AS398" i="16"/>
  <c r="AS399" i="16"/>
  <c r="AS401" i="16"/>
  <c r="AS402" i="16"/>
  <c r="AS403" i="16"/>
  <c r="AS404" i="16"/>
  <c r="AS405" i="16"/>
  <c r="AS406" i="16"/>
  <c r="AS407" i="16"/>
  <c r="AS408" i="16"/>
  <c r="AS409" i="16"/>
  <c r="AS410" i="16"/>
  <c r="AS411" i="16"/>
  <c r="AS412" i="16"/>
  <c r="AS414" i="16"/>
  <c r="AS415" i="16"/>
  <c r="AS416" i="16"/>
  <c r="AS417" i="16"/>
  <c r="AS418" i="16"/>
  <c r="AS419" i="16"/>
  <c r="AS420" i="16"/>
  <c r="AS421" i="16"/>
  <c r="AS422" i="16"/>
  <c r="AS423" i="16"/>
  <c r="AS424" i="16"/>
  <c r="AS425" i="16"/>
  <c r="AS426" i="16"/>
  <c r="AS427" i="16"/>
  <c r="AS428" i="16"/>
  <c r="AS429" i="16"/>
  <c r="AS430" i="16"/>
  <c r="AS431" i="16"/>
  <c r="AS432" i="16"/>
  <c r="AS433" i="16"/>
  <c r="AS434" i="16"/>
  <c r="AS435" i="16"/>
  <c r="AS436" i="16"/>
  <c r="AS437" i="16"/>
  <c r="AS438" i="16"/>
  <c r="AS439" i="16"/>
  <c r="AS440" i="16"/>
  <c r="AS441" i="16"/>
  <c r="AS442" i="16"/>
  <c r="AS443" i="16"/>
  <c r="AS444" i="16"/>
  <c r="AS445" i="16"/>
  <c r="AS446" i="16"/>
  <c r="AS447" i="16"/>
  <c r="AS448" i="16"/>
  <c r="AS449" i="16"/>
  <c r="AS450" i="16"/>
  <c r="AS451" i="16"/>
  <c r="AS452" i="16"/>
  <c r="AS453" i="16"/>
  <c r="AS454" i="16"/>
  <c r="AS455" i="16"/>
  <c r="AS457" i="16"/>
  <c r="AS458" i="16"/>
  <c r="AS459" i="16"/>
  <c r="AS460" i="16"/>
  <c r="AS461" i="16"/>
  <c r="AS462" i="16"/>
  <c r="AS463" i="16"/>
  <c r="AS464" i="16"/>
  <c r="AS465" i="16"/>
  <c r="AS466" i="16"/>
  <c r="AS467" i="16"/>
  <c r="AS468" i="16"/>
  <c r="AS469" i="16"/>
  <c r="AS470" i="16"/>
  <c r="AS471" i="16"/>
  <c r="AS472" i="16"/>
  <c r="AS473" i="16"/>
  <c r="AS474" i="16"/>
  <c r="AS475" i="16"/>
  <c r="AS476" i="16"/>
  <c r="AS477" i="16"/>
  <c r="AS478" i="16"/>
  <c r="AS479" i="16"/>
  <c r="AS480" i="16"/>
  <c r="AS481" i="16"/>
  <c r="AS482" i="16"/>
  <c r="AS483" i="16"/>
  <c r="AS484" i="16"/>
  <c r="AS485" i="16"/>
  <c r="AS486" i="16"/>
  <c r="AS487" i="16"/>
  <c r="AS488" i="16"/>
  <c r="AS489" i="16"/>
  <c r="AS490" i="16"/>
  <c r="AS491" i="16"/>
  <c r="AS492" i="16"/>
  <c r="AS493" i="16"/>
  <c r="AS494" i="16"/>
  <c r="AS495" i="16"/>
  <c r="AS496" i="16"/>
  <c r="AS497" i="16"/>
  <c r="AS498" i="16"/>
  <c r="AS499" i="16"/>
  <c r="AS500" i="16"/>
  <c r="AS501" i="16"/>
  <c r="AS502" i="16"/>
  <c r="AS503" i="16"/>
  <c r="AS504" i="16"/>
  <c r="AS505" i="16"/>
  <c r="AS506" i="16"/>
  <c r="AS507" i="16"/>
  <c r="AS508" i="16"/>
  <c r="AS509" i="16"/>
  <c r="AS510" i="16"/>
  <c r="AS511" i="16"/>
  <c r="AS512" i="16"/>
  <c r="AS513" i="16"/>
  <c r="AS514" i="16"/>
  <c r="AS515" i="16"/>
  <c r="AS516" i="16"/>
  <c r="AS517" i="16"/>
  <c r="AS518" i="16"/>
  <c r="AS519" i="16"/>
  <c r="AS520" i="16"/>
  <c r="AS521" i="16"/>
  <c r="AS522" i="16"/>
  <c r="AS523" i="16"/>
  <c r="AS524" i="16"/>
  <c r="AS525" i="16"/>
  <c r="AS526" i="16"/>
  <c r="AS527" i="16"/>
  <c r="AS528" i="16"/>
  <c r="AS529" i="16"/>
  <c r="AS530" i="16"/>
  <c r="AS531" i="16"/>
  <c r="AS532" i="16"/>
  <c r="AS533" i="16"/>
  <c r="AS534" i="16"/>
  <c r="AS535" i="16"/>
  <c r="AS536" i="16"/>
  <c r="AS537" i="16"/>
  <c r="AS538" i="16"/>
  <c r="AS539" i="16"/>
  <c r="AS540" i="16"/>
  <c r="AS541" i="16"/>
  <c r="AS542" i="16"/>
  <c r="AS543" i="16"/>
  <c r="AS544" i="16"/>
  <c r="AS545" i="16"/>
  <c r="AS546" i="16"/>
  <c r="AS547" i="16"/>
  <c r="AS548" i="16"/>
  <c r="AS549" i="16"/>
  <c r="AS550" i="16"/>
  <c r="AS551" i="16"/>
  <c r="AS552" i="16"/>
  <c r="AS553" i="16"/>
  <c r="AS554" i="16"/>
  <c r="AS555" i="16"/>
  <c r="AS556" i="16"/>
  <c r="AS557" i="16"/>
  <c r="AS558" i="16"/>
  <c r="AS559" i="16"/>
  <c r="AS560" i="16"/>
  <c r="AS561" i="16"/>
  <c r="AS562" i="16"/>
  <c r="AS563" i="16"/>
  <c r="AS564" i="16"/>
  <c r="AS565" i="16"/>
  <c r="AS566" i="16"/>
  <c r="AS567" i="16"/>
  <c r="AS568" i="16"/>
  <c r="AS569" i="16"/>
  <c r="AS570" i="16"/>
  <c r="AS571" i="16"/>
  <c r="AS572" i="16"/>
  <c r="AS573" i="16"/>
  <c r="AS574" i="16"/>
  <c r="AS575" i="16"/>
  <c r="AS576" i="16"/>
  <c r="AS577" i="16"/>
  <c r="AS578" i="16"/>
  <c r="AS579" i="16"/>
  <c r="AS580" i="16"/>
  <c r="AS581" i="16"/>
  <c r="AS582" i="16"/>
  <c r="AS583" i="16"/>
  <c r="AS584" i="16"/>
  <c r="AS585" i="16"/>
  <c r="AS586" i="16"/>
  <c r="AS587" i="16"/>
  <c r="AS588" i="16"/>
  <c r="AS589" i="16"/>
  <c r="AS590" i="16"/>
  <c r="AS591" i="16"/>
  <c r="AS592" i="16"/>
  <c r="AS593" i="16"/>
  <c r="AS594" i="16"/>
  <c r="AS595" i="16"/>
  <c r="AS596" i="16"/>
  <c r="AS597" i="16"/>
  <c r="AS598" i="16"/>
  <c r="AS599" i="16"/>
  <c r="AS600" i="16"/>
  <c r="AS601" i="16"/>
  <c r="AS602" i="16"/>
  <c r="AS603" i="16"/>
  <c r="AS604" i="16"/>
  <c r="AS605" i="16"/>
  <c r="AS606" i="16"/>
  <c r="AS607" i="16"/>
  <c r="AS608" i="16"/>
  <c r="AS609" i="16"/>
  <c r="AS610" i="16"/>
  <c r="AS611" i="16"/>
  <c r="AS612" i="16"/>
  <c r="AS613" i="16"/>
  <c r="AS614" i="16"/>
  <c r="AS615" i="16"/>
  <c r="AS616" i="16"/>
  <c r="AS617" i="16"/>
  <c r="AS618" i="16"/>
  <c r="AS11" i="16"/>
  <c r="AR12" i="16"/>
  <c r="AR13" i="16"/>
  <c r="AR14" i="16"/>
  <c r="AR15" i="16"/>
  <c r="AR16" i="16"/>
  <c r="AR17" i="16"/>
  <c r="AR18" i="16"/>
  <c r="AR19" i="16"/>
  <c r="AR20" i="16"/>
  <c r="AR21" i="16"/>
  <c r="AR22" i="16"/>
  <c r="AR23" i="16"/>
  <c r="AR24" i="16"/>
  <c r="AR25" i="16"/>
  <c r="AR26" i="16"/>
  <c r="AR27" i="16"/>
  <c r="AR28" i="16"/>
  <c r="AR29" i="16"/>
  <c r="AR30" i="16"/>
  <c r="AR31" i="16"/>
  <c r="AR32" i="16"/>
  <c r="AR33" i="16"/>
  <c r="AR34" i="16"/>
  <c r="AR35" i="16"/>
  <c r="AR36" i="16"/>
  <c r="AR37" i="16"/>
  <c r="AR38" i="16"/>
  <c r="AR39" i="16"/>
  <c r="AR40" i="16"/>
  <c r="AR41" i="16"/>
  <c r="AR42" i="16"/>
  <c r="AR43" i="16"/>
  <c r="AR44" i="16"/>
  <c r="AR45" i="16"/>
  <c r="AR46" i="16"/>
  <c r="AR47" i="16"/>
  <c r="AR48" i="16"/>
  <c r="AR49" i="16"/>
  <c r="AR50" i="16"/>
  <c r="AR51" i="16"/>
  <c r="AR52" i="16"/>
  <c r="AR53" i="16"/>
  <c r="AR54" i="16"/>
  <c r="AR55" i="16"/>
  <c r="AR56" i="16"/>
  <c r="AR57" i="16"/>
  <c r="AR58" i="16"/>
  <c r="AR59" i="16"/>
  <c r="AR60" i="16"/>
  <c r="AR61" i="16"/>
  <c r="AR62" i="16"/>
  <c r="AR63" i="16"/>
  <c r="AR64" i="16"/>
  <c r="AR65" i="16"/>
  <c r="AR66" i="16"/>
  <c r="AR67" i="16"/>
  <c r="AR68" i="16"/>
  <c r="AR69" i="16"/>
  <c r="AR70" i="16"/>
  <c r="AR71" i="16"/>
  <c r="AR72" i="16"/>
  <c r="AR73" i="16"/>
  <c r="AR74" i="16"/>
  <c r="AR75" i="16"/>
  <c r="AR76" i="16"/>
  <c r="AR77" i="16"/>
  <c r="AR78" i="16"/>
  <c r="AR79" i="16"/>
  <c r="AR80" i="16"/>
  <c r="AR81" i="16"/>
  <c r="AR82" i="16"/>
  <c r="AR83" i="16"/>
  <c r="AR84" i="16"/>
  <c r="AR85" i="16"/>
  <c r="AR86" i="16"/>
  <c r="AR87" i="16"/>
  <c r="AR89" i="16"/>
  <c r="AR88" i="16"/>
  <c r="AR90" i="16"/>
  <c r="AR91" i="16"/>
  <c r="AR92" i="16"/>
  <c r="AR93" i="16"/>
  <c r="AR94" i="16"/>
  <c r="AR95" i="16"/>
  <c r="AR96" i="16"/>
  <c r="AR97" i="16"/>
  <c r="AR98" i="16"/>
  <c r="AR99" i="16"/>
  <c r="AR100" i="16"/>
  <c r="AR101" i="16"/>
  <c r="AR102" i="16"/>
  <c r="AR103" i="16"/>
  <c r="AR104" i="16"/>
  <c r="AR105" i="16"/>
  <c r="AR106" i="16"/>
  <c r="AR107" i="16"/>
  <c r="AR108" i="16"/>
  <c r="AR109" i="16"/>
  <c r="AR110" i="16"/>
  <c r="AR111" i="16"/>
  <c r="AR112" i="16"/>
  <c r="AR113" i="16"/>
  <c r="AR114" i="16"/>
  <c r="AR115" i="16"/>
  <c r="AR116" i="16"/>
  <c r="AR117" i="16"/>
  <c r="AR118" i="16"/>
  <c r="AR119" i="16"/>
  <c r="AR120" i="16"/>
  <c r="AR121" i="16"/>
  <c r="AR122" i="16"/>
  <c r="AR123" i="16"/>
  <c r="AR124" i="16"/>
  <c r="AR125" i="16"/>
  <c r="AR126" i="16"/>
  <c r="AR127" i="16"/>
  <c r="AR128" i="16"/>
  <c r="AR129" i="16"/>
  <c r="AR130" i="16"/>
  <c r="AR131" i="16"/>
  <c r="AR132" i="16"/>
  <c r="AR133" i="16"/>
  <c r="AR134" i="16"/>
  <c r="AR135" i="16"/>
  <c r="AR136" i="16"/>
  <c r="AR137" i="16"/>
  <c r="AR138" i="16"/>
  <c r="AR139" i="16"/>
  <c r="AR140" i="16"/>
  <c r="AR141" i="16"/>
  <c r="AR142" i="16"/>
  <c r="AR143" i="16"/>
  <c r="AR144" i="16"/>
  <c r="AR145" i="16"/>
  <c r="AR146" i="16"/>
  <c r="AR147" i="16"/>
  <c r="AR148" i="16"/>
  <c r="AR149" i="16"/>
  <c r="AR150" i="16"/>
  <c r="AR151" i="16"/>
  <c r="AR152" i="16"/>
  <c r="AR153" i="16"/>
  <c r="AR154" i="16"/>
  <c r="AR155" i="16"/>
  <c r="AR156" i="16"/>
  <c r="AR157" i="16"/>
  <c r="AR158" i="16"/>
  <c r="AR159" i="16"/>
  <c r="AR160" i="16"/>
  <c r="AR161" i="16"/>
  <c r="AR162" i="16"/>
  <c r="AR163" i="16"/>
  <c r="AR164" i="16"/>
  <c r="AR165" i="16"/>
  <c r="AR166" i="16"/>
  <c r="AR167" i="16"/>
  <c r="AR168" i="16"/>
  <c r="AR169" i="16"/>
  <c r="AR170" i="16"/>
  <c r="AR171" i="16"/>
  <c r="AR172" i="16"/>
  <c r="AR173" i="16"/>
  <c r="AR174" i="16"/>
  <c r="AR175" i="16"/>
  <c r="AR176" i="16"/>
  <c r="AR177" i="16"/>
  <c r="AR178" i="16"/>
  <c r="AR179" i="16"/>
  <c r="AR180" i="16"/>
  <c r="AR181" i="16"/>
  <c r="AR182" i="16"/>
  <c r="AR183" i="16"/>
  <c r="AR184" i="16"/>
  <c r="AR185" i="16"/>
  <c r="AR186" i="16"/>
  <c r="AR187" i="16"/>
  <c r="AR188" i="16"/>
  <c r="AR189" i="16"/>
  <c r="AR190" i="16"/>
  <c r="AR191" i="16"/>
  <c r="AR192" i="16"/>
  <c r="AR193" i="16"/>
  <c r="AR194" i="16"/>
  <c r="AR195" i="16"/>
  <c r="AR196" i="16"/>
  <c r="AR197" i="16"/>
  <c r="AR198" i="16"/>
  <c r="AR199" i="16"/>
  <c r="AR200" i="16"/>
  <c r="AR201" i="16"/>
  <c r="AR202" i="16"/>
  <c r="AR203" i="16"/>
  <c r="AR204" i="16"/>
  <c r="AR205" i="16"/>
  <c r="AR206" i="16"/>
  <c r="AR207" i="16"/>
  <c r="AR208" i="16"/>
  <c r="AR209" i="16"/>
  <c r="AR210" i="16"/>
  <c r="AR211" i="16"/>
  <c r="AR212" i="16"/>
  <c r="AR213" i="16"/>
  <c r="AR214" i="16"/>
  <c r="AR215" i="16"/>
  <c r="AR216" i="16"/>
  <c r="AR217" i="16"/>
  <c r="AR218" i="16"/>
  <c r="AR219" i="16"/>
  <c r="AR220" i="16"/>
  <c r="AR221" i="16"/>
  <c r="AR222" i="16"/>
  <c r="AR223" i="16"/>
  <c r="AR224" i="16"/>
  <c r="AR225" i="16"/>
  <c r="AR226" i="16"/>
  <c r="AR227" i="16"/>
  <c r="AR228" i="16"/>
  <c r="AR229" i="16"/>
  <c r="AR230" i="16"/>
  <c r="AR231" i="16"/>
  <c r="AR232" i="16"/>
  <c r="AR233" i="16"/>
  <c r="AR234" i="16"/>
  <c r="AR235" i="16"/>
  <c r="AR236" i="16"/>
  <c r="AR237" i="16"/>
  <c r="AR238" i="16"/>
  <c r="AR239" i="16"/>
  <c r="AR240" i="16"/>
  <c r="AR241" i="16"/>
  <c r="AR242" i="16"/>
  <c r="AR243" i="16"/>
  <c r="AR244" i="16"/>
  <c r="AR245" i="16"/>
  <c r="AR246" i="16"/>
  <c r="AR247" i="16"/>
  <c r="AR248" i="16"/>
  <c r="AR249" i="16"/>
  <c r="AR250" i="16"/>
  <c r="AR251" i="16"/>
  <c r="AR252" i="16"/>
  <c r="AR253" i="16"/>
  <c r="AR254" i="16"/>
  <c r="AR255" i="16"/>
  <c r="AR256" i="16"/>
  <c r="AR257" i="16"/>
  <c r="AR258" i="16"/>
  <c r="AR259" i="16"/>
  <c r="AR260" i="16"/>
  <c r="AR261" i="16"/>
  <c r="AR262" i="16"/>
  <c r="AR263" i="16"/>
  <c r="AR264" i="16"/>
  <c r="AR265" i="16"/>
  <c r="AR266" i="16"/>
  <c r="AR267" i="16"/>
  <c r="AR268" i="16"/>
  <c r="AR269" i="16"/>
  <c r="AR270" i="16"/>
  <c r="AR271" i="16"/>
  <c r="AR272" i="16"/>
  <c r="AR273" i="16"/>
  <c r="AR274" i="16"/>
  <c r="AR275" i="16"/>
  <c r="AR276" i="16"/>
  <c r="AR277" i="16"/>
  <c r="AR278" i="16"/>
  <c r="AR279" i="16"/>
  <c r="AR280" i="16"/>
  <c r="AR281" i="16"/>
  <c r="AR282" i="16"/>
  <c r="AR283" i="16"/>
  <c r="AR284" i="16"/>
  <c r="AR285" i="16"/>
  <c r="AR286" i="16"/>
  <c r="AR287" i="16"/>
  <c r="AR288" i="16"/>
  <c r="AR291" i="16"/>
  <c r="AR292" i="16"/>
  <c r="AR289" i="16"/>
  <c r="AR293" i="16"/>
  <c r="AR294" i="16"/>
  <c r="AR295" i="16"/>
  <c r="AR296" i="16"/>
  <c r="AR297" i="16"/>
  <c r="AR298" i="16"/>
  <c r="AR299" i="16"/>
  <c r="AR300" i="16"/>
  <c r="AR301" i="16"/>
  <c r="AR302" i="16"/>
  <c r="AR303" i="16"/>
  <c r="AR304" i="16"/>
  <c r="AR305" i="16"/>
  <c r="AR306" i="16"/>
  <c r="AR307" i="16"/>
  <c r="AR308" i="16"/>
  <c r="AR309" i="16"/>
  <c r="AR310" i="16"/>
  <c r="AR311" i="16"/>
  <c r="AR312" i="16"/>
  <c r="AR313" i="16"/>
  <c r="AR314" i="16"/>
  <c r="AR315" i="16"/>
  <c r="AR316" i="16"/>
  <c r="AR317" i="16"/>
  <c r="AR319" i="16"/>
  <c r="AR320" i="16"/>
  <c r="AR321" i="16"/>
  <c r="AR322" i="16"/>
  <c r="AR323" i="16"/>
  <c r="AR324" i="16"/>
  <c r="AR325" i="16"/>
  <c r="AR326" i="16"/>
  <c r="AR327" i="16"/>
  <c r="AR328" i="16"/>
  <c r="AR329" i="16"/>
  <c r="AR330" i="16"/>
  <c r="AR331" i="16"/>
  <c r="AR332" i="16"/>
  <c r="AR333" i="16"/>
  <c r="AR334" i="16"/>
  <c r="AR335" i="16"/>
  <c r="AR336" i="16"/>
  <c r="AR337" i="16"/>
  <c r="AR338" i="16"/>
  <c r="AR339" i="16"/>
  <c r="AR340" i="16"/>
  <c r="AR341" i="16"/>
  <c r="AR342" i="16"/>
  <c r="AR343" i="16"/>
  <c r="AR344" i="16"/>
  <c r="AR345" i="16"/>
  <c r="AR347" i="16"/>
  <c r="AR348" i="16"/>
  <c r="AR349" i="16"/>
  <c r="AR350" i="16"/>
  <c r="AR351" i="16"/>
  <c r="AR352" i="16"/>
  <c r="AR353" i="16"/>
  <c r="AR354" i="16"/>
  <c r="AR355" i="16"/>
  <c r="AR356" i="16"/>
  <c r="AR357" i="16"/>
  <c r="AR358" i="16"/>
  <c r="AR359" i="16"/>
  <c r="AR360" i="16"/>
  <c r="AR361" i="16"/>
  <c r="AR362" i="16"/>
  <c r="AR363" i="16"/>
  <c r="AR364" i="16"/>
  <c r="AR365" i="16"/>
  <c r="AR366" i="16"/>
  <c r="AR367" i="16"/>
  <c r="AR368" i="16"/>
  <c r="AR369" i="16"/>
  <c r="AR370" i="16"/>
  <c r="AR371" i="16"/>
  <c r="AR372" i="16"/>
  <c r="AR373" i="16"/>
  <c r="AR374" i="16"/>
  <c r="AR375" i="16"/>
  <c r="AR376" i="16"/>
  <c r="AR377" i="16"/>
  <c r="AR378" i="16"/>
  <c r="AR379" i="16"/>
  <c r="AR380" i="16"/>
  <c r="AR381" i="16"/>
  <c r="AR382" i="16"/>
  <c r="AR383" i="16"/>
  <c r="AR384" i="16"/>
  <c r="AR385" i="16"/>
  <c r="AR386" i="16"/>
  <c r="AR387" i="16"/>
  <c r="AR388" i="16"/>
  <c r="AR389" i="16"/>
  <c r="AR390" i="16"/>
  <c r="AR391" i="16"/>
  <c r="AR392" i="16"/>
  <c r="AR393" i="16"/>
  <c r="AR394" i="16"/>
  <c r="AR395" i="16"/>
  <c r="AR396" i="16"/>
  <c r="AR397" i="16"/>
  <c r="AR398" i="16"/>
  <c r="AR399" i="16"/>
  <c r="AR401" i="16"/>
  <c r="AR402" i="16"/>
  <c r="AR403" i="16"/>
  <c r="AR404" i="16"/>
  <c r="AR405" i="16"/>
  <c r="AR406" i="16"/>
  <c r="AR407" i="16"/>
  <c r="AR408" i="16"/>
  <c r="AR409" i="16"/>
  <c r="AR410" i="16"/>
  <c r="AR411" i="16"/>
  <c r="AR412" i="16"/>
  <c r="AR414" i="16"/>
  <c r="AR415" i="16"/>
  <c r="AR416" i="16"/>
  <c r="AR417" i="16"/>
  <c r="AR418" i="16"/>
  <c r="AR419" i="16"/>
  <c r="AR420" i="16"/>
  <c r="AR421" i="16"/>
  <c r="AR422" i="16"/>
  <c r="AR423" i="16"/>
  <c r="AR424" i="16"/>
  <c r="AR425" i="16"/>
  <c r="AR426" i="16"/>
  <c r="AR427" i="16"/>
  <c r="AR428" i="16"/>
  <c r="AR429" i="16"/>
  <c r="AR430" i="16"/>
  <c r="AR431" i="16"/>
  <c r="AR432" i="16"/>
  <c r="AR433" i="16"/>
  <c r="AR434" i="16"/>
  <c r="AR435" i="16"/>
  <c r="AR436" i="16"/>
  <c r="AR437" i="16"/>
  <c r="AR438" i="16"/>
  <c r="AR439" i="16"/>
  <c r="AR440" i="16"/>
  <c r="AR441" i="16"/>
  <c r="AR442" i="16"/>
  <c r="AR443" i="16"/>
  <c r="AR444" i="16"/>
  <c r="AR445" i="16"/>
  <c r="AR446" i="16"/>
  <c r="AR447" i="16"/>
  <c r="AR448" i="16"/>
  <c r="AR449" i="16"/>
  <c r="AR450" i="16"/>
  <c r="AR451" i="16"/>
  <c r="AR452" i="16"/>
  <c r="AR453" i="16"/>
  <c r="AR454" i="16"/>
  <c r="AR455" i="16"/>
  <c r="AR457" i="16"/>
  <c r="AR458" i="16"/>
  <c r="AR459" i="16"/>
  <c r="AR460" i="16"/>
  <c r="AR461" i="16"/>
  <c r="AR462" i="16"/>
  <c r="AR463" i="16"/>
  <c r="AR464" i="16"/>
  <c r="AR465" i="16"/>
  <c r="AR466" i="16"/>
  <c r="AR467" i="16"/>
  <c r="AR468" i="16"/>
  <c r="AR469" i="16"/>
  <c r="AR470" i="16"/>
  <c r="AR471" i="16"/>
  <c r="AR472" i="16"/>
  <c r="AR473" i="16"/>
  <c r="AR474" i="16"/>
  <c r="AR475" i="16"/>
  <c r="AR476" i="16"/>
  <c r="AR477" i="16"/>
  <c r="AR478" i="16"/>
  <c r="AR479" i="16"/>
  <c r="AR480" i="16"/>
  <c r="AR481" i="16"/>
  <c r="AR482" i="16"/>
  <c r="AR483" i="16"/>
  <c r="AR484" i="16"/>
  <c r="AR485" i="16"/>
  <c r="AR486" i="16"/>
  <c r="AR487" i="16"/>
  <c r="AR488" i="16"/>
  <c r="AR489" i="16"/>
  <c r="AR490" i="16"/>
  <c r="AR491" i="16"/>
  <c r="AR492" i="16"/>
  <c r="AR493" i="16"/>
  <c r="AR494" i="16"/>
  <c r="AR495" i="16"/>
  <c r="AR496" i="16"/>
  <c r="AR497" i="16"/>
  <c r="AR498" i="16"/>
  <c r="AR499" i="16"/>
  <c r="AR500" i="16"/>
  <c r="AR501" i="16"/>
  <c r="AR502" i="16"/>
  <c r="AR503" i="16"/>
  <c r="AR504" i="16"/>
  <c r="AR505" i="16"/>
  <c r="AR506" i="16"/>
  <c r="AR507" i="16"/>
  <c r="AR508" i="16"/>
  <c r="AR509" i="16"/>
  <c r="AR510" i="16"/>
  <c r="AR511" i="16"/>
  <c r="AR512" i="16"/>
  <c r="AR513" i="16"/>
  <c r="AR514" i="16"/>
  <c r="AR515" i="16"/>
  <c r="AR516" i="16"/>
  <c r="AR517" i="16"/>
  <c r="AR518" i="16"/>
  <c r="AR519" i="16"/>
  <c r="AR520" i="16"/>
  <c r="AR521" i="16"/>
  <c r="AR522" i="16"/>
  <c r="AR523" i="16"/>
  <c r="AR524" i="16"/>
  <c r="AR525" i="16"/>
  <c r="AR526" i="16"/>
  <c r="AR527" i="16"/>
  <c r="AR528" i="16"/>
  <c r="AR529" i="16"/>
  <c r="AR530" i="16"/>
  <c r="AR531" i="16"/>
  <c r="AR532" i="16"/>
  <c r="AR533" i="16"/>
  <c r="AR534" i="16"/>
  <c r="AR535" i="16"/>
  <c r="AR536" i="16"/>
  <c r="AR537" i="16"/>
  <c r="AR538" i="16"/>
  <c r="AR539" i="16"/>
  <c r="AR540" i="16"/>
  <c r="AR541" i="16"/>
  <c r="AR542" i="16"/>
  <c r="AR543" i="16"/>
  <c r="AR544" i="16"/>
  <c r="AR545" i="16"/>
  <c r="AR546" i="16"/>
  <c r="AR547" i="16"/>
  <c r="AR548" i="16"/>
  <c r="AR549" i="16"/>
  <c r="AR550" i="16"/>
  <c r="AR551" i="16"/>
  <c r="AR552" i="16"/>
  <c r="AR553" i="16"/>
  <c r="AR554" i="16"/>
  <c r="AR555" i="16"/>
  <c r="AR556" i="16"/>
  <c r="AR557" i="16"/>
  <c r="AR558" i="16"/>
  <c r="AR559" i="16"/>
  <c r="AR560" i="16"/>
  <c r="AR561" i="16"/>
  <c r="AR562" i="16"/>
  <c r="AR563" i="16"/>
  <c r="AR564" i="16"/>
  <c r="AR565" i="16"/>
  <c r="AR566" i="16"/>
  <c r="AR567" i="16"/>
  <c r="AR568" i="16"/>
  <c r="AR569" i="16"/>
  <c r="AR570" i="16"/>
  <c r="AR571" i="16"/>
  <c r="AR572" i="16"/>
  <c r="AR573" i="16"/>
  <c r="AR574" i="16"/>
  <c r="AR575" i="16"/>
  <c r="AR576" i="16"/>
  <c r="AR577" i="16"/>
  <c r="AR578" i="16"/>
  <c r="AR579" i="16"/>
  <c r="AR580" i="16"/>
  <c r="AR581" i="16"/>
  <c r="AR582" i="16"/>
  <c r="AR583" i="16"/>
  <c r="AR584" i="16"/>
  <c r="AR585" i="16"/>
  <c r="AR586" i="16"/>
  <c r="AR587" i="16"/>
  <c r="AR588" i="16"/>
  <c r="AR589" i="16"/>
  <c r="AR590" i="16"/>
  <c r="AR591" i="16"/>
  <c r="AR592" i="16"/>
  <c r="AR593" i="16"/>
  <c r="AR594" i="16"/>
  <c r="AR595" i="16"/>
  <c r="AR596" i="16"/>
  <c r="AR597" i="16"/>
  <c r="AR598" i="16"/>
  <c r="AR599" i="16"/>
  <c r="AR600" i="16"/>
  <c r="AR601" i="16"/>
  <c r="AR602" i="16"/>
  <c r="AR603" i="16"/>
  <c r="AR604" i="16"/>
  <c r="AR605" i="16"/>
  <c r="AR606" i="16"/>
  <c r="AR607" i="16"/>
  <c r="AR608" i="16"/>
  <c r="AR609" i="16"/>
  <c r="AR610" i="16"/>
  <c r="AR611" i="16"/>
  <c r="AR612" i="16"/>
  <c r="AR613" i="16"/>
  <c r="AR614" i="16"/>
  <c r="AR615" i="16"/>
  <c r="AR616" i="16"/>
  <c r="AR617" i="16"/>
  <c r="AR618" i="16"/>
  <c r="AR11" i="16"/>
  <c r="AL12" i="16"/>
  <c r="AL13" i="16"/>
  <c r="AL14" i="16"/>
  <c r="AL15" i="16"/>
  <c r="AL16" i="16"/>
  <c r="AL17" i="16"/>
  <c r="AL18" i="16"/>
  <c r="AL19" i="16"/>
  <c r="AL20" i="16"/>
  <c r="AL21" i="16"/>
  <c r="AL22" i="16"/>
  <c r="AL23" i="16"/>
  <c r="AL24" i="16"/>
  <c r="AL25" i="16"/>
  <c r="AL26" i="16"/>
  <c r="AL27" i="16"/>
  <c r="AL28" i="16"/>
  <c r="AL29" i="16"/>
  <c r="AL30" i="16"/>
  <c r="AL31" i="16"/>
  <c r="AL32" i="16"/>
  <c r="AL33" i="16"/>
  <c r="AL34" i="16"/>
  <c r="AL35" i="16"/>
  <c r="AL36" i="16"/>
  <c r="AL37" i="16"/>
  <c r="AL38" i="16"/>
  <c r="AL39" i="16"/>
  <c r="AL40" i="16"/>
  <c r="AL41" i="16"/>
  <c r="AL42" i="16"/>
  <c r="AL43" i="16"/>
  <c r="AL44" i="16"/>
  <c r="AL45" i="16"/>
  <c r="AL46" i="16"/>
  <c r="AL47" i="16"/>
  <c r="AL48" i="16"/>
  <c r="AL49" i="16"/>
  <c r="AL50" i="16"/>
  <c r="AL51" i="16"/>
  <c r="AL52" i="16"/>
  <c r="AL53" i="16"/>
  <c r="AL54" i="16"/>
  <c r="AL55" i="16"/>
  <c r="AL56" i="16"/>
  <c r="AL57" i="16"/>
  <c r="AL58" i="16"/>
  <c r="AL59" i="16"/>
  <c r="AL60" i="16"/>
  <c r="AL61" i="16"/>
  <c r="AL62" i="16"/>
  <c r="AL63" i="16"/>
  <c r="AL64" i="16"/>
  <c r="AL65" i="16"/>
  <c r="AL66" i="16"/>
  <c r="AL67" i="16"/>
  <c r="AL68" i="16"/>
  <c r="AL69" i="16"/>
  <c r="AL70" i="16"/>
  <c r="AL71" i="16"/>
  <c r="AL72" i="16"/>
  <c r="AL73" i="16"/>
  <c r="AL74" i="16"/>
  <c r="AL75" i="16"/>
  <c r="AL76" i="16"/>
  <c r="AL77" i="16"/>
  <c r="AL78" i="16"/>
  <c r="AL79" i="16"/>
  <c r="AL80" i="16"/>
  <c r="AL81" i="16"/>
  <c r="AL82" i="16"/>
  <c r="AL83" i="16"/>
  <c r="AL84" i="16"/>
  <c r="AL85" i="16"/>
  <c r="AL86" i="16"/>
  <c r="AL87" i="16"/>
  <c r="AL89" i="16"/>
  <c r="AL88" i="16"/>
  <c r="AL90" i="16"/>
  <c r="AL91" i="16"/>
  <c r="AL92" i="16"/>
  <c r="AL93" i="16"/>
  <c r="AL94" i="16"/>
  <c r="AL95" i="16"/>
  <c r="AL96" i="16"/>
  <c r="AL97" i="16"/>
  <c r="AL98" i="16"/>
  <c r="AL99" i="16"/>
  <c r="AL100" i="16"/>
  <c r="AL101" i="16"/>
  <c r="AL102" i="16"/>
  <c r="AL103" i="16"/>
  <c r="AL104" i="16"/>
  <c r="AL105" i="16"/>
  <c r="AL106" i="16"/>
  <c r="AL107" i="16"/>
  <c r="AL108" i="16"/>
  <c r="AL109" i="16"/>
  <c r="AL110" i="16"/>
  <c r="AL111" i="16"/>
  <c r="AL112" i="16"/>
  <c r="AL113" i="16"/>
  <c r="AL114" i="16"/>
  <c r="AL115" i="16"/>
  <c r="AL116" i="16"/>
  <c r="AL117" i="16"/>
  <c r="AL118" i="16"/>
  <c r="AL119" i="16"/>
  <c r="AL120" i="16"/>
  <c r="AL121" i="16"/>
  <c r="AL122" i="16"/>
  <c r="AL123" i="16"/>
  <c r="AL124" i="16"/>
  <c r="AL125" i="16"/>
  <c r="AL126" i="16"/>
  <c r="AL127" i="16"/>
  <c r="AL128" i="16"/>
  <c r="AL129" i="16"/>
  <c r="AL130" i="16"/>
  <c r="AL131" i="16"/>
  <c r="AL132" i="16"/>
  <c r="AL133" i="16"/>
  <c r="AL134" i="16"/>
  <c r="AL135" i="16"/>
  <c r="AL136" i="16"/>
  <c r="AL137" i="16"/>
  <c r="AL138" i="16"/>
  <c r="AL139" i="16"/>
  <c r="AL140" i="16"/>
  <c r="AL141" i="16"/>
  <c r="AL142" i="16"/>
  <c r="AL143" i="16"/>
  <c r="AL144" i="16"/>
  <c r="AL145" i="16"/>
  <c r="AL146" i="16"/>
  <c r="AL147" i="16"/>
  <c r="AL148" i="16"/>
  <c r="AL149" i="16"/>
  <c r="AL150" i="16"/>
  <c r="AL151" i="16"/>
  <c r="AL152" i="16"/>
  <c r="AL153" i="16"/>
  <c r="AL154" i="16"/>
  <c r="AL155" i="16"/>
  <c r="AL156" i="16"/>
  <c r="AL157" i="16"/>
  <c r="AL158" i="16"/>
  <c r="AL159" i="16"/>
  <c r="AL160" i="16"/>
  <c r="AL161" i="16"/>
  <c r="AL162" i="16"/>
  <c r="AL163" i="16"/>
  <c r="AL164" i="16"/>
  <c r="AL165" i="16"/>
  <c r="AL166" i="16"/>
  <c r="AL167" i="16"/>
  <c r="AL168" i="16"/>
  <c r="AL169" i="16"/>
  <c r="AL170" i="16"/>
  <c r="AL171" i="16"/>
  <c r="AL172" i="16"/>
  <c r="AL173" i="16"/>
  <c r="AL174" i="16"/>
  <c r="AL175" i="16"/>
  <c r="AL176" i="16"/>
  <c r="AL177" i="16"/>
  <c r="AL178" i="16"/>
  <c r="AL179" i="16"/>
  <c r="AL180" i="16"/>
  <c r="AL181" i="16"/>
  <c r="AL182" i="16"/>
  <c r="AL183" i="16"/>
  <c r="AL184" i="16"/>
  <c r="AL185" i="16"/>
  <c r="AL186" i="16"/>
  <c r="AL187" i="16"/>
  <c r="AL188" i="16"/>
  <c r="AL189" i="16"/>
  <c r="AL190" i="16"/>
  <c r="AL191" i="16"/>
  <c r="AL192" i="16"/>
  <c r="AL193" i="16"/>
  <c r="AL194" i="16"/>
  <c r="AL195" i="16"/>
  <c r="AL196" i="16"/>
  <c r="AL197" i="16"/>
  <c r="AL198" i="16"/>
  <c r="AL199" i="16"/>
  <c r="AL200" i="16"/>
  <c r="AL201" i="16"/>
  <c r="AL202" i="16"/>
  <c r="AL203" i="16"/>
  <c r="AL204" i="16"/>
  <c r="AL205" i="16"/>
  <c r="AL206" i="16"/>
  <c r="AL207" i="16"/>
  <c r="AL208" i="16"/>
  <c r="AL209" i="16"/>
  <c r="AL210" i="16"/>
  <c r="AL211" i="16"/>
  <c r="AL212" i="16"/>
  <c r="AL213" i="16"/>
  <c r="AL214" i="16"/>
  <c r="AL215" i="16"/>
  <c r="AL216" i="16"/>
  <c r="AL217" i="16"/>
  <c r="AL218" i="16"/>
  <c r="AL219" i="16"/>
  <c r="AL220" i="16"/>
  <c r="AL221" i="16"/>
  <c r="AL222" i="16"/>
  <c r="AL223" i="16"/>
  <c r="AL224" i="16"/>
  <c r="AL225" i="16"/>
  <c r="AL226" i="16"/>
  <c r="AL227" i="16"/>
  <c r="AL228" i="16"/>
  <c r="AL229" i="16"/>
  <c r="AL230" i="16"/>
  <c r="AL231" i="16"/>
  <c r="AL232" i="16"/>
  <c r="AL233" i="16"/>
  <c r="AL234" i="16"/>
  <c r="AL235" i="16"/>
  <c r="AL236" i="16"/>
  <c r="AL237" i="16"/>
  <c r="AL238" i="16"/>
  <c r="AL239" i="16"/>
  <c r="AL240" i="16"/>
  <c r="AL241" i="16"/>
  <c r="AL242" i="16"/>
  <c r="AL243" i="16"/>
  <c r="AL244" i="16"/>
  <c r="AL245" i="16"/>
  <c r="AL246" i="16"/>
  <c r="AL247" i="16"/>
  <c r="AL248" i="16"/>
  <c r="AL249" i="16"/>
  <c r="AL250" i="16"/>
  <c r="AL251" i="16"/>
  <c r="AL252" i="16"/>
  <c r="AL253" i="16"/>
  <c r="AL254" i="16"/>
  <c r="AL255" i="16"/>
  <c r="AL256" i="16"/>
  <c r="AL257" i="16"/>
  <c r="AL258" i="16"/>
  <c r="AL259" i="16"/>
  <c r="AL260" i="16"/>
  <c r="AL261" i="16"/>
  <c r="AL262" i="16"/>
  <c r="AL263" i="16"/>
  <c r="AL264" i="16"/>
  <c r="AL265" i="16"/>
  <c r="AL266" i="16"/>
  <c r="AL267" i="16"/>
  <c r="AL268" i="16"/>
  <c r="AL269" i="16"/>
  <c r="AL270" i="16"/>
  <c r="AL271" i="16"/>
  <c r="AL272" i="16"/>
  <c r="AL273" i="16"/>
  <c r="AL274" i="16"/>
  <c r="AL275" i="16"/>
  <c r="AL276" i="16"/>
  <c r="AL277" i="16"/>
  <c r="AL278" i="16"/>
  <c r="AL279" i="16"/>
  <c r="AL280" i="16"/>
  <c r="AL281" i="16"/>
  <c r="AL282" i="16"/>
  <c r="AL283" i="16"/>
  <c r="AL284" i="16"/>
  <c r="AL285" i="16"/>
  <c r="AL286" i="16"/>
  <c r="AL287" i="16"/>
  <c r="AL288" i="16"/>
  <c r="AL291" i="16"/>
  <c r="AL292" i="16"/>
  <c r="AL289" i="16"/>
  <c r="AL293" i="16"/>
  <c r="AL294" i="16"/>
  <c r="AL295" i="16"/>
  <c r="AL296" i="16"/>
  <c r="AL297" i="16"/>
  <c r="AL298" i="16"/>
  <c r="AL299" i="16"/>
  <c r="AL300" i="16"/>
  <c r="AL301" i="16"/>
  <c r="AL302" i="16"/>
  <c r="AL303" i="16"/>
  <c r="AL304" i="16"/>
  <c r="AL305" i="16"/>
  <c r="AL306" i="16"/>
  <c r="AL307" i="16"/>
  <c r="AL308" i="16"/>
  <c r="AL309" i="16"/>
  <c r="AL310" i="16"/>
  <c r="AL311" i="16"/>
  <c r="AL312" i="16"/>
  <c r="AL313" i="16"/>
  <c r="AL314" i="16"/>
  <c r="AL315" i="16"/>
  <c r="AL316" i="16"/>
  <c r="AL317" i="16"/>
  <c r="AL319" i="16"/>
  <c r="AL320" i="16"/>
  <c r="AL321" i="16"/>
  <c r="AL322" i="16"/>
  <c r="AL323" i="16"/>
  <c r="AL324" i="16"/>
  <c r="AL325" i="16"/>
  <c r="AL326" i="16"/>
  <c r="AL327" i="16"/>
  <c r="AL328" i="16"/>
  <c r="AL329" i="16"/>
  <c r="AL330" i="16"/>
  <c r="AL331" i="16"/>
  <c r="AL332" i="16"/>
  <c r="AL333" i="16"/>
  <c r="AL334" i="16"/>
  <c r="AL335" i="16"/>
  <c r="AL336" i="16"/>
  <c r="AL337" i="16"/>
  <c r="AL338" i="16"/>
  <c r="AL339" i="16"/>
  <c r="AL340" i="16"/>
  <c r="AL341" i="16"/>
  <c r="AL342" i="16"/>
  <c r="AL343" i="16"/>
  <c r="AL344" i="16"/>
  <c r="AL345" i="16"/>
  <c r="AL347" i="16"/>
  <c r="AL348" i="16"/>
  <c r="AL349" i="16"/>
  <c r="AL350" i="16"/>
  <c r="AL351" i="16"/>
  <c r="AL352" i="16"/>
  <c r="AL353" i="16"/>
  <c r="AL354" i="16"/>
  <c r="AL355" i="16"/>
  <c r="AL356" i="16"/>
  <c r="AL357" i="16"/>
  <c r="AL358" i="16"/>
  <c r="AL359" i="16"/>
  <c r="AL360" i="16"/>
  <c r="AL361" i="16"/>
  <c r="AL362" i="16"/>
  <c r="AL363" i="16"/>
  <c r="AL364" i="16"/>
  <c r="AL365" i="16"/>
  <c r="AL366" i="16"/>
  <c r="AL367" i="16"/>
  <c r="AL368" i="16"/>
  <c r="AL369" i="16"/>
  <c r="AL370" i="16"/>
  <c r="AL371" i="16"/>
  <c r="AL372" i="16"/>
  <c r="AL373" i="16"/>
  <c r="AL374" i="16"/>
  <c r="AL375" i="16"/>
  <c r="AL376" i="16"/>
  <c r="AL377" i="16"/>
  <c r="AL378" i="16"/>
  <c r="AL379" i="16"/>
  <c r="AL380" i="16"/>
  <c r="AL381" i="16"/>
  <c r="AL382" i="16"/>
  <c r="AL383" i="16"/>
  <c r="AL384" i="16"/>
  <c r="AL385" i="16"/>
  <c r="AL386" i="16"/>
  <c r="AL387" i="16"/>
  <c r="AL388" i="16"/>
  <c r="AL389" i="16"/>
  <c r="AL390" i="16"/>
  <c r="AL391" i="16"/>
  <c r="AL392" i="16"/>
  <c r="AL393" i="16"/>
  <c r="AL394" i="16"/>
  <c r="AL395" i="16"/>
  <c r="AL396" i="16"/>
  <c r="AL397" i="16"/>
  <c r="AL398" i="16"/>
  <c r="AL399" i="16"/>
  <c r="AL401" i="16"/>
  <c r="AL402" i="16"/>
  <c r="AL403" i="16"/>
  <c r="AL404" i="16"/>
  <c r="AL405" i="16"/>
  <c r="AL406" i="16"/>
  <c r="AL407" i="16"/>
  <c r="AL408" i="16"/>
  <c r="AL409" i="16"/>
  <c r="AL410" i="16"/>
  <c r="AL411" i="16"/>
  <c r="AL412" i="16"/>
  <c r="AL414" i="16"/>
  <c r="AL415" i="16"/>
  <c r="AL416" i="16"/>
  <c r="AL417" i="16"/>
  <c r="AL418" i="16"/>
  <c r="AL419" i="16"/>
  <c r="AL420" i="16"/>
  <c r="AL421" i="16"/>
  <c r="AL422" i="16"/>
  <c r="AL423" i="16"/>
  <c r="AL424" i="16"/>
  <c r="AL425" i="16"/>
  <c r="AL426" i="16"/>
  <c r="AL427" i="16"/>
  <c r="AL428" i="16"/>
  <c r="AL429" i="16"/>
  <c r="AL430" i="16"/>
  <c r="AL431" i="16"/>
  <c r="AL432" i="16"/>
  <c r="AL433" i="16"/>
  <c r="AL434" i="16"/>
  <c r="AL435" i="16"/>
  <c r="AL436" i="16"/>
  <c r="AL437" i="16"/>
  <c r="AL438" i="16"/>
  <c r="AL439" i="16"/>
  <c r="AL440" i="16"/>
  <c r="AL441" i="16"/>
  <c r="AL442" i="16"/>
  <c r="AL443" i="16"/>
  <c r="AL444" i="16"/>
  <c r="AL445" i="16"/>
  <c r="AL446" i="16"/>
  <c r="AL447" i="16"/>
  <c r="AL448" i="16"/>
  <c r="AL449" i="16"/>
  <c r="AL450" i="16"/>
  <c r="AL451" i="16"/>
  <c r="AL452" i="16"/>
  <c r="AL453" i="16"/>
  <c r="AL454" i="16"/>
  <c r="AL455" i="16"/>
  <c r="AL457" i="16"/>
  <c r="AL458" i="16"/>
  <c r="AL459" i="16"/>
  <c r="AL460" i="16"/>
  <c r="AL461" i="16"/>
  <c r="AL462" i="16"/>
  <c r="AL463" i="16"/>
  <c r="AL464" i="16"/>
  <c r="AL465" i="16"/>
  <c r="AL466" i="16"/>
  <c r="AL467" i="16"/>
  <c r="AL468" i="16"/>
  <c r="AL469" i="16"/>
  <c r="AL470" i="16"/>
  <c r="AL471" i="16"/>
  <c r="AL472" i="16"/>
  <c r="AL473" i="16"/>
  <c r="AL474" i="16"/>
  <c r="AL475" i="16"/>
  <c r="AL476" i="16"/>
  <c r="AL477" i="16"/>
  <c r="AL478" i="16"/>
  <c r="AL479" i="16"/>
  <c r="AL480" i="16"/>
  <c r="AL481" i="16"/>
  <c r="AL482" i="16"/>
  <c r="AL483" i="16"/>
  <c r="AL484" i="16"/>
  <c r="AL485" i="16"/>
  <c r="AL486" i="16"/>
  <c r="AL487" i="16"/>
  <c r="AL488" i="16"/>
  <c r="AL489" i="16"/>
  <c r="AL490" i="16"/>
  <c r="AL491" i="16"/>
  <c r="AL492" i="16"/>
  <c r="AL493" i="16"/>
  <c r="AL494" i="16"/>
  <c r="AL495" i="16"/>
  <c r="AL496" i="16"/>
  <c r="AL497" i="16"/>
  <c r="AL498" i="16"/>
  <c r="AL499" i="16"/>
  <c r="AL500" i="16"/>
  <c r="AL501" i="16"/>
  <c r="AL502" i="16"/>
  <c r="AL503" i="16"/>
  <c r="AL504" i="16"/>
  <c r="AL505" i="16"/>
  <c r="AL506" i="16"/>
  <c r="AL507" i="16"/>
  <c r="AL508" i="16"/>
  <c r="AL509" i="16"/>
  <c r="AL510" i="16"/>
  <c r="AL511" i="16"/>
  <c r="AL512" i="16"/>
  <c r="AL513" i="16"/>
  <c r="AL514" i="16"/>
  <c r="AL515" i="16"/>
  <c r="AL516" i="16"/>
  <c r="AL517" i="16"/>
  <c r="AL518" i="16"/>
  <c r="AL519" i="16"/>
  <c r="AL520" i="16"/>
  <c r="AL521" i="16"/>
  <c r="AL522" i="16"/>
  <c r="AL523" i="16"/>
  <c r="AL524" i="16"/>
  <c r="AL525" i="16"/>
  <c r="AL526" i="16"/>
  <c r="AL527" i="16"/>
  <c r="AL528" i="16"/>
  <c r="AL529" i="16"/>
  <c r="AL530" i="16"/>
  <c r="AL531" i="16"/>
  <c r="AL532" i="16"/>
  <c r="AL533" i="16"/>
  <c r="AL534" i="16"/>
  <c r="AL535" i="16"/>
  <c r="AL536" i="16"/>
  <c r="AL537" i="16"/>
  <c r="AL538" i="16"/>
  <c r="AL539" i="16"/>
  <c r="AL540" i="16"/>
  <c r="AL541" i="16"/>
  <c r="AL542" i="16"/>
  <c r="AL543" i="16"/>
  <c r="AL544" i="16"/>
  <c r="AL545" i="16"/>
  <c r="AL546" i="16"/>
  <c r="AL547" i="16"/>
  <c r="AL548" i="16"/>
  <c r="AL549" i="16"/>
  <c r="AL550" i="16"/>
  <c r="AL551" i="16"/>
  <c r="AL552" i="16"/>
  <c r="AL553" i="16"/>
  <c r="AL554" i="16"/>
  <c r="AL555" i="16"/>
  <c r="AL556" i="16"/>
  <c r="AL557" i="16"/>
  <c r="AL558" i="16"/>
  <c r="AL559" i="16"/>
  <c r="AL560" i="16"/>
  <c r="AL561" i="16"/>
  <c r="AL562" i="16"/>
  <c r="AL563" i="16"/>
  <c r="AL564" i="16"/>
  <c r="AL565" i="16"/>
  <c r="AL566" i="16"/>
  <c r="AL567" i="16"/>
  <c r="AL568" i="16"/>
  <c r="AL569" i="16"/>
  <c r="AL570" i="16"/>
  <c r="AL571" i="16"/>
  <c r="AL572" i="16"/>
  <c r="AL573" i="16"/>
  <c r="AL574" i="16"/>
  <c r="AL575" i="16"/>
  <c r="AL576" i="16"/>
  <c r="AL577" i="16"/>
  <c r="AL578" i="16"/>
  <c r="AL579" i="16"/>
  <c r="AL580" i="16"/>
  <c r="AL581" i="16"/>
  <c r="AL582" i="16"/>
  <c r="AL583" i="16"/>
  <c r="AL584" i="16"/>
  <c r="AL585" i="16"/>
  <c r="AL586" i="16"/>
  <c r="AL587" i="16"/>
  <c r="AL588" i="16"/>
  <c r="AL589" i="16"/>
  <c r="AL590" i="16"/>
  <c r="AL591" i="16"/>
  <c r="AL592" i="16"/>
  <c r="AL593" i="16"/>
  <c r="AL594" i="16"/>
  <c r="AL595" i="16"/>
  <c r="AL596" i="16"/>
  <c r="AL597" i="16"/>
  <c r="AL598" i="16"/>
  <c r="AL599" i="16"/>
  <c r="AL600" i="16"/>
  <c r="AL601" i="16"/>
  <c r="AL602" i="16"/>
  <c r="AL603" i="16"/>
  <c r="AL604" i="16"/>
  <c r="AL605" i="16"/>
  <c r="AL606" i="16"/>
  <c r="AL607" i="16"/>
  <c r="AL608" i="16"/>
  <c r="AL609" i="16"/>
  <c r="AL610" i="16"/>
  <c r="AL611" i="16"/>
  <c r="AL612" i="16"/>
  <c r="AL613" i="16"/>
  <c r="AL614" i="16"/>
  <c r="AL615" i="16"/>
  <c r="AL616" i="16"/>
  <c r="AL617" i="16"/>
  <c r="AL618" i="16"/>
  <c r="AL11" i="16"/>
  <c r="AH414" i="16"/>
  <c r="AH415" i="16"/>
  <c r="AH416" i="16"/>
  <c r="AH417" i="16"/>
  <c r="AN417" i="16" l="1"/>
  <c r="AN415" i="16"/>
  <c r="AN416" i="16"/>
  <c r="AN414" i="16"/>
  <c r="AT409" i="16"/>
  <c r="AT530" i="16"/>
  <c r="AT618" i="16"/>
  <c r="AT616" i="16"/>
  <c r="AT614" i="16"/>
  <c r="AT612" i="16"/>
  <c r="AT610" i="16"/>
  <c r="AT608" i="16"/>
  <c r="AT606" i="16"/>
  <c r="AT604" i="16"/>
  <c r="AT602" i="16"/>
  <c r="AT600" i="16"/>
  <c r="AT598" i="16"/>
  <c r="AT596" i="16"/>
  <c r="AT594" i="16"/>
  <c r="AT592" i="16"/>
  <c r="AT590" i="16"/>
  <c r="AT588" i="16"/>
  <c r="AT586" i="16"/>
  <c r="AT584" i="16"/>
  <c r="AT582" i="16"/>
  <c r="AT580" i="16"/>
  <c r="AT578" i="16"/>
  <c r="AT576" i="16"/>
  <c r="AT574" i="16"/>
  <c r="AT572" i="16"/>
  <c r="AT570" i="16"/>
  <c r="AT568" i="16"/>
  <c r="AT566" i="16"/>
  <c r="AT564" i="16"/>
  <c r="AT562" i="16"/>
  <c r="AT560" i="16"/>
  <c r="AT558" i="16"/>
  <c r="AT556" i="16"/>
  <c r="AT554" i="16"/>
  <c r="AT552" i="16"/>
  <c r="AT550" i="16"/>
  <c r="AT548" i="16"/>
  <c r="AT546" i="16"/>
  <c r="AT544" i="16"/>
  <c r="AT542" i="16"/>
  <c r="AT540" i="16"/>
  <c r="AT538" i="16"/>
  <c r="AT536" i="16"/>
  <c r="AT534" i="16"/>
  <c r="AT532" i="16"/>
  <c r="AT528" i="16"/>
  <c r="AT526" i="16"/>
  <c r="AT524" i="16"/>
  <c r="AT522" i="16"/>
  <c r="AT520" i="16"/>
  <c r="AT518" i="16"/>
  <c r="AT516" i="16"/>
  <c r="AT514" i="16"/>
  <c r="AT512" i="16"/>
  <c r="AT510" i="16"/>
  <c r="AT508" i="16"/>
  <c r="AT506" i="16"/>
  <c r="AT504" i="16"/>
  <c r="AT502" i="16"/>
  <c r="AT500" i="16"/>
  <c r="AT498" i="16"/>
  <c r="AT496" i="16"/>
  <c r="AT494" i="16"/>
  <c r="AT492" i="16"/>
  <c r="AT490" i="16"/>
  <c r="AT488" i="16"/>
  <c r="AT486" i="16"/>
  <c r="AT484" i="16"/>
  <c r="AT482" i="16"/>
  <c r="AT480" i="16"/>
  <c r="AT478" i="16"/>
  <c r="AT476" i="16"/>
  <c r="AT474" i="16"/>
  <c r="AT472" i="16"/>
  <c r="AT470" i="16"/>
  <c r="AT468" i="16"/>
  <c r="AT466" i="16"/>
  <c r="AT464" i="16"/>
  <c r="AT462" i="16"/>
  <c r="AT460" i="16"/>
  <c r="AT458" i="16"/>
  <c r="AT455" i="16"/>
  <c r="AT453" i="16"/>
  <c r="AT451" i="16"/>
  <c r="AT449" i="16"/>
  <c r="AT446" i="16"/>
  <c r="AT444" i="16"/>
  <c r="AT442" i="16"/>
  <c r="AT440" i="16"/>
  <c r="AT438" i="16"/>
  <c r="AT436" i="16"/>
  <c r="AT434" i="16"/>
  <c r="AT432" i="16"/>
  <c r="AT430" i="16"/>
  <c r="AT428" i="16"/>
  <c r="AT426" i="16"/>
  <c r="AT424" i="16"/>
  <c r="AT422" i="16"/>
  <c r="AT420" i="16"/>
  <c r="AT418" i="16"/>
  <c r="AT416" i="16"/>
  <c r="AT414" i="16"/>
  <c r="AT411" i="16"/>
  <c r="AT407" i="16"/>
  <c r="AT405" i="16"/>
  <c r="AT403" i="16"/>
  <c r="AT401" i="16"/>
  <c r="AT398" i="16"/>
  <c r="AT396" i="16"/>
  <c r="AT394" i="16"/>
  <c r="AT392" i="16"/>
  <c r="AT390" i="16"/>
  <c r="AT388" i="16"/>
  <c r="AT386" i="16"/>
  <c r="AT384" i="16"/>
  <c r="AT382" i="16"/>
  <c r="AT380" i="16"/>
  <c r="AT378" i="16"/>
  <c r="AT376" i="16"/>
  <c r="AT374" i="16"/>
  <c r="AT372" i="16"/>
  <c r="AT370" i="16"/>
  <c r="AT368" i="16"/>
  <c r="AT366" i="16"/>
  <c r="AT364" i="16"/>
  <c r="AT362" i="16"/>
  <c r="AT360" i="16"/>
  <c r="AT358" i="16"/>
  <c r="AT356" i="16"/>
  <c r="AT354" i="16"/>
  <c r="AT352" i="16"/>
  <c r="AT350" i="16"/>
  <c r="AT348" i="16"/>
  <c r="AT345" i="16"/>
  <c r="AT343" i="16"/>
  <c r="AT341" i="16"/>
  <c r="AT339" i="16"/>
  <c r="AT337" i="16"/>
  <c r="AT335" i="16"/>
  <c r="AT333" i="16"/>
  <c r="AT331" i="16"/>
  <c r="AT329" i="16"/>
  <c r="AT327" i="16"/>
  <c r="AT325" i="16"/>
  <c r="AT323" i="16"/>
  <c r="AT321" i="16"/>
  <c r="AT319" i="16"/>
  <c r="AT316" i="16"/>
  <c r="AT314" i="16"/>
  <c r="AT312" i="16"/>
  <c r="AT310" i="16"/>
  <c r="AT308" i="16"/>
  <c r="AT306" i="16"/>
  <c r="AT304" i="16"/>
  <c r="AT302" i="16"/>
  <c r="AT300" i="16"/>
  <c r="AT298" i="16"/>
  <c r="AT296" i="16"/>
  <c r="AT294" i="16"/>
  <c r="AT289" i="16"/>
  <c r="AT291" i="16"/>
  <c r="AT288" i="16"/>
  <c r="AT286" i="16"/>
  <c r="AT284" i="16"/>
  <c r="AT282" i="16"/>
  <c r="AT280" i="16"/>
  <c r="AT278" i="16"/>
  <c r="AT276" i="16"/>
  <c r="AT274" i="16"/>
  <c r="AT272" i="16"/>
  <c r="AT270" i="16"/>
  <c r="AT268" i="16"/>
  <c r="AT266" i="16"/>
  <c r="AT264" i="16"/>
  <c r="AT262" i="16"/>
  <c r="AT260" i="16"/>
  <c r="AT258" i="16"/>
  <c r="AT256" i="16"/>
  <c r="AT254" i="16"/>
  <c r="AT252" i="16"/>
  <c r="AT250" i="16"/>
  <c r="AT248" i="16"/>
  <c r="AT246" i="16"/>
  <c r="AT244" i="16"/>
  <c r="AT242" i="16"/>
  <c r="AT240" i="16"/>
  <c r="AT238" i="16"/>
  <c r="AT236" i="16"/>
  <c r="AT234" i="16"/>
  <c r="AT232" i="16"/>
  <c r="AT230" i="16"/>
  <c r="AT228" i="16"/>
  <c r="AT226" i="16"/>
  <c r="AT224" i="16"/>
  <c r="AT222" i="16"/>
  <c r="AT220" i="16"/>
  <c r="AT218" i="16"/>
  <c r="AT216" i="16"/>
  <c r="AT214" i="16"/>
  <c r="AT212" i="16"/>
  <c r="AT210" i="16"/>
  <c r="AT208" i="16"/>
  <c r="AT206" i="16"/>
  <c r="AT204" i="16"/>
  <c r="AT202" i="16"/>
  <c r="AT200" i="16"/>
  <c r="AT198" i="16"/>
  <c r="AT196" i="16"/>
  <c r="AT194" i="16"/>
  <c r="AT192" i="16"/>
  <c r="AT190" i="16"/>
  <c r="AT188" i="16"/>
  <c r="AT186" i="16"/>
  <c r="AT184" i="16"/>
  <c r="AT182" i="16"/>
  <c r="AT180" i="16"/>
  <c r="AT178" i="16"/>
  <c r="AT176" i="16"/>
  <c r="AT174" i="16"/>
  <c r="AT172" i="16"/>
  <c r="AT170" i="16"/>
  <c r="AT168" i="16"/>
  <c r="AT166" i="16"/>
  <c r="AT164" i="16"/>
  <c r="AT162" i="16"/>
  <c r="AT160" i="16"/>
  <c r="AT158" i="16"/>
  <c r="AT156" i="16"/>
  <c r="AT154" i="16"/>
  <c r="AT152" i="16"/>
  <c r="AT150" i="16"/>
  <c r="AT148" i="16"/>
  <c r="AT146" i="16"/>
  <c r="AT144" i="16"/>
  <c r="AT142" i="16"/>
  <c r="AT140" i="16"/>
  <c r="AT138" i="16"/>
  <c r="AT136" i="16"/>
  <c r="AT134" i="16"/>
  <c r="AT132" i="16"/>
  <c r="AT130" i="16"/>
  <c r="AT128" i="16"/>
  <c r="AT126" i="16"/>
  <c r="AT124" i="16"/>
  <c r="AT122" i="16"/>
  <c r="AT120" i="16"/>
  <c r="AT118" i="16"/>
  <c r="AT116" i="16"/>
  <c r="AT114" i="16"/>
  <c r="AT112" i="16"/>
  <c r="AT110" i="16"/>
  <c r="AT108" i="16"/>
  <c r="AT106" i="16"/>
  <c r="AT104" i="16"/>
  <c r="AT102" i="16"/>
  <c r="AT100" i="16"/>
  <c r="AT98" i="16"/>
  <c r="AT96" i="16"/>
  <c r="AT94" i="16"/>
  <c r="AT92" i="16"/>
  <c r="AT90" i="16"/>
  <c r="AT89" i="16"/>
  <c r="AT86" i="16"/>
  <c r="AT84" i="16"/>
  <c r="AT82" i="16"/>
  <c r="AT80" i="16"/>
  <c r="AT78" i="16"/>
  <c r="AT76" i="16"/>
  <c r="AT74" i="16"/>
  <c r="AT72" i="16"/>
  <c r="AT70" i="16"/>
  <c r="AT68" i="16"/>
  <c r="AT66" i="16"/>
  <c r="AT64" i="16"/>
  <c r="AT62" i="16"/>
  <c r="AT60" i="16"/>
  <c r="AT58" i="16"/>
  <c r="AT56" i="16"/>
  <c r="AT54" i="16"/>
  <c r="AT52" i="16"/>
  <c r="AT50" i="16"/>
  <c r="AT48" i="16"/>
  <c r="AT46" i="16"/>
  <c r="AT44" i="16"/>
  <c r="AT42" i="16"/>
  <c r="AT40" i="16"/>
  <c r="AT38" i="16"/>
  <c r="AT36" i="16"/>
  <c r="AT34" i="16"/>
  <c r="AT32" i="16"/>
  <c r="AT30" i="16"/>
  <c r="AT28" i="16"/>
  <c r="AT26" i="16"/>
  <c r="AT24" i="16"/>
  <c r="AT22" i="16"/>
  <c r="AT20" i="16"/>
  <c r="AT18" i="16"/>
  <c r="AT16" i="16"/>
  <c r="AT14" i="16"/>
  <c r="AT12" i="16"/>
  <c r="AT11" i="16"/>
  <c r="AT617" i="16"/>
  <c r="AT615" i="16"/>
  <c r="AT613" i="16"/>
  <c r="AT611" i="16"/>
  <c r="AT609" i="16"/>
  <c r="AT607" i="16"/>
  <c r="AT605" i="16"/>
  <c r="AT603" i="16"/>
  <c r="AT601" i="16"/>
  <c r="AT599" i="16"/>
  <c r="AT597" i="16"/>
  <c r="AT595" i="16"/>
  <c r="AT593" i="16"/>
  <c r="AT591" i="16"/>
  <c r="AT589" i="16"/>
  <c r="AT587" i="16"/>
  <c r="AT585" i="16"/>
  <c r="AT583" i="16"/>
  <c r="AT581" i="16"/>
  <c r="AT579" i="16"/>
  <c r="AT577" i="16"/>
  <c r="AT575" i="16"/>
  <c r="AT573" i="16"/>
  <c r="AT571" i="16"/>
  <c r="AT569" i="16"/>
  <c r="AT567" i="16"/>
  <c r="AT565" i="16"/>
  <c r="AT563" i="16"/>
  <c r="AT561" i="16"/>
  <c r="AT559" i="16"/>
  <c r="AT557" i="16"/>
  <c r="AT555" i="16"/>
  <c r="AT553" i="16"/>
  <c r="AT551" i="16"/>
  <c r="AT549" i="16"/>
  <c r="AT547" i="16"/>
  <c r="AT545" i="16"/>
  <c r="AT543" i="16"/>
  <c r="AT541" i="16"/>
  <c r="AT539" i="16"/>
  <c r="AT537" i="16"/>
  <c r="AT535" i="16"/>
  <c r="AT533" i="16"/>
  <c r="AT531" i="16"/>
  <c r="AT529" i="16"/>
  <c r="AT527" i="16"/>
  <c r="AT525" i="16"/>
  <c r="AT523" i="16"/>
  <c r="AT521" i="16"/>
  <c r="AT519" i="16"/>
  <c r="AT517" i="16"/>
  <c r="AT515" i="16"/>
  <c r="AT513" i="16"/>
  <c r="AT511" i="16"/>
  <c r="AT509" i="16"/>
  <c r="AT507" i="16"/>
  <c r="AT505" i="16"/>
  <c r="AT503" i="16"/>
  <c r="AT501" i="16"/>
  <c r="AT499" i="16"/>
  <c r="AT497" i="16"/>
  <c r="AT495" i="16"/>
  <c r="AT493" i="16"/>
  <c r="AT491" i="16"/>
  <c r="AT489" i="16"/>
  <c r="AT487" i="16"/>
  <c r="AT485" i="16"/>
  <c r="AT483" i="16"/>
  <c r="AT481" i="16"/>
  <c r="AT479" i="16"/>
  <c r="AT477" i="16"/>
  <c r="AT475" i="16"/>
  <c r="AT473" i="16"/>
  <c r="AT471" i="16"/>
  <c r="AT469" i="16"/>
  <c r="AT467" i="16"/>
  <c r="AT465" i="16"/>
  <c r="AT463" i="16"/>
  <c r="AT461" i="16"/>
  <c r="AT459" i="16"/>
  <c r="AT457" i="16"/>
  <c r="AT454" i="16"/>
  <c r="AT452" i="16"/>
  <c r="AT450" i="16"/>
  <c r="AT448" i="16"/>
  <c r="AT447" i="16"/>
  <c r="AT445" i="16"/>
  <c r="AT443" i="16"/>
  <c r="AT441" i="16"/>
  <c r="AT439" i="16"/>
  <c r="AT437" i="16"/>
  <c r="AT435" i="16"/>
  <c r="AT433" i="16"/>
  <c r="AT431" i="16"/>
  <c r="AT429" i="16"/>
  <c r="AT427" i="16"/>
  <c r="AT425" i="16"/>
  <c r="AT423" i="16"/>
  <c r="AT421" i="16"/>
  <c r="AT419" i="16"/>
  <c r="AT417" i="16"/>
  <c r="AT415" i="16"/>
  <c r="AT412" i="16"/>
  <c r="AT410" i="16"/>
  <c r="AT408" i="16"/>
  <c r="AT406" i="16"/>
  <c r="AT404" i="16"/>
  <c r="AT402" i="16"/>
  <c r="AT399" i="16"/>
  <c r="AT397" i="16"/>
  <c r="AT395" i="16"/>
  <c r="AT393" i="16"/>
  <c r="AT391" i="16"/>
  <c r="AT389" i="16"/>
  <c r="AT387" i="16"/>
  <c r="AT385" i="16"/>
  <c r="AT383" i="16"/>
  <c r="AT381" i="16"/>
  <c r="AT379" i="16"/>
  <c r="AT377" i="16"/>
  <c r="AT375" i="16"/>
  <c r="AT373" i="16"/>
  <c r="AT371" i="16"/>
  <c r="AT369" i="16"/>
  <c r="AT367" i="16"/>
  <c r="AT365" i="16"/>
  <c r="AT363" i="16"/>
  <c r="AT361" i="16"/>
  <c r="AT359" i="16"/>
  <c r="AT357" i="16"/>
  <c r="AT355" i="16"/>
  <c r="AT353" i="16"/>
  <c r="AT351" i="16"/>
  <c r="AT349" i="16"/>
  <c r="AT347" i="16"/>
  <c r="AT344" i="16"/>
  <c r="AT342" i="16"/>
  <c r="AT340" i="16"/>
  <c r="AT338" i="16"/>
  <c r="AT336" i="16"/>
  <c r="AT334" i="16"/>
  <c r="AT332" i="16"/>
  <c r="AT330" i="16"/>
  <c r="AT328" i="16"/>
  <c r="AT326" i="16"/>
  <c r="AT324" i="16"/>
  <c r="AT322" i="16"/>
  <c r="AT320" i="16"/>
  <c r="AT317" i="16"/>
  <c r="AT315" i="16"/>
  <c r="AT313" i="16"/>
  <c r="AT311" i="16"/>
  <c r="AT309" i="16"/>
  <c r="AT307" i="16"/>
  <c r="AT305" i="16"/>
  <c r="AT303" i="16"/>
  <c r="AT301" i="16"/>
  <c r="AT299" i="16"/>
  <c r="AT297" i="16"/>
  <c r="AT295" i="16"/>
  <c r="AT293" i="16"/>
  <c r="AT292" i="16"/>
  <c r="AT287" i="16"/>
  <c r="AT285" i="16"/>
  <c r="AT283" i="16"/>
  <c r="AT281" i="16"/>
  <c r="AT279" i="16"/>
  <c r="AT277" i="16"/>
  <c r="AT275" i="16"/>
  <c r="AT273" i="16"/>
  <c r="AT271" i="16"/>
  <c r="AT269" i="16"/>
  <c r="AT267" i="16"/>
  <c r="AT265" i="16"/>
  <c r="AT263" i="16"/>
  <c r="AT261" i="16"/>
  <c r="AT259" i="16"/>
  <c r="AT257" i="16"/>
  <c r="AT255" i="16"/>
  <c r="AT253" i="16"/>
  <c r="AT251" i="16"/>
  <c r="AT249" i="16"/>
  <c r="AT247" i="16"/>
  <c r="AT245" i="16"/>
  <c r="AT243" i="16"/>
  <c r="AT241" i="16"/>
  <c r="AT239" i="16"/>
  <c r="AT237" i="16"/>
  <c r="AT235" i="16"/>
  <c r="AT233" i="16"/>
  <c r="AT231" i="16"/>
  <c r="AT229" i="16"/>
  <c r="AT227" i="16"/>
  <c r="AT225" i="16"/>
  <c r="AT223" i="16"/>
  <c r="AT221" i="16"/>
  <c r="AT219" i="16"/>
  <c r="AT217" i="16"/>
  <c r="AT215" i="16"/>
  <c r="AT213" i="16"/>
  <c r="AT211" i="16"/>
  <c r="AT209" i="16"/>
  <c r="AT207" i="16"/>
  <c r="AT205" i="16"/>
  <c r="AT203" i="16"/>
  <c r="AT201" i="16"/>
  <c r="AT199" i="16"/>
  <c r="AT197" i="16"/>
  <c r="AT195" i="16"/>
  <c r="AT193" i="16"/>
  <c r="AT191" i="16"/>
  <c r="AT189" i="16"/>
  <c r="AT187" i="16"/>
  <c r="AT185" i="16"/>
  <c r="AT183" i="16"/>
  <c r="AT181" i="16"/>
  <c r="AT179" i="16"/>
  <c r="AT177" i="16"/>
  <c r="AT175" i="16"/>
  <c r="AT173" i="16"/>
  <c r="AT171" i="16"/>
  <c r="AT169" i="16"/>
  <c r="AT167" i="16"/>
  <c r="AT165" i="16"/>
  <c r="AT163" i="16"/>
  <c r="AT161" i="16"/>
  <c r="AT159" i="16"/>
  <c r="AT157" i="16"/>
  <c r="AT155" i="16"/>
  <c r="AT153" i="16"/>
  <c r="AT151" i="16"/>
  <c r="AT149" i="16"/>
  <c r="AT147" i="16"/>
  <c r="AT145" i="16"/>
  <c r="AT143" i="16"/>
  <c r="AT141" i="16"/>
  <c r="AT139" i="16"/>
  <c r="AT137" i="16"/>
  <c r="AT135" i="16"/>
  <c r="AT133" i="16"/>
  <c r="AT131" i="16"/>
  <c r="AT129" i="16"/>
  <c r="AT127" i="16"/>
  <c r="AT125" i="16"/>
  <c r="AT123" i="16"/>
  <c r="AT121" i="16"/>
  <c r="AT119" i="16"/>
  <c r="AT117" i="16"/>
  <c r="AT115" i="16"/>
  <c r="AT113" i="16"/>
  <c r="AT111" i="16"/>
  <c r="AT109" i="16"/>
  <c r="AT107" i="16"/>
  <c r="AT105" i="16"/>
  <c r="AT103" i="16"/>
  <c r="AT101" i="16"/>
  <c r="AT99" i="16"/>
  <c r="AT97" i="16"/>
  <c r="AT95" i="16"/>
  <c r="AT93" i="16"/>
  <c r="AT91" i="16"/>
  <c r="AT88" i="16"/>
  <c r="AT87" i="16"/>
  <c r="AT85" i="16"/>
  <c r="AT83" i="16"/>
  <c r="AT81" i="16"/>
  <c r="AT79" i="16"/>
  <c r="AT77" i="16"/>
  <c r="AT75" i="16"/>
  <c r="AT73" i="16"/>
  <c r="AT71" i="16"/>
  <c r="AT69" i="16"/>
  <c r="AT67" i="16"/>
  <c r="AT65" i="16"/>
  <c r="AT63" i="16"/>
  <c r="AT61" i="16"/>
  <c r="AT59" i="16"/>
  <c r="AT57" i="16"/>
  <c r="AT55" i="16"/>
  <c r="AT53" i="16"/>
  <c r="AT51" i="16"/>
  <c r="AT49" i="16"/>
  <c r="AT47" i="16"/>
  <c r="AT45" i="16"/>
  <c r="AT43" i="16"/>
  <c r="AT41" i="16"/>
  <c r="AT39" i="16"/>
  <c r="AT37" i="16"/>
  <c r="AT35" i="16"/>
  <c r="AT33" i="16"/>
  <c r="AT31" i="16"/>
  <c r="AT29" i="16"/>
  <c r="AT27" i="16"/>
  <c r="AT25" i="16"/>
  <c r="AT23" i="16"/>
  <c r="AT21" i="16"/>
  <c r="AT19" i="16"/>
  <c r="AT17" i="16"/>
  <c r="AT15" i="16"/>
  <c r="AT13" i="16"/>
  <c r="AW11" i="16"/>
  <c r="AW617" i="16"/>
  <c r="AW615" i="16"/>
  <c r="AW613" i="16"/>
  <c r="AW611" i="16"/>
  <c r="AW609" i="16"/>
  <c r="AW607" i="16"/>
  <c r="AW605" i="16"/>
  <c r="AW603" i="16"/>
  <c r="AW601" i="16"/>
  <c r="AW599" i="16"/>
  <c r="AW597" i="16"/>
  <c r="AW595" i="16"/>
  <c r="AW593" i="16"/>
  <c r="AW591" i="16"/>
  <c r="AW589" i="16"/>
  <c r="AW587" i="16"/>
  <c r="AW585" i="16"/>
  <c r="AW583" i="16"/>
  <c r="AW581" i="16"/>
  <c r="AW579" i="16"/>
  <c r="AW577" i="16"/>
  <c r="AW575" i="16"/>
  <c r="AW573" i="16"/>
  <c r="AW571" i="16"/>
  <c r="AW569" i="16"/>
  <c r="AW567" i="16"/>
  <c r="AW565" i="16"/>
  <c r="AW563" i="16"/>
  <c r="AW561" i="16"/>
  <c r="AW559" i="16"/>
  <c r="AW557" i="16"/>
  <c r="AW555" i="16"/>
  <c r="AW553" i="16"/>
  <c r="AW551" i="16"/>
  <c r="AW549" i="16"/>
  <c r="AW547" i="16"/>
  <c r="AW545" i="16"/>
  <c r="AW543" i="16"/>
  <c r="AW541" i="16"/>
  <c r="AW539" i="16"/>
  <c r="AW537" i="16"/>
  <c r="AW535" i="16"/>
  <c r="AW533" i="16"/>
  <c r="AW531" i="16"/>
  <c r="AW529" i="16"/>
  <c r="AW527" i="16"/>
  <c r="AW525" i="16"/>
  <c r="AW523" i="16"/>
  <c r="AW521" i="16"/>
  <c r="AW519" i="16"/>
  <c r="AW517" i="16"/>
  <c r="AW515" i="16"/>
  <c r="AW513" i="16"/>
  <c r="AW511" i="16"/>
  <c r="AW509" i="16"/>
  <c r="AW507" i="16"/>
  <c r="AW505" i="16"/>
  <c r="AW503" i="16"/>
  <c r="AW501" i="16"/>
  <c r="AW499" i="16"/>
  <c r="AW497" i="16"/>
  <c r="AW495" i="16"/>
  <c r="AW493" i="16"/>
  <c r="AW491" i="16"/>
  <c r="AW489" i="16"/>
  <c r="AW487" i="16"/>
  <c r="AW485" i="16"/>
  <c r="AW483" i="16"/>
  <c r="AW481" i="16"/>
  <c r="AW479" i="16"/>
  <c r="AW477" i="16"/>
  <c r="AW475" i="16"/>
  <c r="AW473" i="16"/>
  <c r="AW471" i="16"/>
  <c r="AW469" i="16"/>
  <c r="AW467" i="16"/>
  <c r="AW465" i="16"/>
  <c r="AW463" i="16"/>
  <c r="AW461" i="16"/>
  <c r="AW459" i="16"/>
  <c r="AW457" i="16"/>
  <c r="AW454" i="16"/>
  <c r="AW452" i="16"/>
  <c r="AW450" i="16"/>
  <c r="AW448" i="16"/>
  <c r="AW447" i="16"/>
  <c r="AW445" i="16"/>
  <c r="AW443" i="16"/>
  <c r="AW441" i="16"/>
  <c r="AW439" i="16"/>
  <c r="AW437" i="16"/>
  <c r="AW435" i="16"/>
  <c r="AW433" i="16"/>
  <c r="AW431" i="16"/>
  <c r="AW429" i="16"/>
  <c r="AW427" i="16"/>
  <c r="AW425" i="16"/>
  <c r="AW423" i="16"/>
  <c r="AW421" i="16"/>
  <c r="AW419" i="16"/>
  <c r="AW417" i="16"/>
  <c r="AW415" i="16"/>
  <c r="AW412" i="16"/>
  <c r="AW410" i="16"/>
  <c r="AW408" i="16"/>
  <c r="AW406" i="16"/>
  <c r="AW404" i="16"/>
  <c r="AW402" i="16"/>
  <c r="AW399" i="16"/>
  <c r="AW397" i="16"/>
  <c r="AW395" i="16"/>
  <c r="AW393" i="16"/>
  <c r="AW391" i="16"/>
  <c r="AW389" i="16"/>
  <c r="AW387" i="16"/>
  <c r="AW385" i="16"/>
  <c r="AW383" i="16"/>
  <c r="AW381" i="16"/>
  <c r="AW379" i="16"/>
  <c r="AW377" i="16"/>
  <c r="AW375" i="16"/>
  <c r="AW373" i="16"/>
  <c r="AW371" i="16"/>
  <c r="AW369" i="16"/>
  <c r="AW367" i="16"/>
  <c r="AW365" i="16"/>
  <c r="AW363" i="16"/>
  <c r="AW361" i="16"/>
  <c r="AW359" i="16"/>
  <c r="AW357" i="16"/>
  <c r="AW355" i="16"/>
  <c r="AW353" i="16"/>
  <c r="AW351" i="16"/>
  <c r="AW349" i="16"/>
  <c r="AW347" i="16"/>
  <c r="AW344" i="16"/>
  <c r="AW342" i="16"/>
  <c r="AW340" i="16"/>
  <c r="AW338" i="16"/>
  <c r="AW336" i="16"/>
  <c r="AW334" i="16"/>
  <c r="AW332" i="16"/>
  <c r="AW330" i="16"/>
  <c r="AW328" i="16"/>
  <c r="AW326" i="16"/>
  <c r="AW324" i="16"/>
  <c r="AW322" i="16"/>
  <c r="AW320" i="16"/>
  <c r="AW317" i="16"/>
  <c r="AW315" i="16"/>
  <c r="AW313" i="16"/>
  <c r="AW311" i="16"/>
  <c r="AW309" i="16"/>
  <c r="AW307" i="16"/>
  <c r="AW305" i="16"/>
  <c r="AW303" i="16"/>
  <c r="AW301" i="16"/>
  <c r="AW299" i="16"/>
  <c r="AW297" i="16"/>
  <c r="AW295" i="16"/>
  <c r="AW293" i="16"/>
  <c r="AW292" i="16"/>
  <c r="AW287" i="16"/>
  <c r="AW285" i="16"/>
  <c r="AW283" i="16"/>
  <c r="AW281" i="16"/>
  <c r="AW279" i="16"/>
  <c r="AW277" i="16"/>
  <c r="AW275" i="16"/>
  <c r="AW273" i="16"/>
  <c r="AW271" i="16"/>
  <c r="AW269" i="16"/>
  <c r="AW267" i="16"/>
  <c r="AW265" i="16"/>
  <c r="AW263" i="16"/>
  <c r="AW261" i="16"/>
  <c r="AW259" i="16"/>
  <c r="AW257" i="16"/>
  <c r="AW255" i="16"/>
  <c r="AW253" i="16"/>
  <c r="AW251" i="16"/>
  <c r="AW249" i="16"/>
  <c r="AW247" i="16"/>
  <c r="AW245" i="16"/>
  <c r="AW243" i="16"/>
  <c r="AW241" i="16"/>
  <c r="AW239" i="16"/>
  <c r="AW237" i="16"/>
  <c r="AW235" i="16"/>
  <c r="AW233" i="16"/>
  <c r="AW231" i="16"/>
  <c r="AW229" i="16"/>
  <c r="AW227" i="16"/>
  <c r="AW225" i="16"/>
  <c r="AW223" i="16"/>
  <c r="AW221" i="16"/>
  <c r="AW219" i="16"/>
  <c r="AW217" i="16"/>
  <c r="AW215" i="16"/>
  <c r="AW213" i="16"/>
  <c r="AW211" i="16"/>
  <c r="AW209" i="16"/>
  <c r="AW207" i="16"/>
  <c r="AW205" i="16"/>
  <c r="AW203" i="16"/>
  <c r="AW201" i="16"/>
  <c r="AW199" i="16"/>
  <c r="AW197" i="16"/>
  <c r="AW195" i="16"/>
  <c r="AW193" i="16"/>
  <c r="AW191" i="16"/>
  <c r="AW189" i="16"/>
  <c r="AW187" i="16"/>
  <c r="AW185" i="16"/>
  <c r="AW183" i="16"/>
  <c r="AW181" i="16"/>
  <c r="AW179" i="16"/>
  <c r="AW177" i="16"/>
  <c r="AW175" i="16"/>
  <c r="AW173" i="16"/>
  <c r="AW171" i="16"/>
  <c r="AW169" i="16"/>
  <c r="AW167" i="16"/>
  <c r="AW165" i="16"/>
  <c r="AW163" i="16"/>
  <c r="AW161" i="16"/>
  <c r="AW159" i="16"/>
  <c r="AW157" i="16"/>
  <c r="AW155" i="16"/>
  <c r="AW153" i="16"/>
  <c r="AW151" i="16"/>
  <c r="AW149" i="16"/>
  <c r="AW147" i="16"/>
  <c r="AW145" i="16"/>
  <c r="AW143" i="16"/>
  <c r="AW141" i="16"/>
  <c r="AW139" i="16"/>
  <c r="AW137" i="16"/>
  <c r="AW135" i="16"/>
  <c r="AW133" i="16"/>
  <c r="AW131" i="16"/>
  <c r="AW129" i="16"/>
  <c r="AW127" i="16"/>
  <c r="AW125" i="16"/>
  <c r="AW123" i="16"/>
  <c r="AW121" i="16"/>
  <c r="AW119" i="16"/>
  <c r="AW117" i="16"/>
  <c r="AW115" i="16"/>
  <c r="AW113" i="16"/>
  <c r="AW111" i="16"/>
  <c r="AW109" i="16"/>
  <c r="AW107" i="16"/>
  <c r="AW105" i="16"/>
  <c r="AW103" i="16"/>
  <c r="AW101" i="16"/>
  <c r="AW99" i="16"/>
  <c r="AW97" i="16"/>
  <c r="AW95" i="16"/>
  <c r="AW93" i="16"/>
  <c r="AW91" i="16"/>
  <c r="AW88" i="16"/>
  <c r="AW87" i="16"/>
  <c r="AW85" i="16"/>
  <c r="AW83" i="16"/>
  <c r="AW81" i="16"/>
  <c r="AW79" i="16"/>
  <c r="AW77" i="16"/>
  <c r="AW75" i="16"/>
  <c r="AW73" i="16"/>
  <c r="AW71" i="16"/>
  <c r="AW69" i="16"/>
  <c r="AW67" i="16"/>
  <c r="AW65" i="16"/>
  <c r="AW63" i="16"/>
  <c r="AW61" i="16"/>
  <c r="AW59" i="16"/>
  <c r="AW57" i="16"/>
  <c r="AW55" i="16"/>
  <c r="AW53" i="16"/>
  <c r="AW51" i="16"/>
  <c r="AW49" i="16"/>
  <c r="AW47" i="16"/>
  <c r="AW45" i="16"/>
  <c r="AW43" i="16"/>
  <c r="AW41" i="16"/>
  <c r="AW39" i="16"/>
  <c r="AW37" i="16"/>
  <c r="AW35" i="16"/>
  <c r="AW33" i="16"/>
  <c r="AW31" i="16"/>
  <c r="AW29" i="16"/>
  <c r="AW27" i="16"/>
  <c r="AW25" i="16"/>
  <c r="AW23" i="16"/>
  <c r="AW21" i="16"/>
  <c r="AW19" i="16"/>
  <c r="AW17" i="16"/>
  <c r="AW15" i="16"/>
  <c r="AW13" i="16"/>
  <c r="AW618" i="16"/>
  <c r="AW616" i="16"/>
  <c r="AW614" i="16"/>
  <c r="AW612" i="16"/>
  <c r="AW610" i="16"/>
  <c r="AW608" i="16"/>
  <c r="AW606" i="16"/>
  <c r="AW604" i="16"/>
  <c r="AW602" i="16"/>
  <c r="AW600" i="16"/>
  <c r="AW598" i="16"/>
  <c r="AW596" i="16"/>
  <c r="AW594" i="16"/>
  <c r="AW592" i="16"/>
  <c r="AW590" i="16"/>
  <c r="AW588" i="16"/>
  <c r="AW586" i="16"/>
  <c r="AW584" i="16"/>
  <c r="AW582" i="16"/>
  <c r="AW580" i="16"/>
  <c r="AW578" i="16"/>
  <c r="AW576" i="16"/>
  <c r="AW574" i="16"/>
  <c r="AW572" i="16"/>
  <c r="AW570" i="16"/>
  <c r="AW568" i="16"/>
  <c r="AW566" i="16"/>
  <c r="AW564" i="16"/>
  <c r="AW562" i="16"/>
  <c r="AW560" i="16"/>
  <c r="AW558" i="16"/>
  <c r="AW556" i="16"/>
  <c r="AW554" i="16"/>
  <c r="AW552" i="16"/>
  <c r="AW550" i="16"/>
  <c r="AW548" i="16"/>
  <c r="AW546" i="16"/>
  <c r="AW544" i="16"/>
  <c r="AW542" i="16"/>
  <c r="AW540" i="16"/>
  <c r="AW538" i="16"/>
  <c r="AW536" i="16"/>
  <c r="AW534" i="16"/>
  <c r="AW532" i="16"/>
  <c r="AW530" i="16"/>
  <c r="AW528" i="16"/>
  <c r="AW526" i="16"/>
  <c r="AW524" i="16"/>
  <c r="AW522" i="16"/>
  <c r="AW520" i="16"/>
  <c r="AW518" i="16"/>
  <c r="AW516" i="16"/>
  <c r="AW514" i="16"/>
  <c r="AW512" i="16"/>
  <c r="AW510" i="16"/>
  <c r="AW508" i="16"/>
  <c r="AW506" i="16"/>
  <c r="AW504" i="16"/>
  <c r="AW502" i="16"/>
  <c r="AW500" i="16"/>
  <c r="AW498" i="16"/>
  <c r="AW496" i="16"/>
  <c r="AW494" i="16"/>
  <c r="AW492" i="16"/>
  <c r="AW490" i="16"/>
  <c r="AW488" i="16"/>
  <c r="AW486" i="16"/>
  <c r="AW484" i="16"/>
  <c r="AW482" i="16"/>
  <c r="AW480" i="16"/>
  <c r="AW478" i="16"/>
  <c r="AW476" i="16"/>
  <c r="AW474" i="16"/>
  <c r="AW472" i="16"/>
  <c r="AW470" i="16"/>
  <c r="AW468" i="16"/>
  <c r="AW466" i="16"/>
  <c r="AW464" i="16"/>
  <c r="AW462" i="16"/>
  <c r="AW460" i="16"/>
  <c r="AW458" i="16"/>
  <c r="AW455" i="16"/>
  <c r="AW453" i="16"/>
  <c r="AW451" i="16"/>
  <c r="AW449" i="16"/>
  <c r="AW446" i="16"/>
  <c r="AW444" i="16"/>
  <c r="AW442" i="16"/>
  <c r="AW440" i="16"/>
  <c r="AW438" i="16"/>
  <c r="AW436" i="16"/>
  <c r="AW434" i="16"/>
  <c r="AW432" i="16"/>
  <c r="AW430" i="16"/>
  <c r="AW428" i="16"/>
  <c r="AW426" i="16"/>
  <c r="AW424" i="16"/>
  <c r="AW422" i="16"/>
  <c r="AW420" i="16"/>
  <c r="AW418" i="16"/>
  <c r="AW416" i="16"/>
  <c r="AW414" i="16"/>
  <c r="AW411" i="16"/>
  <c r="AW409" i="16"/>
  <c r="AW407" i="16"/>
  <c r="AW405" i="16"/>
  <c r="AW403" i="16"/>
  <c r="AW401" i="16"/>
  <c r="AW398" i="16"/>
  <c r="AW396" i="16"/>
  <c r="AW394" i="16"/>
  <c r="AW392" i="16"/>
  <c r="AW390" i="16"/>
  <c r="AW388" i="16"/>
  <c r="AW386" i="16"/>
  <c r="AW384" i="16"/>
  <c r="AW382" i="16"/>
  <c r="AW380" i="16"/>
  <c r="AW378" i="16"/>
  <c r="AW376" i="16"/>
  <c r="AW374" i="16"/>
  <c r="AW372" i="16"/>
  <c r="AW370" i="16"/>
  <c r="AW368" i="16"/>
  <c r="AW366" i="16"/>
  <c r="AW364" i="16"/>
  <c r="AW362" i="16"/>
  <c r="AW360" i="16"/>
  <c r="AW358" i="16"/>
  <c r="AW356" i="16"/>
  <c r="AW354" i="16"/>
  <c r="AW352" i="16"/>
  <c r="AW350" i="16"/>
  <c r="AW348" i="16"/>
  <c r="AW345" i="16"/>
  <c r="AW343" i="16"/>
  <c r="AW341" i="16"/>
  <c r="AW339" i="16"/>
  <c r="AW337" i="16"/>
  <c r="AW335" i="16"/>
  <c r="AW333" i="16"/>
  <c r="AW331" i="16"/>
  <c r="AW329" i="16"/>
  <c r="AW327" i="16"/>
  <c r="AW325" i="16"/>
  <c r="AW323" i="16"/>
  <c r="AW321" i="16"/>
  <c r="AW319" i="16"/>
  <c r="AW316" i="16"/>
  <c r="AW314" i="16"/>
  <c r="AW312" i="16"/>
  <c r="AW310" i="16"/>
  <c r="AW308" i="16"/>
  <c r="AW306" i="16"/>
  <c r="AW304" i="16"/>
  <c r="AW302" i="16"/>
  <c r="AW300" i="16"/>
  <c r="AW298" i="16"/>
  <c r="AW296" i="16"/>
  <c r="AW294" i="16"/>
  <c r="AW289" i="16"/>
  <c r="AW291" i="16"/>
  <c r="AW288" i="16"/>
  <c r="AW286" i="16"/>
  <c r="AW284" i="16"/>
  <c r="AW282" i="16"/>
  <c r="AW280" i="16"/>
  <c r="AW278" i="16"/>
  <c r="AW276" i="16"/>
  <c r="AW274" i="16"/>
  <c r="AW272" i="16"/>
  <c r="AW270" i="16"/>
  <c r="AW268" i="16"/>
  <c r="AW266" i="16"/>
  <c r="AW264" i="16"/>
  <c r="AW262" i="16"/>
  <c r="AW260" i="16"/>
  <c r="AW258" i="16"/>
  <c r="AW256" i="16"/>
  <c r="AW254" i="16"/>
  <c r="AW252" i="16"/>
  <c r="AW250" i="16"/>
  <c r="AW248" i="16"/>
  <c r="AW246" i="16"/>
  <c r="AW244" i="16"/>
  <c r="AW242" i="16"/>
  <c r="AW240" i="16"/>
  <c r="AW238" i="16"/>
  <c r="AW236" i="16"/>
  <c r="AW234" i="16"/>
  <c r="AW232" i="16"/>
  <c r="AW230" i="16"/>
  <c r="AW228" i="16"/>
  <c r="AW226" i="16"/>
  <c r="AW224" i="16"/>
  <c r="AW222" i="16"/>
  <c r="AW220" i="16"/>
  <c r="AW218" i="16"/>
  <c r="AW216" i="16"/>
  <c r="AW214" i="16"/>
  <c r="AW212" i="16"/>
  <c r="AW210" i="16"/>
  <c r="AW208" i="16"/>
  <c r="AW206" i="16"/>
  <c r="AW204" i="16"/>
  <c r="AW202" i="16"/>
  <c r="AW200" i="16"/>
  <c r="AW198" i="16"/>
  <c r="AW196" i="16"/>
  <c r="AW194" i="16"/>
  <c r="AW192" i="16"/>
  <c r="AW190" i="16"/>
  <c r="AW188" i="16"/>
  <c r="AW186" i="16"/>
  <c r="AW184" i="16"/>
  <c r="AW182" i="16"/>
  <c r="AW180" i="16"/>
  <c r="AW178" i="16"/>
  <c r="AW176" i="16"/>
  <c r="AW174" i="16"/>
  <c r="AW172" i="16"/>
  <c r="AW170" i="16"/>
  <c r="AW168" i="16"/>
  <c r="AW166" i="16"/>
  <c r="AW164" i="16"/>
  <c r="AW162" i="16"/>
  <c r="AW160" i="16"/>
  <c r="AW158" i="16"/>
  <c r="AW156" i="16"/>
  <c r="AW154" i="16"/>
  <c r="AW152" i="16"/>
  <c r="AW150" i="16"/>
  <c r="AW148" i="16"/>
  <c r="AW146" i="16"/>
  <c r="AW144" i="16"/>
  <c r="AW142" i="16"/>
  <c r="AW140" i="16"/>
  <c r="AW138" i="16"/>
  <c r="AW136" i="16"/>
  <c r="AW134" i="16"/>
  <c r="AW132" i="16"/>
  <c r="AW130" i="16"/>
  <c r="AW128" i="16"/>
  <c r="AW126" i="16"/>
  <c r="AW124" i="16"/>
  <c r="AW122" i="16"/>
  <c r="AW120" i="16"/>
  <c r="AW118" i="16"/>
  <c r="AW116" i="16"/>
  <c r="AW114" i="16"/>
  <c r="AW112" i="16"/>
  <c r="AW110" i="16"/>
  <c r="AW108" i="16"/>
  <c r="AW106" i="16"/>
  <c r="AW104" i="16"/>
  <c r="AW102" i="16"/>
  <c r="AW100" i="16"/>
  <c r="AW98" i="16"/>
  <c r="AW96" i="16"/>
  <c r="AW94" i="16"/>
  <c r="AW92" i="16"/>
  <c r="AW90" i="16"/>
  <c r="AW89" i="16"/>
  <c r="AW86" i="16"/>
  <c r="AW84" i="16"/>
  <c r="AW82" i="16"/>
  <c r="AW80" i="16"/>
  <c r="AW78" i="16"/>
  <c r="AW76" i="16"/>
  <c r="AW74" i="16"/>
  <c r="AW72" i="16"/>
  <c r="AW70" i="16"/>
  <c r="AW68" i="16"/>
  <c r="AW66" i="16"/>
  <c r="AW64" i="16"/>
  <c r="AW62" i="16"/>
  <c r="AW60" i="16"/>
  <c r="AW58" i="16"/>
  <c r="AW56" i="16"/>
  <c r="AW54" i="16"/>
  <c r="AW52" i="16"/>
  <c r="AW50" i="16"/>
  <c r="AW48" i="16"/>
  <c r="AW46" i="16"/>
  <c r="AW44" i="16"/>
  <c r="AW42" i="16"/>
  <c r="AW40" i="16"/>
  <c r="AW38" i="16"/>
  <c r="AW36" i="16"/>
  <c r="AW34" i="16"/>
  <c r="AW32" i="16"/>
  <c r="AW30" i="16"/>
  <c r="AW28" i="16"/>
  <c r="AW26" i="16"/>
  <c r="AW24" i="16"/>
  <c r="AW22" i="16"/>
  <c r="AW20" i="16"/>
  <c r="AW18" i="16"/>
  <c r="AW16" i="16"/>
  <c r="AW14" i="16"/>
  <c r="AW12" i="16"/>
  <c r="AH408" i="16"/>
  <c r="AN408" i="16" s="1"/>
  <c r="AH409" i="16"/>
  <c r="AN409" i="16" s="1"/>
  <c r="AH410" i="16"/>
  <c r="AN410" i="16" s="1"/>
  <c r="AH365" i="16"/>
  <c r="AN365" i="16" s="1"/>
  <c r="AH366" i="16"/>
  <c r="AN366" i="16" s="1"/>
  <c r="AH367" i="16"/>
  <c r="AN367" i="16" s="1"/>
  <c r="AH368" i="16"/>
  <c r="AN368" i="16" s="1"/>
  <c r="AH285" i="16"/>
  <c r="AN285" i="16" s="1"/>
  <c r="AH286" i="16"/>
  <c r="AN286" i="16" s="1"/>
  <c r="AH287" i="16"/>
  <c r="AN287" i="16" s="1"/>
  <c r="AH288" i="16"/>
  <c r="AN288" i="16" s="1"/>
  <c r="Z43" i="10" l="1"/>
  <c r="AA43" i="10"/>
  <c r="AB43" i="10" s="1"/>
  <c r="Z286" i="10"/>
  <c r="AA286" i="10"/>
  <c r="Z367" i="10"/>
  <c r="AA367" i="10"/>
  <c r="Z409" i="10"/>
  <c r="AA409" i="10"/>
  <c r="Z415" i="10"/>
  <c r="AA415" i="10"/>
  <c r="CB43" i="25"/>
  <c r="CD43" i="25"/>
  <c r="CB286" i="25"/>
  <c r="CD286" i="25"/>
  <c r="CB367" i="25"/>
  <c r="CD367" i="25"/>
  <c r="CB409" i="25"/>
  <c r="CD409" i="25"/>
  <c r="CB415" i="25"/>
  <c r="CD415" i="25"/>
  <c r="AT43" i="22"/>
  <c r="AU43" i="22"/>
  <c r="AV43" i="22" s="1"/>
  <c r="AT286" i="22"/>
  <c r="AU286" i="22"/>
  <c r="AT367" i="22"/>
  <c r="AU367" i="22"/>
  <c r="AT409" i="22"/>
  <c r="AU409" i="22"/>
  <c r="AT415" i="22"/>
  <c r="AU415" i="22"/>
  <c r="AK43" i="26"/>
  <c r="AL43" i="26"/>
  <c r="AM43" i="26" s="1"/>
  <c r="AK44" i="26"/>
  <c r="AL44" i="26"/>
  <c r="AM44" i="26" s="1"/>
  <c r="AK286" i="26"/>
  <c r="AL286" i="26"/>
  <c r="AK367" i="26"/>
  <c r="AL367" i="26"/>
  <c r="AM367" i="26" s="1"/>
  <c r="AK409" i="26"/>
  <c r="AL409" i="26"/>
  <c r="AK415" i="26"/>
  <c r="AL415" i="26"/>
  <c r="AM415" i="26" s="1"/>
  <c r="CB43" i="2"/>
  <c r="CE43" i="2"/>
  <c r="CB286" i="2"/>
  <c r="CE286" i="2"/>
  <c r="CB367" i="2"/>
  <c r="CE367" i="2"/>
  <c r="CB415" i="2"/>
  <c r="CE415" i="2"/>
  <c r="CB409" i="2"/>
  <c r="CE409" i="2"/>
  <c r="AP415" i="1"/>
  <c r="AQ415" i="1"/>
  <c r="AR415" i="1" s="1"/>
  <c r="AP409" i="1"/>
  <c r="AQ409" i="1"/>
  <c r="AR409" i="1" s="1"/>
  <c r="AP367" i="1"/>
  <c r="AQ367" i="1"/>
  <c r="AP286" i="1"/>
  <c r="AQ286" i="1"/>
  <c r="AP43" i="1"/>
  <c r="AQ43" i="1"/>
  <c r="AR43" i="1" s="1"/>
  <c r="AK415" i="14"/>
  <c r="AL415" i="14"/>
  <c r="AK409" i="14"/>
  <c r="AL409" i="14"/>
  <c r="AK367" i="14"/>
  <c r="AL367" i="14"/>
  <c r="AK286" i="14"/>
  <c r="AL286" i="14"/>
  <c r="AK43" i="14"/>
  <c r="AL43" i="14"/>
  <c r="AH43" i="16"/>
  <c r="AN43" i="16" s="1"/>
  <c r="AI43" i="16"/>
  <c r="AI415" i="16"/>
  <c r="AI409" i="16"/>
  <c r="AI367" i="16"/>
  <c r="AJ367" i="16" s="1"/>
  <c r="AI286" i="16"/>
  <c r="AJ286" i="16" s="1"/>
  <c r="AB286" i="10" l="1"/>
  <c r="CE367" i="25"/>
  <c r="CE43" i="25"/>
  <c r="CE415" i="25"/>
  <c r="CE409" i="25"/>
  <c r="CE286" i="25"/>
  <c r="AV415" i="22"/>
  <c r="AV409" i="22"/>
  <c r="AV367" i="22"/>
  <c r="AV286" i="22"/>
  <c r="AM409" i="26"/>
  <c r="AM286" i="26"/>
  <c r="AR286" i="1"/>
  <c r="AM43" i="14"/>
  <c r="AM286" i="14"/>
  <c r="AM367" i="14"/>
  <c r="AM409" i="14"/>
  <c r="AM415" i="14"/>
  <c r="AB415" i="10"/>
  <c r="AR367" i="1"/>
  <c r="CF409" i="2"/>
  <c r="CF415" i="2"/>
  <c r="CF367" i="2"/>
  <c r="CF286" i="2"/>
  <c r="CF43" i="2"/>
  <c r="AJ43" i="16"/>
  <c r="AB409" i="10"/>
  <c r="AB367" i="10"/>
  <c r="AJ415" i="16"/>
  <c r="AJ409" i="16"/>
  <c r="AB43" i="16" l="1"/>
  <c r="W43" i="16"/>
  <c r="M43" i="16"/>
  <c r="G43" i="16"/>
  <c r="AD43" i="16" l="1"/>
  <c r="AH11" i="16"/>
  <c r="AN11" i="16" s="1"/>
  <c r="AH12" i="16"/>
  <c r="AN12" i="16" s="1"/>
  <c r="AH13" i="16"/>
  <c r="AN13" i="16" s="1"/>
  <c r="AH14" i="16"/>
  <c r="AN14" i="16" s="1"/>
  <c r="AH15" i="16"/>
  <c r="AN15" i="16" s="1"/>
  <c r="AH16" i="16"/>
  <c r="AN16" i="16" s="1"/>
  <c r="AH17" i="16"/>
  <c r="AN17" i="16" s="1"/>
  <c r="AH18" i="16"/>
  <c r="AN18" i="16" s="1"/>
  <c r="AH19" i="16"/>
  <c r="AN19" i="16" s="1"/>
  <c r="AH20" i="16"/>
  <c r="AN20" i="16" s="1"/>
  <c r="AH21" i="16"/>
  <c r="AN21" i="16" s="1"/>
  <c r="AH22" i="16"/>
  <c r="AN22" i="16" s="1"/>
  <c r="AH23" i="16"/>
  <c r="AN23" i="16" s="1"/>
  <c r="AH24" i="16"/>
  <c r="AN24" i="16" s="1"/>
  <c r="AH25" i="16"/>
  <c r="AN25" i="16" s="1"/>
  <c r="AH26" i="16"/>
  <c r="AN26" i="16" s="1"/>
  <c r="AH27" i="16"/>
  <c r="AN27" i="16" s="1"/>
  <c r="AH28" i="16"/>
  <c r="AN28" i="16" s="1"/>
  <c r="AH29" i="16"/>
  <c r="AN29" i="16" s="1"/>
  <c r="AH30" i="16"/>
  <c r="AN30" i="16" s="1"/>
  <c r="AH31" i="16"/>
  <c r="AN31" i="16" s="1"/>
  <c r="AH32" i="16"/>
  <c r="AN32" i="16" s="1"/>
  <c r="AH33" i="16"/>
  <c r="AN33" i="16" s="1"/>
  <c r="AH34" i="16"/>
  <c r="AN34" i="16" s="1"/>
  <c r="AH35" i="16"/>
  <c r="AN35" i="16" s="1"/>
  <c r="AH36" i="16"/>
  <c r="AN36" i="16" s="1"/>
  <c r="AH37" i="16"/>
  <c r="AN37" i="16" s="1"/>
  <c r="AH38" i="16"/>
  <c r="AN38" i="16" s="1"/>
  <c r="AH39" i="16"/>
  <c r="AN39" i="16" s="1"/>
  <c r="AH40" i="16"/>
  <c r="AN40" i="16" s="1"/>
  <c r="AH41" i="16"/>
  <c r="AN41" i="16" s="1"/>
  <c r="AH42" i="16"/>
  <c r="AN42" i="16" s="1"/>
  <c r="AH44" i="16"/>
  <c r="AN44" i="16" s="1"/>
  <c r="AH45" i="16"/>
  <c r="AN45" i="16" s="1"/>
  <c r="AH46" i="16"/>
  <c r="AN46" i="16" s="1"/>
  <c r="AH47" i="16"/>
  <c r="AN47" i="16" s="1"/>
  <c r="AH48" i="16"/>
  <c r="AN48" i="16" s="1"/>
  <c r="AH49" i="16"/>
  <c r="AN49" i="16" s="1"/>
  <c r="AH50" i="16"/>
  <c r="AN50" i="16" s="1"/>
  <c r="AH51" i="16"/>
  <c r="AN51" i="16" s="1"/>
  <c r="AH52" i="16"/>
  <c r="AN52" i="16" s="1"/>
  <c r="AH53" i="16"/>
  <c r="AN53" i="16" s="1"/>
  <c r="AH54" i="16"/>
  <c r="AN54" i="16" s="1"/>
  <c r="AH55" i="16"/>
  <c r="AN55" i="16" s="1"/>
  <c r="AH56" i="16"/>
  <c r="AN56" i="16" s="1"/>
  <c r="AH57" i="16"/>
  <c r="AN57" i="16" s="1"/>
  <c r="AH58" i="16"/>
  <c r="AN58" i="16" s="1"/>
  <c r="AH59" i="16"/>
  <c r="AN59" i="16" s="1"/>
  <c r="AH60" i="16"/>
  <c r="AN60" i="16" s="1"/>
  <c r="AH61" i="16"/>
  <c r="AN61" i="16" s="1"/>
  <c r="AH62" i="16"/>
  <c r="AN62" i="16" s="1"/>
  <c r="AH63" i="16"/>
  <c r="AN63" i="16" s="1"/>
  <c r="AH64" i="16"/>
  <c r="AN64" i="16" s="1"/>
  <c r="AH65" i="16"/>
  <c r="AH66" i="16"/>
  <c r="AN66" i="16" s="1"/>
  <c r="AH67" i="16"/>
  <c r="AN67" i="16" s="1"/>
  <c r="AH68" i="16"/>
  <c r="AN68" i="16" s="1"/>
  <c r="AH69" i="16"/>
  <c r="AN69" i="16" s="1"/>
  <c r="AH70" i="16"/>
  <c r="AN70" i="16" s="1"/>
  <c r="AH71" i="16"/>
  <c r="AN71" i="16" s="1"/>
  <c r="AH72" i="16"/>
  <c r="AN72" i="16" s="1"/>
  <c r="AH73" i="16"/>
  <c r="AH74" i="16"/>
  <c r="AN74" i="16" s="1"/>
  <c r="AH75" i="16"/>
  <c r="AN75" i="16" s="1"/>
  <c r="AH76" i="16"/>
  <c r="AN76" i="16" s="1"/>
  <c r="AH77" i="16"/>
  <c r="AN77" i="16" s="1"/>
  <c r="AH78" i="16"/>
  <c r="AN78" i="16" s="1"/>
  <c r="AH79" i="16"/>
  <c r="AN79" i="16" s="1"/>
  <c r="AH80" i="16"/>
  <c r="AN80" i="16" s="1"/>
  <c r="AH81" i="16"/>
  <c r="AH82" i="16"/>
  <c r="AN82" i="16" s="1"/>
  <c r="AH83" i="16"/>
  <c r="AN83" i="16" s="1"/>
  <c r="AH84" i="16"/>
  <c r="AN84" i="16" s="1"/>
  <c r="AH85" i="16"/>
  <c r="AN85" i="16" s="1"/>
  <c r="AH86" i="16"/>
  <c r="AN86" i="16" s="1"/>
  <c r="AH87" i="16"/>
  <c r="AN87" i="16" s="1"/>
  <c r="AH89" i="16"/>
  <c r="AN89" i="16" s="1"/>
  <c r="AH88" i="16"/>
  <c r="AH90" i="16"/>
  <c r="AN90" i="16" s="1"/>
  <c r="AH91" i="16"/>
  <c r="AN91" i="16" s="1"/>
  <c r="AH92" i="16"/>
  <c r="AN92" i="16" s="1"/>
  <c r="AH93" i="16"/>
  <c r="AH94" i="16"/>
  <c r="AN94" i="16" s="1"/>
  <c r="AH95" i="16"/>
  <c r="AN95" i="16" s="1"/>
  <c r="AH96" i="16"/>
  <c r="AN96" i="16" s="1"/>
  <c r="AH97" i="16"/>
  <c r="AN97" i="16" s="1"/>
  <c r="AH98" i="16"/>
  <c r="AN98" i="16" s="1"/>
  <c r="AH99" i="16"/>
  <c r="AN99" i="16" s="1"/>
  <c r="AH100" i="16"/>
  <c r="AN100" i="16" s="1"/>
  <c r="AH101" i="16"/>
  <c r="AH102" i="16"/>
  <c r="AN102" i="16" s="1"/>
  <c r="AH103" i="16"/>
  <c r="AN103" i="16" s="1"/>
  <c r="AH104" i="16"/>
  <c r="AN104" i="16" s="1"/>
  <c r="AH105" i="16"/>
  <c r="AN105" i="16" s="1"/>
  <c r="AH106" i="16"/>
  <c r="AN106" i="16" s="1"/>
  <c r="AH107" i="16"/>
  <c r="AN107" i="16" s="1"/>
  <c r="AH108" i="16"/>
  <c r="AN108" i="16" s="1"/>
  <c r="AH109" i="16"/>
  <c r="AH110" i="16"/>
  <c r="AN110" i="16" s="1"/>
  <c r="AH111" i="16"/>
  <c r="AN111" i="16" s="1"/>
  <c r="AH112" i="16"/>
  <c r="AN112" i="16" s="1"/>
  <c r="AH113" i="16"/>
  <c r="AN113" i="16" s="1"/>
  <c r="AH114" i="16"/>
  <c r="AN114" i="16" s="1"/>
  <c r="AH115" i="16"/>
  <c r="AN115" i="16" s="1"/>
  <c r="AH116" i="16"/>
  <c r="AN116" i="16" s="1"/>
  <c r="AH117" i="16"/>
  <c r="AH118" i="16"/>
  <c r="AN118" i="16" s="1"/>
  <c r="AH119" i="16"/>
  <c r="AN119" i="16" s="1"/>
  <c r="AH120" i="16"/>
  <c r="AN120" i="16" s="1"/>
  <c r="AH121" i="16"/>
  <c r="AN121" i="16" s="1"/>
  <c r="AH122" i="16"/>
  <c r="AN122" i="16" s="1"/>
  <c r="AH123" i="16"/>
  <c r="AN123" i="16" s="1"/>
  <c r="AH124" i="16"/>
  <c r="AN124" i="16" s="1"/>
  <c r="AH125" i="16"/>
  <c r="AH126" i="16"/>
  <c r="AN126" i="16" s="1"/>
  <c r="AH127" i="16"/>
  <c r="AN127" i="16" s="1"/>
  <c r="AH128" i="16"/>
  <c r="AN128" i="16" s="1"/>
  <c r="AH129" i="16"/>
  <c r="AN129" i="16" s="1"/>
  <c r="AH130" i="16"/>
  <c r="AN130" i="16" s="1"/>
  <c r="AH131" i="16"/>
  <c r="AN131" i="16" s="1"/>
  <c r="AH132" i="16"/>
  <c r="AN132" i="16" s="1"/>
  <c r="AH133" i="16"/>
  <c r="AH134" i="16"/>
  <c r="AN134" i="16" s="1"/>
  <c r="AH135" i="16"/>
  <c r="AN135" i="16" s="1"/>
  <c r="AH136" i="16"/>
  <c r="AN136" i="16" s="1"/>
  <c r="AH137" i="16"/>
  <c r="AN137" i="16" s="1"/>
  <c r="AH138" i="16"/>
  <c r="AN138" i="16" s="1"/>
  <c r="AH139" i="16"/>
  <c r="AN139" i="16" s="1"/>
  <c r="AH140" i="16"/>
  <c r="AN140" i="16" s="1"/>
  <c r="AH141" i="16"/>
  <c r="AH142" i="16"/>
  <c r="AN142" i="16" s="1"/>
  <c r="AH143" i="16"/>
  <c r="AN143" i="16" s="1"/>
  <c r="AH144" i="16"/>
  <c r="AN144" i="16" s="1"/>
  <c r="AH145" i="16"/>
  <c r="AN145" i="16" s="1"/>
  <c r="AH146" i="16"/>
  <c r="AN146" i="16" s="1"/>
  <c r="AH147" i="16"/>
  <c r="AN147" i="16" s="1"/>
  <c r="AH148" i="16"/>
  <c r="AN148" i="16" s="1"/>
  <c r="AH149" i="16"/>
  <c r="AN149" i="16" s="1"/>
  <c r="AH150" i="16"/>
  <c r="AN150" i="16" s="1"/>
  <c r="AH151" i="16"/>
  <c r="AN151" i="16" s="1"/>
  <c r="AH152" i="16"/>
  <c r="AN152" i="16" s="1"/>
  <c r="AH153" i="16"/>
  <c r="AN153" i="16" s="1"/>
  <c r="AH154" i="16"/>
  <c r="AN154" i="16" s="1"/>
  <c r="AH155" i="16"/>
  <c r="AN155" i="16" s="1"/>
  <c r="AH156" i="16"/>
  <c r="AN156" i="16" s="1"/>
  <c r="AH157" i="16"/>
  <c r="AN157" i="16" s="1"/>
  <c r="AH158" i="16"/>
  <c r="AN158" i="16" s="1"/>
  <c r="AH159" i="16"/>
  <c r="AN159" i="16" s="1"/>
  <c r="AH160" i="16"/>
  <c r="AN160" i="16" s="1"/>
  <c r="AH161" i="16"/>
  <c r="AN161" i="16" s="1"/>
  <c r="AH162" i="16"/>
  <c r="AN162" i="16" s="1"/>
  <c r="AH163" i="16"/>
  <c r="AN163" i="16" s="1"/>
  <c r="AH164" i="16"/>
  <c r="AN164" i="16" s="1"/>
  <c r="AH165" i="16"/>
  <c r="AN165" i="16" s="1"/>
  <c r="AH166" i="16"/>
  <c r="AN166" i="16" s="1"/>
  <c r="AH167" i="16"/>
  <c r="AN167" i="16" s="1"/>
  <c r="AH168" i="16"/>
  <c r="AN168" i="16" s="1"/>
  <c r="AH169" i="16"/>
  <c r="AN169" i="16" s="1"/>
  <c r="AH170" i="16"/>
  <c r="AN170" i="16" s="1"/>
  <c r="AH171" i="16"/>
  <c r="AN171" i="16" s="1"/>
  <c r="AH172" i="16"/>
  <c r="AN172" i="16" s="1"/>
  <c r="AH173" i="16"/>
  <c r="AN173" i="16" s="1"/>
  <c r="AH174" i="16"/>
  <c r="AN174" i="16" s="1"/>
  <c r="AH175" i="16"/>
  <c r="AN175" i="16" s="1"/>
  <c r="AH176" i="16"/>
  <c r="AN176" i="16" s="1"/>
  <c r="AH177" i="16"/>
  <c r="AN177" i="16" s="1"/>
  <c r="AH178" i="16"/>
  <c r="AN178" i="16" s="1"/>
  <c r="AH179" i="16"/>
  <c r="AN179" i="16" s="1"/>
  <c r="AH180" i="16"/>
  <c r="AN180" i="16" s="1"/>
  <c r="AH181" i="16"/>
  <c r="AN181" i="16" s="1"/>
  <c r="AH182" i="16"/>
  <c r="AN182" i="16" s="1"/>
  <c r="AH183" i="16"/>
  <c r="AN183" i="16" s="1"/>
  <c r="AH184" i="16"/>
  <c r="AN184" i="16" s="1"/>
  <c r="AH185" i="16"/>
  <c r="AN185" i="16" s="1"/>
  <c r="AH186" i="16"/>
  <c r="AN186" i="16" s="1"/>
  <c r="AH187" i="16"/>
  <c r="AN187" i="16" s="1"/>
  <c r="AH188" i="16"/>
  <c r="AN188" i="16" s="1"/>
  <c r="AH189" i="16"/>
  <c r="AN189" i="16" s="1"/>
  <c r="AH190" i="16"/>
  <c r="AN190" i="16" s="1"/>
  <c r="AH191" i="16"/>
  <c r="AN191" i="16" s="1"/>
  <c r="AH192" i="16"/>
  <c r="AN192" i="16" s="1"/>
  <c r="AH193" i="16"/>
  <c r="AN193" i="16" s="1"/>
  <c r="AH194" i="16"/>
  <c r="AN194" i="16" s="1"/>
  <c r="AH195" i="16"/>
  <c r="AN195" i="16" s="1"/>
  <c r="AH196" i="16"/>
  <c r="AN196" i="16" s="1"/>
  <c r="AH197" i="16"/>
  <c r="AN197" i="16" s="1"/>
  <c r="AH198" i="16"/>
  <c r="AN198" i="16" s="1"/>
  <c r="AH199" i="16"/>
  <c r="AN199" i="16" s="1"/>
  <c r="AH200" i="16"/>
  <c r="AN200" i="16" s="1"/>
  <c r="AH201" i="16"/>
  <c r="AN201" i="16" s="1"/>
  <c r="AH202" i="16"/>
  <c r="AN202" i="16" s="1"/>
  <c r="AH203" i="16"/>
  <c r="AN203" i="16" s="1"/>
  <c r="AH204" i="16"/>
  <c r="AN204" i="16" s="1"/>
  <c r="AH205" i="16"/>
  <c r="AN205" i="16" s="1"/>
  <c r="AH206" i="16"/>
  <c r="AN206" i="16" s="1"/>
  <c r="AH207" i="16"/>
  <c r="AN207" i="16" s="1"/>
  <c r="AH208" i="16"/>
  <c r="AN208" i="16" s="1"/>
  <c r="AH209" i="16"/>
  <c r="AN209" i="16" s="1"/>
  <c r="AH210" i="16"/>
  <c r="AN210" i="16" s="1"/>
  <c r="AH211" i="16"/>
  <c r="AN211" i="16" s="1"/>
  <c r="AH212" i="16"/>
  <c r="AN212" i="16" s="1"/>
  <c r="AH213" i="16"/>
  <c r="AN213" i="16" s="1"/>
  <c r="AH214" i="16"/>
  <c r="AN214" i="16" s="1"/>
  <c r="AH215" i="16"/>
  <c r="AN215" i="16" s="1"/>
  <c r="AH216" i="16"/>
  <c r="AN216" i="16" s="1"/>
  <c r="AH217" i="16"/>
  <c r="AN217" i="16" s="1"/>
  <c r="AH218" i="16"/>
  <c r="AN218" i="16" s="1"/>
  <c r="AH219" i="16"/>
  <c r="AN219" i="16" s="1"/>
  <c r="AH220" i="16"/>
  <c r="AN220" i="16" s="1"/>
  <c r="AH221" i="16"/>
  <c r="AN221" i="16" s="1"/>
  <c r="AH222" i="16"/>
  <c r="AN222" i="16" s="1"/>
  <c r="AH223" i="16"/>
  <c r="AN223" i="16" s="1"/>
  <c r="AH224" i="16"/>
  <c r="AN224" i="16" s="1"/>
  <c r="AH225" i="16"/>
  <c r="AN225" i="16" s="1"/>
  <c r="AH226" i="16"/>
  <c r="AN226" i="16" s="1"/>
  <c r="AH227" i="16"/>
  <c r="AN227" i="16" s="1"/>
  <c r="AH228" i="16"/>
  <c r="AN228" i="16" s="1"/>
  <c r="AH229" i="16"/>
  <c r="AN229" i="16" s="1"/>
  <c r="AH230" i="16"/>
  <c r="AN230" i="16" s="1"/>
  <c r="AH231" i="16"/>
  <c r="AN231" i="16" s="1"/>
  <c r="AH232" i="16"/>
  <c r="AN232" i="16" s="1"/>
  <c r="AH233" i="16"/>
  <c r="AN233" i="16" s="1"/>
  <c r="AH234" i="16"/>
  <c r="AN234" i="16" s="1"/>
  <c r="AH235" i="16"/>
  <c r="AN235" i="16" s="1"/>
  <c r="AH236" i="16"/>
  <c r="AN236" i="16" s="1"/>
  <c r="AH237" i="16"/>
  <c r="AN237" i="16" s="1"/>
  <c r="AH238" i="16"/>
  <c r="AN238" i="16" s="1"/>
  <c r="AH239" i="16"/>
  <c r="AN239" i="16" s="1"/>
  <c r="AH240" i="16"/>
  <c r="AN240" i="16" s="1"/>
  <c r="AH241" i="16"/>
  <c r="AN241" i="16" s="1"/>
  <c r="AH242" i="16"/>
  <c r="AN242" i="16" s="1"/>
  <c r="AH243" i="16"/>
  <c r="AN243" i="16" s="1"/>
  <c r="AH244" i="16"/>
  <c r="AN244" i="16" s="1"/>
  <c r="AH245" i="16"/>
  <c r="AN245" i="16" s="1"/>
  <c r="AH246" i="16"/>
  <c r="AN246" i="16" s="1"/>
  <c r="AH247" i="16"/>
  <c r="AN247" i="16" s="1"/>
  <c r="AH248" i="16"/>
  <c r="AN248" i="16" s="1"/>
  <c r="AH249" i="16"/>
  <c r="AN249" i="16" s="1"/>
  <c r="AH250" i="16"/>
  <c r="AN250" i="16" s="1"/>
  <c r="AH251" i="16"/>
  <c r="AN251" i="16" s="1"/>
  <c r="AH252" i="16"/>
  <c r="AN252" i="16" s="1"/>
  <c r="AH253" i="16"/>
  <c r="AN253" i="16" s="1"/>
  <c r="AH254" i="16"/>
  <c r="AN254" i="16" s="1"/>
  <c r="AH255" i="16"/>
  <c r="AN255" i="16" s="1"/>
  <c r="AH256" i="16"/>
  <c r="AN256" i="16" s="1"/>
  <c r="AH257" i="16"/>
  <c r="AN257" i="16" s="1"/>
  <c r="AH258" i="16"/>
  <c r="AN258" i="16" s="1"/>
  <c r="AH259" i="16"/>
  <c r="AN259" i="16" s="1"/>
  <c r="AH260" i="16"/>
  <c r="AN260" i="16" s="1"/>
  <c r="AH261" i="16"/>
  <c r="AN261" i="16" s="1"/>
  <c r="AH262" i="16"/>
  <c r="AN262" i="16" s="1"/>
  <c r="AH263" i="16"/>
  <c r="AN263" i="16" s="1"/>
  <c r="AH264" i="16"/>
  <c r="AN264" i="16" s="1"/>
  <c r="AH265" i="16"/>
  <c r="AN265" i="16" s="1"/>
  <c r="AH266" i="16"/>
  <c r="AN266" i="16" s="1"/>
  <c r="AH267" i="16"/>
  <c r="AN267" i="16" s="1"/>
  <c r="AH268" i="16"/>
  <c r="AN268" i="16" s="1"/>
  <c r="AH269" i="16"/>
  <c r="AN269" i="16" s="1"/>
  <c r="AH270" i="16"/>
  <c r="AN270" i="16" s="1"/>
  <c r="AH271" i="16"/>
  <c r="AN271" i="16" s="1"/>
  <c r="AH272" i="16"/>
  <c r="AN272" i="16" s="1"/>
  <c r="AH273" i="16"/>
  <c r="AN273" i="16" s="1"/>
  <c r="AH274" i="16"/>
  <c r="AN274" i="16" s="1"/>
  <c r="AH275" i="16"/>
  <c r="AN275" i="16" s="1"/>
  <c r="AH276" i="16"/>
  <c r="AN276" i="16" s="1"/>
  <c r="AH277" i="16"/>
  <c r="AN277" i="16" s="1"/>
  <c r="AH278" i="16"/>
  <c r="AN278" i="16" s="1"/>
  <c r="AH279" i="16"/>
  <c r="AN279" i="16" s="1"/>
  <c r="AH280" i="16"/>
  <c r="AN280" i="16" s="1"/>
  <c r="AH281" i="16"/>
  <c r="AN281" i="16" s="1"/>
  <c r="AH282" i="16"/>
  <c r="AN282" i="16" s="1"/>
  <c r="AH283" i="16"/>
  <c r="AN283" i="16" s="1"/>
  <c r="AH284" i="16"/>
  <c r="AN284" i="16" s="1"/>
  <c r="AH291" i="16"/>
  <c r="AN291" i="16" s="1"/>
  <c r="AH292" i="16"/>
  <c r="AN292" i="16" s="1"/>
  <c r="AH289" i="16"/>
  <c r="AN289" i="16" s="1"/>
  <c r="AH293" i="16"/>
  <c r="AN293" i="16" s="1"/>
  <c r="AH294" i="16"/>
  <c r="AN294" i="16" s="1"/>
  <c r="AH295" i="16"/>
  <c r="AN295" i="16" s="1"/>
  <c r="AH296" i="16"/>
  <c r="AN296" i="16" s="1"/>
  <c r="AH297" i="16"/>
  <c r="AN297" i="16" s="1"/>
  <c r="AH298" i="16"/>
  <c r="AN298" i="16" s="1"/>
  <c r="AH299" i="16"/>
  <c r="AN299" i="16" s="1"/>
  <c r="AH300" i="16"/>
  <c r="AN300" i="16" s="1"/>
  <c r="AH301" i="16"/>
  <c r="AN301" i="16" s="1"/>
  <c r="AH302" i="16"/>
  <c r="AN302" i="16" s="1"/>
  <c r="AH303" i="16"/>
  <c r="AN303" i="16" s="1"/>
  <c r="AH304" i="16"/>
  <c r="AN304" i="16" s="1"/>
  <c r="AH305" i="16"/>
  <c r="AN305" i="16" s="1"/>
  <c r="AH306" i="16"/>
  <c r="AN306" i="16" s="1"/>
  <c r="AH307" i="16"/>
  <c r="AN307" i="16" s="1"/>
  <c r="AH308" i="16"/>
  <c r="AN308" i="16" s="1"/>
  <c r="AH309" i="16"/>
  <c r="AN309" i="16" s="1"/>
  <c r="AH310" i="16"/>
  <c r="AN310" i="16" s="1"/>
  <c r="AH311" i="16"/>
  <c r="AN311" i="16" s="1"/>
  <c r="AH312" i="16"/>
  <c r="AN312" i="16" s="1"/>
  <c r="AH313" i="16"/>
  <c r="AN313" i="16" s="1"/>
  <c r="AH314" i="16"/>
  <c r="AN314" i="16" s="1"/>
  <c r="AH315" i="16"/>
  <c r="AN315" i="16" s="1"/>
  <c r="AH316" i="16"/>
  <c r="AN316" i="16" s="1"/>
  <c r="AH317" i="16"/>
  <c r="AN317" i="16" s="1"/>
  <c r="AH319" i="16"/>
  <c r="AN319" i="16" s="1"/>
  <c r="AH320" i="16"/>
  <c r="AN320" i="16" s="1"/>
  <c r="AH321" i="16"/>
  <c r="AN321" i="16" s="1"/>
  <c r="AH322" i="16"/>
  <c r="AN322" i="16" s="1"/>
  <c r="AH323" i="16"/>
  <c r="AN323" i="16" s="1"/>
  <c r="AH324" i="16"/>
  <c r="AN324" i="16" s="1"/>
  <c r="AH325" i="16"/>
  <c r="AN325" i="16" s="1"/>
  <c r="AH326" i="16"/>
  <c r="AN326" i="16" s="1"/>
  <c r="AH327" i="16"/>
  <c r="AN327" i="16" s="1"/>
  <c r="AH328" i="16"/>
  <c r="AN328" i="16" s="1"/>
  <c r="AH329" i="16"/>
  <c r="AN329" i="16" s="1"/>
  <c r="AH330" i="16"/>
  <c r="AN330" i="16" s="1"/>
  <c r="AH331" i="16"/>
  <c r="AN331" i="16" s="1"/>
  <c r="AH332" i="16"/>
  <c r="AN332" i="16" s="1"/>
  <c r="AH333" i="16"/>
  <c r="AN333" i="16" s="1"/>
  <c r="AH334" i="16"/>
  <c r="AN334" i="16" s="1"/>
  <c r="AH335" i="16"/>
  <c r="AN335" i="16" s="1"/>
  <c r="AH336" i="16"/>
  <c r="AN336" i="16" s="1"/>
  <c r="AH337" i="16"/>
  <c r="AN337" i="16" s="1"/>
  <c r="AH338" i="16"/>
  <c r="AN338" i="16" s="1"/>
  <c r="AH339" i="16"/>
  <c r="AN339" i="16" s="1"/>
  <c r="AH340" i="16"/>
  <c r="AN340" i="16" s="1"/>
  <c r="AH341" i="16"/>
  <c r="AN341" i="16" s="1"/>
  <c r="AH342" i="16"/>
  <c r="AN342" i="16" s="1"/>
  <c r="AH343" i="16"/>
  <c r="AN343" i="16" s="1"/>
  <c r="AH344" i="16"/>
  <c r="AN344" i="16" s="1"/>
  <c r="AH345" i="16"/>
  <c r="AN345" i="16" s="1"/>
  <c r="AH347" i="16"/>
  <c r="AN347" i="16" s="1"/>
  <c r="AH348" i="16"/>
  <c r="AN348" i="16" s="1"/>
  <c r="AH349" i="16"/>
  <c r="AN349" i="16" s="1"/>
  <c r="AH350" i="16"/>
  <c r="AN350" i="16" s="1"/>
  <c r="AH351" i="16"/>
  <c r="AN351" i="16" s="1"/>
  <c r="AH352" i="16"/>
  <c r="AN352" i="16" s="1"/>
  <c r="AH353" i="16"/>
  <c r="AN353" i="16" s="1"/>
  <c r="AH354" i="16"/>
  <c r="AN354" i="16" s="1"/>
  <c r="AH355" i="16"/>
  <c r="AN355" i="16" s="1"/>
  <c r="AH356" i="16"/>
  <c r="AN356" i="16" s="1"/>
  <c r="AH357" i="16"/>
  <c r="AN357" i="16" s="1"/>
  <c r="AH358" i="16"/>
  <c r="AN358" i="16" s="1"/>
  <c r="AH359" i="16"/>
  <c r="AN359" i="16" s="1"/>
  <c r="AH360" i="16"/>
  <c r="AN360" i="16" s="1"/>
  <c r="AH361" i="16"/>
  <c r="AN361" i="16" s="1"/>
  <c r="AH362" i="16"/>
  <c r="AN362" i="16" s="1"/>
  <c r="AH363" i="16"/>
  <c r="AN363" i="16" s="1"/>
  <c r="AH364" i="16"/>
  <c r="AN364" i="16" s="1"/>
  <c r="AH369" i="16"/>
  <c r="AN369" i="16" s="1"/>
  <c r="AH370" i="16"/>
  <c r="AN370" i="16" s="1"/>
  <c r="AH371" i="16"/>
  <c r="AN371" i="16" s="1"/>
  <c r="AH372" i="16"/>
  <c r="AN372" i="16" s="1"/>
  <c r="AH373" i="16"/>
  <c r="AN373" i="16" s="1"/>
  <c r="AH374" i="16"/>
  <c r="AN374" i="16" s="1"/>
  <c r="AH375" i="16"/>
  <c r="AN375" i="16" s="1"/>
  <c r="AH376" i="16"/>
  <c r="AN376" i="16" s="1"/>
  <c r="AH377" i="16"/>
  <c r="AN377" i="16" s="1"/>
  <c r="AH378" i="16"/>
  <c r="AN378" i="16" s="1"/>
  <c r="AH379" i="16"/>
  <c r="AN379" i="16" s="1"/>
  <c r="AH380" i="16"/>
  <c r="AN380" i="16" s="1"/>
  <c r="AH381" i="16"/>
  <c r="AN381" i="16" s="1"/>
  <c r="AH382" i="16"/>
  <c r="AN382" i="16" s="1"/>
  <c r="AH383" i="16"/>
  <c r="AN383" i="16" s="1"/>
  <c r="AH384" i="16"/>
  <c r="AN384" i="16" s="1"/>
  <c r="AH385" i="16"/>
  <c r="AN385" i="16" s="1"/>
  <c r="AH386" i="16"/>
  <c r="AN386" i="16" s="1"/>
  <c r="AH387" i="16"/>
  <c r="AN387" i="16" s="1"/>
  <c r="AH388" i="16"/>
  <c r="AN388" i="16" s="1"/>
  <c r="AH389" i="16"/>
  <c r="AN389" i="16" s="1"/>
  <c r="AH390" i="16"/>
  <c r="AN390" i="16" s="1"/>
  <c r="AH391" i="16"/>
  <c r="AN391" i="16" s="1"/>
  <c r="AH392" i="16"/>
  <c r="AN392" i="16" s="1"/>
  <c r="AH393" i="16"/>
  <c r="AN393" i="16" s="1"/>
  <c r="AH394" i="16"/>
  <c r="AN394" i="16" s="1"/>
  <c r="AH395" i="16"/>
  <c r="AN395" i="16" s="1"/>
  <c r="AH396" i="16"/>
  <c r="AN396" i="16" s="1"/>
  <c r="AH397" i="16"/>
  <c r="AN397" i="16" s="1"/>
  <c r="AH398" i="16"/>
  <c r="AN398" i="16" s="1"/>
  <c r="AH399" i="16"/>
  <c r="AN399" i="16" s="1"/>
  <c r="AH401" i="16"/>
  <c r="AN401" i="16" s="1"/>
  <c r="AH402" i="16"/>
  <c r="AN402" i="16" s="1"/>
  <c r="AH403" i="16"/>
  <c r="AN403" i="16" s="1"/>
  <c r="AH404" i="16"/>
  <c r="AN404" i="16" s="1"/>
  <c r="AH405" i="16"/>
  <c r="AN405" i="16" s="1"/>
  <c r="AH406" i="16"/>
  <c r="AN406" i="16" s="1"/>
  <c r="AH407" i="16"/>
  <c r="AN407" i="16" s="1"/>
  <c r="AH411" i="16"/>
  <c r="AN411" i="16" s="1"/>
  <c r="AH412" i="16"/>
  <c r="AN412" i="16" s="1"/>
  <c r="AH418" i="16"/>
  <c r="AN418" i="16" s="1"/>
  <c r="AH419" i="16"/>
  <c r="AN419" i="16" s="1"/>
  <c r="AH420" i="16"/>
  <c r="AN420" i="16" s="1"/>
  <c r="AH421" i="16"/>
  <c r="AN421" i="16" s="1"/>
  <c r="AH422" i="16"/>
  <c r="AN422" i="16" s="1"/>
  <c r="AH423" i="16"/>
  <c r="AN423" i="16" s="1"/>
  <c r="AH424" i="16"/>
  <c r="AN424" i="16" s="1"/>
  <c r="AH425" i="16"/>
  <c r="AN425" i="16" s="1"/>
  <c r="AH426" i="16"/>
  <c r="AN426" i="16" s="1"/>
  <c r="AH427" i="16"/>
  <c r="AN427" i="16" s="1"/>
  <c r="AH428" i="16"/>
  <c r="AN428" i="16" s="1"/>
  <c r="AH429" i="16"/>
  <c r="AN429" i="16" s="1"/>
  <c r="AH430" i="16"/>
  <c r="AN430" i="16" s="1"/>
  <c r="AH431" i="16"/>
  <c r="AN431" i="16" s="1"/>
  <c r="AH432" i="16"/>
  <c r="AN432" i="16" s="1"/>
  <c r="AH433" i="16"/>
  <c r="AN433" i="16" s="1"/>
  <c r="AH434" i="16"/>
  <c r="AN434" i="16" s="1"/>
  <c r="AH435" i="16"/>
  <c r="AN435" i="16" s="1"/>
  <c r="AH436" i="16"/>
  <c r="AN436" i="16" s="1"/>
  <c r="AH437" i="16"/>
  <c r="AN437" i="16" s="1"/>
  <c r="AH438" i="16"/>
  <c r="AN438" i="16" s="1"/>
  <c r="AH439" i="16"/>
  <c r="AN439" i="16" s="1"/>
  <c r="AH440" i="16"/>
  <c r="AN440" i="16" s="1"/>
  <c r="AH441" i="16"/>
  <c r="AN441" i="16" s="1"/>
  <c r="AH442" i="16"/>
  <c r="AN442" i="16" s="1"/>
  <c r="AH443" i="16"/>
  <c r="AN443" i="16" s="1"/>
  <c r="AH444" i="16"/>
  <c r="AN444" i="16" s="1"/>
  <c r="AH445" i="16"/>
  <c r="AN445" i="16" s="1"/>
  <c r="AH446" i="16"/>
  <c r="AN446" i="16" s="1"/>
  <c r="AH447" i="16"/>
  <c r="AN447" i="16" s="1"/>
  <c r="AH448" i="16"/>
  <c r="AN448" i="16" s="1"/>
  <c r="AH449" i="16"/>
  <c r="AN449" i="16" s="1"/>
  <c r="AH450" i="16"/>
  <c r="AN450" i="16" s="1"/>
  <c r="AH451" i="16"/>
  <c r="AN451" i="16" s="1"/>
  <c r="AH452" i="16"/>
  <c r="AN452" i="16" s="1"/>
  <c r="AH453" i="16"/>
  <c r="AN453" i="16" s="1"/>
  <c r="AH454" i="16"/>
  <c r="AN454" i="16" s="1"/>
  <c r="AH455" i="16"/>
  <c r="AN455" i="16" s="1"/>
  <c r="AH457" i="16"/>
  <c r="AN457" i="16" s="1"/>
  <c r="AH458" i="16"/>
  <c r="AN458" i="16" s="1"/>
  <c r="AH459" i="16"/>
  <c r="AN459" i="16" s="1"/>
  <c r="AH460" i="16"/>
  <c r="AN460" i="16" s="1"/>
  <c r="AH461" i="16"/>
  <c r="AN461" i="16" s="1"/>
  <c r="AH462" i="16"/>
  <c r="AN462" i="16" s="1"/>
  <c r="AH463" i="16"/>
  <c r="AN463" i="16" s="1"/>
  <c r="AH464" i="16"/>
  <c r="AN464" i="16" s="1"/>
  <c r="AH465" i="16"/>
  <c r="AN465" i="16" s="1"/>
  <c r="AH466" i="16"/>
  <c r="AN466" i="16" s="1"/>
  <c r="AH467" i="16"/>
  <c r="AN467" i="16" s="1"/>
  <c r="AH468" i="16"/>
  <c r="AN468" i="16" s="1"/>
  <c r="AH469" i="16"/>
  <c r="AN469" i="16" s="1"/>
  <c r="AH470" i="16"/>
  <c r="AN470" i="16" s="1"/>
  <c r="AH471" i="16"/>
  <c r="AN471" i="16" s="1"/>
  <c r="AH472" i="16"/>
  <c r="AN472" i="16" s="1"/>
  <c r="AH473" i="16"/>
  <c r="AN473" i="16" s="1"/>
  <c r="AH474" i="16"/>
  <c r="AN474" i="16" s="1"/>
  <c r="AH475" i="16"/>
  <c r="AN475" i="16" s="1"/>
  <c r="AH476" i="16"/>
  <c r="AN476" i="16" s="1"/>
  <c r="AH477" i="16"/>
  <c r="AN477" i="16" s="1"/>
  <c r="AH478" i="16"/>
  <c r="AN478" i="16" s="1"/>
  <c r="AH479" i="16"/>
  <c r="AN479" i="16" s="1"/>
  <c r="AH480" i="16"/>
  <c r="AN480" i="16" s="1"/>
  <c r="AH481" i="16"/>
  <c r="AN481" i="16" s="1"/>
  <c r="AH482" i="16"/>
  <c r="AN482" i="16" s="1"/>
  <c r="AH483" i="16"/>
  <c r="AN483" i="16" s="1"/>
  <c r="AH484" i="16"/>
  <c r="AN484" i="16" s="1"/>
  <c r="AH485" i="16"/>
  <c r="AN485" i="16" s="1"/>
  <c r="AH486" i="16"/>
  <c r="AN486" i="16" s="1"/>
  <c r="AH487" i="16"/>
  <c r="AN487" i="16" s="1"/>
  <c r="AH488" i="16"/>
  <c r="AN488" i="16" s="1"/>
  <c r="AH489" i="16"/>
  <c r="AN489" i="16" s="1"/>
  <c r="AH490" i="16"/>
  <c r="AN490" i="16" s="1"/>
  <c r="AH491" i="16"/>
  <c r="AN491" i="16" s="1"/>
  <c r="AH492" i="16"/>
  <c r="AN492" i="16" s="1"/>
  <c r="AH493" i="16"/>
  <c r="AN493" i="16" s="1"/>
  <c r="AH494" i="16"/>
  <c r="AN494" i="16" s="1"/>
  <c r="AH495" i="16"/>
  <c r="AN495" i="16" s="1"/>
  <c r="AH496" i="16"/>
  <c r="AN496" i="16" s="1"/>
  <c r="AH497" i="16"/>
  <c r="AN497" i="16" s="1"/>
  <c r="AH498" i="16"/>
  <c r="AN498" i="16" s="1"/>
  <c r="AH499" i="16"/>
  <c r="AN499" i="16" s="1"/>
  <c r="AH500" i="16"/>
  <c r="AN500" i="16" s="1"/>
  <c r="AH501" i="16"/>
  <c r="AN501" i="16" s="1"/>
  <c r="AH502" i="16"/>
  <c r="AN502" i="16" s="1"/>
  <c r="AH503" i="16"/>
  <c r="AN503" i="16" s="1"/>
  <c r="AH504" i="16"/>
  <c r="AN504" i="16" s="1"/>
  <c r="AH505" i="16"/>
  <c r="AN505" i="16" s="1"/>
  <c r="AH506" i="16"/>
  <c r="AN506" i="16" s="1"/>
  <c r="AH507" i="16"/>
  <c r="AN507" i="16" s="1"/>
  <c r="AH508" i="16"/>
  <c r="AN508" i="16" s="1"/>
  <c r="AH509" i="16"/>
  <c r="AN509" i="16" s="1"/>
  <c r="AH510" i="16"/>
  <c r="AN510" i="16" s="1"/>
  <c r="AH511" i="16"/>
  <c r="AN511" i="16" s="1"/>
  <c r="AH512" i="16"/>
  <c r="AN512" i="16" s="1"/>
  <c r="AH513" i="16"/>
  <c r="AN513" i="16" s="1"/>
  <c r="AH514" i="16"/>
  <c r="AN514" i="16" s="1"/>
  <c r="AH515" i="16"/>
  <c r="AN515" i="16" s="1"/>
  <c r="AH516" i="16"/>
  <c r="AN516" i="16" s="1"/>
  <c r="AH517" i="16"/>
  <c r="AN517" i="16" s="1"/>
  <c r="AH518" i="16"/>
  <c r="AN518" i="16" s="1"/>
  <c r="AH519" i="16"/>
  <c r="AN519" i="16" s="1"/>
  <c r="AH520" i="16"/>
  <c r="AN520" i="16" s="1"/>
  <c r="AH521" i="16"/>
  <c r="AN521" i="16" s="1"/>
  <c r="AH522" i="16"/>
  <c r="AN522" i="16" s="1"/>
  <c r="AH523" i="16"/>
  <c r="AN523" i="16" s="1"/>
  <c r="AH524" i="16"/>
  <c r="AN524" i="16" s="1"/>
  <c r="AH525" i="16"/>
  <c r="AN525" i="16" s="1"/>
  <c r="AH526" i="16"/>
  <c r="AN526" i="16" s="1"/>
  <c r="AH527" i="16"/>
  <c r="AN527" i="16" s="1"/>
  <c r="AH528" i="16"/>
  <c r="AN528" i="16" s="1"/>
  <c r="AH529" i="16"/>
  <c r="AN529" i="16" s="1"/>
  <c r="AH530" i="16"/>
  <c r="AN530" i="16" s="1"/>
  <c r="AH531" i="16"/>
  <c r="AN531" i="16" s="1"/>
  <c r="AH532" i="16"/>
  <c r="AN532" i="16" s="1"/>
  <c r="AH533" i="16"/>
  <c r="AN533" i="16" s="1"/>
  <c r="AH534" i="16"/>
  <c r="AN534" i="16" s="1"/>
  <c r="AH535" i="16"/>
  <c r="AN535" i="16" s="1"/>
  <c r="AH536" i="16"/>
  <c r="AN536" i="16" s="1"/>
  <c r="AH537" i="16"/>
  <c r="AN537" i="16" s="1"/>
  <c r="AH538" i="16"/>
  <c r="AN538" i="16" s="1"/>
  <c r="AH539" i="16"/>
  <c r="AN539" i="16" s="1"/>
  <c r="AH540" i="16"/>
  <c r="AN540" i="16" s="1"/>
  <c r="AH541" i="16"/>
  <c r="AN541" i="16" s="1"/>
  <c r="AH542" i="16"/>
  <c r="AN542" i="16" s="1"/>
  <c r="AH543" i="16"/>
  <c r="AN543" i="16" s="1"/>
  <c r="AH544" i="16"/>
  <c r="AN544" i="16" s="1"/>
  <c r="AH545" i="16"/>
  <c r="AN545" i="16" s="1"/>
  <c r="AH546" i="16"/>
  <c r="AN546" i="16" s="1"/>
  <c r="AH547" i="16"/>
  <c r="AN547" i="16" s="1"/>
  <c r="AH548" i="16"/>
  <c r="AN548" i="16" s="1"/>
  <c r="AH549" i="16"/>
  <c r="AN549" i="16" s="1"/>
  <c r="AH550" i="16"/>
  <c r="AN550" i="16" s="1"/>
  <c r="AH551" i="16"/>
  <c r="AN551" i="16" s="1"/>
  <c r="AH552" i="16"/>
  <c r="AN552" i="16" s="1"/>
  <c r="AH553" i="16"/>
  <c r="AN553" i="16" s="1"/>
  <c r="AH554" i="16"/>
  <c r="AN554" i="16" s="1"/>
  <c r="AH555" i="16"/>
  <c r="AN555" i="16" s="1"/>
  <c r="AH556" i="16"/>
  <c r="AN556" i="16" s="1"/>
  <c r="AH557" i="16"/>
  <c r="AN557" i="16" s="1"/>
  <c r="AH558" i="16"/>
  <c r="AN558" i="16" s="1"/>
  <c r="AH559" i="16"/>
  <c r="AN559" i="16" s="1"/>
  <c r="AH560" i="16"/>
  <c r="AN560" i="16" s="1"/>
  <c r="AH561" i="16"/>
  <c r="AN561" i="16" s="1"/>
  <c r="AH562" i="16"/>
  <c r="AN562" i="16" s="1"/>
  <c r="AH563" i="16"/>
  <c r="AN563" i="16" s="1"/>
  <c r="AH564" i="16"/>
  <c r="AN564" i="16" s="1"/>
  <c r="AH565" i="16"/>
  <c r="AN565" i="16" s="1"/>
  <c r="AH566" i="16"/>
  <c r="AN566" i="16" s="1"/>
  <c r="AH567" i="16"/>
  <c r="AN567" i="16" s="1"/>
  <c r="AH568" i="16"/>
  <c r="AN568" i="16" s="1"/>
  <c r="AH569" i="16"/>
  <c r="AN569" i="16" s="1"/>
  <c r="AH570" i="16"/>
  <c r="AN570" i="16" s="1"/>
  <c r="AH571" i="16"/>
  <c r="AN571" i="16" s="1"/>
  <c r="AH572" i="16"/>
  <c r="AN572" i="16" s="1"/>
  <c r="AH573" i="16"/>
  <c r="AN573" i="16" s="1"/>
  <c r="AH574" i="16"/>
  <c r="AN574" i="16" s="1"/>
  <c r="AH575" i="16"/>
  <c r="AN575" i="16" s="1"/>
  <c r="AH576" i="16"/>
  <c r="AN576" i="16" s="1"/>
  <c r="AH577" i="16"/>
  <c r="AN577" i="16" s="1"/>
  <c r="AH578" i="16"/>
  <c r="AN578" i="16" s="1"/>
  <c r="AH579" i="16"/>
  <c r="AN579" i="16" s="1"/>
  <c r="AH580" i="16"/>
  <c r="AN580" i="16" s="1"/>
  <c r="AH581" i="16"/>
  <c r="AN581" i="16" s="1"/>
  <c r="AH582" i="16"/>
  <c r="AN582" i="16" s="1"/>
  <c r="AH583" i="16"/>
  <c r="AN583" i="16" s="1"/>
  <c r="AH584" i="16"/>
  <c r="AN584" i="16" s="1"/>
  <c r="AH585" i="16"/>
  <c r="AN585" i="16" s="1"/>
  <c r="AH586" i="16"/>
  <c r="AN586" i="16" s="1"/>
  <c r="AH587" i="16"/>
  <c r="AN587" i="16" s="1"/>
  <c r="AH588" i="16"/>
  <c r="AN588" i="16" s="1"/>
  <c r="AH589" i="16"/>
  <c r="AN589" i="16" s="1"/>
  <c r="AH590" i="16"/>
  <c r="AN590" i="16" s="1"/>
  <c r="AH591" i="16"/>
  <c r="AN591" i="16" s="1"/>
  <c r="AH592" i="16"/>
  <c r="AN592" i="16" s="1"/>
  <c r="AH593" i="16"/>
  <c r="AN593" i="16" s="1"/>
  <c r="AH594" i="16"/>
  <c r="AN594" i="16" s="1"/>
  <c r="AH595" i="16"/>
  <c r="AN595" i="16" s="1"/>
  <c r="AH596" i="16"/>
  <c r="AN596" i="16" s="1"/>
  <c r="AH597" i="16"/>
  <c r="AN597" i="16" s="1"/>
  <c r="AH598" i="16"/>
  <c r="AN598" i="16" s="1"/>
  <c r="AH599" i="16"/>
  <c r="AN599" i="16" s="1"/>
  <c r="AH600" i="16"/>
  <c r="AN600" i="16" s="1"/>
  <c r="AH601" i="16"/>
  <c r="AN601" i="16" s="1"/>
  <c r="AH602" i="16"/>
  <c r="AN602" i="16" s="1"/>
  <c r="AH603" i="16"/>
  <c r="AN603" i="16" s="1"/>
  <c r="AH604" i="16"/>
  <c r="AN604" i="16" s="1"/>
  <c r="AH605" i="16"/>
  <c r="AN605" i="16" s="1"/>
  <c r="AH606" i="16"/>
  <c r="AN606" i="16" s="1"/>
  <c r="AH607" i="16"/>
  <c r="AN607" i="16" s="1"/>
  <c r="AH608" i="16"/>
  <c r="AN608" i="16" s="1"/>
  <c r="AH609" i="16"/>
  <c r="AN609" i="16" s="1"/>
  <c r="AH610" i="16"/>
  <c r="AN610" i="16" s="1"/>
  <c r="AH611" i="16"/>
  <c r="AN611" i="16" s="1"/>
  <c r="AH612" i="16"/>
  <c r="AN612" i="16" s="1"/>
  <c r="AH613" i="16"/>
  <c r="AN613" i="16" s="1"/>
  <c r="AH614" i="16"/>
  <c r="AN614" i="16" s="1"/>
  <c r="AH615" i="16"/>
  <c r="AN615" i="16" s="1"/>
  <c r="AH616" i="16"/>
  <c r="AN616" i="16" s="1"/>
  <c r="AH617" i="16"/>
  <c r="AN617" i="16" s="1"/>
  <c r="AH618" i="16"/>
  <c r="AN618" i="16" s="1"/>
  <c r="BB11" i="25"/>
  <c r="BL11" i="25" s="1"/>
  <c r="AE618" i="26"/>
  <c r="AE617" i="26"/>
  <c r="AE616" i="26"/>
  <c r="AE615" i="26"/>
  <c r="AE614" i="26"/>
  <c r="AE613" i="26"/>
  <c r="AE612" i="26"/>
  <c r="AE611" i="26"/>
  <c r="AE610" i="26"/>
  <c r="AE609" i="26"/>
  <c r="AE608" i="26"/>
  <c r="AE607" i="26"/>
  <c r="AE606" i="26"/>
  <c r="AE605" i="26"/>
  <c r="AE604" i="26"/>
  <c r="AE603" i="26"/>
  <c r="AE602" i="26"/>
  <c r="AE601" i="26"/>
  <c r="AE600" i="26"/>
  <c r="AE599" i="26"/>
  <c r="AE598" i="26"/>
  <c r="AE597" i="26"/>
  <c r="AE596" i="26"/>
  <c r="AE595" i="26"/>
  <c r="AE594" i="26"/>
  <c r="AE593" i="26"/>
  <c r="AE592" i="26"/>
  <c r="AE591" i="26"/>
  <c r="AE590" i="26"/>
  <c r="AE589" i="26"/>
  <c r="AE588" i="26"/>
  <c r="AE587" i="26"/>
  <c r="AE586" i="26"/>
  <c r="AE585" i="26"/>
  <c r="AE584" i="26"/>
  <c r="AE583" i="26"/>
  <c r="AE582" i="26"/>
  <c r="AE581" i="26"/>
  <c r="AE580" i="26"/>
  <c r="AE579" i="26"/>
  <c r="AE578" i="26"/>
  <c r="AE577" i="26"/>
  <c r="AE576" i="26"/>
  <c r="AE575" i="26"/>
  <c r="AE574" i="26"/>
  <c r="AE573" i="26"/>
  <c r="AE572" i="26"/>
  <c r="AE571" i="26"/>
  <c r="AE570" i="26"/>
  <c r="AE569" i="26"/>
  <c r="AE568" i="26"/>
  <c r="AE567" i="26"/>
  <c r="AE566" i="26"/>
  <c r="AE565" i="26"/>
  <c r="AE564" i="26"/>
  <c r="AE563" i="26"/>
  <c r="AE562" i="26"/>
  <c r="AE561" i="26"/>
  <c r="AE560" i="26"/>
  <c r="AE559" i="26"/>
  <c r="AE558" i="26"/>
  <c r="AE557" i="26"/>
  <c r="AE556" i="26"/>
  <c r="AE555" i="26"/>
  <c r="AE554" i="26"/>
  <c r="AE553" i="26"/>
  <c r="AE552" i="26"/>
  <c r="AE551" i="26"/>
  <c r="AE550" i="26"/>
  <c r="AE549" i="26"/>
  <c r="AE548" i="26"/>
  <c r="AE547" i="26"/>
  <c r="AE546" i="26"/>
  <c r="AE545" i="26"/>
  <c r="AE544" i="26"/>
  <c r="AE543" i="26"/>
  <c r="AE542" i="26"/>
  <c r="AE541" i="26"/>
  <c r="AE540" i="26"/>
  <c r="AE539" i="26"/>
  <c r="AE538" i="26"/>
  <c r="AE537" i="26"/>
  <c r="AE536" i="26"/>
  <c r="AE535" i="26"/>
  <c r="AE534" i="26"/>
  <c r="AE533" i="26"/>
  <c r="AE532" i="26"/>
  <c r="AE531" i="26"/>
  <c r="AE530" i="26"/>
  <c r="AE529" i="26"/>
  <c r="AE528" i="26"/>
  <c r="AE527" i="26"/>
  <c r="AE526" i="26"/>
  <c r="AE525" i="26"/>
  <c r="AE524" i="26"/>
  <c r="AE523" i="26"/>
  <c r="AE522" i="26"/>
  <c r="AE521" i="26"/>
  <c r="AE520" i="26"/>
  <c r="AE519" i="26"/>
  <c r="AE518" i="26"/>
  <c r="AE517" i="26"/>
  <c r="AE516" i="26"/>
  <c r="AE515" i="26"/>
  <c r="AE514" i="26"/>
  <c r="AE513" i="26"/>
  <c r="AE512" i="26"/>
  <c r="AE511" i="26"/>
  <c r="AE509" i="26"/>
  <c r="AE508" i="26"/>
  <c r="AE507" i="26"/>
  <c r="AE506" i="26"/>
  <c r="AE505" i="26"/>
  <c r="AE504" i="26"/>
  <c r="AE503" i="26"/>
  <c r="AE502" i="26"/>
  <c r="AE501" i="26"/>
  <c r="AE500" i="26"/>
  <c r="AE499" i="26"/>
  <c r="AE498" i="26"/>
  <c r="AE497" i="26"/>
  <c r="AE496" i="26"/>
  <c r="AE495" i="26"/>
  <c r="AE494" i="26"/>
  <c r="AE493" i="26"/>
  <c r="AE492" i="26"/>
  <c r="AE491" i="26"/>
  <c r="AE490" i="26"/>
  <c r="AE489" i="26"/>
  <c r="AE488" i="26"/>
  <c r="AE487" i="26"/>
  <c r="AE486" i="26"/>
  <c r="AE485" i="26"/>
  <c r="AE484" i="26"/>
  <c r="AE483" i="26"/>
  <c r="AE482" i="26"/>
  <c r="AE481" i="26"/>
  <c r="AE480" i="26"/>
  <c r="AE479" i="26"/>
  <c r="AE478" i="26"/>
  <c r="AE477" i="26"/>
  <c r="AE476" i="26"/>
  <c r="AE475" i="26"/>
  <c r="AE474" i="26"/>
  <c r="AE473" i="26"/>
  <c r="AE472" i="26"/>
  <c r="AE471" i="26"/>
  <c r="AE470" i="26"/>
  <c r="AE469" i="26"/>
  <c r="AE468" i="26"/>
  <c r="AE467" i="26"/>
  <c r="AE466" i="26"/>
  <c r="AE465" i="26"/>
  <c r="AE464" i="26"/>
  <c r="AE463" i="26"/>
  <c r="AE462" i="26"/>
  <c r="AE461" i="26"/>
  <c r="AE460" i="26"/>
  <c r="AE459" i="26"/>
  <c r="AE458" i="26"/>
  <c r="AE457" i="26"/>
  <c r="AE455" i="26"/>
  <c r="AE454" i="26"/>
  <c r="AE453" i="26"/>
  <c r="AE452" i="26"/>
  <c r="AE451" i="26"/>
  <c r="AE450" i="26"/>
  <c r="AE449" i="26"/>
  <c r="AE448" i="26"/>
  <c r="AE447" i="26"/>
  <c r="AE446" i="26"/>
  <c r="AE445" i="26"/>
  <c r="AE444" i="26"/>
  <c r="AE443" i="26"/>
  <c r="AE442" i="26"/>
  <c r="AE441" i="26"/>
  <c r="AE440" i="26"/>
  <c r="AE439" i="26"/>
  <c r="AE438" i="26"/>
  <c r="AE437" i="26"/>
  <c r="AE436" i="26"/>
  <c r="AE435" i="26"/>
  <c r="AE434" i="26"/>
  <c r="AE433" i="26"/>
  <c r="AE432" i="26"/>
  <c r="AE431" i="26"/>
  <c r="AE430" i="26"/>
  <c r="AE429" i="26"/>
  <c r="AE428" i="26"/>
  <c r="AE427" i="26"/>
  <c r="AE426" i="26"/>
  <c r="AE425" i="26"/>
  <c r="AE424" i="26"/>
  <c r="AE423" i="26"/>
  <c r="AE422" i="26"/>
  <c r="AE421" i="26"/>
  <c r="AE420" i="26"/>
  <c r="AE419" i="26"/>
  <c r="AE418" i="26"/>
  <c r="AE417" i="26"/>
  <c r="AE416" i="26"/>
  <c r="AE414" i="26"/>
  <c r="AE412" i="26"/>
  <c r="AE411" i="26"/>
  <c r="AE410" i="26"/>
  <c r="AE408" i="26"/>
  <c r="AE407" i="26"/>
  <c r="AE406" i="26"/>
  <c r="AE405" i="26"/>
  <c r="AE404" i="26"/>
  <c r="AE403" i="26"/>
  <c r="AE402" i="26"/>
  <c r="AE401" i="26"/>
  <c r="AE399" i="26"/>
  <c r="AE398" i="26"/>
  <c r="AE397" i="26"/>
  <c r="AE396" i="26"/>
  <c r="AE395" i="26"/>
  <c r="AE394" i="26"/>
  <c r="AE393" i="26"/>
  <c r="AE392" i="26"/>
  <c r="AE391" i="26"/>
  <c r="AE390" i="26"/>
  <c r="AE389" i="26"/>
  <c r="AE388" i="26"/>
  <c r="AE387" i="26"/>
  <c r="AE386" i="26"/>
  <c r="AE385" i="26"/>
  <c r="AE384" i="26"/>
  <c r="AE383" i="26"/>
  <c r="AE382" i="26"/>
  <c r="AE381" i="26"/>
  <c r="AE380" i="26"/>
  <c r="AE379" i="26"/>
  <c r="AE378" i="26"/>
  <c r="AE377" i="26"/>
  <c r="AE376" i="26"/>
  <c r="AE375" i="26"/>
  <c r="AE374" i="26"/>
  <c r="AE373" i="26"/>
  <c r="AE372" i="26"/>
  <c r="AE371" i="26"/>
  <c r="AE370" i="26"/>
  <c r="AE369" i="26"/>
  <c r="AE368" i="26"/>
  <c r="AE366" i="26"/>
  <c r="AE365" i="26"/>
  <c r="AE364" i="26"/>
  <c r="AE363" i="26"/>
  <c r="AE362" i="26"/>
  <c r="AE361" i="26"/>
  <c r="AE360" i="26"/>
  <c r="AE359" i="26"/>
  <c r="AE358" i="26"/>
  <c r="AE357" i="26"/>
  <c r="AE356" i="26"/>
  <c r="AE355" i="26"/>
  <c r="AE354" i="26"/>
  <c r="AE353" i="26"/>
  <c r="AE352" i="26"/>
  <c r="AE351" i="26"/>
  <c r="AE350" i="26"/>
  <c r="AE349" i="26"/>
  <c r="AE348" i="26"/>
  <c r="AE347" i="26"/>
  <c r="AE345" i="26"/>
  <c r="AE344" i="26"/>
  <c r="AE343" i="26"/>
  <c r="AE342" i="26"/>
  <c r="AE341" i="26"/>
  <c r="AE340" i="26"/>
  <c r="AE339" i="26"/>
  <c r="AE338" i="26"/>
  <c r="AE337" i="26"/>
  <c r="AE336" i="26"/>
  <c r="AE335" i="26"/>
  <c r="AE334" i="26"/>
  <c r="AE333" i="26"/>
  <c r="AE332" i="26"/>
  <c r="AE331" i="26"/>
  <c r="AE330" i="26"/>
  <c r="AE329" i="26"/>
  <c r="AE328" i="26"/>
  <c r="AE327" i="26"/>
  <c r="AE326" i="26"/>
  <c r="AE325" i="26"/>
  <c r="AE324" i="26"/>
  <c r="AE323" i="26"/>
  <c r="AE322" i="26"/>
  <c r="AE321" i="26"/>
  <c r="AE320" i="26"/>
  <c r="AE319" i="26"/>
  <c r="AE317" i="26"/>
  <c r="AE316" i="26"/>
  <c r="AE315" i="26"/>
  <c r="AE314" i="26"/>
  <c r="AE313" i="26"/>
  <c r="AE312" i="26"/>
  <c r="AE311" i="26"/>
  <c r="AE310" i="26"/>
  <c r="AE309" i="26"/>
  <c r="AE308" i="26"/>
  <c r="AE307" i="26"/>
  <c r="AE306" i="26"/>
  <c r="AE305" i="26"/>
  <c r="AE304" i="26"/>
  <c r="AE303" i="26"/>
  <c r="AE302" i="26"/>
  <c r="AE301" i="26"/>
  <c r="AE300" i="26"/>
  <c r="AE299" i="26"/>
  <c r="AE298" i="26"/>
  <c r="AE297" i="26"/>
  <c r="AE296" i="26"/>
  <c r="AE295" i="26"/>
  <c r="AE294" i="26"/>
  <c r="AE293" i="26"/>
  <c r="AE289" i="26"/>
  <c r="AE292" i="26"/>
  <c r="AE291" i="26"/>
  <c r="AE290" i="26"/>
  <c r="AE288" i="26"/>
  <c r="AE287" i="26"/>
  <c r="AE285" i="26"/>
  <c r="AE284" i="26"/>
  <c r="AE283" i="26"/>
  <c r="AE282" i="26"/>
  <c r="AE281" i="26"/>
  <c r="AE280" i="26"/>
  <c r="AE279" i="26"/>
  <c r="AE278" i="26"/>
  <c r="AE277" i="26"/>
  <c r="AE276" i="26"/>
  <c r="AE275" i="26"/>
  <c r="AE274" i="26"/>
  <c r="AE273" i="26"/>
  <c r="AE272" i="26"/>
  <c r="AE271" i="26"/>
  <c r="AE270" i="26"/>
  <c r="AE269" i="26"/>
  <c r="AE268" i="26"/>
  <c r="AE267" i="26"/>
  <c r="AE266" i="26"/>
  <c r="AE265" i="26"/>
  <c r="AE264" i="26"/>
  <c r="AE263" i="26"/>
  <c r="AE262" i="26"/>
  <c r="AE261" i="26"/>
  <c r="AE260" i="26"/>
  <c r="AE259" i="26"/>
  <c r="AE258" i="26"/>
  <c r="AE257" i="26"/>
  <c r="AE256" i="26"/>
  <c r="AE255" i="26"/>
  <c r="AE254" i="26"/>
  <c r="AE253" i="26"/>
  <c r="AE252" i="26"/>
  <c r="AE251" i="26"/>
  <c r="AE250" i="26"/>
  <c r="AE249" i="26"/>
  <c r="AE248" i="26"/>
  <c r="AE247" i="26"/>
  <c r="AE246" i="26"/>
  <c r="AE245" i="26"/>
  <c r="AE244" i="26"/>
  <c r="AE243" i="26"/>
  <c r="AE242" i="26"/>
  <c r="AE241" i="26"/>
  <c r="AE240" i="26"/>
  <c r="AE239" i="26"/>
  <c r="AE238" i="26"/>
  <c r="AE237" i="26"/>
  <c r="AE236" i="26"/>
  <c r="AE235" i="26"/>
  <c r="AE234" i="26"/>
  <c r="AE233" i="26"/>
  <c r="AE232" i="26"/>
  <c r="AE231" i="26"/>
  <c r="AE230" i="26"/>
  <c r="AE229" i="26"/>
  <c r="AE228" i="26"/>
  <c r="AE227" i="26"/>
  <c r="AE226" i="26"/>
  <c r="AE225" i="26"/>
  <c r="AE224" i="26"/>
  <c r="AE223" i="26"/>
  <c r="AE222" i="26"/>
  <c r="AE221" i="26"/>
  <c r="AE220" i="26"/>
  <c r="AE219" i="26"/>
  <c r="AE218" i="26"/>
  <c r="AE217" i="26"/>
  <c r="AE216" i="26"/>
  <c r="AE215" i="26"/>
  <c r="AE214" i="26"/>
  <c r="AE213" i="26"/>
  <c r="AE212" i="26"/>
  <c r="AE211" i="26"/>
  <c r="AE210" i="26"/>
  <c r="AE209" i="26"/>
  <c r="AE208" i="26"/>
  <c r="AE207" i="26"/>
  <c r="AE206" i="26"/>
  <c r="AE205" i="26"/>
  <c r="AE204" i="26"/>
  <c r="AE203" i="26"/>
  <c r="AE202" i="26"/>
  <c r="AE201" i="26"/>
  <c r="AE200" i="26"/>
  <c r="AE199" i="26"/>
  <c r="AE198" i="26"/>
  <c r="AE197" i="26"/>
  <c r="AE196" i="26"/>
  <c r="AE195" i="26"/>
  <c r="AE194" i="26"/>
  <c r="AE193" i="26"/>
  <c r="AE192" i="26"/>
  <c r="AE191" i="26"/>
  <c r="AE190" i="26"/>
  <c r="AE189" i="26"/>
  <c r="AE188" i="26"/>
  <c r="AE187" i="26"/>
  <c r="AE186" i="26"/>
  <c r="AE185" i="26"/>
  <c r="AE184" i="26"/>
  <c r="AE183" i="26"/>
  <c r="AE182" i="26"/>
  <c r="AE181" i="26"/>
  <c r="AE180" i="26"/>
  <c r="AE179" i="26"/>
  <c r="AE178" i="26"/>
  <c r="AE177" i="26"/>
  <c r="AE176" i="26"/>
  <c r="AE175" i="26"/>
  <c r="AE174" i="26"/>
  <c r="AE173" i="26"/>
  <c r="AE172" i="26"/>
  <c r="AE171" i="26"/>
  <c r="AE170" i="26"/>
  <c r="AE169" i="26"/>
  <c r="AE168" i="26"/>
  <c r="AE167" i="26"/>
  <c r="AE166" i="26"/>
  <c r="AE165" i="26"/>
  <c r="AE164" i="26"/>
  <c r="AE163" i="26"/>
  <c r="AE162" i="26"/>
  <c r="AE161" i="26"/>
  <c r="AE160" i="26"/>
  <c r="AE159" i="26"/>
  <c r="AE158" i="26"/>
  <c r="AE157" i="26"/>
  <c r="AE156" i="26"/>
  <c r="AE155" i="26"/>
  <c r="AE154" i="26"/>
  <c r="AE153" i="26"/>
  <c r="AE152" i="26"/>
  <c r="AE151" i="26"/>
  <c r="AE150" i="26"/>
  <c r="AE149" i="26"/>
  <c r="AE148" i="26"/>
  <c r="AE147" i="26"/>
  <c r="AE146" i="26"/>
  <c r="AE145" i="26"/>
  <c r="AE144" i="26"/>
  <c r="AE143" i="26"/>
  <c r="AE142" i="26"/>
  <c r="AE141" i="26"/>
  <c r="AE140" i="26"/>
  <c r="AE139" i="26"/>
  <c r="AE138" i="26"/>
  <c r="AE137" i="26"/>
  <c r="AE136" i="26"/>
  <c r="AE135" i="26"/>
  <c r="AE134" i="26"/>
  <c r="AE133" i="26"/>
  <c r="AE132" i="26"/>
  <c r="AE131" i="26"/>
  <c r="AE130" i="26"/>
  <c r="AE129" i="26"/>
  <c r="AE128" i="26"/>
  <c r="AE127" i="26"/>
  <c r="AE126" i="26"/>
  <c r="AE125" i="26"/>
  <c r="AE124" i="26"/>
  <c r="AE123" i="26"/>
  <c r="AE122" i="26"/>
  <c r="AE121" i="26"/>
  <c r="AE120" i="26"/>
  <c r="AE119" i="26"/>
  <c r="AE118" i="26"/>
  <c r="AE117" i="26"/>
  <c r="AE116" i="26"/>
  <c r="AE115" i="26"/>
  <c r="AE114" i="26"/>
  <c r="AE113" i="26"/>
  <c r="AE112" i="26"/>
  <c r="AE111" i="26"/>
  <c r="AE110" i="26"/>
  <c r="AE109" i="26"/>
  <c r="AE108" i="26"/>
  <c r="AE107" i="26"/>
  <c r="AE106" i="26"/>
  <c r="AE105" i="26"/>
  <c r="AE104" i="26"/>
  <c r="AE103" i="26"/>
  <c r="AE102" i="26"/>
  <c r="AE101" i="26"/>
  <c r="AE100" i="26"/>
  <c r="AE99" i="26"/>
  <c r="AE98" i="26"/>
  <c r="AE97" i="26"/>
  <c r="AE96" i="26"/>
  <c r="AE95" i="26"/>
  <c r="AE94" i="26"/>
  <c r="AE93" i="26"/>
  <c r="AE92" i="26"/>
  <c r="AE91" i="26"/>
  <c r="AE90" i="26"/>
  <c r="AE88" i="26"/>
  <c r="AE89" i="26"/>
  <c r="AE87" i="26"/>
  <c r="AE86" i="26"/>
  <c r="AE85" i="26"/>
  <c r="AE84" i="26"/>
  <c r="AE83" i="26"/>
  <c r="AE82" i="26"/>
  <c r="AE81" i="26"/>
  <c r="AE80" i="26"/>
  <c r="AE79" i="26"/>
  <c r="AE78" i="26"/>
  <c r="AE77" i="26"/>
  <c r="AE76" i="26"/>
  <c r="AE75" i="26"/>
  <c r="AE74" i="26"/>
  <c r="AE73" i="26"/>
  <c r="AE72" i="26"/>
  <c r="AE71" i="26"/>
  <c r="AE70" i="26"/>
  <c r="AE69" i="26"/>
  <c r="AE68" i="26"/>
  <c r="AE67" i="26"/>
  <c r="AE66" i="26"/>
  <c r="AE65" i="26"/>
  <c r="AE64" i="26"/>
  <c r="AE63" i="26"/>
  <c r="AE62" i="26"/>
  <c r="AE61" i="26"/>
  <c r="AE60" i="26"/>
  <c r="AE59" i="26"/>
  <c r="AE58" i="26"/>
  <c r="AE57" i="26"/>
  <c r="AE56" i="26"/>
  <c r="AE55" i="26"/>
  <c r="AE54" i="26"/>
  <c r="AE53" i="26"/>
  <c r="AE52" i="26"/>
  <c r="AE51" i="26"/>
  <c r="AE50" i="26"/>
  <c r="AE49" i="26"/>
  <c r="AE48" i="26"/>
  <c r="AE47" i="26"/>
  <c r="AE46" i="26"/>
  <c r="AE45" i="26"/>
  <c r="AE44" i="26"/>
  <c r="AE42" i="26"/>
  <c r="AE41" i="26"/>
  <c r="AE40" i="26"/>
  <c r="AE39" i="26"/>
  <c r="AE38" i="26"/>
  <c r="AE37" i="26"/>
  <c r="AE36" i="26"/>
  <c r="AE35" i="26"/>
  <c r="AE34" i="26"/>
  <c r="AE33" i="26"/>
  <c r="AE32" i="26"/>
  <c r="AE31" i="26"/>
  <c r="AE30" i="26"/>
  <c r="AE29" i="26"/>
  <c r="AE28" i="26"/>
  <c r="AE27" i="26"/>
  <c r="AE26" i="26"/>
  <c r="AE25" i="26"/>
  <c r="AE24" i="26"/>
  <c r="AE23" i="26"/>
  <c r="AE22" i="26"/>
  <c r="AE21" i="26"/>
  <c r="AE20" i="26"/>
  <c r="AE19" i="26"/>
  <c r="AE18" i="26"/>
  <c r="AE17" i="26"/>
  <c r="AE16" i="26"/>
  <c r="AE15" i="26"/>
  <c r="AE14" i="26"/>
  <c r="AE13" i="26"/>
  <c r="AE12" i="26"/>
  <c r="AE11" i="26"/>
  <c r="AE618" i="14"/>
  <c r="AE617" i="14"/>
  <c r="AE616" i="14"/>
  <c r="AE615" i="14"/>
  <c r="AE614" i="14"/>
  <c r="AE613" i="14"/>
  <c r="AE612" i="14"/>
  <c r="AE611" i="14"/>
  <c r="AE610" i="14"/>
  <c r="AE609" i="14"/>
  <c r="AE608" i="14"/>
  <c r="AE607" i="14"/>
  <c r="AE606" i="14"/>
  <c r="AE605" i="14"/>
  <c r="AE604" i="14"/>
  <c r="AE603" i="14"/>
  <c r="AE602" i="14"/>
  <c r="AE601" i="14"/>
  <c r="AE600" i="14"/>
  <c r="AE599" i="14"/>
  <c r="AE598" i="14"/>
  <c r="AE597" i="14"/>
  <c r="AE596" i="14"/>
  <c r="AE595" i="14"/>
  <c r="AE594" i="14"/>
  <c r="AE593" i="14"/>
  <c r="AE592" i="14"/>
  <c r="AE591" i="14"/>
  <c r="AE590" i="14"/>
  <c r="AE589" i="14"/>
  <c r="AE588" i="14"/>
  <c r="AE587" i="14"/>
  <c r="AE586" i="14"/>
  <c r="AE585" i="14"/>
  <c r="AE584" i="14"/>
  <c r="AE583" i="14"/>
  <c r="AE582" i="14"/>
  <c r="AE581" i="14"/>
  <c r="AE580" i="14"/>
  <c r="AE579" i="14"/>
  <c r="AE578" i="14"/>
  <c r="AE577" i="14"/>
  <c r="AE576" i="14"/>
  <c r="AE575" i="14"/>
  <c r="AE574" i="14"/>
  <c r="AE573" i="14"/>
  <c r="AE572" i="14"/>
  <c r="AE571" i="14"/>
  <c r="AE570" i="14"/>
  <c r="AE569" i="14"/>
  <c r="AE568" i="14"/>
  <c r="AE567" i="14"/>
  <c r="AE566" i="14"/>
  <c r="AE565" i="14"/>
  <c r="AE564" i="14"/>
  <c r="AE563" i="14"/>
  <c r="AE562" i="14"/>
  <c r="AE561" i="14"/>
  <c r="AE560" i="14"/>
  <c r="AE559" i="14"/>
  <c r="AE558" i="14"/>
  <c r="AE557" i="14"/>
  <c r="AE556" i="14"/>
  <c r="AE555" i="14"/>
  <c r="AE554" i="14"/>
  <c r="AE553" i="14"/>
  <c r="AE552" i="14"/>
  <c r="AE551" i="14"/>
  <c r="AE550" i="14"/>
  <c r="AE549" i="14"/>
  <c r="AE548" i="14"/>
  <c r="AE547" i="14"/>
  <c r="AE546" i="14"/>
  <c r="AE545" i="14"/>
  <c r="AE544" i="14"/>
  <c r="AE543" i="14"/>
  <c r="AE542" i="14"/>
  <c r="AE541" i="14"/>
  <c r="AE540" i="14"/>
  <c r="AE539" i="14"/>
  <c r="AE538" i="14"/>
  <c r="AE537" i="14"/>
  <c r="AE536" i="14"/>
  <c r="AE535" i="14"/>
  <c r="AE534" i="14"/>
  <c r="AE533" i="14"/>
  <c r="AE532" i="14"/>
  <c r="AE531" i="14"/>
  <c r="AE530" i="14"/>
  <c r="AE529" i="14"/>
  <c r="AE528" i="14"/>
  <c r="AE527" i="14"/>
  <c r="AE526" i="14"/>
  <c r="AE525" i="14"/>
  <c r="AE524" i="14"/>
  <c r="AE523" i="14"/>
  <c r="AE522" i="14"/>
  <c r="AE521" i="14"/>
  <c r="AE520" i="14"/>
  <c r="AE519" i="14"/>
  <c r="AE518" i="14"/>
  <c r="AE517" i="14"/>
  <c r="AE516" i="14"/>
  <c r="AE515" i="14"/>
  <c r="AE514" i="14"/>
  <c r="AE513" i="14"/>
  <c r="AE512" i="14"/>
  <c r="AE511" i="14"/>
  <c r="AE510" i="14"/>
  <c r="AE509" i="14"/>
  <c r="AE508" i="14"/>
  <c r="AE507" i="14"/>
  <c r="AE506" i="14"/>
  <c r="AE505" i="14"/>
  <c r="AE504" i="14"/>
  <c r="AE503" i="14"/>
  <c r="AE502" i="14"/>
  <c r="AE501" i="14"/>
  <c r="AE500" i="14"/>
  <c r="AE499" i="14"/>
  <c r="AE498" i="14"/>
  <c r="AE497" i="14"/>
  <c r="AE496" i="14"/>
  <c r="AE495" i="14"/>
  <c r="AE494" i="14"/>
  <c r="AE493" i="14"/>
  <c r="AE492" i="14"/>
  <c r="AE491" i="14"/>
  <c r="AE490" i="14"/>
  <c r="AE489" i="14"/>
  <c r="AE488" i="14"/>
  <c r="AE487" i="14"/>
  <c r="AE486" i="14"/>
  <c r="AE485" i="14"/>
  <c r="AE484" i="14"/>
  <c r="AE483" i="14"/>
  <c r="AE482" i="14"/>
  <c r="AE481" i="14"/>
  <c r="AE480" i="14"/>
  <c r="AE479" i="14"/>
  <c r="AE478" i="14"/>
  <c r="AE477" i="14"/>
  <c r="AE476" i="14"/>
  <c r="AE475" i="14"/>
  <c r="AE474" i="14"/>
  <c r="AE473" i="14"/>
  <c r="AE472" i="14"/>
  <c r="AE471" i="14"/>
  <c r="AE470" i="14"/>
  <c r="AE469" i="14"/>
  <c r="AE468" i="14"/>
  <c r="AE467" i="14"/>
  <c r="AE466" i="14"/>
  <c r="AE465" i="14"/>
  <c r="AE464" i="14"/>
  <c r="AE463" i="14"/>
  <c r="AE462" i="14"/>
  <c r="AE461" i="14"/>
  <c r="AE460" i="14"/>
  <c r="AE459" i="14"/>
  <c r="AE458" i="14"/>
  <c r="AE457" i="14"/>
  <c r="AE455" i="14"/>
  <c r="AE454" i="14"/>
  <c r="AE453" i="14"/>
  <c r="AE452" i="14"/>
  <c r="AE451" i="14"/>
  <c r="AE450" i="14"/>
  <c r="AE449" i="14"/>
  <c r="AE448" i="14"/>
  <c r="AE447" i="14"/>
  <c r="AE446" i="14"/>
  <c r="AE445" i="14"/>
  <c r="AE444" i="14"/>
  <c r="AE443" i="14"/>
  <c r="AE442" i="14"/>
  <c r="AE441" i="14"/>
  <c r="AE440" i="14"/>
  <c r="AE439" i="14"/>
  <c r="AE438" i="14"/>
  <c r="AE437" i="14"/>
  <c r="AE436" i="14"/>
  <c r="AE435" i="14"/>
  <c r="AE434" i="14"/>
  <c r="AE433" i="14"/>
  <c r="AE432" i="14"/>
  <c r="AE431" i="14"/>
  <c r="AE430" i="14"/>
  <c r="AE429" i="14"/>
  <c r="AE428" i="14"/>
  <c r="AE427" i="14"/>
  <c r="AE426" i="14"/>
  <c r="AE425" i="14"/>
  <c r="AE424" i="14"/>
  <c r="AE423" i="14"/>
  <c r="AE422" i="14"/>
  <c r="AE421" i="14"/>
  <c r="AE420" i="14"/>
  <c r="AE419" i="14"/>
  <c r="AE418" i="14"/>
  <c r="AE417" i="14"/>
  <c r="AE416" i="14"/>
  <c r="AE414" i="14"/>
  <c r="AE412" i="14"/>
  <c r="AE411" i="14"/>
  <c r="AE410" i="14"/>
  <c r="AE408" i="14"/>
  <c r="AE407" i="14"/>
  <c r="AE406" i="14"/>
  <c r="AE405" i="14"/>
  <c r="AE404" i="14"/>
  <c r="AE403" i="14"/>
  <c r="AE402" i="14"/>
  <c r="AE401" i="14"/>
  <c r="AE399" i="14"/>
  <c r="AE398" i="14"/>
  <c r="AE397" i="14"/>
  <c r="AE396" i="14"/>
  <c r="AE395" i="14"/>
  <c r="AE394" i="14"/>
  <c r="AE393" i="14"/>
  <c r="AE392" i="14"/>
  <c r="AE391" i="14"/>
  <c r="AE390" i="14"/>
  <c r="AE389" i="14"/>
  <c r="AE388" i="14"/>
  <c r="AE387" i="14"/>
  <c r="AE386" i="14"/>
  <c r="AE385" i="14"/>
  <c r="AE384" i="14"/>
  <c r="AE383" i="14"/>
  <c r="AE382" i="14"/>
  <c r="AE381" i="14"/>
  <c r="AE380" i="14"/>
  <c r="AE379" i="14"/>
  <c r="AE378" i="14"/>
  <c r="AE377" i="14"/>
  <c r="AE376" i="14"/>
  <c r="AE375" i="14"/>
  <c r="AE374" i="14"/>
  <c r="AE373" i="14"/>
  <c r="AE372" i="14"/>
  <c r="AE371" i="14"/>
  <c r="AE370" i="14"/>
  <c r="AE369" i="14"/>
  <c r="AE368" i="14"/>
  <c r="AE366" i="14"/>
  <c r="AE365" i="14"/>
  <c r="AE364" i="14"/>
  <c r="AE363" i="14"/>
  <c r="AE362" i="14"/>
  <c r="AE361" i="14"/>
  <c r="AE360" i="14"/>
  <c r="AE359" i="14"/>
  <c r="AE358" i="14"/>
  <c r="AE357" i="14"/>
  <c r="AE356" i="14"/>
  <c r="AE355" i="14"/>
  <c r="AE354" i="14"/>
  <c r="AE353" i="14"/>
  <c r="AE352" i="14"/>
  <c r="AE351" i="14"/>
  <c r="AE350" i="14"/>
  <c r="AE349" i="14"/>
  <c r="AE348" i="14"/>
  <c r="AE347" i="14"/>
  <c r="AE345" i="14"/>
  <c r="AE344" i="14"/>
  <c r="AE343" i="14"/>
  <c r="AE342" i="14"/>
  <c r="AE341" i="14"/>
  <c r="AE340" i="14"/>
  <c r="AE339" i="14"/>
  <c r="AE338" i="14"/>
  <c r="AE337" i="14"/>
  <c r="AE336" i="14"/>
  <c r="AE335" i="14"/>
  <c r="AE334" i="14"/>
  <c r="AE333" i="14"/>
  <c r="AE332" i="14"/>
  <c r="AE331" i="14"/>
  <c r="AE330" i="14"/>
  <c r="AE329" i="14"/>
  <c r="AE328" i="14"/>
  <c r="AE327" i="14"/>
  <c r="AE326" i="14"/>
  <c r="AE325" i="14"/>
  <c r="AE324" i="14"/>
  <c r="AE323" i="14"/>
  <c r="AE322" i="14"/>
  <c r="AE321" i="14"/>
  <c r="AE320" i="14"/>
  <c r="AE319" i="14"/>
  <c r="AE317" i="14"/>
  <c r="AE316" i="14"/>
  <c r="AE315" i="14"/>
  <c r="AE314" i="14"/>
  <c r="AE313" i="14"/>
  <c r="AE312" i="14"/>
  <c r="AE311" i="14"/>
  <c r="AE310" i="14"/>
  <c r="AE308" i="14"/>
  <c r="AE307" i="14"/>
  <c r="AE306" i="14"/>
  <c r="AE305" i="14"/>
  <c r="AE304" i="14"/>
  <c r="AE303" i="14"/>
  <c r="AE302" i="14"/>
  <c r="AE301" i="14"/>
  <c r="AE300" i="14"/>
  <c r="AE299" i="14"/>
  <c r="AE298" i="14"/>
  <c r="AE297" i="14"/>
  <c r="AE296" i="14"/>
  <c r="AE295" i="14"/>
  <c r="AE294" i="14"/>
  <c r="AE293" i="14"/>
  <c r="AE289" i="14"/>
  <c r="AE292" i="14"/>
  <c r="AE291" i="14"/>
  <c r="AE290" i="14"/>
  <c r="AE288" i="14"/>
  <c r="AE287" i="14"/>
  <c r="AE285" i="14"/>
  <c r="AE284" i="14"/>
  <c r="AE283" i="14"/>
  <c r="AE282" i="14"/>
  <c r="AE281" i="14"/>
  <c r="AE280" i="14"/>
  <c r="AE279" i="14"/>
  <c r="AE278" i="14"/>
  <c r="AE277" i="14"/>
  <c r="AE276" i="14"/>
  <c r="AE275" i="14"/>
  <c r="AE274" i="14"/>
  <c r="AE273" i="14"/>
  <c r="AE272" i="14"/>
  <c r="AE271" i="14"/>
  <c r="AE270" i="14"/>
  <c r="AE269" i="14"/>
  <c r="AE268" i="14"/>
  <c r="AE267" i="14"/>
  <c r="AE266" i="14"/>
  <c r="AE265" i="14"/>
  <c r="AE264" i="14"/>
  <c r="AE263" i="14"/>
  <c r="AE262" i="14"/>
  <c r="AE261" i="14"/>
  <c r="AE260" i="14"/>
  <c r="AE259" i="14"/>
  <c r="AE258" i="14"/>
  <c r="AE257" i="14"/>
  <c r="AE256" i="14"/>
  <c r="AE255" i="14"/>
  <c r="AE254" i="14"/>
  <c r="AE253" i="14"/>
  <c r="AE252" i="14"/>
  <c r="AE251" i="14"/>
  <c r="AE250" i="14"/>
  <c r="AE249" i="14"/>
  <c r="AE248" i="14"/>
  <c r="AE247" i="14"/>
  <c r="AE246" i="14"/>
  <c r="AE245" i="14"/>
  <c r="AE244" i="14"/>
  <c r="AE243" i="14"/>
  <c r="AE242" i="14"/>
  <c r="AE241" i="14"/>
  <c r="AE240" i="14"/>
  <c r="AE239" i="14"/>
  <c r="AE238" i="14"/>
  <c r="AE237" i="14"/>
  <c r="AE236" i="14"/>
  <c r="AE235" i="14"/>
  <c r="AE234" i="14"/>
  <c r="AE233" i="14"/>
  <c r="AE232" i="14"/>
  <c r="AE231" i="14"/>
  <c r="AE230" i="14"/>
  <c r="AE229" i="14"/>
  <c r="AE228" i="14"/>
  <c r="AE227" i="14"/>
  <c r="AE226" i="14"/>
  <c r="AE225" i="14"/>
  <c r="AE224" i="14"/>
  <c r="AE223" i="14"/>
  <c r="AE222" i="14"/>
  <c r="AE221" i="14"/>
  <c r="AE220" i="14"/>
  <c r="AE219" i="14"/>
  <c r="AE218" i="14"/>
  <c r="AE217" i="14"/>
  <c r="AE216" i="14"/>
  <c r="AE215" i="14"/>
  <c r="AE214" i="14"/>
  <c r="AE213" i="14"/>
  <c r="AE212" i="14"/>
  <c r="AE211" i="14"/>
  <c r="AE210" i="14"/>
  <c r="AE209" i="14"/>
  <c r="AE208" i="14"/>
  <c r="AE207" i="14"/>
  <c r="AE206" i="14"/>
  <c r="AE205" i="14"/>
  <c r="AE204" i="14"/>
  <c r="AE203" i="14"/>
  <c r="AE202" i="14"/>
  <c r="AE201" i="14"/>
  <c r="AE200" i="14"/>
  <c r="AE199" i="14"/>
  <c r="AE198" i="14"/>
  <c r="AE197" i="14"/>
  <c r="AE196" i="14"/>
  <c r="AE195" i="14"/>
  <c r="AE194" i="14"/>
  <c r="AE193" i="14"/>
  <c r="AE192" i="14"/>
  <c r="AE191" i="14"/>
  <c r="AE190" i="14"/>
  <c r="AE189" i="14"/>
  <c r="AE188" i="14"/>
  <c r="AE187" i="14"/>
  <c r="AE186" i="14"/>
  <c r="AE185" i="14"/>
  <c r="AE184" i="14"/>
  <c r="AE183" i="14"/>
  <c r="AE182" i="14"/>
  <c r="AE181" i="14"/>
  <c r="AE180" i="14"/>
  <c r="AE179" i="14"/>
  <c r="AE178" i="14"/>
  <c r="AE177" i="14"/>
  <c r="AE176" i="14"/>
  <c r="AE175" i="14"/>
  <c r="AE174" i="14"/>
  <c r="AE173" i="14"/>
  <c r="AE172" i="14"/>
  <c r="AE171" i="14"/>
  <c r="AE170" i="14"/>
  <c r="AE169" i="14"/>
  <c r="AE168" i="14"/>
  <c r="AE167" i="14"/>
  <c r="AE166" i="14"/>
  <c r="AE165" i="14"/>
  <c r="AE164" i="14"/>
  <c r="AE163" i="14"/>
  <c r="AE162" i="14"/>
  <c r="AE161" i="14"/>
  <c r="AE160" i="14"/>
  <c r="AE159" i="14"/>
  <c r="AE158" i="14"/>
  <c r="AE157" i="14"/>
  <c r="AE156" i="14"/>
  <c r="AE155" i="14"/>
  <c r="AE154" i="14"/>
  <c r="AE153" i="14"/>
  <c r="AE152" i="14"/>
  <c r="AE151" i="14"/>
  <c r="AE150" i="14"/>
  <c r="AE149" i="14"/>
  <c r="AE148" i="14"/>
  <c r="AE147" i="14"/>
  <c r="AE146" i="14"/>
  <c r="AE145" i="14"/>
  <c r="AE144" i="14"/>
  <c r="AE143" i="14"/>
  <c r="AE142" i="14"/>
  <c r="AE141" i="14"/>
  <c r="AE140" i="14"/>
  <c r="AE139" i="14"/>
  <c r="AE138" i="14"/>
  <c r="AE137" i="14"/>
  <c r="AE136" i="14"/>
  <c r="AE135" i="14"/>
  <c r="AE134" i="14"/>
  <c r="AE133" i="14"/>
  <c r="AE132" i="14"/>
  <c r="AE131" i="14"/>
  <c r="AE130" i="14"/>
  <c r="AE129" i="14"/>
  <c r="AE128" i="14"/>
  <c r="AE127" i="14"/>
  <c r="AE126" i="14"/>
  <c r="AE125" i="14"/>
  <c r="AE124" i="14"/>
  <c r="AE123" i="14"/>
  <c r="AE122" i="14"/>
  <c r="AE121" i="14"/>
  <c r="AE120" i="14"/>
  <c r="AE119" i="14"/>
  <c r="AE118" i="14"/>
  <c r="AE117" i="14"/>
  <c r="AE116" i="14"/>
  <c r="AE115" i="14"/>
  <c r="AE114" i="14"/>
  <c r="AE113" i="14"/>
  <c r="AE112" i="14"/>
  <c r="AE111" i="14"/>
  <c r="AE110" i="14"/>
  <c r="AE109" i="14"/>
  <c r="AE108" i="14"/>
  <c r="AE107" i="14"/>
  <c r="AE106" i="14"/>
  <c r="AE105" i="14"/>
  <c r="AE104" i="14"/>
  <c r="AE103" i="14"/>
  <c r="AE102" i="14"/>
  <c r="AE101" i="14"/>
  <c r="AE100" i="14"/>
  <c r="AE99" i="14"/>
  <c r="AE98" i="14"/>
  <c r="AE97" i="14"/>
  <c r="AE96" i="14"/>
  <c r="AE95" i="14"/>
  <c r="AE94" i="14"/>
  <c r="AE93" i="14"/>
  <c r="AE92" i="14"/>
  <c r="AE91" i="14"/>
  <c r="AE90" i="14"/>
  <c r="AE88" i="14"/>
  <c r="AE89" i="14"/>
  <c r="AE87" i="14"/>
  <c r="AE86" i="14"/>
  <c r="AE85" i="14"/>
  <c r="AE84" i="14"/>
  <c r="AE83" i="14"/>
  <c r="AE82" i="14"/>
  <c r="AE81" i="14"/>
  <c r="AE80" i="14"/>
  <c r="AE79" i="14"/>
  <c r="AE78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3" i="14"/>
  <c r="AE12" i="14"/>
  <c r="AE11" i="14"/>
  <c r="V172" i="10"/>
  <c r="S172" i="10"/>
  <c r="BB172" i="25"/>
  <c r="BL172" i="25" s="1"/>
  <c r="BB171" i="25"/>
  <c r="BL171" i="25" s="1"/>
  <c r="BB566" i="25"/>
  <c r="BL566" i="25" s="1"/>
  <c r="O566" i="26"/>
  <c r="K566" i="26"/>
  <c r="K565" i="26"/>
  <c r="O565" i="26"/>
  <c r="O503" i="26"/>
  <c r="O488" i="26"/>
  <c r="O440" i="26"/>
  <c r="O327" i="26"/>
  <c r="O314" i="26"/>
  <c r="O295" i="26"/>
  <c r="O172" i="26"/>
  <c r="K172" i="26"/>
  <c r="BB566" i="2"/>
  <c r="BL566" i="2" s="1"/>
  <c r="BN566" i="2" s="1"/>
  <c r="BB172" i="2"/>
  <c r="BL172" i="2" s="1"/>
  <c r="BN172" i="2" s="1"/>
  <c r="BV172" i="2" s="1"/>
  <c r="BA566" i="17"/>
  <c r="W618" i="16"/>
  <c r="W617" i="16"/>
  <c r="W616" i="16"/>
  <c r="W615" i="16"/>
  <c r="W614" i="16"/>
  <c r="W613" i="16"/>
  <c r="W612" i="16"/>
  <c r="W611" i="16"/>
  <c r="W610" i="16"/>
  <c r="W609" i="16"/>
  <c r="W608" i="16"/>
  <c r="W607" i="16"/>
  <c r="W606" i="16"/>
  <c r="W605" i="16"/>
  <c r="W604" i="16"/>
  <c r="W603" i="16"/>
  <c r="W602" i="16"/>
  <c r="W601" i="16"/>
  <c r="W600" i="16"/>
  <c r="W599" i="16"/>
  <c r="W598" i="16"/>
  <c r="W597" i="16"/>
  <c r="W596" i="16"/>
  <c r="W595" i="16"/>
  <c r="W594" i="16"/>
  <c r="W593" i="16"/>
  <c r="W592" i="16"/>
  <c r="W591" i="16"/>
  <c r="W590" i="16"/>
  <c r="W589" i="16"/>
  <c r="W588" i="16"/>
  <c r="W587" i="16"/>
  <c r="W586" i="16"/>
  <c r="W585" i="16"/>
  <c r="W584" i="16"/>
  <c r="W583" i="16"/>
  <c r="W582" i="16"/>
  <c r="W581" i="16"/>
  <c r="W580" i="16"/>
  <c r="W579" i="16"/>
  <c r="W578" i="16"/>
  <c r="W577" i="16"/>
  <c r="W576" i="16"/>
  <c r="W575" i="16"/>
  <c r="W574" i="16"/>
  <c r="W573" i="16"/>
  <c r="W572" i="16"/>
  <c r="W571" i="16"/>
  <c r="W570" i="16"/>
  <c r="W569" i="16"/>
  <c r="W568" i="16"/>
  <c r="W567" i="16"/>
  <c r="W566" i="16"/>
  <c r="W565" i="16"/>
  <c r="W564" i="16"/>
  <c r="W563" i="16"/>
  <c r="W562" i="16"/>
  <c r="W560" i="16"/>
  <c r="W559" i="16"/>
  <c r="W558" i="16"/>
  <c r="W557" i="16"/>
  <c r="W556" i="16"/>
  <c r="W555" i="16"/>
  <c r="W554" i="16"/>
  <c r="W553" i="16"/>
  <c r="W552" i="16"/>
  <c r="W551" i="16"/>
  <c r="W550" i="16"/>
  <c r="W549" i="16"/>
  <c r="W548" i="16"/>
  <c r="W547" i="16"/>
  <c r="W546" i="16"/>
  <c r="W545" i="16"/>
  <c r="W544" i="16"/>
  <c r="W543" i="16"/>
  <c r="W542" i="16"/>
  <c r="W541" i="16"/>
  <c r="W538" i="16"/>
  <c r="W537" i="16"/>
  <c r="W535" i="16"/>
  <c r="W534" i="16"/>
  <c r="W533" i="16"/>
  <c r="W532" i="16"/>
  <c r="W531" i="16"/>
  <c r="W530" i="16"/>
  <c r="W529" i="16"/>
  <c r="W528" i="16"/>
  <c r="W527" i="16"/>
  <c r="W526" i="16"/>
  <c r="W525" i="16"/>
  <c r="W524" i="16"/>
  <c r="W523" i="16"/>
  <c r="W522" i="16"/>
  <c r="W521" i="16"/>
  <c r="W520" i="16"/>
  <c r="W519" i="16"/>
  <c r="W518" i="16"/>
  <c r="W517" i="16"/>
  <c r="W516" i="16"/>
  <c r="W515" i="16"/>
  <c r="W514" i="16"/>
  <c r="W513" i="16"/>
  <c r="W512" i="16"/>
  <c r="W511" i="16"/>
  <c r="W510" i="16"/>
  <c r="W509" i="16"/>
  <c r="W508" i="16"/>
  <c r="W507" i="16"/>
  <c r="W506" i="16"/>
  <c r="W505" i="16"/>
  <c r="W504" i="16"/>
  <c r="W503" i="16"/>
  <c r="W502" i="16"/>
  <c r="W501" i="16"/>
  <c r="W500" i="16"/>
  <c r="W499" i="16"/>
  <c r="W498" i="16"/>
  <c r="W497" i="16"/>
  <c r="W496" i="16"/>
  <c r="W495" i="16"/>
  <c r="W494" i="16"/>
  <c r="W493" i="16"/>
  <c r="W492" i="16"/>
  <c r="W491" i="16"/>
  <c r="W490" i="16"/>
  <c r="W489" i="16"/>
  <c r="W488" i="16"/>
  <c r="W487" i="16"/>
  <c r="W486" i="16"/>
  <c r="W485" i="16"/>
  <c r="W484" i="16"/>
  <c r="W483" i="16"/>
  <c r="W482" i="16"/>
  <c r="W481" i="16"/>
  <c r="W480" i="16"/>
  <c r="W479" i="16"/>
  <c r="W478" i="16"/>
  <c r="W477" i="16"/>
  <c r="W476" i="16"/>
  <c r="W475" i="16"/>
  <c r="W474" i="16"/>
  <c r="W473" i="16"/>
  <c r="W472" i="16"/>
  <c r="W471" i="16"/>
  <c r="W470" i="16"/>
  <c r="W469" i="16"/>
  <c r="W468" i="16"/>
  <c r="W467" i="16"/>
  <c r="W466" i="16"/>
  <c r="W465" i="16"/>
  <c r="W464" i="16"/>
  <c r="W463" i="16"/>
  <c r="W462" i="16"/>
  <c r="W461" i="16"/>
  <c r="W460" i="16"/>
  <c r="W459" i="16"/>
  <c r="W458" i="16"/>
  <c r="W457" i="16"/>
  <c r="W455" i="16"/>
  <c r="W454" i="16"/>
  <c r="W453" i="16"/>
  <c r="W452" i="16"/>
  <c r="W451" i="16"/>
  <c r="W450" i="16"/>
  <c r="W449" i="16"/>
  <c r="W448" i="16"/>
  <c r="W447" i="16"/>
  <c r="W446" i="16"/>
  <c r="W445" i="16"/>
  <c r="W444" i="16"/>
  <c r="W443" i="16"/>
  <c r="W442" i="16"/>
  <c r="W441" i="16"/>
  <c r="W440" i="16"/>
  <c r="W439" i="16"/>
  <c r="W438" i="16"/>
  <c r="W437" i="16"/>
  <c r="W436" i="16"/>
  <c r="W435" i="16"/>
  <c r="W434" i="16"/>
  <c r="W433" i="16"/>
  <c r="W432" i="16"/>
  <c r="W431" i="16"/>
  <c r="W430" i="16"/>
  <c r="W429" i="16"/>
  <c r="W428" i="16"/>
  <c r="W427" i="16"/>
  <c r="W426" i="16"/>
  <c r="W425" i="16"/>
  <c r="W424" i="16"/>
  <c r="W423" i="16"/>
  <c r="W422" i="16"/>
  <c r="W421" i="16"/>
  <c r="W420" i="16"/>
  <c r="W419" i="16"/>
  <c r="W418" i="16"/>
  <c r="W417" i="16"/>
  <c r="W416" i="16"/>
  <c r="W414" i="16"/>
  <c r="W412" i="16"/>
  <c r="W411" i="16"/>
  <c r="W410" i="16"/>
  <c r="W408" i="16"/>
  <c r="W407" i="16"/>
  <c r="W406" i="16"/>
  <c r="W405" i="16"/>
  <c r="W404" i="16"/>
  <c r="W403" i="16"/>
  <c r="W402" i="16"/>
  <c r="W401" i="16"/>
  <c r="W399" i="16"/>
  <c r="W398" i="16"/>
  <c r="W397" i="16"/>
  <c r="W396" i="16"/>
  <c r="W395" i="16"/>
  <c r="W394" i="16"/>
  <c r="W393" i="16"/>
  <c r="W392" i="16"/>
  <c r="W391" i="16"/>
  <c r="W390" i="16"/>
  <c r="W389" i="16"/>
  <c r="W388" i="16"/>
  <c r="W387" i="16"/>
  <c r="W386" i="16"/>
  <c r="W385" i="16"/>
  <c r="W384" i="16"/>
  <c r="W383" i="16"/>
  <c r="W382" i="16"/>
  <c r="W381" i="16"/>
  <c r="W380" i="16"/>
  <c r="W379" i="16"/>
  <c r="W378" i="16"/>
  <c r="W377" i="16"/>
  <c r="W376" i="16"/>
  <c r="W375" i="16"/>
  <c r="W374" i="16"/>
  <c r="W373" i="16"/>
  <c r="W372" i="16"/>
  <c r="M618" i="16"/>
  <c r="M617" i="16"/>
  <c r="M616" i="16"/>
  <c r="M615" i="16"/>
  <c r="M614" i="16"/>
  <c r="M613" i="16"/>
  <c r="M612" i="16"/>
  <c r="M611" i="16"/>
  <c r="M610" i="16"/>
  <c r="M609" i="16"/>
  <c r="M608" i="16"/>
  <c r="M607" i="16"/>
  <c r="M606" i="16"/>
  <c r="M605" i="16"/>
  <c r="M604" i="16"/>
  <c r="M603" i="16"/>
  <c r="M602" i="16"/>
  <c r="M601" i="16"/>
  <c r="M600" i="16"/>
  <c r="M599" i="16"/>
  <c r="M598" i="16"/>
  <c r="M597" i="16"/>
  <c r="M596" i="16"/>
  <c r="M595" i="16"/>
  <c r="M594" i="16"/>
  <c r="M593" i="16"/>
  <c r="M592" i="16"/>
  <c r="M591" i="16"/>
  <c r="M590" i="16"/>
  <c r="M589" i="16"/>
  <c r="M588" i="16"/>
  <c r="M587" i="16"/>
  <c r="M586" i="16"/>
  <c r="M585" i="16"/>
  <c r="M584" i="16"/>
  <c r="M583" i="16"/>
  <c r="M582" i="16"/>
  <c r="M581" i="16"/>
  <c r="M580" i="16"/>
  <c r="M579" i="16"/>
  <c r="M578" i="16"/>
  <c r="M577" i="16"/>
  <c r="M576" i="16"/>
  <c r="M575" i="16"/>
  <c r="M574" i="16"/>
  <c r="M573" i="16"/>
  <c r="M572" i="16"/>
  <c r="M571" i="16"/>
  <c r="M570" i="16"/>
  <c r="M569" i="16"/>
  <c r="M568" i="16"/>
  <c r="M567" i="16"/>
  <c r="M566" i="16"/>
  <c r="M565" i="16"/>
  <c r="M564" i="16"/>
  <c r="M563" i="16"/>
  <c r="M562" i="16"/>
  <c r="M561" i="16"/>
  <c r="M559" i="16"/>
  <c r="M558" i="16"/>
  <c r="M557" i="16"/>
  <c r="M556" i="16"/>
  <c r="M555" i="16"/>
  <c r="M554" i="16"/>
  <c r="M553" i="16"/>
  <c r="M552" i="16"/>
  <c r="M551" i="16"/>
  <c r="M550" i="16"/>
  <c r="M549" i="16"/>
  <c r="M548" i="16"/>
  <c r="M547" i="16"/>
  <c r="M546" i="16"/>
  <c r="M545" i="16"/>
  <c r="M544" i="16"/>
  <c r="M543" i="16"/>
  <c r="M542" i="16"/>
  <c r="M541" i="16"/>
  <c r="M540" i="16"/>
  <c r="M539" i="16"/>
  <c r="M538" i="16"/>
  <c r="M537" i="16"/>
  <c r="M536" i="16"/>
  <c r="M535" i="16"/>
  <c r="M534" i="16"/>
  <c r="M533" i="16"/>
  <c r="M532" i="16"/>
  <c r="M531" i="16"/>
  <c r="M530" i="16"/>
  <c r="M529" i="16"/>
  <c r="M528" i="16"/>
  <c r="M527" i="16"/>
  <c r="M526" i="16"/>
  <c r="M525" i="16"/>
  <c r="M524" i="16"/>
  <c r="M523" i="16"/>
  <c r="M522" i="16"/>
  <c r="M521" i="16"/>
  <c r="M520" i="16"/>
  <c r="M519" i="16"/>
  <c r="M518" i="16"/>
  <c r="M517" i="16"/>
  <c r="M516" i="16"/>
  <c r="M515" i="16"/>
  <c r="M514" i="16"/>
  <c r="M513" i="16"/>
  <c r="M512" i="16"/>
  <c r="M511" i="16"/>
  <c r="M510" i="16"/>
  <c r="M509" i="16"/>
  <c r="M508" i="16"/>
  <c r="M507" i="16"/>
  <c r="M506" i="16"/>
  <c r="M505" i="16"/>
  <c r="M504" i="16"/>
  <c r="M503" i="16"/>
  <c r="M502" i="16"/>
  <c r="M501" i="16"/>
  <c r="M500" i="16"/>
  <c r="M499" i="16"/>
  <c r="M498" i="16"/>
  <c r="M497" i="16"/>
  <c r="M496" i="16"/>
  <c r="M495" i="16"/>
  <c r="M494" i="16"/>
  <c r="M493" i="16"/>
  <c r="M492" i="16"/>
  <c r="M491" i="16"/>
  <c r="M490" i="16"/>
  <c r="M489" i="16"/>
  <c r="M488" i="16"/>
  <c r="M487" i="16"/>
  <c r="M486" i="16"/>
  <c r="M485" i="16"/>
  <c r="M484" i="16"/>
  <c r="M483" i="16"/>
  <c r="M482" i="16"/>
  <c r="M481" i="16"/>
  <c r="M480" i="16"/>
  <c r="M479" i="16"/>
  <c r="M478" i="16"/>
  <c r="M477" i="16"/>
  <c r="M476" i="16"/>
  <c r="M475" i="16"/>
  <c r="M474" i="16"/>
  <c r="M473" i="16"/>
  <c r="M472" i="16"/>
  <c r="M471" i="16"/>
  <c r="M470" i="16"/>
  <c r="M469" i="16"/>
  <c r="M468" i="16"/>
  <c r="M467" i="16"/>
  <c r="M466" i="16"/>
  <c r="M465" i="16"/>
  <c r="M464" i="16"/>
  <c r="M463" i="16"/>
  <c r="M462" i="16"/>
  <c r="M461" i="16"/>
  <c r="M460" i="16"/>
  <c r="M459" i="16"/>
  <c r="M458" i="16"/>
  <c r="M457" i="16"/>
  <c r="M455" i="16"/>
  <c r="M454" i="16"/>
  <c r="M453" i="16"/>
  <c r="M452" i="16"/>
  <c r="M451" i="16"/>
  <c r="M450" i="16"/>
  <c r="M449" i="16"/>
  <c r="M448" i="16"/>
  <c r="M447" i="16"/>
  <c r="M446" i="16"/>
  <c r="M445" i="16"/>
  <c r="M444" i="16"/>
  <c r="M443" i="16"/>
  <c r="M442" i="16"/>
  <c r="M441" i="16"/>
  <c r="M440" i="16"/>
  <c r="M439" i="16"/>
  <c r="M438" i="16"/>
  <c r="M437" i="16"/>
  <c r="M436" i="16"/>
  <c r="M435" i="16"/>
  <c r="M434" i="16"/>
  <c r="M433" i="16"/>
  <c r="M432" i="16"/>
  <c r="M431" i="16"/>
  <c r="M430" i="16"/>
  <c r="M429" i="16"/>
  <c r="M428" i="16"/>
  <c r="M427" i="16"/>
  <c r="M426" i="16"/>
  <c r="M425" i="16"/>
  <c r="M424" i="16"/>
  <c r="M423" i="16"/>
  <c r="M422" i="16"/>
  <c r="M421" i="16"/>
  <c r="M420" i="16"/>
  <c r="M419" i="16"/>
  <c r="M418" i="16"/>
  <c r="M417" i="16"/>
  <c r="M416" i="16"/>
  <c r="M414" i="16"/>
  <c r="M412" i="16"/>
  <c r="M411" i="16"/>
  <c r="M410" i="16"/>
  <c r="M408" i="16"/>
  <c r="M407" i="16"/>
  <c r="M406" i="16"/>
  <c r="M405" i="16"/>
  <c r="M404" i="16"/>
  <c r="M403" i="16"/>
  <c r="M402" i="16"/>
  <c r="M401" i="16"/>
  <c r="M399" i="16"/>
  <c r="M398" i="16"/>
  <c r="M397" i="16"/>
  <c r="M396" i="16"/>
  <c r="M395" i="16"/>
  <c r="M394" i="16"/>
  <c r="M393" i="16"/>
  <c r="M392" i="16"/>
  <c r="M391" i="16"/>
  <c r="M390" i="16"/>
  <c r="M389" i="16"/>
  <c r="M388" i="16"/>
  <c r="M387" i="16"/>
  <c r="M386" i="16"/>
  <c r="M385" i="16"/>
  <c r="M384" i="16"/>
  <c r="M383" i="16"/>
  <c r="M382" i="16"/>
  <c r="M381" i="16"/>
  <c r="M380" i="16"/>
  <c r="M379" i="16"/>
  <c r="M378" i="16"/>
  <c r="M377" i="16"/>
  <c r="M376" i="16"/>
  <c r="M375" i="16"/>
  <c r="M374" i="16"/>
  <c r="M373" i="16"/>
  <c r="M372" i="16"/>
  <c r="M371" i="16"/>
  <c r="M370" i="16"/>
  <c r="M369" i="16"/>
  <c r="M368" i="16"/>
  <c r="M366" i="16"/>
  <c r="M365" i="16"/>
  <c r="M364" i="16"/>
  <c r="M363" i="16"/>
  <c r="M362" i="16"/>
  <c r="M361" i="16"/>
  <c r="M360" i="16"/>
  <c r="M359" i="16"/>
  <c r="M358" i="16"/>
  <c r="M357" i="16"/>
  <c r="M356" i="16"/>
  <c r="M355" i="16"/>
  <c r="M354" i="16"/>
  <c r="M353" i="16"/>
  <c r="M352" i="16"/>
  <c r="M351" i="16"/>
  <c r="M350" i="16"/>
  <c r="M349" i="16"/>
  <c r="M348" i="16"/>
  <c r="M347" i="16"/>
  <c r="M345" i="16"/>
  <c r="M344" i="16"/>
  <c r="M343" i="16"/>
  <c r="M342" i="16"/>
  <c r="M341" i="16"/>
  <c r="M340" i="16"/>
  <c r="M339" i="16"/>
  <c r="M338" i="16"/>
  <c r="M337" i="16"/>
  <c r="M336" i="16"/>
  <c r="M335" i="16"/>
  <c r="M334" i="16"/>
  <c r="M333" i="16"/>
  <c r="M332" i="16"/>
  <c r="M331" i="16"/>
  <c r="M330" i="16"/>
  <c r="M329" i="16"/>
  <c r="M328" i="16"/>
  <c r="M327" i="16"/>
  <c r="M326" i="16"/>
  <c r="M325" i="16"/>
  <c r="M324" i="16"/>
  <c r="M323" i="16"/>
  <c r="M322" i="16"/>
  <c r="M321" i="16"/>
  <c r="M320" i="16"/>
  <c r="M319" i="16"/>
  <c r="M317" i="16"/>
  <c r="M316" i="16"/>
  <c r="M315" i="16"/>
  <c r="M314" i="16"/>
  <c r="M313" i="16"/>
  <c r="M312" i="16"/>
  <c r="M311" i="16"/>
  <c r="M310" i="16"/>
  <c r="M309" i="16"/>
  <c r="M308" i="16"/>
  <c r="M307" i="16"/>
  <c r="M306" i="16"/>
  <c r="M305" i="16"/>
  <c r="M304" i="16"/>
  <c r="M303" i="16"/>
  <c r="M302" i="16"/>
  <c r="M301" i="16"/>
  <c r="M300" i="16"/>
  <c r="M299" i="16"/>
  <c r="M298" i="16"/>
  <c r="M297" i="16"/>
  <c r="M296" i="16"/>
  <c r="M295" i="16"/>
  <c r="M294" i="16"/>
  <c r="M293" i="16"/>
  <c r="M289" i="16"/>
  <c r="M292" i="16"/>
  <c r="M291" i="16"/>
  <c r="M288" i="16"/>
  <c r="M287" i="16"/>
  <c r="M285" i="16"/>
  <c r="M284" i="16"/>
  <c r="M283" i="16"/>
  <c r="M282" i="16"/>
  <c r="M281" i="16"/>
  <c r="M280" i="16"/>
  <c r="M279" i="16"/>
  <c r="M278" i="16"/>
  <c r="M277" i="16"/>
  <c r="M276" i="16"/>
  <c r="M275" i="16"/>
  <c r="M274" i="16"/>
  <c r="M273" i="16"/>
  <c r="M272" i="16"/>
  <c r="M271" i="16"/>
  <c r="M270" i="16"/>
  <c r="M269" i="16"/>
  <c r="M268" i="16"/>
  <c r="M267" i="16"/>
  <c r="M266" i="16"/>
  <c r="M265" i="16"/>
  <c r="M264" i="16"/>
  <c r="M263" i="16"/>
  <c r="M262" i="16"/>
  <c r="M261" i="16"/>
  <c r="M260" i="16"/>
  <c r="M259" i="16"/>
  <c r="M258" i="16"/>
  <c r="M257" i="16"/>
  <c r="M256" i="16"/>
  <c r="M255" i="16"/>
  <c r="M254" i="16"/>
  <c r="M253" i="16"/>
  <c r="M252" i="16"/>
  <c r="M251" i="16"/>
  <c r="M250" i="16"/>
  <c r="M249" i="16"/>
  <c r="M248" i="16"/>
  <c r="M247" i="16"/>
  <c r="M246" i="16"/>
  <c r="M245" i="16"/>
  <c r="M244" i="16"/>
  <c r="M243" i="16"/>
  <c r="M242" i="16"/>
  <c r="M241" i="16"/>
  <c r="M240" i="16"/>
  <c r="M239" i="16"/>
  <c r="M238" i="16"/>
  <c r="M237" i="16"/>
  <c r="M236" i="16"/>
  <c r="M235" i="16"/>
  <c r="M234" i="16"/>
  <c r="M233" i="16"/>
  <c r="M232" i="16"/>
  <c r="M231" i="16"/>
  <c r="M230" i="16"/>
  <c r="M229" i="16"/>
  <c r="M228" i="16"/>
  <c r="M227" i="16"/>
  <c r="M226" i="16"/>
  <c r="M225" i="16"/>
  <c r="M224" i="16"/>
  <c r="M223" i="16"/>
  <c r="M222" i="16"/>
  <c r="M221" i="16"/>
  <c r="M220" i="16"/>
  <c r="M219" i="16"/>
  <c r="M218" i="16"/>
  <c r="M217" i="16"/>
  <c r="M216" i="16"/>
  <c r="M215" i="16"/>
  <c r="M214" i="16"/>
  <c r="M213" i="16"/>
  <c r="M212" i="16"/>
  <c r="M211" i="16"/>
  <c r="M210" i="16"/>
  <c r="M209" i="16"/>
  <c r="M208" i="16"/>
  <c r="M207" i="16"/>
  <c r="M206" i="16"/>
  <c r="M205" i="16"/>
  <c r="M204" i="16"/>
  <c r="M203" i="16"/>
  <c r="M202" i="16"/>
  <c r="M201" i="16"/>
  <c r="M200" i="16"/>
  <c r="M199" i="16"/>
  <c r="M198" i="16"/>
  <c r="M197" i="16"/>
  <c r="M196" i="16"/>
  <c r="M195" i="16"/>
  <c r="M194" i="16"/>
  <c r="M193" i="16"/>
  <c r="M192" i="16"/>
  <c r="M191" i="16"/>
  <c r="M190" i="16"/>
  <c r="M189" i="16"/>
  <c r="M188" i="16"/>
  <c r="M187" i="16"/>
  <c r="M186" i="16"/>
  <c r="M185" i="16"/>
  <c r="M184" i="16"/>
  <c r="M183" i="16"/>
  <c r="M182" i="16"/>
  <c r="M181" i="16"/>
  <c r="M180" i="16"/>
  <c r="M179" i="16"/>
  <c r="M178" i="16"/>
  <c r="M177" i="16"/>
  <c r="M176" i="16"/>
  <c r="M175" i="16"/>
  <c r="M174" i="16"/>
  <c r="M173" i="16"/>
  <c r="M172" i="16"/>
  <c r="M171" i="16"/>
  <c r="M170" i="16"/>
  <c r="M169" i="16"/>
  <c r="M168" i="16"/>
  <c r="M167" i="16"/>
  <c r="M166" i="16"/>
  <c r="M165" i="16"/>
  <c r="M164" i="16"/>
  <c r="M163" i="16"/>
  <c r="M162" i="16"/>
  <c r="M161" i="16"/>
  <c r="M160" i="16"/>
  <c r="M159" i="16"/>
  <c r="M158" i="16"/>
  <c r="M157" i="16"/>
  <c r="M156" i="16"/>
  <c r="M155" i="16"/>
  <c r="M154" i="16"/>
  <c r="M153" i="16"/>
  <c r="M152" i="16"/>
  <c r="M151" i="16"/>
  <c r="M150" i="16"/>
  <c r="M149" i="16"/>
  <c r="M148" i="16"/>
  <c r="M147" i="16"/>
  <c r="M146" i="16"/>
  <c r="M145" i="16"/>
  <c r="M144" i="16"/>
  <c r="M143" i="16"/>
  <c r="M142" i="16"/>
  <c r="M141" i="16"/>
  <c r="M140" i="16"/>
  <c r="M139" i="16"/>
  <c r="M138" i="16"/>
  <c r="M137" i="16"/>
  <c r="M136" i="16"/>
  <c r="M135" i="16"/>
  <c r="M134" i="16"/>
  <c r="M133" i="16"/>
  <c r="M132" i="16"/>
  <c r="M131" i="16"/>
  <c r="M130" i="16"/>
  <c r="M129" i="16"/>
  <c r="M128" i="16"/>
  <c r="M127" i="16"/>
  <c r="M126" i="16"/>
  <c r="M125" i="16"/>
  <c r="M124" i="16"/>
  <c r="M123" i="16"/>
  <c r="M122" i="16"/>
  <c r="M121" i="16"/>
  <c r="M120" i="16"/>
  <c r="M119" i="16"/>
  <c r="M118" i="16"/>
  <c r="M117" i="16"/>
  <c r="M116" i="16"/>
  <c r="M115" i="16"/>
  <c r="M114" i="16"/>
  <c r="M113" i="16"/>
  <c r="M112" i="16"/>
  <c r="M111" i="16"/>
  <c r="M110" i="16"/>
  <c r="M109" i="16"/>
  <c r="M108" i="16"/>
  <c r="M107" i="16"/>
  <c r="M106" i="16"/>
  <c r="M105" i="16"/>
  <c r="M104" i="16"/>
  <c r="M103" i="16"/>
  <c r="M102" i="16"/>
  <c r="M101" i="16"/>
  <c r="M100" i="16"/>
  <c r="M99" i="16"/>
  <c r="M98" i="16"/>
  <c r="M97" i="16"/>
  <c r="M96" i="16"/>
  <c r="M95" i="16"/>
  <c r="M94" i="16"/>
  <c r="M93" i="16"/>
  <c r="M92" i="16"/>
  <c r="M91" i="16"/>
  <c r="M90" i="16"/>
  <c r="M88" i="16"/>
  <c r="M89" i="16"/>
  <c r="M87" i="16"/>
  <c r="M86" i="16"/>
  <c r="M85" i="16"/>
  <c r="M84" i="16"/>
  <c r="M83" i="16"/>
  <c r="M82" i="16"/>
  <c r="M81" i="16"/>
  <c r="M80" i="16"/>
  <c r="M79" i="16"/>
  <c r="M78" i="16"/>
  <c r="M77" i="16"/>
  <c r="M76" i="16"/>
  <c r="M75" i="16"/>
  <c r="M74" i="16"/>
  <c r="M73" i="16"/>
  <c r="M72" i="16"/>
  <c r="M71" i="16"/>
  <c r="M70" i="16"/>
  <c r="M69" i="16"/>
  <c r="M68" i="16"/>
  <c r="M67" i="16"/>
  <c r="M66" i="16"/>
  <c r="M65" i="16"/>
  <c r="M64" i="16"/>
  <c r="M63" i="16"/>
  <c r="M62" i="16"/>
  <c r="M61" i="16"/>
  <c r="M60" i="16"/>
  <c r="M59" i="16"/>
  <c r="M58" i="16"/>
  <c r="M57" i="16"/>
  <c r="M56" i="16"/>
  <c r="M55" i="16"/>
  <c r="M54" i="16"/>
  <c r="M53" i="16"/>
  <c r="M52" i="16"/>
  <c r="M51" i="16"/>
  <c r="M50" i="16"/>
  <c r="M49" i="16"/>
  <c r="M48" i="16"/>
  <c r="M47" i="16"/>
  <c r="M46" i="16"/>
  <c r="M45" i="16"/>
  <c r="M44" i="16"/>
  <c r="M42" i="16"/>
  <c r="M41" i="16"/>
  <c r="M40" i="16"/>
  <c r="M39" i="16"/>
  <c r="M38" i="16"/>
  <c r="M37" i="16"/>
  <c r="M36" i="16"/>
  <c r="M35" i="16"/>
  <c r="M34" i="16"/>
  <c r="M33" i="16"/>
  <c r="AA618" i="10"/>
  <c r="AA617" i="10"/>
  <c r="AA616" i="10"/>
  <c r="AA615" i="10"/>
  <c r="AA614" i="10"/>
  <c r="AA613" i="10"/>
  <c r="AA612" i="10"/>
  <c r="AA611" i="10"/>
  <c r="AA610" i="10"/>
  <c r="AA609" i="10"/>
  <c r="AA608" i="10"/>
  <c r="AA607" i="10"/>
  <c r="AA606" i="10"/>
  <c r="AA605" i="10"/>
  <c r="AA604" i="10"/>
  <c r="AA603" i="10"/>
  <c r="AA602" i="10"/>
  <c r="AA601" i="10"/>
  <c r="AA600" i="10"/>
  <c r="AA599" i="10"/>
  <c r="AA598" i="10"/>
  <c r="AA597" i="10"/>
  <c r="AA596" i="10"/>
  <c r="AA595" i="10"/>
  <c r="AA594" i="10"/>
  <c r="AA593" i="10"/>
  <c r="AA592" i="10"/>
  <c r="AA591" i="10"/>
  <c r="AA590" i="10"/>
  <c r="AA589" i="10"/>
  <c r="AA588" i="10"/>
  <c r="AA587" i="10"/>
  <c r="AA586" i="10"/>
  <c r="AA585" i="10"/>
  <c r="AA584" i="10"/>
  <c r="AA583" i="10"/>
  <c r="AA582" i="10"/>
  <c r="AA581" i="10"/>
  <c r="AA580" i="10"/>
  <c r="AA579" i="10"/>
  <c r="AA578" i="10"/>
  <c r="AA577" i="10"/>
  <c r="AA576" i="10"/>
  <c r="AA575" i="10"/>
  <c r="AA574" i="10"/>
  <c r="AA573" i="10"/>
  <c r="AA572" i="10"/>
  <c r="AA571" i="10"/>
  <c r="AA570" i="10"/>
  <c r="AA569" i="10"/>
  <c r="AA568" i="10"/>
  <c r="AA567" i="10"/>
  <c r="AA566" i="10"/>
  <c r="AA565" i="10"/>
  <c r="AA564" i="10"/>
  <c r="AA563" i="10"/>
  <c r="AA562" i="10"/>
  <c r="AA561" i="10"/>
  <c r="AA560" i="10"/>
  <c r="AA559" i="10"/>
  <c r="AA558" i="10"/>
  <c r="AA557" i="10"/>
  <c r="AA556" i="10"/>
  <c r="AA555" i="10"/>
  <c r="AA554" i="10"/>
  <c r="AA553" i="10"/>
  <c r="AA552" i="10"/>
  <c r="AA551" i="10"/>
  <c r="AA550" i="10"/>
  <c r="AA549" i="10"/>
  <c r="AA548" i="10"/>
  <c r="AA547" i="10"/>
  <c r="AA546" i="10"/>
  <c r="AA545" i="10"/>
  <c r="AA544" i="10"/>
  <c r="AA543" i="10"/>
  <c r="AA542" i="10"/>
  <c r="AA541" i="10"/>
  <c r="AA540" i="10"/>
  <c r="AA539" i="10"/>
  <c r="AA538" i="10"/>
  <c r="AA537" i="10"/>
  <c r="AA536" i="10"/>
  <c r="AA535" i="10"/>
  <c r="AA534" i="10"/>
  <c r="AA533" i="10"/>
  <c r="AA532" i="10"/>
  <c r="AA531" i="10"/>
  <c r="AA530" i="10"/>
  <c r="AA529" i="10"/>
  <c r="AA528" i="10"/>
  <c r="AA527" i="10"/>
  <c r="AA526" i="10"/>
  <c r="AA525" i="10"/>
  <c r="AA524" i="10"/>
  <c r="AA523" i="10"/>
  <c r="AA522" i="10"/>
  <c r="AA521" i="10"/>
  <c r="AA520" i="10"/>
  <c r="AA519" i="10"/>
  <c r="AA518" i="10"/>
  <c r="AA517" i="10"/>
  <c r="AA516" i="10"/>
  <c r="AA515" i="10"/>
  <c r="AA514" i="10"/>
  <c r="AA513" i="10"/>
  <c r="AA512" i="10"/>
  <c r="AA511" i="10"/>
  <c r="AA510" i="10"/>
  <c r="AA509" i="10"/>
  <c r="AA508" i="10"/>
  <c r="AA507" i="10"/>
  <c r="AA506" i="10"/>
  <c r="AA505" i="10"/>
  <c r="AA504" i="10"/>
  <c r="AA503" i="10"/>
  <c r="AA502" i="10"/>
  <c r="AA501" i="10"/>
  <c r="AA500" i="10"/>
  <c r="AA499" i="10"/>
  <c r="AA498" i="10"/>
  <c r="AA497" i="10"/>
  <c r="AA496" i="10"/>
  <c r="AA495" i="10"/>
  <c r="AA494" i="10"/>
  <c r="AA493" i="10"/>
  <c r="AA492" i="10"/>
  <c r="AA491" i="10"/>
  <c r="AA490" i="10"/>
  <c r="AA489" i="10"/>
  <c r="AA488" i="10"/>
  <c r="AA487" i="10"/>
  <c r="AA486" i="10"/>
  <c r="AA485" i="10"/>
  <c r="AA484" i="10"/>
  <c r="AA483" i="10"/>
  <c r="AA482" i="10"/>
  <c r="AA481" i="10"/>
  <c r="AA480" i="10"/>
  <c r="AA479" i="10"/>
  <c r="AA478" i="10"/>
  <c r="AA477" i="10"/>
  <c r="AA476" i="10"/>
  <c r="AA475" i="10"/>
  <c r="AA474" i="10"/>
  <c r="AA473" i="10"/>
  <c r="AA472" i="10"/>
  <c r="AA471" i="10"/>
  <c r="AA470" i="10"/>
  <c r="AA469" i="10"/>
  <c r="AA468" i="10"/>
  <c r="AA467" i="10"/>
  <c r="AA466" i="10"/>
  <c r="AA465" i="10"/>
  <c r="AA464" i="10"/>
  <c r="AA463" i="10"/>
  <c r="AA462" i="10"/>
  <c r="AA461" i="10"/>
  <c r="AA460" i="10"/>
  <c r="AA459" i="10"/>
  <c r="AA458" i="10"/>
  <c r="AA457" i="10"/>
  <c r="AA455" i="10"/>
  <c r="AA454" i="10"/>
  <c r="AA453" i="10"/>
  <c r="AA452" i="10"/>
  <c r="AA451" i="10"/>
  <c r="AA450" i="10"/>
  <c r="AA449" i="10"/>
  <c r="AA448" i="10"/>
  <c r="AA447" i="10"/>
  <c r="AA446" i="10"/>
  <c r="AA445" i="10"/>
  <c r="AA444" i="10"/>
  <c r="AA443" i="10"/>
  <c r="AA442" i="10"/>
  <c r="AA441" i="10"/>
  <c r="AA440" i="10"/>
  <c r="AA439" i="10"/>
  <c r="AA438" i="10"/>
  <c r="AA437" i="10"/>
  <c r="AA436" i="10"/>
  <c r="AA435" i="10"/>
  <c r="AA434" i="10"/>
  <c r="AA433" i="10"/>
  <c r="AA432" i="10"/>
  <c r="AA431" i="10"/>
  <c r="AA430" i="10"/>
  <c r="AA429" i="10"/>
  <c r="AA428" i="10"/>
  <c r="AA427" i="10"/>
  <c r="AA426" i="10"/>
  <c r="AA425" i="10"/>
  <c r="AA424" i="10"/>
  <c r="AA423" i="10"/>
  <c r="AA422" i="10"/>
  <c r="AA421" i="10"/>
  <c r="AA420" i="10"/>
  <c r="AA419" i="10"/>
  <c r="AA418" i="10"/>
  <c r="AA417" i="10"/>
  <c r="AA416" i="10"/>
  <c r="AA414" i="10"/>
  <c r="AA412" i="10"/>
  <c r="AA411" i="10"/>
  <c r="AA410" i="10"/>
  <c r="AA408" i="10"/>
  <c r="AA407" i="10"/>
  <c r="AA406" i="10"/>
  <c r="AA405" i="10"/>
  <c r="AA404" i="10"/>
  <c r="AA403" i="10"/>
  <c r="AA402" i="10"/>
  <c r="AA401" i="10"/>
  <c r="AA399" i="10"/>
  <c r="AA398" i="10"/>
  <c r="AA397" i="10"/>
  <c r="AA396" i="10"/>
  <c r="AA395" i="10"/>
  <c r="AA394" i="10"/>
  <c r="AA393" i="10"/>
  <c r="AA392" i="10"/>
  <c r="AA391" i="10"/>
  <c r="AA390" i="10"/>
  <c r="AA389" i="10"/>
  <c r="AA388" i="10"/>
  <c r="AA387" i="10"/>
  <c r="AA386" i="10"/>
  <c r="AA385" i="10"/>
  <c r="AA384" i="10"/>
  <c r="AA383" i="10"/>
  <c r="AA382" i="10"/>
  <c r="AA381" i="10"/>
  <c r="AA380" i="10"/>
  <c r="AA379" i="10"/>
  <c r="AA378" i="10"/>
  <c r="AA377" i="10"/>
  <c r="AA376" i="10"/>
  <c r="AA375" i="10"/>
  <c r="AA374" i="10"/>
  <c r="AA373" i="10"/>
  <c r="AA372" i="10"/>
  <c r="AA371" i="10"/>
  <c r="AA370" i="10"/>
  <c r="AA369" i="10"/>
  <c r="AA368" i="10"/>
  <c r="AA366" i="10"/>
  <c r="AA365" i="10"/>
  <c r="AA364" i="10"/>
  <c r="AA363" i="10"/>
  <c r="AA362" i="10"/>
  <c r="AA361" i="10"/>
  <c r="AA360" i="10"/>
  <c r="AA359" i="10"/>
  <c r="AA358" i="10"/>
  <c r="AA357" i="10"/>
  <c r="AA356" i="10"/>
  <c r="AA355" i="10"/>
  <c r="AA354" i="10"/>
  <c r="AA353" i="10"/>
  <c r="AA352" i="10"/>
  <c r="AA351" i="10"/>
  <c r="AA350" i="10"/>
  <c r="AA349" i="10"/>
  <c r="AA348" i="10"/>
  <c r="AA347" i="10"/>
  <c r="AA345" i="10"/>
  <c r="AA344" i="10"/>
  <c r="AA343" i="10"/>
  <c r="AA342" i="10"/>
  <c r="AA341" i="10"/>
  <c r="AA340" i="10"/>
  <c r="AA339" i="10"/>
  <c r="AA338" i="10"/>
  <c r="AA337" i="10"/>
  <c r="AA336" i="10"/>
  <c r="AA335" i="10"/>
  <c r="AA334" i="10"/>
  <c r="AA333" i="10"/>
  <c r="AA332" i="10"/>
  <c r="AA331" i="10"/>
  <c r="AA330" i="10"/>
  <c r="AA329" i="10"/>
  <c r="AA328" i="10"/>
  <c r="AA327" i="10"/>
  <c r="AA326" i="10"/>
  <c r="AA325" i="10"/>
  <c r="AA324" i="10"/>
  <c r="AA323" i="10"/>
  <c r="AA322" i="10"/>
  <c r="AA321" i="10"/>
  <c r="AA320" i="10"/>
  <c r="AA319" i="10"/>
  <c r="AA317" i="10"/>
  <c r="AA316" i="10"/>
  <c r="AA315" i="10"/>
  <c r="AA314" i="10"/>
  <c r="AA313" i="10"/>
  <c r="AA312" i="10"/>
  <c r="AA311" i="10"/>
  <c r="AA310" i="10"/>
  <c r="AA309" i="10"/>
  <c r="AA308" i="10"/>
  <c r="AA307" i="10"/>
  <c r="AA306" i="10"/>
  <c r="AA305" i="10"/>
  <c r="AA304" i="10"/>
  <c r="AA303" i="10"/>
  <c r="AA302" i="10"/>
  <c r="AA301" i="10"/>
  <c r="AA300" i="10"/>
  <c r="AA299" i="10"/>
  <c r="AA298" i="10"/>
  <c r="AA297" i="10"/>
  <c r="AA296" i="10"/>
  <c r="AA295" i="10"/>
  <c r="AA294" i="10"/>
  <c r="AA293" i="10"/>
  <c r="AA289" i="10"/>
  <c r="AA292" i="10"/>
  <c r="AA291" i="10"/>
  <c r="AA290" i="10"/>
  <c r="AA288" i="10"/>
  <c r="AA287" i="10"/>
  <c r="AA285" i="10"/>
  <c r="AA284" i="10"/>
  <c r="AA283" i="10"/>
  <c r="AA282" i="10"/>
  <c r="AA281" i="10"/>
  <c r="AA280" i="10"/>
  <c r="AA279" i="10"/>
  <c r="AA278" i="10"/>
  <c r="AA277" i="10"/>
  <c r="AA276" i="10"/>
  <c r="AA275" i="10"/>
  <c r="AA274" i="10"/>
  <c r="AA273" i="10"/>
  <c r="AA272" i="10"/>
  <c r="AA271" i="10"/>
  <c r="AA270" i="10"/>
  <c r="AA269" i="10"/>
  <c r="AA268" i="10"/>
  <c r="AA267" i="10"/>
  <c r="AA266" i="10"/>
  <c r="AA265" i="10"/>
  <c r="AA264" i="10"/>
  <c r="AA263" i="10"/>
  <c r="AA262" i="10"/>
  <c r="AA261" i="10"/>
  <c r="AA260" i="10"/>
  <c r="AA259" i="10"/>
  <c r="AA258" i="10"/>
  <c r="AA257" i="10"/>
  <c r="AA256" i="10"/>
  <c r="AA255" i="10"/>
  <c r="AA254" i="10"/>
  <c r="AA253" i="10"/>
  <c r="AA252" i="10"/>
  <c r="AA251" i="10"/>
  <c r="AA250" i="10"/>
  <c r="AA249" i="10"/>
  <c r="AA248" i="10"/>
  <c r="AA247" i="10"/>
  <c r="AA246" i="10"/>
  <c r="AA245" i="10"/>
  <c r="AA244" i="10"/>
  <c r="AA243" i="10"/>
  <c r="AA242" i="10"/>
  <c r="AA241" i="10"/>
  <c r="AA240" i="10"/>
  <c r="AA239" i="10"/>
  <c r="AA238" i="10"/>
  <c r="AA237" i="10"/>
  <c r="AA236" i="10"/>
  <c r="AA235" i="10"/>
  <c r="AA234" i="10"/>
  <c r="AA233" i="10"/>
  <c r="AA232" i="10"/>
  <c r="AA231" i="10"/>
  <c r="AA230" i="10"/>
  <c r="AA229" i="10"/>
  <c r="AA228" i="10"/>
  <c r="AA227" i="10"/>
  <c r="AA226" i="10"/>
  <c r="AA225" i="10"/>
  <c r="AA224" i="10"/>
  <c r="AA223" i="10"/>
  <c r="AA222" i="10"/>
  <c r="AA221" i="10"/>
  <c r="AA220" i="10"/>
  <c r="AA219" i="10"/>
  <c r="AA218" i="10"/>
  <c r="AA217" i="10"/>
  <c r="AA216" i="10"/>
  <c r="AA215" i="10"/>
  <c r="AA214" i="10"/>
  <c r="AA213" i="10"/>
  <c r="AA212" i="10"/>
  <c r="AA211" i="10"/>
  <c r="AA210" i="10"/>
  <c r="AA209" i="10"/>
  <c r="AA208" i="10"/>
  <c r="AA207" i="10"/>
  <c r="AA206" i="10"/>
  <c r="AA205" i="10"/>
  <c r="AA204" i="10"/>
  <c r="AA203" i="10"/>
  <c r="AA202" i="10"/>
  <c r="AA201" i="10"/>
  <c r="AA200" i="10"/>
  <c r="AA199" i="10"/>
  <c r="AA198" i="10"/>
  <c r="AA197" i="10"/>
  <c r="AA196" i="10"/>
  <c r="AA195" i="10"/>
  <c r="AA194" i="10"/>
  <c r="AA193" i="10"/>
  <c r="AA192" i="10"/>
  <c r="AA191" i="10"/>
  <c r="AA190" i="10"/>
  <c r="AA189" i="10"/>
  <c r="AA188" i="10"/>
  <c r="AA187" i="10"/>
  <c r="AA186" i="10"/>
  <c r="AA185" i="10"/>
  <c r="AA184" i="10"/>
  <c r="AA183" i="10"/>
  <c r="AA182" i="10"/>
  <c r="AA181" i="10"/>
  <c r="AA180" i="10"/>
  <c r="AA179" i="10"/>
  <c r="AA178" i="10"/>
  <c r="AA177" i="10"/>
  <c r="AA176" i="10"/>
  <c r="AA175" i="10"/>
  <c r="AA174" i="10"/>
  <c r="AA173" i="10"/>
  <c r="AA172" i="10"/>
  <c r="AA171" i="10"/>
  <c r="AA170" i="10"/>
  <c r="AA169" i="10"/>
  <c r="AA168" i="10"/>
  <c r="AA167" i="10"/>
  <c r="AA166" i="10"/>
  <c r="AA165" i="10"/>
  <c r="AA164" i="10"/>
  <c r="AA163" i="10"/>
  <c r="AA162" i="10"/>
  <c r="AA161" i="10"/>
  <c r="AA160" i="10"/>
  <c r="AA159" i="10"/>
  <c r="AA158" i="10"/>
  <c r="AA157" i="10"/>
  <c r="AA156" i="10"/>
  <c r="AA155" i="10"/>
  <c r="AA154" i="10"/>
  <c r="AA153" i="10"/>
  <c r="AA152" i="10"/>
  <c r="AA151" i="10"/>
  <c r="AA150" i="10"/>
  <c r="AA149" i="10"/>
  <c r="AA148" i="10"/>
  <c r="AA147" i="10"/>
  <c r="AA146" i="10"/>
  <c r="AA145" i="10"/>
  <c r="AA144" i="10"/>
  <c r="AA143" i="10"/>
  <c r="AA142" i="10"/>
  <c r="AA141" i="10"/>
  <c r="AA140" i="10"/>
  <c r="AA139" i="10"/>
  <c r="AA138" i="10"/>
  <c r="AA137" i="10"/>
  <c r="AA136" i="10"/>
  <c r="AA135" i="10"/>
  <c r="AA134" i="10"/>
  <c r="AA133" i="10"/>
  <c r="AA132" i="10"/>
  <c r="AA131" i="10"/>
  <c r="AA130" i="10"/>
  <c r="AA129" i="10"/>
  <c r="AA128" i="10"/>
  <c r="AA127" i="10"/>
  <c r="AA126" i="10"/>
  <c r="AA125" i="10"/>
  <c r="AA124" i="10"/>
  <c r="AA123" i="10"/>
  <c r="AA122" i="10"/>
  <c r="AA121" i="10"/>
  <c r="AA120" i="10"/>
  <c r="AA119" i="10"/>
  <c r="AA118" i="10"/>
  <c r="AA117" i="10"/>
  <c r="AA116" i="10"/>
  <c r="AA115" i="10"/>
  <c r="AA114" i="10"/>
  <c r="AA113" i="10"/>
  <c r="AA112" i="10"/>
  <c r="AA111" i="10"/>
  <c r="AA110" i="10"/>
  <c r="AA109" i="10"/>
  <c r="AA108" i="10"/>
  <c r="AA107" i="10"/>
  <c r="AA106" i="10"/>
  <c r="AA105" i="10"/>
  <c r="AA104" i="10"/>
  <c r="AA103" i="10"/>
  <c r="AA102" i="10"/>
  <c r="AA101" i="10"/>
  <c r="AA100" i="10"/>
  <c r="AA99" i="10"/>
  <c r="AA98" i="10"/>
  <c r="AA97" i="10"/>
  <c r="AA96" i="10"/>
  <c r="AA95" i="10"/>
  <c r="AA94" i="10"/>
  <c r="AA93" i="10"/>
  <c r="AA92" i="10"/>
  <c r="AA91" i="10"/>
  <c r="AA90" i="10"/>
  <c r="AA88" i="10"/>
  <c r="AA89" i="10"/>
  <c r="AA87" i="10"/>
  <c r="AA86" i="10"/>
  <c r="AA85" i="10"/>
  <c r="AA84" i="10"/>
  <c r="AA83" i="10"/>
  <c r="AA82" i="10"/>
  <c r="AA81" i="10"/>
  <c r="AA80" i="10"/>
  <c r="AA79" i="10"/>
  <c r="AA78" i="10"/>
  <c r="AA77" i="10"/>
  <c r="AA76" i="10"/>
  <c r="AA75" i="10"/>
  <c r="AA74" i="10"/>
  <c r="AA73" i="10"/>
  <c r="AA72" i="10"/>
  <c r="AA71" i="10"/>
  <c r="AA70" i="10"/>
  <c r="AA69" i="10"/>
  <c r="AA68" i="10"/>
  <c r="AA67" i="10"/>
  <c r="AA66" i="10"/>
  <c r="AA65" i="10"/>
  <c r="AA64" i="10"/>
  <c r="AA63" i="10"/>
  <c r="AA62" i="10"/>
  <c r="AA61" i="10"/>
  <c r="AA60" i="10"/>
  <c r="AA59" i="10"/>
  <c r="AA58" i="10"/>
  <c r="AA57" i="10"/>
  <c r="AA56" i="10"/>
  <c r="AA55" i="10"/>
  <c r="AA54" i="10"/>
  <c r="AA53" i="10"/>
  <c r="AA52" i="10"/>
  <c r="AA51" i="10"/>
  <c r="AA50" i="10"/>
  <c r="AA49" i="10"/>
  <c r="AA48" i="10"/>
  <c r="AA47" i="10"/>
  <c r="AA46" i="10"/>
  <c r="AA45" i="10"/>
  <c r="AA44" i="10"/>
  <c r="AA42" i="10"/>
  <c r="AA41" i="10"/>
  <c r="AA40" i="10"/>
  <c r="AA39" i="10"/>
  <c r="AA38" i="10"/>
  <c r="AA37" i="10"/>
  <c r="AA36" i="10"/>
  <c r="AA35" i="10"/>
  <c r="AA34" i="10"/>
  <c r="AA33" i="10"/>
  <c r="AA32" i="10"/>
  <c r="AA31" i="10"/>
  <c r="AA30" i="10"/>
  <c r="AA29" i="10"/>
  <c r="AA28" i="10"/>
  <c r="AA27" i="10"/>
  <c r="AA26" i="10"/>
  <c r="AA25" i="10"/>
  <c r="AA24" i="10"/>
  <c r="AA23" i="10"/>
  <c r="AA22" i="10"/>
  <c r="AA21" i="10"/>
  <c r="AA20" i="10"/>
  <c r="AA19" i="10"/>
  <c r="AA18" i="10"/>
  <c r="AA17" i="10"/>
  <c r="AA16" i="10"/>
  <c r="AA15" i="10"/>
  <c r="AA14" i="10"/>
  <c r="AA13" i="10"/>
  <c r="AA12" i="10"/>
  <c r="AA11" i="10"/>
  <c r="Z618" i="10"/>
  <c r="Z617" i="10"/>
  <c r="Z616" i="10"/>
  <c r="Z615" i="10"/>
  <c r="Z614" i="10"/>
  <c r="Z613" i="10"/>
  <c r="Z612" i="10"/>
  <c r="Z611" i="10"/>
  <c r="Z610" i="10"/>
  <c r="Z609" i="10"/>
  <c r="Z608" i="10"/>
  <c r="Z607" i="10"/>
  <c r="Z606" i="10"/>
  <c r="Z605" i="10"/>
  <c r="Z604" i="10"/>
  <c r="Z603" i="10"/>
  <c r="Z602" i="10"/>
  <c r="Z601" i="10"/>
  <c r="Z600" i="10"/>
  <c r="Z599" i="10"/>
  <c r="Z598" i="10"/>
  <c r="Z597" i="10"/>
  <c r="Z596" i="10"/>
  <c r="Z595" i="10"/>
  <c r="Z594" i="10"/>
  <c r="Z593" i="10"/>
  <c r="Z592" i="10"/>
  <c r="Z591" i="10"/>
  <c r="Z590" i="10"/>
  <c r="Z589" i="10"/>
  <c r="Z588" i="10"/>
  <c r="Z587" i="10"/>
  <c r="Z586" i="10"/>
  <c r="Z585" i="10"/>
  <c r="Z584" i="10"/>
  <c r="Z583" i="10"/>
  <c r="Z582" i="10"/>
  <c r="Z581" i="10"/>
  <c r="Z580" i="10"/>
  <c r="Z579" i="10"/>
  <c r="Z578" i="10"/>
  <c r="Z577" i="10"/>
  <c r="Z576" i="10"/>
  <c r="Z575" i="10"/>
  <c r="Z574" i="10"/>
  <c r="Z573" i="10"/>
  <c r="Z572" i="10"/>
  <c r="Z571" i="10"/>
  <c r="Z570" i="10"/>
  <c r="Z569" i="10"/>
  <c r="Z568" i="10"/>
  <c r="Z567" i="10"/>
  <c r="Z566" i="10"/>
  <c r="Z565" i="10"/>
  <c r="Z564" i="10"/>
  <c r="Z563" i="10"/>
  <c r="Z562" i="10"/>
  <c r="Z561" i="10"/>
  <c r="Z560" i="10"/>
  <c r="Z559" i="10"/>
  <c r="Z558" i="10"/>
  <c r="Z557" i="10"/>
  <c r="Z556" i="10"/>
  <c r="Z555" i="10"/>
  <c r="Z554" i="10"/>
  <c r="Z553" i="10"/>
  <c r="Z552" i="10"/>
  <c r="Z551" i="10"/>
  <c r="Z550" i="10"/>
  <c r="Z549" i="10"/>
  <c r="Z548" i="10"/>
  <c r="Z547" i="10"/>
  <c r="Z546" i="10"/>
  <c r="Z545" i="10"/>
  <c r="Z544" i="10"/>
  <c r="Z543" i="10"/>
  <c r="Z542" i="10"/>
  <c r="Z541" i="10"/>
  <c r="Z540" i="10"/>
  <c r="Z539" i="10"/>
  <c r="Z538" i="10"/>
  <c r="Z537" i="10"/>
  <c r="Z536" i="10"/>
  <c r="Z535" i="10"/>
  <c r="Z534" i="10"/>
  <c r="Z533" i="10"/>
  <c r="Z532" i="10"/>
  <c r="Z531" i="10"/>
  <c r="Z530" i="10"/>
  <c r="Z529" i="10"/>
  <c r="Z528" i="10"/>
  <c r="Z527" i="10"/>
  <c r="Z526" i="10"/>
  <c r="Z525" i="10"/>
  <c r="Z524" i="10"/>
  <c r="Z523" i="10"/>
  <c r="Z522" i="10"/>
  <c r="Z521" i="10"/>
  <c r="Z520" i="10"/>
  <c r="Z519" i="10"/>
  <c r="Z518" i="10"/>
  <c r="Z517" i="10"/>
  <c r="Z516" i="10"/>
  <c r="Z515" i="10"/>
  <c r="Z514" i="10"/>
  <c r="Z513" i="10"/>
  <c r="Z512" i="10"/>
  <c r="Z511" i="10"/>
  <c r="Z510" i="10"/>
  <c r="Z509" i="10"/>
  <c r="Z508" i="10"/>
  <c r="Z507" i="10"/>
  <c r="Z506" i="10"/>
  <c r="Z505" i="10"/>
  <c r="Z504" i="10"/>
  <c r="Z503" i="10"/>
  <c r="Z502" i="10"/>
  <c r="Z501" i="10"/>
  <c r="Z500" i="10"/>
  <c r="Z499" i="10"/>
  <c r="Z498" i="10"/>
  <c r="Z497" i="10"/>
  <c r="Z496" i="10"/>
  <c r="Z495" i="10"/>
  <c r="Z494" i="10"/>
  <c r="Z493" i="10"/>
  <c r="Z492" i="10"/>
  <c r="Z491" i="10"/>
  <c r="Z490" i="10"/>
  <c r="Z489" i="10"/>
  <c r="Z488" i="10"/>
  <c r="Z487" i="10"/>
  <c r="Z486" i="10"/>
  <c r="Z485" i="10"/>
  <c r="Z484" i="10"/>
  <c r="Z483" i="10"/>
  <c r="Z482" i="10"/>
  <c r="Z481" i="10"/>
  <c r="Z480" i="10"/>
  <c r="Z479" i="10"/>
  <c r="Z478" i="10"/>
  <c r="Z477" i="10"/>
  <c r="Z476" i="10"/>
  <c r="Z475" i="10"/>
  <c r="Z474" i="10"/>
  <c r="Z473" i="10"/>
  <c r="Z472" i="10"/>
  <c r="Z471" i="10"/>
  <c r="Z470" i="10"/>
  <c r="Z469" i="10"/>
  <c r="Z468" i="10"/>
  <c r="Z467" i="10"/>
  <c r="Z466" i="10"/>
  <c r="Z465" i="10"/>
  <c r="Z464" i="10"/>
  <c r="Z463" i="10"/>
  <c r="Z462" i="10"/>
  <c r="Z461" i="10"/>
  <c r="Z460" i="10"/>
  <c r="Z459" i="10"/>
  <c r="Z458" i="10"/>
  <c r="Z457" i="10"/>
  <c r="Z455" i="10"/>
  <c r="Z454" i="10"/>
  <c r="Z453" i="10"/>
  <c r="Z452" i="10"/>
  <c r="Z451" i="10"/>
  <c r="Z450" i="10"/>
  <c r="Z449" i="10"/>
  <c r="Z448" i="10"/>
  <c r="Z447" i="10"/>
  <c r="Z446" i="10"/>
  <c r="Z445" i="10"/>
  <c r="Z444" i="10"/>
  <c r="Z443" i="10"/>
  <c r="Z442" i="10"/>
  <c r="Z441" i="10"/>
  <c r="Z440" i="10"/>
  <c r="Z439" i="10"/>
  <c r="Z438" i="10"/>
  <c r="Z437" i="10"/>
  <c r="Z436" i="10"/>
  <c r="Z435" i="10"/>
  <c r="Z434" i="10"/>
  <c r="Z433" i="10"/>
  <c r="Z432" i="10"/>
  <c r="Z431" i="10"/>
  <c r="Z430" i="10"/>
  <c r="Z429" i="10"/>
  <c r="Z428" i="10"/>
  <c r="Z427" i="10"/>
  <c r="Z426" i="10"/>
  <c r="Z425" i="10"/>
  <c r="Z424" i="10"/>
  <c r="Z423" i="10"/>
  <c r="Z422" i="10"/>
  <c r="Z421" i="10"/>
  <c r="Z420" i="10"/>
  <c r="Z419" i="10"/>
  <c r="Z418" i="10"/>
  <c r="Z417" i="10"/>
  <c r="Z416" i="10"/>
  <c r="Z414" i="10"/>
  <c r="Z412" i="10"/>
  <c r="Z411" i="10"/>
  <c r="Z410" i="10"/>
  <c r="Z408" i="10"/>
  <c r="Z407" i="10"/>
  <c r="Z406" i="10"/>
  <c r="Z405" i="10"/>
  <c r="Z404" i="10"/>
  <c r="Z403" i="10"/>
  <c r="Z402" i="10"/>
  <c r="Z401" i="10"/>
  <c r="Z399" i="10"/>
  <c r="Z398" i="10"/>
  <c r="Z397" i="10"/>
  <c r="Z396" i="10"/>
  <c r="Z395" i="10"/>
  <c r="Z394" i="10"/>
  <c r="Z393" i="10"/>
  <c r="Z392" i="10"/>
  <c r="Z391" i="10"/>
  <c r="Z390" i="10"/>
  <c r="Z389" i="10"/>
  <c r="Z388" i="10"/>
  <c r="Z387" i="10"/>
  <c r="Z386" i="10"/>
  <c r="Z385" i="10"/>
  <c r="Z384" i="10"/>
  <c r="Z383" i="10"/>
  <c r="Z382" i="10"/>
  <c r="Z381" i="10"/>
  <c r="Z380" i="10"/>
  <c r="Z379" i="10"/>
  <c r="Z378" i="10"/>
  <c r="Z377" i="10"/>
  <c r="Z376" i="10"/>
  <c r="Z375" i="10"/>
  <c r="Z374" i="10"/>
  <c r="Z373" i="10"/>
  <c r="Z372" i="10"/>
  <c r="Z371" i="10"/>
  <c r="Z370" i="10"/>
  <c r="Z369" i="10"/>
  <c r="Z368" i="10"/>
  <c r="Z366" i="10"/>
  <c r="Z365" i="10"/>
  <c r="Z364" i="10"/>
  <c r="Z363" i="10"/>
  <c r="Z362" i="10"/>
  <c r="Z361" i="10"/>
  <c r="Z360" i="10"/>
  <c r="Z359" i="10"/>
  <c r="Z358" i="10"/>
  <c r="Z357" i="10"/>
  <c r="Z356" i="10"/>
  <c r="Z355" i="10"/>
  <c r="Z354" i="10"/>
  <c r="Z353" i="10"/>
  <c r="Z352" i="10"/>
  <c r="Z351" i="10"/>
  <c r="Z350" i="10"/>
  <c r="Z349" i="10"/>
  <c r="Z348" i="10"/>
  <c r="Z347" i="10"/>
  <c r="Z345" i="10"/>
  <c r="Z344" i="10"/>
  <c r="Z343" i="10"/>
  <c r="Z342" i="10"/>
  <c r="Z341" i="10"/>
  <c r="Z340" i="10"/>
  <c r="Z339" i="10"/>
  <c r="Z338" i="10"/>
  <c r="Z337" i="10"/>
  <c r="Z336" i="10"/>
  <c r="Z335" i="10"/>
  <c r="Z334" i="10"/>
  <c r="Z333" i="10"/>
  <c r="Z332" i="10"/>
  <c r="Z331" i="10"/>
  <c r="Z330" i="10"/>
  <c r="Z329" i="10"/>
  <c r="Z328" i="10"/>
  <c r="Z327" i="10"/>
  <c r="Z326" i="10"/>
  <c r="Z325" i="10"/>
  <c r="Z324" i="10"/>
  <c r="Z323" i="10"/>
  <c r="Z322" i="10"/>
  <c r="Z321" i="10"/>
  <c r="Z320" i="10"/>
  <c r="Z319" i="10"/>
  <c r="Z317" i="10"/>
  <c r="Z316" i="10"/>
  <c r="Z315" i="10"/>
  <c r="Z314" i="10"/>
  <c r="Z313" i="10"/>
  <c r="Z312" i="10"/>
  <c r="Z311" i="10"/>
  <c r="Z310" i="10"/>
  <c r="Z309" i="10"/>
  <c r="Z308" i="10"/>
  <c r="Z307" i="10"/>
  <c r="Z306" i="10"/>
  <c r="Z305" i="10"/>
  <c r="Z304" i="10"/>
  <c r="Z303" i="10"/>
  <c r="Z302" i="10"/>
  <c r="Z301" i="10"/>
  <c r="Z300" i="10"/>
  <c r="Z299" i="10"/>
  <c r="Z298" i="10"/>
  <c r="Z297" i="10"/>
  <c r="Z296" i="10"/>
  <c r="Z295" i="10"/>
  <c r="Z294" i="10"/>
  <c r="Z293" i="10"/>
  <c r="Z289" i="10"/>
  <c r="Z292" i="10"/>
  <c r="Z291" i="10"/>
  <c r="Z290" i="10"/>
  <c r="Z288" i="10"/>
  <c r="Z287" i="10"/>
  <c r="Z285" i="10"/>
  <c r="Z284" i="10"/>
  <c r="Z283" i="10"/>
  <c r="Z282" i="10"/>
  <c r="Z281" i="10"/>
  <c r="Z280" i="10"/>
  <c r="Z279" i="10"/>
  <c r="Z278" i="10"/>
  <c r="Z277" i="10"/>
  <c r="Z276" i="10"/>
  <c r="Z275" i="10"/>
  <c r="Z274" i="10"/>
  <c r="Z273" i="10"/>
  <c r="Z272" i="10"/>
  <c r="Z271" i="10"/>
  <c r="Z270" i="10"/>
  <c r="Z269" i="10"/>
  <c r="Z268" i="10"/>
  <c r="Z267" i="10"/>
  <c r="Z266" i="10"/>
  <c r="Z265" i="10"/>
  <c r="Z264" i="10"/>
  <c r="Z263" i="10"/>
  <c r="Z262" i="10"/>
  <c r="Z261" i="10"/>
  <c r="Z260" i="10"/>
  <c r="Z259" i="10"/>
  <c r="Z258" i="10"/>
  <c r="Z257" i="10"/>
  <c r="Z256" i="10"/>
  <c r="Z255" i="10"/>
  <c r="Z254" i="10"/>
  <c r="Z253" i="10"/>
  <c r="Z252" i="10"/>
  <c r="Z251" i="10"/>
  <c r="Z250" i="10"/>
  <c r="Z249" i="10"/>
  <c r="Z248" i="10"/>
  <c r="Z247" i="10"/>
  <c r="Z246" i="10"/>
  <c r="Z245" i="10"/>
  <c r="Z244" i="10"/>
  <c r="Z243" i="10"/>
  <c r="Z242" i="10"/>
  <c r="Z241" i="10"/>
  <c r="Z240" i="10"/>
  <c r="Z239" i="10"/>
  <c r="Z238" i="10"/>
  <c r="Z237" i="10"/>
  <c r="Z236" i="10"/>
  <c r="Z235" i="10"/>
  <c r="Z234" i="10"/>
  <c r="Z233" i="10"/>
  <c r="Z232" i="10"/>
  <c r="Z231" i="10"/>
  <c r="Z230" i="10"/>
  <c r="Z229" i="10"/>
  <c r="Z228" i="10"/>
  <c r="Z227" i="10"/>
  <c r="Z226" i="10"/>
  <c r="Z225" i="10"/>
  <c r="Z224" i="10"/>
  <c r="Z223" i="10"/>
  <c r="Z222" i="10"/>
  <c r="Z221" i="10"/>
  <c r="Z220" i="10"/>
  <c r="Z219" i="10"/>
  <c r="Z218" i="10"/>
  <c r="Z217" i="10"/>
  <c r="Z216" i="10"/>
  <c r="Z215" i="10"/>
  <c r="Z214" i="10"/>
  <c r="Z213" i="10"/>
  <c r="Z212" i="10"/>
  <c r="Z211" i="10"/>
  <c r="Z210" i="10"/>
  <c r="Z209" i="10"/>
  <c r="Z208" i="10"/>
  <c r="Z207" i="10"/>
  <c r="Z206" i="10"/>
  <c r="Z205" i="10"/>
  <c r="Z204" i="10"/>
  <c r="Z203" i="10"/>
  <c r="Z202" i="10"/>
  <c r="Z201" i="10"/>
  <c r="Z200" i="10"/>
  <c r="Z199" i="10"/>
  <c r="Z198" i="10"/>
  <c r="Z197" i="10"/>
  <c r="Z196" i="10"/>
  <c r="Z195" i="10"/>
  <c r="Z194" i="10"/>
  <c r="Z193" i="10"/>
  <c r="Z192" i="10"/>
  <c r="Z191" i="10"/>
  <c r="Z190" i="10"/>
  <c r="Z189" i="10"/>
  <c r="Z188" i="10"/>
  <c r="Z187" i="10"/>
  <c r="Z186" i="10"/>
  <c r="Z185" i="10"/>
  <c r="Z184" i="10"/>
  <c r="Z183" i="10"/>
  <c r="Z182" i="10"/>
  <c r="Z181" i="10"/>
  <c r="Z180" i="10"/>
  <c r="Z179" i="10"/>
  <c r="Z178" i="10"/>
  <c r="Z177" i="10"/>
  <c r="Z176" i="10"/>
  <c r="Z175" i="10"/>
  <c r="Z174" i="10"/>
  <c r="Z173" i="10"/>
  <c r="Z172" i="10"/>
  <c r="Z171" i="10"/>
  <c r="Z170" i="10"/>
  <c r="Z169" i="10"/>
  <c r="Z168" i="10"/>
  <c r="Z167" i="10"/>
  <c r="Z166" i="10"/>
  <c r="Z165" i="10"/>
  <c r="Z164" i="10"/>
  <c r="Z163" i="10"/>
  <c r="Z162" i="10"/>
  <c r="Z161" i="10"/>
  <c r="Z160" i="10"/>
  <c r="Z159" i="10"/>
  <c r="Z158" i="10"/>
  <c r="Z157" i="10"/>
  <c r="Z156" i="10"/>
  <c r="Z155" i="10"/>
  <c r="Z154" i="10"/>
  <c r="Z153" i="10"/>
  <c r="Z152" i="10"/>
  <c r="Z151" i="10"/>
  <c r="Z150" i="10"/>
  <c r="Z149" i="10"/>
  <c r="Z148" i="10"/>
  <c r="Z147" i="10"/>
  <c r="Z146" i="10"/>
  <c r="Z145" i="10"/>
  <c r="Z144" i="10"/>
  <c r="Z143" i="10"/>
  <c r="Z142" i="10"/>
  <c r="Z141" i="10"/>
  <c r="Z140" i="10"/>
  <c r="Z139" i="10"/>
  <c r="Z138" i="10"/>
  <c r="Z137" i="10"/>
  <c r="Z136" i="10"/>
  <c r="Z135" i="10"/>
  <c r="Z134" i="10"/>
  <c r="Z133" i="10"/>
  <c r="Z132" i="10"/>
  <c r="Z131" i="10"/>
  <c r="Z130" i="10"/>
  <c r="Z129" i="10"/>
  <c r="Z128" i="10"/>
  <c r="Z127" i="10"/>
  <c r="Z126" i="10"/>
  <c r="Z125" i="10"/>
  <c r="Z124" i="10"/>
  <c r="Z123" i="10"/>
  <c r="Z122" i="10"/>
  <c r="Z121" i="10"/>
  <c r="Z120" i="10"/>
  <c r="Z119" i="10"/>
  <c r="Z118" i="10"/>
  <c r="Z117" i="10"/>
  <c r="Z116" i="10"/>
  <c r="Z115" i="10"/>
  <c r="Z114" i="10"/>
  <c r="Z113" i="10"/>
  <c r="Z112" i="10"/>
  <c r="Z111" i="10"/>
  <c r="Z110" i="10"/>
  <c r="Z109" i="10"/>
  <c r="Z108" i="10"/>
  <c r="Z107" i="10"/>
  <c r="Z106" i="10"/>
  <c r="Z105" i="10"/>
  <c r="Z104" i="10"/>
  <c r="Z103" i="10"/>
  <c r="Z102" i="10"/>
  <c r="Z101" i="10"/>
  <c r="Z100" i="10"/>
  <c r="Z99" i="10"/>
  <c r="Z98" i="10"/>
  <c r="Z97" i="10"/>
  <c r="Z96" i="10"/>
  <c r="Z95" i="10"/>
  <c r="Z94" i="10"/>
  <c r="Z93" i="10"/>
  <c r="Z92" i="10"/>
  <c r="Z91" i="10"/>
  <c r="Z90" i="10"/>
  <c r="Z88" i="10"/>
  <c r="Z89" i="10"/>
  <c r="Z87" i="10"/>
  <c r="Z86" i="10"/>
  <c r="Z85" i="10"/>
  <c r="Z84" i="10"/>
  <c r="Z83" i="10"/>
  <c r="Z82" i="10"/>
  <c r="Z81" i="10"/>
  <c r="Z80" i="10"/>
  <c r="Z79" i="10"/>
  <c r="Z78" i="10"/>
  <c r="Z77" i="10"/>
  <c r="Z76" i="10"/>
  <c r="Z75" i="10"/>
  <c r="Z74" i="10"/>
  <c r="Z73" i="10"/>
  <c r="Z72" i="10"/>
  <c r="Z71" i="10"/>
  <c r="Z70" i="10"/>
  <c r="Z69" i="10"/>
  <c r="Z68" i="10"/>
  <c r="Z67" i="10"/>
  <c r="Z66" i="10"/>
  <c r="Z65" i="10"/>
  <c r="Z64" i="10"/>
  <c r="Z63" i="10"/>
  <c r="Z62" i="10"/>
  <c r="Z61" i="10"/>
  <c r="Z60" i="10"/>
  <c r="Z59" i="10"/>
  <c r="Z58" i="10"/>
  <c r="Z57" i="10"/>
  <c r="Z56" i="10"/>
  <c r="Z55" i="10"/>
  <c r="Z54" i="10"/>
  <c r="Z53" i="10"/>
  <c r="Z52" i="10"/>
  <c r="Z51" i="10"/>
  <c r="Z50" i="10"/>
  <c r="Z49" i="10"/>
  <c r="Z48" i="10"/>
  <c r="Z47" i="10"/>
  <c r="Z46" i="10"/>
  <c r="Z45" i="10"/>
  <c r="Z44" i="10"/>
  <c r="Z42" i="10"/>
  <c r="Z41" i="10"/>
  <c r="Z40" i="10"/>
  <c r="Z39" i="10"/>
  <c r="Z38" i="10"/>
  <c r="Z37" i="10"/>
  <c r="Z36" i="10"/>
  <c r="Z35" i="10"/>
  <c r="Z34" i="10"/>
  <c r="Z33" i="10"/>
  <c r="Z32" i="10"/>
  <c r="Z31" i="10"/>
  <c r="Z30" i="10"/>
  <c r="Z29" i="10"/>
  <c r="Z28" i="10"/>
  <c r="Z27" i="10"/>
  <c r="Z26" i="10"/>
  <c r="Z25" i="10"/>
  <c r="Z24" i="10"/>
  <c r="Z23" i="10"/>
  <c r="Z22" i="10"/>
  <c r="Z21" i="10"/>
  <c r="Z20" i="10"/>
  <c r="Z19" i="10"/>
  <c r="Z18" i="10"/>
  <c r="Z17" i="10"/>
  <c r="Z16" i="10"/>
  <c r="Z15" i="10"/>
  <c r="Z14" i="10"/>
  <c r="Z13" i="10"/>
  <c r="Z12" i="10"/>
  <c r="Z11" i="10"/>
  <c r="CD618" i="25"/>
  <c r="CD617" i="25"/>
  <c r="CD616" i="25"/>
  <c r="CD615" i="25"/>
  <c r="CD614" i="25"/>
  <c r="CD613" i="25"/>
  <c r="CD612" i="25"/>
  <c r="CD611" i="25"/>
  <c r="CD610" i="25"/>
  <c r="CD609" i="25"/>
  <c r="CD608" i="25"/>
  <c r="CD607" i="25"/>
  <c r="CD606" i="25"/>
  <c r="CD605" i="25"/>
  <c r="CD604" i="25"/>
  <c r="CD603" i="25"/>
  <c r="CD602" i="25"/>
  <c r="CD601" i="25"/>
  <c r="CD600" i="25"/>
  <c r="CD599" i="25"/>
  <c r="CD598" i="25"/>
  <c r="CD597" i="25"/>
  <c r="CD596" i="25"/>
  <c r="CD595" i="25"/>
  <c r="CD594" i="25"/>
  <c r="CD593" i="25"/>
  <c r="CD592" i="25"/>
  <c r="CD591" i="25"/>
  <c r="CD590" i="25"/>
  <c r="CD589" i="25"/>
  <c r="CD588" i="25"/>
  <c r="CD587" i="25"/>
  <c r="CD586" i="25"/>
  <c r="CD585" i="25"/>
  <c r="CD584" i="25"/>
  <c r="CD583" i="25"/>
  <c r="CD582" i="25"/>
  <c r="CD581" i="25"/>
  <c r="CD580" i="25"/>
  <c r="CD579" i="25"/>
  <c r="CD578" i="25"/>
  <c r="CD577" i="25"/>
  <c r="CD576" i="25"/>
  <c r="CD575" i="25"/>
  <c r="CD574" i="25"/>
  <c r="CD573" i="25"/>
  <c r="CD572" i="25"/>
  <c r="CD571" i="25"/>
  <c r="CD570" i="25"/>
  <c r="CD569" i="25"/>
  <c r="CD568" i="25"/>
  <c r="CD567" i="25"/>
  <c r="CD566" i="25"/>
  <c r="CD565" i="25"/>
  <c r="CD564" i="25"/>
  <c r="CD563" i="25"/>
  <c r="CD562" i="25"/>
  <c r="CD561" i="25"/>
  <c r="CD560" i="25"/>
  <c r="CD559" i="25"/>
  <c r="CD558" i="25"/>
  <c r="CD557" i="25"/>
  <c r="CD556" i="25"/>
  <c r="CD555" i="25"/>
  <c r="CD554" i="25"/>
  <c r="CD553" i="25"/>
  <c r="CD552" i="25"/>
  <c r="CD551" i="25"/>
  <c r="CD550" i="25"/>
  <c r="CD549" i="25"/>
  <c r="CD548" i="25"/>
  <c r="CD547" i="25"/>
  <c r="CD546" i="25"/>
  <c r="CD545" i="25"/>
  <c r="CD544" i="25"/>
  <c r="CD543" i="25"/>
  <c r="CD542" i="25"/>
  <c r="CD541" i="25"/>
  <c r="CD540" i="25"/>
  <c r="CD539" i="25"/>
  <c r="CD538" i="25"/>
  <c r="CD537" i="25"/>
  <c r="CD536" i="25"/>
  <c r="CD535" i="25"/>
  <c r="CD534" i="25"/>
  <c r="CD533" i="25"/>
  <c r="CD532" i="25"/>
  <c r="CD531" i="25"/>
  <c r="CD530" i="25"/>
  <c r="CD529" i="25"/>
  <c r="CD528" i="25"/>
  <c r="CD527" i="25"/>
  <c r="CD526" i="25"/>
  <c r="CD525" i="25"/>
  <c r="CD524" i="25"/>
  <c r="CD523" i="25"/>
  <c r="CD522" i="25"/>
  <c r="CD521" i="25"/>
  <c r="CD520" i="25"/>
  <c r="CD519" i="25"/>
  <c r="CD518" i="25"/>
  <c r="CD517" i="25"/>
  <c r="CD516" i="25"/>
  <c r="CD515" i="25"/>
  <c r="CD514" i="25"/>
  <c r="CD513" i="25"/>
  <c r="CD512" i="25"/>
  <c r="CD511" i="25"/>
  <c r="CD510" i="25"/>
  <c r="CD509" i="25"/>
  <c r="CD508" i="25"/>
  <c r="CD507" i="25"/>
  <c r="CD506" i="25"/>
  <c r="CD505" i="25"/>
  <c r="CD504" i="25"/>
  <c r="CD503" i="25"/>
  <c r="CD502" i="25"/>
  <c r="CD501" i="25"/>
  <c r="CD500" i="25"/>
  <c r="CD499" i="25"/>
  <c r="CD498" i="25"/>
  <c r="CD497" i="25"/>
  <c r="CD496" i="25"/>
  <c r="CD495" i="25"/>
  <c r="CD494" i="25"/>
  <c r="CD493" i="25"/>
  <c r="CD492" i="25"/>
  <c r="CD491" i="25"/>
  <c r="CD490" i="25"/>
  <c r="CD489" i="25"/>
  <c r="CD488" i="25"/>
  <c r="CD487" i="25"/>
  <c r="CD486" i="25"/>
  <c r="CD485" i="25"/>
  <c r="CD484" i="25"/>
  <c r="CD483" i="25"/>
  <c r="CD482" i="25"/>
  <c r="CD481" i="25"/>
  <c r="CD480" i="25"/>
  <c r="CD479" i="25"/>
  <c r="CD478" i="25"/>
  <c r="CD477" i="25"/>
  <c r="CD476" i="25"/>
  <c r="CD475" i="25"/>
  <c r="CD474" i="25"/>
  <c r="CD473" i="25"/>
  <c r="CD472" i="25"/>
  <c r="CD471" i="25"/>
  <c r="CD470" i="25"/>
  <c r="CD469" i="25"/>
  <c r="CD468" i="25"/>
  <c r="CD467" i="25"/>
  <c r="CD466" i="25"/>
  <c r="CD465" i="25"/>
  <c r="CD464" i="25"/>
  <c r="CD463" i="25"/>
  <c r="CD462" i="25"/>
  <c r="CD461" i="25"/>
  <c r="CD460" i="25"/>
  <c r="CD459" i="25"/>
  <c r="CD458" i="25"/>
  <c r="CD457" i="25"/>
  <c r="CD455" i="25"/>
  <c r="CD454" i="25"/>
  <c r="CD453" i="25"/>
  <c r="CD452" i="25"/>
  <c r="CD451" i="25"/>
  <c r="CD450" i="25"/>
  <c r="CD449" i="25"/>
  <c r="CD448" i="25"/>
  <c r="CD447" i="25"/>
  <c r="CD446" i="25"/>
  <c r="CD445" i="25"/>
  <c r="CD444" i="25"/>
  <c r="CD443" i="25"/>
  <c r="CD442" i="25"/>
  <c r="CD441" i="25"/>
  <c r="CD440" i="25"/>
  <c r="CD439" i="25"/>
  <c r="CD438" i="25"/>
  <c r="CD437" i="25"/>
  <c r="CD436" i="25"/>
  <c r="CD435" i="25"/>
  <c r="CD434" i="25"/>
  <c r="CD433" i="25"/>
  <c r="CD432" i="25"/>
  <c r="CD431" i="25"/>
  <c r="CD430" i="25"/>
  <c r="CD429" i="25"/>
  <c r="CD428" i="25"/>
  <c r="CD427" i="25"/>
  <c r="CD426" i="25"/>
  <c r="CD425" i="25"/>
  <c r="CD424" i="25"/>
  <c r="CD423" i="25"/>
  <c r="CD422" i="25"/>
  <c r="CD421" i="25"/>
  <c r="CD420" i="25"/>
  <c r="CD419" i="25"/>
  <c r="CD418" i="25"/>
  <c r="CD417" i="25"/>
  <c r="CD416" i="25"/>
  <c r="CD414" i="25"/>
  <c r="CD412" i="25"/>
  <c r="CD411" i="25"/>
  <c r="CD410" i="25"/>
  <c r="CD408" i="25"/>
  <c r="CD407" i="25"/>
  <c r="CD406" i="25"/>
  <c r="CD405" i="25"/>
  <c r="CD404" i="25"/>
  <c r="CD403" i="25"/>
  <c r="CD402" i="25"/>
  <c r="CD401" i="25"/>
  <c r="CD399" i="25"/>
  <c r="CD398" i="25"/>
  <c r="CD397" i="25"/>
  <c r="CD396" i="25"/>
  <c r="CD395" i="25"/>
  <c r="CD394" i="25"/>
  <c r="CD393" i="25"/>
  <c r="CD392" i="25"/>
  <c r="CD391" i="25"/>
  <c r="CD390" i="25"/>
  <c r="CD389" i="25"/>
  <c r="CD388" i="25"/>
  <c r="CD387" i="25"/>
  <c r="CD386" i="25"/>
  <c r="CD385" i="25"/>
  <c r="CD384" i="25"/>
  <c r="CD383" i="25"/>
  <c r="CD382" i="25"/>
  <c r="CD381" i="25"/>
  <c r="CD380" i="25"/>
  <c r="CD379" i="25"/>
  <c r="CD378" i="25"/>
  <c r="CD377" i="25"/>
  <c r="CD376" i="25"/>
  <c r="CD375" i="25"/>
  <c r="CD374" i="25"/>
  <c r="CD373" i="25"/>
  <c r="CD372" i="25"/>
  <c r="CD371" i="25"/>
  <c r="CD370" i="25"/>
  <c r="CD369" i="25"/>
  <c r="CD368" i="25"/>
  <c r="CD366" i="25"/>
  <c r="CD365" i="25"/>
  <c r="CD364" i="25"/>
  <c r="CD363" i="25"/>
  <c r="CD362" i="25"/>
  <c r="CD361" i="25"/>
  <c r="CD360" i="25"/>
  <c r="CD359" i="25"/>
  <c r="CD358" i="25"/>
  <c r="CD357" i="25"/>
  <c r="CD356" i="25"/>
  <c r="CD355" i="25"/>
  <c r="CD354" i="25"/>
  <c r="CD353" i="25"/>
  <c r="CD352" i="25"/>
  <c r="CD351" i="25"/>
  <c r="CD350" i="25"/>
  <c r="CD349" i="25"/>
  <c r="CD348" i="25"/>
  <c r="CD347" i="25"/>
  <c r="CD345" i="25"/>
  <c r="CD344" i="25"/>
  <c r="CD343" i="25"/>
  <c r="CD342" i="25"/>
  <c r="CD341" i="25"/>
  <c r="CD340" i="25"/>
  <c r="CD339" i="25"/>
  <c r="CD338" i="25"/>
  <c r="CD337" i="25"/>
  <c r="CD336" i="25"/>
  <c r="CD335" i="25"/>
  <c r="CD334" i="25"/>
  <c r="CD333" i="25"/>
  <c r="CD332" i="25"/>
  <c r="CD331" i="25"/>
  <c r="CD330" i="25"/>
  <c r="CD329" i="25"/>
  <c r="CD328" i="25"/>
  <c r="CD327" i="25"/>
  <c r="CD326" i="25"/>
  <c r="CD325" i="25"/>
  <c r="CD324" i="25"/>
  <c r="CD323" i="25"/>
  <c r="CD322" i="25"/>
  <c r="CD321" i="25"/>
  <c r="CD320" i="25"/>
  <c r="CD319" i="25"/>
  <c r="CD317" i="25"/>
  <c r="CD316" i="25"/>
  <c r="CD315" i="25"/>
  <c r="CD314" i="25"/>
  <c r="CD313" i="25"/>
  <c r="CD312" i="25"/>
  <c r="CD311" i="25"/>
  <c r="CD310" i="25"/>
  <c r="CD309" i="25"/>
  <c r="CD308" i="25"/>
  <c r="CD307" i="25"/>
  <c r="CD306" i="25"/>
  <c r="CD305" i="25"/>
  <c r="CD304" i="25"/>
  <c r="CD303" i="25"/>
  <c r="CD302" i="25"/>
  <c r="CD301" i="25"/>
  <c r="CD300" i="25"/>
  <c r="CD299" i="25"/>
  <c r="CD298" i="25"/>
  <c r="CD297" i="25"/>
  <c r="CD296" i="25"/>
  <c r="CD295" i="25"/>
  <c r="CD294" i="25"/>
  <c r="CD293" i="25"/>
  <c r="CD289" i="25"/>
  <c r="CD292" i="25"/>
  <c r="CD291" i="25"/>
  <c r="CD290" i="25"/>
  <c r="CD288" i="25"/>
  <c r="CD287" i="25"/>
  <c r="CD285" i="25"/>
  <c r="CD284" i="25"/>
  <c r="CD283" i="25"/>
  <c r="CD282" i="25"/>
  <c r="CD281" i="25"/>
  <c r="CD280" i="25"/>
  <c r="CD279" i="25"/>
  <c r="CD278" i="25"/>
  <c r="CD277" i="25"/>
  <c r="CD276" i="25"/>
  <c r="CD275" i="25"/>
  <c r="CD274" i="25"/>
  <c r="CD273" i="25"/>
  <c r="CD272" i="25"/>
  <c r="CD271" i="25"/>
  <c r="CD270" i="25"/>
  <c r="CD269" i="25"/>
  <c r="CD268" i="25"/>
  <c r="CD267" i="25"/>
  <c r="CD266" i="25"/>
  <c r="CD265" i="25"/>
  <c r="CD264" i="25"/>
  <c r="CD263" i="25"/>
  <c r="CD262" i="25"/>
  <c r="CD261" i="25"/>
  <c r="CD260" i="25"/>
  <c r="CD259" i="25"/>
  <c r="CD258" i="25"/>
  <c r="CD257" i="25"/>
  <c r="CD256" i="25"/>
  <c r="CD255" i="25"/>
  <c r="CD254" i="25"/>
  <c r="CD253" i="25"/>
  <c r="CD252" i="25"/>
  <c r="CD251" i="25"/>
  <c r="CD250" i="25"/>
  <c r="CD249" i="25"/>
  <c r="CD248" i="25"/>
  <c r="CD247" i="25"/>
  <c r="CD246" i="25"/>
  <c r="CD245" i="25"/>
  <c r="CD244" i="25"/>
  <c r="CD243" i="25"/>
  <c r="CD242" i="25"/>
  <c r="CD241" i="25"/>
  <c r="CD240" i="25"/>
  <c r="CD239" i="25"/>
  <c r="CD238" i="25"/>
  <c r="CD237" i="25"/>
  <c r="CD236" i="25"/>
  <c r="CD235" i="25"/>
  <c r="CD234" i="25"/>
  <c r="CD233" i="25"/>
  <c r="CD232" i="25"/>
  <c r="CD231" i="25"/>
  <c r="CD230" i="25"/>
  <c r="CD229" i="25"/>
  <c r="CD228" i="25"/>
  <c r="CD227" i="25"/>
  <c r="CD226" i="25"/>
  <c r="CD225" i="25"/>
  <c r="CD224" i="25"/>
  <c r="CD223" i="25"/>
  <c r="CD222" i="25"/>
  <c r="CD221" i="25"/>
  <c r="CD220" i="25"/>
  <c r="CD219" i="25"/>
  <c r="CD218" i="25"/>
  <c r="CD217" i="25"/>
  <c r="CD216" i="25"/>
  <c r="CD215" i="25"/>
  <c r="CD214" i="25"/>
  <c r="CD213" i="25"/>
  <c r="CD212" i="25"/>
  <c r="CD211" i="25"/>
  <c r="CD210" i="25"/>
  <c r="CD209" i="25"/>
  <c r="CD208" i="25"/>
  <c r="CD207" i="25"/>
  <c r="CD206" i="25"/>
  <c r="CD205" i="25"/>
  <c r="CD204" i="25"/>
  <c r="CD203" i="25"/>
  <c r="CD202" i="25"/>
  <c r="CD201" i="25"/>
  <c r="CD200" i="25"/>
  <c r="CD199" i="25"/>
  <c r="CD198" i="25"/>
  <c r="CD197" i="25"/>
  <c r="CD196" i="25"/>
  <c r="CD195" i="25"/>
  <c r="CD194" i="25"/>
  <c r="CD193" i="25"/>
  <c r="CD192" i="25"/>
  <c r="CD191" i="25"/>
  <c r="CD190" i="25"/>
  <c r="CD189" i="25"/>
  <c r="CD188" i="25"/>
  <c r="CD187" i="25"/>
  <c r="CD186" i="25"/>
  <c r="CD185" i="25"/>
  <c r="CD184" i="25"/>
  <c r="CD183" i="25"/>
  <c r="CD182" i="25"/>
  <c r="CD181" i="25"/>
  <c r="CD180" i="25"/>
  <c r="CD179" i="25"/>
  <c r="CD178" i="25"/>
  <c r="CD177" i="25"/>
  <c r="CD176" i="25"/>
  <c r="CD175" i="25"/>
  <c r="CD174" i="25"/>
  <c r="CD173" i="25"/>
  <c r="CD172" i="25"/>
  <c r="CD171" i="25"/>
  <c r="CB171" i="25"/>
  <c r="CD170" i="25"/>
  <c r="CD169" i="25"/>
  <c r="CD168" i="25"/>
  <c r="CD167" i="25"/>
  <c r="CD166" i="25"/>
  <c r="CD165" i="25"/>
  <c r="CD164" i="25"/>
  <c r="CD163" i="25"/>
  <c r="CD162" i="25"/>
  <c r="CD161" i="25"/>
  <c r="CD160" i="25"/>
  <c r="CD159" i="25"/>
  <c r="CD158" i="25"/>
  <c r="CD157" i="25"/>
  <c r="CD156" i="25"/>
  <c r="CD155" i="25"/>
  <c r="CD154" i="25"/>
  <c r="CD153" i="25"/>
  <c r="CD152" i="25"/>
  <c r="CD151" i="25"/>
  <c r="CD150" i="25"/>
  <c r="CD149" i="25"/>
  <c r="CD148" i="25"/>
  <c r="CD147" i="25"/>
  <c r="CD146" i="25"/>
  <c r="CD145" i="25"/>
  <c r="CD144" i="25"/>
  <c r="CD143" i="25"/>
  <c r="CD142" i="25"/>
  <c r="CD141" i="25"/>
  <c r="CD140" i="25"/>
  <c r="CD139" i="25"/>
  <c r="CD138" i="25"/>
  <c r="CD137" i="25"/>
  <c r="CD136" i="25"/>
  <c r="CD135" i="25"/>
  <c r="CD134" i="25"/>
  <c r="CD133" i="25"/>
  <c r="CD132" i="25"/>
  <c r="CD131" i="25"/>
  <c r="CD130" i="25"/>
  <c r="CD129" i="25"/>
  <c r="CD128" i="25"/>
  <c r="CD127" i="25"/>
  <c r="CD126" i="25"/>
  <c r="CD125" i="25"/>
  <c r="CD124" i="25"/>
  <c r="CD123" i="25"/>
  <c r="CD122" i="25"/>
  <c r="CD121" i="25"/>
  <c r="CD120" i="25"/>
  <c r="CD119" i="25"/>
  <c r="CD118" i="25"/>
  <c r="CD117" i="25"/>
  <c r="CD116" i="25"/>
  <c r="CD115" i="25"/>
  <c r="CD114" i="25"/>
  <c r="CD113" i="25"/>
  <c r="CD112" i="25"/>
  <c r="CD111" i="25"/>
  <c r="CD110" i="25"/>
  <c r="CD109" i="25"/>
  <c r="CD108" i="25"/>
  <c r="CD107" i="25"/>
  <c r="CD106" i="25"/>
  <c r="CD105" i="25"/>
  <c r="CD104" i="25"/>
  <c r="CD103" i="25"/>
  <c r="CD102" i="25"/>
  <c r="CD101" i="25"/>
  <c r="CD100" i="25"/>
  <c r="CD99" i="25"/>
  <c r="CD98" i="25"/>
  <c r="CD97" i="25"/>
  <c r="CD96" i="25"/>
  <c r="CD95" i="25"/>
  <c r="CD94" i="25"/>
  <c r="CD93" i="25"/>
  <c r="CD92" i="25"/>
  <c r="CD91" i="25"/>
  <c r="CD90" i="25"/>
  <c r="CD88" i="25"/>
  <c r="CD89" i="25"/>
  <c r="CB89" i="25"/>
  <c r="BB89" i="25"/>
  <c r="BL89" i="25" s="1"/>
  <c r="CD87" i="25"/>
  <c r="CD86" i="25"/>
  <c r="CD85" i="25"/>
  <c r="CD84" i="25"/>
  <c r="CD83" i="25"/>
  <c r="CD82" i="25"/>
  <c r="CD81" i="25"/>
  <c r="CD80" i="25"/>
  <c r="CD79" i="25"/>
  <c r="CD78" i="25"/>
  <c r="CD77" i="25"/>
  <c r="CD76" i="25"/>
  <c r="CD75" i="25"/>
  <c r="CD74" i="25"/>
  <c r="CD73" i="25"/>
  <c r="CD72" i="25"/>
  <c r="CD71" i="25"/>
  <c r="CD70" i="25"/>
  <c r="CD69" i="25"/>
  <c r="CD68" i="25"/>
  <c r="CD67" i="25"/>
  <c r="CD66" i="25"/>
  <c r="CD65" i="25"/>
  <c r="CD64" i="25"/>
  <c r="CD63" i="25"/>
  <c r="CD62" i="25"/>
  <c r="CD61" i="25"/>
  <c r="CD60" i="25"/>
  <c r="CD59" i="25"/>
  <c r="CD58" i="25"/>
  <c r="CD57" i="25"/>
  <c r="CD56" i="25"/>
  <c r="CD55" i="25"/>
  <c r="CD54" i="25"/>
  <c r="CD53" i="25"/>
  <c r="CD52" i="25"/>
  <c r="CD51" i="25"/>
  <c r="CD50" i="25"/>
  <c r="CD49" i="25"/>
  <c r="CD48" i="25"/>
  <c r="CD47" i="25"/>
  <c r="CD46" i="25"/>
  <c r="CD45" i="25"/>
  <c r="CD44" i="25"/>
  <c r="CD42" i="25"/>
  <c r="CD41" i="25"/>
  <c r="CD40" i="25"/>
  <c r="CD39" i="25"/>
  <c r="CD38" i="25"/>
  <c r="CD37" i="25"/>
  <c r="CD36" i="25"/>
  <c r="CD35" i="25"/>
  <c r="CD34" i="25"/>
  <c r="CD33" i="25"/>
  <c r="CD32" i="25"/>
  <c r="CD31" i="25"/>
  <c r="CD30" i="25"/>
  <c r="CD29" i="25"/>
  <c r="CD28" i="25"/>
  <c r="CD27" i="25"/>
  <c r="CD26" i="25"/>
  <c r="CD25" i="25"/>
  <c r="CD24" i="25"/>
  <c r="CD23" i="25"/>
  <c r="CD22" i="25"/>
  <c r="CD21" i="25"/>
  <c r="CD20" i="25"/>
  <c r="CD19" i="25"/>
  <c r="CD18" i="25"/>
  <c r="CD17" i="25"/>
  <c r="CD16" i="25"/>
  <c r="CD15" i="25"/>
  <c r="CD14" i="25"/>
  <c r="CD13" i="25"/>
  <c r="CD12" i="25"/>
  <c r="CB618" i="25"/>
  <c r="CB617" i="25"/>
  <c r="CB616" i="25"/>
  <c r="CB615" i="25"/>
  <c r="CB614" i="25"/>
  <c r="CB613" i="25"/>
  <c r="CB612" i="25"/>
  <c r="CB611" i="25"/>
  <c r="CB610" i="25"/>
  <c r="CB609" i="25"/>
  <c r="CB608" i="25"/>
  <c r="CB607" i="25"/>
  <c r="CB606" i="25"/>
  <c r="CB605" i="25"/>
  <c r="CB604" i="25"/>
  <c r="CB603" i="25"/>
  <c r="CB602" i="25"/>
  <c r="CB601" i="25"/>
  <c r="CB600" i="25"/>
  <c r="CB599" i="25"/>
  <c r="CB598" i="25"/>
  <c r="CB597" i="25"/>
  <c r="CB596" i="25"/>
  <c r="CB595" i="25"/>
  <c r="CB594" i="25"/>
  <c r="CB593" i="25"/>
  <c r="CB592" i="25"/>
  <c r="CB591" i="25"/>
  <c r="CB590" i="25"/>
  <c r="CB589" i="25"/>
  <c r="CB588" i="25"/>
  <c r="CB587" i="25"/>
  <c r="CB586" i="25"/>
  <c r="CB585" i="25"/>
  <c r="CB584" i="25"/>
  <c r="CB583" i="25"/>
  <c r="CB582" i="25"/>
  <c r="CB581" i="25"/>
  <c r="CB580" i="25"/>
  <c r="CB579" i="25"/>
  <c r="CB578" i="25"/>
  <c r="CB577" i="25"/>
  <c r="CB576" i="25"/>
  <c r="CB575" i="25"/>
  <c r="CB574" i="25"/>
  <c r="CB573" i="25"/>
  <c r="CB572" i="25"/>
  <c r="CB571" i="25"/>
  <c r="CB570" i="25"/>
  <c r="CB569" i="25"/>
  <c r="CB568" i="25"/>
  <c r="CB567" i="25"/>
  <c r="CB566" i="25"/>
  <c r="CB565" i="25"/>
  <c r="CB564" i="25"/>
  <c r="CB563" i="25"/>
  <c r="CB562" i="25"/>
  <c r="CB561" i="25"/>
  <c r="CB560" i="25"/>
  <c r="CB559" i="25"/>
  <c r="CB558" i="25"/>
  <c r="CB557" i="25"/>
  <c r="CB556" i="25"/>
  <c r="CB555" i="25"/>
  <c r="CB554" i="25"/>
  <c r="CB553" i="25"/>
  <c r="CB552" i="25"/>
  <c r="CB551" i="25"/>
  <c r="CB550" i="25"/>
  <c r="CB549" i="25"/>
  <c r="CB548" i="25"/>
  <c r="CB547" i="25"/>
  <c r="CB546" i="25"/>
  <c r="CB545" i="25"/>
  <c r="CB544" i="25"/>
  <c r="CB543" i="25"/>
  <c r="CB542" i="25"/>
  <c r="CB541" i="25"/>
  <c r="CB540" i="25"/>
  <c r="CB539" i="25"/>
  <c r="CB538" i="25"/>
  <c r="CB537" i="25"/>
  <c r="CB536" i="25"/>
  <c r="CB535" i="25"/>
  <c r="CB534" i="25"/>
  <c r="CB533" i="25"/>
  <c r="CB532" i="25"/>
  <c r="CB531" i="25"/>
  <c r="CB530" i="25"/>
  <c r="CB529" i="25"/>
  <c r="CB528" i="25"/>
  <c r="CB527" i="25"/>
  <c r="CB526" i="25"/>
  <c r="CB525" i="25"/>
  <c r="CB524" i="25"/>
  <c r="CB523" i="25"/>
  <c r="CB522" i="25"/>
  <c r="CB521" i="25"/>
  <c r="CB520" i="25"/>
  <c r="CB519" i="25"/>
  <c r="CB518" i="25"/>
  <c r="CB517" i="25"/>
  <c r="CB516" i="25"/>
  <c r="CB515" i="25"/>
  <c r="CB514" i="25"/>
  <c r="CB513" i="25"/>
  <c r="CB512" i="25"/>
  <c r="CB511" i="25"/>
  <c r="CB510" i="25"/>
  <c r="CB509" i="25"/>
  <c r="CB508" i="25"/>
  <c r="CB507" i="25"/>
  <c r="CB506" i="25"/>
  <c r="CB505" i="25"/>
  <c r="CB504" i="25"/>
  <c r="CB503" i="25"/>
  <c r="CB502" i="25"/>
  <c r="CB501" i="25"/>
  <c r="CB500" i="25"/>
  <c r="CB499" i="25"/>
  <c r="CB498" i="25"/>
  <c r="CB497" i="25"/>
  <c r="CB496" i="25"/>
  <c r="CB495" i="25"/>
  <c r="CB494" i="25"/>
  <c r="CB493" i="25"/>
  <c r="CB492" i="25"/>
  <c r="CB491" i="25"/>
  <c r="CB490" i="25"/>
  <c r="CB489" i="25"/>
  <c r="CB488" i="25"/>
  <c r="CB487" i="25"/>
  <c r="CB486" i="25"/>
  <c r="CB485" i="25"/>
  <c r="CB484" i="25"/>
  <c r="CB483" i="25"/>
  <c r="CB482" i="25"/>
  <c r="CB481" i="25"/>
  <c r="CB480" i="25"/>
  <c r="CB479" i="25"/>
  <c r="CB478" i="25"/>
  <c r="CB477" i="25"/>
  <c r="CB476" i="25"/>
  <c r="CB475" i="25"/>
  <c r="CB474" i="25"/>
  <c r="CB473" i="25"/>
  <c r="CB472" i="25"/>
  <c r="CB471" i="25"/>
  <c r="CB470" i="25"/>
  <c r="CB469" i="25"/>
  <c r="CB468" i="25"/>
  <c r="CB467" i="25"/>
  <c r="CB466" i="25"/>
  <c r="CB465" i="25"/>
  <c r="CB464" i="25"/>
  <c r="CB463" i="25"/>
  <c r="CB462" i="25"/>
  <c r="CB461" i="25"/>
  <c r="CB460" i="25"/>
  <c r="CB459" i="25"/>
  <c r="CB458" i="25"/>
  <c r="CB457" i="25"/>
  <c r="CB455" i="25"/>
  <c r="CB454" i="25"/>
  <c r="CB453" i="25"/>
  <c r="CB452" i="25"/>
  <c r="CB451" i="25"/>
  <c r="CB450" i="25"/>
  <c r="CB449" i="25"/>
  <c r="CB448" i="25"/>
  <c r="CB447" i="25"/>
  <c r="CB446" i="25"/>
  <c r="CB445" i="25"/>
  <c r="CB444" i="25"/>
  <c r="CB443" i="25"/>
  <c r="CB442" i="25"/>
  <c r="CB441" i="25"/>
  <c r="CB440" i="25"/>
  <c r="CB439" i="25"/>
  <c r="CB438" i="25"/>
  <c r="CB437" i="25"/>
  <c r="CB436" i="25"/>
  <c r="CB435" i="25"/>
  <c r="CB434" i="25"/>
  <c r="CB433" i="25"/>
  <c r="CB432" i="25"/>
  <c r="CB431" i="25"/>
  <c r="CB430" i="25"/>
  <c r="CB429" i="25"/>
  <c r="CB428" i="25"/>
  <c r="CB427" i="25"/>
  <c r="CB426" i="25"/>
  <c r="CB425" i="25"/>
  <c r="CB424" i="25"/>
  <c r="CB423" i="25"/>
  <c r="CB422" i="25"/>
  <c r="CB421" i="25"/>
  <c r="CB420" i="25"/>
  <c r="CB419" i="25"/>
  <c r="CB418" i="25"/>
  <c r="CB417" i="25"/>
  <c r="CB416" i="25"/>
  <c r="CB414" i="25"/>
  <c r="CB412" i="25"/>
  <c r="CB411" i="25"/>
  <c r="CB410" i="25"/>
  <c r="CB408" i="25"/>
  <c r="CB407" i="25"/>
  <c r="CB406" i="25"/>
  <c r="CB405" i="25"/>
  <c r="CB404" i="25"/>
  <c r="CB403" i="25"/>
  <c r="CB402" i="25"/>
  <c r="CB401" i="25"/>
  <c r="CB399" i="25"/>
  <c r="CB398" i="25"/>
  <c r="CB397" i="25"/>
  <c r="CB396" i="25"/>
  <c r="CB395" i="25"/>
  <c r="CB394" i="25"/>
  <c r="CB393" i="25"/>
  <c r="CB392" i="25"/>
  <c r="CB391" i="25"/>
  <c r="CB390" i="25"/>
  <c r="CB389" i="25"/>
  <c r="CB388" i="25"/>
  <c r="CB387" i="25"/>
  <c r="CB386" i="25"/>
  <c r="CB385" i="25"/>
  <c r="CB384" i="25"/>
  <c r="CB383" i="25"/>
  <c r="CB382" i="25"/>
  <c r="CB381" i="25"/>
  <c r="CB380" i="25"/>
  <c r="CB379" i="25"/>
  <c r="CB378" i="25"/>
  <c r="CB377" i="25"/>
  <c r="CB376" i="25"/>
  <c r="CB375" i="25"/>
  <c r="CB374" i="25"/>
  <c r="CB373" i="25"/>
  <c r="CB372" i="25"/>
  <c r="CB371" i="25"/>
  <c r="CB370" i="25"/>
  <c r="CB369" i="25"/>
  <c r="CB368" i="25"/>
  <c r="CB366" i="25"/>
  <c r="CB365" i="25"/>
  <c r="CB364" i="25"/>
  <c r="CB363" i="25"/>
  <c r="CB362" i="25"/>
  <c r="CB361" i="25"/>
  <c r="CB360" i="25"/>
  <c r="CB359" i="25"/>
  <c r="CB358" i="25"/>
  <c r="CB357" i="25"/>
  <c r="CB356" i="25"/>
  <c r="CB355" i="25"/>
  <c r="CB354" i="25"/>
  <c r="CB353" i="25"/>
  <c r="CB352" i="25"/>
  <c r="CB351" i="25"/>
  <c r="CB350" i="25"/>
  <c r="CB349" i="25"/>
  <c r="CB348" i="25"/>
  <c r="CB347" i="25"/>
  <c r="CB345" i="25"/>
  <c r="CB344" i="25"/>
  <c r="CB343" i="25"/>
  <c r="CB342" i="25"/>
  <c r="CB341" i="25"/>
  <c r="CB340" i="25"/>
  <c r="CB339" i="25"/>
  <c r="CB338" i="25"/>
  <c r="CB337" i="25"/>
  <c r="CB336" i="25"/>
  <c r="CB335" i="25"/>
  <c r="CB334" i="25"/>
  <c r="CB333" i="25"/>
  <c r="CB332" i="25"/>
  <c r="CB331" i="25"/>
  <c r="CB330" i="25"/>
  <c r="CB329" i="25"/>
  <c r="CB328" i="25"/>
  <c r="CB327" i="25"/>
  <c r="CB326" i="25"/>
  <c r="CB325" i="25"/>
  <c r="CB324" i="25"/>
  <c r="CB323" i="25"/>
  <c r="CB322" i="25"/>
  <c r="CB321" i="25"/>
  <c r="CB320" i="25"/>
  <c r="CB319" i="25"/>
  <c r="CB317" i="25"/>
  <c r="CB316" i="25"/>
  <c r="CB315" i="25"/>
  <c r="CB314" i="25"/>
  <c r="CB313" i="25"/>
  <c r="CB312" i="25"/>
  <c r="CB311" i="25"/>
  <c r="CB310" i="25"/>
  <c r="CB309" i="25"/>
  <c r="CB308" i="25"/>
  <c r="CB307" i="25"/>
  <c r="CB306" i="25"/>
  <c r="CB305" i="25"/>
  <c r="CB304" i="25"/>
  <c r="CB303" i="25"/>
  <c r="CB302" i="25"/>
  <c r="CB301" i="25"/>
  <c r="CB300" i="25"/>
  <c r="CB299" i="25"/>
  <c r="CB298" i="25"/>
  <c r="CB297" i="25"/>
  <c r="CB296" i="25"/>
  <c r="CB295" i="25"/>
  <c r="CB294" i="25"/>
  <c r="CB293" i="25"/>
  <c r="CB289" i="25"/>
  <c r="CB292" i="25"/>
  <c r="CB291" i="25"/>
  <c r="CB290" i="25"/>
  <c r="CB288" i="25"/>
  <c r="CB287" i="25"/>
  <c r="CB285" i="25"/>
  <c r="CB284" i="25"/>
  <c r="CB283" i="25"/>
  <c r="CB282" i="25"/>
  <c r="CB281" i="25"/>
  <c r="CB280" i="25"/>
  <c r="CB279" i="25"/>
  <c r="CB278" i="25"/>
  <c r="CB277" i="25"/>
  <c r="CB276" i="25"/>
  <c r="CB275" i="25"/>
  <c r="CB274" i="25"/>
  <c r="CB273" i="25"/>
  <c r="CB272" i="25"/>
  <c r="CB271" i="25"/>
  <c r="CB270" i="25"/>
  <c r="CB269" i="25"/>
  <c r="CB268" i="25"/>
  <c r="CB267" i="25"/>
  <c r="CB266" i="25"/>
  <c r="CB265" i="25"/>
  <c r="CB264" i="25"/>
  <c r="CB263" i="25"/>
  <c r="CB262" i="25"/>
  <c r="CB261" i="25"/>
  <c r="CB260" i="25"/>
  <c r="CB259" i="25"/>
  <c r="CB258" i="25"/>
  <c r="CB257" i="25"/>
  <c r="CB256" i="25"/>
  <c r="CB255" i="25"/>
  <c r="CB254" i="25"/>
  <c r="CB253" i="25"/>
  <c r="CB252" i="25"/>
  <c r="CB251" i="25"/>
  <c r="CB250" i="25"/>
  <c r="CB249" i="25"/>
  <c r="CB248" i="25"/>
  <c r="CB247" i="25"/>
  <c r="CB246" i="25"/>
  <c r="CB245" i="25"/>
  <c r="CB244" i="25"/>
  <c r="CB243" i="25"/>
  <c r="CB242" i="25"/>
  <c r="CB241" i="25"/>
  <c r="CB240" i="25"/>
  <c r="CB239" i="25"/>
  <c r="CB238" i="25"/>
  <c r="CB237" i="25"/>
  <c r="CB236" i="25"/>
  <c r="CB235" i="25"/>
  <c r="CB234" i="25"/>
  <c r="CB233" i="25"/>
  <c r="CB232" i="25"/>
  <c r="CB231" i="25"/>
  <c r="CB230" i="25"/>
  <c r="CB229" i="25"/>
  <c r="CB228" i="25"/>
  <c r="CB227" i="25"/>
  <c r="CB226" i="25"/>
  <c r="CB225" i="25"/>
  <c r="CB224" i="25"/>
  <c r="CB223" i="25"/>
  <c r="CB222" i="25"/>
  <c r="CB221" i="25"/>
  <c r="CB220" i="25"/>
  <c r="CB219" i="25"/>
  <c r="CB218" i="25"/>
  <c r="CB217" i="25"/>
  <c r="CB216" i="25"/>
  <c r="CB215" i="25"/>
  <c r="CB214" i="25"/>
  <c r="CB213" i="25"/>
  <c r="CB212" i="25"/>
  <c r="CB211" i="25"/>
  <c r="CB210" i="25"/>
  <c r="CB209" i="25"/>
  <c r="CB208" i="25"/>
  <c r="CB207" i="25"/>
  <c r="CB206" i="25"/>
  <c r="CB205" i="25"/>
  <c r="CB204" i="25"/>
  <c r="CB203" i="25"/>
  <c r="CB202" i="25"/>
  <c r="CB201" i="25"/>
  <c r="CB200" i="25"/>
  <c r="CB199" i="25"/>
  <c r="CB198" i="25"/>
  <c r="CB197" i="25"/>
  <c r="CB196" i="25"/>
  <c r="CB195" i="25"/>
  <c r="CB194" i="25"/>
  <c r="CB193" i="25"/>
  <c r="CB192" i="25"/>
  <c r="CB191" i="25"/>
  <c r="CB190" i="25"/>
  <c r="CB189" i="25"/>
  <c r="CB188" i="25"/>
  <c r="CB187" i="25"/>
  <c r="CB186" i="25"/>
  <c r="CB185" i="25"/>
  <c r="CB184" i="25"/>
  <c r="CB183" i="25"/>
  <c r="CB182" i="25"/>
  <c r="CB181" i="25"/>
  <c r="CB180" i="25"/>
  <c r="CB179" i="25"/>
  <c r="CB178" i="25"/>
  <c r="CB177" i="25"/>
  <c r="CB176" i="25"/>
  <c r="CB175" i="25"/>
  <c r="CB174" i="25"/>
  <c r="CB173" i="25"/>
  <c r="CB172" i="25"/>
  <c r="CB170" i="25"/>
  <c r="CB169" i="25"/>
  <c r="CB168" i="25"/>
  <c r="CB167" i="25"/>
  <c r="CB166" i="25"/>
  <c r="CB165" i="25"/>
  <c r="CB164" i="25"/>
  <c r="CB163" i="25"/>
  <c r="CB162" i="25"/>
  <c r="CB161" i="25"/>
  <c r="CB160" i="25"/>
  <c r="CB159" i="25"/>
  <c r="CB158" i="25"/>
  <c r="CB157" i="25"/>
  <c r="CB156" i="25"/>
  <c r="CB155" i="25"/>
  <c r="CB154" i="25"/>
  <c r="CB153" i="25"/>
  <c r="CB152" i="25"/>
  <c r="CB151" i="25"/>
  <c r="CB150" i="25"/>
  <c r="CB149" i="25"/>
  <c r="CB148" i="25"/>
  <c r="CB147" i="25"/>
  <c r="CB146" i="25"/>
  <c r="CB145" i="25"/>
  <c r="CB144" i="25"/>
  <c r="CB143" i="25"/>
  <c r="CB142" i="25"/>
  <c r="CB141" i="25"/>
  <c r="CB140" i="25"/>
  <c r="CB139" i="25"/>
  <c r="CB138" i="25"/>
  <c r="CB137" i="25"/>
  <c r="CB136" i="25"/>
  <c r="CB135" i="25"/>
  <c r="CB134" i="25"/>
  <c r="CB133" i="25"/>
  <c r="CB132" i="25"/>
  <c r="CB131" i="25"/>
  <c r="CB130" i="25"/>
  <c r="CB129" i="25"/>
  <c r="CB128" i="25"/>
  <c r="CB127" i="25"/>
  <c r="CB126" i="25"/>
  <c r="CB125" i="25"/>
  <c r="CB124" i="25"/>
  <c r="CB123" i="25"/>
  <c r="CB122" i="25"/>
  <c r="CB121" i="25"/>
  <c r="CB120" i="25"/>
  <c r="CB119" i="25"/>
  <c r="CB118" i="25"/>
  <c r="CB117" i="25"/>
  <c r="CB116" i="25"/>
  <c r="CB115" i="25"/>
  <c r="CB114" i="25"/>
  <c r="CB113" i="25"/>
  <c r="CB112" i="25"/>
  <c r="CB111" i="25"/>
  <c r="CB110" i="25"/>
  <c r="CB109" i="25"/>
  <c r="CB108" i="25"/>
  <c r="CB107" i="25"/>
  <c r="CB106" i="25"/>
  <c r="CB105" i="25"/>
  <c r="CB104" i="25"/>
  <c r="CB103" i="25"/>
  <c r="CB102" i="25"/>
  <c r="CB101" i="25"/>
  <c r="CB100" i="25"/>
  <c r="CB99" i="25"/>
  <c r="CB98" i="25"/>
  <c r="CB97" i="25"/>
  <c r="CB96" i="25"/>
  <c r="CB95" i="25"/>
  <c r="CB94" i="25"/>
  <c r="CB93" i="25"/>
  <c r="CB92" i="25"/>
  <c r="CB91" i="25"/>
  <c r="CB90" i="25"/>
  <c r="CB88" i="25"/>
  <c r="CB87" i="25"/>
  <c r="CB86" i="25"/>
  <c r="CB85" i="25"/>
  <c r="CB84" i="25"/>
  <c r="CB83" i="25"/>
  <c r="CB82" i="25"/>
  <c r="CB81" i="25"/>
  <c r="CB80" i="25"/>
  <c r="CB79" i="25"/>
  <c r="CB78" i="25"/>
  <c r="CB77" i="25"/>
  <c r="CB76" i="25"/>
  <c r="CB75" i="25"/>
  <c r="CB74" i="25"/>
  <c r="CB73" i="25"/>
  <c r="CB72" i="25"/>
  <c r="CB71" i="25"/>
  <c r="CB70" i="25"/>
  <c r="CB69" i="25"/>
  <c r="CB68" i="25"/>
  <c r="CB67" i="25"/>
  <c r="CB66" i="25"/>
  <c r="CB65" i="25"/>
  <c r="CB64" i="25"/>
  <c r="CB63" i="25"/>
  <c r="CB62" i="25"/>
  <c r="CB61" i="25"/>
  <c r="CB60" i="25"/>
  <c r="CB59" i="25"/>
  <c r="CB58" i="25"/>
  <c r="CB57" i="25"/>
  <c r="CB56" i="25"/>
  <c r="CB55" i="25"/>
  <c r="CB54" i="25"/>
  <c r="CB53" i="25"/>
  <c r="CB52" i="25"/>
  <c r="CB51" i="25"/>
  <c r="CB50" i="25"/>
  <c r="CB49" i="25"/>
  <c r="CB48" i="25"/>
  <c r="CB47" i="25"/>
  <c r="CB46" i="25"/>
  <c r="CB45" i="25"/>
  <c r="CB44" i="25"/>
  <c r="CB42" i="25"/>
  <c r="CB41" i="25"/>
  <c r="CB40" i="25"/>
  <c r="CB39" i="25"/>
  <c r="CB38" i="25"/>
  <c r="CB37" i="25"/>
  <c r="CB36" i="25"/>
  <c r="CB35" i="25"/>
  <c r="CB34" i="25"/>
  <c r="CB33" i="25"/>
  <c r="CB32" i="25"/>
  <c r="CB31" i="25"/>
  <c r="CB30" i="25"/>
  <c r="CB29" i="25"/>
  <c r="CB28" i="25"/>
  <c r="CB27" i="25"/>
  <c r="CB26" i="25"/>
  <c r="CB25" i="25"/>
  <c r="CB24" i="25"/>
  <c r="CB23" i="25"/>
  <c r="CB22" i="25"/>
  <c r="CB21" i="25"/>
  <c r="CB20" i="25"/>
  <c r="CB19" i="25"/>
  <c r="CB18" i="25"/>
  <c r="CB17" i="25"/>
  <c r="CB16" i="25"/>
  <c r="CB15" i="25"/>
  <c r="CB14" i="25"/>
  <c r="CB13" i="25"/>
  <c r="CB12" i="25"/>
  <c r="CD11" i="25"/>
  <c r="CB11" i="25"/>
  <c r="AU618" i="22"/>
  <c r="AU617" i="22"/>
  <c r="AU616" i="22"/>
  <c r="AU615" i="22"/>
  <c r="AU614" i="22"/>
  <c r="AU613" i="22"/>
  <c r="AU612" i="22"/>
  <c r="AU611" i="22"/>
  <c r="AU610" i="22"/>
  <c r="AU609" i="22"/>
  <c r="AU608" i="22"/>
  <c r="AU607" i="22"/>
  <c r="AU606" i="22"/>
  <c r="AU605" i="22"/>
  <c r="AU604" i="22"/>
  <c r="AU603" i="22"/>
  <c r="AU602" i="22"/>
  <c r="AU601" i="22"/>
  <c r="AU600" i="22"/>
  <c r="AU599" i="22"/>
  <c r="AU598" i="22"/>
  <c r="AU597" i="22"/>
  <c r="AU596" i="22"/>
  <c r="AU595" i="22"/>
  <c r="AU594" i="22"/>
  <c r="AU593" i="22"/>
  <c r="AU592" i="22"/>
  <c r="AU591" i="22"/>
  <c r="AU590" i="22"/>
  <c r="AU589" i="22"/>
  <c r="AU588" i="22"/>
  <c r="AU587" i="22"/>
  <c r="AU586" i="22"/>
  <c r="AU585" i="22"/>
  <c r="AU584" i="22"/>
  <c r="AU583" i="22"/>
  <c r="AU582" i="22"/>
  <c r="AU581" i="22"/>
  <c r="AU580" i="22"/>
  <c r="AU579" i="22"/>
  <c r="AU578" i="22"/>
  <c r="AU577" i="22"/>
  <c r="AU576" i="22"/>
  <c r="AU575" i="22"/>
  <c r="AU574" i="22"/>
  <c r="AU573" i="22"/>
  <c r="AU572" i="22"/>
  <c r="AU571" i="22"/>
  <c r="AU570" i="22"/>
  <c r="AU569" i="22"/>
  <c r="AU568" i="22"/>
  <c r="AU567" i="22"/>
  <c r="AU566" i="22"/>
  <c r="AU565" i="22"/>
  <c r="AU564" i="22"/>
  <c r="AU563" i="22"/>
  <c r="AU562" i="22"/>
  <c r="AU561" i="22"/>
  <c r="AU560" i="22"/>
  <c r="AU559" i="22"/>
  <c r="AU558" i="22"/>
  <c r="AU557" i="22"/>
  <c r="AU556" i="22"/>
  <c r="AU555" i="22"/>
  <c r="AU554" i="22"/>
  <c r="AU553" i="22"/>
  <c r="AU552" i="22"/>
  <c r="AU551" i="22"/>
  <c r="AU550" i="22"/>
  <c r="AU549" i="22"/>
  <c r="AU548" i="22"/>
  <c r="AU547" i="22"/>
  <c r="AU546" i="22"/>
  <c r="AU545" i="22"/>
  <c r="AU544" i="22"/>
  <c r="AU543" i="22"/>
  <c r="AU542" i="22"/>
  <c r="AU541" i="22"/>
  <c r="AU540" i="22"/>
  <c r="AU539" i="22"/>
  <c r="AU538" i="22"/>
  <c r="AU537" i="22"/>
  <c r="AU536" i="22"/>
  <c r="AU535" i="22"/>
  <c r="AU534" i="22"/>
  <c r="AU533" i="22"/>
  <c r="AU532" i="22"/>
  <c r="AU531" i="22"/>
  <c r="AU530" i="22"/>
  <c r="AU529" i="22"/>
  <c r="AU528" i="22"/>
  <c r="AU527" i="22"/>
  <c r="AU526" i="22"/>
  <c r="AU525" i="22"/>
  <c r="AU524" i="22"/>
  <c r="AU523" i="22"/>
  <c r="AU522" i="22"/>
  <c r="AU521" i="22"/>
  <c r="AU520" i="22"/>
  <c r="AU519" i="22"/>
  <c r="AU518" i="22"/>
  <c r="AU517" i="22"/>
  <c r="AU516" i="22"/>
  <c r="AU515" i="22"/>
  <c r="AU514" i="22"/>
  <c r="AU513" i="22"/>
  <c r="AU512" i="22"/>
  <c r="AU511" i="22"/>
  <c r="AU510" i="22"/>
  <c r="AU509" i="22"/>
  <c r="AU508" i="22"/>
  <c r="AU507" i="22"/>
  <c r="AU506" i="22"/>
  <c r="AU505" i="22"/>
  <c r="AU504" i="22"/>
  <c r="AU503" i="22"/>
  <c r="AU502" i="22"/>
  <c r="AU501" i="22"/>
  <c r="AU500" i="22"/>
  <c r="AU499" i="22"/>
  <c r="AU498" i="22"/>
  <c r="AU496" i="22"/>
  <c r="AU495" i="22"/>
  <c r="AU494" i="22"/>
  <c r="AU493" i="22"/>
  <c r="AU492" i="22"/>
  <c r="AU491" i="22"/>
  <c r="AU490" i="22"/>
  <c r="AU489" i="22"/>
  <c r="AU488" i="22"/>
  <c r="AU487" i="22"/>
  <c r="AU486" i="22"/>
  <c r="AU485" i="22"/>
  <c r="AU484" i="22"/>
  <c r="AU483" i="22"/>
  <c r="AU482" i="22"/>
  <c r="AU481" i="22"/>
  <c r="AU480" i="22"/>
  <c r="AU479" i="22"/>
  <c r="AU478" i="22"/>
  <c r="AU477" i="22"/>
  <c r="AU476" i="22"/>
  <c r="AU475" i="22"/>
  <c r="AU474" i="22"/>
  <c r="AU473" i="22"/>
  <c r="AU472" i="22"/>
  <c r="AU471" i="22"/>
  <c r="AU470" i="22"/>
  <c r="AU469" i="22"/>
  <c r="AU468" i="22"/>
  <c r="AU467" i="22"/>
  <c r="AU466" i="22"/>
  <c r="AU465" i="22"/>
  <c r="AU464" i="22"/>
  <c r="AU463" i="22"/>
  <c r="AU462" i="22"/>
  <c r="AU461" i="22"/>
  <c r="AU460" i="22"/>
  <c r="AU459" i="22"/>
  <c r="AU458" i="22"/>
  <c r="AU457" i="22"/>
  <c r="AU455" i="22"/>
  <c r="AU454" i="22"/>
  <c r="AU453" i="22"/>
  <c r="AU452" i="22"/>
  <c r="AU451" i="22"/>
  <c r="AU450" i="22"/>
  <c r="AU449" i="22"/>
  <c r="AU448" i="22"/>
  <c r="AU447" i="22"/>
  <c r="AU446" i="22"/>
  <c r="AU445" i="22"/>
  <c r="AU444" i="22"/>
  <c r="AU443" i="22"/>
  <c r="AU442" i="22"/>
  <c r="AU441" i="22"/>
  <c r="AU440" i="22"/>
  <c r="AU439" i="22"/>
  <c r="AU438" i="22"/>
  <c r="AU437" i="22"/>
  <c r="AU436" i="22"/>
  <c r="AU435" i="22"/>
  <c r="AU434" i="22"/>
  <c r="AU433" i="22"/>
  <c r="AU432" i="22"/>
  <c r="AU431" i="22"/>
  <c r="AU430" i="22"/>
  <c r="AU429" i="22"/>
  <c r="AU428" i="22"/>
  <c r="AU427" i="22"/>
  <c r="AU426" i="22"/>
  <c r="AU425" i="22"/>
  <c r="AU424" i="22"/>
  <c r="AU423" i="22"/>
  <c r="AU422" i="22"/>
  <c r="AU421" i="22"/>
  <c r="AU420" i="22"/>
  <c r="AU419" i="22"/>
  <c r="AU418" i="22"/>
  <c r="AU417" i="22"/>
  <c r="AU416" i="22"/>
  <c r="AU414" i="22"/>
  <c r="AU412" i="22"/>
  <c r="AU411" i="22"/>
  <c r="AU410" i="22"/>
  <c r="AU408" i="22"/>
  <c r="AU407" i="22"/>
  <c r="AU406" i="22"/>
  <c r="AU405" i="22"/>
  <c r="AU404" i="22"/>
  <c r="AU403" i="22"/>
  <c r="AU402" i="22"/>
  <c r="AU401" i="22"/>
  <c r="AU399" i="22"/>
  <c r="AU398" i="22"/>
  <c r="AU397" i="22"/>
  <c r="AU396" i="22"/>
  <c r="AU395" i="22"/>
  <c r="AU394" i="22"/>
  <c r="AU393" i="22"/>
  <c r="AU392" i="22"/>
  <c r="AU391" i="22"/>
  <c r="AU390" i="22"/>
  <c r="AU389" i="22"/>
  <c r="AU388" i="22"/>
  <c r="AU387" i="22"/>
  <c r="AU386" i="22"/>
  <c r="AU385" i="22"/>
  <c r="AU384" i="22"/>
  <c r="AU383" i="22"/>
  <c r="AU382" i="22"/>
  <c r="AU381" i="22"/>
  <c r="AU380" i="22"/>
  <c r="AU379" i="22"/>
  <c r="AU378" i="22"/>
  <c r="AU377" i="22"/>
  <c r="AU376" i="22"/>
  <c r="AU375" i="22"/>
  <c r="AU374" i="22"/>
  <c r="AU373" i="22"/>
  <c r="AU372" i="22"/>
  <c r="AU371" i="22"/>
  <c r="AU370" i="22"/>
  <c r="AU369" i="22"/>
  <c r="AU368" i="22"/>
  <c r="AU366" i="22"/>
  <c r="AU365" i="22"/>
  <c r="AU364" i="22"/>
  <c r="AU363" i="22"/>
  <c r="AU362" i="22"/>
  <c r="AU361" i="22"/>
  <c r="AU360" i="22"/>
  <c r="AU359" i="22"/>
  <c r="AU358" i="22"/>
  <c r="AU357" i="22"/>
  <c r="AU356" i="22"/>
  <c r="AU355" i="22"/>
  <c r="AU354" i="22"/>
  <c r="AU353" i="22"/>
  <c r="AU352" i="22"/>
  <c r="AU351" i="22"/>
  <c r="AU350" i="22"/>
  <c r="AU349" i="22"/>
  <c r="AU348" i="22"/>
  <c r="AU347" i="22"/>
  <c r="AU345" i="22"/>
  <c r="AU344" i="22"/>
  <c r="AU343" i="22"/>
  <c r="AU342" i="22"/>
  <c r="AU341" i="22"/>
  <c r="AU340" i="22"/>
  <c r="AU339" i="22"/>
  <c r="AU338" i="22"/>
  <c r="AU337" i="22"/>
  <c r="AU336" i="22"/>
  <c r="AU335" i="22"/>
  <c r="AU334" i="22"/>
  <c r="AU333" i="22"/>
  <c r="AU332" i="22"/>
  <c r="AU331" i="22"/>
  <c r="AU330" i="22"/>
  <c r="AU329" i="22"/>
  <c r="AU328" i="22"/>
  <c r="AU327" i="22"/>
  <c r="AU326" i="22"/>
  <c r="AU325" i="22"/>
  <c r="AU324" i="22"/>
  <c r="AU323" i="22"/>
  <c r="AU322" i="22"/>
  <c r="AU321" i="22"/>
  <c r="AU320" i="22"/>
  <c r="AU319" i="22"/>
  <c r="AU314" i="22"/>
  <c r="AU313" i="22"/>
  <c r="AU312" i="22"/>
  <c r="AU311" i="22"/>
  <c r="AU310" i="22"/>
  <c r="AU309" i="22"/>
  <c r="AU308" i="22"/>
  <c r="AU307" i="22"/>
  <c r="AU306" i="22"/>
  <c r="AU305" i="22"/>
  <c r="AU304" i="22"/>
  <c r="AU303" i="22"/>
  <c r="AU302" i="22"/>
  <c r="AU301" i="22"/>
  <c r="AU300" i="22"/>
  <c r="AU299" i="22"/>
  <c r="AU298" i="22"/>
  <c r="AU297" i="22"/>
  <c r="AU296" i="22"/>
  <c r="AU295" i="22"/>
  <c r="AU294" i="22"/>
  <c r="AU293" i="22"/>
  <c r="AU289" i="22"/>
  <c r="AU292" i="22"/>
  <c r="AU291" i="22"/>
  <c r="AU290" i="22"/>
  <c r="AU288" i="22"/>
  <c r="AU287" i="22"/>
  <c r="AU285" i="22"/>
  <c r="AU284" i="22"/>
  <c r="AU283" i="22"/>
  <c r="AU282" i="22"/>
  <c r="AU281" i="22"/>
  <c r="AU280" i="22"/>
  <c r="AU279" i="22"/>
  <c r="AU278" i="22"/>
  <c r="AU277" i="22"/>
  <c r="AU276" i="22"/>
  <c r="AU275" i="22"/>
  <c r="AU274" i="22"/>
  <c r="AU273" i="22"/>
  <c r="AU272" i="22"/>
  <c r="AU271" i="22"/>
  <c r="AU270" i="22"/>
  <c r="AU269" i="22"/>
  <c r="AU268" i="22"/>
  <c r="AU267" i="22"/>
  <c r="AU266" i="22"/>
  <c r="AU265" i="22"/>
  <c r="AU264" i="22"/>
  <c r="AU263" i="22"/>
  <c r="AU262" i="22"/>
  <c r="AU261" i="22"/>
  <c r="AU260" i="22"/>
  <c r="AU259" i="22"/>
  <c r="AU258" i="22"/>
  <c r="AU257" i="22"/>
  <c r="AU256" i="22"/>
  <c r="AU255" i="22"/>
  <c r="AU254" i="22"/>
  <c r="AU253" i="22"/>
  <c r="AU252" i="22"/>
  <c r="AU251" i="22"/>
  <c r="AU250" i="22"/>
  <c r="AU249" i="22"/>
  <c r="AU248" i="22"/>
  <c r="AU247" i="22"/>
  <c r="AU246" i="22"/>
  <c r="AU245" i="22"/>
  <c r="AU244" i="22"/>
  <c r="AU243" i="22"/>
  <c r="AU242" i="22"/>
  <c r="AU241" i="22"/>
  <c r="AU240" i="22"/>
  <c r="AU239" i="22"/>
  <c r="AU238" i="22"/>
  <c r="AU237" i="22"/>
  <c r="AU236" i="22"/>
  <c r="AU235" i="22"/>
  <c r="AU234" i="22"/>
  <c r="AU233" i="22"/>
  <c r="AU232" i="22"/>
  <c r="AU231" i="22"/>
  <c r="AU230" i="22"/>
  <c r="AU229" i="22"/>
  <c r="AU228" i="22"/>
  <c r="AU227" i="22"/>
  <c r="AU226" i="22"/>
  <c r="AU225" i="22"/>
  <c r="AU224" i="22"/>
  <c r="AU223" i="22"/>
  <c r="AU222" i="22"/>
  <c r="AU221" i="22"/>
  <c r="AU220" i="22"/>
  <c r="AU219" i="22"/>
  <c r="AU218" i="22"/>
  <c r="AU217" i="22"/>
  <c r="AU216" i="22"/>
  <c r="AU215" i="22"/>
  <c r="AU214" i="22"/>
  <c r="AU213" i="22"/>
  <c r="AU212" i="22"/>
  <c r="AU211" i="22"/>
  <c r="AU210" i="22"/>
  <c r="AU209" i="22"/>
  <c r="AU208" i="22"/>
  <c r="AU207" i="22"/>
  <c r="AU206" i="22"/>
  <c r="AU205" i="22"/>
  <c r="AU204" i="22"/>
  <c r="AU203" i="22"/>
  <c r="AU202" i="22"/>
  <c r="AU201" i="22"/>
  <c r="AU200" i="22"/>
  <c r="AU199" i="22"/>
  <c r="AU198" i="22"/>
  <c r="AU197" i="22"/>
  <c r="AU196" i="22"/>
  <c r="AU195" i="22"/>
  <c r="AU194" i="22"/>
  <c r="AU193" i="22"/>
  <c r="AU192" i="22"/>
  <c r="AU191" i="22"/>
  <c r="AU190" i="22"/>
  <c r="AU189" i="22"/>
  <c r="AU188" i="22"/>
  <c r="AU187" i="22"/>
  <c r="AU186" i="22"/>
  <c r="AU185" i="22"/>
  <c r="AU184" i="22"/>
  <c r="AU183" i="22"/>
  <c r="AU182" i="22"/>
  <c r="AU181" i="22"/>
  <c r="AU180" i="22"/>
  <c r="AU179" i="22"/>
  <c r="AU178" i="22"/>
  <c r="AU177" i="22"/>
  <c r="AU176" i="22"/>
  <c r="AU175" i="22"/>
  <c r="AU174" i="22"/>
  <c r="AU173" i="22"/>
  <c r="AU172" i="22"/>
  <c r="AU171" i="22"/>
  <c r="AT171" i="22"/>
  <c r="Y171" i="22"/>
  <c r="AU170" i="22"/>
  <c r="AU169" i="22"/>
  <c r="AU168" i="22"/>
  <c r="AU167" i="22"/>
  <c r="AU166" i="22"/>
  <c r="AU165" i="22"/>
  <c r="AU164" i="22"/>
  <c r="AU163" i="22"/>
  <c r="AU162" i="22"/>
  <c r="AU161" i="22"/>
  <c r="AU160" i="22"/>
  <c r="AU159" i="22"/>
  <c r="AU158" i="22"/>
  <c r="AU157" i="22"/>
  <c r="AU156" i="22"/>
  <c r="AU155" i="22"/>
  <c r="AU154" i="22"/>
  <c r="AU153" i="22"/>
  <c r="AU152" i="22"/>
  <c r="AU151" i="22"/>
  <c r="AU150" i="22"/>
  <c r="AU149" i="22"/>
  <c r="AU148" i="22"/>
  <c r="AU147" i="22"/>
  <c r="AU146" i="22"/>
  <c r="AU145" i="22"/>
  <c r="AU144" i="22"/>
  <c r="AU143" i="22"/>
  <c r="AU142" i="22"/>
  <c r="AU141" i="22"/>
  <c r="AU140" i="22"/>
  <c r="AU139" i="22"/>
  <c r="AU138" i="22"/>
  <c r="AU137" i="22"/>
  <c r="AU136" i="22"/>
  <c r="AU135" i="22"/>
  <c r="AU134" i="22"/>
  <c r="AU133" i="22"/>
  <c r="AU132" i="22"/>
  <c r="AU131" i="22"/>
  <c r="AU130" i="22"/>
  <c r="AU129" i="22"/>
  <c r="AU128" i="22"/>
  <c r="AU127" i="22"/>
  <c r="AU126" i="22"/>
  <c r="AU125" i="22"/>
  <c r="AU124" i="22"/>
  <c r="AU123" i="22"/>
  <c r="AU122" i="22"/>
  <c r="AU121" i="22"/>
  <c r="AU120" i="22"/>
  <c r="AU119" i="22"/>
  <c r="AU118" i="22"/>
  <c r="AU117" i="22"/>
  <c r="AU116" i="22"/>
  <c r="AU115" i="22"/>
  <c r="AU114" i="22"/>
  <c r="AU113" i="22"/>
  <c r="AU112" i="22"/>
  <c r="AU111" i="22"/>
  <c r="AU110" i="22"/>
  <c r="AU109" i="22"/>
  <c r="AU108" i="22"/>
  <c r="AU107" i="22"/>
  <c r="AU106" i="22"/>
  <c r="AU105" i="22"/>
  <c r="AU104" i="22"/>
  <c r="AU103" i="22"/>
  <c r="AU102" i="22"/>
  <c r="AU101" i="22"/>
  <c r="AU100" i="22"/>
  <c r="AU99" i="22"/>
  <c r="AU98" i="22"/>
  <c r="AU97" i="22"/>
  <c r="AU96" i="22"/>
  <c r="AU95" i="22"/>
  <c r="AU94" i="22"/>
  <c r="AU93" i="22"/>
  <c r="AU92" i="22"/>
  <c r="AU91" i="22"/>
  <c r="AU90" i="22"/>
  <c r="AU88" i="22"/>
  <c r="AU89" i="22"/>
  <c r="AU87" i="22"/>
  <c r="AU86" i="22"/>
  <c r="AU85" i="22"/>
  <c r="AU84" i="22"/>
  <c r="AU83" i="22"/>
  <c r="AU82" i="22"/>
  <c r="AU81" i="22"/>
  <c r="AU80" i="22"/>
  <c r="AU79" i="22"/>
  <c r="AU78" i="22"/>
  <c r="AU77" i="22"/>
  <c r="AU76" i="22"/>
  <c r="AU75" i="22"/>
  <c r="AU74" i="22"/>
  <c r="AU73" i="22"/>
  <c r="AU72" i="22"/>
  <c r="AU71" i="22"/>
  <c r="AU70" i="22"/>
  <c r="AU69" i="22"/>
  <c r="AU68" i="22"/>
  <c r="AU67" i="22"/>
  <c r="AU66" i="22"/>
  <c r="AU65" i="22"/>
  <c r="AU64" i="22"/>
  <c r="AU63" i="22"/>
  <c r="AU62" i="22"/>
  <c r="AU61" i="22"/>
  <c r="AU60" i="22"/>
  <c r="AU59" i="22"/>
  <c r="AU58" i="22"/>
  <c r="AU57" i="22"/>
  <c r="AU56" i="22"/>
  <c r="AU55" i="22"/>
  <c r="AU54" i="22"/>
  <c r="AU53" i="22"/>
  <c r="AU52" i="22"/>
  <c r="AU51" i="22"/>
  <c r="AU50" i="22"/>
  <c r="AU49" i="22"/>
  <c r="AU48" i="22"/>
  <c r="AU47" i="22"/>
  <c r="AU46" i="22"/>
  <c r="AU45" i="22"/>
  <c r="AU44" i="22"/>
  <c r="AU42" i="22"/>
  <c r="AU41" i="22"/>
  <c r="AU40" i="22"/>
  <c r="AU39" i="22"/>
  <c r="AU38" i="22"/>
  <c r="AU37" i="22"/>
  <c r="AU36" i="22"/>
  <c r="AU35" i="22"/>
  <c r="AU34" i="22"/>
  <c r="AU33" i="22"/>
  <c r="AU32" i="22"/>
  <c r="AU31" i="22"/>
  <c r="AU30" i="22"/>
  <c r="AU29" i="22"/>
  <c r="AU28" i="22"/>
  <c r="AU27" i="22"/>
  <c r="AU26" i="22"/>
  <c r="AU25" i="22"/>
  <c r="AU24" i="22"/>
  <c r="AU23" i="22"/>
  <c r="AU22" i="22"/>
  <c r="AU21" i="22"/>
  <c r="AU20" i="22"/>
  <c r="AU19" i="22"/>
  <c r="AU18" i="22"/>
  <c r="AU17" i="22"/>
  <c r="AU16" i="22"/>
  <c r="AU15" i="22"/>
  <c r="AU14" i="22"/>
  <c r="AU13" i="22"/>
  <c r="AU12" i="22"/>
  <c r="AU11" i="22"/>
  <c r="AT618" i="22"/>
  <c r="AT617" i="22"/>
  <c r="AT616" i="22"/>
  <c r="AT615" i="22"/>
  <c r="AT614" i="22"/>
  <c r="AT613" i="22"/>
  <c r="AT612" i="22"/>
  <c r="AT611" i="22"/>
  <c r="AT610" i="22"/>
  <c r="AT609" i="22"/>
  <c r="AT608" i="22"/>
  <c r="AT607" i="22"/>
  <c r="AT606" i="22"/>
  <c r="AT605" i="22"/>
  <c r="AT604" i="22"/>
  <c r="AT603" i="22"/>
  <c r="AT602" i="22"/>
  <c r="AT601" i="22"/>
  <c r="AT600" i="22"/>
  <c r="AT599" i="22"/>
  <c r="AT598" i="22"/>
  <c r="AT597" i="22"/>
  <c r="AT596" i="22"/>
  <c r="AT595" i="22"/>
  <c r="AT594" i="22"/>
  <c r="AT593" i="22"/>
  <c r="AT592" i="22"/>
  <c r="AT591" i="22"/>
  <c r="AT590" i="22"/>
  <c r="AT589" i="22"/>
  <c r="AT588" i="22"/>
  <c r="AT587" i="22"/>
  <c r="AT586" i="22"/>
  <c r="AT585" i="22"/>
  <c r="AT584" i="22"/>
  <c r="AT583" i="22"/>
  <c r="AT582" i="22"/>
  <c r="AT581" i="22"/>
  <c r="AT580" i="22"/>
  <c r="AT579" i="22"/>
  <c r="AT578" i="22"/>
  <c r="AT577" i="22"/>
  <c r="AT576" i="22"/>
  <c r="AT575" i="22"/>
  <c r="AT574" i="22"/>
  <c r="AT573" i="22"/>
  <c r="AT572" i="22"/>
  <c r="AT571" i="22"/>
  <c r="AT570" i="22"/>
  <c r="AT569" i="22"/>
  <c r="AT568" i="22"/>
  <c r="AT567" i="22"/>
  <c r="AT566" i="22"/>
  <c r="AT565" i="22"/>
  <c r="AT564" i="22"/>
  <c r="AT563" i="22"/>
  <c r="AT562" i="22"/>
  <c r="AT561" i="22"/>
  <c r="AT560" i="22"/>
  <c r="AT559" i="22"/>
  <c r="AT558" i="22"/>
  <c r="AT557" i="22"/>
  <c r="AT556" i="22"/>
  <c r="AT555" i="22"/>
  <c r="AT554" i="22"/>
  <c r="AT553" i="22"/>
  <c r="AT552" i="22"/>
  <c r="AT551" i="22"/>
  <c r="AT550" i="22"/>
  <c r="AT549" i="22"/>
  <c r="AT548" i="22"/>
  <c r="AT547" i="22"/>
  <c r="AT546" i="22"/>
  <c r="AT545" i="22"/>
  <c r="AT544" i="22"/>
  <c r="AT543" i="22"/>
  <c r="AT542" i="22"/>
  <c r="AT541" i="22"/>
  <c r="AT540" i="22"/>
  <c r="AT539" i="22"/>
  <c r="AT538" i="22"/>
  <c r="AT537" i="22"/>
  <c r="AT536" i="22"/>
  <c r="AT535" i="22"/>
  <c r="AT534" i="22"/>
  <c r="AT533" i="22"/>
  <c r="AT532" i="22"/>
  <c r="AT531" i="22"/>
  <c r="AT530" i="22"/>
  <c r="AT529" i="22"/>
  <c r="AT528" i="22"/>
  <c r="AT527" i="22"/>
  <c r="AT526" i="22"/>
  <c r="AT525" i="22"/>
  <c r="AT524" i="22"/>
  <c r="AT523" i="22"/>
  <c r="AT522" i="22"/>
  <c r="AT521" i="22"/>
  <c r="AT520" i="22"/>
  <c r="AT519" i="22"/>
  <c r="AT518" i="22"/>
  <c r="AT517" i="22"/>
  <c r="AT516" i="22"/>
  <c r="AT515" i="22"/>
  <c r="AT514" i="22"/>
  <c r="AT513" i="22"/>
  <c r="AT512" i="22"/>
  <c r="AT511" i="22"/>
  <c r="AT510" i="22"/>
  <c r="AT509" i="22"/>
  <c r="AT508" i="22"/>
  <c r="AT507" i="22"/>
  <c r="AT506" i="22"/>
  <c r="AT505" i="22"/>
  <c r="AT504" i="22"/>
  <c r="AT503" i="22"/>
  <c r="AT502" i="22"/>
  <c r="AT501" i="22"/>
  <c r="AT500" i="22"/>
  <c r="AT499" i="22"/>
  <c r="AT498" i="22"/>
  <c r="AT497" i="22"/>
  <c r="AT496" i="22"/>
  <c r="AT495" i="22"/>
  <c r="AT494" i="22"/>
  <c r="AT493" i="22"/>
  <c r="AT492" i="22"/>
  <c r="AT491" i="22"/>
  <c r="AT490" i="22"/>
  <c r="AT489" i="22"/>
  <c r="AT488" i="22"/>
  <c r="AT487" i="22"/>
  <c r="AT486" i="22"/>
  <c r="AT485" i="22"/>
  <c r="AT484" i="22"/>
  <c r="AT483" i="22"/>
  <c r="AT482" i="22"/>
  <c r="AT481" i="22"/>
  <c r="AT480" i="22"/>
  <c r="AT479" i="22"/>
  <c r="AT478" i="22"/>
  <c r="AT477" i="22"/>
  <c r="AT476" i="22"/>
  <c r="AT475" i="22"/>
  <c r="AT474" i="22"/>
  <c r="AT473" i="22"/>
  <c r="AT472" i="22"/>
  <c r="AT471" i="22"/>
  <c r="AT470" i="22"/>
  <c r="AT469" i="22"/>
  <c r="AT468" i="22"/>
  <c r="AT467" i="22"/>
  <c r="AT466" i="22"/>
  <c r="AT465" i="22"/>
  <c r="AT464" i="22"/>
  <c r="AT463" i="22"/>
  <c r="AT462" i="22"/>
  <c r="AT461" i="22"/>
  <c r="AT460" i="22"/>
  <c r="AT459" i="22"/>
  <c r="AT458" i="22"/>
  <c r="AT457" i="22"/>
  <c r="AT455" i="22"/>
  <c r="AT454" i="22"/>
  <c r="AT453" i="22"/>
  <c r="AT452" i="22"/>
  <c r="AT451" i="22"/>
  <c r="AT450" i="22"/>
  <c r="AT449" i="22"/>
  <c r="AT448" i="22"/>
  <c r="AT447" i="22"/>
  <c r="AT446" i="22"/>
  <c r="AT445" i="22"/>
  <c r="AT444" i="22"/>
  <c r="AT443" i="22"/>
  <c r="AT442" i="22"/>
  <c r="AT441" i="22"/>
  <c r="AT440" i="22"/>
  <c r="AT439" i="22"/>
  <c r="AT438" i="22"/>
  <c r="AT437" i="22"/>
  <c r="AT436" i="22"/>
  <c r="AT435" i="22"/>
  <c r="AT434" i="22"/>
  <c r="AT433" i="22"/>
  <c r="AT432" i="22"/>
  <c r="AT431" i="22"/>
  <c r="AT430" i="22"/>
  <c r="AT429" i="22"/>
  <c r="AT428" i="22"/>
  <c r="AT427" i="22"/>
  <c r="AT426" i="22"/>
  <c r="AT425" i="22"/>
  <c r="AT424" i="22"/>
  <c r="AT423" i="22"/>
  <c r="AT422" i="22"/>
  <c r="AT421" i="22"/>
  <c r="AT420" i="22"/>
  <c r="AT419" i="22"/>
  <c r="AT418" i="22"/>
  <c r="AT417" i="22"/>
  <c r="AT416" i="22"/>
  <c r="AT414" i="22"/>
  <c r="AT412" i="22"/>
  <c r="AT411" i="22"/>
  <c r="AT410" i="22"/>
  <c r="AT408" i="22"/>
  <c r="AT407" i="22"/>
  <c r="AT406" i="22"/>
  <c r="AT405" i="22"/>
  <c r="AT404" i="22"/>
  <c r="AT403" i="22"/>
  <c r="AT402" i="22"/>
  <c r="AT401" i="22"/>
  <c r="AT399" i="22"/>
  <c r="AT398" i="22"/>
  <c r="AT397" i="22"/>
  <c r="AT396" i="22"/>
  <c r="AT395" i="22"/>
  <c r="AT394" i="22"/>
  <c r="AT393" i="22"/>
  <c r="AT392" i="22"/>
  <c r="AT391" i="22"/>
  <c r="AT390" i="22"/>
  <c r="AT389" i="22"/>
  <c r="AT388" i="22"/>
  <c r="AT387" i="22"/>
  <c r="AT386" i="22"/>
  <c r="AT385" i="22"/>
  <c r="AT384" i="22"/>
  <c r="AT383" i="22"/>
  <c r="AT382" i="22"/>
  <c r="AT381" i="22"/>
  <c r="AT380" i="22"/>
  <c r="AT379" i="22"/>
  <c r="AT378" i="22"/>
  <c r="AT377" i="22"/>
  <c r="AT376" i="22"/>
  <c r="AT375" i="22"/>
  <c r="AT374" i="22"/>
  <c r="AT373" i="22"/>
  <c r="AT372" i="22"/>
  <c r="AT371" i="22"/>
  <c r="AT370" i="22"/>
  <c r="AT369" i="22"/>
  <c r="AT368" i="22"/>
  <c r="AT366" i="22"/>
  <c r="AT365" i="22"/>
  <c r="AT364" i="22"/>
  <c r="AT363" i="22"/>
  <c r="AT362" i="22"/>
  <c r="AT361" i="22"/>
  <c r="AT360" i="22"/>
  <c r="AT359" i="22"/>
  <c r="AT358" i="22"/>
  <c r="AT357" i="22"/>
  <c r="AT356" i="22"/>
  <c r="AT355" i="22"/>
  <c r="AT354" i="22"/>
  <c r="AT353" i="22"/>
  <c r="AT352" i="22"/>
  <c r="AT351" i="22"/>
  <c r="AT350" i="22"/>
  <c r="AT349" i="22"/>
  <c r="AT348" i="22"/>
  <c r="AT347" i="22"/>
  <c r="AT345" i="22"/>
  <c r="AT344" i="22"/>
  <c r="AT343" i="22"/>
  <c r="AT342" i="22"/>
  <c r="AT341" i="22"/>
  <c r="AT340" i="22"/>
  <c r="AT339" i="22"/>
  <c r="AT338" i="22"/>
  <c r="AT337" i="22"/>
  <c r="AT336" i="22"/>
  <c r="AT335" i="22"/>
  <c r="AT334" i="22"/>
  <c r="AT333" i="22"/>
  <c r="AT332" i="22"/>
  <c r="AT331" i="22"/>
  <c r="AT330" i="22"/>
  <c r="AT329" i="22"/>
  <c r="AT328" i="22"/>
  <c r="AT327" i="22"/>
  <c r="AT326" i="22"/>
  <c r="AT325" i="22"/>
  <c r="AT324" i="22"/>
  <c r="AT323" i="22"/>
  <c r="AT322" i="22"/>
  <c r="AT321" i="22"/>
  <c r="AT320" i="22"/>
  <c r="AT319" i="22"/>
  <c r="AT317" i="22"/>
  <c r="AT316" i="22"/>
  <c r="AT315" i="22"/>
  <c r="AT314" i="22"/>
  <c r="AT313" i="22"/>
  <c r="AT312" i="22"/>
  <c r="AT311" i="22"/>
  <c r="AT310" i="22"/>
  <c r="AT309" i="22"/>
  <c r="AT308" i="22"/>
  <c r="AT307" i="22"/>
  <c r="AT306" i="22"/>
  <c r="AT305" i="22"/>
  <c r="AT304" i="22"/>
  <c r="AT303" i="22"/>
  <c r="AT302" i="22"/>
  <c r="AT301" i="22"/>
  <c r="AT300" i="22"/>
  <c r="AT299" i="22"/>
  <c r="AT298" i="22"/>
  <c r="AT297" i="22"/>
  <c r="AT296" i="22"/>
  <c r="AT295" i="22"/>
  <c r="AT294" i="22"/>
  <c r="AT293" i="22"/>
  <c r="AT289" i="22"/>
  <c r="AT292" i="22"/>
  <c r="AT291" i="22"/>
  <c r="AT290" i="22"/>
  <c r="AT288" i="22"/>
  <c r="AT287" i="22"/>
  <c r="AT285" i="22"/>
  <c r="AT284" i="22"/>
  <c r="AT283" i="22"/>
  <c r="AT282" i="22"/>
  <c r="AT281" i="22"/>
  <c r="AT280" i="22"/>
  <c r="AT279" i="22"/>
  <c r="AT278" i="22"/>
  <c r="AT277" i="22"/>
  <c r="AT276" i="22"/>
  <c r="AT275" i="22"/>
  <c r="AT274" i="22"/>
  <c r="AT273" i="22"/>
  <c r="AT272" i="22"/>
  <c r="AT271" i="22"/>
  <c r="AT270" i="22"/>
  <c r="AT269" i="22"/>
  <c r="AT268" i="22"/>
  <c r="AT267" i="22"/>
  <c r="AT266" i="22"/>
  <c r="AT265" i="22"/>
  <c r="AT264" i="22"/>
  <c r="AT263" i="22"/>
  <c r="AT262" i="22"/>
  <c r="AT261" i="22"/>
  <c r="AT260" i="22"/>
  <c r="AT259" i="22"/>
  <c r="AT258" i="22"/>
  <c r="AT257" i="22"/>
  <c r="AT256" i="22"/>
  <c r="AT255" i="22"/>
  <c r="AT254" i="22"/>
  <c r="AT253" i="22"/>
  <c r="AT252" i="22"/>
  <c r="AT251" i="22"/>
  <c r="AT250" i="22"/>
  <c r="AT249" i="22"/>
  <c r="AT248" i="22"/>
  <c r="AT247" i="22"/>
  <c r="AT246" i="22"/>
  <c r="AT245" i="22"/>
  <c r="AT244" i="22"/>
  <c r="AT243" i="22"/>
  <c r="AT242" i="22"/>
  <c r="AT241" i="22"/>
  <c r="AT240" i="22"/>
  <c r="AT239" i="22"/>
  <c r="AT238" i="22"/>
  <c r="AT237" i="22"/>
  <c r="AT236" i="22"/>
  <c r="AT235" i="22"/>
  <c r="AT234" i="22"/>
  <c r="AT233" i="22"/>
  <c r="AT232" i="22"/>
  <c r="AT231" i="22"/>
  <c r="AT230" i="22"/>
  <c r="AT229" i="22"/>
  <c r="AT228" i="22"/>
  <c r="AT227" i="22"/>
  <c r="AT226" i="22"/>
  <c r="AT225" i="22"/>
  <c r="AT224" i="22"/>
  <c r="AT223" i="22"/>
  <c r="AT222" i="22"/>
  <c r="AT221" i="22"/>
  <c r="AT220" i="22"/>
  <c r="AT219" i="22"/>
  <c r="AT218" i="22"/>
  <c r="AT217" i="22"/>
  <c r="AT216" i="22"/>
  <c r="AT215" i="22"/>
  <c r="AT214" i="22"/>
  <c r="AT213" i="22"/>
  <c r="AT212" i="22"/>
  <c r="AT211" i="22"/>
  <c r="AT210" i="22"/>
  <c r="AT209" i="22"/>
  <c r="AT208" i="22"/>
  <c r="AT207" i="22"/>
  <c r="AT206" i="22"/>
  <c r="AT205" i="22"/>
  <c r="AT204" i="22"/>
  <c r="AT203" i="22"/>
  <c r="AT202" i="22"/>
  <c r="AT201" i="22"/>
  <c r="AT200" i="22"/>
  <c r="AT199" i="22"/>
  <c r="AT198" i="22"/>
  <c r="AT197" i="22"/>
  <c r="AT196" i="22"/>
  <c r="AT195" i="22"/>
  <c r="AT194" i="22"/>
  <c r="AT193" i="22"/>
  <c r="AT192" i="22"/>
  <c r="AT191" i="22"/>
  <c r="AT190" i="22"/>
  <c r="AT189" i="22"/>
  <c r="AT188" i="22"/>
  <c r="AT187" i="22"/>
  <c r="AT186" i="22"/>
  <c r="AT185" i="22"/>
  <c r="AT184" i="22"/>
  <c r="AT183" i="22"/>
  <c r="AT182" i="22"/>
  <c r="AT181" i="22"/>
  <c r="AT180" i="22"/>
  <c r="AT179" i="22"/>
  <c r="AT178" i="22"/>
  <c r="AT177" i="22"/>
  <c r="AT176" i="22"/>
  <c r="AT175" i="22"/>
  <c r="AT174" i="22"/>
  <c r="AT173" i="22"/>
  <c r="AT172" i="22"/>
  <c r="AT170" i="22"/>
  <c r="AT169" i="22"/>
  <c r="AT168" i="22"/>
  <c r="AT167" i="22"/>
  <c r="AT166" i="22"/>
  <c r="AT165" i="22"/>
  <c r="AT164" i="22"/>
  <c r="AT163" i="22"/>
  <c r="AT162" i="22"/>
  <c r="AT161" i="22"/>
  <c r="AT160" i="22"/>
  <c r="AT159" i="22"/>
  <c r="AT158" i="22"/>
  <c r="AT157" i="22"/>
  <c r="AT156" i="22"/>
  <c r="AT155" i="22"/>
  <c r="AT154" i="22"/>
  <c r="AT153" i="22"/>
  <c r="AT152" i="22"/>
  <c r="AT151" i="22"/>
  <c r="AT150" i="22"/>
  <c r="AT149" i="22"/>
  <c r="AT148" i="22"/>
  <c r="AT147" i="22"/>
  <c r="AT146" i="22"/>
  <c r="AT145" i="22"/>
  <c r="AT144" i="22"/>
  <c r="AT143" i="22"/>
  <c r="AT142" i="22"/>
  <c r="AT141" i="22"/>
  <c r="AT140" i="22"/>
  <c r="AT139" i="22"/>
  <c r="AT138" i="22"/>
  <c r="AT137" i="22"/>
  <c r="AT136" i="22"/>
  <c r="AT135" i="22"/>
  <c r="AT134" i="22"/>
  <c r="AT133" i="22"/>
  <c r="AT132" i="22"/>
  <c r="AT131" i="22"/>
  <c r="AT130" i="22"/>
  <c r="AT129" i="22"/>
  <c r="AT128" i="22"/>
  <c r="AT127" i="22"/>
  <c r="AT126" i="22"/>
  <c r="AT125" i="22"/>
  <c r="AT124" i="22"/>
  <c r="AT123" i="22"/>
  <c r="AT122" i="22"/>
  <c r="AT121" i="22"/>
  <c r="AT120" i="22"/>
  <c r="AT119" i="22"/>
  <c r="AT118" i="22"/>
  <c r="AT117" i="22"/>
  <c r="AT116" i="22"/>
  <c r="AT115" i="22"/>
  <c r="AT114" i="22"/>
  <c r="AT113" i="22"/>
  <c r="AT112" i="22"/>
  <c r="AT111" i="22"/>
  <c r="AT110" i="22"/>
  <c r="AT109" i="22"/>
  <c r="AT108" i="22"/>
  <c r="AT107" i="22"/>
  <c r="AT106" i="22"/>
  <c r="AT105" i="22"/>
  <c r="AT104" i="22"/>
  <c r="AT103" i="22"/>
  <c r="AT102" i="22"/>
  <c r="AT101" i="22"/>
  <c r="AT100" i="22"/>
  <c r="AT99" i="22"/>
  <c r="AT98" i="22"/>
  <c r="AT97" i="22"/>
  <c r="AT96" i="22"/>
  <c r="AT95" i="22"/>
  <c r="AT94" i="22"/>
  <c r="AT93" i="22"/>
  <c r="AT92" i="22"/>
  <c r="AT91" i="22"/>
  <c r="AT90" i="22"/>
  <c r="AT88" i="22"/>
  <c r="AT89" i="22"/>
  <c r="AT87" i="22"/>
  <c r="AT86" i="22"/>
  <c r="AT85" i="22"/>
  <c r="AT84" i="22"/>
  <c r="AT83" i="22"/>
  <c r="AT82" i="22"/>
  <c r="AT81" i="22"/>
  <c r="AT80" i="22"/>
  <c r="AT79" i="22"/>
  <c r="AT78" i="22"/>
  <c r="AT77" i="22"/>
  <c r="AT76" i="22"/>
  <c r="AT75" i="22"/>
  <c r="AT74" i="22"/>
  <c r="AT73" i="22"/>
  <c r="AT72" i="22"/>
  <c r="AT71" i="22"/>
  <c r="AT70" i="22"/>
  <c r="AT69" i="22"/>
  <c r="AT68" i="22"/>
  <c r="AT67" i="22"/>
  <c r="AT66" i="22"/>
  <c r="AT65" i="22"/>
  <c r="AT64" i="22"/>
  <c r="AT63" i="22"/>
  <c r="AT62" i="22"/>
  <c r="AT61" i="22"/>
  <c r="AV61" i="22" s="1"/>
  <c r="AT60" i="22"/>
  <c r="AT59" i="22"/>
  <c r="AT58" i="22"/>
  <c r="AT57" i="22"/>
  <c r="AT56" i="22"/>
  <c r="AT55" i="22"/>
  <c r="AT54" i="22"/>
  <c r="AT53" i="22"/>
  <c r="AT52" i="22"/>
  <c r="AT51" i="22"/>
  <c r="AT50" i="22"/>
  <c r="AT49" i="22"/>
  <c r="AT48" i="22"/>
  <c r="AT47" i="22"/>
  <c r="AT46" i="22"/>
  <c r="AT45" i="22"/>
  <c r="AT44" i="22"/>
  <c r="AT42" i="22"/>
  <c r="AT41" i="22"/>
  <c r="AT40" i="22"/>
  <c r="AT39" i="22"/>
  <c r="AT38" i="22"/>
  <c r="AT37" i="22"/>
  <c r="AT36" i="22"/>
  <c r="AT35" i="22"/>
  <c r="AT34" i="22"/>
  <c r="AT33" i="22"/>
  <c r="AT32" i="22"/>
  <c r="AT31" i="22"/>
  <c r="AT30" i="22"/>
  <c r="AT29" i="22"/>
  <c r="AT28" i="22"/>
  <c r="AT27" i="22"/>
  <c r="AT26" i="22"/>
  <c r="AT25" i="22"/>
  <c r="AT24" i="22"/>
  <c r="AT23" i="22"/>
  <c r="AT22" i="22"/>
  <c r="AT21" i="22"/>
  <c r="AT20" i="22"/>
  <c r="AT19" i="22"/>
  <c r="AT18" i="22"/>
  <c r="AT17" i="22"/>
  <c r="AT16" i="22"/>
  <c r="AT15" i="22"/>
  <c r="AT14" i="22"/>
  <c r="AT13" i="22"/>
  <c r="AT12" i="22"/>
  <c r="AT11" i="22"/>
  <c r="AL618" i="26"/>
  <c r="AL617" i="26"/>
  <c r="AL616" i="26"/>
  <c r="AL615" i="26"/>
  <c r="AL614" i="26"/>
  <c r="AL613" i="26"/>
  <c r="AL612" i="26"/>
  <c r="AL611" i="26"/>
  <c r="AL610" i="26"/>
  <c r="AL609" i="26"/>
  <c r="AL608" i="26"/>
  <c r="AL607" i="26"/>
  <c r="AL606" i="26"/>
  <c r="AL605" i="26"/>
  <c r="AL604" i="26"/>
  <c r="AL603" i="26"/>
  <c r="AL602" i="26"/>
  <c r="AL601" i="26"/>
  <c r="AL600" i="26"/>
  <c r="AL599" i="26"/>
  <c r="AL598" i="26"/>
  <c r="AL597" i="26"/>
  <c r="AL596" i="26"/>
  <c r="AL595" i="26"/>
  <c r="AL594" i="26"/>
  <c r="AL593" i="26"/>
  <c r="AL592" i="26"/>
  <c r="AL591" i="26"/>
  <c r="AL590" i="26"/>
  <c r="AL589" i="26"/>
  <c r="AL588" i="26"/>
  <c r="AL587" i="26"/>
  <c r="AL586" i="26"/>
  <c r="AL585" i="26"/>
  <c r="AL584" i="26"/>
  <c r="AL583" i="26"/>
  <c r="AL582" i="26"/>
  <c r="AL581" i="26"/>
  <c r="AL580" i="26"/>
  <c r="AL579" i="26"/>
  <c r="AL578" i="26"/>
  <c r="AL577" i="26"/>
  <c r="AL576" i="26"/>
  <c r="AL575" i="26"/>
  <c r="AL574" i="26"/>
  <c r="AL573" i="26"/>
  <c r="AL572" i="26"/>
  <c r="AL571" i="26"/>
  <c r="AL570" i="26"/>
  <c r="AL569" i="26"/>
  <c r="AL568" i="26"/>
  <c r="AL567" i="26"/>
  <c r="AL566" i="26"/>
  <c r="AL565" i="26"/>
  <c r="AL564" i="26"/>
  <c r="AL563" i="26"/>
  <c r="AL562" i="26"/>
  <c r="AL561" i="26"/>
  <c r="AL560" i="26"/>
  <c r="AL559" i="26"/>
  <c r="AL558" i="26"/>
  <c r="AL557" i="26"/>
  <c r="AL556" i="26"/>
  <c r="AL555" i="26"/>
  <c r="AL554" i="26"/>
  <c r="AL553" i="26"/>
  <c r="AL552" i="26"/>
  <c r="AL551" i="26"/>
  <c r="AL550" i="26"/>
  <c r="AL549" i="26"/>
  <c r="AL548" i="26"/>
  <c r="AL547" i="26"/>
  <c r="AL546" i="26"/>
  <c r="AL545" i="26"/>
  <c r="AL544" i="26"/>
  <c r="AL543" i="26"/>
  <c r="AL542" i="26"/>
  <c r="AL541" i="26"/>
  <c r="AL540" i="26"/>
  <c r="AL539" i="26"/>
  <c r="AL538" i="26"/>
  <c r="AL537" i="26"/>
  <c r="AL536" i="26"/>
  <c r="AL535" i="26"/>
  <c r="AL534" i="26"/>
  <c r="AL533" i="26"/>
  <c r="AL532" i="26"/>
  <c r="AL531" i="26"/>
  <c r="AL530" i="26"/>
  <c r="AL529" i="26"/>
  <c r="AL528" i="26"/>
  <c r="AL527" i="26"/>
  <c r="AL526" i="26"/>
  <c r="AL525" i="26"/>
  <c r="AL524" i="26"/>
  <c r="AL523" i="26"/>
  <c r="AL522" i="26"/>
  <c r="AL521" i="26"/>
  <c r="AL520" i="26"/>
  <c r="AL519" i="26"/>
  <c r="AL518" i="26"/>
  <c r="AL517" i="26"/>
  <c r="AL516" i="26"/>
  <c r="AL515" i="26"/>
  <c r="AL514" i="26"/>
  <c r="AL513" i="26"/>
  <c r="AL512" i="26"/>
  <c r="AL511" i="26"/>
  <c r="AL510" i="26"/>
  <c r="AL509" i="26"/>
  <c r="AL508" i="26"/>
  <c r="AL507" i="26"/>
  <c r="AL506" i="26"/>
  <c r="AL505" i="26"/>
  <c r="AL504" i="26"/>
  <c r="AL503" i="26"/>
  <c r="AL502" i="26"/>
  <c r="AL501" i="26"/>
  <c r="AL500" i="26"/>
  <c r="AL499" i="26"/>
  <c r="AL498" i="26"/>
  <c r="AL497" i="26"/>
  <c r="AL496" i="26"/>
  <c r="AL495" i="26"/>
  <c r="AL494" i="26"/>
  <c r="AL493" i="26"/>
  <c r="AL492" i="26"/>
  <c r="AL491" i="26"/>
  <c r="AL490" i="26"/>
  <c r="AL489" i="26"/>
  <c r="AL488" i="26"/>
  <c r="AL487" i="26"/>
  <c r="AL486" i="26"/>
  <c r="AL485" i="26"/>
  <c r="AL484" i="26"/>
  <c r="AL483" i="26"/>
  <c r="AL482" i="26"/>
  <c r="AL481" i="26"/>
  <c r="AL480" i="26"/>
  <c r="AL479" i="26"/>
  <c r="AL478" i="26"/>
  <c r="AL477" i="26"/>
  <c r="AL476" i="26"/>
  <c r="AL475" i="26"/>
  <c r="AL474" i="26"/>
  <c r="AL473" i="26"/>
  <c r="AL472" i="26"/>
  <c r="AL471" i="26"/>
  <c r="AL470" i="26"/>
  <c r="AL469" i="26"/>
  <c r="AL468" i="26"/>
  <c r="AL467" i="26"/>
  <c r="AL466" i="26"/>
  <c r="AL465" i="26"/>
  <c r="AL464" i="26"/>
  <c r="AL463" i="26"/>
  <c r="AL462" i="26"/>
  <c r="AL461" i="26"/>
  <c r="AL460" i="26"/>
  <c r="AL459" i="26"/>
  <c r="AL458" i="26"/>
  <c r="AL457" i="26"/>
  <c r="AL455" i="26"/>
  <c r="AL454" i="26"/>
  <c r="AL453" i="26"/>
  <c r="AL452" i="26"/>
  <c r="AL451" i="26"/>
  <c r="AL450" i="26"/>
  <c r="AL449" i="26"/>
  <c r="AL448" i="26"/>
  <c r="AL447" i="26"/>
  <c r="AL446" i="26"/>
  <c r="AL445" i="26"/>
  <c r="AL444" i="26"/>
  <c r="AL443" i="26"/>
  <c r="AL442" i="26"/>
  <c r="AL441" i="26"/>
  <c r="AL440" i="26"/>
  <c r="AL439" i="26"/>
  <c r="AL438" i="26"/>
  <c r="AL437" i="26"/>
  <c r="AL436" i="26"/>
  <c r="AL435" i="26"/>
  <c r="AL434" i="26"/>
  <c r="AL433" i="26"/>
  <c r="AL432" i="26"/>
  <c r="AL431" i="26"/>
  <c r="AL430" i="26"/>
  <c r="AL429" i="26"/>
  <c r="AL428" i="26"/>
  <c r="AL427" i="26"/>
  <c r="AL426" i="26"/>
  <c r="AL425" i="26"/>
  <c r="AL424" i="26"/>
  <c r="AL423" i="26"/>
  <c r="AL422" i="26"/>
  <c r="AL421" i="26"/>
  <c r="AL420" i="26"/>
  <c r="AL419" i="26"/>
  <c r="AL418" i="26"/>
  <c r="AL417" i="26"/>
  <c r="AL416" i="26"/>
  <c r="AL414" i="26"/>
  <c r="AL412" i="26"/>
  <c r="AL411" i="26"/>
  <c r="AL410" i="26"/>
  <c r="AL408" i="26"/>
  <c r="AL407" i="26"/>
  <c r="AL406" i="26"/>
  <c r="AL405" i="26"/>
  <c r="AL404" i="26"/>
  <c r="AL403" i="26"/>
  <c r="AL402" i="26"/>
  <c r="AL401" i="26"/>
  <c r="AL399" i="26"/>
  <c r="AL398" i="26"/>
  <c r="AL397" i="26"/>
  <c r="AL396" i="26"/>
  <c r="AL395" i="26"/>
  <c r="AL394" i="26"/>
  <c r="AL393" i="26"/>
  <c r="AL392" i="26"/>
  <c r="AL391" i="26"/>
  <c r="AL390" i="26"/>
  <c r="AL389" i="26"/>
  <c r="AL388" i="26"/>
  <c r="AL387" i="26"/>
  <c r="AL386" i="26"/>
  <c r="AL385" i="26"/>
  <c r="AL384" i="26"/>
  <c r="AL383" i="26"/>
  <c r="AL382" i="26"/>
  <c r="AL381" i="26"/>
  <c r="AL380" i="26"/>
  <c r="AL379" i="26"/>
  <c r="AL378" i="26"/>
  <c r="AL377" i="26"/>
  <c r="AL376" i="26"/>
  <c r="AL375" i="26"/>
  <c r="AL374" i="26"/>
  <c r="AL373" i="26"/>
  <c r="AL372" i="26"/>
  <c r="AL371" i="26"/>
  <c r="AL370" i="26"/>
  <c r="AL369" i="26"/>
  <c r="AL368" i="26"/>
  <c r="AL366" i="26"/>
  <c r="AL365" i="26"/>
  <c r="AL364" i="26"/>
  <c r="AL363" i="26"/>
  <c r="AL362" i="26"/>
  <c r="AL361" i="26"/>
  <c r="AL360" i="26"/>
  <c r="AL359" i="26"/>
  <c r="AL358" i="26"/>
  <c r="AL357" i="26"/>
  <c r="AL356" i="26"/>
  <c r="AL355" i="26"/>
  <c r="AL354" i="26"/>
  <c r="AL353" i="26"/>
  <c r="AL352" i="26"/>
  <c r="AL351" i="26"/>
  <c r="AL350" i="26"/>
  <c r="AL349" i="26"/>
  <c r="AL348" i="26"/>
  <c r="AL347" i="26"/>
  <c r="AL345" i="26"/>
  <c r="AL344" i="26"/>
  <c r="AL343" i="26"/>
  <c r="AL342" i="26"/>
  <c r="AL341" i="26"/>
  <c r="AL340" i="26"/>
  <c r="AL339" i="26"/>
  <c r="AL338" i="26"/>
  <c r="AL337" i="26"/>
  <c r="AL336" i="26"/>
  <c r="AL335" i="26"/>
  <c r="AL334" i="26"/>
  <c r="AL333" i="26"/>
  <c r="AL332" i="26"/>
  <c r="AL331" i="26"/>
  <c r="AL330" i="26"/>
  <c r="AL329" i="26"/>
  <c r="AL328" i="26"/>
  <c r="AL327" i="26"/>
  <c r="AL326" i="26"/>
  <c r="AL325" i="26"/>
  <c r="AL324" i="26"/>
  <c r="AL323" i="26"/>
  <c r="AL322" i="26"/>
  <c r="AL321" i="26"/>
  <c r="AL320" i="26"/>
  <c r="AL319" i="26"/>
  <c r="AL317" i="26"/>
  <c r="AL316" i="26"/>
  <c r="AL315" i="26"/>
  <c r="AL314" i="26"/>
  <c r="AL313" i="26"/>
  <c r="AL312" i="26"/>
  <c r="AL311" i="26"/>
  <c r="AL310" i="26"/>
  <c r="AL309" i="26"/>
  <c r="AL308" i="26"/>
  <c r="AL307" i="26"/>
  <c r="AL306" i="26"/>
  <c r="AL305" i="26"/>
  <c r="AL304" i="26"/>
  <c r="AL303" i="26"/>
  <c r="AL302" i="26"/>
  <c r="AL301" i="26"/>
  <c r="AL300" i="26"/>
  <c r="AL299" i="26"/>
  <c r="AL298" i="26"/>
  <c r="AL297" i="26"/>
  <c r="AL296" i="26"/>
  <c r="AL295" i="26"/>
  <c r="AL294" i="26"/>
  <c r="AL293" i="26"/>
  <c r="AL289" i="26"/>
  <c r="AL292" i="26"/>
  <c r="AL291" i="26"/>
  <c r="AL290" i="26"/>
  <c r="AL288" i="26"/>
  <c r="AL287" i="26"/>
  <c r="AL285" i="26"/>
  <c r="AL284" i="26"/>
  <c r="AL283" i="26"/>
  <c r="AL282" i="26"/>
  <c r="AL281" i="26"/>
  <c r="AL280" i="26"/>
  <c r="AL279" i="26"/>
  <c r="AL278" i="26"/>
  <c r="AL277" i="26"/>
  <c r="AL276" i="26"/>
  <c r="AL275" i="26"/>
  <c r="AL274" i="26"/>
  <c r="AL273" i="26"/>
  <c r="AL272" i="26"/>
  <c r="AL271" i="26"/>
  <c r="AL270" i="26"/>
  <c r="AL269" i="26"/>
  <c r="AL268" i="26"/>
  <c r="AL267" i="26"/>
  <c r="AL266" i="26"/>
  <c r="AL265" i="26"/>
  <c r="AL264" i="26"/>
  <c r="AL263" i="26"/>
  <c r="AL262" i="26"/>
  <c r="AL261" i="26"/>
  <c r="AL260" i="26"/>
  <c r="AL259" i="26"/>
  <c r="AL258" i="26"/>
  <c r="AL257" i="26"/>
  <c r="AL256" i="26"/>
  <c r="AL255" i="26"/>
  <c r="AL254" i="26"/>
  <c r="AL253" i="26"/>
  <c r="AL252" i="26"/>
  <c r="AL251" i="26"/>
  <c r="AL250" i="26"/>
  <c r="AL249" i="26"/>
  <c r="AL248" i="26"/>
  <c r="AL247" i="26"/>
  <c r="AL246" i="26"/>
  <c r="AL245" i="26"/>
  <c r="AL244" i="26"/>
  <c r="AL243" i="26"/>
  <c r="AL242" i="26"/>
  <c r="AL241" i="26"/>
  <c r="AL240" i="26"/>
  <c r="AL239" i="26"/>
  <c r="AL238" i="26"/>
  <c r="AL237" i="26"/>
  <c r="AL236" i="26"/>
  <c r="AL235" i="26"/>
  <c r="AL234" i="26"/>
  <c r="AL233" i="26"/>
  <c r="AL232" i="26"/>
  <c r="AL231" i="26"/>
  <c r="AL230" i="26"/>
  <c r="AL229" i="26"/>
  <c r="AL228" i="26"/>
  <c r="AL227" i="26"/>
  <c r="AL226" i="26"/>
  <c r="AL225" i="26"/>
  <c r="AL224" i="26"/>
  <c r="AL223" i="26"/>
  <c r="AL222" i="26"/>
  <c r="AL221" i="26"/>
  <c r="AL220" i="26"/>
  <c r="AL219" i="26"/>
  <c r="AL218" i="26"/>
  <c r="AL217" i="26"/>
  <c r="AL216" i="26"/>
  <c r="AL215" i="26"/>
  <c r="AL214" i="26"/>
  <c r="AL213" i="26"/>
  <c r="AL212" i="26"/>
  <c r="AL211" i="26"/>
  <c r="AL210" i="26"/>
  <c r="AL209" i="26"/>
  <c r="AL208" i="26"/>
  <c r="AL207" i="26"/>
  <c r="AL206" i="26"/>
  <c r="AL205" i="26"/>
  <c r="AL204" i="26"/>
  <c r="AL203" i="26"/>
  <c r="AL202" i="26"/>
  <c r="AL201" i="26"/>
  <c r="AL200" i="26"/>
  <c r="AL199" i="26"/>
  <c r="AL198" i="26"/>
  <c r="AL197" i="26"/>
  <c r="AL196" i="26"/>
  <c r="AL195" i="26"/>
  <c r="AL194" i="26"/>
  <c r="AL193" i="26"/>
  <c r="AL192" i="26"/>
  <c r="AL191" i="26"/>
  <c r="AL190" i="26"/>
  <c r="AL189" i="26"/>
  <c r="AL188" i="26"/>
  <c r="AL187" i="26"/>
  <c r="AL186" i="26"/>
  <c r="AL185" i="26"/>
  <c r="AL184" i="26"/>
  <c r="AL183" i="26"/>
  <c r="AL182" i="26"/>
  <c r="AL181" i="26"/>
  <c r="AL180" i="26"/>
  <c r="AL179" i="26"/>
  <c r="AL178" i="26"/>
  <c r="AL177" i="26"/>
  <c r="AL176" i="26"/>
  <c r="AL175" i="26"/>
  <c r="AL174" i="26"/>
  <c r="AL173" i="26"/>
  <c r="AL172" i="26"/>
  <c r="AL171" i="26"/>
  <c r="AK171" i="26"/>
  <c r="O171" i="26"/>
  <c r="K171" i="26"/>
  <c r="AL170" i="26"/>
  <c r="AL169" i="26"/>
  <c r="AL168" i="26"/>
  <c r="AL167" i="26"/>
  <c r="AL166" i="26"/>
  <c r="AL165" i="26"/>
  <c r="AL164" i="26"/>
  <c r="AL163" i="26"/>
  <c r="AL162" i="26"/>
  <c r="AL161" i="26"/>
  <c r="AL160" i="26"/>
  <c r="AL159" i="26"/>
  <c r="AL158" i="26"/>
  <c r="AL157" i="26"/>
  <c r="AL156" i="26"/>
  <c r="AL155" i="26"/>
  <c r="AL154" i="26"/>
  <c r="AL153" i="26"/>
  <c r="AL152" i="26"/>
  <c r="AL151" i="26"/>
  <c r="AL150" i="26"/>
  <c r="AL149" i="26"/>
  <c r="AL148" i="26"/>
  <c r="AL147" i="26"/>
  <c r="AL146" i="26"/>
  <c r="AL145" i="26"/>
  <c r="AL144" i="26"/>
  <c r="AL143" i="26"/>
  <c r="AL142" i="26"/>
  <c r="AL141" i="26"/>
  <c r="AL140" i="26"/>
  <c r="AL139" i="26"/>
  <c r="AL138" i="26"/>
  <c r="AL137" i="26"/>
  <c r="AL136" i="26"/>
  <c r="AL135" i="26"/>
  <c r="AL134" i="26"/>
  <c r="AL133" i="26"/>
  <c r="AL132" i="26"/>
  <c r="AL131" i="26"/>
  <c r="AL130" i="26"/>
  <c r="AL129" i="26"/>
  <c r="AL128" i="26"/>
  <c r="AL127" i="26"/>
  <c r="AL126" i="26"/>
  <c r="AL125" i="26"/>
  <c r="AL124" i="26"/>
  <c r="AL123" i="26"/>
  <c r="AL122" i="26"/>
  <c r="AL121" i="26"/>
  <c r="AL120" i="26"/>
  <c r="AL119" i="26"/>
  <c r="AL118" i="26"/>
  <c r="AL117" i="26"/>
  <c r="AL116" i="26"/>
  <c r="AL115" i="26"/>
  <c r="AL114" i="26"/>
  <c r="AL113" i="26"/>
  <c r="AL112" i="26"/>
  <c r="AL111" i="26"/>
  <c r="AL110" i="26"/>
  <c r="AL109" i="26"/>
  <c r="AL108" i="26"/>
  <c r="AL107" i="26"/>
  <c r="AL106" i="26"/>
  <c r="AL105" i="26"/>
  <c r="AL104" i="26"/>
  <c r="AL103" i="26"/>
  <c r="AL102" i="26"/>
  <c r="AL101" i="26"/>
  <c r="AL100" i="26"/>
  <c r="AL99" i="26"/>
  <c r="AL98" i="26"/>
  <c r="AL97" i="26"/>
  <c r="AL96" i="26"/>
  <c r="AL95" i="26"/>
  <c r="AL94" i="26"/>
  <c r="AL93" i="26"/>
  <c r="AL92" i="26"/>
  <c r="AL91" i="26"/>
  <c r="AL90" i="26"/>
  <c r="AL88" i="26"/>
  <c r="AL89" i="26"/>
  <c r="AL87" i="26"/>
  <c r="AL86" i="26"/>
  <c r="AL85" i="26"/>
  <c r="AL84" i="26"/>
  <c r="AL83" i="26"/>
  <c r="AL82" i="26"/>
  <c r="AL81" i="26"/>
  <c r="AL80" i="26"/>
  <c r="AL79" i="26"/>
  <c r="AL78" i="26"/>
  <c r="AL77" i="26"/>
  <c r="AL76" i="26"/>
  <c r="AL75" i="26"/>
  <c r="AL74" i="26"/>
  <c r="AL73" i="26"/>
  <c r="AL72" i="26"/>
  <c r="AL71" i="26"/>
  <c r="AL70" i="26"/>
  <c r="AL69" i="26"/>
  <c r="AL68" i="26"/>
  <c r="AL67" i="26"/>
  <c r="AL66" i="26"/>
  <c r="AL65" i="26"/>
  <c r="AL64" i="26"/>
  <c r="AL63" i="26"/>
  <c r="AL62" i="26"/>
  <c r="AL61" i="26"/>
  <c r="AL60" i="26"/>
  <c r="AL59" i="26"/>
  <c r="AL58" i="26"/>
  <c r="AL57" i="26"/>
  <c r="AL56" i="26"/>
  <c r="AL55" i="26"/>
  <c r="AL54" i="26"/>
  <c r="AL53" i="26"/>
  <c r="AL52" i="26"/>
  <c r="AL51" i="26"/>
  <c r="AL50" i="26"/>
  <c r="AL49" i="26"/>
  <c r="AL48" i="26"/>
  <c r="AL47" i="26"/>
  <c r="AL46" i="26"/>
  <c r="AL45" i="26"/>
  <c r="AL42" i="26"/>
  <c r="AL41" i="26"/>
  <c r="AL40" i="26"/>
  <c r="AL39" i="26"/>
  <c r="AL38" i="26"/>
  <c r="AL37" i="26"/>
  <c r="AL36" i="26"/>
  <c r="AL35" i="26"/>
  <c r="AL34" i="26"/>
  <c r="AL33" i="26"/>
  <c r="AL32" i="26"/>
  <c r="AL31" i="26"/>
  <c r="AL30" i="26"/>
  <c r="AL29" i="26"/>
  <c r="AL28" i="26"/>
  <c r="AL27" i="26"/>
  <c r="AL26" i="26"/>
  <c r="AL25" i="26"/>
  <c r="AL24" i="26"/>
  <c r="AL23" i="26"/>
  <c r="AL22" i="26"/>
  <c r="AL21" i="26"/>
  <c r="AL20" i="26"/>
  <c r="AL19" i="26"/>
  <c r="AL18" i="26"/>
  <c r="AL17" i="26"/>
  <c r="AL16" i="26"/>
  <c r="AL15" i="26"/>
  <c r="AL14" i="26"/>
  <c r="AL13" i="26"/>
  <c r="AL12" i="26"/>
  <c r="AL11" i="26"/>
  <c r="AK618" i="26"/>
  <c r="AK617" i="26"/>
  <c r="AK616" i="26"/>
  <c r="AK615" i="26"/>
  <c r="AK614" i="26"/>
  <c r="AK613" i="26"/>
  <c r="AK612" i="26"/>
  <c r="AK611" i="26"/>
  <c r="AK610" i="26"/>
  <c r="AK609" i="26"/>
  <c r="AK608" i="26"/>
  <c r="AK607" i="26"/>
  <c r="AK606" i="26"/>
  <c r="AK605" i="26"/>
  <c r="AK604" i="26"/>
  <c r="AK603" i="26"/>
  <c r="AK602" i="26"/>
  <c r="AK601" i="26"/>
  <c r="AK600" i="26"/>
  <c r="AK599" i="26"/>
  <c r="AK598" i="26"/>
  <c r="AK597" i="26"/>
  <c r="AK596" i="26"/>
  <c r="AK595" i="26"/>
  <c r="AK594" i="26"/>
  <c r="AK593" i="26"/>
  <c r="AK592" i="26"/>
  <c r="AK591" i="26"/>
  <c r="AK590" i="26"/>
  <c r="AK589" i="26"/>
  <c r="AK588" i="26"/>
  <c r="AK587" i="26"/>
  <c r="AK586" i="26"/>
  <c r="AK585" i="26"/>
  <c r="AK584" i="26"/>
  <c r="AK583" i="26"/>
  <c r="AK582" i="26"/>
  <c r="AK581" i="26"/>
  <c r="AK580" i="26"/>
  <c r="AK579" i="26"/>
  <c r="AK578" i="26"/>
  <c r="AK577" i="26"/>
  <c r="AK576" i="26"/>
  <c r="AK575" i="26"/>
  <c r="AK574" i="26"/>
  <c r="AK573" i="26"/>
  <c r="AK572" i="26"/>
  <c r="AK571" i="26"/>
  <c r="AK570" i="26"/>
  <c r="AK569" i="26"/>
  <c r="AK568" i="26"/>
  <c r="AK567" i="26"/>
  <c r="AK566" i="26"/>
  <c r="AK565" i="26"/>
  <c r="AK564" i="26"/>
  <c r="AK563" i="26"/>
  <c r="AK562" i="26"/>
  <c r="AK561" i="26"/>
  <c r="AK560" i="26"/>
  <c r="AK559" i="26"/>
  <c r="AK558" i="26"/>
  <c r="AK557" i="26"/>
  <c r="AK556" i="26"/>
  <c r="AK555" i="26"/>
  <c r="AK554" i="26"/>
  <c r="AK553" i="26"/>
  <c r="AK552" i="26"/>
  <c r="AK551" i="26"/>
  <c r="AK550" i="26"/>
  <c r="AK549" i="26"/>
  <c r="AK548" i="26"/>
  <c r="AK547" i="26"/>
  <c r="AK546" i="26"/>
  <c r="AK545" i="26"/>
  <c r="AK544" i="26"/>
  <c r="AK543" i="26"/>
  <c r="AK542" i="26"/>
  <c r="AK541" i="26"/>
  <c r="AK540" i="26"/>
  <c r="AK539" i="26"/>
  <c r="AK538" i="26"/>
  <c r="AK537" i="26"/>
  <c r="AK536" i="26"/>
  <c r="AK535" i="26"/>
  <c r="AK534" i="26"/>
  <c r="AK533" i="26"/>
  <c r="AK532" i="26"/>
  <c r="AK531" i="26"/>
  <c r="AK530" i="26"/>
  <c r="AK529" i="26"/>
  <c r="AK528" i="26"/>
  <c r="AK527" i="26"/>
  <c r="AK526" i="26"/>
  <c r="AK525" i="26"/>
  <c r="AK524" i="26"/>
  <c r="AK523" i="26"/>
  <c r="AK522" i="26"/>
  <c r="AK521" i="26"/>
  <c r="AK520" i="26"/>
  <c r="AK519" i="26"/>
  <c r="AK518" i="26"/>
  <c r="AK517" i="26"/>
  <c r="AK516" i="26"/>
  <c r="AK515" i="26"/>
  <c r="AK514" i="26"/>
  <c r="AK513" i="26"/>
  <c r="AK512" i="26"/>
  <c r="AK511" i="26"/>
  <c r="AK510" i="26"/>
  <c r="AK509" i="26"/>
  <c r="AK508" i="26"/>
  <c r="AK507" i="26"/>
  <c r="AK506" i="26"/>
  <c r="AK505" i="26"/>
  <c r="AK504" i="26"/>
  <c r="AK503" i="26"/>
  <c r="AK502" i="26"/>
  <c r="AK501" i="26"/>
  <c r="AK500" i="26"/>
  <c r="AK499" i="26"/>
  <c r="AK498" i="26"/>
  <c r="AK497" i="26"/>
  <c r="AK496" i="26"/>
  <c r="AK495" i="26"/>
  <c r="AK494" i="26"/>
  <c r="AK493" i="26"/>
  <c r="AK492" i="26"/>
  <c r="AK491" i="26"/>
  <c r="AK490" i="26"/>
  <c r="AK489" i="26"/>
  <c r="AK488" i="26"/>
  <c r="AK487" i="26"/>
  <c r="AK486" i="26"/>
  <c r="AK485" i="26"/>
  <c r="AK484" i="26"/>
  <c r="AK483" i="26"/>
  <c r="AK482" i="26"/>
  <c r="AK481" i="26"/>
  <c r="AK480" i="26"/>
  <c r="AK479" i="26"/>
  <c r="AK478" i="26"/>
  <c r="AK477" i="26"/>
  <c r="AK476" i="26"/>
  <c r="AK475" i="26"/>
  <c r="AK474" i="26"/>
  <c r="AK473" i="26"/>
  <c r="AK472" i="26"/>
  <c r="AK471" i="26"/>
  <c r="AK470" i="26"/>
  <c r="AK469" i="26"/>
  <c r="AK468" i="26"/>
  <c r="AK467" i="26"/>
  <c r="AK466" i="26"/>
  <c r="AK465" i="26"/>
  <c r="AK464" i="26"/>
  <c r="AK463" i="26"/>
  <c r="AK462" i="26"/>
  <c r="AK461" i="26"/>
  <c r="AK460" i="26"/>
  <c r="AK459" i="26"/>
  <c r="AK458" i="26"/>
  <c r="AK457" i="26"/>
  <c r="AK455" i="26"/>
  <c r="AK454" i="26"/>
  <c r="AK453" i="26"/>
  <c r="AK452" i="26"/>
  <c r="AK451" i="26"/>
  <c r="AK450" i="26"/>
  <c r="AK449" i="26"/>
  <c r="AK448" i="26"/>
  <c r="AK447" i="26"/>
  <c r="AK446" i="26"/>
  <c r="AK445" i="26"/>
  <c r="AK444" i="26"/>
  <c r="AK443" i="26"/>
  <c r="AK442" i="26"/>
  <c r="AK441" i="26"/>
  <c r="AK440" i="26"/>
  <c r="AK439" i="26"/>
  <c r="AK438" i="26"/>
  <c r="AK437" i="26"/>
  <c r="AK436" i="26"/>
  <c r="AK435" i="26"/>
  <c r="AK434" i="26"/>
  <c r="AK433" i="26"/>
  <c r="AK432" i="26"/>
  <c r="AK431" i="26"/>
  <c r="AK430" i="26"/>
  <c r="AK429" i="26"/>
  <c r="AK428" i="26"/>
  <c r="AK427" i="26"/>
  <c r="AK426" i="26"/>
  <c r="AK425" i="26"/>
  <c r="AK424" i="26"/>
  <c r="AK423" i="26"/>
  <c r="AK422" i="26"/>
  <c r="AK421" i="26"/>
  <c r="AK420" i="26"/>
  <c r="AK419" i="26"/>
  <c r="AK418" i="26"/>
  <c r="AK417" i="26"/>
  <c r="AK416" i="26"/>
  <c r="AK414" i="26"/>
  <c r="AK412" i="26"/>
  <c r="AK411" i="26"/>
  <c r="AK410" i="26"/>
  <c r="AK408" i="26"/>
  <c r="AK407" i="26"/>
  <c r="AK406" i="26"/>
  <c r="AK405" i="26"/>
  <c r="AK404" i="26"/>
  <c r="AK403" i="26"/>
  <c r="AK402" i="26"/>
  <c r="AK401" i="26"/>
  <c r="AK399" i="26"/>
  <c r="AK398" i="26"/>
  <c r="AK397" i="26"/>
  <c r="AK396" i="26"/>
  <c r="AK395" i="26"/>
  <c r="AK394" i="26"/>
  <c r="AK393" i="26"/>
  <c r="AK392" i="26"/>
  <c r="AK391" i="26"/>
  <c r="AK390" i="26"/>
  <c r="AK389" i="26"/>
  <c r="AK388" i="26"/>
  <c r="AK387" i="26"/>
  <c r="AK386" i="26"/>
  <c r="AK385" i="26"/>
  <c r="AK384" i="26"/>
  <c r="AK383" i="26"/>
  <c r="AK382" i="26"/>
  <c r="AK381" i="26"/>
  <c r="AK380" i="26"/>
  <c r="AK379" i="26"/>
  <c r="AK378" i="26"/>
  <c r="AK377" i="26"/>
  <c r="AK376" i="26"/>
  <c r="AK375" i="26"/>
  <c r="AK374" i="26"/>
  <c r="AK373" i="26"/>
  <c r="AK372" i="26"/>
  <c r="AK371" i="26"/>
  <c r="AK370" i="26"/>
  <c r="AK369" i="26"/>
  <c r="AK368" i="26"/>
  <c r="AK366" i="26"/>
  <c r="AK365" i="26"/>
  <c r="AK364" i="26"/>
  <c r="AK363" i="26"/>
  <c r="AK362" i="26"/>
  <c r="AK361" i="26"/>
  <c r="AK360" i="26"/>
  <c r="AK359" i="26"/>
  <c r="AK358" i="26"/>
  <c r="AK357" i="26"/>
  <c r="AK356" i="26"/>
  <c r="AK355" i="26"/>
  <c r="AK354" i="26"/>
  <c r="AK353" i="26"/>
  <c r="AK352" i="26"/>
  <c r="AK351" i="26"/>
  <c r="AK350" i="26"/>
  <c r="AK349" i="26"/>
  <c r="AK348" i="26"/>
  <c r="AK347" i="26"/>
  <c r="AK345" i="26"/>
  <c r="AK344" i="26"/>
  <c r="AK343" i="26"/>
  <c r="AK342" i="26"/>
  <c r="AK341" i="26"/>
  <c r="AK340" i="26"/>
  <c r="AK339" i="26"/>
  <c r="AK338" i="26"/>
  <c r="AK337" i="26"/>
  <c r="AK336" i="26"/>
  <c r="AK335" i="26"/>
  <c r="AK334" i="26"/>
  <c r="AK333" i="26"/>
  <c r="AK332" i="26"/>
  <c r="AK331" i="26"/>
  <c r="AK330" i="26"/>
  <c r="AK329" i="26"/>
  <c r="AK328" i="26"/>
  <c r="AK327" i="26"/>
  <c r="AK326" i="26"/>
  <c r="AK325" i="26"/>
  <c r="AK324" i="26"/>
  <c r="AK323" i="26"/>
  <c r="AK322" i="26"/>
  <c r="AK321" i="26"/>
  <c r="AK320" i="26"/>
  <c r="AK319" i="26"/>
  <c r="AK317" i="26"/>
  <c r="AK316" i="26"/>
  <c r="AK315" i="26"/>
  <c r="AK314" i="26"/>
  <c r="AK313" i="26"/>
  <c r="AK312" i="26"/>
  <c r="AK311" i="26"/>
  <c r="AK310" i="26"/>
  <c r="AK309" i="26"/>
  <c r="AK308" i="26"/>
  <c r="AK307" i="26"/>
  <c r="AK306" i="26"/>
  <c r="AK305" i="26"/>
  <c r="AK304" i="26"/>
  <c r="AK303" i="26"/>
  <c r="AK302" i="26"/>
  <c r="AK301" i="26"/>
  <c r="AK300" i="26"/>
  <c r="AK299" i="26"/>
  <c r="AK298" i="26"/>
  <c r="AK297" i="26"/>
  <c r="AK296" i="26"/>
  <c r="AK295" i="26"/>
  <c r="AK294" i="26"/>
  <c r="AK293" i="26"/>
  <c r="AK289" i="26"/>
  <c r="AK292" i="26"/>
  <c r="AK291" i="26"/>
  <c r="AK290" i="26"/>
  <c r="AK288" i="26"/>
  <c r="AK287" i="26"/>
  <c r="AK285" i="26"/>
  <c r="AK284" i="26"/>
  <c r="AK283" i="26"/>
  <c r="AK282" i="26"/>
  <c r="AK281" i="26"/>
  <c r="AK280" i="26"/>
  <c r="AK279" i="26"/>
  <c r="AK278" i="26"/>
  <c r="AK277" i="26"/>
  <c r="AK276" i="26"/>
  <c r="AK275" i="26"/>
  <c r="AK274" i="26"/>
  <c r="AK273" i="26"/>
  <c r="AK272" i="26"/>
  <c r="AK271" i="26"/>
  <c r="AK270" i="26"/>
  <c r="AK269" i="26"/>
  <c r="AK268" i="26"/>
  <c r="AK267" i="26"/>
  <c r="AK266" i="26"/>
  <c r="AK265" i="26"/>
  <c r="AK264" i="26"/>
  <c r="AK263" i="26"/>
  <c r="AK262" i="26"/>
  <c r="AK261" i="26"/>
  <c r="AK260" i="26"/>
  <c r="AK259" i="26"/>
  <c r="AK258" i="26"/>
  <c r="AK257" i="26"/>
  <c r="AK256" i="26"/>
  <c r="AK255" i="26"/>
  <c r="AK254" i="26"/>
  <c r="AK253" i="26"/>
  <c r="AK252" i="26"/>
  <c r="AK251" i="26"/>
  <c r="AK250" i="26"/>
  <c r="AK249" i="26"/>
  <c r="AK248" i="26"/>
  <c r="AK247" i="26"/>
  <c r="AK246" i="26"/>
  <c r="AK245" i="26"/>
  <c r="AK244" i="26"/>
  <c r="AK243" i="26"/>
  <c r="AK242" i="26"/>
  <c r="AK241" i="26"/>
  <c r="AK240" i="26"/>
  <c r="AK239" i="26"/>
  <c r="AK238" i="26"/>
  <c r="AK237" i="26"/>
  <c r="AK236" i="26"/>
  <c r="AK235" i="26"/>
  <c r="AK234" i="26"/>
  <c r="AK233" i="26"/>
  <c r="AK232" i="26"/>
  <c r="AK231" i="26"/>
  <c r="AK230" i="26"/>
  <c r="AK229" i="26"/>
  <c r="AK228" i="26"/>
  <c r="AK227" i="26"/>
  <c r="AK226" i="26"/>
  <c r="AK225" i="26"/>
  <c r="AK224" i="26"/>
  <c r="AK223" i="26"/>
  <c r="AK222" i="26"/>
  <c r="AK221" i="26"/>
  <c r="AK220" i="26"/>
  <c r="AK219" i="26"/>
  <c r="AK218" i="26"/>
  <c r="AK217" i="26"/>
  <c r="AK216" i="26"/>
  <c r="AK215" i="26"/>
  <c r="AK214" i="26"/>
  <c r="AK213" i="26"/>
  <c r="AK212" i="26"/>
  <c r="AK211" i="26"/>
  <c r="AK210" i="26"/>
  <c r="AK209" i="26"/>
  <c r="AK208" i="26"/>
  <c r="AK207" i="26"/>
  <c r="AK206" i="26"/>
  <c r="AK205" i="26"/>
  <c r="AK204" i="26"/>
  <c r="AK203" i="26"/>
  <c r="AK202" i="26"/>
  <c r="AK201" i="26"/>
  <c r="AK200" i="26"/>
  <c r="AK199" i="26"/>
  <c r="AK198" i="26"/>
  <c r="AK197" i="26"/>
  <c r="AK196" i="26"/>
  <c r="AK195" i="26"/>
  <c r="AK194" i="26"/>
  <c r="AK193" i="26"/>
  <c r="AK192" i="26"/>
  <c r="AK191" i="26"/>
  <c r="AK190" i="26"/>
  <c r="AK189" i="26"/>
  <c r="AK188" i="26"/>
  <c r="AK187" i="26"/>
  <c r="AK186" i="26"/>
  <c r="AK185" i="26"/>
  <c r="AK184" i="26"/>
  <c r="AK183" i="26"/>
  <c r="AK182" i="26"/>
  <c r="AK181" i="26"/>
  <c r="AK180" i="26"/>
  <c r="AK179" i="26"/>
  <c r="AK178" i="26"/>
  <c r="AK177" i="26"/>
  <c r="AK176" i="26"/>
  <c r="AK175" i="26"/>
  <c r="AK174" i="26"/>
  <c r="AK173" i="26"/>
  <c r="AK172" i="26"/>
  <c r="AK170" i="26"/>
  <c r="AK169" i="26"/>
  <c r="AK168" i="26"/>
  <c r="AK167" i="26"/>
  <c r="AK166" i="26"/>
  <c r="AK165" i="26"/>
  <c r="AK164" i="26"/>
  <c r="AK163" i="26"/>
  <c r="AK162" i="26"/>
  <c r="AK161" i="26"/>
  <c r="AK160" i="26"/>
  <c r="AK159" i="26"/>
  <c r="AK158" i="26"/>
  <c r="AK157" i="26"/>
  <c r="AK156" i="26"/>
  <c r="AK155" i="26"/>
  <c r="AK154" i="26"/>
  <c r="AK153" i="26"/>
  <c r="AK152" i="26"/>
  <c r="AK151" i="26"/>
  <c r="AK150" i="26"/>
  <c r="AK149" i="26"/>
  <c r="AK148" i="26"/>
  <c r="AK147" i="26"/>
  <c r="AK146" i="26"/>
  <c r="AK145" i="26"/>
  <c r="AK144" i="26"/>
  <c r="AK143" i="26"/>
  <c r="AK142" i="26"/>
  <c r="AK141" i="26"/>
  <c r="AK140" i="26"/>
  <c r="AK139" i="26"/>
  <c r="AK138" i="26"/>
  <c r="AK137" i="26"/>
  <c r="AK136" i="26"/>
  <c r="AK135" i="26"/>
  <c r="AK134" i="26"/>
  <c r="AK133" i="26"/>
  <c r="AK132" i="26"/>
  <c r="AK131" i="26"/>
  <c r="AK130" i="26"/>
  <c r="AK129" i="26"/>
  <c r="AK128" i="26"/>
  <c r="AK127" i="26"/>
  <c r="AK126" i="26"/>
  <c r="AK125" i="26"/>
  <c r="AK124" i="26"/>
  <c r="AK123" i="26"/>
  <c r="AK122" i="26"/>
  <c r="AK121" i="26"/>
  <c r="AK120" i="26"/>
  <c r="AK119" i="26"/>
  <c r="AK118" i="26"/>
  <c r="AK117" i="26"/>
  <c r="AK116" i="26"/>
  <c r="AK115" i="26"/>
  <c r="AK114" i="26"/>
  <c r="AK113" i="26"/>
  <c r="AK112" i="26"/>
  <c r="AK111" i="26"/>
  <c r="AK110" i="26"/>
  <c r="AK109" i="26"/>
  <c r="AK108" i="26"/>
  <c r="AK107" i="26"/>
  <c r="AK106" i="26"/>
  <c r="AK105" i="26"/>
  <c r="AK104" i="26"/>
  <c r="AK103" i="26"/>
  <c r="AK102" i="26"/>
  <c r="AK101" i="26"/>
  <c r="AK100" i="26"/>
  <c r="AK99" i="26"/>
  <c r="AK98" i="26"/>
  <c r="AK97" i="26"/>
  <c r="AK96" i="26"/>
  <c r="AK95" i="26"/>
  <c r="AK94" i="26"/>
  <c r="AK93" i="26"/>
  <c r="AK92" i="26"/>
  <c r="AK91" i="26"/>
  <c r="AK90" i="26"/>
  <c r="AK88" i="26"/>
  <c r="AK89" i="26"/>
  <c r="AK87" i="26"/>
  <c r="AK86" i="26"/>
  <c r="AK85" i="26"/>
  <c r="AK84" i="26"/>
  <c r="AK83" i="26"/>
  <c r="AK82" i="26"/>
  <c r="AK81" i="26"/>
  <c r="AK80" i="26"/>
  <c r="AK79" i="26"/>
  <c r="AK78" i="26"/>
  <c r="AK77" i="26"/>
  <c r="AK76" i="26"/>
  <c r="AK75" i="26"/>
  <c r="AK74" i="26"/>
  <c r="AK73" i="26"/>
  <c r="AK72" i="26"/>
  <c r="AK71" i="26"/>
  <c r="AK70" i="26"/>
  <c r="AK69" i="26"/>
  <c r="AK68" i="26"/>
  <c r="AK67" i="26"/>
  <c r="AK66" i="26"/>
  <c r="AK65" i="26"/>
  <c r="AK64" i="26"/>
  <c r="AK63" i="26"/>
  <c r="AK62" i="26"/>
  <c r="AK61" i="26"/>
  <c r="AK60" i="26"/>
  <c r="AK59" i="26"/>
  <c r="AK58" i="26"/>
  <c r="AK57" i="26"/>
  <c r="AK56" i="26"/>
  <c r="AK55" i="26"/>
  <c r="AK54" i="26"/>
  <c r="AK53" i="26"/>
  <c r="AK52" i="26"/>
  <c r="AK51" i="26"/>
  <c r="AK50" i="26"/>
  <c r="AK49" i="26"/>
  <c r="AK48" i="26"/>
  <c r="AK47" i="26"/>
  <c r="AK46" i="26"/>
  <c r="AK45" i="26"/>
  <c r="AK42" i="26"/>
  <c r="AK41" i="26"/>
  <c r="AK40" i="26"/>
  <c r="AK39" i="26"/>
  <c r="AK38" i="26"/>
  <c r="AK37" i="26"/>
  <c r="AK36" i="26"/>
  <c r="AK35" i="26"/>
  <c r="AK34" i="26"/>
  <c r="AK33" i="26"/>
  <c r="AK32" i="26"/>
  <c r="AK31" i="26"/>
  <c r="AK30" i="26"/>
  <c r="AK29" i="26"/>
  <c r="AK28" i="26"/>
  <c r="AK27" i="26"/>
  <c r="AK26" i="26"/>
  <c r="AK25" i="26"/>
  <c r="AK24" i="26"/>
  <c r="AK23" i="26"/>
  <c r="AK22" i="26"/>
  <c r="AK21" i="26"/>
  <c r="AK20" i="26"/>
  <c r="AK19" i="26"/>
  <c r="AK18" i="26"/>
  <c r="AK17" i="26"/>
  <c r="AK16" i="26"/>
  <c r="AK15" i="26"/>
  <c r="AK14" i="26"/>
  <c r="AK13" i="26"/>
  <c r="AK12" i="26"/>
  <c r="AK11" i="26"/>
  <c r="O19" i="26"/>
  <c r="CE618" i="2"/>
  <c r="CE617" i="2"/>
  <c r="CE616" i="2"/>
  <c r="CE615" i="2"/>
  <c r="CE614" i="2"/>
  <c r="CE613" i="2"/>
  <c r="CE612" i="2"/>
  <c r="CE611" i="2"/>
  <c r="CE610" i="2"/>
  <c r="CE609" i="2"/>
  <c r="CE608" i="2"/>
  <c r="CE607" i="2"/>
  <c r="CE606" i="2"/>
  <c r="CE605" i="2"/>
  <c r="CE604" i="2"/>
  <c r="CE603" i="2"/>
  <c r="CE602" i="2"/>
  <c r="CE601" i="2"/>
  <c r="CE600" i="2"/>
  <c r="CE599" i="2"/>
  <c r="CE598" i="2"/>
  <c r="CE597" i="2"/>
  <c r="CE596" i="2"/>
  <c r="CE595" i="2"/>
  <c r="CE594" i="2"/>
  <c r="CE593" i="2"/>
  <c r="CE592" i="2"/>
  <c r="CE591" i="2"/>
  <c r="CE590" i="2"/>
  <c r="CE589" i="2"/>
  <c r="CE588" i="2"/>
  <c r="CE587" i="2"/>
  <c r="CE586" i="2"/>
  <c r="CE585" i="2"/>
  <c r="CE584" i="2"/>
  <c r="CE583" i="2"/>
  <c r="CE582" i="2"/>
  <c r="CE581" i="2"/>
  <c r="CE580" i="2"/>
  <c r="CE579" i="2"/>
  <c r="CE578" i="2"/>
  <c r="CE577" i="2"/>
  <c r="CE576" i="2"/>
  <c r="CE575" i="2"/>
  <c r="CE574" i="2"/>
  <c r="CE573" i="2"/>
  <c r="CE572" i="2"/>
  <c r="CE571" i="2"/>
  <c r="CE570" i="2"/>
  <c r="CE569" i="2"/>
  <c r="CE568" i="2"/>
  <c r="CE567" i="2"/>
  <c r="CE566" i="2"/>
  <c r="CE565" i="2"/>
  <c r="CE564" i="2"/>
  <c r="CE563" i="2"/>
  <c r="CE562" i="2"/>
  <c r="CE561" i="2"/>
  <c r="CE560" i="2"/>
  <c r="CE559" i="2"/>
  <c r="CE558" i="2"/>
  <c r="CE557" i="2"/>
  <c r="CE556" i="2"/>
  <c r="CE555" i="2"/>
  <c r="CE554" i="2"/>
  <c r="CE553" i="2"/>
  <c r="CE552" i="2"/>
  <c r="CE551" i="2"/>
  <c r="CE550" i="2"/>
  <c r="CE549" i="2"/>
  <c r="CE548" i="2"/>
  <c r="CE547" i="2"/>
  <c r="CE546" i="2"/>
  <c r="CE545" i="2"/>
  <c r="CE544" i="2"/>
  <c r="CE543" i="2"/>
  <c r="CE542" i="2"/>
  <c r="CE541" i="2"/>
  <c r="CE540" i="2"/>
  <c r="CE539" i="2"/>
  <c r="CE538" i="2"/>
  <c r="CE537" i="2"/>
  <c r="CE536" i="2"/>
  <c r="CE535" i="2"/>
  <c r="CE534" i="2"/>
  <c r="CE533" i="2"/>
  <c r="CE532" i="2"/>
  <c r="CE531" i="2"/>
  <c r="CE530" i="2"/>
  <c r="CE529" i="2"/>
  <c r="CE528" i="2"/>
  <c r="CE527" i="2"/>
  <c r="CE526" i="2"/>
  <c r="CE525" i="2"/>
  <c r="CE524" i="2"/>
  <c r="CE523" i="2"/>
  <c r="CE522" i="2"/>
  <c r="CE521" i="2"/>
  <c r="CE520" i="2"/>
  <c r="CE519" i="2"/>
  <c r="CE518" i="2"/>
  <c r="CE517" i="2"/>
  <c r="CE516" i="2"/>
  <c r="CE515" i="2"/>
  <c r="CE514" i="2"/>
  <c r="CE513" i="2"/>
  <c r="CE512" i="2"/>
  <c r="CE511" i="2"/>
  <c r="CE510" i="2"/>
  <c r="CE509" i="2"/>
  <c r="CE508" i="2"/>
  <c r="CE507" i="2"/>
  <c r="CE506" i="2"/>
  <c r="CE505" i="2"/>
  <c r="CE504" i="2"/>
  <c r="CE503" i="2"/>
  <c r="CE502" i="2"/>
  <c r="CE501" i="2"/>
  <c r="CE500" i="2"/>
  <c r="CE499" i="2"/>
  <c r="CE498" i="2"/>
  <c r="CE497" i="2"/>
  <c r="CE496" i="2"/>
  <c r="CE495" i="2"/>
  <c r="CE494" i="2"/>
  <c r="CE493" i="2"/>
  <c r="CE492" i="2"/>
  <c r="CE491" i="2"/>
  <c r="CE490" i="2"/>
  <c r="CE489" i="2"/>
  <c r="CE488" i="2"/>
  <c r="CE487" i="2"/>
  <c r="CE486" i="2"/>
  <c r="CE485" i="2"/>
  <c r="CE484" i="2"/>
  <c r="CE483" i="2"/>
  <c r="CE482" i="2"/>
  <c r="CE481" i="2"/>
  <c r="CE480" i="2"/>
  <c r="CE479" i="2"/>
  <c r="CE478" i="2"/>
  <c r="CE477" i="2"/>
  <c r="CE476" i="2"/>
  <c r="CE475" i="2"/>
  <c r="CE474" i="2"/>
  <c r="CE473" i="2"/>
  <c r="CE472" i="2"/>
  <c r="CE471" i="2"/>
  <c r="CE470" i="2"/>
  <c r="CE469" i="2"/>
  <c r="CE468" i="2"/>
  <c r="CE467" i="2"/>
  <c r="CE466" i="2"/>
  <c r="CE465" i="2"/>
  <c r="CE464" i="2"/>
  <c r="CE463" i="2"/>
  <c r="CE462" i="2"/>
  <c r="CE461" i="2"/>
  <c r="CE460" i="2"/>
  <c r="CE459" i="2"/>
  <c r="CE458" i="2"/>
  <c r="CE457" i="2"/>
  <c r="CE455" i="2"/>
  <c r="CE454" i="2"/>
  <c r="CE453" i="2"/>
  <c r="CE452" i="2"/>
  <c r="CE451" i="2"/>
  <c r="CE450" i="2"/>
  <c r="CE449" i="2"/>
  <c r="CE448" i="2"/>
  <c r="CE447" i="2"/>
  <c r="CE446" i="2"/>
  <c r="CE445" i="2"/>
  <c r="CE444" i="2"/>
  <c r="CE443" i="2"/>
  <c r="CE442" i="2"/>
  <c r="CE441" i="2"/>
  <c r="CE440" i="2"/>
  <c r="CE439" i="2"/>
  <c r="CE438" i="2"/>
  <c r="CE437" i="2"/>
  <c r="CE436" i="2"/>
  <c r="CE435" i="2"/>
  <c r="CE434" i="2"/>
  <c r="CE433" i="2"/>
  <c r="CE432" i="2"/>
  <c r="CE431" i="2"/>
  <c r="CE430" i="2"/>
  <c r="CE429" i="2"/>
  <c r="CE428" i="2"/>
  <c r="CE427" i="2"/>
  <c r="CE426" i="2"/>
  <c r="CE425" i="2"/>
  <c r="CE424" i="2"/>
  <c r="CE423" i="2"/>
  <c r="CE422" i="2"/>
  <c r="CE421" i="2"/>
  <c r="CE420" i="2"/>
  <c r="CE419" i="2"/>
  <c r="CE418" i="2"/>
  <c r="CE417" i="2"/>
  <c r="CE416" i="2"/>
  <c r="CE414" i="2"/>
  <c r="CE412" i="2"/>
  <c r="CE411" i="2"/>
  <c r="CE410" i="2"/>
  <c r="CE408" i="2"/>
  <c r="CE407" i="2"/>
  <c r="CE406" i="2"/>
  <c r="CE405" i="2"/>
  <c r="CE404" i="2"/>
  <c r="CE403" i="2"/>
  <c r="CE402" i="2"/>
  <c r="CE401" i="2"/>
  <c r="CE399" i="2"/>
  <c r="CE398" i="2"/>
  <c r="CE397" i="2"/>
  <c r="CE396" i="2"/>
  <c r="CE395" i="2"/>
  <c r="CE394" i="2"/>
  <c r="CE393" i="2"/>
  <c r="CE392" i="2"/>
  <c r="CE391" i="2"/>
  <c r="CE390" i="2"/>
  <c r="CE389" i="2"/>
  <c r="CE388" i="2"/>
  <c r="CE387" i="2"/>
  <c r="CE386" i="2"/>
  <c r="CE385" i="2"/>
  <c r="CE384" i="2"/>
  <c r="CE383" i="2"/>
  <c r="CE382" i="2"/>
  <c r="CE381" i="2"/>
  <c r="CE380" i="2"/>
  <c r="CE379" i="2"/>
  <c r="CE378" i="2"/>
  <c r="CE377" i="2"/>
  <c r="CE376" i="2"/>
  <c r="CE375" i="2"/>
  <c r="CE374" i="2"/>
  <c r="CE373" i="2"/>
  <c r="CE372" i="2"/>
  <c r="CE371" i="2"/>
  <c r="CE370" i="2"/>
  <c r="CE369" i="2"/>
  <c r="CE368" i="2"/>
  <c r="CE366" i="2"/>
  <c r="CE365" i="2"/>
  <c r="CE364" i="2"/>
  <c r="CE363" i="2"/>
  <c r="CE362" i="2"/>
  <c r="CE361" i="2"/>
  <c r="CE360" i="2"/>
  <c r="CE359" i="2"/>
  <c r="CE358" i="2"/>
  <c r="CE357" i="2"/>
  <c r="CE356" i="2"/>
  <c r="CE355" i="2"/>
  <c r="CE354" i="2"/>
  <c r="CE353" i="2"/>
  <c r="CE352" i="2"/>
  <c r="CE351" i="2"/>
  <c r="CE350" i="2"/>
  <c r="CE349" i="2"/>
  <c r="CE348" i="2"/>
  <c r="CE347" i="2"/>
  <c r="CE345" i="2"/>
  <c r="CE344" i="2"/>
  <c r="CE343" i="2"/>
  <c r="CE342" i="2"/>
  <c r="CE341" i="2"/>
  <c r="CE340" i="2"/>
  <c r="CE339" i="2"/>
  <c r="CE338" i="2"/>
  <c r="CE337" i="2"/>
  <c r="CE336" i="2"/>
  <c r="CE335" i="2"/>
  <c r="CE334" i="2"/>
  <c r="CE333" i="2"/>
  <c r="CE332" i="2"/>
  <c r="CE331" i="2"/>
  <c r="CE330" i="2"/>
  <c r="CE329" i="2"/>
  <c r="CE328" i="2"/>
  <c r="CE327" i="2"/>
  <c r="CE326" i="2"/>
  <c r="CE325" i="2"/>
  <c r="CE324" i="2"/>
  <c r="CE323" i="2"/>
  <c r="CE322" i="2"/>
  <c r="CE321" i="2"/>
  <c r="CE320" i="2"/>
  <c r="CE319" i="2"/>
  <c r="CE317" i="2"/>
  <c r="CE316" i="2"/>
  <c r="CE315" i="2"/>
  <c r="CE314" i="2"/>
  <c r="CE313" i="2"/>
  <c r="CE312" i="2"/>
  <c r="CE311" i="2"/>
  <c r="CE310" i="2"/>
  <c r="CE309" i="2"/>
  <c r="CE308" i="2"/>
  <c r="CE307" i="2"/>
  <c r="CE306" i="2"/>
  <c r="CE304" i="2"/>
  <c r="CE303" i="2"/>
  <c r="CE302" i="2"/>
  <c r="CE301" i="2"/>
  <c r="CE300" i="2"/>
  <c r="CE299" i="2"/>
  <c r="CE298" i="2"/>
  <c r="CE297" i="2"/>
  <c r="CE296" i="2"/>
  <c r="CE295" i="2"/>
  <c r="CE294" i="2"/>
  <c r="CE293" i="2"/>
  <c r="CE289" i="2"/>
  <c r="CE292" i="2"/>
  <c r="CE291" i="2"/>
  <c r="CE290" i="2"/>
  <c r="CE288" i="2"/>
  <c r="CE287" i="2"/>
  <c r="CE285" i="2"/>
  <c r="CE284" i="2"/>
  <c r="CE283" i="2"/>
  <c r="CE282" i="2"/>
  <c r="CE281" i="2"/>
  <c r="CE280" i="2"/>
  <c r="CE279" i="2"/>
  <c r="CE278" i="2"/>
  <c r="CE277" i="2"/>
  <c r="CE276" i="2"/>
  <c r="CE275" i="2"/>
  <c r="CE274" i="2"/>
  <c r="CE273" i="2"/>
  <c r="CE272" i="2"/>
  <c r="CE271" i="2"/>
  <c r="CE270" i="2"/>
  <c r="CE269" i="2"/>
  <c r="CE268" i="2"/>
  <c r="CE267" i="2"/>
  <c r="CE266" i="2"/>
  <c r="CE265" i="2"/>
  <c r="CE264" i="2"/>
  <c r="CE263" i="2"/>
  <c r="CE262" i="2"/>
  <c r="CE261" i="2"/>
  <c r="CE260" i="2"/>
  <c r="CE259" i="2"/>
  <c r="CE258" i="2"/>
  <c r="CE257" i="2"/>
  <c r="CE256" i="2"/>
  <c r="CE255" i="2"/>
  <c r="CE254" i="2"/>
  <c r="CE253" i="2"/>
  <c r="CE252" i="2"/>
  <c r="CE251" i="2"/>
  <c r="CE250" i="2"/>
  <c r="CE249" i="2"/>
  <c r="CE248" i="2"/>
  <c r="CE247" i="2"/>
  <c r="CE246" i="2"/>
  <c r="CE245" i="2"/>
  <c r="CE244" i="2"/>
  <c r="CE243" i="2"/>
  <c r="CE242" i="2"/>
  <c r="CE241" i="2"/>
  <c r="CE240" i="2"/>
  <c r="CE239" i="2"/>
  <c r="CE238" i="2"/>
  <c r="CE237" i="2"/>
  <c r="CE236" i="2"/>
  <c r="CE235" i="2"/>
  <c r="CE234" i="2"/>
  <c r="CE233" i="2"/>
  <c r="CE232" i="2"/>
  <c r="CE231" i="2"/>
  <c r="CE230" i="2"/>
  <c r="CE229" i="2"/>
  <c r="CE228" i="2"/>
  <c r="CE227" i="2"/>
  <c r="CE226" i="2"/>
  <c r="CE225" i="2"/>
  <c r="CE224" i="2"/>
  <c r="CE223" i="2"/>
  <c r="CE222" i="2"/>
  <c r="CE221" i="2"/>
  <c r="CE220" i="2"/>
  <c r="CE219" i="2"/>
  <c r="CE218" i="2"/>
  <c r="CE217" i="2"/>
  <c r="CE216" i="2"/>
  <c r="CE215" i="2"/>
  <c r="CE214" i="2"/>
  <c r="CE213" i="2"/>
  <c r="CE212" i="2"/>
  <c r="CE211" i="2"/>
  <c r="CE210" i="2"/>
  <c r="CE209" i="2"/>
  <c r="CE208" i="2"/>
  <c r="CE207" i="2"/>
  <c r="CE206" i="2"/>
  <c r="CE205" i="2"/>
  <c r="CE204" i="2"/>
  <c r="CE203" i="2"/>
  <c r="CE202" i="2"/>
  <c r="CE201" i="2"/>
  <c r="CE200" i="2"/>
  <c r="CE199" i="2"/>
  <c r="CE198" i="2"/>
  <c r="CE197" i="2"/>
  <c r="CE196" i="2"/>
  <c r="CE195" i="2"/>
  <c r="CE194" i="2"/>
  <c r="CE193" i="2"/>
  <c r="CE192" i="2"/>
  <c r="CE191" i="2"/>
  <c r="CE190" i="2"/>
  <c r="CE189" i="2"/>
  <c r="CE188" i="2"/>
  <c r="CE187" i="2"/>
  <c r="CE186" i="2"/>
  <c r="CE185" i="2"/>
  <c r="CE184" i="2"/>
  <c r="CE183" i="2"/>
  <c r="CE182" i="2"/>
  <c r="CE181" i="2"/>
  <c r="CE180" i="2"/>
  <c r="CE179" i="2"/>
  <c r="CE178" i="2"/>
  <c r="CE177" i="2"/>
  <c r="CE176" i="2"/>
  <c r="CE175" i="2"/>
  <c r="CE174" i="2"/>
  <c r="CE173" i="2"/>
  <c r="CE172" i="2"/>
  <c r="CE171" i="2"/>
  <c r="CB171" i="2"/>
  <c r="BB171" i="2"/>
  <c r="BL171" i="2" s="1"/>
  <c r="CE170" i="2"/>
  <c r="CE169" i="2"/>
  <c r="CE168" i="2"/>
  <c r="CE167" i="2"/>
  <c r="CE166" i="2"/>
  <c r="CE165" i="2"/>
  <c r="CE164" i="2"/>
  <c r="CE163" i="2"/>
  <c r="CE162" i="2"/>
  <c r="CE161" i="2"/>
  <c r="CE160" i="2"/>
  <c r="CE159" i="2"/>
  <c r="CE158" i="2"/>
  <c r="CE157" i="2"/>
  <c r="CE156" i="2"/>
  <c r="CE155" i="2"/>
  <c r="CE154" i="2"/>
  <c r="CE153" i="2"/>
  <c r="CE152" i="2"/>
  <c r="CE151" i="2"/>
  <c r="CE150" i="2"/>
  <c r="CE149" i="2"/>
  <c r="CE148" i="2"/>
  <c r="CE147" i="2"/>
  <c r="CE146" i="2"/>
  <c r="CE145" i="2"/>
  <c r="CE144" i="2"/>
  <c r="CE143" i="2"/>
  <c r="CE142" i="2"/>
  <c r="CE141" i="2"/>
  <c r="CE140" i="2"/>
  <c r="CE139" i="2"/>
  <c r="CE138" i="2"/>
  <c r="CE137" i="2"/>
  <c r="CE136" i="2"/>
  <c r="CE135" i="2"/>
  <c r="CE134" i="2"/>
  <c r="CE133" i="2"/>
  <c r="CE132" i="2"/>
  <c r="CE131" i="2"/>
  <c r="CE130" i="2"/>
  <c r="CE129" i="2"/>
  <c r="CE128" i="2"/>
  <c r="CE127" i="2"/>
  <c r="CE126" i="2"/>
  <c r="CE125" i="2"/>
  <c r="CE124" i="2"/>
  <c r="CE123" i="2"/>
  <c r="CE122" i="2"/>
  <c r="CE121" i="2"/>
  <c r="CE120" i="2"/>
  <c r="CE119" i="2"/>
  <c r="CE118" i="2"/>
  <c r="CE117" i="2"/>
  <c r="CE116" i="2"/>
  <c r="CE115" i="2"/>
  <c r="CE114" i="2"/>
  <c r="CE113" i="2"/>
  <c r="CE112" i="2"/>
  <c r="CE111" i="2"/>
  <c r="CE110" i="2"/>
  <c r="CE109" i="2"/>
  <c r="CE108" i="2"/>
  <c r="CE107" i="2"/>
  <c r="CE106" i="2"/>
  <c r="CE105" i="2"/>
  <c r="CE104" i="2"/>
  <c r="CE103" i="2"/>
  <c r="CE102" i="2"/>
  <c r="CE101" i="2"/>
  <c r="CE100" i="2"/>
  <c r="CE99" i="2"/>
  <c r="CE98" i="2"/>
  <c r="CE97" i="2"/>
  <c r="CE96" i="2"/>
  <c r="CE95" i="2"/>
  <c r="CE94" i="2"/>
  <c r="CE93" i="2"/>
  <c r="CE92" i="2"/>
  <c r="CE91" i="2"/>
  <c r="CE90" i="2"/>
  <c r="CE88" i="2"/>
  <c r="CE89" i="2"/>
  <c r="CB89" i="2"/>
  <c r="BB89" i="2"/>
  <c r="BL89" i="2" s="1"/>
  <c r="CE87" i="2"/>
  <c r="CE86" i="2"/>
  <c r="CE85" i="2"/>
  <c r="CE84" i="2"/>
  <c r="CE83" i="2"/>
  <c r="CE82" i="2"/>
  <c r="CE81" i="2"/>
  <c r="CE80" i="2"/>
  <c r="CE79" i="2"/>
  <c r="CE78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6" i="2"/>
  <c r="CE45" i="2"/>
  <c r="CE44" i="2"/>
  <c r="CE42" i="2"/>
  <c r="CE41" i="2"/>
  <c r="CE40" i="2"/>
  <c r="CE39" i="2"/>
  <c r="CE38" i="2"/>
  <c r="CE37" i="2"/>
  <c r="CE36" i="2"/>
  <c r="CE35" i="2"/>
  <c r="CE34" i="2"/>
  <c r="CE33" i="2"/>
  <c r="CE32" i="2"/>
  <c r="CE31" i="2"/>
  <c r="CE30" i="2"/>
  <c r="CE29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3" i="2"/>
  <c r="CE12" i="2"/>
  <c r="CE11" i="2"/>
  <c r="CB60" i="2"/>
  <c r="BB60" i="2"/>
  <c r="BL60" i="2" s="1"/>
  <c r="CB618" i="2"/>
  <c r="CB617" i="2"/>
  <c r="CB616" i="2"/>
  <c r="CB615" i="2"/>
  <c r="CB614" i="2"/>
  <c r="CB613" i="2"/>
  <c r="CB612" i="2"/>
  <c r="CB611" i="2"/>
  <c r="CB610" i="2"/>
  <c r="CB609" i="2"/>
  <c r="CB608" i="2"/>
  <c r="CB607" i="2"/>
  <c r="CB606" i="2"/>
  <c r="CB605" i="2"/>
  <c r="CB604" i="2"/>
  <c r="CB603" i="2"/>
  <c r="CB602" i="2"/>
  <c r="CB601" i="2"/>
  <c r="CB600" i="2"/>
  <c r="CB599" i="2"/>
  <c r="CB598" i="2"/>
  <c r="CB597" i="2"/>
  <c r="CB596" i="2"/>
  <c r="CB595" i="2"/>
  <c r="CB594" i="2"/>
  <c r="CB593" i="2"/>
  <c r="CB592" i="2"/>
  <c r="CB591" i="2"/>
  <c r="CB590" i="2"/>
  <c r="CB589" i="2"/>
  <c r="CB588" i="2"/>
  <c r="CB587" i="2"/>
  <c r="CB586" i="2"/>
  <c r="CB585" i="2"/>
  <c r="CB584" i="2"/>
  <c r="CB583" i="2"/>
  <c r="CB582" i="2"/>
  <c r="CB581" i="2"/>
  <c r="CB580" i="2"/>
  <c r="CB579" i="2"/>
  <c r="CB578" i="2"/>
  <c r="CB577" i="2"/>
  <c r="CB576" i="2"/>
  <c r="CB575" i="2"/>
  <c r="CB574" i="2"/>
  <c r="CB573" i="2"/>
  <c r="CB572" i="2"/>
  <c r="CB571" i="2"/>
  <c r="CB570" i="2"/>
  <c r="CB569" i="2"/>
  <c r="CB568" i="2"/>
  <c r="CB567" i="2"/>
  <c r="CB566" i="2"/>
  <c r="CB565" i="2"/>
  <c r="CB564" i="2"/>
  <c r="CB563" i="2"/>
  <c r="CB562" i="2"/>
  <c r="CB561" i="2"/>
  <c r="CB560" i="2"/>
  <c r="CB559" i="2"/>
  <c r="CB558" i="2"/>
  <c r="CB557" i="2"/>
  <c r="CB556" i="2"/>
  <c r="CB555" i="2"/>
  <c r="CB554" i="2"/>
  <c r="CB553" i="2"/>
  <c r="CB552" i="2"/>
  <c r="CB551" i="2"/>
  <c r="CB550" i="2"/>
  <c r="CB549" i="2"/>
  <c r="CB548" i="2"/>
  <c r="CB547" i="2"/>
  <c r="CB546" i="2"/>
  <c r="CB545" i="2"/>
  <c r="CB544" i="2"/>
  <c r="CB543" i="2"/>
  <c r="CB542" i="2"/>
  <c r="CB541" i="2"/>
  <c r="CB540" i="2"/>
  <c r="CB539" i="2"/>
  <c r="CB538" i="2"/>
  <c r="CB537" i="2"/>
  <c r="CB536" i="2"/>
  <c r="CB535" i="2"/>
  <c r="CB534" i="2"/>
  <c r="CB533" i="2"/>
  <c r="CB532" i="2"/>
  <c r="CB531" i="2"/>
  <c r="CB530" i="2"/>
  <c r="CB529" i="2"/>
  <c r="CB528" i="2"/>
  <c r="CB527" i="2"/>
  <c r="CB526" i="2"/>
  <c r="CB525" i="2"/>
  <c r="CB524" i="2"/>
  <c r="CB523" i="2"/>
  <c r="CB522" i="2"/>
  <c r="CB521" i="2"/>
  <c r="CB520" i="2"/>
  <c r="CB519" i="2"/>
  <c r="CB518" i="2"/>
  <c r="CB517" i="2"/>
  <c r="CB516" i="2"/>
  <c r="CB515" i="2"/>
  <c r="CB514" i="2"/>
  <c r="CB513" i="2"/>
  <c r="CB512" i="2"/>
  <c r="CB511" i="2"/>
  <c r="CB510" i="2"/>
  <c r="CB509" i="2"/>
  <c r="CB508" i="2"/>
  <c r="CB507" i="2"/>
  <c r="CB506" i="2"/>
  <c r="CB505" i="2"/>
  <c r="CB504" i="2"/>
  <c r="CB503" i="2"/>
  <c r="CB502" i="2"/>
  <c r="CB501" i="2"/>
  <c r="CB500" i="2"/>
  <c r="CB499" i="2"/>
  <c r="CB498" i="2"/>
  <c r="CB497" i="2"/>
  <c r="CB496" i="2"/>
  <c r="CB495" i="2"/>
  <c r="CB494" i="2"/>
  <c r="CB493" i="2"/>
  <c r="CB492" i="2"/>
  <c r="CB491" i="2"/>
  <c r="CB490" i="2"/>
  <c r="CB489" i="2"/>
  <c r="CB488" i="2"/>
  <c r="CB487" i="2"/>
  <c r="CB486" i="2"/>
  <c r="CB485" i="2"/>
  <c r="CB484" i="2"/>
  <c r="CB483" i="2"/>
  <c r="CB482" i="2"/>
  <c r="CB481" i="2"/>
  <c r="CB480" i="2"/>
  <c r="CB479" i="2"/>
  <c r="CB478" i="2"/>
  <c r="CB477" i="2"/>
  <c r="CB476" i="2"/>
  <c r="CB475" i="2"/>
  <c r="CB474" i="2"/>
  <c r="CB473" i="2"/>
  <c r="CB472" i="2"/>
  <c r="CB471" i="2"/>
  <c r="CB470" i="2"/>
  <c r="CB469" i="2"/>
  <c r="CB468" i="2"/>
  <c r="CB467" i="2"/>
  <c r="CB466" i="2"/>
  <c r="CB465" i="2"/>
  <c r="CB464" i="2"/>
  <c r="CB463" i="2"/>
  <c r="CB462" i="2"/>
  <c r="CB461" i="2"/>
  <c r="CB460" i="2"/>
  <c r="CB459" i="2"/>
  <c r="CB458" i="2"/>
  <c r="CB457" i="2"/>
  <c r="CB455" i="2"/>
  <c r="CB454" i="2"/>
  <c r="CB453" i="2"/>
  <c r="CB452" i="2"/>
  <c r="CB451" i="2"/>
  <c r="CB450" i="2"/>
  <c r="CB449" i="2"/>
  <c r="CB448" i="2"/>
  <c r="CB447" i="2"/>
  <c r="CB446" i="2"/>
  <c r="CB445" i="2"/>
  <c r="CB444" i="2"/>
  <c r="CB443" i="2"/>
  <c r="CB442" i="2"/>
  <c r="CB441" i="2"/>
  <c r="CB440" i="2"/>
  <c r="CB439" i="2"/>
  <c r="CB438" i="2"/>
  <c r="CB437" i="2"/>
  <c r="CB436" i="2"/>
  <c r="CB435" i="2"/>
  <c r="CB434" i="2"/>
  <c r="CB433" i="2"/>
  <c r="CB432" i="2"/>
  <c r="CB431" i="2"/>
  <c r="CB430" i="2"/>
  <c r="CB429" i="2"/>
  <c r="CB428" i="2"/>
  <c r="CB427" i="2"/>
  <c r="CB426" i="2"/>
  <c r="CB425" i="2"/>
  <c r="CB424" i="2"/>
  <c r="CB423" i="2"/>
  <c r="CB422" i="2"/>
  <c r="CB421" i="2"/>
  <c r="CB420" i="2"/>
  <c r="CB419" i="2"/>
  <c r="CB418" i="2"/>
  <c r="CB417" i="2"/>
  <c r="CB416" i="2"/>
  <c r="CB414" i="2"/>
  <c r="CB412" i="2"/>
  <c r="CB411" i="2"/>
  <c r="CB410" i="2"/>
  <c r="CB408" i="2"/>
  <c r="CB407" i="2"/>
  <c r="CB406" i="2"/>
  <c r="CB405" i="2"/>
  <c r="CB404" i="2"/>
  <c r="CB403" i="2"/>
  <c r="CB402" i="2"/>
  <c r="CB401" i="2"/>
  <c r="CB399" i="2"/>
  <c r="CB398" i="2"/>
  <c r="CB397" i="2"/>
  <c r="CB396" i="2"/>
  <c r="CB395" i="2"/>
  <c r="CB394" i="2"/>
  <c r="CB393" i="2"/>
  <c r="CB392" i="2"/>
  <c r="CB391" i="2"/>
  <c r="CB390" i="2"/>
  <c r="CB389" i="2"/>
  <c r="CB388" i="2"/>
  <c r="CB387" i="2"/>
  <c r="CB386" i="2"/>
  <c r="CB385" i="2"/>
  <c r="CB384" i="2"/>
  <c r="CB383" i="2"/>
  <c r="CB382" i="2"/>
  <c r="CB381" i="2"/>
  <c r="CB380" i="2"/>
  <c r="CB379" i="2"/>
  <c r="CB378" i="2"/>
  <c r="CB377" i="2"/>
  <c r="CB376" i="2"/>
  <c r="CB375" i="2"/>
  <c r="CB374" i="2"/>
  <c r="CB373" i="2"/>
  <c r="CB372" i="2"/>
  <c r="CB371" i="2"/>
  <c r="CB370" i="2"/>
  <c r="CB369" i="2"/>
  <c r="CB368" i="2"/>
  <c r="CB366" i="2"/>
  <c r="CB365" i="2"/>
  <c r="CB364" i="2"/>
  <c r="CB363" i="2"/>
  <c r="CB362" i="2"/>
  <c r="CB361" i="2"/>
  <c r="CB360" i="2"/>
  <c r="CB359" i="2"/>
  <c r="CB358" i="2"/>
  <c r="CB357" i="2"/>
  <c r="CB356" i="2"/>
  <c r="CB355" i="2"/>
  <c r="CB354" i="2"/>
  <c r="CB353" i="2"/>
  <c r="CB352" i="2"/>
  <c r="CB351" i="2"/>
  <c r="CB350" i="2"/>
  <c r="CB349" i="2"/>
  <c r="CB348" i="2"/>
  <c r="CB347" i="2"/>
  <c r="CB345" i="2"/>
  <c r="CB344" i="2"/>
  <c r="CB343" i="2"/>
  <c r="CB342" i="2"/>
  <c r="CB341" i="2"/>
  <c r="CB340" i="2"/>
  <c r="CB339" i="2"/>
  <c r="CB338" i="2"/>
  <c r="CB337" i="2"/>
  <c r="CB336" i="2"/>
  <c r="CB335" i="2"/>
  <c r="CB334" i="2"/>
  <c r="CB333" i="2"/>
  <c r="CB332" i="2"/>
  <c r="CB331" i="2"/>
  <c r="CB330" i="2"/>
  <c r="CB329" i="2"/>
  <c r="CB328" i="2"/>
  <c r="CB327" i="2"/>
  <c r="CB326" i="2"/>
  <c r="CB325" i="2"/>
  <c r="CB324" i="2"/>
  <c r="CB323" i="2"/>
  <c r="CB322" i="2"/>
  <c r="CB321" i="2"/>
  <c r="CB320" i="2"/>
  <c r="CB319" i="2"/>
  <c r="CB317" i="2"/>
  <c r="CB316" i="2"/>
  <c r="CB315" i="2"/>
  <c r="CB314" i="2"/>
  <c r="CB313" i="2"/>
  <c r="CB312" i="2"/>
  <c r="CB311" i="2"/>
  <c r="CB310" i="2"/>
  <c r="CB309" i="2"/>
  <c r="CB308" i="2"/>
  <c r="CB307" i="2"/>
  <c r="CB306" i="2"/>
  <c r="CB304" i="2"/>
  <c r="CB303" i="2"/>
  <c r="CB302" i="2"/>
  <c r="CB301" i="2"/>
  <c r="CB300" i="2"/>
  <c r="CB299" i="2"/>
  <c r="CB298" i="2"/>
  <c r="CB297" i="2"/>
  <c r="CB296" i="2"/>
  <c r="CB295" i="2"/>
  <c r="CB294" i="2"/>
  <c r="CB293" i="2"/>
  <c r="CB289" i="2"/>
  <c r="CB292" i="2"/>
  <c r="CB291" i="2"/>
  <c r="CB290" i="2"/>
  <c r="CB288" i="2"/>
  <c r="CB287" i="2"/>
  <c r="CB285" i="2"/>
  <c r="CB284" i="2"/>
  <c r="CB283" i="2"/>
  <c r="CB282" i="2"/>
  <c r="CB281" i="2"/>
  <c r="CB280" i="2"/>
  <c r="CB279" i="2"/>
  <c r="CB278" i="2"/>
  <c r="CB277" i="2"/>
  <c r="CB276" i="2"/>
  <c r="CB275" i="2"/>
  <c r="CB274" i="2"/>
  <c r="CB273" i="2"/>
  <c r="CB272" i="2"/>
  <c r="CB271" i="2"/>
  <c r="CB270" i="2"/>
  <c r="CB269" i="2"/>
  <c r="CB268" i="2"/>
  <c r="CB267" i="2"/>
  <c r="CB266" i="2"/>
  <c r="CB265" i="2"/>
  <c r="CB264" i="2"/>
  <c r="CB263" i="2"/>
  <c r="CB262" i="2"/>
  <c r="CB261" i="2"/>
  <c r="CB260" i="2"/>
  <c r="CB259" i="2"/>
  <c r="CB258" i="2"/>
  <c r="CB257" i="2"/>
  <c r="CB256" i="2"/>
  <c r="CB255" i="2"/>
  <c r="CB254" i="2"/>
  <c r="CB253" i="2"/>
  <c r="CB252" i="2"/>
  <c r="CB251" i="2"/>
  <c r="CB250" i="2"/>
  <c r="CB249" i="2"/>
  <c r="CB248" i="2"/>
  <c r="CB247" i="2"/>
  <c r="CB246" i="2"/>
  <c r="CB245" i="2"/>
  <c r="CB244" i="2"/>
  <c r="CB243" i="2"/>
  <c r="CB242" i="2"/>
  <c r="CB241" i="2"/>
  <c r="CB240" i="2"/>
  <c r="CB239" i="2"/>
  <c r="CB238" i="2"/>
  <c r="CB237" i="2"/>
  <c r="CB236" i="2"/>
  <c r="CB235" i="2"/>
  <c r="CB234" i="2"/>
  <c r="CB233" i="2"/>
  <c r="CB232" i="2"/>
  <c r="CB231" i="2"/>
  <c r="CB230" i="2"/>
  <c r="CB229" i="2"/>
  <c r="CB228" i="2"/>
  <c r="CB227" i="2"/>
  <c r="CB226" i="2"/>
  <c r="CB225" i="2"/>
  <c r="CB224" i="2"/>
  <c r="CB223" i="2"/>
  <c r="CB222" i="2"/>
  <c r="CB221" i="2"/>
  <c r="CB220" i="2"/>
  <c r="CB219" i="2"/>
  <c r="CB218" i="2"/>
  <c r="CB217" i="2"/>
  <c r="CB216" i="2"/>
  <c r="CB215" i="2"/>
  <c r="CB214" i="2"/>
  <c r="CB213" i="2"/>
  <c r="CB212" i="2"/>
  <c r="CB211" i="2"/>
  <c r="CB210" i="2"/>
  <c r="CB209" i="2"/>
  <c r="CB208" i="2"/>
  <c r="CB207" i="2"/>
  <c r="CB206" i="2"/>
  <c r="CB205" i="2"/>
  <c r="CB204" i="2"/>
  <c r="CB203" i="2"/>
  <c r="CB202" i="2"/>
  <c r="CB201" i="2"/>
  <c r="CB200" i="2"/>
  <c r="CB199" i="2"/>
  <c r="CB198" i="2"/>
  <c r="CB197" i="2"/>
  <c r="CB196" i="2"/>
  <c r="CB195" i="2"/>
  <c r="CB194" i="2"/>
  <c r="CB193" i="2"/>
  <c r="CB192" i="2"/>
  <c r="CB191" i="2"/>
  <c r="CB190" i="2"/>
  <c r="CB189" i="2"/>
  <c r="CB188" i="2"/>
  <c r="CB187" i="2"/>
  <c r="CB186" i="2"/>
  <c r="CB185" i="2"/>
  <c r="CB184" i="2"/>
  <c r="CB183" i="2"/>
  <c r="CB182" i="2"/>
  <c r="CB181" i="2"/>
  <c r="CB180" i="2"/>
  <c r="CB179" i="2"/>
  <c r="CB178" i="2"/>
  <c r="CB177" i="2"/>
  <c r="CB176" i="2"/>
  <c r="CB175" i="2"/>
  <c r="CB174" i="2"/>
  <c r="CB173" i="2"/>
  <c r="CB172" i="2"/>
  <c r="CB170" i="2"/>
  <c r="CB169" i="2"/>
  <c r="CF169" i="2" s="1"/>
  <c r="CB168" i="2"/>
  <c r="CB167" i="2"/>
  <c r="CF167" i="2" s="1"/>
  <c r="CB166" i="2"/>
  <c r="CB165" i="2"/>
  <c r="CF165" i="2" s="1"/>
  <c r="CB164" i="2"/>
  <c r="CB163" i="2"/>
  <c r="CF163" i="2" s="1"/>
  <c r="CB162" i="2"/>
  <c r="CB161" i="2"/>
  <c r="CF161" i="2" s="1"/>
  <c r="CB160" i="2"/>
  <c r="CB159" i="2"/>
  <c r="CF159" i="2" s="1"/>
  <c r="CB158" i="2"/>
  <c r="CB157" i="2"/>
  <c r="CF157" i="2" s="1"/>
  <c r="CB156" i="2"/>
  <c r="CB155" i="2"/>
  <c r="CF155" i="2" s="1"/>
  <c r="CB154" i="2"/>
  <c r="CB153" i="2"/>
  <c r="CF153" i="2" s="1"/>
  <c r="CB152" i="2"/>
  <c r="CB151" i="2"/>
  <c r="CF151" i="2" s="1"/>
  <c r="CB150" i="2"/>
  <c r="CB149" i="2"/>
  <c r="CF149" i="2" s="1"/>
  <c r="CB148" i="2"/>
  <c r="CB147" i="2"/>
  <c r="CF147" i="2" s="1"/>
  <c r="CB146" i="2"/>
  <c r="CB145" i="2"/>
  <c r="CF145" i="2" s="1"/>
  <c r="CB144" i="2"/>
  <c r="CB143" i="2"/>
  <c r="CF143" i="2" s="1"/>
  <c r="CB142" i="2"/>
  <c r="CB141" i="2"/>
  <c r="CF141" i="2" s="1"/>
  <c r="CB140" i="2"/>
  <c r="CB139" i="2"/>
  <c r="CF139" i="2" s="1"/>
  <c r="CB138" i="2"/>
  <c r="CB137" i="2"/>
  <c r="CF137" i="2" s="1"/>
  <c r="CB136" i="2"/>
  <c r="CB135" i="2"/>
  <c r="CF135" i="2" s="1"/>
  <c r="CB134" i="2"/>
  <c r="CB133" i="2"/>
  <c r="CF133" i="2" s="1"/>
  <c r="CB132" i="2"/>
  <c r="CB131" i="2"/>
  <c r="CF131" i="2" s="1"/>
  <c r="CB130" i="2"/>
  <c r="CB129" i="2"/>
  <c r="CF129" i="2" s="1"/>
  <c r="CB128" i="2"/>
  <c r="CB127" i="2"/>
  <c r="CF127" i="2" s="1"/>
  <c r="CB126" i="2"/>
  <c r="CB125" i="2"/>
  <c r="CF125" i="2" s="1"/>
  <c r="CB124" i="2"/>
  <c r="CB123" i="2"/>
  <c r="CF123" i="2" s="1"/>
  <c r="CB122" i="2"/>
  <c r="CB121" i="2"/>
  <c r="CF121" i="2" s="1"/>
  <c r="CB120" i="2"/>
  <c r="CB119" i="2"/>
  <c r="CF119" i="2" s="1"/>
  <c r="CB118" i="2"/>
  <c r="CB117" i="2"/>
  <c r="CF117" i="2" s="1"/>
  <c r="CB116" i="2"/>
  <c r="CB115" i="2"/>
  <c r="CF115" i="2" s="1"/>
  <c r="CB114" i="2"/>
  <c r="CB113" i="2"/>
  <c r="CF113" i="2" s="1"/>
  <c r="CB112" i="2"/>
  <c r="CB111" i="2"/>
  <c r="CF111" i="2" s="1"/>
  <c r="CB110" i="2"/>
  <c r="CB109" i="2"/>
  <c r="CF109" i="2" s="1"/>
  <c r="CB108" i="2"/>
  <c r="CB107" i="2"/>
  <c r="CF107" i="2" s="1"/>
  <c r="CB106" i="2"/>
  <c r="CB105" i="2"/>
  <c r="CF105" i="2" s="1"/>
  <c r="CB104" i="2"/>
  <c r="CB103" i="2"/>
  <c r="CF103" i="2" s="1"/>
  <c r="CB102" i="2"/>
  <c r="CB101" i="2"/>
  <c r="CF101" i="2" s="1"/>
  <c r="CB100" i="2"/>
  <c r="CB99" i="2"/>
  <c r="CF99" i="2" s="1"/>
  <c r="CB98" i="2"/>
  <c r="CB97" i="2"/>
  <c r="CF97" i="2" s="1"/>
  <c r="CB96" i="2"/>
  <c r="CB95" i="2"/>
  <c r="CF95" i="2" s="1"/>
  <c r="CB94" i="2"/>
  <c r="CB93" i="2"/>
  <c r="CF93" i="2" s="1"/>
  <c r="CB92" i="2"/>
  <c r="CB91" i="2"/>
  <c r="CF91" i="2" s="1"/>
  <c r="CB90" i="2"/>
  <c r="CB88" i="2"/>
  <c r="CF88" i="2" s="1"/>
  <c r="CB87" i="2"/>
  <c r="CB86" i="2"/>
  <c r="CB85" i="2"/>
  <c r="CB84" i="2"/>
  <c r="CB83" i="2"/>
  <c r="CB82" i="2"/>
  <c r="CB81" i="2"/>
  <c r="CB80" i="2"/>
  <c r="CB79" i="2"/>
  <c r="CB78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59" i="2"/>
  <c r="CF59" i="2" s="1"/>
  <c r="CB58" i="2"/>
  <c r="CB57" i="2"/>
  <c r="CF57" i="2" s="1"/>
  <c r="CB56" i="2"/>
  <c r="CB55" i="2"/>
  <c r="CF55" i="2" s="1"/>
  <c r="CB54" i="2"/>
  <c r="CB53" i="2"/>
  <c r="CF53" i="2" s="1"/>
  <c r="CB52" i="2"/>
  <c r="CB51" i="2"/>
  <c r="CF51" i="2" s="1"/>
  <c r="CB50" i="2"/>
  <c r="CB49" i="2"/>
  <c r="CF49" i="2" s="1"/>
  <c r="CB48" i="2"/>
  <c r="CB47" i="2"/>
  <c r="CF47" i="2" s="1"/>
  <c r="CB46" i="2"/>
  <c r="CB45" i="2"/>
  <c r="CF45" i="2" s="1"/>
  <c r="CB44" i="2"/>
  <c r="CB42" i="2"/>
  <c r="CF42" i="2" s="1"/>
  <c r="CB41" i="2"/>
  <c r="CB40" i="2"/>
  <c r="CF40" i="2" s="1"/>
  <c r="CB39" i="2"/>
  <c r="CB38" i="2"/>
  <c r="CF38" i="2" s="1"/>
  <c r="CB37" i="2"/>
  <c r="CB36" i="2"/>
  <c r="CF36" i="2" s="1"/>
  <c r="CB35" i="2"/>
  <c r="CB34" i="2"/>
  <c r="CF34" i="2" s="1"/>
  <c r="CB33" i="2"/>
  <c r="CB32" i="2"/>
  <c r="CF32" i="2" s="1"/>
  <c r="CB31" i="2"/>
  <c r="CB30" i="2"/>
  <c r="CF30" i="2" s="1"/>
  <c r="CB29" i="2"/>
  <c r="CB28" i="2"/>
  <c r="CF28" i="2" s="1"/>
  <c r="CB27" i="2"/>
  <c r="CB26" i="2"/>
  <c r="CF26" i="2" s="1"/>
  <c r="CB25" i="2"/>
  <c r="CB24" i="2"/>
  <c r="CF24" i="2" s="1"/>
  <c r="CB23" i="2"/>
  <c r="CB22" i="2"/>
  <c r="CF22" i="2" s="1"/>
  <c r="CB21" i="2"/>
  <c r="CB20" i="2"/>
  <c r="CF20" i="2" s="1"/>
  <c r="CB19" i="2"/>
  <c r="CB18" i="2"/>
  <c r="CF18" i="2" s="1"/>
  <c r="CB17" i="2"/>
  <c r="CB16" i="2"/>
  <c r="CF16" i="2" s="1"/>
  <c r="CB15" i="2"/>
  <c r="CB14" i="2"/>
  <c r="CF14" i="2" s="1"/>
  <c r="CB13" i="2"/>
  <c r="CB12" i="2"/>
  <c r="CF12" i="2" s="1"/>
  <c r="CB11" i="2"/>
  <c r="AQ175" i="1"/>
  <c r="AQ174" i="1"/>
  <c r="AQ173" i="1"/>
  <c r="AQ172" i="1"/>
  <c r="AQ171" i="1"/>
  <c r="AP171" i="1"/>
  <c r="AK171" i="1"/>
  <c r="Y171" i="1"/>
  <c r="AQ618" i="1"/>
  <c r="AQ617" i="1"/>
  <c r="AQ616" i="1"/>
  <c r="AQ615" i="1"/>
  <c r="AQ614" i="1"/>
  <c r="AQ613" i="1"/>
  <c r="AQ612" i="1"/>
  <c r="AQ611" i="1"/>
  <c r="AQ610" i="1"/>
  <c r="AQ609" i="1"/>
  <c r="AQ608" i="1"/>
  <c r="AQ607" i="1"/>
  <c r="AQ606" i="1"/>
  <c r="AQ605" i="1"/>
  <c r="AQ604" i="1"/>
  <c r="AQ603" i="1"/>
  <c r="AQ602" i="1"/>
  <c r="AQ601" i="1"/>
  <c r="AQ600" i="1"/>
  <c r="AQ599" i="1"/>
  <c r="AQ598" i="1"/>
  <c r="AQ597" i="1"/>
  <c r="AQ596" i="1"/>
  <c r="AQ595" i="1"/>
  <c r="AQ594" i="1"/>
  <c r="AQ593" i="1"/>
  <c r="AQ592" i="1"/>
  <c r="AQ591" i="1"/>
  <c r="AQ590" i="1"/>
  <c r="AQ589" i="1"/>
  <c r="AQ588" i="1"/>
  <c r="AQ587" i="1"/>
  <c r="AQ586" i="1"/>
  <c r="AQ585" i="1"/>
  <c r="AQ584" i="1"/>
  <c r="AQ583" i="1"/>
  <c r="AQ582" i="1"/>
  <c r="AQ581" i="1"/>
  <c r="AQ580" i="1"/>
  <c r="AQ579" i="1"/>
  <c r="AQ578" i="1"/>
  <c r="AQ577" i="1"/>
  <c r="AQ576" i="1"/>
  <c r="AQ575" i="1"/>
  <c r="AQ574" i="1"/>
  <c r="AQ573" i="1"/>
  <c r="AQ572" i="1"/>
  <c r="AQ571" i="1"/>
  <c r="AQ570" i="1"/>
  <c r="AQ569" i="1"/>
  <c r="AQ568" i="1"/>
  <c r="AQ567" i="1"/>
  <c r="AQ566" i="1"/>
  <c r="AQ565" i="1"/>
  <c r="AQ564" i="1"/>
  <c r="AQ563" i="1"/>
  <c r="AQ562" i="1"/>
  <c r="AQ561" i="1"/>
  <c r="AQ560" i="1"/>
  <c r="AQ559" i="1"/>
  <c r="AQ558" i="1"/>
  <c r="AQ557" i="1"/>
  <c r="AQ556" i="1"/>
  <c r="AQ555" i="1"/>
  <c r="AQ554" i="1"/>
  <c r="AQ553" i="1"/>
  <c r="AQ552" i="1"/>
  <c r="AQ551" i="1"/>
  <c r="AQ550" i="1"/>
  <c r="AQ549" i="1"/>
  <c r="AQ548" i="1"/>
  <c r="AQ547" i="1"/>
  <c r="AQ546" i="1"/>
  <c r="AQ545" i="1"/>
  <c r="AQ544" i="1"/>
  <c r="AQ543" i="1"/>
  <c r="AQ542" i="1"/>
  <c r="AQ541" i="1"/>
  <c r="AQ540" i="1"/>
  <c r="AQ539" i="1"/>
  <c r="AQ538" i="1"/>
  <c r="AQ537" i="1"/>
  <c r="AQ536" i="1"/>
  <c r="AQ535" i="1"/>
  <c r="AQ534" i="1"/>
  <c r="AQ533" i="1"/>
  <c r="AQ532" i="1"/>
  <c r="AQ531" i="1"/>
  <c r="AQ530" i="1"/>
  <c r="AQ529" i="1"/>
  <c r="AQ528" i="1"/>
  <c r="AQ527" i="1"/>
  <c r="AQ526" i="1"/>
  <c r="AQ525" i="1"/>
  <c r="AQ524" i="1"/>
  <c r="AQ523" i="1"/>
  <c r="AQ522" i="1"/>
  <c r="AQ521" i="1"/>
  <c r="AQ520" i="1"/>
  <c r="AQ519" i="1"/>
  <c r="AQ518" i="1"/>
  <c r="AQ517" i="1"/>
  <c r="AQ516" i="1"/>
  <c r="AQ515" i="1"/>
  <c r="AQ514" i="1"/>
  <c r="AQ513" i="1"/>
  <c r="AQ512" i="1"/>
  <c r="AQ511" i="1"/>
  <c r="AQ510" i="1"/>
  <c r="AQ509" i="1"/>
  <c r="AQ508" i="1"/>
  <c r="AQ507" i="1"/>
  <c r="AQ506" i="1"/>
  <c r="AQ505" i="1"/>
  <c r="AQ504" i="1"/>
  <c r="AQ503" i="1"/>
  <c r="AQ502" i="1"/>
  <c r="AQ501" i="1"/>
  <c r="AQ500" i="1"/>
  <c r="AQ499" i="1"/>
  <c r="AQ498" i="1"/>
  <c r="AQ497" i="1"/>
  <c r="AQ496" i="1"/>
  <c r="AQ495" i="1"/>
  <c r="AQ494" i="1"/>
  <c r="AQ493" i="1"/>
  <c r="AQ492" i="1"/>
  <c r="AQ491" i="1"/>
  <c r="AQ490" i="1"/>
  <c r="AQ489" i="1"/>
  <c r="AQ488" i="1"/>
  <c r="AQ487" i="1"/>
  <c r="AQ486" i="1"/>
  <c r="AQ485" i="1"/>
  <c r="AQ484" i="1"/>
  <c r="AQ483" i="1"/>
  <c r="AQ482" i="1"/>
  <c r="AQ481" i="1"/>
  <c r="AQ480" i="1"/>
  <c r="AQ479" i="1"/>
  <c r="AQ478" i="1"/>
  <c r="AQ477" i="1"/>
  <c r="AQ476" i="1"/>
  <c r="AQ475" i="1"/>
  <c r="AQ474" i="1"/>
  <c r="AQ473" i="1"/>
  <c r="AQ472" i="1"/>
  <c r="AQ471" i="1"/>
  <c r="AQ470" i="1"/>
  <c r="AQ469" i="1"/>
  <c r="AQ468" i="1"/>
  <c r="AQ467" i="1"/>
  <c r="AQ466" i="1"/>
  <c r="AQ465" i="1"/>
  <c r="AQ464" i="1"/>
  <c r="AQ463" i="1"/>
  <c r="AQ462" i="1"/>
  <c r="AQ461" i="1"/>
  <c r="AQ460" i="1"/>
  <c r="AQ459" i="1"/>
  <c r="AQ458" i="1"/>
  <c r="AQ457" i="1"/>
  <c r="AQ455" i="1"/>
  <c r="AQ454" i="1"/>
  <c r="AQ453" i="1"/>
  <c r="AQ452" i="1"/>
  <c r="AQ451" i="1"/>
  <c r="AQ450" i="1"/>
  <c r="AQ449" i="1"/>
  <c r="AQ448" i="1"/>
  <c r="AQ447" i="1"/>
  <c r="AQ446" i="1"/>
  <c r="AQ445" i="1"/>
  <c r="AQ444" i="1"/>
  <c r="AQ443" i="1"/>
  <c r="AQ442" i="1"/>
  <c r="AQ441" i="1"/>
  <c r="AQ440" i="1"/>
  <c r="AQ439" i="1"/>
  <c r="AQ438" i="1"/>
  <c r="AQ437" i="1"/>
  <c r="AQ436" i="1"/>
  <c r="AQ435" i="1"/>
  <c r="AQ434" i="1"/>
  <c r="AQ433" i="1"/>
  <c r="AQ432" i="1"/>
  <c r="AQ431" i="1"/>
  <c r="AQ430" i="1"/>
  <c r="AQ429" i="1"/>
  <c r="AQ428" i="1"/>
  <c r="AQ427" i="1"/>
  <c r="AQ426" i="1"/>
  <c r="AQ425" i="1"/>
  <c r="AQ424" i="1"/>
  <c r="AQ423" i="1"/>
  <c r="AQ422" i="1"/>
  <c r="AQ421" i="1"/>
  <c r="AQ420" i="1"/>
  <c r="AQ419" i="1"/>
  <c r="AQ418" i="1"/>
  <c r="AQ417" i="1"/>
  <c r="AQ416" i="1"/>
  <c r="AQ414" i="1"/>
  <c r="AQ412" i="1"/>
  <c r="AQ411" i="1"/>
  <c r="AQ410" i="1"/>
  <c r="AQ408" i="1"/>
  <c r="AQ407" i="1"/>
  <c r="AQ406" i="1"/>
  <c r="AQ405" i="1"/>
  <c r="AQ404" i="1"/>
  <c r="AQ403" i="1"/>
  <c r="AQ402" i="1"/>
  <c r="AQ401" i="1"/>
  <c r="AQ399" i="1"/>
  <c r="AQ398" i="1"/>
  <c r="AQ397" i="1"/>
  <c r="AQ396" i="1"/>
  <c r="AQ395" i="1"/>
  <c r="AQ394" i="1"/>
  <c r="AQ393" i="1"/>
  <c r="AQ392" i="1"/>
  <c r="AQ391" i="1"/>
  <c r="AQ390" i="1"/>
  <c r="AQ389" i="1"/>
  <c r="AQ388" i="1"/>
  <c r="AQ387" i="1"/>
  <c r="AQ386" i="1"/>
  <c r="AQ385" i="1"/>
  <c r="AQ384" i="1"/>
  <c r="AQ383" i="1"/>
  <c r="AQ382" i="1"/>
  <c r="AQ381" i="1"/>
  <c r="AQ380" i="1"/>
  <c r="AQ379" i="1"/>
  <c r="AQ378" i="1"/>
  <c r="AQ377" i="1"/>
  <c r="AQ376" i="1"/>
  <c r="AQ375" i="1"/>
  <c r="AQ374" i="1"/>
  <c r="AQ373" i="1"/>
  <c r="AQ372" i="1"/>
  <c r="AQ371" i="1"/>
  <c r="AQ370" i="1"/>
  <c r="AQ369" i="1"/>
  <c r="AQ368" i="1"/>
  <c r="AQ366" i="1"/>
  <c r="AQ365" i="1"/>
  <c r="AQ364" i="1"/>
  <c r="AQ363" i="1"/>
  <c r="AQ362" i="1"/>
  <c r="AQ361" i="1"/>
  <c r="AQ360" i="1"/>
  <c r="AQ359" i="1"/>
  <c r="AQ358" i="1"/>
  <c r="AQ357" i="1"/>
  <c r="AQ356" i="1"/>
  <c r="AQ355" i="1"/>
  <c r="AQ354" i="1"/>
  <c r="AQ353" i="1"/>
  <c r="AQ352" i="1"/>
  <c r="AQ351" i="1"/>
  <c r="AQ350" i="1"/>
  <c r="AQ349" i="1"/>
  <c r="AQ348" i="1"/>
  <c r="AQ347" i="1"/>
  <c r="AQ345" i="1"/>
  <c r="AQ344" i="1"/>
  <c r="AQ343" i="1"/>
  <c r="AQ342" i="1"/>
  <c r="AQ341" i="1"/>
  <c r="AQ340" i="1"/>
  <c r="AQ339" i="1"/>
  <c r="AQ338" i="1"/>
  <c r="AQ337" i="1"/>
  <c r="AQ336" i="1"/>
  <c r="AQ335" i="1"/>
  <c r="AQ334" i="1"/>
  <c r="AQ333" i="1"/>
  <c r="AQ332" i="1"/>
  <c r="AQ331" i="1"/>
  <c r="AQ330" i="1"/>
  <c r="AQ329" i="1"/>
  <c r="AQ328" i="1"/>
  <c r="AQ327" i="1"/>
  <c r="AQ326" i="1"/>
  <c r="AQ325" i="1"/>
  <c r="AQ324" i="1"/>
  <c r="AQ323" i="1"/>
  <c r="AQ322" i="1"/>
  <c r="AQ321" i="1"/>
  <c r="AQ320" i="1"/>
  <c r="AQ319" i="1"/>
  <c r="AQ317" i="1"/>
  <c r="AQ316" i="1"/>
  <c r="AQ315" i="1"/>
  <c r="AQ314" i="1"/>
  <c r="AQ313" i="1"/>
  <c r="AQ312" i="1"/>
  <c r="AQ311" i="1"/>
  <c r="AQ310" i="1"/>
  <c r="AQ309" i="1"/>
  <c r="AQ308" i="1"/>
  <c r="AQ307" i="1"/>
  <c r="AQ306" i="1"/>
  <c r="AQ305" i="1"/>
  <c r="AQ304" i="1"/>
  <c r="AQ303" i="1"/>
  <c r="AQ302" i="1"/>
  <c r="AQ301" i="1"/>
  <c r="AQ300" i="1"/>
  <c r="AQ299" i="1"/>
  <c r="AQ298" i="1"/>
  <c r="AQ297" i="1"/>
  <c r="AQ296" i="1"/>
  <c r="AQ295" i="1"/>
  <c r="AQ294" i="1"/>
  <c r="AQ293" i="1"/>
  <c r="AQ289" i="1"/>
  <c r="AQ292" i="1"/>
  <c r="AQ291" i="1"/>
  <c r="AQ290" i="1"/>
  <c r="AQ288" i="1"/>
  <c r="AQ287" i="1"/>
  <c r="AQ285" i="1"/>
  <c r="AQ284" i="1"/>
  <c r="AQ283" i="1"/>
  <c r="AQ282" i="1"/>
  <c r="AQ281" i="1"/>
  <c r="AQ280" i="1"/>
  <c r="AQ279" i="1"/>
  <c r="AQ278" i="1"/>
  <c r="AQ277" i="1"/>
  <c r="AQ276" i="1"/>
  <c r="AQ275" i="1"/>
  <c r="AQ274" i="1"/>
  <c r="AQ273" i="1"/>
  <c r="AQ272" i="1"/>
  <c r="AQ271" i="1"/>
  <c r="AQ270" i="1"/>
  <c r="AQ269" i="1"/>
  <c r="AQ268" i="1"/>
  <c r="AQ267" i="1"/>
  <c r="AQ266" i="1"/>
  <c r="AQ265" i="1"/>
  <c r="AQ264" i="1"/>
  <c r="AQ263" i="1"/>
  <c r="AQ262" i="1"/>
  <c r="AQ261" i="1"/>
  <c r="AQ260" i="1"/>
  <c r="AQ259" i="1"/>
  <c r="AQ258" i="1"/>
  <c r="AQ257" i="1"/>
  <c r="AQ256" i="1"/>
  <c r="AQ255" i="1"/>
  <c r="AQ254" i="1"/>
  <c r="AQ253" i="1"/>
  <c r="AQ252" i="1"/>
  <c r="AQ251" i="1"/>
  <c r="AQ250" i="1"/>
  <c r="AQ249" i="1"/>
  <c r="AQ248" i="1"/>
  <c r="AQ247" i="1"/>
  <c r="AQ246" i="1"/>
  <c r="AQ245" i="1"/>
  <c r="AQ244" i="1"/>
  <c r="AQ243" i="1"/>
  <c r="AQ242" i="1"/>
  <c r="AQ241" i="1"/>
  <c r="AQ240" i="1"/>
  <c r="AQ239" i="1"/>
  <c r="AQ238" i="1"/>
  <c r="AQ237" i="1"/>
  <c r="AQ236" i="1"/>
  <c r="AQ235" i="1"/>
  <c r="AQ234" i="1"/>
  <c r="AQ233" i="1"/>
  <c r="AQ232" i="1"/>
  <c r="AQ231" i="1"/>
  <c r="AQ230" i="1"/>
  <c r="AQ229" i="1"/>
  <c r="AQ228" i="1"/>
  <c r="AQ227" i="1"/>
  <c r="AQ226" i="1"/>
  <c r="AQ225" i="1"/>
  <c r="AQ224" i="1"/>
  <c r="AQ223" i="1"/>
  <c r="AQ222" i="1"/>
  <c r="AQ221" i="1"/>
  <c r="AQ220" i="1"/>
  <c r="AQ219" i="1"/>
  <c r="AQ218" i="1"/>
  <c r="AQ217" i="1"/>
  <c r="AQ216" i="1"/>
  <c r="AQ215" i="1"/>
  <c r="AQ214" i="1"/>
  <c r="AQ213" i="1"/>
  <c r="AQ212" i="1"/>
  <c r="AQ211" i="1"/>
  <c r="AQ210" i="1"/>
  <c r="AQ209" i="1"/>
  <c r="AQ208" i="1"/>
  <c r="AQ207" i="1"/>
  <c r="AQ206" i="1"/>
  <c r="AQ205" i="1"/>
  <c r="AQ204" i="1"/>
  <c r="AQ203" i="1"/>
  <c r="AQ202" i="1"/>
  <c r="AQ201" i="1"/>
  <c r="AQ200" i="1"/>
  <c r="AQ199" i="1"/>
  <c r="AQ198" i="1"/>
  <c r="AQ197" i="1"/>
  <c r="AQ196" i="1"/>
  <c r="AQ195" i="1"/>
  <c r="AQ194" i="1"/>
  <c r="AQ193" i="1"/>
  <c r="AQ192" i="1"/>
  <c r="AQ191" i="1"/>
  <c r="AQ190" i="1"/>
  <c r="AQ189" i="1"/>
  <c r="AQ188" i="1"/>
  <c r="AQ187" i="1"/>
  <c r="AQ186" i="1"/>
  <c r="AQ185" i="1"/>
  <c r="AQ184" i="1"/>
  <c r="AQ183" i="1"/>
  <c r="AQ182" i="1"/>
  <c r="AQ181" i="1"/>
  <c r="AQ180" i="1"/>
  <c r="AQ179" i="1"/>
  <c r="AQ178" i="1"/>
  <c r="AQ177" i="1"/>
  <c r="AQ176" i="1"/>
  <c r="AQ170" i="1"/>
  <c r="AQ169" i="1"/>
  <c r="AQ168" i="1"/>
  <c r="AQ167" i="1"/>
  <c r="AQ166" i="1"/>
  <c r="AQ165" i="1"/>
  <c r="AQ164" i="1"/>
  <c r="AQ163" i="1"/>
  <c r="AQ162" i="1"/>
  <c r="AQ161" i="1"/>
  <c r="AQ160" i="1"/>
  <c r="AQ159" i="1"/>
  <c r="AQ158" i="1"/>
  <c r="AQ157" i="1"/>
  <c r="AQ156" i="1"/>
  <c r="AQ155" i="1"/>
  <c r="AQ154" i="1"/>
  <c r="AQ153" i="1"/>
  <c r="AQ152" i="1"/>
  <c r="AQ151" i="1"/>
  <c r="AQ150" i="1"/>
  <c r="AQ149" i="1"/>
  <c r="AQ148" i="1"/>
  <c r="AQ147" i="1"/>
  <c r="AQ146" i="1"/>
  <c r="AQ145" i="1"/>
  <c r="AQ144" i="1"/>
  <c r="AQ143" i="1"/>
  <c r="AQ142" i="1"/>
  <c r="AQ141" i="1"/>
  <c r="AQ140" i="1"/>
  <c r="AQ139" i="1"/>
  <c r="AQ138" i="1"/>
  <c r="AQ137" i="1"/>
  <c r="AQ136" i="1"/>
  <c r="AQ135" i="1"/>
  <c r="AQ134" i="1"/>
  <c r="AQ133" i="1"/>
  <c r="AQ132" i="1"/>
  <c r="AQ131" i="1"/>
  <c r="AQ130" i="1"/>
  <c r="AQ129" i="1"/>
  <c r="AQ128" i="1"/>
  <c r="AQ127" i="1"/>
  <c r="AQ126" i="1"/>
  <c r="AQ125" i="1"/>
  <c r="AQ124" i="1"/>
  <c r="AQ123" i="1"/>
  <c r="AQ122" i="1"/>
  <c r="AQ121" i="1"/>
  <c r="AQ120" i="1"/>
  <c r="AQ119" i="1"/>
  <c r="AQ118" i="1"/>
  <c r="AQ117" i="1"/>
  <c r="AQ116" i="1"/>
  <c r="AQ115" i="1"/>
  <c r="AQ114" i="1"/>
  <c r="AQ113" i="1"/>
  <c r="AQ112" i="1"/>
  <c r="AQ111" i="1"/>
  <c r="AQ110" i="1"/>
  <c r="AQ109" i="1"/>
  <c r="AQ108" i="1"/>
  <c r="AQ107" i="1"/>
  <c r="AQ106" i="1"/>
  <c r="AQ105" i="1"/>
  <c r="AQ104" i="1"/>
  <c r="AQ103" i="1"/>
  <c r="AQ102" i="1"/>
  <c r="AQ101" i="1"/>
  <c r="AQ100" i="1"/>
  <c r="AQ99" i="1"/>
  <c r="AQ98" i="1"/>
  <c r="AQ97" i="1"/>
  <c r="AQ96" i="1"/>
  <c r="AQ95" i="1"/>
  <c r="AQ94" i="1"/>
  <c r="AQ93" i="1"/>
  <c r="AQ92" i="1"/>
  <c r="AQ91" i="1"/>
  <c r="AQ90" i="1"/>
  <c r="AQ88" i="1"/>
  <c r="AQ89" i="1"/>
  <c r="AQ87" i="1"/>
  <c r="AQ86" i="1"/>
  <c r="AQ85" i="1"/>
  <c r="AQ84" i="1"/>
  <c r="AQ83" i="1"/>
  <c r="AQ82" i="1"/>
  <c r="AQ81" i="1"/>
  <c r="AQ80" i="1"/>
  <c r="AQ79" i="1"/>
  <c r="AQ78" i="1"/>
  <c r="AQ77" i="1"/>
  <c r="AQ76" i="1"/>
  <c r="AQ75" i="1"/>
  <c r="AQ74" i="1"/>
  <c r="AQ73" i="1"/>
  <c r="AQ72" i="1"/>
  <c r="AQ71" i="1"/>
  <c r="AQ70" i="1"/>
  <c r="AQ69" i="1"/>
  <c r="AQ68" i="1"/>
  <c r="AQ67" i="1"/>
  <c r="AQ66" i="1"/>
  <c r="AQ65" i="1"/>
  <c r="AQ64" i="1"/>
  <c r="AQ63" i="1"/>
  <c r="AQ62" i="1"/>
  <c r="AQ61" i="1"/>
  <c r="AQ60" i="1"/>
  <c r="AP60" i="1"/>
  <c r="AK60" i="1"/>
  <c r="Y60" i="1"/>
  <c r="AQ59" i="1"/>
  <c r="AQ58" i="1"/>
  <c r="AQ57" i="1"/>
  <c r="AQ56" i="1"/>
  <c r="AQ55" i="1"/>
  <c r="AQ54" i="1"/>
  <c r="AQ53" i="1"/>
  <c r="AQ52" i="1"/>
  <c r="AQ51" i="1"/>
  <c r="AQ50" i="1"/>
  <c r="AQ49" i="1"/>
  <c r="AQ48" i="1"/>
  <c r="AQ47" i="1"/>
  <c r="AQ46" i="1"/>
  <c r="AQ45" i="1"/>
  <c r="AQ44" i="1"/>
  <c r="AQ42" i="1"/>
  <c r="AQ41" i="1"/>
  <c r="AQ40" i="1"/>
  <c r="AQ39" i="1"/>
  <c r="AQ38" i="1"/>
  <c r="AQ37" i="1"/>
  <c r="AQ36" i="1"/>
  <c r="AQ35" i="1"/>
  <c r="AQ34" i="1"/>
  <c r="AQ33" i="1"/>
  <c r="AQ32" i="1"/>
  <c r="AQ31" i="1"/>
  <c r="AQ30" i="1"/>
  <c r="AQ29" i="1"/>
  <c r="AQ28" i="1"/>
  <c r="AQ27" i="1"/>
  <c r="AQ26" i="1"/>
  <c r="AQ25" i="1"/>
  <c r="AQ24" i="1"/>
  <c r="AQ23" i="1"/>
  <c r="AQ22" i="1"/>
  <c r="AQ21" i="1"/>
  <c r="AQ20" i="1"/>
  <c r="AQ19" i="1"/>
  <c r="AQ18" i="1"/>
  <c r="AQ17" i="1"/>
  <c r="AQ16" i="1"/>
  <c r="AQ15" i="1"/>
  <c r="AQ14" i="1"/>
  <c r="AQ13" i="1"/>
  <c r="AQ12" i="1"/>
  <c r="AQ11" i="1"/>
  <c r="AP618" i="1"/>
  <c r="AP617" i="1"/>
  <c r="AP616" i="1"/>
  <c r="AP615" i="1"/>
  <c r="AP614" i="1"/>
  <c r="AP613" i="1"/>
  <c r="AP612" i="1"/>
  <c r="AP611" i="1"/>
  <c r="AP610" i="1"/>
  <c r="AP609" i="1"/>
  <c r="AP608" i="1"/>
  <c r="AP607" i="1"/>
  <c r="AP606" i="1"/>
  <c r="AP605" i="1"/>
  <c r="AP604" i="1"/>
  <c r="AP603" i="1"/>
  <c r="AP602" i="1"/>
  <c r="AP601" i="1"/>
  <c r="AP600" i="1"/>
  <c r="AP599" i="1"/>
  <c r="AP598" i="1"/>
  <c r="AP597" i="1"/>
  <c r="AP596" i="1"/>
  <c r="AP595" i="1"/>
  <c r="AP594" i="1"/>
  <c r="AP593" i="1"/>
  <c r="AP592" i="1"/>
  <c r="AP591" i="1"/>
  <c r="AP590" i="1"/>
  <c r="AP589" i="1"/>
  <c r="AP588" i="1"/>
  <c r="AP587" i="1"/>
  <c r="AP586" i="1"/>
  <c r="AP585" i="1"/>
  <c r="AP584" i="1"/>
  <c r="AP583" i="1"/>
  <c r="AP582" i="1"/>
  <c r="AP581" i="1"/>
  <c r="AP580" i="1"/>
  <c r="AP579" i="1"/>
  <c r="AP578" i="1"/>
  <c r="AP577" i="1"/>
  <c r="AP576" i="1"/>
  <c r="AP575" i="1"/>
  <c r="AP574" i="1"/>
  <c r="AP573" i="1"/>
  <c r="AP572" i="1"/>
  <c r="AP571" i="1"/>
  <c r="AP570" i="1"/>
  <c r="AP569" i="1"/>
  <c r="AP568" i="1"/>
  <c r="AP567" i="1"/>
  <c r="AP566" i="1"/>
  <c r="AP565" i="1"/>
  <c r="AP564" i="1"/>
  <c r="AP563" i="1"/>
  <c r="AP562" i="1"/>
  <c r="AP561" i="1"/>
  <c r="AP560" i="1"/>
  <c r="AP559" i="1"/>
  <c r="AP558" i="1"/>
  <c r="AP557" i="1"/>
  <c r="AP556" i="1"/>
  <c r="AP555" i="1"/>
  <c r="AP554" i="1"/>
  <c r="AP553" i="1"/>
  <c r="AP552" i="1"/>
  <c r="AP551" i="1"/>
  <c r="AP550" i="1"/>
  <c r="AP549" i="1"/>
  <c r="AP548" i="1"/>
  <c r="AP547" i="1"/>
  <c r="AP546" i="1"/>
  <c r="AP545" i="1"/>
  <c r="AP544" i="1"/>
  <c r="AP543" i="1"/>
  <c r="AP542" i="1"/>
  <c r="AP541" i="1"/>
  <c r="AP540" i="1"/>
  <c r="AP539" i="1"/>
  <c r="AP538" i="1"/>
  <c r="AP537" i="1"/>
  <c r="AP536" i="1"/>
  <c r="AP535" i="1"/>
  <c r="AP534" i="1"/>
  <c r="AP533" i="1"/>
  <c r="AP532" i="1"/>
  <c r="AP531" i="1"/>
  <c r="AP530" i="1"/>
  <c r="AP529" i="1"/>
  <c r="AP528" i="1"/>
  <c r="AP527" i="1"/>
  <c r="AP526" i="1"/>
  <c r="AP525" i="1"/>
  <c r="AP524" i="1"/>
  <c r="AP523" i="1"/>
  <c r="AP522" i="1"/>
  <c r="AP521" i="1"/>
  <c r="AP520" i="1"/>
  <c r="AP519" i="1"/>
  <c r="AP518" i="1"/>
  <c r="AP517" i="1"/>
  <c r="AP516" i="1"/>
  <c r="AP515" i="1"/>
  <c r="AP514" i="1"/>
  <c r="AP513" i="1"/>
  <c r="AP512" i="1"/>
  <c r="AP511" i="1"/>
  <c r="AP510" i="1"/>
  <c r="AP509" i="1"/>
  <c r="AP508" i="1"/>
  <c r="AP507" i="1"/>
  <c r="AP506" i="1"/>
  <c r="AP505" i="1"/>
  <c r="AP504" i="1"/>
  <c r="AP503" i="1"/>
  <c r="AP502" i="1"/>
  <c r="AP501" i="1"/>
  <c r="AP500" i="1"/>
  <c r="AP499" i="1"/>
  <c r="AP498" i="1"/>
  <c r="AP497" i="1"/>
  <c r="AP496" i="1"/>
  <c r="AP495" i="1"/>
  <c r="AP494" i="1"/>
  <c r="AP493" i="1"/>
  <c r="AP492" i="1"/>
  <c r="AP491" i="1"/>
  <c r="AP490" i="1"/>
  <c r="AP489" i="1"/>
  <c r="AP488" i="1"/>
  <c r="AP487" i="1"/>
  <c r="AP486" i="1"/>
  <c r="AP485" i="1"/>
  <c r="AP484" i="1"/>
  <c r="AP483" i="1"/>
  <c r="AP482" i="1"/>
  <c r="AP481" i="1"/>
  <c r="AP480" i="1"/>
  <c r="AP479" i="1"/>
  <c r="AP478" i="1"/>
  <c r="AP477" i="1"/>
  <c r="AP476" i="1"/>
  <c r="AP475" i="1"/>
  <c r="AP474" i="1"/>
  <c r="AP473" i="1"/>
  <c r="AP472" i="1"/>
  <c r="AP471" i="1"/>
  <c r="AP470" i="1"/>
  <c r="AP469" i="1"/>
  <c r="AP468" i="1"/>
  <c r="AP467" i="1"/>
  <c r="AP466" i="1"/>
  <c r="AP465" i="1"/>
  <c r="AP464" i="1"/>
  <c r="AP463" i="1"/>
  <c r="AP462" i="1"/>
  <c r="AP461" i="1"/>
  <c r="AP460" i="1"/>
  <c r="AP459" i="1"/>
  <c r="AP458" i="1"/>
  <c r="AP457" i="1"/>
  <c r="AP455" i="1"/>
  <c r="AP454" i="1"/>
  <c r="AP453" i="1"/>
  <c r="AP452" i="1"/>
  <c r="AP451" i="1"/>
  <c r="AP450" i="1"/>
  <c r="AP449" i="1"/>
  <c r="AP448" i="1"/>
  <c r="AP447" i="1"/>
  <c r="AP446" i="1"/>
  <c r="AP445" i="1"/>
  <c r="AP444" i="1"/>
  <c r="AP443" i="1"/>
  <c r="AP442" i="1"/>
  <c r="AP441" i="1"/>
  <c r="AP440" i="1"/>
  <c r="AP439" i="1"/>
  <c r="AP438" i="1"/>
  <c r="AP437" i="1"/>
  <c r="AP436" i="1"/>
  <c r="AP435" i="1"/>
  <c r="AP434" i="1"/>
  <c r="AP433" i="1"/>
  <c r="AP432" i="1"/>
  <c r="AP431" i="1"/>
  <c r="AP430" i="1"/>
  <c r="AP429" i="1"/>
  <c r="AP428" i="1"/>
  <c r="AP427" i="1"/>
  <c r="AP426" i="1"/>
  <c r="AP425" i="1"/>
  <c r="AP424" i="1"/>
  <c r="AP423" i="1"/>
  <c r="AP422" i="1"/>
  <c r="AP421" i="1"/>
  <c r="AP420" i="1"/>
  <c r="AP419" i="1"/>
  <c r="AP418" i="1"/>
  <c r="AP417" i="1"/>
  <c r="AP416" i="1"/>
  <c r="AP414" i="1"/>
  <c r="AP412" i="1"/>
  <c r="AP411" i="1"/>
  <c r="AP410" i="1"/>
  <c r="AP408" i="1"/>
  <c r="AP407" i="1"/>
  <c r="AP406" i="1"/>
  <c r="AP405" i="1"/>
  <c r="AP404" i="1"/>
  <c r="AP403" i="1"/>
  <c r="AP402" i="1"/>
  <c r="AP401" i="1"/>
  <c r="AP399" i="1"/>
  <c r="AP398" i="1"/>
  <c r="AP397" i="1"/>
  <c r="AP396" i="1"/>
  <c r="AP395" i="1"/>
  <c r="AP394" i="1"/>
  <c r="AP393" i="1"/>
  <c r="AP392" i="1"/>
  <c r="AP391" i="1"/>
  <c r="AP390" i="1"/>
  <c r="AP389" i="1"/>
  <c r="AP388" i="1"/>
  <c r="AP387" i="1"/>
  <c r="AP386" i="1"/>
  <c r="AP385" i="1"/>
  <c r="AP384" i="1"/>
  <c r="AP383" i="1"/>
  <c r="AP382" i="1"/>
  <c r="AP381" i="1"/>
  <c r="AP380" i="1"/>
  <c r="AP379" i="1"/>
  <c r="AP378" i="1"/>
  <c r="AP377" i="1"/>
  <c r="AP376" i="1"/>
  <c r="AP375" i="1"/>
  <c r="AP374" i="1"/>
  <c r="AP373" i="1"/>
  <c r="AP372" i="1"/>
  <c r="AP371" i="1"/>
  <c r="AP370" i="1"/>
  <c r="AP369" i="1"/>
  <c r="AP368" i="1"/>
  <c r="AP366" i="1"/>
  <c r="AP365" i="1"/>
  <c r="AP364" i="1"/>
  <c r="AP363" i="1"/>
  <c r="AP362" i="1"/>
  <c r="AP361" i="1"/>
  <c r="AP360" i="1"/>
  <c r="AP359" i="1"/>
  <c r="AP358" i="1"/>
  <c r="AP357" i="1"/>
  <c r="AP356" i="1"/>
  <c r="AP355" i="1"/>
  <c r="AP354" i="1"/>
  <c r="AP353" i="1"/>
  <c r="AP352" i="1"/>
  <c r="AP351" i="1"/>
  <c r="AP350" i="1"/>
  <c r="AP349" i="1"/>
  <c r="AP348" i="1"/>
  <c r="AP347" i="1"/>
  <c r="AP345" i="1"/>
  <c r="AP344" i="1"/>
  <c r="AP343" i="1"/>
  <c r="AP342" i="1"/>
  <c r="AP341" i="1"/>
  <c r="AP340" i="1"/>
  <c r="AP339" i="1"/>
  <c r="AP338" i="1"/>
  <c r="AP337" i="1"/>
  <c r="AP336" i="1"/>
  <c r="AP335" i="1"/>
  <c r="AP334" i="1"/>
  <c r="AP333" i="1"/>
  <c r="AP332" i="1"/>
  <c r="AP331" i="1"/>
  <c r="AP330" i="1"/>
  <c r="AP329" i="1"/>
  <c r="AP328" i="1"/>
  <c r="AP327" i="1"/>
  <c r="AP326" i="1"/>
  <c r="AP325" i="1"/>
  <c r="AP324" i="1"/>
  <c r="AP323" i="1"/>
  <c r="AP322" i="1"/>
  <c r="AP321" i="1"/>
  <c r="AP320" i="1"/>
  <c r="AP319" i="1"/>
  <c r="AP317" i="1"/>
  <c r="AP316" i="1"/>
  <c r="AP315" i="1"/>
  <c r="AP314" i="1"/>
  <c r="AP313" i="1"/>
  <c r="AP312" i="1"/>
  <c r="AP311" i="1"/>
  <c r="AP310" i="1"/>
  <c r="AP309" i="1"/>
  <c r="AP308" i="1"/>
  <c r="AP307" i="1"/>
  <c r="AP306" i="1"/>
  <c r="AP305" i="1"/>
  <c r="AP304" i="1"/>
  <c r="AP303" i="1"/>
  <c r="AP302" i="1"/>
  <c r="AP301" i="1"/>
  <c r="AP300" i="1"/>
  <c r="AP299" i="1"/>
  <c r="AP298" i="1"/>
  <c r="AP297" i="1"/>
  <c r="AP296" i="1"/>
  <c r="AP295" i="1"/>
  <c r="AP294" i="1"/>
  <c r="AP293" i="1"/>
  <c r="AP289" i="1"/>
  <c r="AP292" i="1"/>
  <c r="AP291" i="1"/>
  <c r="AP290" i="1"/>
  <c r="AP288" i="1"/>
  <c r="AP287" i="1"/>
  <c r="AP285" i="1"/>
  <c r="AP284" i="1"/>
  <c r="AP283" i="1"/>
  <c r="AP282" i="1"/>
  <c r="AP281" i="1"/>
  <c r="AP280" i="1"/>
  <c r="AP279" i="1"/>
  <c r="AP278" i="1"/>
  <c r="AP277" i="1"/>
  <c r="AP276" i="1"/>
  <c r="AP275" i="1"/>
  <c r="AP274" i="1"/>
  <c r="AP273" i="1"/>
  <c r="AP272" i="1"/>
  <c r="AP271" i="1"/>
  <c r="AP270" i="1"/>
  <c r="AP269" i="1"/>
  <c r="AP268" i="1"/>
  <c r="AP267" i="1"/>
  <c r="AP266" i="1"/>
  <c r="AP265" i="1"/>
  <c r="AP264" i="1"/>
  <c r="AP263" i="1"/>
  <c r="AP262" i="1"/>
  <c r="AP261" i="1"/>
  <c r="AP260" i="1"/>
  <c r="AP259" i="1"/>
  <c r="AP258" i="1"/>
  <c r="AP257" i="1"/>
  <c r="AP256" i="1"/>
  <c r="AP255" i="1"/>
  <c r="AP254" i="1"/>
  <c r="AP253" i="1"/>
  <c r="AP252" i="1"/>
  <c r="AP251" i="1"/>
  <c r="AP250" i="1"/>
  <c r="AP249" i="1"/>
  <c r="AP248" i="1"/>
  <c r="AP247" i="1"/>
  <c r="AP246" i="1"/>
  <c r="AP245" i="1"/>
  <c r="AP244" i="1"/>
  <c r="AP243" i="1"/>
  <c r="AP242" i="1"/>
  <c r="AP241" i="1"/>
  <c r="AP240" i="1"/>
  <c r="AP239" i="1"/>
  <c r="AP238" i="1"/>
  <c r="AP237" i="1"/>
  <c r="AP236" i="1"/>
  <c r="AP235" i="1"/>
  <c r="AP234" i="1"/>
  <c r="AP233" i="1"/>
  <c r="AP232" i="1"/>
  <c r="AP231" i="1"/>
  <c r="AP230" i="1"/>
  <c r="AP229" i="1"/>
  <c r="AP228" i="1"/>
  <c r="AP227" i="1"/>
  <c r="AP226" i="1"/>
  <c r="AP225" i="1"/>
  <c r="AP224" i="1"/>
  <c r="AP223" i="1"/>
  <c r="AP222" i="1"/>
  <c r="AP221" i="1"/>
  <c r="AP220" i="1"/>
  <c r="AP219" i="1"/>
  <c r="AP218" i="1"/>
  <c r="AP217" i="1"/>
  <c r="AP216" i="1"/>
  <c r="AP215" i="1"/>
  <c r="AP214" i="1"/>
  <c r="AP213" i="1"/>
  <c r="AP212" i="1"/>
  <c r="AP211" i="1"/>
  <c r="AP210" i="1"/>
  <c r="AP209" i="1"/>
  <c r="AP208" i="1"/>
  <c r="AP207" i="1"/>
  <c r="AP206" i="1"/>
  <c r="AP205" i="1"/>
  <c r="AP204" i="1"/>
  <c r="AP203" i="1"/>
  <c r="AP202" i="1"/>
  <c r="AP201" i="1"/>
  <c r="AP200" i="1"/>
  <c r="AP199" i="1"/>
  <c r="AP198" i="1"/>
  <c r="AP197" i="1"/>
  <c r="AP196" i="1"/>
  <c r="AP195" i="1"/>
  <c r="AP194" i="1"/>
  <c r="AP193" i="1"/>
  <c r="AP192" i="1"/>
  <c r="AP191" i="1"/>
  <c r="AP190" i="1"/>
  <c r="AP189" i="1"/>
  <c r="AP188" i="1"/>
  <c r="AP187" i="1"/>
  <c r="AP186" i="1"/>
  <c r="AP185" i="1"/>
  <c r="AP184" i="1"/>
  <c r="AP183" i="1"/>
  <c r="AP182" i="1"/>
  <c r="AP181" i="1"/>
  <c r="AP180" i="1"/>
  <c r="AP179" i="1"/>
  <c r="AP178" i="1"/>
  <c r="AP177" i="1"/>
  <c r="AP176" i="1"/>
  <c r="AP175" i="1"/>
  <c r="AP174" i="1"/>
  <c r="AP173" i="1"/>
  <c r="AP172" i="1"/>
  <c r="AP170" i="1"/>
  <c r="AP169" i="1"/>
  <c r="AP168" i="1"/>
  <c r="AP167" i="1"/>
  <c r="AP166" i="1"/>
  <c r="AP165" i="1"/>
  <c r="AP164" i="1"/>
  <c r="AP163" i="1"/>
  <c r="AP162" i="1"/>
  <c r="AP161" i="1"/>
  <c r="AP160" i="1"/>
  <c r="AP159" i="1"/>
  <c r="AP158" i="1"/>
  <c r="AP157" i="1"/>
  <c r="AP156" i="1"/>
  <c r="AP155" i="1"/>
  <c r="AP154" i="1"/>
  <c r="AP153" i="1"/>
  <c r="AP152" i="1"/>
  <c r="AP151" i="1"/>
  <c r="AP150" i="1"/>
  <c r="AP149" i="1"/>
  <c r="AP148" i="1"/>
  <c r="AP147" i="1"/>
  <c r="AP146" i="1"/>
  <c r="AP145" i="1"/>
  <c r="AP144" i="1"/>
  <c r="AP143" i="1"/>
  <c r="AP142" i="1"/>
  <c r="AP141" i="1"/>
  <c r="AP140" i="1"/>
  <c r="AP139" i="1"/>
  <c r="AP138" i="1"/>
  <c r="AP137" i="1"/>
  <c r="AP136" i="1"/>
  <c r="AP135" i="1"/>
  <c r="AP134" i="1"/>
  <c r="AP133" i="1"/>
  <c r="AP132" i="1"/>
  <c r="AP131" i="1"/>
  <c r="AP130" i="1"/>
  <c r="AP129" i="1"/>
  <c r="AP128" i="1"/>
  <c r="AP127" i="1"/>
  <c r="AP126" i="1"/>
  <c r="AP125" i="1"/>
  <c r="AP124" i="1"/>
  <c r="AP123" i="1"/>
  <c r="AP122" i="1"/>
  <c r="AP121" i="1"/>
  <c r="AP120" i="1"/>
  <c r="AP119" i="1"/>
  <c r="AP118" i="1"/>
  <c r="AP117" i="1"/>
  <c r="AP116" i="1"/>
  <c r="AP115" i="1"/>
  <c r="AP114" i="1"/>
  <c r="AP113" i="1"/>
  <c r="AP112" i="1"/>
  <c r="AP111" i="1"/>
  <c r="AP110" i="1"/>
  <c r="AP109" i="1"/>
  <c r="AP108" i="1"/>
  <c r="AP107" i="1"/>
  <c r="AP106" i="1"/>
  <c r="AP105" i="1"/>
  <c r="AP104" i="1"/>
  <c r="AP103" i="1"/>
  <c r="AP102" i="1"/>
  <c r="AP101" i="1"/>
  <c r="AP100" i="1"/>
  <c r="AP99" i="1"/>
  <c r="AP98" i="1"/>
  <c r="AP97" i="1"/>
  <c r="AP96" i="1"/>
  <c r="AP95" i="1"/>
  <c r="AP94" i="1"/>
  <c r="AP93" i="1"/>
  <c r="AP92" i="1"/>
  <c r="AP91" i="1"/>
  <c r="AP90" i="1"/>
  <c r="AP88" i="1"/>
  <c r="AP89" i="1"/>
  <c r="AP87" i="1"/>
  <c r="AP86" i="1"/>
  <c r="AP85" i="1"/>
  <c r="AP84" i="1"/>
  <c r="AP83" i="1"/>
  <c r="AP82" i="1"/>
  <c r="AP81" i="1"/>
  <c r="AP80" i="1"/>
  <c r="AP79" i="1"/>
  <c r="AP78" i="1"/>
  <c r="AP77" i="1"/>
  <c r="AP76" i="1"/>
  <c r="AP75" i="1"/>
  <c r="AP74" i="1"/>
  <c r="AP73" i="1"/>
  <c r="AP72" i="1"/>
  <c r="AP71" i="1"/>
  <c r="AP70" i="1"/>
  <c r="AP69" i="1"/>
  <c r="AP68" i="1"/>
  <c r="AP67" i="1"/>
  <c r="AP66" i="1"/>
  <c r="AP65" i="1"/>
  <c r="AP64" i="1"/>
  <c r="AP63" i="1"/>
  <c r="AP62" i="1"/>
  <c r="AP61" i="1"/>
  <c r="AP59" i="1"/>
  <c r="AP58" i="1"/>
  <c r="AP57" i="1"/>
  <c r="AP56" i="1"/>
  <c r="AP55" i="1"/>
  <c r="AP54" i="1"/>
  <c r="AP53" i="1"/>
  <c r="AP52" i="1"/>
  <c r="AP51" i="1"/>
  <c r="AP50" i="1"/>
  <c r="AP49" i="1"/>
  <c r="AP48" i="1"/>
  <c r="AP47" i="1"/>
  <c r="AP46" i="1"/>
  <c r="AP45" i="1"/>
  <c r="AP44" i="1"/>
  <c r="AP42" i="1"/>
  <c r="AP41" i="1"/>
  <c r="AP40" i="1"/>
  <c r="AP39" i="1"/>
  <c r="AP38" i="1"/>
  <c r="AP37" i="1"/>
  <c r="AP36" i="1"/>
  <c r="AP35" i="1"/>
  <c r="AP34" i="1"/>
  <c r="AP33" i="1"/>
  <c r="AP32" i="1"/>
  <c r="AP31" i="1"/>
  <c r="AP30" i="1"/>
  <c r="AP29" i="1"/>
  <c r="AP28" i="1"/>
  <c r="AP27" i="1"/>
  <c r="AP26" i="1"/>
  <c r="AP25" i="1"/>
  <c r="AP24" i="1"/>
  <c r="AP23" i="1"/>
  <c r="AP22" i="1"/>
  <c r="AP21" i="1"/>
  <c r="AP20" i="1"/>
  <c r="AP19" i="1"/>
  <c r="AP18" i="1"/>
  <c r="AP17" i="1"/>
  <c r="AP16" i="1"/>
  <c r="AP15" i="1"/>
  <c r="AP14" i="1"/>
  <c r="AP13" i="1"/>
  <c r="AP12" i="1"/>
  <c r="AP11" i="1"/>
  <c r="AL618" i="14"/>
  <c r="AL617" i="14"/>
  <c r="AL616" i="14"/>
  <c r="AL615" i="14"/>
  <c r="AL614" i="14"/>
  <c r="AL613" i="14"/>
  <c r="AL612" i="14"/>
  <c r="AL611" i="14"/>
  <c r="AL610" i="14"/>
  <c r="AL609" i="14"/>
  <c r="AL608" i="14"/>
  <c r="AL607" i="14"/>
  <c r="AL606" i="14"/>
  <c r="AL605" i="14"/>
  <c r="AL604" i="14"/>
  <c r="AL603" i="14"/>
  <c r="AL602" i="14"/>
  <c r="AL601" i="14"/>
  <c r="AL600" i="14"/>
  <c r="AL599" i="14"/>
  <c r="AL598" i="14"/>
  <c r="AL597" i="14"/>
  <c r="AL596" i="14"/>
  <c r="AL595" i="14"/>
  <c r="AL594" i="14"/>
  <c r="AL593" i="14"/>
  <c r="AL592" i="14"/>
  <c r="AL591" i="14"/>
  <c r="AL590" i="14"/>
  <c r="AL589" i="14"/>
  <c r="AL588" i="14"/>
  <c r="AL587" i="14"/>
  <c r="AL586" i="14"/>
  <c r="AL585" i="14"/>
  <c r="AL584" i="14"/>
  <c r="AL583" i="14"/>
  <c r="AL582" i="14"/>
  <c r="AL581" i="14"/>
  <c r="AL580" i="14"/>
  <c r="AL579" i="14"/>
  <c r="AL578" i="14"/>
  <c r="AL577" i="14"/>
  <c r="AL576" i="14"/>
  <c r="AL575" i="14"/>
  <c r="AL574" i="14"/>
  <c r="AL573" i="14"/>
  <c r="AL572" i="14"/>
  <c r="AL571" i="14"/>
  <c r="AL570" i="14"/>
  <c r="AL569" i="14"/>
  <c r="AL568" i="14"/>
  <c r="AL567" i="14"/>
  <c r="AL566" i="14"/>
  <c r="AL565" i="14"/>
  <c r="AL564" i="14"/>
  <c r="AL563" i="14"/>
  <c r="AL562" i="14"/>
  <c r="AL561" i="14"/>
  <c r="AL560" i="14"/>
  <c r="AL559" i="14"/>
  <c r="AL558" i="14"/>
  <c r="AL557" i="14"/>
  <c r="AL556" i="14"/>
  <c r="AL555" i="14"/>
  <c r="AL554" i="14"/>
  <c r="AL553" i="14"/>
  <c r="AL552" i="14"/>
  <c r="AL551" i="14"/>
  <c r="AL550" i="14"/>
  <c r="AL549" i="14"/>
  <c r="AL548" i="14"/>
  <c r="AL547" i="14"/>
  <c r="AL546" i="14"/>
  <c r="AL545" i="14"/>
  <c r="AL544" i="14"/>
  <c r="AL543" i="14"/>
  <c r="AL542" i="14"/>
  <c r="AL541" i="14"/>
  <c r="AL540" i="14"/>
  <c r="AL539" i="14"/>
  <c r="AL538" i="14"/>
  <c r="AL537" i="14"/>
  <c r="AL536" i="14"/>
  <c r="AL535" i="14"/>
  <c r="AL534" i="14"/>
  <c r="AL533" i="14"/>
  <c r="AL532" i="14"/>
  <c r="AL531" i="14"/>
  <c r="AL530" i="14"/>
  <c r="AL529" i="14"/>
  <c r="AL528" i="14"/>
  <c r="AL527" i="14"/>
  <c r="AL526" i="14"/>
  <c r="AL525" i="14"/>
  <c r="AL524" i="14"/>
  <c r="AL523" i="14"/>
  <c r="AL522" i="14"/>
  <c r="AL521" i="14"/>
  <c r="AL520" i="14"/>
  <c r="AL519" i="14"/>
  <c r="AL518" i="14"/>
  <c r="AL517" i="14"/>
  <c r="AL516" i="14"/>
  <c r="AL515" i="14"/>
  <c r="AL514" i="14"/>
  <c r="AL513" i="14"/>
  <c r="AL512" i="14"/>
  <c r="AL511" i="14"/>
  <c r="AL510" i="14"/>
  <c r="AL509" i="14"/>
  <c r="AL508" i="14"/>
  <c r="AL507" i="14"/>
  <c r="AL506" i="14"/>
  <c r="AL505" i="14"/>
  <c r="AL504" i="14"/>
  <c r="AL503" i="14"/>
  <c r="AL502" i="14"/>
  <c r="AL501" i="14"/>
  <c r="AL500" i="14"/>
  <c r="AL499" i="14"/>
  <c r="AL498" i="14"/>
  <c r="AL497" i="14"/>
  <c r="AL496" i="14"/>
  <c r="AL495" i="14"/>
  <c r="AL494" i="14"/>
  <c r="AL493" i="14"/>
  <c r="AL492" i="14"/>
  <c r="AL491" i="14"/>
  <c r="AL490" i="14"/>
  <c r="AL489" i="14"/>
  <c r="AL488" i="14"/>
  <c r="AL487" i="14"/>
  <c r="AL486" i="14"/>
  <c r="AL485" i="14"/>
  <c r="AL484" i="14"/>
  <c r="AL483" i="14"/>
  <c r="AL482" i="14"/>
  <c r="AL481" i="14"/>
  <c r="AL480" i="14"/>
  <c r="AL479" i="14"/>
  <c r="AL478" i="14"/>
  <c r="AL477" i="14"/>
  <c r="AL476" i="14"/>
  <c r="AL475" i="14"/>
  <c r="AL474" i="14"/>
  <c r="AL473" i="14"/>
  <c r="AL472" i="14"/>
  <c r="AL471" i="14"/>
  <c r="AL470" i="14"/>
  <c r="AL469" i="14"/>
  <c r="AL468" i="14"/>
  <c r="AL467" i="14"/>
  <c r="AL466" i="14"/>
  <c r="AL465" i="14"/>
  <c r="AL464" i="14"/>
  <c r="AL463" i="14"/>
  <c r="AL462" i="14"/>
  <c r="AL461" i="14"/>
  <c r="AL460" i="14"/>
  <c r="AL459" i="14"/>
  <c r="AL458" i="14"/>
  <c r="AL457" i="14"/>
  <c r="AL455" i="14"/>
  <c r="AL454" i="14"/>
  <c r="AL453" i="14"/>
  <c r="AL452" i="14"/>
  <c r="AL451" i="14"/>
  <c r="AL450" i="14"/>
  <c r="AL449" i="14"/>
  <c r="AL448" i="14"/>
  <c r="AL447" i="14"/>
  <c r="AL446" i="14"/>
  <c r="AL445" i="14"/>
  <c r="AL444" i="14"/>
  <c r="AL443" i="14"/>
  <c r="AL442" i="14"/>
  <c r="AL441" i="14"/>
  <c r="AL440" i="14"/>
  <c r="AL439" i="14"/>
  <c r="AL438" i="14"/>
  <c r="AL437" i="14"/>
  <c r="AL436" i="14"/>
  <c r="AL435" i="14"/>
  <c r="AL434" i="14"/>
  <c r="AL433" i="14"/>
  <c r="AL432" i="14"/>
  <c r="AL431" i="14"/>
  <c r="AL430" i="14"/>
  <c r="AL429" i="14"/>
  <c r="AL428" i="14"/>
  <c r="AL427" i="14"/>
  <c r="AL426" i="14"/>
  <c r="AL425" i="14"/>
  <c r="AL424" i="14"/>
  <c r="AL423" i="14"/>
  <c r="AL422" i="14"/>
  <c r="AL421" i="14"/>
  <c r="AL420" i="14"/>
  <c r="AL419" i="14"/>
  <c r="AL418" i="14"/>
  <c r="AL417" i="14"/>
  <c r="AL416" i="14"/>
  <c r="AL414" i="14"/>
  <c r="AL412" i="14"/>
  <c r="AL411" i="14"/>
  <c r="AL410" i="14"/>
  <c r="AL408" i="14"/>
  <c r="AL407" i="14"/>
  <c r="AL406" i="14"/>
  <c r="AL405" i="14"/>
  <c r="AL404" i="14"/>
  <c r="AL403" i="14"/>
  <c r="AL402" i="14"/>
  <c r="AL401" i="14"/>
  <c r="AL399" i="14"/>
  <c r="AL398" i="14"/>
  <c r="AL397" i="14"/>
  <c r="AL396" i="14"/>
  <c r="AL395" i="14"/>
  <c r="AL394" i="14"/>
  <c r="AL393" i="14"/>
  <c r="AL392" i="14"/>
  <c r="AL391" i="14"/>
  <c r="AL390" i="14"/>
  <c r="AL389" i="14"/>
  <c r="AL388" i="14"/>
  <c r="AL387" i="14"/>
  <c r="AL386" i="14"/>
  <c r="AL385" i="14"/>
  <c r="AL384" i="14"/>
  <c r="AL383" i="14"/>
  <c r="AL382" i="14"/>
  <c r="AL381" i="14"/>
  <c r="AL380" i="14"/>
  <c r="AL379" i="14"/>
  <c r="AL378" i="14"/>
  <c r="AL377" i="14"/>
  <c r="AL376" i="14"/>
  <c r="AL375" i="14"/>
  <c r="AL374" i="14"/>
  <c r="AL373" i="14"/>
  <c r="AL372" i="14"/>
  <c r="AL371" i="14"/>
  <c r="AL370" i="14"/>
  <c r="AL369" i="14"/>
  <c r="AL368" i="14"/>
  <c r="AL366" i="14"/>
  <c r="AL365" i="14"/>
  <c r="AL364" i="14"/>
  <c r="AL363" i="14"/>
  <c r="AL362" i="14"/>
  <c r="AL361" i="14"/>
  <c r="AL360" i="14"/>
  <c r="AL359" i="14"/>
  <c r="AL358" i="14"/>
  <c r="AL357" i="14"/>
  <c r="AL356" i="14"/>
  <c r="AL355" i="14"/>
  <c r="AL354" i="14"/>
  <c r="AL353" i="14"/>
  <c r="AL352" i="14"/>
  <c r="AL351" i="14"/>
  <c r="AL350" i="14"/>
  <c r="AL349" i="14"/>
  <c r="AL348" i="14"/>
  <c r="AL347" i="14"/>
  <c r="AL345" i="14"/>
  <c r="AL344" i="14"/>
  <c r="AL343" i="14"/>
  <c r="AL342" i="14"/>
  <c r="AL341" i="14"/>
  <c r="AL340" i="14"/>
  <c r="AL339" i="14"/>
  <c r="AL338" i="14"/>
  <c r="AL337" i="14"/>
  <c r="AL336" i="14"/>
  <c r="AL335" i="14"/>
  <c r="AL334" i="14"/>
  <c r="AL333" i="14"/>
  <c r="AL332" i="14"/>
  <c r="AL331" i="14"/>
  <c r="AL330" i="14"/>
  <c r="AL329" i="14"/>
  <c r="AL328" i="14"/>
  <c r="AL327" i="14"/>
  <c r="AL326" i="14"/>
  <c r="AL325" i="14"/>
  <c r="AL324" i="14"/>
  <c r="AL323" i="14"/>
  <c r="AL322" i="14"/>
  <c r="AL321" i="14"/>
  <c r="AL320" i="14"/>
  <c r="AL319" i="14"/>
  <c r="AL317" i="14"/>
  <c r="AL316" i="14"/>
  <c r="AL315" i="14"/>
  <c r="AL314" i="14"/>
  <c r="AL313" i="14"/>
  <c r="AL312" i="14"/>
  <c r="AL311" i="14"/>
  <c r="AL310" i="14"/>
  <c r="AL308" i="14"/>
  <c r="AL307" i="14"/>
  <c r="AL306" i="14"/>
  <c r="AL305" i="14"/>
  <c r="AL304" i="14"/>
  <c r="AL303" i="14"/>
  <c r="AL302" i="14"/>
  <c r="AL301" i="14"/>
  <c r="AL300" i="14"/>
  <c r="AL299" i="14"/>
  <c r="AL298" i="14"/>
  <c r="AL297" i="14"/>
  <c r="AL296" i="14"/>
  <c r="AL295" i="14"/>
  <c r="AL294" i="14"/>
  <c r="AL293" i="14"/>
  <c r="AL289" i="14"/>
  <c r="AL292" i="14"/>
  <c r="AL291" i="14"/>
  <c r="AL290" i="14"/>
  <c r="AL288" i="14"/>
  <c r="AL287" i="14"/>
  <c r="AL285" i="14"/>
  <c r="AL284" i="14"/>
  <c r="AL283" i="14"/>
  <c r="AL282" i="14"/>
  <c r="AL281" i="14"/>
  <c r="AL280" i="14"/>
  <c r="AL279" i="14"/>
  <c r="AL278" i="14"/>
  <c r="AL277" i="14"/>
  <c r="AL276" i="14"/>
  <c r="AL275" i="14"/>
  <c r="AL274" i="14"/>
  <c r="AL273" i="14"/>
  <c r="AL272" i="14"/>
  <c r="AL271" i="14"/>
  <c r="AL270" i="14"/>
  <c r="AL269" i="14"/>
  <c r="AL268" i="14"/>
  <c r="AL267" i="14"/>
  <c r="AL266" i="14"/>
  <c r="AL265" i="14"/>
  <c r="AL264" i="14"/>
  <c r="AL263" i="14"/>
  <c r="AL262" i="14"/>
  <c r="AL261" i="14"/>
  <c r="AL260" i="14"/>
  <c r="AL259" i="14"/>
  <c r="AL258" i="14"/>
  <c r="AL257" i="14"/>
  <c r="AL256" i="14"/>
  <c r="AL255" i="14"/>
  <c r="AL254" i="14"/>
  <c r="AL253" i="14"/>
  <c r="AL252" i="14"/>
  <c r="AL251" i="14"/>
  <c r="AL250" i="14"/>
  <c r="AL249" i="14"/>
  <c r="AL248" i="14"/>
  <c r="AL247" i="14"/>
  <c r="AL246" i="14"/>
  <c r="AL245" i="14"/>
  <c r="AL244" i="14"/>
  <c r="AL243" i="14"/>
  <c r="AL242" i="14"/>
  <c r="AL241" i="14"/>
  <c r="AL240" i="14"/>
  <c r="AL239" i="14"/>
  <c r="AL238" i="14"/>
  <c r="AL237" i="14"/>
  <c r="AL236" i="14"/>
  <c r="AL235" i="14"/>
  <c r="AL234" i="14"/>
  <c r="AL233" i="14"/>
  <c r="AL232" i="14"/>
  <c r="AL231" i="14"/>
  <c r="AL230" i="14"/>
  <c r="AL229" i="14"/>
  <c r="AL228" i="14"/>
  <c r="AL227" i="14"/>
  <c r="AL226" i="14"/>
  <c r="AL225" i="14"/>
  <c r="AL224" i="14"/>
  <c r="AL223" i="14"/>
  <c r="AL222" i="14"/>
  <c r="AL221" i="14"/>
  <c r="AL220" i="14"/>
  <c r="AL219" i="14"/>
  <c r="AL218" i="14"/>
  <c r="AL217" i="14"/>
  <c r="AL216" i="14"/>
  <c r="AL215" i="14"/>
  <c r="AL214" i="14"/>
  <c r="AL213" i="14"/>
  <c r="AL212" i="14"/>
  <c r="AL211" i="14"/>
  <c r="AL210" i="14"/>
  <c r="AL209" i="14"/>
  <c r="AL208" i="14"/>
  <c r="AL207" i="14"/>
  <c r="AL206" i="14"/>
  <c r="AL205" i="14"/>
  <c r="AL204" i="14"/>
  <c r="AL203" i="14"/>
  <c r="AL202" i="14"/>
  <c r="AL201" i="14"/>
  <c r="AL200" i="14"/>
  <c r="AL199" i="14"/>
  <c r="AL198" i="14"/>
  <c r="AL197" i="14"/>
  <c r="AL196" i="14"/>
  <c r="AL195" i="14"/>
  <c r="AL194" i="14"/>
  <c r="AL193" i="14"/>
  <c r="AL192" i="14"/>
  <c r="AL191" i="14"/>
  <c r="AL190" i="14"/>
  <c r="AL189" i="14"/>
  <c r="AL188" i="14"/>
  <c r="AL187" i="14"/>
  <c r="AL186" i="14"/>
  <c r="AL185" i="14"/>
  <c r="AL184" i="14"/>
  <c r="AL183" i="14"/>
  <c r="AL182" i="14"/>
  <c r="AL181" i="14"/>
  <c r="AL180" i="14"/>
  <c r="AL179" i="14"/>
  <c r="AL178" i="14"/>
  <c r="AL177" i="14"/>
  <c r="AL176" i="14"/>
  <c r="AL175" i="14"/>
  <c r="AL174" i="14"/>
  <c r="AL173" i="14"/>
  <c r="AL172" i="14"/>
  <c r="AL171" i="14"/>
  <c r="AL170" i="14"/>
  <c r="AL169" i="14"/>
  <c r="AL168" i="14"/>
  <c r="AL167" i="14"/>
  <c r="AL166" i="14"/>
  <c r="AL165" i="14"/>
  <c r="AL164" i="14"/>
  <c r="AL163" i="14"/>
  <c r="AL162" i="14"/>
  <c r="AL161" i="14"/>
  <c r="AL160" i="14"/>
  <c r="AL159" i="14"/>
  <c r="AL158" i="14"/>
  <c r="AL157" i="14"/>
  <c r="AL156" i="14"/>
  <c r="AL155" i="14"/>
  <c r="AL154" i="14"/>
  <c r="AL153" i="14"/>
  <c r="AL152" i="14"/>
  <c r="AL151" i="14"/>
  <c r="AL150" i="14"/>
  <c r="AL149" i="14"/>
  <c r="AL148" i="14"/>
  <c r="AL147" i="14"/>
  <c r="AL146" i="14"/>
  <c r="AL145" i="14"/>
  <c r="AL144" i="14"/>
  <c r="AL143" i="14"/>
  <c r="AL142" i="14"/>
  <c r="AL141" i="14"/>
  <c r="AL140" i="14"/>
  <c r="AL139" i="14"/>
  <c r="AL138" i="14"/>
  <c r="AL137" i="14"/>
  <c r="AL136" i="14"/>
  <c r="AL135" i="14"/>
  <c r="AL134" i="14"/>
  <c r="AL133" i="14"/>
  <c r="AL132" i="14"/>
  <c r="AL131" i="14"/>
  <c r="AL130" i="14"/>
  <c r="AL129" i="14"/>
  <c r="AL128" i="14"/>
  <c r="AL127" i="14"/>
  <c r="AL126" i="14"/>
  <c r="AL125" i="14"/>
  <c r="AL124" i="14"/>
  <c r="AL123" i="14"/>
  <c r="AL122" i="14"/>
  <c r="AL121" i="14"/>
  <c r="AL120" i="14"/>
  <c r="AL119" i="14"/>
  <c r="AL118" i="14"/>
  <c r="AL117" i="14"/>
  <c r="AL116" i="14"/>
  <c r="AL115" i="14"/>
  <c r="AL114" i="14"/>
  <c r="AL113" i="14"/>
  <c r="AL112" i="14"/>
  <c r="AL111" i="14"/>
  <c r="AL110" i="14"/>
  <c r="AL109" i="14"/>
  <c r="AL108" i="14"/>
  <c r="AL107" i="14"/>
  <c r="AL106" i="14"/>
  <c r="AL105" i="14"/>
  <c r="AL104" i="14"/>
  <c r="AL103" i="14"/>
  <c r="AL102" i="14"/>
  <c r="AL101" i="14"/>
  <c r="AL100" i="14"/>
  <c r="AL99" i="14"/>
  <c r="AL98" i="14"/>
  <c r="AL97" i="14"/>
  <c r="AL96" i="14"/>
  <c r="AL95" i="14"/>
  <c r="AL94" i="14"/>
  <c r="AL93" i="14"/>
  <c r="AL92" i="14"/>
  <c r="AL91" i="14"/>
  <c r="AL90" i="14"/>
  <c r="AL88" i="14"/>
  <c r="AL89" i="14"/>
  <c r="AL87" i="14"/>
  <c r="AL86" i="14"/>
  <c r="AL85" i="14"/>
  <c r="AL84" i="14"/>
  <c r="AL83" i="14"/>
  <c r="AL82" i="14"/>
  <c r="AL81" i="14"/>
  <c r="AL80" i="14"/>
  <c r="AL79" i="14"/>
  <c r="AL78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K61" i="14"/>
  <c r="AK60" i="14"/>
  <c r="O60" i="14"/>
  <c r="K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K618" i="14"/>
  <c r="AK617" i="14"/>
  <c r="AK616" i="14"/>
  <c r="AK615" i="14"/>
  <c r="AK614" i="14"/>
  <c r="AK613" i="14"/>
  <c r="AK612" i="14"/>
  <c r="AK611" i="14"/>
  <c r="AK610" i="14"/>
  <c r="AK609" i="14"/>
  <c r="AK608" i="14"/>
  <c r="AK607" i="14"/>
  <c r="AK606" i="14"/>
  <c r="AK605" i="14"/>
  <c r="AK604" i="14"/>
  <c r="AK603" i="14"/>
  <c r="AK602" i="14"/>
  <c r="AK601" i="14"/>
  <c r="AK600" i="14"/>
  <c r="AK599" i="14"/>
  <c r="AK598" i="14"/>
  <c r="AK597" i="14"/>
  <c r="AK596" i="14"/>
  <c r="AK595" i="14"/>
  <c r="AK594" i="14"/>
  <c r="AK593" i="14"/>
  <c r="AK592" i="14"/>
  <c r="AK591" i="14"/>
  <c r="AK590" i="14"/>
  <c r="AK589" i="14"/>
  <c r="AK588" i="14"/>
  <c r="AK587" i="14"/>
  <c r="AK586" i="14"/>
  <c r="AK585" i="14"/>
  <c r="AK584" i="14"/>
  <c r="AK583" i="14"/>
  <c r="AK582" i="14"/>
  <c r="AK581" i="14"/>
  <c r="AK580" i="14"/>
  <c r="AK579" i="14"/>
  <c r="AK578" i="14"/>
  <c r="AK577" i="14"/>
  <c r="AK576" i="14"/>
  <c r="AK575" i="14"/>
  <c r="AK574" i="14"/>
  <c r="AK573" i="14"/>
  <c r="AK572" i="14"/>
  <c r="AK571" i="14"/>
  <c r="AK570" i="14"/>
  <c r="AK569" i="14"/>
  <c r="AK568" i="14"/>
  <c r="AK567" i="14"/>
  <c r="AK566" i="14"/>
  <c r="AK565" i="14"/>
  <c r="AK564" i="14"/>
  <c r="AK563" i="14"/>
  <c r="AK562" i="14"/>
  <c r="AK561" i="14"/>
  <c r="AK560" i="14"/>
  <c r="AK559" i="14"/>
  <c r="AK558" i="14"/>
  <c r="AK557" i="14"/>
  <c r="AK556" i="14"/>
  <c r="AK555" i="14"/>
  <c r="AK554" i="14"/>
  <c r="AK553" i="14"/>
  <c r="AK552" i="14"/>
  <c r="AK551" i="14"/>
  <c r="AK550" i="14"/>
  <c r="AK549" i="14"/>
  <c r="AK548" i="14"/>
  <c r="AK547" i="14"/>
  <c r="AK546" i="14"/>
  <c r="AK545" i="14"/>
  <c r="AK544" i="14"/>
  <c r="AK543" i="14"/>
  <c r="AK542" i="14"/>
  <c r="AK541" i="14"/>
  <c r="AK540" i="14"/>
  <c r="AK539" i="14"/>
  <c r="AK538" i="14"/>
  <c r="AK537" i="14"/>
  <c r="AK536" i="14"/>
  <c r="AK535" i="14"/>
  <c r="AK534" i="14"/>
  <c r="AK533" i="14"/>
  <c r="AK532" i="14"/>
  <c r="AK531" i="14"/>
  <c r="AK530" i="14"/>
  <c r="AK529" i="14"/>
  <c r="AK528" i="14"/>
  <c r="AK527" i="14"/>
  <c r="AK526" i="14"/>
  <c r="AK525" i="14"/>
  <c r="AK524" i="14"/>
  <c r="AK523" i="14"/>
  <c r="AK522" i="14"/>
  <c r="AK521" i="14"/>
  <c r="AK520" i="14"/>
  <c r="AK519" i="14"/>
  <c r="AK518" i="14"/>
  <c r="AK517" i="14"/>
  <c r="AK516" i="14"/>
  <c r="AK515" i="14"/>
  <c r="AK514" i="14"/>
  <c r="AK513" i="14"/>
  <c r="AK512" i="14"/>
  <c r="AK511" i="14"/>
  <c r="AK510" i="14"/>
  <c r="AK509" i="14"/>
  <c r="AK508" i="14"/>
  <c r="AK507" i="14"/>
  <c r="AK506" i="14"/>
  <c r="AK505" i="14"/>
  <c r="AK504" i="14"/>
  <c r="AK503" i="14"/>
  <c r="AK502" i="14"/>
  <c r="AK501" i="14"/>
  <c r="AK500" i="14"/>
  <c r="AK499" i="14"/>
  <c r="AK498" i="14"/>
  <c r="AK497" i="14"/>
  <c r="AK496" i="14"/>
  <c r="AK495" i="14"/>
  <c r="AK494" i="14"/>
  <c r="AK493" i="14"/>
  <c r="AK492" i="14"/>
  <c r="AK491" i="14"/>
  <c r="AK490" i="14"/>
  <c r="AK489" i="14"/>
  <c r="AK488" i="14"/>
  <c r="AK487" i="14"/>
  <c r="AK486" i="14"/>
  <c r="AK485" i="14"/>
  <c r="AK484" i="14"/>
  <c r="AK483" i="14"/>
  <c r="AK482" i="14"/>
  <c r="AK481" i="14"/>
  <c r="AK480" i="14"/>
  <c r="AK479" i="14"/>
  <c r="AK478" i="14"/>
  <c r="AK477" i="14"/>
  <c r="AK476" i="14"/>
  <c r="AK475" i="14"/>
  <c r="AK474" i="14"/>
  <c r="AK473" i="14"/>
  <c r="AK472" i="14"/>
  <c r="AK471" i="14"/>
  <c r="AK470" i="14"/>
  <c r="AK469" i="14"/>
  <c r="AK468" i="14"/>
  <c r="AK467" i="14"/>
  <c r="AK466" i="14"/>
  <c r="AK465" i="14"/>
  <c r="AK464" i="14"/>
  <c r="AK463" i="14"/>
  <c r="AK462" i="14"/>
  <c r="AK461" i="14"/>
  <c r="AK460" i="14"/>
  <c r="AK459" i="14"/>
  <c r="AK458" i="14"/>
  <c r="AK457" i="14"/>
  <c r="AK455" i="14"/>
  <c r="AK454" i="14"/>
  <c r="AK453" i="14"/>
  <c r="AK452" i="14"/>
  <c r="AK451" i="14"/>
  <c r="AK450" i="14"/>
  <c r="AK449" i="14"/>
  <c r="AK448" i="14"/>
  <c r="AK447" i="14"/>
  <c r="AK446" i="14"/>
  <c r="AK445" i="14"/>
  <c r="AK444" i="14"/>
  <c r="AK443" i="14"/>
  <c r="AK442" i="14"/>
  <c r="AK441" i="14"/>
  <c r="AK440" i="14"/>
  <c r="AK439" i="14"/>
  <c r="AK438" i="14"/>
  <c r="AK437" i="14"/>
  <c r="AK436" i="14"/>
  <c r="AK435" i="14"/>
  <c r="AK434" i="14"/>
  <c r="AK433" i="14"/>
  <c r="AK432" i="14"/>
  <c r="AK431" i="14"/>
  <c r="AK430" i="14"/>
  <c r="AK429" i="14"/>
  <c r="AK428" i="14"/>
  <c r="AK427" i="14"/>
  <c r="AK426" i="14"/>
  <c r="AK425" i="14"/>
  <c r="AK424" i="14"/>
  <c r="AK423" i="14"/>
  <c r="AK422" i="14"/>
  <c r="AK421" i="14"/>
  <c r="AK420" i="14"/>
  <c r="AK419" i="14"/>
  <c r="AK418" i="14"/>
  <c r="AK417" i="14"/>
  <c r="AK416" i="14"/>
  <c r="AK414" i="14"/>
  <c r="AK412" i="14"/>
  <c r="AK411" i="14"/>
  <c r="AK410" i="14"/>
  <c r="AK408" i="14"/>
  <c r="AK407" i="14"/>
  <c r="AK406" i="14"/>
  <c r="AK405" i="14"/>
  <c r="AK404" i="14"/>
  <c r="AK403" i="14"/>
  <c r="AK402" i="14"/>
  <c r="AK401" i="14"/>
  <c r="AK399" i="14"/>
  <c r="AK398" i="14"/>
  <c r="AK397" i="14"/>
  <c r="AK396" i="14"/>
  <c r="AK395" i="14"/>
  <c r="AK394" i="14"/>
  <c r="AK393" i="14"/>
  <c r="AK392" i="14"/>
  <c r="AK391" i="14"/>
  <c r="AK390" i="14"/>
  <c r="AK389" i="14"/>
  <c r="AK388" i="14"/>
  <c r="AK387" i="14"/>
  <c r="AK386" i="14"/>
  <c r="AK385" i="14"/>
  <c r="AK384" i="14"/>
  <c r="AK383" i="14"/>
  <c r="AK382" i="14"/>
  <c r="AK381" i="14"/>
  <c r="AK380" i="14"/>
  <c r="AK379" i="14"/>
  <c r="AK378" i="14"/>
  <c r="AK377" i="14"/>
  <c r="AK376" i="14"/>
  <c r="AK375" i="14"/>
  <c r="AK374" i="14"/>
  <c r="AK373" i="14"/>
  <c r="AK372" i="14"/>
  <c r="AK371" i="14"/>
  <c r="AK370" i="14"/>
  <c r="AK369" i="14"/>
  <c r="AK368" i="14"/>
  <c r="AK366" i="14"/>
  <c r="AK365" i="14"/>
  <c r="AK364" i="14"/>
  <c r="AK363" i="14"/>
  <c r="AK362" i="14"/>
  <c r="AK361" i="14"/>
  <c r="AK360" i="14"/>
  <c r="AK359" i="14"/>
  <c r="AK358" i="14"/>
  <c r="AK357" i="14"/>
  <c r="AK356" i="14"/>
  <c r="AK355" i="14"/>
  <c r="AK354" i="14"/>
  <c r="AK353" i="14"/>
  <c r="AK352" i="14"/>
  <c r="AK351" i="14"/>
  <c r="AK350" i="14"/>
  <c r="AK349" i="14"/>
  <c r="AK348" i="14"/>
  <c r="AK347" i="14"/>
  <c r="AK345" i="14"/>
  <c r="AK344" i="14"/>
  <c r="AK343" i="14"/>
  <c r="AK342" i="14"/>
  <c r="AK341" i="14"/>
  <c r="AK340" i="14"/>
  <c r="AK339" i="14"/>
  <c r="AK338" i="14"/>
  <c r="AK337" i="14"/>
  <c r="AK336" i="14"/>
  <c r="AK335" i="14"/>
  <c r="AK334" i="14"/>
  <c r="AK333" i="14"/>
  <c r="AK332" i="14"/>
  <c r="AK331" i="14"/>
  <c r="AK330" i="14"/>
  <c r="AK329" i="14"/>
  <c r="AK328" i="14"/>
  <c r="AK327" i="14"/>
  <c r="AK326" i="14"/>
  <c r="AK325" i="14"/>
  <c r="AK324" i="14"/>
  <c r="AK323" i="14"/>
  <c r="AK322" i="14"/>
  <c r="AK321" i="14"/>
  <c r="AK320" i="14"/>
  <c r="AK319" i="14"/>
  <c r="AK317" i="14"/>
  <c r="AK316" i="14"/>
  <c r="AK315" i="14"/>
  <c r="AK314" i="14"/>
  <c r="AK313" i="14"/>
  <c r="AK312" i="14"/>
  <c r="AK311" i="14"/>
  <c r="AK310" i="14"/>
  <c r="AK308" i="14"/>
  <c r="AK307" i="14"/>
  <c r="AK306" i="14"/>
  <c r="AK305" i="14"/>
  <c r="AK304" i="14"/>
  <c r="AK303" i="14"/>
  <c r="AK302" i="14"/>
  <c r="AK301" i="14"/>
  <c r="AK300" i="14"/>
  <c r="AK299" i="14"/>
  <c r="AK298" i="14"/>
  <c r="AK297" i="14"/>
  <c r="AK296" i="14"/>
  <c r="AK295" i="14"/>
  <c r="AK294" i="14"/>
  <c r="AK293" i="14"/>
  <c r="AK289" i="14"/>
  <c r="AK292" i="14"/>
  <c r="AK291" i="14"/>
  <c r="AK290" i="14"/>
  <c r="AK288" i="14"/>
  <c r="AK287" i="14"/>
  <c r="AK285" i="14"/>
  <c r="AK284" i="14"/>
  <c r="AK283" i="14"/>
  <c r="AK282" i="14"/>
  <c r="AK281" i="14"/>
  <c r="AK280" i="14"/>
  <c r="AK279" i="14"/>
  <c r="AK278" i="14"/>
  <c r="AK277" i="14"/>
  <c r="AK276" i="14"/>
  <c r="AK275" i="14"/>
  <c r="AK274" i="14"/>
  <c r="AK273" i="14"/>
  <c r="AK272" i="14"/>
  <c r="AK271" i="14"/>
  <c r="AK270" i="14"/>
  <c r="AK269" i="14"/>
  <c r="AK268" i="14"/>
  <c r="AK267" i="14"/>
  <c r="AK266" i="14"/>
  <c r="AK265" i="14"/>
  <c r="AK264" i="14"/>
  <c r="AK263" i="14"/>
  <c r="AK262" i="14"/>
  <c r="AK261" i="14"/>
  <c r="AK260" i="14"/>
  <c r="AK259" i="14"/>
  <c r="AK258" i="14"/>
  <c r="AK257" i="14"/>
  <c r="AK256" i="14"/>
  <c r="AK255" i="14"/>
  <c r="AK254" i="14"/>
  <c r="AK253" i="14"/>
  <c r="AK252" i="14"/>
  <c r="AK251" i="14"/>
  <c r="AK250" i="14"/>
  <c r="AK249" i="14"/>
  <c r="AK248" i="14"/>
  <c r="AK247" i="14"/>
  <c r="AK246" i="14"/>
  <c r="AK245" i="14"/>
  <c r="AK244" i="14"/>
  <c r="AK243" i="14"/>
  <c r="AK242" i="14"/>
  <c r="AK241" i="14"/>
  <c r="AK240" i="14"/>
  <c r="AK239" i="14"/>
  <c r="AK238" i="14"/>
  <c r="AK237" i="14"/>
  <c r="AK236" i="14"/>
  <c r="AK235" i="14"/>
  <c r="AK234" i="14"/>
  <c r="AK233" i="14"/>
  <c r="AK232" i="14"/>
  <c r="AK231" i="14"/>
  <c r="AK230" i="14"/>
  <c r="AK229" i="14"/>
  <c r="AK228" i="14"/>
  <c r="AK227" i="14"/>
  <c r="AK226" i="14"/>
  <c r="AK225" i="14"/>
  <c r="AK224" i="14"/>
  <c r="AK223" i="14"/>
  <c r="AK222" i="14"/>
  <c r="AK221" i="14"/>
  <c r="AK220" i="14"/>
  <c r="AK219" i="14"/>
  <c r="AK218" i="14"/>
  <c r="AK217" i="14"/>
  <c r="AK216" i="14"/>
  <c r="AK215" i="14"/>
  <c r="AK214" i="14"/>
  <c r="AK213" i="14"/>
  <c r="AK212" i="14"/>
  <c r="AK211" i="14"/>
  <c r="AK210" i="14"/>
  <c r="AK209" i="14"/>
  <c r="AK208" i="14"/>
  <c r="AK207" i="14"/>
  <c r="AK206" i="14"/>
  <c r="AK205" i="14"/>
  <c r="AK204" i="14"/>
  <c r="AK203" i="14"/>
  <c r="AK202" i="14"/>
  <c r="AK201" i="14"/>
  <c r="AK200" i="14"/>
  <c r="AK199" i="14"/>
  <c r="AK198" i="14"/>
  <c r="AK197" i="14"/>
  <c r="AK196" i="14"/>
  <c r="AK195" i="14"/>
  <c r="AK194" i="14"/>
  <c r="AK193" i="14"/>
  <c r="AK192" i="14"/>
  <c r="AK191" i="14"/>
  <c r="AK190" i="14"/>
  <c r="AK189" i="14"/>
  <c r="AK188" i="14"/>
  <c r="AK187" i="14"/>
  <c r="AK186" i="14"/>
  <c r="AK185" i="14"/>
  <c r="AK184" i="14"/>
  <c r="AK183" i="14"/>
  <c r="AK182" i="14"/>
  <c r="AK181" i="14"/>
  <c r="AK180" i="14"/>
  <c r="AK179" i="14"/>
  <c r="AK178" i="14"/>
  <c r="AK177" i="14"/>
  <c r="AK176" i="14"/>
  <c r="AK175" i="14"/>
  <c r="AK174" i="14"/>
  <c r="AK173" i="14"/>
  <c r="AK172" i="14"/>
  <c r="AK171" i="14"/>
  <c r="AK170" i="14"/>
  <c r="AK169" i="14"/>
  <c r="AK168" i="14"/>
  <c r="AK167" i="14"/>
  <c r="AK166" i="14"/>
  <c r="AK165" i="14"/>
  <c r="AK164" i="14"/>
  <c r="AK163" i="14"/>
  <c r="AK162" i="14"/>
  <c r="AK161" i="14"/>
  <c r="AK160" i="14"/>
  <c r="AK159" i="14"/>
  <c r="AK158" i="14"/>
  <c r="AK157" i="14"/>
  <c r="AK156" i="14"/>
  <c r="AK155" i="14"/>
  <c r="AK154" i="14"/>
  <c r="AK153" i="14"/>
  <c r="AK152" i="14"/>
  <c r="AK151" i="14"/>
  <c r="AK150" i="14"/>
  <c r="AK149" i="14"/>
  <c r="AK148" i="14"/>
  <c r="AK147" i="14"/>
  <c r="AK146" i="14"/>
  <c r="AK145" i="14"/>
  <c r="AK144" i="14"/>
  <c r="AK143" i="14"/>
  <c r="AK142" i="14"/>
  <c r="AK141" i="14"/>
  <c r="AK140" i="14"/>
  <c r="AK139" i="14"/>
  <c r="AK138" i="14"/>
  <c r="AK137" i="14"/>
  <c r="AK136" i="14"/>
  <c r="AK135" i="14"/>
  <c r="AK134" i="14"/>
  <c r="AK133" i="14"/>
  <c r="AK132" i="14"/>
  <c r="AK131" i="14"/>
  <c r="AK130" i="14"/>
  <c r="AK129" i="14"/>
  <c r="AK128" i="14"/>
  <c r="AK127" i="14"/>
  <c r="AK126" i="14"/>
  <c r="AK125" i="14"/>
  <c r="AK124" i="14"/>
  <c r="AK123" i="14"/>
  <c r="AK122" i="14"/>
  <c r="AK121" i="14"/>
  <c r="AK120" i="14"/>
  <c r="AK119" i="14"/>
  <c r="AK118" i="14"/>
  <c r="AK117" i="14"/>
  <c r="AK116" i="14"/>
  <c r="AK115" i="14"/>
  <c r="AK114" i="14"/>
  <c r="AK113" i="14"/>
  <c r="AK112" i="14"/>
  <c r="AK111" i="14"/>
  <c r="AK110" i="14"/>
  <c r="AK109" i="14"/>
  <c r="AK108" i="14"/>
  <c r="AK107" i="14"/>
  <c r="AK106" i="14"/>
  <c r="AK105" i="14"/>
  <c r="AK104" i="14"/>
  <c r="AK103" i="14"/>
  <c r="AK102" i="14"/>
  <c r="AK101" i="14"/>
  <c r="AK100" i="14"/>
  <c r="AK99" i="14"/>
  <c r="AK98" i="14"/>
  <c r="AK97" i="14"/>
  <c r="AK96" i="14"/>
  <c r="AK95" i="14"/>
  <c r="AK94" i="14"/>
  <c r="AK93" i="14"/>
  <c r="AK92" i="14"/>
  <c r="AK91" i="14"/>
  <c r="AK90" i="14"/>
  <c r="AK88" i="14"/>
  <c r="AK89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K618" i="14"/>
  <c r="K617" i="14"/>
  <c r="K616" i="14"/>
  <c r="K615" i="14"/>
  <c r="K614" i="14"/>
  <c r="K613" i="14"/>
  <c r="K612" i="14"/>
  <c r="K611" i="14"/>
  <c r="K610" i="14"/>
  <c r="K609" i="14"/>
  <c r="K608" i="14"/>
  <c r="K607" i="14"/>
  <c r="K606" i="14"/>
  <c r="K605" i="14"/>
  <c r="K604" i="14"/>
  <c r="K603" i="14"/>
  <c r="K602" i="14"/>
  <c r="K601" i="14"/>
  <c r="K600" i="14"/>
  <c r="K599" i="14"/>
  <c r="K598" i="14"/>
  <c r="K597" i="14"/>
  <c r="K596" i="14"/>
  <c r="K595" i="14"/>
  <c r="K594" i="14"/>
  <c r="K593" i="14"/>
  <c r="K592" i="14"/>
  <c r="K591" i="14"/>
  <c r="K590" i="14"/>
  <c r="K589" i="14"/>
  <c r="K588" i="14"/>
  <c r="K587" i="14"/>
  <c r="K586" i="14"/>
  <c r="K585" i="14"/>
  <c r="K584" i="14"/>
  <c r="K583" i="14"/>
  <c r="K582" i="14"/>
  <c r="K581" i="14"/>
  <c r="K580" i="14"/>
  <c r="K579" i="14"/>
  <c r="K578" i="14"/>
  <c r="K577" i="14"/>
  <c r="K576" i="14"/>
  <c r="K575" i="14"/>
  <c r="K574" i="14"/>
  <c r="K573" i="14"/>
  <c r="K572" i="14"/>
  <c r="K571" i="14"/>
  <c r="K570" i="14"/>
  <c r="K569" i="14"/>
  <c r="K568" i="14"/>
  <c r="K567" i="14"/>
  <c r="K566" i="14"/>
  <c r="K565" i="14"/>
  <c r="K564" i="14"/>
  <c r="K563" i="14"/>
  <c r="K562" i="14"/>
  <c r="K561" i="14"/>
  <c r="K560" i="14"/>
  <c r="K559" i="14"/>
  <c r="K558" i="14"/>
  <c r="K557" i="14"/>
  <c r="K556" i="14"/>
  <c r="K555" i="14"/>
  <c r="K554" i="14"/>
  <c r="K553" i="14"/>
  <c r="K552" i="14"/>
  <c r="K551" i="14"/>
  <c r="K550" i="14"/>
  <c r="K549" i="14"/>
  <c r="K548" i="14"/>
  <c r="K547" i="14"/>
  <c r="K546" i="14"/>
  <c r="K545" i="14"/>
  <c r="K544" i="14"/>
  <c r="K543" i="14"/>
  <c r="K542" i="14"/>
  <c r="K541" i="14"/>
  <c r="K539" i="14"/>
  <c r="K538" i="14"/>
  <c r="K537" i="14"/>
  <c r="K536" i="14"/>
  <c r="K535" i="14"/>
  <c r="K534" i="14"/>
  <c r="K533" i="14"/>
  <c r="K532" i="14"/>
  <c r="K531" i="14"/>
  <c r="K530" i="14"/>
  <c r="K529" i="14"/>
  <c r="K528" i="14"/>
  <c r="K527" i="14"/>
  <c r="K526" i="14"/>
  <c r="K525" i="14"/>
  <c r="K524" i="14"/>
  <c r="K523" i="14"/>
  <c r="K522" i="14"/>
  <c r="K521" i="14"/>
  <c r="K520" i="14"/>
  <c r="K519" i="14"/>
  <c r="K518" i="14"/>
  <c r="K517" i="14"/>
  <c r="K516" i="14"/>
  <c r="K515" i="14"/>
  <c r="K514" i="14"/>
  <c r="K513" i="14"/>
  <c r="K512" i="14"/>
  <c r="K511" i="14"/>
  <c r="K509" i="14"/>
  <c r="K508" i="14"/>
  <c r="K507" i="14"/>
  <c r="K506" i="14"/>
  <c r="K505" i="14"/>
  <c r="K504" i="14"/>
  <c r="K503" i="14"/>
  <c r="K502" i="14"/>
  <c r="K501" i="14"/>
  <c r="K500" i="14"/>
  <c r="K499" i="14"/>
  <c r="K498" i="14"/>
  <c r="K497" i="14"/>
  <c r="K496" i="14"/>
  <c r="K495" i="14"/>
  <c r="K494" i="14"/>
  <c r="K493" i="14"/>
  <c r="K492" i="14"/>
  <c r="K491" i="14"/>
  <c r="K490" i="14"/>
  <c r="K489" i="14"/>
  <c r="K488" i="14"/>
  <c r="K487" i="14"/>
  <c r="K486" i="14"/>
  <c r="K485" i="14"/>
  <c r="K484" i="14"/>
  <c r="K483" i="14"/>
  <c r="K482" i="14"/>
  <c r="K481" i="14"/>
  <c r="K480" i="14"/>
  <c r="K479" i="14"/>
  <c r="K478" i="14"/>
  <c r="K477" i="14"/>
  <c r="K476" i="14"/>
  <c r="K475" i="14"/>
  <c r="K474" i="14"/>
  <c r="K473" i="14"/>
  <c r="K472" i="14"/>
  <c r="K471" i="14"/>
  <c r="K470" i="14"/>
  <c r="K469" i="14"/>
  <c r="K468" i="14"/>
  <c r="K467" i="14"/>
  <c r="K466" i="14"/>
  <c r="K465" i="14"/>
  <c r="K464" i="14"/>
  <c r="K463" i="14"/>
  <c r="K462" i="14"/>
  <c r="K461" i="14"/>
  <c r="K460" i="14"/>
  <c r="K459" i="14"/>
  <c r="K458" i="14"/>
  <c r="K457" i="14"/>
  <c r="K455" i="14"/>
  <c r="K454" i="14"/>
  <c r="K453" i="14"/>
  <c r="K452" i="14"/>
  <c r="K451" i="14"/>
  <c r="K450" i="14"/>
  <c r="K449" i="14"/>
  <c r="K448" i="14"/>
  <c r="K447" i="14"/>
  <c r="K446" i="14"/>
  <c r="K445" i="14"/>
  <c r="K444" i="14"/>
  <c r="K443" i="14"/>
  <c r="K442" i="14"/>
  <c r="K441" i="14"/>
  <c r="K440" i="14"/>
  <c r="K439" i="14"/>
  <c r="K438" i="14"/>
  <c r="K437" i="14"/>
  <c r="K436" i="14"/>
  <c r="K435" i="14"/>
  <c r="K434" i="14"/>
  <c r="K433" i="14"/>
  <c r="K432" i="14"/>
  <c r="K431" i="14"/>
  <c r="K430" i="14"/>
  <c r="K429" i="14"/>
  <c r="K428" i="14"/>
  <c r="K427" i="14"/>
  <c r="K426" i="14"/>
  <c r="K425" i="14"/>
  <c r="K424" i="14"/>
  <c r="K423" i="14"/>
  <c r="K422" i="14"/>
  <c r="K421" i="14"/>
  <c r="K420" i="14"/>
  <c r="K419" i="14"/>
  <c r="K418" i="14"/>
  <c r="K417" i="14"/>
  <c r="K416" i="14"/>
  <c r="K414" i="14"/>
  <c r="K412" i="14"/>
  <c r="K411" i="14"/>
  <c r="K410" i="14"/>
  <c r="K408" i="14"/>
  <c r="K407" i="14"/>
  <c r="K406" i="14"/>
  <c r="K405" i="14"/>
  <c r="K404" i="14"/>
  <c r="K403" i="14"/>
  <c r="K402" i="14"/>
  <c r="K401" i="14"/>
  <c r="K399" i="14"/>
  <c r="K398" i="14"/>
  <c r="K397" i="14"/>
  <c r="K396" i="14"/>
  <c r="K395" i="14"/>
  <c r="K394" i="14"/>
  <c r="K393" i="14"/>
  <c r="K392" i="14"/>
  <c r="K391" i="14"/>
  <c r="K390" i="14"/>
  <c r="K389" i="14"/>
  <c r="K388" i="14"/>
  <c r="K387" i="14"/>
  <c r="K386" i="14"/>
  <c r="K385" i="14"/>
  <c r="K384" i="14"/>
  <c r="K383" i="14"/>
  <c r="K382" i="14"/>
  <c r="K381" i="14"/>
  <c r="K380" i="14"/>
  <c r="K379" i="14"/>
  <c r="K378" i="14"/>
  <c r="K377" i="14"/>
  <c r="K376" i="14"/>
  <c r="K375" i="14"/>
  <c r="K374" i="14"/>
  <c r="K373" i="14"/>
  <c r="K372" i="14"/>
  <c r="K371" i="14"/>
  <c r="K370" i="14"/>
  <c r="K369" i="14"/>
  <c r="K368" i="14"/>
  <c r="K366" i="14"/>
  <c r="K365" i="14"/>
  <c r="K364" i="14"/>
  <c r="K363" i="14"/>
  <c r="K362" i="14"/>
  <c r="K361" i="14"/>
  <c r="K360" i="14"/>
  <c r="K359" i="14"/>
  <c r="K358" i="14"/>
  <c r="K357" i="14"/>
  <c r="K356" i="14"/>
  <c r="K355" i="14"/>
  <c r="K354" i="14"/>
  <c r="K353" i="14"/>
  <c r="K352" i="14"/>
  <c r="K351" i="14"/>
  <c r="K350" i="14"/>
  <c r="K349" i="14"/>
  <c r="K348" i="14"/>
  <c r="K347" i="14"/>
  <c r="K345" i="14"/>
  <c r="K344" i="14"/>
  <c r="K343" i="14"/>
  <c r="K342" i="14"/>
  <c r="K341" i="14"/>
  <c r="K340" i="14"/>
  <c r="K339" i="14"/>
  <c r="K338" i="14"/>
  <c r="K337" i="14"/>
  <c r="K336" i="14"/>
  <c r="K335" i="14"/>
  <c r="K334" i="14"/>
  <c r="K333" i="14"/>
  <c r="K332" i="14"/>
  <c r="K331" i="14"/>
  <c r="K330" i="14"/>
  <c r="K329" i="14"/>
  <c r="K328" i="14"/>
  <c r="K327" i="14"/>
  <c r="K326" i="14"/>
  <c r="K325" i="14"/>
  <c r="K324" i="14"/>
  <c r="K323" i="14"/>
  <c r="K322" i="14"/>
  <c r="K321" i="14"/>
  <c r="K320" i="14"/>
  <c r="K319" i="14"/>
  <c r="K317" i="14"/>
  <c r="K316" i="14"/>
  <c r="K315" i="14"/>
  <c r="K314" i="14"/>
  <c r="K313" i="14"/>
  <c r="K312" i="14"/>
  <c r="K311" i="14"/>
  <c r="K310" i="14"/>
  <c r="K308" i="14"/>
  <c r="K307" i="14"/>
  <c r="K306" i="14"/>
  <c r="K305" i="14"/>
  <c r="K304" i="14"/>
  <c r="K303" i="14"/>
  <c r="K302" i="14"/>
  <c r="K301" i="14"/>
  <c r="K300" i="14"/>
  <c r="K299" i="14"/>
  <c r="K298" i="14"/>
  <c r="K297" i="14"/>
  <c r="K296" i="14"/>
  <c r="K295" i="14"/>
  <c r="K294" i="14"/>
  <c r="K293" i="14"/>
  <c r="K289" i="14"/>
  <c r="K292" i="14"/>
  <c r="K291" i="14"/>
  <c r="K290" i="14"/>
  <c r="K288" i="14"/>
  <c r="K287" i="14"/>
  <c r="K285" i="14"/>
  <c r="K284" i="14"/>
  <c r="K283" i="14"/>
  <c r="K282" i="14"/>
  <c r="K281" i="14"/>
  <c r="K280" i="14"/>
  <c r="K279" i="14"/>
  <c r="K278" i="14"/>
  <c r="K277" i="14"/>
  <c r="K276" i="14"/>
  <c r="K275" i="14"/>
  <c r="K274" i="14"/>
  <c r="K273" i="14"/>
  <c r="K272" i="14"/>
  <c r="K271" i="14"/>
  <c r="K270" i="14"/>
  <c r="K269" i="14"/>
  <c r="K268" i="14"/>
  <c r="K267" i="14"/>
  <c r="K266" i="14"/>
  <c r="K265" i="14"/>
  <c r="K264" i="14"/>
  <c r="K263" i="14"/>
  <c r="K262" i="14"/>
  <c r="K261" i="14"/>
  <c r="K260" i="14"/>
  <c r="K259" i="14"/>
  <c r="K258" i="14"/>
  <c r="K257" i="14"/>
  <c r="K256" i="14"/>
  <c r="K255" i="14"/>
  <c r="K254" i="14"/>
  <c r="K253" i="14"/>
  <c r="K252" i="14"/>
  <c r="K251" i="14"/>
  <c r="K250" i="14"/>
  <c r="K249" i="14"/>
  <c r="K248" i="14"/>
  <c r="K247" i="14"/>
  <c r="K246" i="14"/>
  <c r="K245" i="14"/>
  <c r="K244" i="14"/>
  <c r="K243" i="14"/>
  <c r="K242" i="14"/>
  <c r="K241" i="14"/>
  <c r="K240" i="14"/>
  <c r="K239" i="14"/>
  <c r="K238" i="14"/>
  <c r="K237" i="14"/>
  <c r="K236" i="14"/>
  <c r="K235" i="14"/>
  <c r="K234" i="14"/>
  <c r="K233" i="14"/>
  <c r="K232" i="14"/>
  <c r="K231" i="14"/>
  <c r="K230" i="14"/>
  <c r="K229" i="14"/>
  <c r="K228" i="14"/>
  <c r="K227" i="14"/>
  <c r="K226" i="14"/>
  <c r="K225" i="14"/>
  <c r="K224" i="14"/>
  <c r="K223" i="14"/>
  <c r="K222" i="14"/>
  <c r="K221" i="14"/>
  <c r="K220" i="14"/>
  <c r="K219" i="14"/>
  <c r="K218" i="14"/>
  <c r="K217" i="14"/>
  <c r="K216" i="14"/>
  <c r="K215" i="14"/>
  <c r="K214" i="14"/>
  <c r="K213" i="14"/>
  <c r="K212" i="14"/>
  <c r="K211" i="14"/>
  <c r="K210" i="14"/>
  <c r="K209" i="14"/>
  <c r="K208" i="14"/>
  <c r="K207" i="14"/>
  <c r="K206" i="14"/>
  <c r="K205" i="14"/>
  <c r="K204" i="14"/>
  <c r="K203" i="14"/>
  <c r="K202" i="14"/>
  <c r="K201" i="14"/>
  <c r="K200" i="14"/>
  <c r="K199" i="14"/>
  <c r="K198" i="14"/>
  <c r="K197" i="14"/>
  <c r="K196" i="14"/>
  <c r="K195" i="14"/>
  <c r="K194" i="14"/>
  <c r="K193" i="14"/>
  <c r="K192" i="14"/>
  <c r="K191" i="14"/>
  <c r="K190" i="14"/>
  <c r="K189" i="14"/>
  <c r="K188" i="14"/>
  <c r="K187" i="14"/>
  <c r="K186" i="14"/>
  <c r="K185" i="14"/>
  <c r="K184" i="14"/>
  <c r="K183" i="14"/>
  <c r="K182" i="14"/>
  <c r="K181" i="14"/>
  <c r="K180" i="14"/>
  <c r="K179" i="14"/>
  <c r="K178" i="14"/>
  <c r="K177" i="14"/>
  <c r="K176" i="14"/>
  <c r="K175" i="14"/>
  <c r="K174" i="14"/>
  <c r="K173" i="14"/>
  <c r="K172" i="14"/>
  <c r="K171" i="14"/>
  <c r="K170" i="14"/>
  <c r="K169" i="14"/>
  <c r="K168" i="14"/>
  <c r="K167" i="14"/>
  <c r="K166" i="14"/>
  <c r="K165" i="14"/>
  <c r="K164" i="14"/>
  <c r="K163" i="14"/>
  <c r="K162" i="14"/>
  <c r="K161" i="14"/>
  <c r="K160" i="14"/>
  <c r="K159" i="14"/>
  <c r="K158" i="14"/>
  <c r="K157" i="14"/>
  <c r="K156" i="14"/>
  <c r="K155" i="14"/>
  <c r="K154" i="14"/>
  <c r="K153" i="14"/>
  <c r="K152" i="14"/>
  <c r="K151" i="14"/>
  <c r="K150" i="14"/>
  <c r="K149" i="14"/>
  <c r="K148" i="14"/>
  <c r="K147" i="14"/>
  <c r="K146" i="14"/>
  <c r="K145" i="14"/>
  <c r="K144" i="14"/>
  <c r="K143" i="14"/>
  <c r="K142" i="14"/>
  <c r="K141" i="14"/>
  <c r="K140" i="14"/>
  <c r="K139" i="14"/>
  <c r="K138" i="14"/>
  <c r="K137" i="14"/>
  <c r="K136" i="14"/>
  <c r="K135" i="14"/>
  <c r="K134" i="14"/>
  <c r="K133" i="14"/>
  <c r="K132" i="14"/>
  <c r="K131" i="14"/>
  <c r="K130" i="14"/>
  <c r="K129" i="14"/>
  <c r="K128" i="14"/>
  <c r="K127" i="14"/>
  <c r="K126" i="14"/>
  <c r="K125" i="14"/>
  <c r="K124" i="14"/>
  <c r="K123" i="14"/>
  <c r="K122" i="14"/>
  <c r="K121" i="14"/>
  <c r="K120" i="14"/>
  <c r="K119" i="14"/>
  <c r="K118" i="14"/>
  <c r="K117" i="14"/>
  <c r="K116" i="14"/>
  <c r="K115" i="14"/>
  <c r="K114" i="14"/>
  <c r="K113" i="14"/>
  <c r="K112" i="14"/>
  <c r="K111" i="14"/>
  <c r="K110" i="14"/>
  <c r="K109" i="14"/>
  <c r="K108" i="14"/>
  <c r="K107" i="14"/>
  <c r="K106" i="14"/>
  <c r="K105" i="14"/>
  <c r="K104" i="14"/>
  <c r="K103" i="14"/>
  <c r="K102" i="14"/>
  <c r="K101" i="14"/>
  <c r="K100" i="14"/>
  <c r="K99" i="14"/>
  <c r="K98" i="14"/>
  <c r="K97" i="14"/>
  <c r="K96" i="14"/>
  <c r="K95" i="14"/>
  <c r="K94" i="14"/>
  <c r="K93" i="14"/>
  <c r="K92" i="14"/>
  <c r="K91" i="14"/>
  <c r="K90" i="14"/>
  <c r="K88" i="14"/>
  <c r="K89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O618" i="14"/>
  <c r="O617" i="14"/>
  <c r="O616" i="14"/>
  <c r="O615" i="14"/>
  <c r="O614" i="14"/>
  <c r="O613" i="14"/>
  <c r="O612" i="14"/>
  <c r="O611" i="14"/>
  <c r="O610" i="14"/>
  <c r="O609" i="14"/>
  <c r="O608" i="14"/>
  <c r="O607" i="14"/>
  <c r="O606" i="14"/>
  <c r="O605" i="14"/>
  <c r="O604" i="14"/>
  <c r="O603" i="14"/>
  <c r="O602" i="14"/>
  <c r="O601" i="14"/>
  <c r="O600" i="14"/>
  <c r="O599" i="14"/>
  <c r="O598" i="14"/>
  <c r="O597" i="14"/>
  <c r="O596" i="14"/>
  <c r="O595" i="14"/>
  <c r="O594" i="14"/>
  <c r="O593" i="14"/>
  <c r="O592" i="14"/>
  <c r="O591" i="14"/>
  <c r="O590" i="14"/>
  <c r="O589" i="14"/>
  <c r="O588" i="14"/>
  <c r="O587" i="14"/>
  <c r="O586" i="14"/>
  <c r="O585" i="14"/>
  <c r="O584" i="14"/>
  <c r="O583" i="14"/>
  <c r="O582" i="14"/>
  <c r="O581" i="14"/>
  <c r="O580" i="14"/>
  <c r="O579" i="14"/>
  <c r="O578" i="14"/>
  <c r="O577" i="14"/>
  <c r="O576" i="14"/>
  <c r="O575" i="14"/>
  <c r="O574" i="14"/>
  <c r="O573" i="14"/>
  <c r="O572" i="14"/>
  <c r="O571" i="14"/>
  <c r="O570" i="14"/>
  <c r="O569" i="14"/>
  <c r="O568" i="14"/>
  <c r="O567" i="14"/>
  <c r="O566" i="14"/>
  <c r="O565" i="14"/>
  <c r="O564" i="14"/>
  <c r="O563" i="14"/>
  <c r="O562" i="14"/>
  <c r="O561" i="14"/>
  <c r="O560" i="14"/>
  <c r="O559" i="14"/>
  <c r="O558" i="14"/>
  <c r="O557" i="14"/>
  <c r="O556" i="14"/>
  <c r="O555" i="14"/>
  <c r="O554" i="14"/>
  <c r="O553" i="14"/>
  <c r="O552" i="14"/>
  <c r="O551" i="14"/>
  <c r="O550" i="14"/>
  <c r="O549" i="14"/>
  <c r="O548" i="14"/>
  <c r="O547" i="14"/>
  <c r="O546" i="14"/>
  <c r="O545" i="14"/>
  <c r="O544" i="14"/>
  <c r="O543" i="14"/>
  <c r="O542" i="14"/>
  <c r="O541" i="14"/>
  <c r="O540" i="14"/>
  <c r="O539" i="14"/>
  <c r="O538" i="14"/>
  <c r="O537" i="14"/>
  <c r="O536" i="14"/>
  <c r="O535" i="14"/>
  <c r="O534" i="14"/>
  <c r="O533" i="14"/>
  <c r="O532" i="14"/>
  <c r="O531" i="14"/>
  <c r="O530" i="14"/>
  <c r="O529" i="14"/>
  <c r="O528" i="14"/>
  <c r="O527" i="14"/>
  <c r="O526" i="14"/>
  <c r="O525" i="14"/>
  <c r="O524" i="14"/>
  <c r="O523" i="14"/>
  <c r="O522" i="14"/>
  <c r="O521" i="14"/>
  <c r="O520" i="14"/>
  <c r="O519" i="14"/>
  <c r="O518" i="14"/>
  <c r="O517" i="14"/>
  <c r="O516" i="14"/>
  <c r="O515" i="14"/>
  <c r="O514" i="14"/>
  <c r="O513" i="14"/>
  <c r="O512" i="14"/>
  <c r="O511" i="14"/>
  <c r="O510" i="14"/>
  <c r="O509" i="14"/>
  <c r="O508" i="14"/>
  <c r="O507" i="14"/>
  <c r="O506" i="14"/>
  <c r="O505" i="14"/>
  <c r="O504" i="14"/>
  <c r="O503" i="14"/>
  <c r="O502" i="14"/>
  <c r="O501" i="14"/>
  <c r="O500" i="14"/>
  <c r="O499" i="14"/>
  <c r="O498" i="14"/>
  <c r="O497" i="14"/>
  <c r="O496" i="14"/>
  <c r="O495" i="14"/>
  <c r="O494" i="14"/>
  <c r="O493" i="14"/>
  <c r="O492" i="14"/>
  <c r="O491" i="14"/>
  <c r="O490" i="14"/>
  <c r="O489" i="14"/>
  <c r="O488" i="14"/>
  <c r="O487" i="14"/>
  <c r="O486" i="14"/>
  <c r="O485" i="14"/>
  <c r="O484" i="14"/>
  <c r="O483" i="14"/>
  <c r="O482" i="14"/>
  <c r="O481" i="14"/>
  <c r="O480" i="14"/>
  <c r="O479" i="14"/>
  <c r="O478" i="14"/>
  <c r="O477" i="14"/>
  <c r="O476" i="14"/>
  <c r="O475" i="14"/>
  <c r="O474" i="14"/>
  <c r="O473" i="14"/>
  <c r="O472" i="14"/>
  <c r="O471" i="14"/>
  <c r="O470" i="14"/>
  <c r="O469" i="14"/>
  <c r="O468" i="14"/>
  <c r="O467" i="14"/>
  <c r="O466" i="14"/>
  <c r="O465" i="14"/>
  <c r="O464" i="14"/>
  <c r="O463" i="14"/>
  <c r="O462" i="14"/>
  <c r="O461" i="14"/>
  <c r="O460" i="14"/>
  <c r="O459" i="14"/>
  <c r="O458" i="14"/>
  <c r="O457" i="14"/>
  <c r="O455" i="14"/>
  <c r="O454" i="14"/>
  <c r="O453" i="14"/>
  <c r="O452" i="14"/>
  <c r="O451" i="14"/>
  <c r="O450" i="14"/>
  <c r="O449" i="14"/>
  <c r="O448" i="14"/>
  <c r="O447" i="14"/>
  <c r="O446" i="14"/>
  <c r="O445" i="14"/>
  <c r="O444" i="14"/>
  <c r="O443" i="14"/>
  <c r="O442" i="14"/>
  <c r="O441" i="14"/>
  <c r="O440" i="14"/>
  <c r="O439" i="14"/>
  <c r="O438" i="14"/>
  <c r="O437" i="14"/>
  <c r="O436" i="14"/>
  <c r="O435" i="14"/>
  <c r="O434" i="14"/>
  <c r="O433" i="14"/>
  <c r="O432" i="14"/>
  <c r="O431" i="14"/>
  <c r="O430" i="14"/>
  <c r="O429" i="14"/>
  <c r="O428" i="14"/>
  <c r="O427" i="14"/>
  <c r="O426" i="14"/>
  <c r="O425" i="14"/>
  <c r="O424" i="14"/>
  <c r="O423" i="14"/>
  <c r="O422" i="14"/>
  <c r="O421" i="14"/>
  <c r="O420" i="14"/>
  <c r="O419" i="14"/>
  <c r="O418" i="14"/>
  <c r="O417" i="14"/>
  <c r="O416" i="14"/>
  <c r="O414" i="14"/>
  <c r="O412" i="14"/>
  <c r="O411" i="14"/>
  <c r="O410" i="14"/>
  <c r="O408" i="14"/>
  <c r="O407" i="14"/>
  <c r="O406" i="14"/>
  <c r="O405" i="14"/>
  <c r="O404" i="14"/>
  <c r="O403" i="14"/>
  <c r="O402" i="14"/>
  <c r="O401" i="14"/>
  <c r="O399" i="14"/>
  <c r="O398" i="14"/>
  <c r="O397" i="14"/>
  <c r="O396" i="14"/>
  <c r="O395" i="14"/>
  <c r="O394" i="14"/>
  <c r="O393" i="14"/>
  <c r="O392" i="14"/>
  <c r="O391" i="14"/>
  <c r="O390" i="14"/>
  <c r="O389" i="14"/>
  <c r="O388" i="14"/>
  <c r="O387" i="14"/>
  <c r="O386" i="14"/>
  <c r="O385" i="14"/>
  <c r="O384" i="14"/>
  <c r="O383" i="14"/>
  <c r="O382" i="14"/>
  <c r="O381" i="14"/>
  <c r="O380" i="14"/>
  <c r="O379" i="14"/>
  <c r="O378" i="14"/>
  <c r="O377" i="14"/>
  <c r="O376" i="14"/>
  <c r="O375" i="14"/>
  <c r="O374" i="14"/>
  <c r="O373" i="14"/>
  <c r="O372" i="14"/>
  <c r="O371" i="14"/>
  <c r="O370" i="14"/>
  <c r="O369" i="14"/>
  <c r="O368" i="14"/>
  <c r="O366" i="14"/>
  <c r="O365" i="14"/>
  <c r="O364" i="14"/>
  <c r="O363" i="14"/>
  <c r="O362" i="14"/>
  <c r="O361" i="14"/>
  <c r="O360" i="14"/>
  <c r="O359" i="14"/>
  <c r="O358" i="14"/>
  <c r="O357" i="14"/>
  <c r="O356" i="14"/>
  <c r="O355" i="14"/>
  <c r="O354" i="14"/>
  <c r="O353" i="14"/>
  <c r="O352" i="14"/>
  <c r="O351" i="14"/>
  <c r="O350" i="14"/>
  <c r="O349" i="14"/>
  <c r="O348" i="14"/>
  <c r="O347" i="14"/>
  <c r="O345" i="14"/>
  <c r="O344" i="14"/>
  <c r="O343" i="14"/>
  <c r="O342" i="14"/>
  <c r="O341" i="14"/>
  <c r="O340" i="14"/>
  <c r="O339" i="14"/>
  <c r="O338" i="14"/>
  <c r="O337" i="14"/>
  <c r="O336" i="14"/>
  <c r="O335" i="14"/>
  <c r="O334" i="14"/>
  <c r="O333" i="14"/>
  <c r="O332" i="14"/>
  <c r="O331" i="14"/>
  <c r="O330" i="14"/>
  <c r="O329" i="14"/>
  <c r="O328" i="14"/>
  <c r="O327" i="14"/>
  <c r="O326" i="14"/>
  <c r="O325" i="14"/>
  <c r="O324" i="14"/>
  <c r="O323" i="14"/>
  <c r="O322" i="14"/>
  <c r="O321" i="14"/>
  <c r="O320" i="14"/>
  <c r="O319" i="14"/>
  <c r="O317" i="14"/>
  <c r="O316" i="14"/>
  <c r="O315" i="14"/>
  <c r="O314" i="14"/>
  <c r="O313" i="14"/>
  <c r="O312" i="14"/>
  <c r="O311" i="14"/>
  <c r="O310" i="14"/>
  <c r="O308" i="14"/>
  <c r="O307" i="14"/>
  <c r="O306" i="14"/>
  <c r="O305" i="14"/>
  <c r="O304" i="14"/>
  <c r="O303" i="14"/>
  <c r="O302" i="14"/>
  <c r="O301" i="14"/>
  <c r="O300" i="14"/>
  <c r="O299" i="14"/>
  <c r="O298" i="14"/>
  <c r="O297" i="14"/>
  <c r="O296" i="14"/>
  <c r="O295" i="14"/>
  <c r="O294" i="14"/>
  <c r="O293" i="14"/>
  <c r="O289" i="14"/>
  <c r="O292" i="14"/>
  <c r="O291" i="14"/>
  <c r="O290" i="14"/>
  <c r="O288" i="14"/>
  <c r="O287" i="14"/>
  <c r="O285" i="14"/>
  <c r="O284" i="14"/>
  <c r="O283" i="14"/>
  <c r="O282" i="14"/>
  <c r="O281" i="14"/>
  <c r="O280" i="14"/>
  <c r="O279" i="14"/>
  <c r="O278" i="14"/>
  <c r="O277" i="14"/>
  <c r="O276" i="14"/>
  <c r="O275" i="14"/>
  <c r="O274" i="14"/>
  <c r="O273" i="14"/>
  <c r="O272" i="14"/>
  <c r="O271" i="14"/>
  <c r="O270" i="14"/>
  <c r="O269" i="14"/>
  <c r="O268" i="14"/>
  <c r="O267" i="14"/>
  <c r="O266" i="14"/>
  <c r="O265" i="14"/>
  <c r="O264" i="14"/>
  <c r="O263" i="14"/>
  <c r="O262" i="14"/>
  <c r="O261" i="14"/>
  <c r="O260" i="14"/>
  <c r="O259" i="14"/>
  <c r="O258" i="14"/>
  <c r="O257" i="14"/>
  <c r="O256" i="14"/>
  <c r="O255" i="14"/>
  <c r="O254" i="14"/>
  <c r="O253" i="14"/>
  <c r="O252" i="14"/>
  <c r="O251" i="14"/>
  <c r="O250" i="14"/>
  <c r="O249" i="14"/>
  <c r="O248" i="14"/>
  <c r="O247" i="14"/>
  <c r="O246" i="14"/>
  <c r="O245" i="14"/>
  <c r="O244" i="14"/>
  <c r="O243" i="14"/>
  <c r="O242" i="14"/>
  <c r="O241" i="14"/>
  <c r="O240" i="14"/>
  <c r="O239" i="14"/>
  <c r="O238" i="14"/>
  <c r="O237" i="14"/>
  <c r="O236" i="14"/>
  <c r="O235" i="14"/>
  <c r="O234" i="14"/>
  <c r="O233" i="14"/>
  <c r="O232" i="14"/>
  <c r="O231" i="14"/>
  <c r="O230" i="14"/>
  <c r="O229" i="14"/>
  <c r="O228" i="14"/>
  <c r="O227" i="14"/>
  <c r="O226" i="14"/>
  <c r="O225" i="14"/>
  <c r="O224" i="14"/>
  <c r="O223" i="14"/>
  <c r="O222" i="14"/>
  <c r="O221" i="14"/>
  <c r="O220" i="14"/>
  <c r="O219" i="14"/>
  <c r="O218" i="14"/>
  <c r="O217" i="14"/>
  <c r="O216" i="14"/>
  <c r="O215" i="14"/>
  <c r="O214" i="14"/>
  <c r="O213" i="14"/>
  <c r="O212" i="14"/>
  <c r="O211" i="14"/>
  <c r="O210" i="14"/>
  <c r="O209" i="14"/>
  <c r="O208" i="14"/>
  <c r="O207" i="14"/>
  <c r="O206" i="14"/>
  <c r="O205" i="14"/>
  <c r="O204" i="14"/>
  <c r="O203" i="14"/>
  <c r="O202" i="14"/>
  <c r="O201" i="14"/>
  <c r="O200" i="14"/>
  <c r="O199" i="14"/>
  <c r="O198" i="14"/>
  <c r="O197" i="14"/>
  <c r="O196" i="14"/>
  <c r="O195" i="14"/>
  <c r="O194" i="14"/>
  <c r="O193" i="14"/>
  <c r="O192" i="14"/>
  <c r="O191" i="14"/>
  <c r="O190" i="14"/>
  <c r="O189" i="14"/>
  <c r="O188" i="14"/>
  <c r="O187" i="14"/>
  <c r="O186" i="14"/>
  <c r="O185" i="14"/>
  <c r="O184" i="14"/>
  <c r="O183" i="14"/>
  <c r="O182" i="14"/>
  <c r="O181" i="14"/>
  <c r="O180" i="14"/>
  <c r="O179" i="14"/>
  <c r="O178" i="14"/>
  <c r="O177" i="14"/>
  <c r="O176" i="14"/>
  <c r="O175" i="14"/>
  <c r="O174" i="14"/>
  <c r="O173" i="14"/>
  <c r="O172" i="14"/>
  <c r="O171" i="14"/>
  <c r="O170" i="14"/>
  <c r="O169" i="14"/>
  <c r="O168" i="14"/>
  <c r="O167" i="14"/>
  <c r="O166" i="14"/>
  <c r="O165" i="14"/>
  <c r="O164" i="14"/>
  <c r="O163" i="14"/>
  <c r="O162" i="14"/>
  <c r="O161" i="14"/>
  <c r="O160" i="14"/>
  <c r="O159" i="14"/>
  <c r="O158" i="14"/>
  <c r="O157" i="14"/>
  <c r="O156" i="14"/>
  <c r="O155" i="14"/>
  <c r="O154" i="14"/>
  <c r="O153" i="14"/>
  <c r="O152" i="14"/>
  <c r="O151" i="14"/>
  <c r="O150" i="14"/>
  <c r="O149" i="14"/>
  <c r="O148" i="14"/>
  <c r="O147" i="14"/>
  <c r="O146" i="14"/>
  <c r="O145" i="14"/>
  <c r="O144" i="14"/>
  <c r="O143" i="14"/>
  <c r="O142" i="14"/>
  <c r="O141" i="14"/>
  <c r="O140" i="14"/>
  <c r="O139" i="14"/>
  <c r="O138" i="14"/>
  <c r="O137" i="14"/>
  <c r="O136" i="14"/>
  <c r="O135" i="14"/>
  <c r="O134" i="14"/>
  <c r="O133" i="14"/>
  <c r="O132" i="14"/>
  <c r="O131" i="14"/>
  <c r="O130" i="14"/>
  <c r="O129" i="14"/>
  <c r="O128" i="14"/>
  <c r="O127" i="14"/>
  <c r="O126" i="14"/>
  <c r="O125" i="14"/>
  <c r="O124" i="14"/>
  <c r="O123" i="14"/>
  <c r="O122" i="14"/>
  <c r="O121" i="14"/>
  <c r="O120" i="14"/>
  <c r="O119" i="14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8" i="14"/>
  <c r="O89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AI618" i="16"/>
  <c r="AI617" i="16"/>
  <c r="AJ617" i="16" s="1"/>
  <c r="AI616" i="16"/>
  <c r="AI615" i="16"/>
  <c r="AI614" i="16"/>
  <c r="AI613" i="16"/>
  <c r="AJ613" i="16" s="1"/>
  <c r="AI612" i="16"/>
  <c r="AI611" i="16"/>
  <c r="AI610" i="16"/>
  <c r="AI609" i="16"/>
  <c r="AJ609" i="16" s="1"/>
  <c r="AI608" i="16"/>
  <c r="AI607" i="16"/>
  <c r="AI606" i="16"/>
  <c r="AI605" i="16"/>
  <c r="AJ605" i="16" s="1"/>
  <c r="AI604" i="16"/>
  <c r="AI603" i="16"/>
  <c r="AI602" i="16"/>
  <c r="AI601" i="16"/>
  <c r="AI600" i="16"/>
  <c r="AI599" i="16"/>
  <c r="AI598" i="16"/>
  <c r="AI597" i="16"/>
  <c r="AJ597" i="16" s="1"/>
  <c r="AI596" i="16"/>
  <c r="AI595" i="16"/>
  <c r="AI594" i="16"/>
  <c r="AI593" i="16"/>
  <c r="AJ593" i="16" s="1"/>
  <c r="AI592" i="16"/>
  <c r="AI591" i="16"/>
  <c r="AI590" i="16"/>
  <c r="AI589" i="16"/>
  <c r="AJ589" i="16" s="1"/>
  <c r="AI588" i="16"/>
  <c r="AI587" i="16"/>
  <c r="AI586" i="16"/>
  <c r="AI585" i="16"/>
  <c r="AJ585" i="16" s="1"/>
  <c r="AI584" i="16"/>
  <c r="AI583" i="16"/>
  <c r="AI582" i="16"/>
  <c r="AI581" i="16"/>
  <c r="AJ581" i="16" s="1"/>
  <c r="AI580" i="16"/>
  <c r="AI579" i="16"/>
  <c r="AI578" i="16"/>
  <c r="AI577" i="16"/>
  <c r="AJ577" i="16" s="1"/>
  <c r="AI576" i="16"/>
  <c r="AI575" i="16"/>
  <c r="AI574" i="16"/>
  <c r="AI573" i="16"/>
  <c r="AJ573" i="16" s="1"/>
  <c r="AI572" i="16"/>
  <c r="AI571" i="16"/>
  <c r="AI570" i="16"/>
  <c r="AI569" i="16"/>
  <c r="AJ569" i="16" s="1"/>
  <c r="AI568" i="16"/>
  <c r="AI567" i="16"/>
  <c r="AI566" i="16"/>
  <c r="AI565" i="16"/>
  <c r="AJ565" i="16" s="1"/>
  <c r="AI564" i="16"/>
  <c r="AI563" i="16"/>
  <c r="AI562" i="16"/>
  <c r="AI561" i="16"/>
  <c r="AJ561" i="16" s="1"/>
  <c r="AI560" i="16"/>
  <c r="AI559" i="16"/>
  <c r="AI558" i="16"/>
  <c r="AI557" i="16"/>
  <c r="AI556" i="16"/>
  <c r="AI555" i="16"/>
  <c r="AI554" i="16"/>
  <c r="AI553" i="16"/>
  <c r="AJ553" i="16" s="1"/>
  <c r="AI552" i="16"/>
  <c r="AI551" i="16"/>
  <c r="AI550" i="16"/>
  <c r="AI549" i="16"/>
  <c r="AJ549" i="16" s="1"/>
  <c r="AI548" i="16"/>
  <c r="AI547" i="16"/>
  <c r="AI546" i="16"/>
  <c r="AI545" i="16"/>
  <c r="AI544" i="16"/>
  <c r="AI543" i="16"/>
  <c r="AI542" i="16"/>
  <c r="AI541" i="16"/>
  <c r="AJ541" i="16" s="1"/>
  <c r="AI540" i="16"/>
  <c r="AI539" i="16"/>
  <c r="AI538" i="16"/>
  <c r="AI537" i="16"/>
  <c r="AJ537" i="16" s="1"/>
  <c r="AI536" i="16"/>
  <c r="AI535" i="16"/>
  <c r="AI534" i="16"/>
  <c r="AI533" i="16"/>
  <c r="AJ533" i="16" s="1"/>
  <c r="AI532" i="16"/>
  <c r="AI531" i="16"/>
  <c r="AI530" i="16"/>
  <c r="AI529" i="16"/>
  <c r="AJ529" i="16" s="1"/>
  <c r="AI528" i="16"/>
  <c r="AI527" i="16"/>
  <c r="AI526" i="16"/>
  <c r="AI525" i="16"/>
  <c r="AJ525" i="16" s="1"/>
  <c r="AI524" i="16"/>
  <c r="AI523" i="16"/>
  <c r="AI522" i="16"/>
  <c r="AI521" i="16"/>
  <c r="AJ521" i="16" s="1"/>
  <c r="AI520" i="16"/>
  <c r="AI519" i="16"/>
  <c r="AI518" i="16"/>
  <c r="AI517" i="16"/>
  <c r="AJ517" i="16" s="1"/>
  <c r="AI516" i="16"/>
  <c r="AI515" i="16"/>
  <c r="AI514" i="16"/>
  <c r="AI513" i="16"/>
  <c r="AJ513" i="16" s="1"/>
  <c r="AI512" i="16"/>
  <c r="AI511" i="16"/>
  <c r="AI510" i="16"/>
  <c r="AI509" i="16"/>
  <c r="AJ509" i="16" s="1"/>
  <c r="AI508" i="16"/>
  <c r="AI507" i="16"/>
  <c r="AI506" i="16"/>
  <c r="AI505" i="16"/>
  <c r="AI504" i="16"/>
  <c r="AI503" i="16"/>
  <c r="AI502" i="16"/>
  <c r="AI501" i="16"/>
  <c r="AJ501" i="16" s="1"/>
  <c r="AI500" i="16"/>
  <c r="AI499" i="16"/>
  <c r="AI498" i="16"/>
  <c r="AI497" i="16"/>
  <c r="AJ497" i="16" s="1"/>
  <c r="AI496" i="16"/>
  <c r="AI495" i="16"/>
  <c r="AI494" i="16"/>
  <c r="AI493" i="16"/>
  <c r="AJ493" i="16" s="1"/>
  <c r="AI492" i="16"/>
  <c r="AI491" i="16"/>
  <c r="AI490" i="16"/>
  <c r="AI489" i="16"/>
  <c r="AI488" i="16"/>
  <c r="AI487" i="16"/>
  <c r="AI486" i="16"/>
  <c r="AI485" i="16"/>
  <c r="AJ485" i="16" s="1"/>
  <c r="AI484" i="16"/>
  <c r="AI483" i="16"/>
  <c r="AI482" i="16"/>
  <c r="AI481" i="16"/>
  <c r="AJ481" i="16" s="1"/>
  <c r="AI480" i="16"/>
  <c r="AI479" i="16"/>
  <c r="AI478" i="16"/>
  <c r="AI477" i="16"/>
  <c r="AJ477" i="16" s="1"/>
  <c r="AI476" i="16"/>
  <c r="AI475" i="16"/>
  <c r="AI474" i="16"/>
  <c r="AI473" i="16"/>
  <c r="AJ473" i="16" s="1"/>
  <c r="AI472" i="16"/>
  <c r="AI471" i="16"/>
  <c r="AI470" i="16"/>
  <c r="AI469" i="16"/>
  <c r="AJ469" i="16" s="1"/>
  <c r="AI468" i="16"/>
  <c r="AI467" i="16"/>
  <c r="AI466" i="16"/>
  <c r="AI465" i="16"/>
  <c r="AJ465" i="16" s="1"/>
  <c r="AI464" i="16"/>
  <c r="AI463" i="16"/>
  <c r="AI462" i="16"/>
  <c r="AI461" i="16"/>
  <c r="AI460" i="16"/>
  <c r="AI459" i="16"/>
  <c r="AI458" i="16"/>
  <c r="AI457" i="16"/>
  <c r="AI455" i="16"/>
  <c r="AI454" i="16"/>
  <c r="AI453" i="16"/>
  <c r="AI452" i="16"/>
  <c r="AI451" i="16"/>
  <c r="AI450" i="16"/>
  <c r="AI449" i="16"/>
  <c r="AI448" i="16"/>
  <c r="AJ448" i="16" s="1"/>
  <c r="AI447" i="16"/>
  <c r="AJ447" i="16" s="1"/>
  <c r="AI446" i="16"/>
  <c r="AI445" i="16"/>
  <c r="AI444" i="16"/>
  <c r="AI443" i="16"/>
  <c r="AJ443" i="16" s="1"/>
  <c r="AI442" i="16"/>
  <c r="AI441" i="16"/>
  <c r="AI440" i="16"/>
  <c r="AI439" i="16"/>
  <c r="AJ439" i="16" s="1"/>
  <c r="AI438" i="16"/>
  <c r="AI437" i="16"/>
  <c r="AI436" i="16"/>
  <c r="AI435" i="16"/>
  <c r="AJ435" i="16" s="1"/>
  <c r="AI434" i="16"/>
  <c r="AI433" i="16"/>
  <c r="AI432" i="16"/>
  <c r="AI431" i="16"/>
  <c r="AJ431" i="16" s="1"/>
  <c r="AI430" i="16"/>
  <c r="AI429" i="16"/>
  <c r="AI428" i="16"/>
  <c r="AI427" i="16"/>
  <c r="AJ427" i="16" s="1"/>
  <c r="AI426" i="16"/>
  <c r="AI425" i="16"/>
  <c r="AI424" i="16"/>
  <c r="AI423" i="16"/>
  <c r="AJ423" i="16" s="1"/>
  <c r="AI422" i="16"/>
  <c r="AI421" i="16"/>
  <c r="AI420" i="16"/>
  <c r="AG379" i="15"/>
  <c r="M379" i="15"/>
  <c r="AI419" i="16"/>
  <c r="AI418" i="16"/>
  <c r="AI417" i="16"/>
  <c r="AI416" i="16"/>
  <c r="AI414" i="16"/>
  <c r="AI412" i="16"/>
  <c r="AI411" i="16"/>
  <c r="AI410" i="16"/>
  <c r="AI408" i="16"/>
  <c r="AI407" i="16"/>
  <c r="AI406" i="16"/>
  <c r="AI405" i="16"/>
  <c r="AI404" i="16"/>
  <c r="AI403" i="16"/>
  <c r="AI402" i="16"/>
  <c r="AI401" i="16"/>
  <c r="AI399" i="16"/>
  <c r="AI398" i="16"/>
  <c r="AI397" i="16"/>
  <c r="AI396" i="16"/>
  <c r="AI395" i="16"/>
  <c r="AI394" i="16"/>
  <c r="AI393" i="16"/>
  <c r="AI392" i="16"/>
  <c r="AI391" i="16"/>
  <c r="AI390" i="16"/>
  <c r="AI389" i="16"/>
  <c r="AI388" i="16"/>
  <c r="AI387" i="16"/>
  <c r="AI386" i="16"/>
  <c r="AI385" i="16"/>
  <c r="AI384" i="16"/>
  <c r="AI383" i="16"/>
  <c r="AI382" i="16"/>
  <c r="AI381" i="16"/>
  <c r="AI380" i="16"/>
  <c r="AI379" i="16"/>
  <c r="AI378" i="16"/>
  <c r="AI377" i="16"/>
  <c r="AI376" i="16"/>
  <c r="AI375" i="16"/>
  <c r="AI374" i="16"/>
  <c r="AI373" i="16"/>
  <c r="AI372" i="16"/>
  <c r="AI371" i="16"/>
  <c r="AI370" i="16"/>
  <c r="AI369" i="16"/>
  <c r="AI368" i="16"/>
  <c r="AI366" i="16"/>
  <c r="AI365" i="16"/>
  <c r="AI364" i="16"/>
  <c r="AI363" i="16"/>
  <c r="AI362" i="16"/>
  <c r="AI361" i="16"/>
  <c r="AI360" i="16"/>
  <c r="AI359" i="16"/>
  <c r="AI358" i="16"/>
  <c r="AI357" i="16"/>
  <c r="AI356" i="16"/>
  <c r="AI355" i="16"/>
  <c r="AI354" i="16"/>
  <c r="AI353" i="16"/>
  <c r="AI352" i="16"/>
  <c r="AI351" i="16"/>
  <c r="AI350" i="16"/>
  <c r="AI349" i="16"/>
  <c r="AI348" i="16"/>
  <c r="AI347" i="16"/>
  <c r="AI345" i="16"/>
  <c r="AI344" i="16"/>
  <c r="AI343" i="16"/>
  <c r="AI342" i="16"/>
  <c r="AJ342" i="16" s="1"/>
  <c r="AI341" i="16"/>
  <c r="AI340" i="16"/>
  <c r="AI339" i="16"/>
  <c r="AI338" i="16"/>
  <c r="AJ338" i="16" s="1"/>
  <c r="AI337" i="16"/>
  <c r="AI336" i="16"/>
  <c r="AI335" i="16"/>
  <c r="AI334" i="16"/>
  <c r="AJ334" i="16" s="1"/>
  <c r="AI333" i="16"/>
  <c r="AI332" i="16"/>
  <c r="AI331" i="16"/>
  <c r="AI330" i="16"/>
  <c r="AJ330" i="16" s="1"/>
  <c r="AI329" i="16"/>
  <c r="AI328" i="16"/>
  <c r="AI327" i="16"/>
  <c r="AI326" i="16"/>
  <c r="AJ326" i="16" s="1"/>
  <c r="AI325" i="16"/>
  <c r="AI324" i="16"/>
  <c r="AI323" i="16"/>
  <c r="AI322" i="16"/>
  <c r="AJ322" i="16" s="1"/>
  <c r="AI321" i="16"/>
  <c r="AI320" i="16"/>
  <c r="AI319" i="16"/>
  <c r="AI317" i="16"/>
  <c r="AJ317" i="16" s="1"/>
  <c r="AI316" i="16"/>
  <c r="AI315" i="16"/>
  <c r="AI314" i="16"/>
  <c r="AI313" i="16"/>
  <c r="AJ313" i="16" s="1"/>
  <c r="AI312" i="16"/>
  <c r="AI311" i="16"/>
  <c r="AI310" i="16"/>
  <c r="AI309" i="16"/>
  <c r="AJ309" i="16" s="1"/>
  <c r="AI308" i="16"/>
  <c r="AI307" i="16"/>
  <c r="AI306" i="16"/>
  <c r="AI305" i="16"/>
  <c r="AJ305" i="16" s="1"/>
  <c r="AI304" i="16"/>
  <c r="AI303" i="16"/>
  <c r="AI302" i="16"/>
  <c r="AI301" i="16"/>
  <c r="AJ301" i="16" s="1"/>
  <c r="AI300" i="16"/>
  <c r="AI299" i="16"/>
  <c r="AI298" i="16"/>
  <c r="AI297" i="16"/>
  <c r="AJ297" i="16" s="1"/>
  <c r="AI296" i="16"/>
  <c r="AI295" i="16"/>
  <c r="AI294" i="16"/>
  <c r="AI293" i="16"/>
  <c r="AJ293" i="16" s="1"/>
  <c r="AI289" i="16"/>
  <c r="AI292" i="16"/>
  <c r="AI291" i="16"/>
  <c r="AI288" i="16"/>
  <c r="AI287" i="16"/>
  <c r="AJ287" i="16" s="1"/>
  <c r="AI285" i="16"/>
  <c r="AI284" i="16"/>
  <c r="AI283" i="16"/>
  <c r="AI282" i="16"/>
  <c r="AI281" i="16"/>
  <c r="AI280" i="16"/>
  <c r="AI279" i="16"/>
  <c r="AI278" i="16"/>
  <c r="AI277" i="16"/>
  <c r="AI276" i="16"/>
  <c r="AI275" i="16"/>
  <c r="AI274" i="16"/>
  <c r="AI273" i="16"/>
  <c r="AI272" i="16"/>
  <c r="AI271" i="16"/>
  <c r="AI270" i="16"/>
  <c r="AI269" i="16"/>
  <c r="AI268" i="16"/>
  <c r="AI267" i="16"/>
  <c r="AI266" i="16"/>
  <c r="AI265" i="16"/>
  <c r="AI264" i="16"/>
  <c r="AI263" i="16"/>
  <c r="AI262" i="16"/>
  <c r="AI261" i="16"/>
  <c r="AI260" i="16"/>
  <c r="AI259" i="16"/>
  <c r="AI258" i="16"/>
  <c r="AI257" i="16"/>
  <c r="AI256" i="16"/>
  <c r="AI255" i="16"/>
  <c r="AI254" i="16"/>
  <c r="AI253" i="16"/>
  <c r="AI252" i="16"/>
  <c r="AI251" i="16"/>
  <c r="AI250" i="16"/>
  <c r="AI249" i="16"/>
  <c r="AI248" i="16"/>
  <c r="AI247" i="16"/>
  <c r="AI246" i="16"/>
  <c r="AI245" i="16"/>
  <c r="AI244" i="16"/>
  <c r="AI243" i="16"/>
  <c r="AI242" i="16"/>
  <c r="AI241" i="16"/>
  <c r="AI240" i="16"/>
  <c r="AI239" i="16"/>
  <c r="AI238" i="16"/>
  <c r="AI237" i="16"/>
  <c r="AI236" i="16"/>
  <c r="AI235" i="16"/>
  <c r="AI234" i="16"/>
  <c r="AI233" i="16"/>
  <c r="AI232" i="16"/>
  <c r="AI231" i="16"/>
  <c r="AI230" i="16"/>
  <c r="AI229" i="16"/>
  <c r="AI228" i="16"/>
  <c r="AI227" i="16"/>
  <c r="AI226" i="16"/>
  <c r="AI225" i="16"/>
  <c r="AI224" i="16"/>
  <c r="AI223" i="16"/>
  <c r="AI222" i="16"/>
  <c r="AI221" i="16"/>
  <c r="AI220" i="16"/>
  <c r="AI219" i="16"/>
  <c r="AI218" i="16"/>
  <c r="AI217" i="16"/>
  <c r="AI216" i="16"/>
  <c r="AI215" i="16"/>
  <c r="AI214" i="16"/>
  <c r="AI213" i="16"/>
  <c r="AI212" i="16"/>
  <c r="AI211" i="16"/>
  <c r="AI210" i="16"/>
  <c r="AI209" i="16"/>
  <c r="AI208" i="16"/>
  <c r="AI207" i="16"/>
  <c r="AI206" i="16"/>
  <c r="AI205" i="16"/>
  <c r="AI204" i="16"/>
  <c r="AI203" i="16"/>
  <c r="AI202" i="16"/>
  <c r="AI201" i="16"/>
  <c r="AI200" i="16"/>
  <c r="AI199" i="16"/>
  <c r="AI198" i="16"/>
  <c r="AI197" i="16"/>
  <c r="AI196" i="16"/>
  <c r="AI195" i="16"/>
  <c r="AI194" i="16"/>
  <c r="AI193" i="16"/>
  <c r="AI192" i="16"/>
  <c r="AI191" i="16"/>
  <c r="AI190" i="16"/>
  <c r="AI189" i="16"/>
  <c r="AI188" i="16"/>
  <c r="AI187" i="16"/>
  <c r="AI186" i="16"/>
  <c r="AI185" i="16"/>
  <c r="AI184" i="16"/>
  <c r="AI183" i="16"/>
  <c r="AI182" i="16"/>
  <c r="AI181" i="16"/>
  <c r="AI180" i="16"/>
  <c r="AI179" i="16"/>
  <c r="AI178" i="16"/>
  <c r="AI177" i="16"/>
  <c r="AI176" i="16"/>
  <c r="AI175" i="16"/>
  <c r="AI174" i="16"/>
  <c r="AI173" i="16"/>
  <c r="AI172" i="16"/>
  <c r="AI171" i="16"/>
  <c r="AI170" i="16"/>
  <c r="AI169" i="16"/>
  <c r="AI168" i="16"/>
  <c r="AI167" i="16"/>
  <c r="AI166" i="16"/>
  <c r="AI165" i="16"/>
  <c r="AI164" i="16"/>
  <c r="AI163" i="16"/>
  <c r="AI162" i="16"/>
  <c r="AI161" i="16"/>
  <c r="AI160" i="16"/>
  <c r="AI159" i="16"/>
  <c r="AI158" i="16"/>
  <c r="AI157" i="16"/>
  <c r="AI156" i="16"/>
  <c r="AI155" i="16"/>
  <c r="AI154" i="16"/>
  <c r="AI153" i="16"/>
  <c r="AI152" i="16"/>
  <c r="AI151" i="16"/>
  <c r="AI150" i="16"/>
  <c r="AI149" i="16"/>
  <c r="AI148" i="16"/>
  <c r="AI147" i="16"/>
  <c r="AI146" i="16"/>
  <c r="AI145" i="16"/>
  <c r="AI144" i="16"/>
  <c r="AI143" i="16"/>
  <c r="AI142" i="16"/>
  <c r="AI141" i="16"/>
  <c r="AI140" i="16"/>
  <c r="AI139" i="16"/>
  <c r="AI138" i="16"/>
  <c r="AI137" i="16"/>
  <c r="AI136" i="16"/>
  <c r="AI135" i="16"/>
  <c r="AJ135" i="16" s="1"/>
  <c r="AI134" i="16"/>
  <c r="AI133" i="16"/>
  <c r="AI132" i="16"/>
  <c r="AI131" i="16"/>
  <c r="AI130" i="16"/>
  <c r="AI129" i="16"/>
  <c r="AI128" i="16"/>
  <c r="AI127" i="16"/>
  <c r="AJ127" i="16" s="1"/>
  <c r="AI126" i="16"/>
  <c r="AI125" i="16"/>
  <c r="AI124" i="16"/>
  <c r="AI123" i="16"/>
  <c r="AI122" i="16"/>
  <c r="AI121" i="16"/>
  <c r="AI120" i="16"/>
  <c r="AI119" i="16"/>
  <c r="AJ119" i="16" s="1"/>
  <c r="AI118" i="16"/>
  <c r="AI117" i="16"/>
  <c r="AI116" i="16"/>
  <c r="AI115" i="16"/>
  <c r="AI114" i="16"/>
  <c r="AI113" i="16"/>
  <c r="AI112" i="16"/>
  <c r="AI111" i="16"/>
  <c r="AJ111" i="16" s="1"/>
  <c r="AI110" i="16"/>
  <c r="AI109" i="16"/>
  <c r="AI108" i="16"/>
  <c r="AI107" i="16"/>
  <c r="AI106" i="16"/>
  <c r="AI105" i="16"/>
  <c r="AI104" i="16"/>
  <c r="AI103" i="16"/>
  <c r="AJ103" i="16" s="1"/>
  <c r="AI102" i="16"/>
  <c r="AI101" i="16"/>
  <c r="AI100" i="16"/>
  <c r="AI99" i="16"/>
  <c r="AJ99" i="16" s="1"/>
  <c r="AI98" i="16"/>
  <c r="AI97" i="16"/>
  <c r="AI96" i="16"/>
  <c r="AI95" i="16"/>
  <c r="AJ95" i="16" s="1"/>
  <c r="AI94" i="16"/>
  <c r="AI93" i="16"/>
  <c r="AI92" i="16"/>
  <c r="AI91" i="16"/>
  <c r="AJ91" i="16" s="1"/>
  <c r="AI90" i="16"/>
  <c r="AI88" i="16"/>
  <c r="AI89" i="16"/>
  <c r="AI87" i="16"/>
  <c r="AJ87" i="16" s="1"/>
  <c r="AI86" i="16"/>
  <c r="AI85" i="16"/>
  <c r="AI84" i="16"/>
  <c r="AI83" i="16"/>
  <c r="AJ83" i="16" s="1"/>
  <c r="AI82" i="16"/>
  <c r="AI81" i="16"/>
  <c r="AI80" i="16"/>
  <c r="AI79" i="16"/>
  <c r="AJ79" i="16" s="1"/>
  <c r="AI78" i="16"/>
  <c r="AI77" i="16"/>
  <c r="AI76" i="16"/>
  <c r="AI75" i="16"/>
  <c r="AJ75" i="16" s="1"/>
  <c r="AI74" i="16"/>
  <c r="AI73" i="16"/>
  <c r="AI72" i="16"/>
  <c r="AI71" i="16"/>
  <c r="AJ71" i="16" s="1"/>
  <c r="AI70" i="16"/>
  <c r="AI69" i="16"/>
  <c r="AI68" i="16"/>
  <c r="AI67" i="16"/>
  <c r="AJ67" i="16" s="1"/>
  <c r="AI66" i="16"/>
  <c r="AI65" i="16"/>
  <c r="AI64" i="16"/>
  <c r="AI63" i="16"/>
  <c r="AJ63" i="16" s="1"/>
  <c r="AI62" i="16"/>
  <c r="AI61" i="16"/>
  <c r="AI60" i="16"/>
  <c r="AI59" i="16"/>
  <c r="AJ59" i="16" s="1"/>
  <c r="AI58" i="16"/>
  <c r="AI57" i="16"/>
  <c r="AI56" i="16"/>
  <c r="AI55" i="16"/>
  <c r="AJ55" i="16" s="1"/>
  <c r="AI54" i="16"/>
  <c r="AI53" i="16"/>
  <c r="AI52" i="16"/>
  <c r="AI51" i="16"/>
  <c r="AJ51" i="16" s="1"/>
  <c r="AI50" i="16"/>
  <c r="AI49" i="16"/>
  <c r="AI48" i="16"/>
  <c r="AI47" i="16"/>
  <c r="AJ47" i="16" s="1"/>
  <c r="AI46" i="16"/>
  <c r="AI45" i="16"/>
  <c r="AI44" i="16"/>
  <c r="AI42" i="16"/>
  <c r="AJ42" i="16" s="1"/>
  <c r="AI41" i="16"/>
  <c r="AI40" i="16"/>
  <c r="AI39" i="16"/>
  <c r="AI38" i="16"/>
  <c r="AJ38" i="16" s="1"/>
  <c r="AI37" i="16"/>
  <c r="AI36" i="16"/>
  <c r="AI35" i="16"/>
  <c r="AI34" i="16"/>
  <c r="AJ34" i="16" s="1"/>
  <c r="AI33" i="16"/>
  <c r="AI32" i="16"/>
  <c r="AI31" i="16"/>
  <c r="AI30" i="16"/>
  <c r="AJ30" i="16" s="1"/>
  <c r="AI29" i="16"/>
  <c r="AI28" i="16"/>
  <c r="AI27" i="16"/>
  <c r="AI26" i="16"/>
  <c r="AJ26" i="16" s="1"/>
  <c r="AI25" i="16"/>
  <c r="AI24" i="16"/>
  <c r="AI23" i="16"/>
  <c r="AI22" i="16"/>
  <c r="AJ22" i="16" s="1"/>
  <c r="AI21" i="16"/>
  <c r="AI20" i="16"/>
  <c r="AI19" i="16"/>
  <c r="AI18" i="16"/>
  <c r="AJ18" i="16" s="1"/>
  <c r="AI17" i="16"/>
  <c r="AI16" i="16"/>
  <c r="AI15" i="16"/>
  <c r="AI14" i="16"/>
  <c r="AJ14" i="16" s="1"/>
  <c r="AI13" i="16"/>
  <c r="AI12" i="16"/>
  <c r="AJ139" i="16"/>
  <c r="AJ131" i="16"/>
  <c r="AJ123" i="16"/>
  <c r="AJ115" i="16"/>
  <c r="AJ107" i="16"/>
  <c r="AJ97" i="16"/>
  <c r="AJ28" i="16"/>
  <c r="AI11" i="16"/>
  <c r="AJ11" i="16" s="1"/>
  <c r="CF311" i="2" l="1"/>
  <c r="CF324" i="2"/>
  <c r="CF332" i="2"/>
  <c r="CF340" i="2"/>
  <c r="CF349" i="2"/>
  <c r="CF353" i="2"/>
  <c r="CF361" i="2"/>
  <c r="CF370" i="2"/>
  <c r="CF382" i="2"/>
  <c r="CF390" i="2"/>
  <c r="CF394" i="2"/>
  <c r="CF403" i="2"/>
  <c r="CF412" i="2"/>
  <c r="CF422" i="2"/>
  <c r="CF430" i="2"/>
  <c r="CF434" i="2"/>
  <c r="CF307" i="2"/>
  <c r="CF315" i="2"/>
  <c r="CF320" i="2"/>
  <c r="CF328" i="2"/>
  <c r="CF336" i="2"/>
  <c r="CF344" i="2"/>
  <c r="CF357" i="2"/>
  <c r="CF365" i="2"/>
  <c r="CF374" i="2"/>
  <c r="CF378" i="2"/>
  <c r="CF386" i="2"/>
  <c r="CF398" i="2"/>
  <c r="CF407" i="2"/>
  <c r="CF418" i="2"/>
  <c r="CF426" i="2"/>
  <c r="CF446" i="2"/>
  <c r="AB13" i="10"/>
  <c r="AB17" i="10"/>
  <c r="AB21" i="10"/>
  <c r="AB25" i="10"/>
  <c r="AB29" i="10"/>
  <c r="AB33" i="10"/>
  <c r="AB37" i="10"/>
  <c r="AB41" i="10"/>
  <c r="AB46" i="10"/>
  <c r="AB54" i="10"/>
  <c r="AB58" i="10"/>
  <c r="AB62" i="10"/>
  <c r="AB66" i="10"/>
  <c r="AB70" i="10"/>
  <c r="AB74" i="10"/>
  <c r="AB78" i="10"/>
  <c r="AB82" i="10"/>
  <c r="AB86" i="10"/>
  <c r="AB90" i="10"/>
  <c r="AB94" i="10"/>
  <c r="AB98" i="10"/>
  <c r="AB102" i="10"/>
  <c r="AB449" i="10"/>
  <c r="AB453" i="10"/>
  <c r="AB458" i="10"/>
  <c r="AB462" i="10"/>
  <c r="AB466" i="10"/>
  <c r="AB474" i="10"/>
  <c r="AB478" i="10"/>
  <c r="AB482" i="10"/>
  <c r="AB486" i="10"/>
  <c r="AB490" i="10"/>
  <c r="AB494" i="10"/>
  <c r="AB498" i="10"/>
  <c r="AB502" i="10"/>
  <c r="AB506" i="10"/>
  <c r="AB510" i="10"/>
  <c r="AB514" i="10"/>
  <c r="AB518" i="10"/>
  <c r="AB522" i="10"/>
  <c r="AB526" i="10"/>
  <c r="AB530" i="10"/>
  <c r="AB534" i="10"/>
  <c r="AB538" i="10"/>
  <c r="AB542" i="10"/>
  <c r="AB546" i="10"/>
  <c r="AB550" i="10"/>
  <c r="AB554" i="10"/>
  <c r="AB558" i="10"/>
  <c r="AB562" i="10"/>
  <c r="AB566" i="10"/>
  <c r="AB570" i="10"/>
  <c r="AB574" i="10"/>
  <c r="AB582" i="10"/>
  <c r="AB586" i="10"/>
  <c r="AB590" i="10"/>
  <c r="AB594" i="10"/>
  <c r="AB598" i="10"/>
  <c r="AB602" i="10"/>
  <c r="AB606" i="10"/>
  <c r="AB610" i="10"/>
  <c r="AB614" i="10"/>
  <c r="AB618" i="10"/>
  <c r="AB11" i="10"/>
  <c r="AB15" i="10"/>
  <c r="AB23" i="10"/>
  <c r="AB27" i="10"/>
  <c r="AB31" i="10"/>
  <c r="AB35" i="10"/>
  <c r="AB39" i="10"/>
  <c r="AB44" i="10"/>
  <c r="AB48" i="10"/>
  <c r="AB52" i="10"/>
  <c r="AB56" i="10"/>
  <c r="AB60" i="10"/>
  <c r="AB64" i="10"/>
  <c r="AB72" i="10"/>
  <c r="CE61" i="25"/>
  <c r="AB76" i="10"/>
  <c r="AB80" i="10"/>
  <c r="AB84" i="10"/>
  <c r="AB89" i="10"/>
  <c r="AB92" i="10"/>
  <c r="AB96" i="10"/>
  <c r="AB100" i="10"/>
  <c r="AB104" i="10"/>
  <c r="AB108" i="10"/>
  <c r="AB112" i="10"/>
  <c r="AB116" i="10"/>
  <c r="AB120" i="10"/>
  <c r="AB124" i="10"/>
  <c r="AB132" i="10"/>
  <c r="AB136" i="10"/>
  <c r="AB140" i="10"/>
  <c r="AB144" i="10"/>
  <c r="AB148" i="10"/>
  <c r="AB152" i="10"/>
  <c r="AB156" i="10"/>
  <c r="AB160" i="10"/>
  <c r="AB164" i="10"/>
  <c r="AB168" i="10"/>
  <c r="AB172" i="10"/>
  <c r="AB176" i="10"/>
  <c r="AB180" i="10"/>
  <c r="AB184" i="10"/>
  <c r="AB188" i="10"/>
  <c r="AB192" i="10"/>
  <c r="AB196" i="10"/>
  <c r="AB200" i="10"/>
  <c r="AB204" i="10"/>
  <c r="AB208" i="10"/>
  <c r="AB212" i="10"/>
  <c r="AB216" i="10"/>
  <c r="AB220" i="10"/>
  <c r="AB224" i="10"/>
  <c r="AB228" i="10"/>
  <c r="AB232" i="10"/>
  <c r="AB236" i="10"/>
  <c r="AB240" i="10"/>
  <c r="AB244" i="10"/>
  <c r="AB248" i="10"/>
  <c r="AB252" i="10"/>
  <c r="AB260" i="10"/>
  <c r="AB264" i="10"/>
  <c r="AB268" i="10"/>
  <c r="AB272" i="10"/>
  <c r="AB276" i="10"/>
  <c r="AB280" i="10"/>
  <c r="AB290" i="10"/>
  <c r="AB293" i="10"/>
  <c r="AB297" i="10"/>
  <c r="AB301" i="10"/>
  <c r="AB305" i="10"/>
  <c r="AB309" i="10"/>
  <c r="AB313" i="10"/>
  <c r="AB317" i="10"/>
  <c r="AB322" i="10"/>
  <c r="AB326" i="10"/>
  <c r="AB330" i="10"/>
  <c r="AB334" i="10"/>
  <c r="AB338" i="10"/>
  <c r="AB342" i="10"/>
  <c r="AB347" i="10"/>
  <c r="AB351" i="10"/>
  <c r="AB355" i="10"/>
  <c r="AB359" i="10"/>
  <c r="AB363" i="10"/>
  <c r="AB368" i="10"/>
  <c r="AB372" i="10"/>
  <c r="AB376" i="10"/>
  <c r="AB380" i="10"/>
  <c r="AB384" i="10"/>
  <c r="AB388" i="10"/>
  <c r="AB392" i="10"/>
  <c r="AB396" i="10"/>
  <c r="AB401" i="10"/>
  <c r="AB405" i="10"/>
  <c r="AB410" i="10"/>
  <c r="AB416" i="10"/>
  <c r="AB420" i="10"/>
  <c r="AB424" i="10"/>
  <c r="AB428" i="10"/>
  <c r="AB436" i="10"/>
  <c r="AB578" i="10"/>
  <c r="AB470" i="10"/>
  <c r="AB444" i="10"/>
  <c r="AB440" i="10"/>
  <c r="AB432" i="10"/>
  <c r="AB284" i="10"/>
  <c r="AB256" i="10"/>
  <c r="AB128" i="10"/>
  <c r="AB68" i="10"/>
  <c r="AB19" i="10"/>
  <c r="AJ129" i="16"/>
  <c r="AJ421" i="16"/>
  <c r="AJ425" i="16"/>
  <c r="AJ429" i="16"/>
  <c r="AJ433" i="16"/>
  <c r="AJ437" i="16"/>
  <c r="AJ441" i="16"/>
  <c r="AJ445" i="16"/>
  <c r="AJ20" i="16"/>
  <c r="AJ113" i="16"/>
  <c r="AJ292" i="16"/>
  <c r="AJ303" i="16"/>
  <c r="AJ307" i="16"/>
  <c r="AJ311" i="16"/>
  <c r="AJ315" i="16"/>
  <c r="AJ320" i="16"/>
  <c r="AJ324" i="16"/>
  <c r="AJ328" i="16"/>
  <c r="AJ332" i="16"/>
  <c r="AJ336" i="16"/>
  <c r="AJ340" i="16"/>
  <c r="AJ344" i="16"/>
  <c r="AJ450" i="16"/>
  <c r="AJ459" i="16"/>
  <c r="AJ463" i="16"/>
  <c r="AJ471" i="16"/>
  <c r="AJ475" i="16"/>
  <c r="AJ479" i="16"/>
  <c r="AJ483" i="16"/>
  <c r="AJ487" i="16"/>
  <c r="AJ495" i="16"/>
  <c r="AJ499" i="16"/>
  <c r="AJ507" i="16"/>
  <c r="AJ511" i="16"/>
  <c r="AJ515" i="16"/>
  <c r="AJ519" i="16"/>
  <c r="AJ523" i="16"/>
  <c r="AJ531" i="16"/>
  <c r="AJ535" i="16"/>
  <c r="AJ539" i="16"/>
  <c r="AJ543" i="16"/>
  <c r="AJ547" i="16"/>
  <c r="AJ551" i="16"/>
  <c r="AJ555" i="16"/>
  <c r="AJ563" i="16"/>
  <c r="AJ567" i="16"/>
  <c r="AJ571" i="16"/>
  <c r="AJ575" i="16"/>
  <c r="AJ583" i="16"/>
  <c r="AJ587" i="16"/>
  <c r="AJ591" i="16"/>
  <c r="AJ595" i="16"/>
  <c r="AJ599" i="16"/>
  <c r="AJ603" i="16"/>
  <c r="AJ607" i="16"/>
  <c r="AJ611" i="16"/>
  <c r="AJ615" i="16"/>
  <c r="AJ601" i="16"/>
  <c r="AJ579" i="16"/>
  <c r="AJ559" i="16"/>
  <c r="AJ557" i="16"/>
  <c r="AJ545" i="16"/>
  <c r="AJ527" i="16"/>
  <c r="AJ505" i="16"/>
  <c r="AJ503" i="16"/>
  <c r="AJ467" i="16"/>
  <c r="AJ461" i="16"/>
  <c r="AJ457" i="16"/>
  <c r="AJ454" i="16"/>
  <c r="AJ452" i="16"/>
  <c r="AJ299" i="16"/>
  <c r="AJ295" i="16"/>
  <c r="AJ491" i="16"/>
  <c r="AN141" i="16"/>
  <c r="AJ141" i="16"/>
  <c r="AN125" i="16"/>
  <c r="AJ125" i="16"/>
  <c r="AN109" i="16"/>
  <c r="AJ109" i="16"/>
  <c r="AJ137" i="16"/>
  <c r="AN133" i="16"/>
  <c r="AJ133" i="16"/>
  <c r="AN117" i="16"/>
  <c r="AJ117" i="16"/>
  <c r="AN101" i="16"/>
  <c r="AJ101" i="16"/>
  <c r="AN93" i="16"/>
  <c r="AJ93" i="16"/>
  <c r="AN88" i="16"/>
  <c r="AJ88" i="16"/>
  <c r="AN81" i="16"/>
  <c r="AJ81" i="16"/>
  <c r="AN73" i="16"/>
  <c r="AJ73" i="16"/>
  <c r="AN65" i="16"/>
  <c r="AJ65" i="16"/>
  <c r="AJ57" i="16"/>
  <c r="AJ105" i="16"/>
  <c r="AJ121" i="16"/>
  <c r="AJ85" i="16"/>
  <c r="AJ12" i="16"/>
  <c r="AJ16" i="16"/>
  <c r="AJ24" i="16"/>
  <c r="AJ32" i="16"/>
  <c r="AJ36" i="16"/>
  <c r="AJ40" i="16"/>
  <c r="AJ45" i="16"/>
  <c r="AJ49" i="16"/>
  <c r="AJ61" i="16"/>
  <c r="AJ69" i="16"/>
  <c r="AJ77" i="16"/>
  <c r="AG172" i="26"/>
  <c r="AI379" i="15"/>
  <c r="CF309" i="2"/>
  <c r="CF313" i="2"/>
  <c r="CF317" i="2"/>
  <c r="CF322" i="2"/>
  <c r="CF326" i="2"/>
  <c r="CF330" i="2"/>
  <c r="CF334" i="2"/>
  <c r="CF338" i="2"/>
  <c r="CF342" i="2"/>
  <c r="CF347" i="2"/>
  <c r="CF351" i="2"/>
  <c r="CF355" i="2"/>
  <c r="CF359" i="2"/>
  <c r="CF363" i="2"/>
  <c r="CF368" i="2"/>
  <c r="CF372" i="2"/>
  <c r="CF376" i="2"/>
  <c r="CF380" i="2"/>
  <c r="CF384" i="2"/>
  <c r="CF388" i="2"/>
  <c r="CF392" i="2"/>
  <c r="CF396" i="2"/>
  <c r="CF401" i="2"/>
  <c r="CF405" i="2"/>
  <c r="CF410" i="2"/>
  <c r="CF416" i="2"/>
  <c r="CF420" i="2"/>
  <c r="CF424" i="2"/>
  <c r="CF428" i="2"/>
  <c r="CF432" i="2"/>
  <c r="CF436" i="2"/>
  <c r="CF444" i="2"/>
  <c r="AB451" i="10"/>
  <c r="AB455" i="10"/>
  <c r="AB460" i="10"/>
  <c r="AB464" i="10"/>
  <c r="AB468" i="10"/>
  <c r="AB472" i="10"/>
  <c r="AB476" i="10"/>
  <c r="AB480" i="10"/>
  <c r="AB484" i="10"/>
  <c r="AB488" i="10"/>
  <c r="AB492" i="10"/>
  <c r="AB496" i="10"/>
  <c r="AB500" i="10"/>
  <c r="AB504" i="10"/>
  <c r="AB508" i="10"/>
  <c r="AB512" i="10"/>
  <c r="AB516" i="10"/>
  <c r="AB520" i="10"/>
  <c r="AB524" i="10"/>
  <c r="AB528" i="10"/>
  <c r="AB532" i="10"/>
  <c r="AB536" i="10"/>
  <c r="AB540" i="10"/>
  <c r="AB544" i="10"/>
  <c r="AB548" i="10"/>
  <c r="AB552" i="10"/>
  <c r="AB556" i="10"/>
  <c r="AB560" i="10"/>
  <c r="AB564" i="10"/>
  <c r="AB568" i="10"/>
  <c r="AB572" i="10"/>
  <c r="AB576" i="10"/>
  <c r="AB580" i="10"/>
  <c r="AB584" i="10"/>
  <c r="AB588" i="10"/>
  <c r="AB592" i="10"/>
  <c r="AB596" i="10"/>
  <c r="AB600" i="10"/>
  <c r="AB604" i="10"/>
  <c r="AB608" i="10"/>
  <c r="AB612" i="10"/>
  <c r="AB616" i="10"/>
  <c r="AB106" i="10"/>
  <c r="AB110" i="10"/>
  <c r="AB114" i="10"/>
  <c r="AB118" i="10"/>
  <c r="AB122" i="10"/>
  <c r="AB126" i="10"/>
  <c r="AB130" i="10"/>
  <c r="AB134" i="10"/>
  <c r="AB138" i="10"/>
  <c r="AB142" i="10"/>
  <c r="AB146" i="10"/>
  <c r="AB150" i="10"/>
  <c r="AB154" i="10"/>
  <c r="AB158" i="10"/>
  <c r="AB162" i="10"/>
  <c r="AB166" i="10"/>
  <c r="AB170" i="10"/>
  <c r="AB174" i="10"/>
  <c r="AB178" i="10"/>
  <c r="AB182" i="10"/>
  <c r="AB186" i="10"/>
  <c r="AB190" i="10"/>
  <c r="AB194" i="10"/>
  <c r="AB198" i="10"/>
  <c r="AB202" i="10"/>
  <c r="AB206" i="10"/>
  <c r="AB210" i="10"/>
  <c r="AB214" i="10"/>
  <c r="AB218" i="10"/>
  <c r="AB222" i="10"/>
  <c r="AB226" i="10"/>
  <c r="AB230" i="10"/>
  <c r="AB234" i="10"/>
  <c r="AB238" i="10"/>
  <c r="AB242" i="10"/>
  <c r="AB246" i="10"/>
  <c r="AB250" i="10"/>
  <c r="AB254" i="10"/>
  <c r="AB258" i="10"/>
  <c r="AB262" i="10"/>
  <c r="AB266" i="10"/>
  <c r="AB270" i="10"/>
  <c r="AB274" i="10"/>
  <c r="AB278" i="10"/>
  <c r="AB282" i="10"/>
  <c r="AB287" i="10"/>
  <c r="AB292" i="10"/>
  <c r="AB295" i="10"/>
  <c r="AB299" i="10"/>
  <c r="AB303" i="10"/>
  <c r="AB307" i="10"/>
  <c r="AB311" i="10"/>
  <c r="AB315" i="10"/>
  <c r="AB320" i="10"/>
  <c r="AB324" i="10"/>
  <c r="AB328" i="10"/>
  <c r="AB332" i="10"/>
  <c r="AB336" i="10"/>
  <c r="AB340" i="10"/>
  <c r="AB344" i="10"/>
  <c r="AB349" i="10"/>
  <c r="AB353" i="10"/>
  <c r="AB357" i="10"/>
  <c r="AB361" i="10"/>
  <c r="AB365" i="10"/>
  <c r="AB370" i="10"/>
  <c r="AB374" i="10"/>
  <c r="AB378" i="10"/>
  <c r="AB382" i="10"/>
  <c r="AB386" i="10"/>
  <c r="AB390" i="10"/>
  <c r="AB394" i="10"/>
  <c r="AB398" i="10"/>
  <c r="AB403" i="10"/>
  <c r="AB407" i="10"/>
  <c r="AB412" i="10"/>
  <c r="AB418" i="10"/>
  <c r="AB422" i="10"/>
  <c r="AB426" i="10"/>
  <c r="AB430" i="10"/>
  <c r="AB434" i="10"/>
  <c r="AB438" i="10"/>
  <c r="AB442" i="10"/>
  <c r="AB446" i="10"/>
  <c r="AG566" i="26"/>
  <c r="CF62" i="2"/>
  <c r="CF64" i="2"/>
  <c r="CF66" i="2"/>
  <c r="CF68" i="2"/>
  <c r="CF70" i="2"/>
  <c r="CF72" i="2"/>
  <c r="CF74" i="2"/>
  <c r="CF76" i="2"/>
  <c r="CF78" i="2"/>
  <c r="CF80" i="2"/>
  <c r="CF82" i="2"/>
  <c r="CF84" i="2"/>
  <c r="CF86" i="2"/>
  <c r="CF172" i="2"/>
  <c r="CF174" i="2"/>
  <c r="CF176" i="2"/>
  <c r="CF178" i="2"/>
  <c r="CF180" i="2"/>
  <c r="CF182" i="2"/>
  <c r="CF184" i="2"/>
  <c r="CF186" i="2"/>
  <c r="CF190" i="2"/>
  <c r="CF192" i="2"/>
  <c r="CF194" i="2"/>
  <c r="CF196" i="2"/>
  <c r="CF198" i="2"/>
  <c r="CF200" i="2"/>
  <c r="CF202" i="2"/>
  <c r="CF204" i="2"/>
  <c r="CF206" i="2"/>
  <c r="CF208" i="2"/>
  <c r="CF210" i="2"/>
  <c r="CF212" i="2"/>
  <c r="CF214" i="2"/>
  <c r="CF216" i="2"/>
  <c r="CF218" i="2"/>
  <c r="CF220" i="2"/>
  <c r="CF222" i="2"/>
  <c r="CF224" i="2"/>
  <c r="CF226" i="2"/>
  <c r="CF228" i="2"/>
  <c r="CF230" i="2"/>
  <c r="CF232" i="2"/>
  <c r="CF234" i="2"/>
  <c r="CF236" i="2"/>
  <c r="CF238" i="2"/>
  <c r="CF240" i="2"/>
  <c r="CF242" i="2"/>
  <c r="CF244" i="2"/>
  <c r="CF246" i="2"/>
  <c r="CF248" i="2"/>
  <c r="CF250" i="2"/>
  <c r="CF252" i="2"/>
  <c r="CF254" i="2"/>
  <c r="CF256" i="2"/>
  <c r="CF258" i="2"/>
  <c r="CF260" i="2"/>
  <c r="CF262" i="2"/>
  <c r="CF264" i="2"/>
  <c r="CF266" i="2"/>
  <c r="CF268" i="2"/>
  <c r="CF270" i="2"/>
  <c r="CF272" i="2"/>
  <c r="CF274" i="2"/>
  <c r="CF276" i="2"/>
  <c r="CF278" i="2"/>
  <c r="CF280" i="2"/>
  <c r="CF282" i="2"/>
  <c r="CF284" i="2"/>
  <c r="CF287" i="2"/>
  <c r="CF290" i="2"/>
  <c r="CF292" i="2"/>
  <c r="CF293" i="2"/>
  <c r="CF295" i="2"/>
  <c r="CF297" i="2"/>
  <c r="CF299" i="2"/>
  <c r="CF301" i="2"/>
  <c r="CF303" i="2"/>
  <c r="CF449" i="2"/>
  <c r="CF451" i="2"/>
  <c r="CF453" i="2"/>
  <c r="CF455" i="2"/>
  <c r="CF458" i="2"/>
  <c r="CF460" i="2"/>
  <c r="CF462" i="2"/>
  <c r="CF464" i="2"/>
  <c r="CF466" i="2"/>
  <c r="CF468" i="2"/>
  <c r="CF470" i="2"/>
  <c r="CF472" i="2"/>
  <c r="CF474" i="2"/>
  <c r="CF476" i="2"/>
  <c r="CF478" i="2"/>
  <c r="CF480" i="2"/>
  <c r="CF482" i="2"/>
  <c r="CF484" i="2"/>
  <c r="CF486" i="2"/>
  <c r="CF488" i="2"/>
  <c r="CF490" i="2"/>
  <c r="CF492" i="2"/>
  <c r="CF494" i="2"/>
  <c r="CF496" i="2"/>
  <c r="CF498" i="2"/>
  <c r="CF500" i="2"/>
  <c r="CF502" i="2"/>
  <c r="CF504" i="2"/>
  <c r="CF506" i="2"/>
  <c r="CF508" i="2"/>
  <c r="CF510" i="2"/>
  <c r="CF512" i="2"/>
  <c r="CF514" i="2"/>
  <c r="CF516" i="2"/>
  <c r="CF518" i="2"/>
  <c r="CF520" i="2"/>
  <c r="CF522" i="2"/>
  <c r="CF524" i="2"/>
  <c r="CF526" i="2"/>
  <c r="CF528" i="2"/>
  <c r="CF530" i="2"/>
  <c r="CF532" i="2"/>
  <c r="CF534" i="2"/>
  <c r="CF536" i="2"/>
  <c r="CF538" i="2"/>
  <c r="CF540" i="2"/>
  <c r="CF542" i="2"/>
  <c r="CF544" i="2"/>
  <c r="CF546" i="2"/>
  <c r="CF548" i="2"/>
  <c r="CF550" i="2"/>
  <c r="CF552" i="2"/>
  <c r="CF554" i="2"/>
  <c r="CF556" i="2"/>
  <c r="CF558" i="2"/>
  <c r="CF560" i="2"/>
  <c r="CF562" i="2"/>
  <c r="CF564" i="2"/>
  <c r="CF566" i="2"/>
  <c r="CF568" i="2"/>
  <c r="CF570" i="2"/>
  <c r="CF572" i="2"/>
  <c r="CF574" i="2"/>
  <c r="CF576" i="2"/>
  <c r="CF578" i="2"/>
  <c r="CF580" i="2"/>
  <c r="CF582" i="2"/>
  <c r="CF584" i="2"/>
  <c r="CF586" i="2"/>
  <c r="CF588" i="2"/>
  <c r="CF590" i="2"/>
  <c r="CF592" i="2"/>
  <c r="CF594" i="2"/>
  <c r="CF596" i="2"/>
  <c r="CF598" i="2"/>
  <c r="CF600" i="2"/>
  <c r="CF602" i="2"/>
  <c r="CF604" i="2"/>
  <c r="CF606" i="2"/>
  <c r="CF608" i="2"/>
  <c r="CF610" i="2"/>
  <c r="CF612" i="2"/>
  <c r="CF614" i="2"/>
  <c r="CF616" i="2"/>
  <c r="CF618" i="2"/>
  <c r="AJ92" i="16"/>
  <c r="AJ94" i="16"/>
  <c r="AJ96" i="16"/>
  <c r="AJ98" i="16"/>
  <c r="AJ100" i="16"/>
  <c r="AJ102" i="16"/>
  <c r="AJ104" i="16"/>
  <c r="AJ106" i="16"/>
  <c r="AJ108" i="16"/>
  <c r="AJ110" i="16"/>
  <c r="AJ112" i="16"/>
  <c r="AJ114" i="16"/>
  <c r="AJ116" i="16"/>
  <c r="AJ118" i="16"/>
  <c r="AJ120" i="16"/>
  <c r="AJ122" i="16"/>
  <c r="AJ124" i="16"/>
  <c r="AJ126" i="16"/>
  <c r="AJ128" i="16"/>
  <c r="AJ130" i="16"/>
  <c r="AJ132" i="16"/>
  <c r="AJ134" i="16"/>
  <c r="AJ136" i="16"/>
  <c r="AJ138" i="16"/>
  <c r="AJ140" i="16"/>
  <c r="AJ142" i="16"/>
  <c r="AJ13" i="16"/>
  <c r="AJ15" i="16"/>
  <c r="AJ17" i="16"/>
  <c r="AJ19" i="16"/>
  <c r="AJ21" i="16"/>
  <c r="AJ23" i="16"/>
  <c r="AJ25" i="16"/>
  <c r="AJ27" i="16"/>
  <c r="AJ29" i="16"/>
  <c r="AJ31" i="16"/>
  <c r="AJ33" i="16"/>
  <c r="AJ35" i="16"/>
  <c r="AJ37" i="16"/>
  <c r="AJ39" i="16"/>
  <c r="AJ41" i="16"/>
  <c r="AJ44" i="16"/>
  <c r="AJ46" i="16"/>
  <c r="AJ48" i="16"/>
  <c r="AJ50" i="16"/>
  <c r="AJ56" i="16"/>
  <c r="AJ58" i="16"/>
  <c r="AJ60" i="16"/>
  <c r="AJ62" i="16"/>
  <c r="AJ64" i="16"/>
  <c r="AJ66" i="16"/>
  <c r="AJ68" i="16"/>
  <c r="AJ70" i="16"/>
  <c r="AJ72" i="16"/>
  <c r="AJ74" i="16"/>
  <c r="AJ76" i="16"/>
  <c r="AJ78" i="16"/>
  <c r="AJ80" i="16"/>
  <c r="AJ82" i="16"/>
  <c r="AJ84" i="16"/>
  <c r="AJ86" i="16"/>
  <c r="AJ89" i="16"/>
  <c r="AJ90" i="16"/>
  <c r="AJ144" i="16"/>
  <c r="AJ146" i="16"/>
  <c r="AJ148" i="16"/>
  <c r="AJ150" i="16"/>
  <c r="AJ152" i="16"/>
  <c r="AJ154" i="16"/>
  <c r="AJ156" i="16"/>
  <c r="AJ158" i="16"/>
  <c r="AJ160" i="16"/>
  <c r="AJ162" i="16"/>
  <c r="AJ164" i="16"/>
  <c r="AJ166" i="16"/>
  <c r="AJ168" i="16"/>
  <c r="AJ170" i="16"/>
  <c r="AJ172" i="16"/>
  <c r="AJ174" i="16"/>
  <c r="AJ176" i="16"/>
  <c r="AJ178" i="16"/>
  <c r="AJ180" i="16"/>
  <c r="AJ182" i="16"/>
  <c r="AJ184" i="16"/>
  <c r="AJ186" i="16"/>
  <c r="AJ188" i="16"/>
  <c r="AJ190" i="16"/>
  <c r="AJ192" i="16"/>
  <c r="AJ194" i="16"/>
  <c r="AJ196" i="16"/>
  <c r="AJ198" i="16"/>
  <c r="AJ200" i="16"/>
  <c r="AJ202" i="16"/>
  <c r="AJ204" i="16"/>
  <c r="AJ206" i="16"/>
  <c r="AJ208" i="16"/>
  <c r="AJ210" i="16"/>
  <c r="AJ212" i="16"/>
  <c r="AJ214" i="16"/>
  <c r="AJ216" i="16"/>
  <c r="AJ218" i="16"/>
  <c r="AJ220" i="16"/>
  <c r="AJ222" i="16"/>
  <c r="AJ224" i="16"/>
  <c r="AJ226" i="16"/>
  <c r="AJ228" i="16"/>
  <c r="AJ230" i="16"/>
  <c r="AJ232" i="16"/>
  <c r="AJ234" i="16"/>
  <c r="AJ236" i="16"/>
  <c r="AJ238" i="16"/>
  <c r="AJ240" i="16"/>
  <c r="AJ242" i="16"/>
  <c r="AJ244" i="16"/>
  <c r="AJ246" i="16"/>
  <c r="AJ248" i="16"/>
  <c r="AJ250" i="16"/>
  <c r="AJ252" i="16"/>
  <c r="AJ254" i="16"/>
  <c r="AJ256" i="16"/>
  <c r="AJ258" i="16"/>
  <c r="AJ260" i="16"/>
  <c r="AJ262" i="16"/>
  <c r="AJ264" i="16"/>
  <c r="AJ266" i="16"/>
  <c r="AJ268" i="16"/>
  <c r="AJ270" i="16"/>
  <c r="AJ272" i="16"/>
  <c r="AJ274" i="16"/>
  <c r="AJ276" i="16"/>
  <c r="AJ278" i="16"/>
  <c r="AJ280" i="16"/>
  <c r="AJ282" i="16"/>
  <c r="AJ284" i="16"/>
  <c r="AJ389" i="16"/>
  <c r="AJ399" i="16"/>
  <c r="AB50" i="10"/>
  <c r="AG60" i="14"/>
  <c r="BX172" i="2"/>
  <c r="AR167" i="1"/>
  <c r="AM61" i="14"/>
  <c r="CF438" i="2"/>
  <c r="CF440" i="2"/>
  <c r="CF442" i="2"/>
  <c r="AM58" i="14"/>
  <c r="AM62" i="14"/>
  <c r="AQ171" i="22"/>
  <c r="BN171" i="25" s="1"/>
  <c r="BV171" i="25" s="1"/>
  <c r="BX171" i="25" s="1"/>
  <c r="AG171" i="26"/>
  <c r="CF188" i="2"/>
  <c r="AR59" i="1"/>
  <c r="AR170" i="1"/>
  <c r="CF61" i="2"/>
  <c r="CF63" i="2"/>
  <c r="CF65" i="2"/>
  <c r="CF67" i="2"/>
  <c r="CF69" i="2"/>
  <c r="CF71" i="2"/>
  <c r="CF73" i="2"/>
  <c r="CF75" i="2"/>
  <c r="CF77" i="2"/>
  <c r="CF79" i="2"/>
  <c r="CF81" i="2"/>
  <c r="CF83" i="2"/>
  <c r="CF85" i="2"/>
  <c r="CF87" i="2"/>
  <c r="CF173" i="2"/>
  <c r="CF175" i="2"/>
  <c r="CF177" i="2"/>
  <c r="CF179" i="2"/>
  <c r="CF181" i="2"/>
  <c r="CF183" i="2"/>
  <c r="CF185" i="2"/>
  <c r="CF187" i="2"/>
  <c r="CF189" i="2"/>
  <c r="CF191" i="2"/>
  <c r="CF193" i="2"/>
  <c r="CF195" i="2"/>
  <c r="CF197" i="2"/>
  <c r="CF199" i="2"/>
  <c r="CF201" i="2"/>
  <c r="CF203" i="2"/>
  <c r="CF205" i="2"/>
  <c r="CF207" i="2"/>
  <c r="CF209" i="2"/>
  <c r="CF211" i="2"/>
  <c r="CF213" i="2"/>
  <c r="CF215" i="2"/>
  <c r="CF217" i="2"/>
  <c r="CF219" i="2"/>
  <c r="CF221" i="2"/>
  <c r="CF223" i="2"/>
  <c r="CF225" i="2"/>
  <c r="CF227" i="2"/>
  <c r="CF229" i="2"/>
  <c r="CF231" i="2"/>
  <c r="CF233" i="2"/>
  <c r="CF235" i="2"/>
  <c r="CF237" i="2"/>
  <c r="CF239" i="2"/>
  <c r="CF241" i="2"/>
  <c r="CF243" i="2"/>
  <c r="CF245" i="2"/>
  <c r="CF247" i="2"/>
  <c r="CF249" i="2"/>
  <c r="CF251" i="2"/>
  <c r="CF253" i="2"/>
  <c r="CF255" i="2"/>
  <c r="CF257" i="2"/>
  <c r="CF259" i="2"/>
  <c r="CF261" i="2"/>
  <c r="CF263" i="2"/>
  <c r="CF265" i="2"/>
  <c r="CF267" i="2"/>
  <c r="CF269" i="2"/>
  <c r="CF271" i="2"/>
  <c r="CF273" i="2"/>
  <c r="CF275" i="2"/>
  <c r="CF277" i="2"/>
  <c r="CF279" i="2"/>
  <c r="CF281" i="2"/>
  <c r="CF283" i="2"/>
  <c r="CF285" i="2"/>
  <c r="CF288" i="2"/>
  <c r="CF291" i="2"/>
  <c r="CF289" i="2"/>
  <c r="CF294" i="2"/>
  <c r="CF296" i="2"/>
  <c r="CF298" i="2"/>
  <c r="CF300" i="2"/>
  <c r="CF302" i="2"/>
  <c r="CF304" i="2"/>
  <c r="CF306" i="2"/>
  <c r="CF308" i="2"/>
  <c r="CF310" i="2"/>
  <c r="CF312" i="2"/>
  <c r="CF314" i="2"/>
  <c r="CF316" i="2"/>
  <c r="CF319" i="2"/>
  <c r="CF321" i="2"/>
  <c r="CF323" i="2"/>
  <c r="CF325" i="2"/>
  <c r="CF327" i="2"/>
  <c r="CF329" i="2"/>
  <c r="CF331" i="2"/>
  <c r="CF333" i="2"/>
  <c r="CF335" i="2"/>
  <c r="CF337" i="2"/>
  <c r="CF339" i="2"/>
  <c r="CF341" i="2"/>
  <c r="CF343" i="2"/>
  <c r="CF345" i="2"/>
  <c r="CF348" i="2"/>
  <c r="CF350" i="2"/>
  <c r="CF352" i="2"/>
  <c r="CF354" i="2"/>
  <c r="CF356" i="2"/>
  <c r="CF358" i="2"/>
  <c r="CF360" i="2"/>
  <c r="CF362" i="2"/>
  <c r="CF364" i="2"/>
  <c r="CF366" i="2"/>
  <c r="CF369" i="2"/>
  <c r="CF371" i="2"/>
  <c r="CF373" i="2"/>
  <c r="CF375" i="2"/>
  <c r="CF377" i="2"/>
  <c r="CF379" i="2"/>
  <c r="CF381" i="2"/>
  <c r="CF383" i="2"/>
  <c r="CF385" i="2"/>
  <c r="CF387" i="2"/>
  <c r="CF389" i="2"/>
  <c r="CF391" i="2"/>
  <c r="CF393" i="2"/>
  <c r="CF395" i="2"/>
  <c r="CF397" i="2"/>
  <c r="CF399" i="2"/>
  <c r="CF402" i="2"/>
  <c r="CF404" i="2"/>
  <c r="CF406" i="2"/>
  <c r="CF408" i="2"/>
  <c r="CF411" i="2"/>
  <c r="CF414" i="2"/>
  <c r="CF417" i="2"/>
  <c r="CF419" i="2"/>
  <c r="CF421" i="2"/>
  <c r="CF423" i="2"/>
  <c r="CF425" i="2"/>
  <c r="CF427" i="2"/>
  <c r="CF429" i="2"/>
  <c r="CF431" i="2"/>
  <c r="CF433" i="2"/>
  <c r="CF435" i="2"/>
  <c r="CF437" i="2"/>
  <c r="CF439" i="2"/>
  <c r="CF441" i="2"/>
  <c r="CF443" i="2"/>
  <c r="CF445" i="2"/>
  <c r="CF447" i="2"/>
  <c r="CF448" i="2"/>
  <c r="CF450" i="2"/>
  <c r="CF452" i="2"/>
  <c r="CF454" i="2"/>
  <c r="CF457" i="2"/>
  <c r="CF459" i="2"/>
  <c r="CF461" i="2"/>
  <c r="CF463" i="2"/>
  <c r="CF465" i="2"/>
  <c r="CF467" i="2"/>
  <c r="CF469" i="2"/>
  <c r="CF471" i="2"/>
  <c r="CF473" i="2"/>
  <c r="CF475" i="2"/>
  <c r="CF477" i="2"/>
  <c r="CF479" i="2"/>
  <c r="CF481" i="2"/>
  <c r="CF483" i="2"/>
  <c r="CF485" i="2"/>
  <c r="CF487" i="2"/>
  <c r="CF489" i="2"/>
  <c r="CF491" i="2"/>
  <c r="CF493" i="2"/>
  <c r="CF495" i="2"/>
  <c r="CF497" i="2"/>
  <c r="CF499" i="2"/>
  <c r="CF501" i="2"/>
  <c r="CF503" i="2"/>
  <c r="CF505" i="2"/>
  <c r="CF507" i="2"/>
  <c r="CF509" i="2"/>
  <c r="CF511" i="2"/>
  <c r="CF513" i="2"/>
  <c r="CF515" i="2"/>
  <c r="CF517" i="2"/>
  <c r="CF519" i="2"/>
  <c r="CF521" i="2"/>
  <c r="CF523" i="2"/>
  <c r="CF525" i="2"/>
  <c r="CF527" i="2"/>
  <c r="CF529" i="2"/>
  <c r="CF531" i="2"/>
  <c r="CF533" i="2"/>
  <c r="CF535" i="2"/>
  <c r="CF537" i="2"/>
  <c r="CF539" i="2"/>
  <c r="CF541" i="2"/>
  <c r="CF543" i="2"/>
  <c r="CF545" i="2"/>
  <c r="CF547" i="2"/>
  <c r="CF549" i="2"/>
  <c r="CF551" i="2"/>
  <c r="CF553" i="2"/>
  <c r="CF555" i="2"/>
  <c r="CF557" i="2"/>
  <c r="CF559" i="2"/>
  <c r="CF561" i="2"/>
  <c r="CF563" i="2"/>
  <c r="CF565" i="2"/>
  <c r="CF567" i="2"/>
  <c r="CF569" i="2"/>
  <c r="CF571" i="2"/>
  <c r="CF573" i="2"/>
  <c r="CF575" i="2"/>
  <c r="CF577" i="2"/>
  <c r="CF579" i="2"/>
  <c r="CF581" i="2"/>
  <c r="CF583" i="2"/>
  <c r="CF585" i="2"/>
  <c r="CF587" i="2"/>
  <c r="CF589" i="2"/>
  <c r="CF591" i="2"/>
  <c r="CF593" i="2"/>
  <c r="CF595" i="2"/>
  <c r="CF597" i="2"/>
  <c r="CF599" i="2"/>
  <c r="CF601" i="2"/>
  <c r="CF603" i="2"/>
  <c r="CF605" i="2"/>
  <c r="CF607" i="2"/>
  <c r="CF609" i="2"/>
  <c r="CF611" i="2"/>
  <c r="CF613" i="2"/>
  <c r="CF615" i="2"/>
  <c r="CF617" i="2"/>
  <c r="AM61" i="26"/>
  <c r="AB12" i="10"/>
  <c r="AB14" i="10"/>
  <c r="AB16" i="10"/>
  <c r="AB18" i="10"/>
  <c r="AB20" i="10"/>
  <c r="AB22" i="10"/>
  <c r="AB24" i="10"/>
  <c r="AB26" i="10"/>
  <c r="AB28" i="10"/>
  <c r="AB30" i="10"/>
  <c r="AB32" i="10"/>
  <c r="AB34" i="10"/>
  <c r="AB36" i="10"/>
  <c r="AB38" i="10"/>
  <c r="AB40" i="10"/>
  <c r="AB42" i="10"/>
  <c r="AB45" i="10"/>
  <c r="AB47" i="10"/>
  <c r="AB49" i="10"/>
  <c r="AB51" i="10"/>
  <c r="AB53" i="10"/>
  <c r="AB55" i="10"/>
  <c r="AB57" i="10"/>
  <c r="AB59" i="10"/>
  <c r="AB61" i="10"/>
  <c r="AB63" i="10"/>
  <c r="AB65" i="10"/>
  <c r="AB67" i="10"/>
  <c r="AB69" i="10"/>
  <c r="AB71" i="10"/>
  <c r="AB73" i="10"/>
  <c r="AB75" i="10"/>
  <c r="AB77" i="10"/>
  <c r="AB79" i="10"/>
  <c r="AB81" i="10"/>
  <c r="AB83" i="10"/>
  <c r="AB85" i="10"/>
  <c r="AB87" i="10"/>
  <c r="AB88" i="10"/>
  <c r="AB91" i="10"/>
  <c r="AB93" i="10"/>
  <c r="AB95" i="10"/>
  <c r="AB97" i="10"/>
  <c r="AB99" i="10"/>
  <c r="AB101" i="10"/>
  <c r="AB103" i="10"/>
  <c r="AB105" i="10"/>
  <c r="AB107" i="10"/>
  <c r="AB109" i="10"/>
  <c r="AB111" i="10"/>
  <c r="AB113" i="10"/>
  <c r="AB115" i="10"/>
  <c r="AB117" i="10"/>
  <c r="AB119" i="10"/>
  <c r="AB121" i="10"/>
  <c r="AB123" i="10"/>
  <c r="AB125" i="10"/>
  <c r="AB127" i="10"/>
  <c r="AB129" i="10"/>
  <c r="AB131" i="10"/>
  <c r="AB133" i="10"/>
  <c r="AB135" i="10"/>
  <c r="AB137" i="10"/>
  <c r="AB139" i="10"/>
  <c r="AB141" i="10"/>
  <c r="AB143" i="10"/>
  <c r="AB145" i="10"/>
  <c r="AB147" i="10"/>
  <c r="AB149" i="10"/>
  <c r="AB151" i="10"/>
  <c r="AB153" i="10"/>
  <c r="AB155" i="10"/>
  <c r="AB157" i="10"/>
  <c r="AB159" i="10"/>
  <c r="AB161" i="10"/>
  <c r="AB163" i="10"/>
  <c r="AB165" i="10"/>
  <c r="AB167" i="10"/>
  <c r="AB169" i="10"/>
  <c r="AB171" i="10"/>
  <c r="AB173" i="10"/>
  <c r="AB175" i="10"/>
  <c r="AB177" i="10"/>
  <c r="AB179" i="10"/>
  <c r="AB181" i="10"/>
  <c r="AB183" i="10"/>
  <c r="AB185" i="10"/>
  <c r="AB187" i="10"/>
  <c r="AB189" i="10"/>
  <c r="AB191" i="10"/>
  <c r="AB193" i="10"/>
  <c r="AB195" i="10"/>
  <c r="AB197" i="10"/>
  <c r="AB199" i="10"/>
  <c r="AB201" i="10"/>
  <c r="AB203" i="10"/>
  <c r="AB205" i="10"/>
  <c r="AB207" i="10"/>
  <c r="AB209" i="10"/>
  <c r="AB211" i="10"/>
  <c r="AB213" i="10"/>
  <c r="AB215" i="10"/>
  <c r="AB217" i="10"/>
  <c r="AB219" i="10"/>
  <c r="AB221" i="10"/>
  <c r="AB223" i="10"/>
  <c r="AB225" i="10"/>
  <c r="AB227" i="10"/>
  <c r="AB229" i="10"/>
  <c r="AB231" i="10"/>
  <c r="AB233" i="10"/>
  <c r="AB235" i="10"/>
  <c r="AB237" i="10"/>
  <c r="AB239" i="10"/>
  <c r="AB241" i="10"/>
  <c r="AB243" i="10"/>
  <c r="AB245" i="10"/>
  <c r="AB247" i="10"/>
  <c r="AB249" i="10"/>
  <c r="AB251" i="10"/>
  <c r="AB253" i="10"/>
  <c r="AB255" i="10"/>
  <c r="AB257" i="10"/>
  <c r="AB259" i="10"/>
  <c r="AB261" i="10"/>
  <c r="AB263" i="10"/>
  <c r="AB265" i="10"/>
  <c r="AB267" i="10"/>
  <c r="AB269" i="10"/>
  <c r="AB271" i="10"/>
  <c r="AB273" i="10"/>
  <c r="AB275" i="10"/>
  <c r="AB277" i="10"/>
  <c r="AB279" i="10"/>
  <c r="AB281" i="10"/>
  <c r="AB283" i="10"/>
  <c r="AB285" i="10"/>
  <c r="AB288" i="10"/>
  <c r="AB291" i="10"/>
  <c r="AB289" i="10"/>
  <c r="AB294" i="10"/>
  <c r="AB296" i="10"/>
  <c r="AB298" i="10"/>
  <c r="AB300" i="10"/>
  <c r="AB302" i="10"/>
  <c r="AB304" i="10"/>
  <c r="AB306" i="10"/>
  <c r="AB308" i="10"/>
  <c r="AB310" i="10"/>
  <c r="AB312" i="10"/>
  <c r="AB314" i="10"/>
  <c r="AB316" i="10"/>
  <c r="AB319" i="10"/>
  <c r="AB321" i="10"/>
  <c r="AB323" i="10"/>
  <c r="AB325" i="10"/>
  <c r="AB327" i="10"/>
  <c r="AB329" i="10"/>
  <c r="AB331" i="10"/>
  <c r="AB333" i="10"/>
  <c r="AB335" i="10"/>
  <c r="AB337" i="10"/>
  <c r="AB339" i="10"/>
  <c r="AB341" i="10"/>
  <c r="AB343" i="10"/>
  <c r="AB345" i="10"/>
  <c r="AB348" i="10"/>
  <c r="AB350" i="10"/>
  <c r="AB352" i="10"/>
  <c r="AB354" i="10"/>
  <c r="AB356" i="10"/>
  <c r="AB358" i="10"/>
  <c r="AB360" i="10"/>
  <c r="AB362" i="10"/>
  <c r="AB364" i="10"/>
  <c r="AB366" i="10"/>
  <c r="AB369" i="10"/>
  <c r="AB371" i="10"/>
  <c r="AB373" i="10"/>
  <c r="AB375" i="10"/>
  <c r="AB377" i="10"/>
  <c r="AB379" i="10"/>
  <c r="AB381" i="10"/>
  <c r="AB383" i="10"/>
  <c r="AB385" i="10"/>
  <c r="AB387" i="10"/>
  <c r="AB389" i="10"/>
  <c r="AB391" i="10"/>
  <c r="AB393" i="10"/>
  <c r="AB395" i="10"/>
  <c r="AB397" i="10"/>
  <c r="AB399" i="10"/>
  <c r="AB402" i="10"/>
  <c r="AB404" i="10"/>
  <c r="AB406" i="10"/>
  <c r="AB408" i="10"/>
  <c r="AB411" i="10"/>
  <c r="AB414" i="10"/>
  <c r="AB417" i="10"/>
  <c r="AB419" i="10"/>
  <c r="AB421" i="10"/>
  <c r="AB423" i="10"/>
  <c r="AB425" i="10"/>
  <c r="AB427" i="10"/>
  <c r="AB429" i="10"/>
  <c r="AB431" i="10"/>
  <c r="AB433" i="10"/>
  <c r="AB435" i="10"/>
  <c r="AB437" i="10"/>
  <c r="AB439" i="10"/>
  <c r="AB441" i="10"/>
  <c r="AB443" i="10"/>
  <c r="AB445" i="10"/>
  <c r="AB447" i="10"/>
  <c r="AB448" i="10"/>
  <c r="AB450" i="10"/>
  <c r="AB452" i="10"/>
  <c r="AB454" i="10"/>
  <c r="AB457" i="10"/>
  <c r="AB459" i="10"/>
  <c r="AB461" i="10"/>
  <c r="AB463" i="10"/>
  <c r="AB465" i="10"/>
  <c r="AB467" i="10"/>
  <c r="AB469" i="10"/>
  <c r="AB471" i="10"/>
  <c r="AB473" i="10"/>
  <c r="AB475" i="10"/>
  <c r="AB477" i="10"/>
  <c r="AB479" i="10"/>
  <c r="AB481" i="10"/>
  <c r="AB483" i="10"/>
  <c r="AB485" i="10"/>
  <c r="AB487" i="10"/>
  <c r="AB489" i="10"/>
  <c r="AB491" i="10"/>
  <c r="AB493" i="10"/>
  <c r="AB495" i="10"/>
  <c r="AB497" i="10"/>
  <c r="AB499" i="10"/>
  <c r="AB501" i="10"/>
  <c r="AB503" i="10"/>
  <c r="AB505" i="10"/>
  <c r="AB507" i="10"/>
  <c r="AB509" i="10"/>
  <c r="AB511" i="10"/>
  <c r="AB513" i="10"/>
  <c r="AB515" i="10"/>
  <c r="AB517" i="10"/>
  <c r="AB519" i="10"/>
  <c r="AB521" i="10"/>
  <c r="AB523" i="10"/>
  <c r="AB525" i="10"/>
  <c r="AB527" i="10"/>
  <c r="AB529" i="10"/>
  <c r="AB531" i="10"/>
  <c r="AB533" i="10"/>
  <c r="AB535" i="10"/>
  <c r="AB537" i="10"/>
  <c r="AB539" i="10"/>
  <c r="AB541" i="10"/>
  <c r="AB543" i="10"/>
  <c r="AB545" i="10"/>
  <c r="AB547" i="10"/>
  <c r="AB549" i="10"/>
  <c r="AB551" i="10"/>
  <c r="AB553" i="10"/>
  <c r="AB555" i="10"/>
  <c r="AB557" i="10"/>
  <c r="AB559" i="10"/>
  <c r="AB561" i="10"/>
  <c r="AB563" i="10"/>
  <c r="AB565" i="10"/>
  <c r="AB567" i="10"/>
  <c r="AB569" i="10"/>
  <c r="AB571" i="10"/>
  <c r="AB573" i="10"/>
  <c r="AB575" i="10"/>
  <c r="AB577" i="10"/>
  <c r="AB579" i="10"/>
  <c r="AB581" i="10"/>
  <c r="AB583" i="10"/>
  <c r="AB585" i="10"/>
  <c r="AB587" i="10"/>
  <c r="AB589" i="10"/>
  <c r="AB591" i="10"/>
  <c r="AB593" i="10"/>
  <c r="AB595" i="10"/>
  <c r="AB597" i="10"/>
  <c r="AB599" i="10"/>
  <c r="AB601" i="10"/>
  <c r="AB603" i="10"/>
  <c r="AB605" i="10"/>
  <c r="AB607" i="10"/>
  <c r="AB609" i="10"/>
  <c r="AB611" i="10"/>
  <c r="AB613" i="10"/>
  <c r="AB615" i="10"/>
  <c r="AB617" i="10"/>
  <c r="AG565" i="26"/>
  <c r="AM60" i="1"/>
  <c r="BN60" i="2" s="1"/>
  <c r="AG13" i="14"/>
  <c r="AG15" i="14"/>
  <c r="AG17" i="14"/>
  <c r="AG19" i="14"/>
  <c r="AG21" i="14"/>
  <c r="AG23" i="14"/>
  <c r="AG25" i="14"/>
  <c r="AG27" i="14"/>
  <c r="AG29" i="14"/>
  <c r="AG31" i="14"/>
  <c r="AG33" i="14"/>
  <c r="AG35" i="14"/>
  <c r="AG37" i="14"/>
  <c r="AG39" i="14"/>
  <c r="AG41" i="14"/>
  <c r="AG44" i="14"/>
  <c r="AG46" i="14"/>
  <c r="AG48" i="14"/>
  <c r="AG50" i="14"/>
  <c r="AG52" i="14"/>
  <c r="AG54" i="14"/>
  <c r="AG56" i="14"/>
  <c r="AG58" i="14"/>
  <c r="AG61" i="14"/>
  <c r="AG63" i="14"/>
  <c r="AG65" i="14"/>
  <c r="AG67" i="14"/>
  <c r="AG69" i="14"/>
  <c r="AG71" i="14"/>
  <c r="AG73" i="14"/>
  <c r="AG75" i="14"/>
  <c r="AG77" i="14"/>
  <c r="AG79" i="14"/>
  <c r="AG81" i="14"/>
  <c r="AG83" i="14"/>
  <c r="AG85" i="14"/>
  <c r="AG87" i="14"/>
  <c r="AG88" i="14"/>
  <c r="AG91" i="14"/>
  <c r="AG93" i="14"/>
  <c r="AG95" i="14"/>
  <c r="AG97" i="14"/>
  <c r="AG14" i="14"/>
  <c r="AG16" i="14"/>
  <c r="AG18" i="14"/>
  <c r="AG20" i="14"/>
  <c r="AG22" i="14"/>
  <c r="AG24" i="14"/>
  <c r="AG26" i="14"/>
  <c r="AG28" i="14"/>
  <c r="AG30" i="14"/>
  <c r="AG32" i="14"/>
  <c r="AG34" i="14"/>
  <c r="AG36" i="14"/>
  <c r="AG38" i="14"/>
  <c r="AG40" i="14"/>
  <c r="AG42" i="14"/>
  <c r="AG45" i="14"/>
  <c r="AG47" i="14"/>
  <c r="AG49" i="14"/>
  <c r="AG51" i="14"/>
  <c r="AG53" i="14"/>
  <c r="AG55" i="14"/>
  <c r="AG57" i="14"/>
  <c r="AG59" i="14"/>
  <c r="AG62" i="14"/>
  <c r="AG64" i="14"/>
  <c r="AG66" i="14"/>
  <c r="AG68" i="14"/>
  <c r="AG70" i="14"/>
  <c r="AG72" i="14"/>
  <c r="AG74" i="14"/>
  <c r="AG76" i="14"/>
  <c r="AG78" i="14"/>
  <c r="AG80" i="14"/>
  <c r="AG82" i="14"/>
  <c r="AG84" i="14"/>
  <c r="AG86" i="14"/>
  <c r="AG89" i="14"/>
  <c r="AG90" i="14"/>
  <c r="AG92" i="14"/>
  <c r="AG94" i="14"/>
  <c r="AG96" i="14"/>
  <c r="AG98" i="14"/>
  <c r="AG100" i="14"/>
  <c r="AG102" i="14"/>
  <c r="AG104" i="14"/>
  <c r="AG106" i="14"/>
  <c r="AG108" i="14"/>
  <c r="AG110" i="14"/>
  <c r="AG112" i="14"/>
  <c r="AG114" i="14"/>
  <c r="AG116" i="14"/>
  <c r="AG118" i="14"/>
  <c r="AG120" i="14"/>
  <c r="AG122" i="14"/>
  <c r="AG124" i="14"/>
  <c r="AG126" i="14"/>
  <c r="AG128" i="14"/>
  <c r="AG130" i="14"/>
  <c r="AG132" i="14"/>
  <c r="AG134" i="14"/>
  <c r="AG136" i="14"/>
  <c r="AG138" i="14"/>
  <c r="AG140" i="14"/>
  <c r="AG142" i="14"/>
  <c r="AG144" i="14"/>
  <c r="AG146" i="14"/>
  <c r="AG148" i="14"/>
  <c r="AG150" i="14"/>
  <c r="AG152" i="14"/>
  <c r="AG154" i="14"/>
  <c r="AG156" i="14"/>
  <c r="AG158" i="14"/>
  <c r="AG160" i="14"/>
  <c r="AG162" i="14"/>
  <c r="AG164" i="14"/>
  <c r="AG166" i="14"/>
  <c r="AG168" i="14"/>
  <c r="AG170" i="14"/>
  <c r="AG172" i="14"/>
  <c r="AG174" i="14"/>
  <c r="AG176" i="14"/>
  <c r="AG178" i="14"/>
  <c r="AG180" i="14"/>
  <c r="AG182" i="14"/>
  <c r="AG184" i="14"/>
  <c r="AG186" i="14"/>
  <c r="AG188" i="14"/>
  <c r="AG190" i="14"/>
  <c r="AG192" i="14"/>
  <c r="AG194" i="14"/>
  <c r="AG196" i="14"/>
  <c r="AG198" i="14"/>
  <c r="AG200" i="14"/>
  <c r="AG202" i="14"/>
  <c r="AG204" i="14"/>
  <c r="AG206" i="14"/>
  <c r="AG208" i="14"/>
  <c r="AG210" i="14"/>
  <c r="AG212" i="14"/>
  <c r="AG214" i="14"/>
  <c r="AG216" i="14"/>
  <c r="AG218" i="14"/>
  <c r="AG220" i="14"/>
  <c r="AG222" i="14"/>
  <c r="AG224" i="14"/>
  <c r="AG226" i="14"/>
  <c r="AG228" i="14"/>
  <c r="AG230" i="14"/>
  <c r="AG232" i="14"/>
  <c r="AG234" i="14"/>
  <c r="AG236" i="14"/>
  <c r="AG238" i="14"/>
  <c r="AG240" i="14"/>
  <c r="AG242" i="14"/>
  <c r="AG244" i="14"/>
  <c r="AG246" i="14"/>
  <c r="AG248" i="14"/>
  <c r="AG250" i="14"/>
  <c r="AG252" i="14"/>
  <c r="AG254" i="14"/>
  <c r="AG256" i="14"/>
  <c r="AG258" i="14"/>
  <c r="AG260" i="14"/>
  <c r="AG262" i="14"/>
  <c r="AG264" i="14"/>
  <c r="AG266" i="14"/>
  <c r="AG268" i="14"/>
  <c r="AG270" i="14"/>
  <c r="AG272" i="14"/>
  <c r="AG274" i="14"/>
  <c r="AG276" i="14"/>
  <c r="AG278" i="14"/>
  <c r="AG280" i="14"/>
  <c r="AG282" i="14"/>
  <c r="AG284" i="14"/>
  <c r="AG287" i="14"/>
  <c r="AG290" i="14"/>
  <c r="AG292" i="14"/>
  <c r="AG293" i="14"/>
  <c r="AG295" i="14"/>
  <c r="AG297" i="14"/>
  <c r="AG299" i="14"/>
  <c r="AG301" i="14"/>
  <c r="AG303" i="14"/>
  <c r="AG305" i="14"/>
  <c r="AG307" i="14"/>
  <c r="AG311" i="14"/>
  <c r="AG313" i="14"/>
  <c r="AG315" i="14"/>
  <c r="AG317" i="14"/>
  <c r="AG320" i="14"/>
  <c r="AG322" i="14"/>
  <c r="AG324" i="14"/>
  <c r="AG326" i="14"/>
  <c r="AG328" i="14"/>
  <c r="AG330" i="14"/>
  <c r="AG332" i="14"/>
  <c r="AG334" i="14"/>
  <c r="AG336" i="14"/>
  <c r="AG338" i="14"/>
  <c r="AG340" i="14"/>
  <c r="AG342" i="14"/>
  <c r="AG344" i="14"/>
  <c r="AG347" i="14"/>
  <c r="AG349" i="14"/>
  <c r="AG351" i="14"/>
  <c r="AG353" i="14"/>
  <c r="AG355" i="14"/>
  <c r="AG357" i="14"/>
  <c r="AG359" i="14"/>
  <c r="AG361" i="14"/>
  <c r="AG363" i="14"/>
  <c r="AG365" i="14"/>
  <c r="AG368" i="14"/>
  <c r="AG370" i="14"/>
  <c r="AG372" i="14"/>
  <c r="AG374" i="14"/>
  <c r="AG376" i="14"/>
  <c r="AG378" i="14"/>
  <c r="AG380" i="14"/>
  <c r="AG382" i="14"/>
  <c r="AG384" i="14"/>
  <c r="AG386" i="14"/>
  <c r="AG388" i="14"/>
  <c r="AG390" i="14"/>
  <c r="AG392" i="14"/>
  <c r="AG394" i="14"/>
  <c r="AG396" i="14"/>
  <c r="AG398" i="14"/>
  <c r="AG401" i="14"/>
  <c r="AG403" i="14"/>
  <c r="AG405" i="14"/>
  <c r="AG407" i="14"/>
  <c r="AG410" i="14"/>
  <c r="AG412" i="14"/>
  <c r="AG416" i="14"/>
  <c r="AG418" i="14"/>
  <c r="AG420" i="14"/>
  <c r="AG422" i="14"/>
  <c r="AG424" i="14"/>
  <c r="AG426" i="14"/>
  <c r="AG428" i="14"/>
  <c r="AG430" i="14"/>
  <c r="AG432" i="14"/>
  <c r="AG434" i="14"/>
  <c r="AG436" i="14"/>
  <c r="AG438" i="14"/>
  <c r="AG440" i="14"/>
  <c r="AG442" i="14"/>
  <c r="AG444" i="14"/>
  <c r="AG446" i="14"/>
  <c r="AG449" i="14"/>
  <c r="AG451" i="14"/>
  <c r="AG453" i="14"/>
  <c r="AG455" i="14"/>
  <c r="AG458" i="14"/>
  <c r="AG460" i="14"/>
  <c r="AG462" i="14"/>
  <c r="AG464" i="14"/>
  <c r="AG466" i="14"/>
  <c r="AG468" i="14"/>
  <c r="AG470" i="14"/>
  <c r="AG472" i="14"/>
  <c r="AG474" i="14"/>
  <c r="AG476" i="14"/>
  <c r="AG478" i="14"/>
  <c r="AG480" i="14"/>
  <c r="AG482" i="14"/>
  <c r="AG484" i="14"/>
  <c r="AG486" i="14"/>
  <c r="AG488" i="14"/>
  <c r="AG490" i="14"/>
  <c r="AG492" i="14"/>
  <c r="AG494" i="14"/>
  <c r="AG496" i="14"/>
  <c r="AG498" i="14"/>
  <c r="AG500" i="14"/>
  <c r="AG502" i="14"/>
  <c r="AG504" i="14"/>
  <c r="AG506" i="14"/>
  <c r="AG508" i="14"/>
  <c r="AG510" i="14"/>
  <c r="AG512" i="14"/>
  <c r="AG514" i="14"/>
  <c r="AG516" i="14"/>
  <c r="AG518" i="14"/>
  <c r="AG520" i="14"/>
  <c r="AG522" i="14"/>
  <c r="AG524" i="14"/>
  <c r="AG526" i="14"/>
  <c r="AG528" i="14"/>
  <c r="AG530" i="14"/>
  <c r="AG532" i="14"/>
  <c r="AG534" i="14"/>
  <c r="AG536" i="14"/>
  <c r="AG538" i="14"/>
  <c r="AG540" i="14"/>
  <c r="AG542" i="14"/>
  <c r="AG544" i="14"/>
  <c r="AG546" i="14"/>
  <c r="AG548" i="14"/>
  <c r="AG550" i="14"/>
  <c r="AG552" i="14"/>
  <c r="AG554" i="14"/>
  <c r="AG556" i="14"/>
  <c r="AG558" i="14"/>
  <c r="AG560" i="14"/>
  <c r="AG562" i="14"/>
  <c r="AG564" i="14"/>
  <c r="AG566" i="14"/>
  <c r="AG568" i="14"/>
  <c r="AG570" i="14"/>
  <c r="AG572" i="14"/>
  <c r="AG574" i="14"/>
  <c r="AG576" i="14"/>
  <c r="AG578" i="14"/>
  <c r="AG580" i="14"/>
  <c r="AG582" i="14"/>
  <c r="AG584" i="14"/>
  <c r="AG586" i="14"/>
  <c r="AG588" i="14"/>
  <c r="AG590" i="14"/>
  <c r="AG592" i="14"/>
  <c r="AG594" i="14"/>
  <c r="AG596" i="14"/>
  <c r="AG598" i="14"/>
  <c r="AG600" i="14"/>
  <c r="AG602" i="14"/>
  <c r="AG604" i="14"/>
  <c r="AG606" i="14"/>
  <c r="AG608" i="14"/>
  <c r="AG610" i="14"/>
  <c r="AG612" i="14"/>
  <c r="AG614" i="14"/>
  <c r="AG616" i="14"/>
  <c r="AG618" i="14"/>
  <c r="AG99" i="14"/>
  <c r="AG101" i="14"/>
  <c r="AG103" i="14"/>
  <c r="AG105" i="14"/>
  <c r="AG107" i="14"/>
  <c r="AG109" i="14"/>
  <c r="AG111" i="14"/>
  <c r="AG113" i="14"/>
  <c r="AG115" i="14"/>
  <c r="AG117" i="14"/>
  <c r="AG119" i="14"/>
  <c r="AG121" i="14"/>
  <c r="AG123" i="14"/>
  <c r="AG125" i="14"/>
  <c r="AG127" i="14"/>
  <c r="AG129" i="14"/>
  <c r="AG131" i="14"/>
  <c r="AG133" i="14"/>
  <c r="AG135" i="14"/>
  <c r="AG137" i="14"/>
  <c r="AG139" i="14"/>
  <c r="AG141" i="14"/>
  <c r="AG143" i="14"/>
  <c r="AG145" i="14"/>
  <c r="AG147" i="14"/>
  <c r="AG149" i="14"/>
  <c r="AG151" i="14"/>
  <c r="AG153" i="14"/>
  <c r="AG155" i="14"/>
  <c r="AG157" i="14"/>
  <c r="AG159" i="14"/>
  <c r="AG161" i="14"/>
  <c r="AG163" i="14"/>
  <c r="AG165" i="14"/>
  <c r="AG167" i="14"/>
  <c r="AG169" i="14"/>
  <c r="AG171" i="14"/>
  <c r="AG173" i="14"/>
  <c r="AG175" i="14"/>
  <c r="AG177" i="14"/>
  <c r="AG179" i="14"/>
  <c r="AG181" i="14"/>
  <c r="AG183" i="14"/>
  <c r="AG185" i="14"/>
  <c r="AG187" i="14"/>
  <c r="AG189" i="14"/>
  <c r="AG191" i="14"/>
  <c r="AG193" i="14"/>
  <c r="AG195" i="14"/>
  <c r="AG197" i="14"/>
  <c r="AG199" i="14"/>
  <c r="AG201" i="14"/>
  <c r="AG203" i="14"/>
  <c r="AG205" i="14"/>
  <c r="AG207" i="14"/>
  <c r="AG209" i="14"/>
  <c r="AG211" i="14"/>
  <c r="AG213" i="14"/>
  <c r="AG215" i="14"/>
  <c r="AG217" i="14"/>
  <c r="AG219" i="14"/>
  <c r="AG221" i="14"/>
  <c r="AG223" i="14"/>
  <c r="AG225" i="14"/>
  <c r="AG227" i="14"/>
  <c r="AG229" i="14"/>
  <c r="AG231" i="14"/>
  <c r="AG233" i="14"/>
  <c r="AG235" i="14"/>
  <c r="AG237" i="14"/>
  <c r="AG239" i="14"/>
  <c r="AG241" i="14"/>
  <c r="AG243" i="14"/>
  <c r="AG245" i="14"/>
  <c r="AG247" i="14"/>
  <c r="AG249" i="14"/>
  <c r="AG251" i="14"/>
  <c r="AG253" i="14"/>
  <c r="AG255" i="14"/>
  <c r="AG257" i="14"/>
  <c r="AG259" i="14"/>
  <c r="AG261" i="14"/>
  <c r="AG263" i="14"/>
  <c r="AG265" i="14"/>
  <c r="AG267" i="14"/>
  <c r="AG269" i="14"/>
  <c r="AG271" i="14"/>
  <c r="AG273" i="14"/>
  <c r="AG275" i="14"/>
  <c r="AG277" i="14"/>
  <c r="AG279" i="14"/>
  <c r="AG281" i="14"/>
  <c r="AG283" i="14"/>
  <c r="AG285" i="14"/>
  <c r="AG288" i="14"/>
  <c r="AG291" i="14"/>
  <c r="AG289" i="14"/>
  <c r="AG294" i="14"/>
  <c r="AG296" i="14"/>
  <c r="AG298" i="14"/>
  <c r="AG300" i="14"/>
  <c r="AG302" i="14"/>
  <c r="AG304" i="14"/>
  <c r="AG306" i="14"/>
  <c r="AG308" i="14"/>
  <c r="AG310" i="14"/>
  <c r="AG312" i="14"/>
  <c r="AG314" i="14"/>
  <c r="AG316" i="14"/>
  <c r="AG319" i="14"/>
  <c r="AG321" i="14"/>
  <c r="AG323" i="14"/>
  <c r="AG325" i="14"/>
  <c r="AG327" i="14"/>
  <c r="AG329" i="14"/>
  <c r="AG331" i="14"/>
  <c r="AG333" i="14"/>
  <c r="AG335" i="14"/>
  <c r="AG337" i="14"/>
  <c r="AG339" i="14"/>
  <c r="AG341" i="14"/>
  <c r="AG343" i="14"/>
  <c r="AG345" i="14"/>
  <c r="AG348" i="14"/>
  <c r="AG350" i="14"/>
  <c r="AG352" i="14"/>
  <c r="AG354" i="14"/>
  <c r="AG356" i="14"/>
  <c r="AG358" i="14"/>
  <c r="AG360" i="14"/>
  <c r="AG362" i="14"/>
  <c r="AG364" i="14"/>
  <c r="AG366" i="14"/>
  <c r="AG369" i="14"/>
  <c r="AG371" i="14"/>
  <c r="AG373" i="14"/>
  <c r="AG375" i="14"/>
  <c r="AG377" i="14"/>
  <c r="AG379" i="14"/>
  <c r="AG381" i="14"/>
  <c r="AG383" i="14"/>
  <c r="AG385" i="14"/>
  <c r="AG387" i="14"/>
  <c r="AG389" i="14"/>
  <c r="AG391" i="14"/>
  <c r="AG393" i="14"/>
  <c r="AG395" i="14"/>
  <c r="AG397" i="14"/>
  <c r="AG399" i="14"/>
  <c r="AG402" i="14"/>
  <c r="AG404" i="14"/>
  <c r="AG406" i="14"/>
  <c r="AG408" i="14"/>
  <c r="AG411" i="14"/>
  <c r="AG414" i="14"/>
  <c r="AG417" i="14"/>
  <c r="AG419" i="14"/>
  <c r="AG421" i="14"/>
  <c r="AG423" i="14"/>
  <c r="AG425" i="14"/>
  <c r="AG427" i="14"/>
  <c r="AG429" i="14"/>
  <c r="AG431" i="14"/>
  <c r="AG433" i="14"/>
  <c r="AG435" i="14"/>
  <c r="AG437" i="14"/>
  <c r="AG439" i="14"/>
  <c r="AG441" i="14"/>
  <c r="AG443" i="14"/>
  <c r="AG445" i="14"/>
  <c r="AG447" i="14"/>
  <c r="AG448" i="14"/>
  <c r="AG450" i="14"/>
  <c r="AG452" i="14"/>
  <c r="AG454" i="14"/>
  <c r="AG457" i="14"/>
  <c r="AG459" i="14"/>
  <c r="AG461" i="14"/>
  <c r="AG463" i="14"/>
  <c r="AG465" i="14"/>
  <c r="AG467" i="14"/>
  <c r="AG469" i="14"/>
  <c r="AG471" i="14"/>
  <c r="AG473" i="14"/>
  <c r="AG475" i="14"/>
  <c r="AG477" i="14"/>
  <c r="AG479" i="14"/>
  <c r="AG481" i="14"/>
  <c r="AG483" i="14"/>
  <c r="AG485" i="14"/>
  <c r="AG487" i="14"/>
  <c r="AG489" i="14"/>
  <c r="AG491" i="14"/>
  <c r="AG493" i="14"/>
  <c r="AG495" i="14"/>
  <c r="AG497" i="14"/>
  <c r="AG499" i="14"/>
  <c r="AG501" i="14"/>
  <c r="AG503" i="14"/>
  <c r="AG505" i="14"/>
  <c r="AG507" i="14"/>
  <c r="AG509" i="14"/>
  <c r="AG511" i="14"/>
  <c r="AG513" i="14"/>
  <c r="AG515" i="14"/>
  <c r="AG517" i="14"/>
  <c r="AG519" i="14"/>
  <c r="AG521" i="14"/>
  <c r="AG523" i="14"/>
  <c r="AG525" i="14"/>
  <c r="AG527" i="14"/>
  <c r="AG529" i="14"/>
  <c r="AG531" i="14"/>
  <c r="AG533" i="14"/>
  <c r="AG535" i="14"/>
  <c r="AG537" i="14"/>
  <c r="AG539" i="14"/>
  <c r="AG541" i="14"/>
  <c r="AG543" i="14"/>
  <c r="AG545" i="14"/>
  <c r="AG547" i="14"/>
  <c r="AG549" i="14"/>
  <c r="AG551" i="14"/>
  <c r="AG553" i="14"/>
  <c r="AG555" i="14"/>
  <c r="AG557" i="14"/>
  <c r="AG559" i="14"/>
  <c r="AG561" i="14"/>
  <c r="AG563" i="14"/>
  <c r="AG565" i="14"/>
  <c r="AG567" i="14"/>
  <c r="AG569" i="14"/>
  <c r="AG571" i="14"/>
  <c r="AG573" i="14"/>
  <c r="AG575" i="14"/>
  <c r="AG577" i="14"/>
  <c r="AG579" i="14"/>
  <c r="AG581" i="14"/>
  <c r="AG583" i="14"/>
  <c r="AG585" i="14"/>
  <c r="AG587" i="14"/>
  <c r="AG589" i="14"/>
  <c r="AG591" i="14"/>
  <c r="AG593" i="14"/>
  <c r="AG595" i="14"/>
  <c r="AG597" i="14"/>
  <c r="AG599" i="14"/>
  <c r="AG601" i="14"/>
  <c r="AG603" i="14"/>
  <c r="AG605" i="14"/>
  <c r="AG607" i="14"/>
  <c r="AG609" i="14"/>
  <c r="AG611" i="14"/>
  <c r="AG613" i="14"/>
  <c r="AG615" i="14"/>
  <c r="AG617" i="14"/>
  <c r="AM60" i="14"/>
  <c r="AJ347" i="16"/>
  <c r="AJ349" i="16"/>
  <c r="AJ351" i="16"/>
  <c r="AJ353" i="16"/>
  <c r="AJ355" i="16"/>
  <c r="AJ357" i="16"/>
  <c r="AJ359" i="16"/>
  <c r="AJ361" i="16"/>
  <c r="AJ363" i="16"/>
  <c r="AJ365" i="16"/>
  <c r="AJ368" i="16"/>
  <c r="AJ370" i="16"/>
  <c r="AJ372" i="16"/>
  <c r="AJ374" i="16"/>
  <c r="AJ376" i="16"/>
  <c r="AJ378" i="16"/>
  <c r="AJ380" i="16"/>
  <c r="AJ382" i="16"/>
  <c r="AJ384" i="16"/>
  <c r="AJ386" i="16"/>
  <c r="AJ388" i="16"/>
  <c r="AJ390" i="16"/>
  <c r="AJ392" i="16"/>
  <c r="AJ394" i="16"/>
  <c r="AJ396" i="16"/>
  <c r="AJ398" i="16"/>
  <c r="AJ401" i="16"/>
  <c r="AJ403" i="16"/>
  <c r="AJ405" i="16"/>
  <c r="AJ407" i="16"/>
  <c r="AJ410" i="16"/>
  <c r="AJ412" i="16"/>
  <c r="AJ416" i="16"/>
  <c r="AJ418" i="16"/>
  <c r="AJ143" i="16"/>
  <c r="AJ145" i="16"/>
  <c r="AJ147" i="16"/>
  <c r="AJ149" i="16"/>
  <c r="AJ151" i="16"/>
  <c r="AJ153" i="16"/>
  <c r="AJ155" i="16"/>
  <c r="AJ157" i="16"/>
  <c r="AJ159" i="16"/>
  <c r="AJ161" i="16"/>
  <c r="AJ163" i="16"/>
  <c r="AJ165" i="16"/>
  <c r="AJ167" i="16"/>
  <c r="AJ169" i="16"/>
  <c r="AJ171" i="16"/>
  <c r="AJ173" i="16"/>
  <c r="AJ175" i="16"/>
  <c r="AJ177" i="16"/>
  <c r="AJ179" i="16"/>
  <c r="AJ181" i="16"/>
  <c r="AJ183" i="16"/>
  <c r="AJ185" i="16"/>
  <c r="AJ187" i="16"/>
  <c r="AJ189" i="16"/>
  <c r="AJ191" i="16"/>
  <c r="AJ193" i="16"/>
  <c r="AJ195" i="16"/>
  <c r="AJ197" i="16"/>
  <c r="AJ199" i="16"/>
  <c r="AJ201" i="16"/>
  <c r="AJ203" i="16"/>
  <c r="AJ205" i="16"/>
  <c r="AJ207" i="16"/>
  <c r="AJ209" i="16"/>
  <c r="AJ211" i="16"/>
  <c r="AJ213" i="16"/>
  <c r="AJ215" i="16"/>
  <c r="AJ217" i="16"/>
  <c r="AJ219" i="16"/>
  <c r="AJ221" i="16"/>
  <c r="AJ223" i="16"/>
  <c r="AJ225" i="16"/>
  <c r="AJ227" i="16"/>
  <c r="AJ229" i="16"/>
  <c r="AJ231" i="16"/>
  <c r="AJ233" i="16"/>
  <c r="AJ235" i="16"/>
  <c r="AJ237" i="16"/>
  <c r="AJ239" i="16"/>
  <c r="AJ241" i="16"/>
  <c r="AJ243" i="16"/>
  <c r="AJ245" i="16"/>
  <c r="AJ247" i="16"/>
  <c r="AJ249" i="16"/>
  <c r="AJ251" i="16"/>
  <c r="AJ253" i="16"/>
  <c r="AJ255" i="16"/>
  <c r="AJ257" i="16"/>
  <c r="AJ259" i="16"/>
  <c r="AJ261" i="16"/>
  <c r="AJ263" i="16"/>
  <c r="AJ265" i="16"/>
  <c r="AJ267" i="16"/>
  <c r="AJ269" i="16"/>
  <c r="AJ271" i="16"/>
  <c r="AJ273" i="16"/>
  <c r="AJ275" i="16"/>
  <c r="AJ277" i="16"/>
  <c r="AJ279" i="16"/>
  <c r="AJ281" i="16"/>
  <c r="AJ283" i="16"/>
  <c r="AJ285" i="16"/>
  <c r="AJ288" i="16"/>
  <c r="AJ291" i="16"/>
  <c r="AJ289" i="16"/>
  <c r="AJ294" i="16"/>
  <c r="AJ296" i="16"/>
  <c r="AJ298" i="16"/>
  <c r="AJ300" i="16"/>
  <c r="AJ302" i="16"/>
  <c r="AJ304" i="16"/>
  <c r="AJ306" i="16"/>
  <c r="AJ308" i="16"/>
  <c r="AJ310" i="16"/>
  <c r="AJ312" i="16"/>
  <c r="AJ314" i="16"/>
  <c r="AJ316" i="16"/>
  <c r="AJ319" i="16"/>
  <c r="AJ321" i="16"/>
  <c r="AJ323" i="16"/>
  <c r="AJ325" i="16"/>
  <c r="AJ327" i="16"/>
  <c r="AJ329" i="16"/>
  <c r="AJ331" i="16"/>
  <c r="AJ333" i="16"/>
  <c r="AJ335" i="16"/>
  <c r="AJ337" i="16"/>
  <c r="AJ339" i="16"/>
  <c r="AJ341" i="16"/>
  <c r="AJ343" i="16"/>
  <c r="AJ345" i="16"/>
  <c r="AJ348" i="16"/>
  <c r="AJ350" i="16"/>
  <c r="AJ352" i="16"/>
  <c r="AJ354" i="16"/>
  <c r="AJ356" i="16"/>
  <c r="AJ358" i="16"/>
  <c r="AJ360" i="16"/>
  <c r="AJ362" i="16"/>
  <c r="AJ364" i="16"/>
  <c r="AJ366" i="16"/>
  <c r="AJ369" i="16"/>
  <c r="AJ371" i="16"/>
  <c r="AJ373" i="16"/>
  <c r="AJ375" i="16"/>
  <c r="AJ377" i="16"/>
  <c r="AJ379" i="16"/>
  <c r="AJ381" i="16"/>
  <c r="AJ383" i="16"/>
  <c r="AJ385" i="16"/>
  <c r="AJ387" i="16"/>
  <c r="AJ391" i="16"/>
  <c r="AJ393" i="16"/>
  <c r="AJ395" i="16"/>
  <c r="AJ397" i="16"/>
  <c r="AJ402" i="16"/>
  <c r="AJ404" i="16"/>
  <c r="AJ406" i="16"/>
  <c r="AJ408" i="16"/>
  <c r="AJ411" i="16"/>
  <c r="AJ414" i="16"/>
  <c r="AJ417" i="16"/>
  <c r="AJ419" i="16"/>
  <c r="AJ489" i="16"/>
  <c r="AJ420" i="16"/>
  <c r="AJ422" i="16"/>
  <c r="AJ424" i="16"/>
  <c r="AJ426" i="16"/>
  <c r="AJ428" i="16"/>
  <c r="AJ430" i="16"/>
  <c r="AJ432" i="16"/>
  <c r="AJ434" i="16"/>
  <c r="AJ436" i="16"/>
  <c r="AJ438" i="16"/>
  <c r="AJ440" i="16"/>
  <c r="AJ442" i="16"/>
  <c r="AJ444" i="16"/>
  <c r="AJ446" i="16"/>
  <c r="AJ449" i="16"/>
  <c r="AJ451" i="16"/>
  <c r="AJ453" i="16"/>
  <c r="AJ455" i="16"/>
  <c r="AJ458" i="16"/>
  <c r="AJ460" i="16"/>
  <c r="AJ462" i="16"/>
  <c r="AJ464" i="16"/>
  <c r="AJ466" i="16"/>
  <c r="AJ468" i="16"/>
  <c r="AJ470" i="16"/>
  <c r="AJ472" i="16"/>
  <c r="AJ474" i="16"/>
  <c r="AJ476" i="16"/>
  <c r="AJ478" i="16"/>
  <c r="AJ480" i="16"/>
  <c r="AJ482" i="16"/>
  <c r="AJ484" i="16"/>
  <c r="AJ486" i="16"/>
  <c r="AJ488" i="16"/>
  <c r="AJ490" i="16"/>
  <c r="AJ492" i="16"/>
  <c r="AJ494" i="16"/>
  <c r="AJ496" i="16"/>
  <c r="AJ498" i="16"/>
  <c r="AJ500" i="16"/>
  <c r="AJ502" i="16"/>
  <c r="AJ504" i="16"/>
  <c r="AJ506" i="16"/>
  <c r="AJ508" i="16"/>
  <c r="AJ510" i="16"/>
  <c r="AJ512" i="16"/>
  <c r="AJ514" i="16"/>
  <c r="AJ516" i="16"/>
  <c r="AJ518" i="16"/>
  <c r="AJ520" i="16"/>
  <c r="AJ522" i="16"/>
  <c r="AJ524" i="16"/>
  <c r="AJ526" i="16"/>
  <c r="AJ528" i="16"/>
  <c r="AJ530" i="16"/>
  <c r="AJ532" i="16"/>
  <c r="AJ534" i="16"/>
  <c r="AJ536" i="16"/>
  <c r="AJ538" i="16"/>
  <c r="AJ540" i="16"/>
  <c r="AJ542" i="16"/>
  <c r="AJ544" i="16"/>
  <c r="AJ546" i="16"/>
  <c r="AJ548" i="16"/>
  <c r="AJ550" i="16"/>
  <c r="AJ552" i="16"/>
  <c r="AJ554" i="16"/>
  <c r="AJ556" i="16"/>
  <c r="AJ558" i="16"/>
  <c r="AJ560" i="16"/>
  <c r="AJ562" i="16"/>
  <c r="AJ564" i="16"/>
  <c r="AJ566" i="16"/>
  <c r="AJ568" i="16"/>
  <c r="AJ570" i="16"/>
  <c r="AJ572" i="16"/>
  <c r="AJ574" i="16"/>
  <c r="AJ576" i="16"/>
  <c r="AJ578" i="16"/>
  <c r="AJ580" i="16"/>
  <c r="AJ582" i="16"/>
  <c r="AJ584" i="16"/>
  <c r="AJ586" i="16"/>
  <c r="AJ588" i="16"/>
  <c r="AJ590" i="16"/>
  <c r="AJ592" i="16"/>
  <c r="AJ594" i="16"/>
  <c r="AJ596" i="16"/>
  <c r="AJ598" i="16"/>
  <c r="AJ600" i="16"/>
  <c r="AJ602" i="16"/>
  <c r="AJ604" i="16"/>
  <c r="AJ606" i="16"/>
  <c r="AJ608" i="16"/>
  <c r="AJ610" i="16"/>
  <c r="AJ612" i="16"/>
  <c r="AJ614" i="16"/>
  <c r="AJ616" i="16"/>
  <c r="AJ618" i="16"/>
  <c r="CF11" i="2"/>
  <c r="CF13" i="2"/>
  <c r="CF15" i="2"/>
  <c r="CF17" i="2"/>
  <c r="CF19" i="2"/>
  <c r="CF21" i="2"/>
  <c r="CF23" i="2"/>
  <c r="CF25" i="2"/>
  <c r="CF27" i="2"/>
  <c r="CF29" i="2"/>
  <c r="CF31" i="2"/>
  <c r="CF33" i="2"/>
  <c r="CF35" i="2"/>
  <c r="CF37" i="2"/>
  <c r="CF39" i="2"/>
  <c r="CF41" i="2"/>
  <c r="CF44" i="2"/>
  <c r="CF46" i="2"/>
  <c r="CF48" i="2"/>
  <c r="CF50" i="2"/>
  <c r="CF52" i="2"/>
  <c r="CF54" i="2"/>
  <c r="CF56" i="2"/>
  <c r="CF58" i="2"/>
  <c r="CF90" i="2"/>
  <c r="CF92" i="2"/>
  <c r="CF94" i="2"/>
  <c r="CF96" i="2"/>
  <c r="CF98" i="2"/>
  <c r="CF100" i="2"/>
  <c r="CF102" i="2"/>
  <c r="CF104" i="2"/>
  <c r="CF106" i="2"/>
  <c r="CF108" i="2"/>
  <c r="CF110" i="2"/>
  <c r="CF112" i="2"/>
  <c r="CF114" i="2"/>
  <c r="CF116" i="2"/>
  <c r="CF118" i="2"/>
  <c r="CF120" i="2"/>
  <c r="CF122" i="2"/>
  <c r="CF124" i="2"/>
  <c r="CF126" i="2"/>
  <c r="CF128" i="2"/>
  <c r="CF130" i="2"/>
  <c r="CF132" i="2"/>
  <c r="CF134" i="2"/>
  <c r="CF136" i="2"/>
  <c r="CF138" i="2"/>
  <c r="CF140" i="2"/>
  <c r="CF142" i="2"/>
  <c r="CF144" i="2"/>
  <c r="CF146" i="2"/>
  <c r="CF148" i="2"/>
  <c r="CF150" i="2"/>
  <c r="CF152" i="2"/>
  <c r="CF154" i="2"/>
  <c r="CF156" i="2"/>
  <c r="CF158" i="2"/>
  <c r="CF160" i="2"/>
  <c r="CF162" i="2"/>
  <c r="CF164" i="2"/>
  <c r="CF166" i="2"/>
  <c r="CF168" i="2"/>
  <c r="CF170" i="2"/>
  <c r="CF60" i="2"/>
  <c r="AR171" i="1"/>
  <c r="AM59" i="14"/>
  <c r="AJ53" i="16"/>
  <c r="AJ52" i="16"/>
  <c r="AJ54" i="16"/>
  <c r="CE11" i="25"/>
  <c r="AV171" i="22"/>
  <c r="AM171" i="26"/>
  <c r="CE171" i="25"/>
  <c r="CE89" i="25"/>
  <c r="CE12" i="25"/>
  <c r="CE14" i="25"/>
  <c r="CE16" i="25"/>
  <c r="CE18" i="25"/>
  <c r="CE20" i="25"/>
  <c r="CE22" i="25"/>
  <c r="CE24" i="25"/>
  <c r="CE26" i="25"/>
  <c r="CE28" i="25"/>
  <c r="CE30" i="25"/>
  <c r="CE32" i="25"/>
  <c r="CE34" i="25"/>
  <c r="CE36" i="25"/>
  <c r="CE38" i="25"/>
  <c r="CE40" i="25"/>
  <c r="CE42" i="25"/>
  <c r="CE45" i="25"/>
  <c r="CE47" i="25"/>
  <c r="CE49" i="25"/>
  <c r="CE51" i="25"/>
  <c r="CE53" i="25"/>
  <c r="CE55" i="25"/>
  <c r="CE57" i="25"/>
  <c r="CE59" i="25"/>
  <c r="CE63" i="25"/>
  <c r="CE65" i="25"/>
  <c r="CE67" i="25"/>
  <c r="CE69" i="25"/>
  <c r="CE71" i="25"/>
  <c r="CE73" i="25"/>
  <c r="CE75" i="25"/>
  <c r="CE77" i="25"/>
  <c r="CE79" i="25"/>
  <c r="CE81" i="25"/>
  <c r="CE83" i="25"/>
  <c r="CE85" i="25"/>
  <c r="CE87" i="25"/>
  <c r="CE90" i="25"/>
  <c r="CE92" i="25"/>
  <c r="CE94" i="25"/>
  <c r="CE96" i="25"/>
  <c r="CE98" i="25"/>
  <c r="CE13" i="25"/>
  <c r="CE15" i="25"/>
  <c r="CE17" i="25"/>
  <c r="CE19" i="25"/>
  <c r="CE21" i="25"/>
  <c r="CE23" i="25"/>
  <c r="CE25" i="25"/>
  <c r="CE27" i="25"/>
  <c r="CE29" i="25"/>
  <c r="CE31" i="25"/>
  <c r="CE33" i="25"/>
  <c r="CE35" i="25"/>
  <c r="CE37" i="25"/>
  <c r="CE39" i="25"/>
  <c r="CE41" i="25"/>
  <c r="CE44" i="25"/>
  <c r="CE46" i="25"/>
  <c r="CE48" i="25"/>
  <c r="CE50" i="25"/>
  <c r="CE52" i="25"/>
  <c r="CE54" i="25"/>
  <c r="CE56" i="25"/>
  <c r="CE58" i="25"/>
  <c r="CE60" i="25"/>
  <c r="CE62" i="25"/>
  <c r="CE64" i="25"/>
  <c r="CE66" i="25"/>
  <c r="CE68" i="25"/>
  <c r="CE70" i="25"/>
  <c r="CE72" i="25"/>
  <c r="CE74" i="25"/>
  <c r="CE76" i="25"/>
  <c r="CE78" i="25"/>
  <c r="CE80" i="25"/>
  <c r="CE82" i="25"/>
  <c r="CE84" i="25"/>
  <c r="CE86" i="25"/>
  <c r="CE88" i="25"/>
  <c r="CE91" i="25"/>
  <c r="CE93" i="25"/>
  <c r="CE95" i="25"/>
  <c r="CE97" i="25"/>
  <c r="CE99" i="25"/>
  <c r="CE100" i="25"/>
  <c r="CE102" i="25"/>
  <c r="CE104" i="25"/>
  <c r="CE106" i="25"/>
  <c r="CE108" i="25"/>
  <c r="CE110" i="25"/>
  <c r="CE112" i="25"/>
  <c r="CE114" i="25"/>
  <c r="CE116" i="25"/>
  <c r="CE118" i="25"/>
  <c r="CE120" i="25"/>
  <c r="CE122" i="25"/>
  <c r="CE124" i="25"/>
  <c r="CE126" i="25"/>
  <c r="CE128" i="25"/>
  <c r="CE130" i="25"/>
  <c r="CE132" i="25"/>
  <c r="CE134" i="25"/>
  <c r="CE136" i="25"/>
  <c r="CE138" i="25"/>
  <c r="CE140" i="25"/>
  <c r="CE142" i="25"/>
  <c r="CE144" i="25"/>
  <c r="CE146" i="25"/>
  <c r="CE148" i="25"/>
  <c r="CE150" i="25"/>
  <c r="CE152" i="25"/>
  <c r="CE154" i="25"/>
  <c r="CE156" i="25"/>
  <c r="CE158" i="25"/>
  <c r="CE160" i="25"/>
  <c r="CE162" i="25"/>
  <c r="CE164" i="25"/>
  <c r="CE166" i="25"/>
  <c r="CE168" i="25"/>
  <c r="CE170" i="25"/>
  <c r="CE174" i="25"/>
  <c r="CE176" i="25"/>
  <c r="CE178" i="25"/>
  <c r="CE180" i="25"/>
  <c r="CE182" i="25"/>
  <c r="CE184" i="25"/>
  <c r="CE186" i="25"/>
  <c r="CE188" i="25"/>
  <c r="CE190" i="25"/>
  <c r="CE192" i="25"/>
  <c r="CE194" i="25"/>
  <c r="CE196" i="25"/>
  <c r="CE198" i="25"/>
  <c r="CE200" i="25"/>
  <c r="CE202" i="25"/>
  <c r="CE204" i="25"/>
  <c r="CE206" i="25"/>
  <c r="CE208" i="25"/>
  <c r="CE210" i="25"/>
  <c r="CE212" i="25"/>
  <c r="CE214" i="25"/>
  <c r="CE216" i="25"/>
  <c r="CE218" i="25"/>
  <c r="CE220" i="25"/>
  <c r="CE222" i="25"/>
  <c r="CE224" i="25"/>
  <c r="CE226" i="25"/>
  <c r="CE228" i="25"/>
  <c r="CE230" i="25"/>
  <c r="CE232" i="25"/>
  <c r="CE234" i="25"/>
  <c r="CE236" i="25"/>
  <c r="CE238" i="25"/>
  <c r="CE240" i="25"/>
  <c r="CE242" i="25"/>
  <c r="CE244" i="25"/>
  <c r="CE246" i="25"/>
  <c r="CE248" i="25"/>
  <c r="CE250" i="25"/>
  <c r="CE252" i="25"/>
  <c r="CE254" i="25"/>
  <c r="CE256" i="25"/>
  <c r="CE258" i="25"/>
  <c r="CE260" i="25"/>
  <c r="CE262" i="25"/>
  <c r="CE264" i="25"/>
  <c r="CE266" i="25"/>
  <c r="CE268" i="25"/>
  <c r="CE270" i="25"/>
  <c r="CE272" i="25"/>
  <c r="CE274" i="25"/>
  <c r="CE276" i="25"/>
  <c r="CE278" i="25"/>
  <c r="CE280" i="25"/>
  <c r="CE282" i="25"/>
  <c r="CE284" i="25"/>
  <c r="CE287" i="25"/>
  <c r="CE290" i="25"/>
  <c r="CE292" i="25"/>
  <c r="CE293" i="25"/>
  <c r="CE295" i="25"/>
  <c r="CE297" i="25"/>
  <c r="CE299" i="25"/>
  <c r="CE301" i="25"/>
  <c r="CE303" i="25"/>
  <c r="CE305" i="25"/>
  <c r="CE307" i="25"/>
  <c r="CE309" i="25"/>
  <c r="CE311" i="25"/>
  <c r="CE313" i="25"/>
  <c r="CE315" i="25"/>
  <c r="CE317" i="25"/>
  <c r="CE320" i="25"/>
  <c r="CE322" i="25"/>
  <c r="CE324" i="25"/>
  <c r="CE326" i="25"/>
  <c r="CE328" i="25"/>
  <c r="CE330" i="25"/>
  <c r="CE332" i="25"/>
  <c r="CE334" i="25"/>
  <c r="CE336" i="25"/>
  <c r="CE338" i="25"/>
  <c r="CE340" i="25"/>
  <c r="CE342" i="25"/>
  <c r="CE344" i="25"/>
  <c r="CE347" i="25"/>
  <c r="CE349" i="25"/>
  <c r="CE351" i="25"/>
  <c r="CE353" i="25"/>
  <c r="CE355" i="25"/>
  <c r="CE357" i="25"/>
  <c r="CE359" i="25"/>
  <c r="CE361" i="25"/>
  <c r="CE363" i="25"/>
  <c r="CE365" i="25"/>
  <c r="CE368" i="25"/>
  <c r="CE370" i="25"/>
  <c r="CE372" i="25"/>
  <c r="CE374" i="25"/>
  <c r="CE376" i="25"/>
  <c r="CE378" i="25"/>
  <c r="CE380" i="25"/>
  <c r="CE382" i="25"/>
  <c r="CE384" i="25"/>
  <c r="CE386" i="25"/>
  <c r="CE388" i="25"/>
  <c r="CE390" i="25"/>
  <c r="CE392" i="25"/>
  <c r="CE394" i="25"/>
  <c r="CE396" i="25"/>
  <c r="CE398" i="25"/>
  <c r="CE401" i="25"/>
  <c r="CE403" i="25"/>
  <c r="CE405" i="25"/>
  <c r="CE407" i="25"/>
  <c r="CE410" i="25"/>
  <c r="CE412" i="25"/>
  <c r="CE416" i="25"/>
  <c r="CE418" i="25"/>
  <c r="CE420" i="25"/>
  <c r="CE422" i="25"/>
  <c r="CE424" i="25"/>
  <c r="CE426" i="25"/>
  <c r="CE428" i="25"/>
  <c r="CE430" i="25"/>
  <c r="CE432" i="25"/>
  <c r="CE434" i="25"/>
  <c r="CE436" i="25"/>
  <c r="CE438" i="25"/>
  <c r="CE440" i="25"/>
  <c r="CE442" i="25"/>
  <c r="CE444" i="25"/>
  <c r="CE446" i="25"/>
  <c r="CE449" i="25"/>
  <c r="CE451" i="25"/>
  <c r="CE453" i="25"/>
  <c r="CE455" i="25"/>
  <c r="CE458" i="25"/>
  <c r="CE460" i="25"/>
  <c r="CE462" i="25"/>
  <c r="CE464" i="25"/>
  <c r="CE466" i="25"/>
  <c r="CE468" i="25"/>
  <c r="CE470" i="25"/>
  <c r="CE472" i="25"/>
  <c r="CE474" i="25"/>
  <c r="CE476" i="25"/>
  <c r="CE478" i="25"/>
  <c r="CE480" i="25"/>
  <c r="CE482" i="25"/>
  <c r="CE484" i="25"/>
  <c r="CE486" i="25"/>
  <c r="CE488" i="25"/>
  <c r="CE490" i="25"/>
  <c r="CE492" i="25"/>
  <c r="CE494" i="25"/>
  <c r="CE496" i="25"/>
  <c r="CE498" i="25"/>
  <c r="CE500" i="25"/>
  <c r="CE502" i="25"/>
  <c r="CE504" i="25"/>
  <c r="CE506" i="25"/>
  <c r="CE508" i="25"/>
  <c r="CE510" i="25"/>
  <c r="CE512" i="25"/>
  <c r="CE514" i="25"/>
  <c r="CE516" i="25"/>
  <c r="CE518" i="25"/>
  <c r="CE520" i="25"/>
  <c r="CE522" i="25"/>
  <c r="CE524" i="25"/>
  <c r="CE525" i="25"/>
  <c r="CE527" i="25"/>
  <c r="CE529" i="25"/>
  <c r="CE531" i="25"/>
  <c r="CE533" i="25"/>
  <c r="CE535" i="25"/>
  <c r="CE537" i="25"/>
  <c r="CE539" i="25"/>
  <c r="CE541" i="25"/>
  <c r="CE543" i="25"/>
  <c r="CE545" i="25"/>
  <c r="CE547" i="25"/>
  <c r="CE549" i="25"/>
  <c r="CE551" i="25"/>
  <c r="CE553" i="25"/>
  <c r="CE555" i="25"/>
  <c r="CE557" i="25"/>
  <c r="CE559" i="25"/>
  <c r="CE561" i="25"/>
  <c r="CE563" i="25"/>
  <c r="CE565" i="25"/>
  <c r="CE567" i="25"/>
  <c r="CE569" i="25"/>
  <c r="CE571" i="25"/>
  <c r="CE573" i="25"/>
  <c r="CE575" i="25"/>
  <c r="CE577" i="25"/>
  <c r="CE579" i="25"/>
  <c r="CE581" i="25"/>
  <c r="CE583" i="25"/>
  <c r="CE585" i="25"/>
  <c r="CE587" i="25"/>
  <c r="CE589" i="25"/>
  <c r="CE591" i="25"/>
  <c r="CE593" i="25"/>
  <c r="CE595" i="25"/>
  <c r="CE597" i="25"/>
  <c r="CE599" i="25"/>
  <c r="CE601" i="25"/>
  <c r="CE603" i="25"/>
  <c r="CE605" i="25"/>
  <c r="CE607" i="25"/>
  <c r="CE609" i="25"/>
  <c r="CE611" i="25"/>
  <c r="CE613" i="25"/>
  <c r="CE615" i="25"/>
  <c r="CE617" i="25"/>
  <c r="CE101" i="25"/>
  <c r="CE103" i="25"/>
  <c r="CE105" i="25"/>
  <c r="CE107" i="25"/>
  <c r="CE109" i="25"/>
  <c r="CE111" i="25"/>
  <c r="CE113" i="25"/>
  <c r="CE115" i="25"/>
  <c r="CE117" i="25"/>
  <c r="CE119" i="25"/>
  <c r="CE121" i="25"/>
  <c r="CE123" i="25"/>
  <c r="CE125" i="25"/>
  <c r="CE127" i="25"/>
  <c r="CE129" i="25"/>
  <c r="CE131" i="25"/>
  <c r="CE133" i="25"/>
  <c r="CE135" i="25"/>
  <c r="CE137" i="25"/>
  <c r="CE139" i="25"/>
  <c r="CE141" i="25"/>
  <c r="CE143" i="25"/>
  <c r="CE145" i="25"/>
  <c r="CE147" i="25"/>
  <c r="CE149" i="25"/>
  <c r="CE151" i="25"/>
  <c r="CE153" i="25"/>
  <c r="CE155" i="25"/>
  <c r="CE157" i="25"/>
  <c r="CE159" i="25"/>
  <c r="CE161" i="25"/>
  <c r="CE163" i="25"/>
  <c r="CE165" i="25"/>
  <c r="CE167" i="25"/>
  <c r="CE169" i="25"/>
  <c r="CE172" i="25"/>
  <c r="CE173" i="25"/>
  <c r="CE175" i="25"/>
  <c r="CE177" i="25"/>
  <c r="CE179" i="25"/>
  <c r="CE181" i="25"/>
  <c r="CE183" i="25"/>
  <c r="CE185" i="25"/>
  <c r="CE187" i="25"/>
  <c r="CE189" i="25"/>
  <c r="CE191" i="25"/>
  <c r="CE193" i="25"/>
  <c r="CE195" i="25"/>
  <c r="CE197" i="25"/>
  <c r="CE199" i="25"/>
  <c r="CE201" i="25"/>
  <c r="CE203" i="25"/>
  <c r="CE205" i="25"/>
  <c r="CE207" i="25"/>
  <c r="CE209" i="25"/>
  <c r="CE211" i="25"/>
  <c r="CE213" i="25"/>
  <c r="CE215" i="25"/>
  <c r="CE217" i="25"/>
  <c r="CE219" i="25"/>
  <c r="CE221" i="25"/>
  <c r="CE223" i="25"/>
  <c r="CE225" i="25"/>
  <c r="CE227" i="25"/>
  <c r="CE229" i="25"/>
  <c r="CE231" i="25"/>
  <c r="CE233" i="25"/>
  <c r="CE235" i="25"/>
  <c r="CE237" i="25"/>
  <c r="CE239" i="25"/>
  <c r="CE241" i="25"/>
  <c r="CE243" i="25"/>
  <c r="CE245" i="25"/>
  <c r="CE247" i="25"/>
  <c r="CE249" i="25"/>
  <c r="CE251" i="25"/>
  <c r="CE253" i="25"/>
  <c r="CE255" i="25"/>
  <c r="CE257" i="25"/>
  <c r="CE259" i="25"/>
  <c r="CE261" i="25"/>
  <c r="CE263" i="25"/>
  <c r="CE265" i="25"/>
  <c r="CE267" i="25"/>
  <c r="CE269" i="25"/>
  <c r="CE271" i="25"/>
  <c r="CE273" i="25"/>
  <c r="CE275" i="25"/>
  <c r="CE277" i="25"/>
  <c r="CE279" i="25"/>
  <c r="CE281" i="25"/>
  <c r="CE283" i="25"/>
  <c r="CE285" i="25"/>
  <c r="CE288" i="25"/>
  <c r="CE291" i="25"/>
  <c r="CE289" i="25"/>
  <c r="CE294" i="25"/>
  <c r="CE296" i="25"/>
  <c r="CE298" i="25"/>
  <c r="CE300" i="25"/>
  <c r="CE302" i="25"/>
  <c r="CE304" i="25"/>
  <c r="CE306" i="25"/>
  <c r="CE308" i="25"/>
  <c r="CE310" i="25"/>
  <c r="CE312" i="25"/>
  <c r="CE314" i="25"/>
  <c r="CE316" i="25"/>
  <c r="CE319" i="25"/>
  <c r="CE321" i="25"/>
  <c r="CE323" i="25"/>
  <c r="CE325" i="25"/>
  <c r="CE327" i="25"/>
  <c r="CE329" i="25"/>
  <c r="CE331" i="25"/>
  <c r="CE333" i="25"/>
  <c r="CE335" i="25"/>
  <c r="CE337" i="25"/>
  <c r="CE339" i="25"/>
  <c r="CE341" i="25"/>
  <c r="CE343" i="25"/>
  <c r="CE345" i="25"/>
  <c r="CE348" i="25"/>
  <c r="CE350" i="25"/>
  <c r="CE352" i="25"/>
  <c r="CE354" i="25"/>
  <c r="CE356" i="25"/>
  <c r="CE358" i="25"/>
  <c r="CE360" i="25"/>
  <c r="CE362" i="25"/>
  <c r="CE364" i="25"/>
  <c r="CE366" i="25"/>
  <c r="CE369" i="25"/>
  <c r="CE371" i="25"/>
  <c r="CE373" i="25"/>
  <c r="CE375" i="25"/>
  <c r="CE377" i="25"/>
  <c r="CE379" i="25"/>
  <c r="CE381" i="25"/>
  <c r="CE383" i="25"/>
  <c r="CE385" i="25"/>
  <c r="CE387" i="25"/>
  <c r="CE389" i="25"/>
  <c r="CE391" i="25"/>
  <c r="CE393" i="25"/>
  <c r="CE395" i="25"/>
  <c r="CE397" i="25"/>
  <c r="CE399" i="25"/>
  <c r="CE402" i="25"/>
  <c r="CE404" i="25"/>
  <c r="CE406" i="25"/>
  <c r="CE408" i="25"/>
  <c r="CE411" i="25"/>
  <c r="CE414" i="25"/>
  <c r="CE417" i="25"/>
  <c r="CE419" i="25"/>
  <c r="CE421" i="25"/>
  <c r="CE423" i="25"/>
  <c r="CE425" i="25"/>
  <c r="CE427" i="25"/>
  <c r="CE429" i="25"/>
  <c r="CE431" i="25"/>
  <c r="CE433" i="25"/>
  <c r="CE435" i="25"/>
  <c r="CE437" i="25"/>
  <c r="CE439" i="25"/>
  <c r="CE441" i="25"/>
  <c r="CE443" i="25"/>
  <c r="CE445" i="25"/>
  <c r="CE447" i="25"/>
  <c r="CE448" i="25"/>
  <c r="CE450" i="25"/>
  <c r="CE452" i="25"/>
  <c r="CE454" i="25"/>
  <c r="CE457" i="25"/>
  <c r="CE459" i="25"/>
  <c r="CE461" i="25"/>
  <c r="CE463" i="25"/>
  <c r="CE465" i="25"/>
  <c r="CE467" i="25"/>
  <c r="CE469" i="25"/>
  <c r="CE471" i="25"/>
  <c r="CE473" i="25"/>
  <c r="CE475" i="25"/>
  <c r="CE477" i="25"/>
  <c r="CE479" i="25"/>
  <c r="CE481" i="25"/>
  <c r="CE483" i="25"/>
  <c r="CE485" i="25"/>
  <c r="CE487" i="25"/>
  <c r="CE489" i="25"/>
  <c r="CE491" i="25"/>
  <c r="CE493" i="25"/>
  <c r="CE495" i="25"/>
  <c r="CE497" i="25"/>
  <c r="CE499" i="25"/>
  <c r="CE501" i="25"/>
  <c r="CE503" i="25"/>
  <c r="CE505" i="25"/>
  <c r="CE507" i="25"/>
  <c r="CE509" i="25"/>
  <c r="CE511" i="25"/>
  <c r="CE513" i="25"/>
  <c r="CE515" i="25"/>
  <c r="CE517" i="25"/>
  <c r="CE519" i="25"/>
  <c r="CE521" i="25"/>
  <c r="CE523" i="25"/>
  <c r="CE526" i="25"/>
  <c r="CE528" i="25"/>
  <c r="CE530" i="25"/>
  <c r="CE532" i="25"/>
  <c r="CE534" i="25"/>
  <c r="CE536" i="25"/>
  <c r="CE538" i="25"/>
  <c r="CE540" i="25"/>
  <c r="CE542" i="25"/>
  <c r="CE544" i="25"/>
  <c r="CE546" i="25"/>
  <c r="CE548" i="25"/>
  <c r="CE550" i="25"/>
  <c r="CE552" i="25"/>
  <c r="CE554" i="25"/>
  <c r="CE556" i="25"/>
  <c r="CE558" i="25"/>
  <c r="CE560" i="25"/>
  <c r="CE562" i="25"/>
  <c r="CE564" i="25"/>
  <c r="CE566" i="25"/>
  <c r="CE568" i="25"/>
  <c r="CE570" i="25"/>
  <c r="CE572" i="25"/>
  <c r="CE574" i="25"/>
  <c r="CE576" i="25"/>
  <c r="CE578" i="25"/>
  <c r="CE580" i="25"/>
  <c r="CE582" i="25"/>
  <c r="CE584" i="25"/>
  <c r="CE586" i="25"/>
  <c r="CE588" i="25"/>
  <c r="CE590" i="25"/>
  <c r="CE592" i="25"/>
  <c r="CE594" i="25"/>
  <c r="CE596" i="25"/>
  <c r="CE598" i="25"/>
  <c r="CE600" i="25"/>
  <c r="CE602" i="25"/>
  <c r="CE604" i="25"/>
  <c r="CE606" i="25"/>
  <c r="CE608" i="25"/>
  <c r="CE610" i="25"/>
  <c r="CE612" i="25"/>
  <c r="CE614" i="25"/>
  <c r="CE616" i="25"/>
  <c r="CE618" i="25"/>
  <c r="AV11" i="22"/>
  <c r="AV13" i="22"/>
  <c r="AV15" i="22"/>
  <c r="AV17" i="22"/>
  <c r="AV19" i="22"/>
  <c r="AV21" i="22"/>
  <c r="AV23" i="22"/>
  <c r="AV25" i="22"/>
  <c r="AV27" i="22"/>
  <c r="AV29" i="22"/>
  <c r="AV31" i="22"/>
  <c r="AV33" i="22"/>
  <c r="AV35" i="22"/>
  <c r="AV37" i="22"/>
  <c r="AV39" i="22"/>
  <c r="AV41" i="22"/>
  <c r="AV44" i="22"/>
  <c r="AV46" i="22"/>
  <c r="AV48" i="22"/>
  <c r="AV50" i="22"/>
  <c r="AV52" i="22"/>
  <c r="AV54" i="22"/>
  <c r="AV56" i="22"/>
  <c r="AV58" i="22"/>
  <c r="AV60" i="22"/>
  <c r="AV62" i="22"/>
  <c r="AV64" i="22"/>
  <c r="AV66" i="22"/>
  <c r="AV68" i="22"/>
  <c r="AV70" i="22"/>
  <c r="AV72" i="22"/>
  <c r="AV74" i="22"/>
  <c r="AV76" i="22"/>
  <c r="AV78" i="22"/>
  <c r="AV80" i="22"/>
  <c r="AV82" i="22"/>
  <c r="AV84" i="22"/>
  <c r="AV86" i="22"/>
  <c r="AV89" i="22"/>
  <c r="AV90" i="22"/>
  <c r="AV92" i="22"/>
  <c r="AV94" i="22"/>
  <c r="AV96" i="22"/>
  <c r="AV98" i="22"/>
  <c r="AV12" i="22"/>
  <c r="AV14" i="22"/>
  <c r="AV16" i="22"/>
  <c r="AV18" i="22"/>
  <c r="AV20" i="22"/>
  <c r="AV22" i="22"/>
  <c r="AV24" i="22"/>
  <c r="AV26" i="22"/>
  <c r="AV28" i="22"/>
  <c r="AV30" i="22"/>
  <c r="AV32" i="22"/>
  <c r="AV34" i="22"/>
  <c r="AV36" i="22"/>
  <c r="AV38" i="22"/>
  <c r="AV40" i="22"/>
  <c r="AV42" i="22"/>
  <c r="AV45" i="22"/>
  <c r="AV47" i="22"/>
  <c r="AV49" i="22"/>
  <c r="AV51" i="22"/>
  <c r="AV53" i="22"/>
  <c r="AV55" i="22"/>
  <c r="AV57" i="22"/>
  <c r="AV59" i="22"/>
  <c r="AV63" i="22"/>
  <c r="AV65" i="22"/>
  <c r="AV67" i="22"/>
  <c r="AV69" i="22"/>
  <c r="AV71" i="22"/>
  <c r="AV73" i="22"/>
  <c r="AV75" i="22"/>
  <c r="AV77" i="22"/>
  <c r="AV79" i="22"/>
  <c r="AV81" i="22"/>
  <c r="AV83" i="22"/>
  <c r="AV85" i="22"/>
  <c r="AV87" i="22"/>
  <c r="AV88" i="22"/>
  <c r="AV91" i="22"/>
  <c r="AV93" i="22"/>
  <c r="AV95" i="22"/>
  <c r="AV97" i="22"/>
  <c r="AV99" i="22"/>
  <c r="AV100" i="22"/>
  <c r="AV102" i="22"/>
  <c r="AV104" i="22"/>
  <c r="AV106" i="22"/>
  <c r="AV108" i="22"/>
  <c r="AV110" i="22"/>
  <c r="AV112" i="22"/>
  <c r="AV114" i="22"/>
  <c r="AV116" i="22"/>
  <c r="AV118" i="22"/>
  <c r="AV120" i="22"/>
  <c r="AV122" i="22"/>
  <c r="AV124" i="22"/>
  <c r="AV126" i="22"/>
  <c r="AV128" i="22"/>
  <c r="AV130" i="22"/>
  <c r="AV132" i="22"/>
  <c r="AV134" i="22"/>
  <c r="AV136" i="22"/>
  <c r="AV138" i="22"/>
  <c r="AV140" i="22"/>
  <c r="AV142" i="22"/>
  <c r="AV144" i="22"/>
  <c r="AV146" i="22"/>
  <c r="AV148" i="22"/>
  <c r="AV150" i="22"/>
  <c r="AV152" i="22"/>
  <c r="AV154" i="22"/>
  <c r="AV156" i="22"/>
  <c r="AV158" i="22"/>
  <c r="AV160" i="22"/>
  <c r="AV162" i="22"/>
  <c r="AV164" i="22"/>
  <c r="AV166" i="22"/>
  <c r="AV168" i="22"/>
  <c r="AV170" i="22"/>
  <c r="AV173" i="22"/>
  <c r="AV175" i="22"/>
  <c r="AV177" i="22"/>
  <c r="AV179" i="22"/>
  <c r="AV181" i="22"/>
  <c r="AV183" i="22"/>
  <c r="AV185" i="22"/>
  <c r="AV187" i="22"/>
  <c r="AV189" i="22"/>
  <c r="AV191" i="22"/>
  <c r="AV193" i="22"/>
  <c r="AV195" i="22"/>
  <c r="AV197" i="22"/>
  <c r="AV199" i="22"/>
  <c r="AV201" i="22"/>
  <c r="AV203" i="22"/>
  <c r="AV205" i="22"/>
  <c r="AV207" i="22"/>
  <c r="AV209" i="22"/>
  <c r="AV211" i="22"/>
  <c r="AV213" i="22"/>
  <c r="AV215" i="22"/>
  <c r="AV217" i="22"/>
  <c r="AV219" i="22"/>
  <c r="AV221" i="22"/>
  <c r="AV223" i="22"/>
  <c r="AV225" i="22"/>
  <c r="AV227" i="22"/>
  <c r="AV229" i="22"/>
  <c r="AV231" i="22"/>
  <c r="AV233" i="22"/>
  <c r="AV235" i="22"/>
  <c r="AV237" i="22"/>
  <c r="AV239" i="22"/>
  <c r="AV241" i="22"/>
  <c r="AV243" i="22"/>
  <c r="AV245" i="22"/>
  <c r="AV247" i="22"/>
  <c r="AV249" i="22"/>
  <c r="AV251" i="22"/>
  <c r="AV253" i="22"/>
  <c r="AV255" i="22"/>
  <c r="AV257" i="22"/>
  <c r="AV259" i="22"/>
  <c r="AV261" i="22"/>
  <c r="AV263" i="22"/>
  <c r="AV265" i="22"/>
  <c r="AV267" i="22"/>
  <c r="AV269" i="22"/>
  <c r="AV271" i="22"/>
  <c r="AV273" i="22"/>
  <c r="AV275" i="22"/>
  <c r="AV277" i="22"/>
  <c r="AV279" i="22"/>
  <c r="AV281" i="22"/>
  <c r="AV283" i="22"/>
  <c r="AV285" i="22"/>
  <c r="AV288" i="22"/>
  <c r="AV291" i="22"/>
  <c r="AV289" i="22"/>
  <c r="AV294" i="22"/>
  <c r="AV296" i="22"/>
  <c r="AV298" i="22"/>
  <c r="AV300" i="22"/>
  <c r="AV302" i="22"/>
  <c r="AV304" i="22"/>
  <c r="AV306" i="22"/>
  <c r="AV308" i="22"/>
  <c r="AV310" i="22"/>
  <c r="AV312" i="22"/>
  <c r="AV314" i="22"/>
  <c r="AV316" i="22"/>
  <c r="AV319" i="22"/>
  <c r="AV321" i="22"/>
  <c r="AV323" i="22"/>
  <c r="AV325" i="22"/>
  <c r="AV327" i="22"/>
  <c r="AV329" i="22"/>
  <c r="AV331" i="22"/>
  <c r="AV333" i="22"/>
  <c r="AV335" i="22"/>
  <c r="AV337" i="22"/>
  <c r="AV339" i="22"/>
  <c r="AV341" i="22"/>
  <c r="AV343" i="22"/>
  <c r="AV345" i="22"/>
  <c r="AV348" i="22"/>
  <c r="AV350" i="22"/>
  <c r="AV352" i="22"/>
  <c r="AV354" i="22"/>
  <c r="AV356" i="22"/>
  <c r="AV358" i="22"/>
  <c r="AV360" i="22"/>
  <c r="AV362" i="22"/>
  <c r="AV364" i="22"/>
  <c r="AV366" i="22"/>
  <c r="AV369" i="22"/>
  <c r="AV371" i="22"/>
  <c r="AV373" i="22"/>
  <c r="AV375" i="22"/>
  <c r="AV377" i="22"/>
  <c r="AV379" i="22"/>
  <c r="AV381" i="22"/>
  <c r="AV383" i="22"/>
  <c r="AV385" i="22"/>
  <c r="AV387" i="22"/>
  <c r="AV389" i="22"/>
  <c r="AV391" i="22"/>
  <c r="AV393" i="22"/>
  <c r="AV395" i="22"/>
  <c r="AV397" i="22"/>
  <c r="AV399" i="22"/>
  <c r="AV402" i="22"/>
  <c r="AV404" i="22"/>
  <c r="AV406" i="22"/>
  <c r="AV408" i="22"/>
  <c r="AV411" i="22"/>
  <c r="AV414" i="22"/>
  <c r="AV417" i="22"/>
  <c r="AV419" i="22"/>
  <c r="AV421" i="22"/>
  <c r="AV423" i="22"/>
  <c r="AV425" i="22"/>
  <c r="AV427" i="22"/>
  <c r="AV429" i="22"/>
  <c r="AV431" i="22"/>
  <c r="AV433" i="22"/>
  <c r="AV435" i="22"/>
  <c r="AV437" i="22"/>
  <c r="AV439" i="22"/>
  <c r="AV441" i="22"/>
  <c r="AV443" i="22"/>
  <c r="AV445" i="22"/>
  <c r="AV447" i="22"/>
  <c r="AV448" i="22"/>
  <c r="AV450" i="22"/>
  <c r="AV452" i="22"/>
  <c r="AV454" i="22"/>
  <c r="AV457" i="22"/>
  <c r="AV459" i="22"/>
  <c r="AV461" i="22"/>
  <c r="AV463" i="22"/>
  <c r="AV465" i="22"/>
  <c r="AV467" i="22"/>
  <c r="AV469" i="22"/>
  <c r="AV471" i="22"/>
  <c r="AV473" i="22"/>
  <c r="AV475" i="22"/>
  <c r="AV477" i="22"/>
  <c r="AV479" i="22"/>
  <c r="AV481" i="22"/>
  <c r="AV483" i="22"/>
  <c r="AV485" i="22"/>
  <c r="AV487" i="22"/>
  <c r="AV489" i="22"/>
  <c r="AV491" i="22"/>
  <c r="AV493" i="22"/>
  <c r="AV495" i="22"/>
  <c r="AV497" i="22"/>
  <c r="AV499" i="22"/>
  <c r="AV501" i="22"/>
  <c r="AV503" i="22"/>
  <c r="AV505" i="22"/>
  <c r="AV507" i="22"/>
  <c r="AV509" i="22"/>
  <c r="AV511" i="22"/>
  <c r="AV513" i="22"/>
  <c r="AV515" i="22"/>
  <c r="AV517" i="22"/>
  <c r="AV519" i="22"/>
  <c r="AV521" i="22"/>
  <c r="AV523" i="22"/>
  <c r="AV526" i="22"/>
  <c r="AV528" i="22"/>
  <c r="AV530" i="22"/>
  <c r="AV532" i="22"/>
  <c r="AV534" i="22"/>
  <c r="AV536" i="22"/>
  <c r="AV538" i="22"/>
  <c r="AV540" i="22"/>
  <c r="AV542" i="22"/>
  <c r="AV544" i="22"/>
  <c r="AV546" i="22"/>
  <c r="AV548" i="22"/>
  <c r="AV550" i="22"/>
  <c r="AV552" i="22"/>
  <c r="AV554" i="22"/>
  <c r="AV556" i="22"/>
  <c r="AV558" i="22"/>
  <c r="AV560" i="22"/>
  <c r="AV562" i="22"/>
  <c r="AV564" i="22"/>
  <c r="AV566" i="22"/>
  <c r="AV568" i="22"/>
  <c r="AV570" i="22"/>
  <c r="AV572" i="22"/>
  <c r="AV574" i="22"/>
  <c r="AV576" i="22"/>
  <c r="AV578" i="22"/>
  <c r="AV580" i="22"/>
  <c r="AV582" i="22"/>
  <c r="AV584" i="22"/>
  <c r="AV586" i="22"/>
  <c r="AV588" i="22"/>
  <c r="AV590" i="22"/>
  <c r="AV592" i="22"/>
  <c r="AV594" i="22"/>
  <c r="AV596" i="22"/>
  <c r="AV598" i="22"/>
  <c r="AV600" i="22"/>
  <c r="AV602" i="22"/>
  <c r="AV604" i="22"/>
  <c r="AV606" i="22"/>
  <c r="AV608" i="22"/>
  <c r="AV610" i="22"/>
  <c r="AV612" i="22"/>
  <c r="AV614" i="22"/>
  <c r="AV616" i="22"/>
  <c r="AV618" i="22"/>
  <c r="AV101" i="22"/>
  <c r="AV103" i="22"/>
  <c r="AV105" i="22"/>
  <c r="AV107" i="22"/>
  <c r="AV109" i="22"/>
  <c r="AV111" i="22"/>
  <c r="AV113" i="22"/>
  <c r="AV115" i="22"/>
  <c r="AV117" i="22"/>
  <c r="AV119" i="22"/>
  <c r="AV121" i="22"/>
  <c r="AV123" i="22"/>
  <c r="AV125" i="22"/>
  <c r="AV127" i="22"/>
  <c r="AV129" i="22"/>
  <c r="AV131" i="22"/>
  <c r="AV133" i="22"/>
  <c r="AV135" i="22"/>
  <c r="AV137" i="22"/>
  <c r="AV139" i="22"/>
  <c r="AV141" i="22"/>
  <c r="AV143" i="22"/>
  <c r="AV145" i="22"/>
  <c r="AV147" i="22"/>
  <c r="AV149" i="22"/>
  <c r="AV151" i="22"/>
  <c r="AV153" i="22"/>
  <c r="AV155" i="22"/>
  <c r="AV157" i="22"/>
  <c r="AV159" i="22"/>
  <c r="AV161" i="22"/>
  <c r="AV163" i="22"/>
  <c r="AV165" i="22"/>
  <c r="AV167" i="22"/>
  <c r="AV169" i="22"/>
  <c r="AV172" i="22"/>
  <c r="AV174" i="22"/>
  <c r="AV176" i="22"/>
  <c r="AV178" i="22"/>
  <c r="AV180" i="22"/>
  <c r="AV182" i="22"/>
  <c r="AV184" i="22"/>
  <c r="AV186" i="22"/>
  <c r="AV188" i="22"/>
  <c r="AV190" i="22"/>
  <c r="AV192" i="22"/>
  <c r="AV194" i="22"/>
  <c r="AV196" i="22"/>
  <c r="AV198" i="22"/>
  <c r="AV200" i="22"/>
  <c r="AV202" i="22"/>
  <c r="AV204" i="22"/>
  <c r="AV206" i="22"/>
  <c r="AV208" i="22"/>
  <c r="AV210" i="22"/>
  <c r="AV212" i="22"/>
  <c r="AV214" i="22"/>
  <c r="AV216" i="22"/>
  <c r="AV218" i="22"/>
  <c r="AV220" i="22"/>
  <c r="AV222" i="22"/>
  <c r="AV224" i="22"/>
  <c r="AV226" i="22"/>
  <c r="AV228" i="22"/>
  <c r="AV230" i="22"/>
  <c r="AV232" i="22"/>
  <c r="AV234" i="22"/>
  <c r="AV236" i="22"/>
  <c r="AV238" i="22"/>
  <c r="AV240" i="22"/>
  <c r="AV242" i="22"/>
  <c r="AV244" i="22"/>
  <c r="AV246" i="22"/>
  <c r="AV248" i="22"/>
  <c r="AV250" i="22"/>
  <c r="AV252" i="22"/>
  <c r="AV254" i="22"/>
  <c r="AV256" i="22"/>
  <c r="AV258" i="22"/>
  <c r="AV260" i="22"/>
  <c r="AV262" i="22"/>
  <c r="AV264" i="22"/>
  <c r="AV266" i="22"/>
  <c r="AV268" i="22"/>
  <c r="AV270" i="22"/>
  <c r="AV272" i="22"/>
  <c r="AV274" i="22"/>
  <c r="AV276" i="22"/>
  <c r="AV278" i="22"/>
  <c r="AV280" i="22"/>
  <c r="AV282" i="22"/>
  <c r="AV284" i="22"/>
  <c r="AV287" i="22"/>
  <c r="AV290" i="22"/>
  <c r="AV292" i="22"/>
  <c r="AV293" i="22"/>
  <c r="AV295" i="22"/>
  <c r="AV297" i="22"/>
  <c r="AV299" i="22"/>
  <c r="AV301" i="22"/>
  <c r="AV303" i="22"/>
  <c r="AV305" i="22"/>
  <c r="AV307" i="22"/>
  <c r="AV309" i="22"/>
  <c r="AV311" i="22"/>
  <c r="AV313" i="22"/>
  <c r="AV315" i="22"/>
  <c r="AV317" i="22"/>
  <c r="AV320" i="22"/>
  <c r="AV322" i="22"/>
  <c r="AV324" i="22"/>
  <c r="AV326" i="22"/>
  <c r="AV328" i="22"/>
  <c r="AV330" i="22"/>
  <c r="AV332" i="22"/>
  <c r="AV334" i="22"/>
  <c r="AV336" i="22"/>
  <c r="AV338" i="22"/>
  <c r="AV340" i="22"/>
  <c r="AV342" i="22"/>
  <c r="AV344" i="22"/>
  <c r="AV347" i="22"/>
  <c r="AV349" i="22"/>
  <c r="AV351" i="22"/>
  <c r="AV353" i="22"/>
  <c r="AV355" i="22"/>
  <c r="AV357" i="22"/>
  <c r="AV359" i="22"/>
  <c r="AV361" i="22"/>
  <c r="AV363" i="22"/>
  <c r="AV365" i="22"/>
  <c r="AV368" i="22"/>
  <c r="AV370" i="22"/>
  <c r="AV372" i="22"/>
  <c r="AV374" i="22"/>
  <c r="AV376" i="22"/>
  <c r="AV378" i="22"/>
  <c r="AV380" i="22"/>
  <c r="AV382" i="22"/>
  <c r="AV384" i="22"/>
  <c r="AV386" i="22"/>
  <c r="AV388" i="22"/>
  <c r="AV390" i="22"/>
  <c r="AV392" i="22"/>
  <c r="AV394" i="22"/>
  <c r="AV396" i="22"/>
  <c r="AV398" i="22"/>
  <c r="AV401" i="22"/>
  <c r="AV403" i="22"/>
  <c r="AV405" i="22"/>
  <c r="AV407" i="22"/>
  <c r="AV410" i="22"/>
  <c r="AV412" i="22"/>
  <c r="AV416" i="22"/>
  <c r="AV418" i="22"/>
  <c r="AV420" i="22"/>
  <c r="AV422" i="22"/>
  <c r="AV424" i="22"/>
  <c r="AV426" i="22"/>
  <c r="AV428" i="22"/>
  <c r="AV430" i="22"/>
  <c r="AV432" i="22"/>
  <c r="AV434" i="22"/>
  <c r="AV436" i="22"/>
  <c r="AV438" i="22"/>
  <c r="AV440" i="22"/>
  <c r="AV442" i="22"/>
  <c r="AV444" i="22"/>
  <c r="AV446" i="22"/>
  <c r="AV449" i="22"/>
  <c r="AV451" i="22"/>
  <c r="AV453" i="22"/>
  <c r="AV455" i="22"/>
  <c r="AV458" i="22"/>
  <c r="AV460" i="22"/>
  <c r="AV462" i="22"/>
  <c r="AV464" i="22"/>
  <c r="AV466" i="22"/>
  <c r="AV468" i="22"/>
  <c r="AV470" i="22"/>
  <c r="AV472" i="22"/>
  <c r="AV474" i="22"/>
  <c r="AV476" i="22"/>
  <c r="AV478" i="22"/>
  <c r="AV480" i="22"/>
  <c r="AV482" i="22"/>
  <c r="AV484" i="22"/>
  <c r="AV486" i="22"/>
  <c r="AV488" i="22"/>
  <c r="AV490" i="22"/>
  <c r="AV492" i="22"/>
  <c r="AV494" i="22"/>
  <c r="AV496" i="22"/>
  <c r="AV498" i="22"/>
  <c r="AV500" i="22"/>
  <c r="AV502" i="22"/>
  <c r="AV504" i="22"/>
  <c r="AV506" i="22"/>
  <c r="AV508" i="22"/>
  <c r="AV510" i="22"/>
  <c r="AV512" i="22"/>
  <c r="AV514" i="22"/>
  <c r="AV516" i="22"/>
  <c r="AV518" i="22"/>
  <c r="AV520" i="22"/>
  <c r="AV522" i="22"/>
  <c r="AV524" i="22"/>
  <c r="AV525" i="22"/>
  <c r="AV527" i="22"/>
  <c r="AV529" i="22"/>
  <c r="AV531" i="22"/>
  <c r="AV533" i="22"/>
  <c r="AV535" i="22"/>
  <c r="AV537" i="22"/>
  <c r="AV539" i="22"/>
  <c r="AV541" i="22"/>
  <c r="AV543" i="22"/>
  <c r="AV545" i="22"/>
  <c r="AV547" i="22"/>
  <c r="AV549" i="22"/>
  <c r="AV551" i="22"/>
  <c r="AV553" i="22"/>
  <c r="AV555" i="22"/>
  <c r="AV557" i="22"/>
  <c r="AV559" i="22"/>
  <c r="AV561" i="22"/>
  <c r="AV563" i="22"/>
  <c r="AV565" i="22"/>
  <c r="AV567" i="22"/>
  <c r="AV569" i="22"/>
  <c r="AV571" i="22"/>
  <c r="AV573" i="22"/>
  <c r="AV575" i="22"/>
  <c r="AV577" i="22"/>
  <c r="AV579" i="22"/>
  <c r="AV581" i="22"/>
  <c r="AV583" i="22"/>
  <c r="AV585" i="22"/>
  <c r="AV587" i="22"/>
  <c r="AV589" i="22"/>
  <c r="AV591" i="22"/>
  <c r="AV593" i="22"/>
  <c r="AV595" i="22"/>
  <c r="AV597" i="22"/>
  <c r="AV599" i="22"/>
  <c r="AV601" i="22"/>
  <c r="AV603" i="22"/>
  <c r="AV605" i="22"/>
  <c r="AV607" i="22"/>
  <c r="AV609" i="22"/>
  <c r="AV611" i="22"/>
  <c r="AV613" i="22"/>
  <c r="AV615" i="22"/>
  <c r="AV617" i="22"/>
  <c r="AM12" i="26"/>
  <c r="AM14" i="26"/>
  <c r="AM16" i="26"/>
  <c r="AM18" i="26"/>
  <c r="AM20" i="26"/>
  <c r="AM22" i="26"/>
  <c r="AM24" i="26"/>
  <c r="AM26" i="26"/>
  <c r="AM28" i="26"/>
  <c r="AM30" i="26"/>
  <c r="AM32" i="26"/>
  <c r="AM34" i="26"/>
  <c r="AM36" i="26"/>
  <c r="AM38" i="26"/>
  <c r="AM40" i="26"/>
  <c r="AM42" i="26"/>
  <c r="AM45" i="26"/>
  <c r="AM47" i="26"/>
  <c r="AM49" i="26"/>
  <c r="AM51" i="26"/>
  <c r="AM53" i="26"/>
  <c r="AM55" i="26"/>
  <c r="AM57" i="26"/>
  <c r="AM59" i="26"/>
  <c r="AM63" i="26"/>
  <c r="AM65" i="26"/>
  <c r="AM67" i="26"/>
  <c r="AM69" i="26"/>
  <c r="AM71" i="26"/>
  <c r="AM73" i="26"/>
  <c r="AM75" i="26"/>
  <c r="AM77" i="26"/>
  <c r="AM79" i="26"/>
  <c r="AM81" i="26"/>
  <c r="AM83" i="26"/>
  <c r="AM85" i="26"/>
  <c r="AM87" i="26"/>
  <c r="AM88" i="26"/>
  <c r="AM91" i="26"/>
  <c r="AM93" i="26"/>
  <c r="AM95" i="26"/>
  <c r="AM97" i="26"/>
  <c r="AM99" i="26"/>
  <c r="AM11" i="26"/>
  <c r="AM13" i="26"/>
  <c r="AM15" i="26"/>
  <c r="AM17" i="26"/>
  <c r="AM19" i="26"/>
  <c r="AM21" i="26"/>
  <c r="AM23" i="26"/>
  <c r="AM25" i="26"/>
  <c r="AM27" i="26"/>
  <c r="AM29" i="26"/>
  <c r="AM31" i="26"/>
  <c r="AM33" i="26"/>
  <c r="AM35" i="26"/>
  <c r="AM37" i="26"/>
  <c r="AM39" i="26"/>
  <c r="AM41" i="26"/>
  <c r="AM46" i="26"/>
  <c r="AM48" i="26"/>
  <c r="AM50" i="26"/>
  <c r="AM52" i="26"/>
  <c r="AM54" i="26"/>
  <c r="AM56" i="26"/>
  <c r="AM58" i="26"/>
  <c r="AM60" i="26"/>
  <c r="AM62" i="26"/>
  <c r="AM64" i="26"/>
  <c r="AM66" i="26"/>
  <c r="AM68" i="26"/>
  <c r="AM70" i="26"/>
  <c r="AM72" i="26"/>
  <c r="AM74" i="26"/>
  <c r="AM76" i="26"/>
  <c r="AM78" i="26"/>
  <c r="AM80" i="26"/>
  <c r="AM82" i="26"/>
  <c r="AM84" i="26"/>
  <c r="AM86" i="26"/>
  <c r="AM89" i="26"/>
  <c r="AM90" i="26"/>
  <c r="AM92" i="26"/>
  <c r="AM94" i="26"/>
  <c r="AM96" i="26"/>
  <c r="AM98" i="26"/>
  <c r="AM101" i="26"/>
  <c r="AM103" i="26"/>
  <c r="AM105" i="26"/>
  <c r="AM107" i="26"/>
  <c r="AM109" i="26"/>
  <c r="AM111" i="26"/>
  <c r="AM113" i="26"/>
  <c r="AM115" i="26"/>
  <c r="AM117" i="26"/>
  <c r="AM119" i="26"/>
  <c r="AM121" i="26"/>
  <c r="AM123" i="26"/>
  <c r="AM125" i="26"/>
  <c r="AM127" i="26"/>
  <c r="AM129" i="26"/>
  <c r="AM131" i="26"/>
  <c r="AM133" i="26"/>
  <c r="AM135" i="26"/>
  <c r="AM137" i="26"/>
  <c r="AM139" i="26"/>
  <c r="AM141" i="26"/>
  <c r="AM143" i="26"/>
  <c r="AM145" i="26"/>
  <c r="AM147" i="26"/>
  <c r="AM149" i="26"/>
  <c r="AM151" i="26"/>
  <c r="AM153" i="26"/>
  <c r="AM155" i="26"/>
  <c r="AM157" i="26"/>
  <c r="AM159" i="26"/>
  <c r="AM161" i="26"/>
  <c r="AM163" i="26"/>
  <c r="AM165" i="26"/>
  <c r="AM167" i="26"/>
  <c r="AM169" i="26"/>
  <c r="AM172" i="26"/>
  <c r="AM174" i="26"/>
  <c r="AM176" i="26"/>
  <c r="AM178" i="26"/>
  <c r="AM180" i="26"/>
  <c r="AM182" i="26"/>
  <c r="AM184" i="26"/>
  <c r="AM186" i="26"/>
  <c r="AM188" i="26"/>
  <c r="AM190" i="26"/>
  <c r="AM192" i="26"/>
  <c r="AM194" i="26"/>
  <c r="AM196" i="26"/>
  <c r="AM198" i="26"/>
  <c r="AM200" i="26"/>
  <c r="AM202" i="26"/>
  <c r="AM204" i="26"/>
  <c r="AM206" i="26"/>
  <c r="AM208" i="26"/>
  <c r="AM210" i="26"/>
  <c r="AM212" i="26"/>
  <c r="AM214" i="26"/>
  <c r="AM216" i="26"/>
  <c r="AM218" i="26"/>
  <c r="AM220" i="26"/>
  <c r="AM222" i="26"/>
  <c r="AM224" i="26"/>
  <c r="AM226" i="26"/>
  <c r="AM228" i="26"/>
  <c r="AM230" i="26"/>
  <c r="AM232" i="26"/>
  <c r="AM234" i="26"/>
  <c r="AM236" i="26"/>
  <c r="AM238" i="26"/>
  <c r="AM240" i="26"/>
  <c r="AM242" i="26"/>
  <c r="AM244" i="26"/>
  <c r="AM246" i="26"/>
  <c r="AM248" i="26"/>
  <c r="AM250" i="26"/>
  <c r="AM252" i="26"/>
  <c r="AM254" i="26"/>
  <c r="AM256" i="26"/>
  <c r="AM258" i="26"/>
  <c r="AM260" i="26"/>
  <c r="AM262" i="26"/>
  <c r="AM264" i="26"/>
  <c r="AM266" i="26"/>
  <c r="AM268" i="26"/>
  <c r="AM270" i="26"/>
  <c r="AM272" i="26"/>
  <c r="AM274" i="26"/>
  <c r="AM276" i="26"/>
  <c r="AM278" i="26"/>
  <c r="AM280" i="26"/>
  <c r="AM282" i="26"/>
  <c r="AM284" i="26"/>
  <c r="AM287" i="26"/>
  <c r="AM290" i="26"/>
  <c r="AM292" i="26"/>
  <c r="AM293" i="26"/>
  <c r="AM295" i="26"/>
  <c r="AM297" i="26"/>
  <c r="AM299" i="26"/>
  <c r="AM301" i="26"/>
  <c r="AM303" i="26"/>
  <c r="AM305" i="26"/>
  <c r="AM307" i="26"/>
  <c r="AM309" i="26"/>
  <c r="AM311" i="26"/>
  <c r="AM313" i="26"/>
  <c r="AM315" i="26"/>
  <c r="AM317" i="26"/>
  <c r="AM320" i="26"/>
  <c r="AM322" i="26"/>
  <c r="AM324" i="26"/>
  <c r="AM326" i="26"/>
  <c r="AM328" i="26"/>
  <c r="AM330" i="26"/>
  <c r="AM332" i="26"/>
  <c r="AM334" i="26"/>
  <c r="AM336" i="26"/>
  <c r="AM338" i="26"/>
  <c r="AM340" i="26"/>
  <c r="AM342" i="26"/>
  <c r="AM344" i="26"/>
  <c r="AM347" i="26"/>
  <c r="AM349" i="26"/>
  <c r="AM351" i="26"/>
  <c r="AM353" i="26"/>
  <c r="AM355" i="26"/>
  <c r="AM357" i="26"/>
  <c r="AM359" i="26"/>
  <c r="AM361" i="26"/>
  <c r="AM363" i="26"/>
  <c r="AM365" i="26"/>
  <c r="AM368" i="26"/>
  <c r="AM370" i="26"/>
  <c r="AM372" i="26"/>
  <c r="AM374" i="26"/>
  <c r="AM376" i="26"/>
  <c r="AM378" i="26"/>
  <c r="AM380" i="26"/>
  <c r="AM382" i="26"/>
  <c r="AM384" i="26"/>
  <c r="AM386" i="26"/>
  <c r="AM388" i="26"/>
  <c r="AM390" i="26"/>
  <c r="AM392" i="26"/>
  <c r="AM394" i="26"/>
  <c r="AM396" i="26"/>
  <c r="AM398" i="26"/>
  <c r="AM401" i="26"/>
  <c r="AM403" i="26"/>
  <c r="AM405" i="26"/>
  <c r="AM407" i="26"/>
  <c r="AM410" i="26"/>
  <c r="AM412" i="26"/>
  <c r="AM416" i="26"/>
  <c r="AM418" i="26"/>
  <c r="AM420" i="26"/>
  <c r="AM422" i="26"/>
  <c r="AM424" i="26"/>
  <c r="AM426" i="26"/>
  <c r="AM428" i="26"/>
  <c r="AM430" i="26"/>
  <c r="AM432" i="26"/>
  <c r="AM434" i="26"/>
  <c r="AM436" i="26"/>
  <c r="AM438" i="26"/>
  <c r="AM440" i="26"/>
  <c r="AM442" i="26"/>
  <c r="AM444" i="26"/>
  <c r="AM446" i="26"/>
  <c r="AM449" i="26"/>
  <c r="AM451" i="26"/>
  <c r="AM453" i="26"/>
  <c r="AM455" i="26"/>
  <c r="AM458" i="26"/>
  <c r="AM460" i="26"/>
  <c r="AM462" i="26"/>
  <c r="AM464" i="26"/>
  <c r="AM466" i="26"/>
  <c r="AM468" i="26"/>
  <c r="AM470" i="26"/>
  <c r="AM472" i="26"/>
  <c r="AM474" i="26"/>
  <c r="AM476" i="26"/>
  <c r="AM478" i="26"/>
  <c r="AM480" i="26"/>
  <c r="AM482" i="26"/>
  <c r="AM484" i="26"/>
  <c r="AM486" i="26"/>
  <c r="AM488" i="26"/>
  <c r="AM490" i="26"/>
  <c r="AM492" i="26"/>
  <c r="AM494" i="26"/>
  <c r="AM496" i="26"/>
  <c r="AM498" i="26"/>
  <c r="AM500" i="26"/>
  <c r="AM502" i="26"/>
  <c r="AM504" i="26"/>
  <c r="AM506" i="26"/>
  <c r="AM508" i="26"/>
  <c r="AM510" i="26"/>
  <c r="AM512" i="26"/>
  <c r="AM514" i="26"/>
  <c r="AM516" i="26"/>
  <c r="AM518" i="26"/>
  <c r="AM520" i="26"/>
  <c r="AM522" i="26"/>
  <c r="AM524" i="26"/>
  <c r="AM525" i="26"/>
  <c r="AM527" i="26"/>
  <c r="AM529" i="26"/>
  <c r="AM531" i="26"/>
  <c r="AM533" i="26"/>
  <c r="AM535" i="26"/>
  <c r="AM537" i="26"/>
  <c r="AM539" i="26"/>
  <c r="AM541" i="26"/>
  <c r="AM543" i="26"/>
  <c r="AM545" i="26"/>
  <c r="AM547" i="26"/>
  <c r="AM549" i="26"/>
  <c r="AM551" i="26"/>
  <c r="AM553" i="26"/>
  <c r="AM555" i="26"/>
  <c r="AM557" i="26"/>
  <c r="AM559" i="26"/>
  <c r="AM561" i="26"/>
  <c r="AM563" i="26"/>
  <c r="AM565" i="26"/>
  <c r="AM567" i="26"/>
  <c r="AM569" i="26"/>
  <c r="AM571" i="26"/>
  <c r="AM573" i="26"/>
  <c r="AM575" i="26"/>
  <c r="AM577" i="26"/>
  <c r="AM579" i="26"/>
  <c r="AM581" i="26"/>
  <c r="AM583" i="26"/>
  <c r="AM585" i="26"/>
  <c r="AM587" i="26"/>
  <c r="AM589" i="26"/>
  <c r="AM591" i="26"/>
  <c r="AM593" i="26"/>
  <c r="AM595" i="26"/>
  <c r="AM597" i="26"/>
  <c r="AM599" i="26"/>
  <c r="AM601" i="26"/>
  <c r="AM603" i="26"/>
  <c r="AM605" i="26"/>
  <c r="AM607" i="26"/>
  <c r="AM609" i="26"/>
  <c r="AM611" i="26"/>
  <c r="AM613" i="26"/>
  <c r="AM615" i="26"/>
  <c r="AM617" i="26"/>
  <c r="AM100" i="26"/>
  <c r="AM102" i="26"/>
  <c r="AM104" i="26"/>
  <c r="AM106" i="26"/>
  <c r="AM108" i="26"/>
  <c r="AM110" i="26"/>
  <c r="AM112" i="26"/>
  <c r="AM114" i="26"/>
  <c r="AM116" i="26"/>
  <c r="AM118" i="26"/>
  <c r="AM120" i="26"/>
  <c r="AM122" i="26"/>
  <c r="AM124" i="26"/>
  <c r="AM126" i="26"/>
  <c r="AM128" i="26"/>
  <c r="AM130" i="26"/>
  <c r="AM132" i="26"/>
  <c r="AM134" i="26"/>
  <c r="AM136" i="26"/>
  <c r="AM138" i="26"/>
  <c r="AM140" i="26"/>
  <c r="AM142" i="26"/>
  <c r="AM144" i="26"/>
  <c r="AM146" i="26"/>
  <c r="AM148" i="26"/>
  <c r="AM150" i="26"/>
  <c r="AM152" i="26"/>
  <c r="AM154" i="26"/>
  <c r="AM156" i="26"/>
  <c r="AM158" i="26"/>
  <c r="AM160" i="26"/>
  <c r="AM162" i="26"/>
  <c r="AM164" i="26"/>
  <c r="AM166" i="26"/>
  <c r="AM168" i="26"/>
  <c r="AM170" i="26"/>
  <c r="AM173" i="26"/>
  <c r="AM175" i="26"/>
  <c r="AM177" i="26"/>
  <c r="AM179" i="26"/>
  <c r="AM181" i="26"/>
  <c r="AM183" i="26"/>
  <c r="AM185" i="26"/>
  <c r="AM187" i="26"/>
  <c r="AM189" i="26"/>
  <c r="AM191" i="26"/>
  <c r="AM193" i="26"/>
  <c r="AM195" i="26"/>
  <c r="AM197" i="26"/>
  <c r="AM199" i="26"/>
  <c r="AM201" i="26"/>
  <c r="AM203" i="26"/>
  <c r="AM205" i="26"/>
  <c r="AM207" i="26"/>
  <c r="AM209" i="26"/>
  <c r="AM211" i="26"/>
  <c r="AM213" i="26"/>
  <c r="AM215" i="26"/>
  <c r="AM217" i="26"/>
  <c r="AM219" i="26"/>
  <c r="AM221" i="26"/>
  <c r="AM223" i="26"/>
  <c r="AM225" i="26"/>
  <c r="AM227" i="26"/>
  <c r="AM229" i="26"/>
  <c r="AM231" i="26"/>
  <c r="AM233" i="26"/>
  <c r="AM235" i="26"/>
  <c r="AM237" i="26"/>
  <c r="AM239" i="26"/>
  <c r="AM241" i="26"/>
  <c r="AM243" i="26"/>
  <c r="AM245" i="26"/>
  <c r="AM247" i="26"/>
  <c r="AM249" i="26"/>
  <c r="AM251" i="26"/>
  <c r="AM253" i="26"/>
  <c r="AM255" i="26"/>
  <c r="AM257" i="26"/>
  <c r="AM259" i="26"/>
  <c r="AM261" i="26"/>
  <c r="AM263" i="26"/>
  <c r="AM265" i="26"/>
  <c r="AM267" i="26"/>
  <c r="AM269" i="26"/>
  <c r="AM271" i="26"/>
  <c r="AM273" i="26"/>
  <c r="AM275" i="26"/>
  <c r="AM277" i="26"/>
  <c r="AM279" i="26"/>
  <c r="AM281" i="26"/>
  <c r="AM283" i="26"/>
  <c r="AM285" i="26"/>
  <c r="AM288" i="26"/>
  <c r="AM291" i="26"/>
  <c r="AM289" i="26"/>
  <c r="AM294" i="26"/>
  <c r="AM296" i="26"/>
  <c r="AM298" i="26"/>
  <c r="AM300" i="26"/>
  <c r="AM302" i="26"/>
  <c r="AM304" i="26"/>
  <c r="AM306" i="26"/>
  <c r="AM308" i="26"/>
  <c r="AM310" i="26"/>
  <c r="AM312" i="26"/>
  <c r="AM314" i="26"/>
  <c r="AM316" i="26"/>
  <c r="AM319" i="26"/>
  <c r="AM321" i="26"/>
  <c r="AM323" i="26"/>
  <c r="AM325" i="26"/>
  <c r="AM327" i="26"/>
  <c r="AM329" i="26"/>
  <c r="AM331" i="26"/>
  <c r="AM333" i="26"/>
  <c r="AM335" i="26"/>
  <c r="AM337" i="26"/>
  <c r="AM339" i="26"/>
  <c r="AM341" i="26"/>
  <c r="AM343" i="26"/>
  <c r="AM345" i="26"/>
  <c r="AM348" i="26"/>
  <c r="AM350" i="26"/>
  <c r="AM352" i="26"/>
  <c r="AM354" i="26"/>
  <c r="AM356" i="26"/>
  <c r="AM358" i="26"/>
  <c r="AM360" i="26"/>
  <c r="AM362" i="26"/>
  <c r="AM364" i="26"/>
  <c r="AM366" i="26"/>
  <c r="AM369" i="26"/>
  <c r="AM371" i="26"/>
  <c r="AM373" i="26"/>
  <c r="AM375" i="26"/>
  <c r="AM377" i="26"/>
  <c r="AM379" i="26"/>
  <c r="AM381" i="26"/>
  <c r="AM383" i="26"/>
  <c r="AM385" i="26"/>
  <c r="AM387" i="26"/>
  <c r="AM389" i="26"/>
  <c r="AM391" i="26"/>
  <c r="AM393" i="26"/>
  <c r="AM395" i="26"/>
  <c r="AM397" i="26"/>
  <c r="AM399" i="26"/>
  <c r="AM402" i="26"/>
  <c r="AM404" i="26"/>
  <c r="AM406" i="26"/>
  <c r="AM408" i="26"/>
  <c r="AM411" i="26"/>
  <c r="AM414" i="26"/>
  <c r="AM417" i="26"/>
  <c r="AM419" i="26"/>
  <c r="AM421" i="26"/>
  <c r="AM423" i="26"/>
  <c r="AM425" i="26"/>
  <c r="AM427" i="26"/>
  <c r="AM429" i="26"/>
  <c r="AM431" i="26"/>
  <c r="AM433" i="26"/>
  <c r="AM435" i="26"/>
  <c r="AM437" i="26"/>
  <c r="AM439" i="26"/>
  <c r="AM441" i="26"/>
  <c r="AM443" i="26"/>
  <c r="AM445" i="26"/>
  <c r="AM447" i="26"/>
  <c r="AM448" i="26"/>
  <c r="AM450" i="26"/>
  <c r="AM452" i="26"/>
  <c r="AM454" i="26"/>
  <c r="AM457" i="26"/>
  <c r="AM459" i="26"/>
  <c r="AM461" i="26"/>
  <c r="AM463" i="26"/>
  <c r="AM465" i="26"/>
  <c r="AM467" i="26"/>
  <c r="AM469" i="26"/>
  <c r="AM471" i="26"/>
  <c r="AM473" i="26"/>
  <c r="AM475" i="26"/>
  <c r="AM477" i="26"/>
  <c r="AM479" i="26"/>
  <c r="AM481" i="26"/>
  <c r="AM483" i="26"/>
  <c r="AM485" i="26"/>
  <c r="AM487" i="26"/>
  <c r="AM489" i="26"/>
  <c r="AM491" i="26"/>
  <c r="AM493" i="26"/>
  <c r="AM495" i="26"/>
  <c r="AM497" i="26"/>
  <c r="AM499" i="26"/>
  <c r="AM501" i="26"/>
  <c r="AM503" i="26"/>
  <c r="AM505" i="26"/>
  <c r="AM507" i="26"/>
  <c r="AM509" i="26"/>
  <c r="AM511" i="26"/>
  <c r="AM513" i="26"/>
  <c r="AM515" i="26"/>
  <c r="AM517" i="26"/>
  <c r="AM519" i="26"/>
  <c r="AM521" i="26"/>
  <c r="AM523" i="26"/>
  <c r="AM526" i="26"/>
  <c r="AM528" i="26"/>
  <c r="AM530" i="26"/>
  <c r="AM532" i="26"/>
  <c r="AM534" i="26"/>
  <c r="AM536" i="26"/>
  <c r="AM538" i="26"/>
  <c r="AM540" i="26"/>
  <c r="AM542" i="26"/>
  <c r="AM544" i="26"/>
  <c r="AM546" i="26"/>
  <c r="AM548" i="26"/>
  <c r="AM550" i="26"/>
  <c r="AM552" i="26"/>
  <c r="AM554" i="26"/>
  <c r="AM556" i="26"/>
  <c r="AM558" i="26"/>
  <c r="AM560" i="26"/>
  <c r="AM562" i="26"/>
  <c r="AM564" i="26"/>
  <c r="AM566" i="26"/>
  <c r="AM568" i="26"/>
  <c r="AM570" i="26"/>
  <c r="AM572" i="26"/>
  <c r="AM574" i="26"/>
  <c r="AM576" i="26"/>
  <c r="AM578" i="26"/>
  <c r="AM580" i="26"/>
  <c r="AM582" i="26"/>
  <c r="AM584" i="26"/>
  <c r="AM586" i="26"/>
  <c r="AM588" i="26"/>
  <c r="AM590" i="26"/>
  <c r="AM592" i="26"/>
  <c r="AM594" i="26"/>
  <c r="AM596" i="26"/>
  <c r="AM598" i="26"/>
  <c r="AM600" i="26"/>
  <c r="AM602" i="26"/>
  <c r="AM604" i="26"/>
  <c r="AM606" i="26"/>
  <c r="AM608" i="26"/>
  <c r="AM610" i="26"/>
  <c r="AM612" i="26"/>
  <c r="AM614" i="26"/>
  <c r="AM616" i="26"/>
  <c r="AM618" i="26"/>
  <c r="CF171" i="2"/>
  <c r="CF89" i="2"/>
  <c r="AM171" i="1"/>
  <c r="BN171" i="2" s="1"/>
  <c r="AR60" i="1"/>
  <c r="AR11" i="1"/>
  <c r="AR13" i="1"/>
  <c r="AR15" i="1"/>
  <c r="AR17" i="1"/>
  <c r="AR19" i="1"/>
  <c r="AR21" i="1"/>
  <c r="AR23" i="1"/>
  <c r="AR25" i="1"/>
  <c r="AR27" i="1"/>
  <c r="AR29" i="1"/>
  <c r="AR31" i="1"/>
  <c r="AR33" i="1"/>
  <c r="AR35" i="1"/>
  <c r="AR37" i="1"/>
  <c r="AR39" i="1"/>
  <c r="AR41" i="1"/>
  <c r="AR44" i="1"/>
  <c r="AR46" i="1"/>
  <c r="AR48" i="1"/>
  <c r="AR50" i="1"/>
  <c r="AR52" i="1"/>
  <c r="AR54" i="1"/>
  <c r="AR56" i="1"/>
  <c r="AR58" i="1"/>
  <c r="AR61" i="1"/>
  <c r="AR63" i="1"/>
  <c r="AR65" i="1"/>
  <c r="AR67" i="1"/>
  <c r="AR69" i="1"/>
  <c r="AR71" i="1"/>
  <c r="AR73" i="1"/>
  <c r="AR75" i="1"/>
  <c r="AR77" i="1"/>
  <c r="AR79" i="1"/>
  <c r="AR81" i="1"/>
  <c r="AR83" i="1"/>
  <c r="AR85" i="1"/>
  <c r="AR87" i="1"/>
  <c r="AR88" i="1"/>
  <c r="AR91" i="1"/>
  <c r="AR93" i="1"/>
  <c r="AR95" i="1"/>
  <c r="AR97" i="1"/>
  <c r="AR99" i="1"/>
  <c r="AR12" i="1"/>
  <c r="AR14" i="1"/>
  <c r="AR16" i="1"/>
  <c r="AR18" i="1"/>
  <c r="AR20" i="1"/>
  <c r="AR22" i="1"/>
  <c r="AR24" i="1"/>
  <c r="AR26" i="1"/>
  <c r="AR28" i="1"/>
  <c r="AR30" i="1"/>
  <c r="AR32" i="1"/>
  <c r="AR34" i="1"/>
  <c r="AR36" i="1"/>
  <c r="AR38" i="1"/>
  <c r="AR40" i="1"/>
  <c r="AR42" i="1"/>
  <c r="AR45" i="1"/>
  <c r="AR47" i="1"/>
  <c r="AR49" i="1"/>
  <c r="AR51" i="1"/>
  <c r="AR53" i="1"/>
  <c r="AR55" i="1"/>
  <c r="AR57" i="1"/>
  <c r="AR62" i="1"/>
  <c r="AR64" i="1"/>
  <c r="AR66" i="1"/>
  <c r="AR68" i="1"/>
  <c r="AR70" i="1"/>
  <c r="AR72" i="1"/>
  <c r="AR74" i="1"/>
  <c r="AR76" i="1"/>
  <c r="AR78" i="1"/>
  <c r="AR80" i="1"/>
  <c r="AR82" i="1"/>
  <c r="AR84" i="1"/>
  <c r="AR86" i="1"/>
  <c r="AR89" i="1"/>
  <c r="AR90" i="1"/>
  <c r="AR92" i="1"/>
  <c r="AR94" i="1"/>
  <c r="AR96" i="1"/>
  <c r="AR98" i="1"/>
  <c r="AR100" i="1"/>
  <c r="AR102" i="1"/>
  <c r="AR104" i="1"/>
  <c r="AR106" i="1"/>
  <c r="AR108" i="1"/>
  <c r="AR110" i="1"/>
  <c r="AR112" i="1"/>
  <c r="AR114" i="1"/>
  <c r="AR116" i="1"/>
  <c r="AR118" i="1"/>
  <c r="AR120" i="1"/>
  <c r="AR122" i="1"/>
  <c r="AR101" i="1"/>
  <c r="AR103" i="1"/>
  <c r="AR105" i="1"/>
  <c r="AR107" i="1"/>
  <c r="AR109" i="1"/>
  <c r="AR111" i="1"/>
  <c r="AR113" i="1"/>
  <c r="AR115" i="1"/>
  <c r="AR117" i="1"/>
  <c r="AR119" i="1"/>
  <c r="AR121" i="1"/>
  <c r="AR123" i="1"/>
  <c r="AR125" i="1"/>
  <c r="AR127" i="1"/>
  <c r="AR129" i="1"/>
  <c r="AR131" i="1"/>
  <c r="AR133" i="1"/>
  <c r="AR135" i="1"/>
  <c r="AR137" i="1"/>
  <c r="AR139" i="1"/>
  <c r="AR141" i="1"/>
  <c r="AR143" i="1"/>
  <c r="AR145" i="1"/>
  <c r="AR147" i="1"/>
  <c r="AR149" i="1"/>
  <c r="AR151" i="1"/>
  <c r="AR153" i="1"/>
  <c r="AR155" i="1"/>
  <c r="AR157" i="1"/>
  <c r="AR159" i="1"/>
  <c r="AR161" i="1"/>
  <c r="AR163" i="1"/>
  <c r="AR165" i="1"/>
  <c r="AR169" i="1"/>
  <c r="AR172" i="1"/>
  <c r="AR173" i="1"/>
  <c r="AR175" i="1"/>
  <c r="AR177" i="1"/>
  <c r="AR179" i="1"/>
  <c r="AR181" i="1"/>
  <c r="AR183" i="1"/>
  <c r="AR185" i="1"/>
  <c r="AR187" i="1"/>
  <c r="AR189" i="1"/>
  <c r="AR191" i="1"/>
  <c r="AR193" i="1"/>
  <c r="AR195" i="1"/>
  <c r="AR197" i="1"/>
  <c r="AR199" i="1"/>
  <c r="AR201" i="1"/>
  <c r="AR203" i="1"/>
  <c r="AR205" i="1"/>
  <c r="AR207" i="1"/>
  <c r="AR209" i="1"/>
  <c r="AR211" i="1"/>
  <c r="AR213" i="1"/>
  <c r="AR215" i="1"/>
  <c r="AR217" i="1"/>
  <c r="AR219" i="1"/>
  <c r="AR221" i="1"/>
  <c r="AR223" i="1"/>
  <c r="AR225" i="1"/>
  <c r="AR227" i="1"/>
  <c r="AR229" i="1"/>
  <c r="AR231" i="1"/>
  <c r="AR233" i="1"/>
  <c r="AR235" i="1"/>
  <c r="AR237" i="1"/>
  <c r="AR239" i="1"/>
  <c r="AR241" i="1"/>
  <c r="AR243" i="1"/>
  <c r="AR245" i="1"/>
  <c r="AR247" i="1"/>
  <c r="AR249" i="1"/>
  <c r="AR251" i="1"/>
  <c r="AR253" i="1"/>
  <c r="AR255" i="1"/>
  <c r="AR257" i="1"/>
  <c r="AR259" i="1"/>
  <c r="AR261" i="1"/>
  <c r="AR263" i="1"/>
  <c r="AR265" i="1"/>
  <c r="AR267" i="1"/>
  <c r="AR269" i="1"/>
  <c r="AR271" i="1"/>
  <c r="AR273" i="1"/>
  <c r="AR275" i="1"/>
  <c r="AR277" i="1"/>
  <c r="AR279" i="1"/>
  <c r="AR281" i="1"/>
  <c r="AR283" i="1"/>
  <c r="AR285" i="1"/>
  <c r="AR288" i="1"/>
  <c r="AR291" i="1"/>
  <c r="AR289" i="1"/>
  <c r="AR294" i="1"/>
  <c r="AR296" i="1"/>
  <c r="AR298" i="1"/>
  <c r="AR300" i="1"/>
  <c r="AR302" i="1"/>
  <c r="AR304" i="1"/>
  <c r="AR306" i="1"/>
  <c r="AR308" i="1"/>
  <c r="AR310" i="1"/>
  <c r="AR312" i="1"/>
  <c r="AR314" i="1"/>
  <c r="AR316" i="1"/>
  <c r="AR319" i="1"/>
  <c r="AR321" i="1"/>
  <c r="AR323" i="1"/>
  <c r="AR325" i="1"/>
  <c r="AR327" i="1"/>
  <c r="AR329" i="1"/>
  <c r="AR331" i="1"/>
  <c r="AR333" i="1"/>
  <c r="AR335" i="1"/>
  <c r="AR337" i="1"/>
  <c r="AR339" i="1"/>
  <c r="AR341" i="1"/>
  <c r="AR343" i="1"/>
  <c r="AR345" i="1"/>
  <c r="AR348" i="1"/>
  <c r="AR350" i="1"/>
  <c r="AR352" i="1"/>
  <c r="AR354" i="1"/>
  <c r="AR356" i="1"/>
  <c r="AR358" i="1"/>
  <c r="AR360" i="1"/>
  <c r="AR362" i="1"/>
  <c r="AR364" i="1"/>
  <c r="AR366" i="1"/>
  <c r="AR369" i="1"/>
  <c r="AR371" i="1"/>
  <c r="AR373" i="1"/>
  <c r="AR375" i="1"/>
  <c r="AR377" i="1"/>
  <c r="AR379" i="1"/>
  <c r="AR381" i="1"/>
  <c r="AR383" i="1"/>
  <c r="AR385" i="1"/>
  <c r="AR387" i="1"/>
  <c r="AR389" i="1"/>
  <c r="AR391" i="1"/>
  <c r="AR393" i="1"/>
  <c r="AR395" i="1"/>
  <c r="AR397" i="1"/>
  <c r="AR399" i="1"/>
  <c r="AR402" i="1"/>
  <c r="AR404" i="1"/>
  <c r="AR406" i="1"/>
  <c r="AR408" i="1"/>
  <c r="AR411" i="1"/>
  <c r="AR414" i="1"/>
  <c r="AR417" i="1"/>
  <c r="AR419" i="1"/>
  <c r="AR421" i="1"/>
  <c r="AR423" i="1"/>
  <c r="AR425" i="1"/>
  <c r="AR427" i="1"/>
  <c r="AR429" i="1"/>
  <c r="AR431" i="1"/>
  <c r="AR433" i="1"/>
  <c r="AR435" i="1"/>
  <c r="AR437" i="1"/>
  <c r="AR439" i="1"/>
  <c r="AR441" i="1"/>
  <c r="AR443" i="1"/>
  <c r="AR445" i="1"/>
  <c r="AR447" i="1"/>
  <c r="AR448" i="1"/>
  <c r="AR450" i="1"/>
  <c r="AR452" i="1"/>
  <c r="AR454" i="1"/>
  <c r="AR457" i="1"/>
  <c r="AR459" i="1"/>
  <c r="AR461" i="1"/>
  <c r="AR463" i="1"/>
  <c r="AR465" i="1"/>
  <c r="AR467" i="1"/>
  <c r="AR469" i="1"/>
  <c r="AR471" i="1"/>
  <c r="AR473" i="1"/>
  <c r="AR475" i="1"/>
  <c r="AR477" i="1"/>
  <c r="AR479" i="1"/>
  <c r="AR481" i="1"/>
  <c r="AR483" i="1"/>
  <c r="AR485" i="1"/>
  <c r="AR487" i="1"/>
  <c r="AR489" i="1"/>
  <c r="AR491" i="1"/>
  <c r="AR493" i="1"/>
  <c r="AR495" i="1"/>
  <c r="AR497" i="1"/>
  <c r="AR499" i="1"/>
  <c r="AR501" i="1"/>
  <c r="AR503" i="1"/>
  <c r="AR505" i="1"/>
  <c r="AR507" i="1"/>
  <c r="AR509" i="1"/>
  <c r="AR511" i="1"/>
  <c r="AR513" i="1"/>
  <c r="AR515" i="1"/>
  <c r="AR517" i="1"/>
  <c r="AR519" i="1"/>
  <c r="AR521" i="1"/>
  <c r="AR523" i="1"/>
  <c r="AR526" i="1"/>
  <c r="AR528" i="1"/>
  <c r="AR530" i="1"/>
  <c r="AR532" i="1"/>
  <c r="AR534" i="1"/>
  <c r="AR536" i="1"/>
  <c r="AR538" i="1"/>
  <c r="AR540" i="1"/>
  <c r="AR542" i="1"/>
  <c r="AR544" i="1"/>
  <c r="AR546" i="1"/>
  <c r="AR548" i="1"/>
  <c r="AR550" i="1"/>
  <c r="AR552" i="1"/>
  <c r="AR554" i="1"/>
  <c r="AR556" i="1"/>
  <c r="AR558" i="1"/>
  <c r="AR560" i="1"/>
  <c r="AR562" i="1"/>
  <c r="AR564" i="1"/>
  <c r="AR566" i="1"/>
  <c r="AR568" i="1"/>
  <c r="AR570" i="1"/>
  <c r="AR572" i="1"/>
  <c r="AR574" i="1"/>
  <c r="AR576" i="1"/>
  <c r="AR578" i="1"/>
  <c r="AR580" i="1"/>
  <c r="AR582" i="1"/>
  <c r="AR584" i="1"/>
  <c r="AR586" i="1"/>
  <c r="AR588" i="1"/>
  <c r="AR590" i="1"/>
  <c r="AR592" i="1"/>
  <c r="AR594" i="1"/>
  <c r="AR596" i="1"/>
  <c r="AR598" i="1"/>
  <c r="AR600" i="1"/>
  <c r="AR602" i="1"/>
  <c r="AR604" i="1"/>
  <c r="AR606" i="1"/>
  <c r="AR608" i="1"/>
  <c r="AR610" i="1"/>
  <c r="AR612" i="1"/>
  <c r="AR614" i="1"/>
  <c r="AR616" i="1"/>
  <c r="AR618" i="1"/>
  <c r="AR124" i="1"/>
  <c r="AR126" i="1"/>
  <c r="AR128" i="1"/>
  <c r="AR130" i="1"/>
  <c r="AR132" i="1"/>
  <c r="AR134" i="1"/>
  <c r="AR136" i="1"/>
  <c r="AR138" i="1"/>
  <c r="AR140" i="1"/>
  <c r="AR142" i="1"/>
  <c r="AR144" i="1"/>
  <c r="AR146" i="1"/>
  <c r="AR148" i="1"/>
  <c r="AR150" i="1"/>
  <c r="AR152" i="1"/>
  <c r="AR154" i="1"/>
  <c r="AR156" i="1"/>
  <c r="AR158" i="1"/>
  <c r="AR160" i="1"/>
  <c r="AR162" i="1"/>
  <c r="AR164" i="1"/>
  <c r="AR166" i="1"/>
  <c r="AR168" i="1"/>
  <c r="AR174" i="1"/>
  <c r="AR176" i="1"/>
  <c r="AR178" i="1"/>
  <c r="AR180" i="1"/>
  <c r="AR182" i="1"/>
  <c r="AR184" i="1"/>
  <c r="AR186" i="1"/>
  <c r="AR188" i="1"/>
  <c r="AR190" i="1"/>
  <c r="AR192" i="1"/>
  <c r="AR194" i="1"/>
  <c r="AR196" i="1"/>
  <c r="AR198" i="1"/>
  <c r="AR200" i="1"/>
  <c r="AR202" i="1"/>
  <c r="AR204" i="1"/>
  <c r="AR206" i="1"/>
  <c r="AR208" i="1"/>
  <c r="AR210" i="1"/>
  <c r="AR212" i="1"/>
  <c r="AR214" i="1"/>
  <c r="AR216" i="1"/>
  <c r="AR218" i="1"/>
  <c r="AR220" i="1"/>
  <c r="AR222" i="1"/>
  <c r="AR224" i="1"/>
  <c r="AR226" i="1"/>
  <c r="AR228" i="1"/>
  <c r="AR230" i="1"/>
  <c r="AR232" i="1"/>
  <c r="AR234" i="1"/>
  <c r="AR236" i="1"/>
  <c r="AR238" i="1"/>
  <c r="AR240" i="1"/>
  <c r="AR242" i="1"/>
  <c r="AR244" i="1"/>
  <c r="AR246" i="1"/>
  <c r="AR248" i="1"/>
  <c r="AR250" i="1"/>
  <c r="AR252" i="1"/>
  <c r="AR254" i="1"/>
  <c r="AR256" i="1"/>
  <c r="AR258" i="1"/>
  <c r="AR260" i="1"/>
  <c r="AR262" i="1"/>
  <c r="AR264" i="1"/>
  <c r="AR266" i="1"/>
  <c r="AR268" i="1"/>
  <c r="AR270" i="1"/>
  <c r="AR272" i="1"/>
  <c r="AR274" i="1"/>
  <c r="AR276" i="1"/>
  <c r="AR278" i="1"/>
  <c r="AR280" i="1"/>
  <c r="AR282" i="1"/>
  <c r="AR284" i="1"/>
  <c r="AR287" i="1"/>
  <c r="AR290" i="1"/>
  <c r="AR292" i="1"/>
  <c r="AR293" i="1"/>
  <c r="AR295" i="1"/>
  <c r="AR297" i="1"/>
  <c r="AR299" i="1"/>
  <c r="AR301" i="1"/>
  <c r="AR303" i="1"/>
  <c r="AR305" i="1"/>
  <c r="AR307" i="1"/>
  <c r="AR309" i="1"/>
  <c r="AR311" i="1"/>
  <c r="AR313" i="1"/>
  <c r="AR315" i="1"/>
  <c r="AR317" i="1"/>
  <c r="AR320" i="1"/>
  <c r="AR322" i="1"/>
  <c r="AR324" i="1"/>
  <c r="AR326" i="1"/>
  <c r="AR328" i="1"/>
  <c r="AR330" i="1"/>
  <c r="AR332" i="1"/>
  <c r="AR334" i="1"/>
  <c r="AR336" i="1"/>
  <c r="AR338" i="1"/>
  <c r="AR340" i="1"/>
  <c r="AR342" i="1"/>
  <c r="AR344" i="1"/>
  <c r="AR347" i="1"/>
  <c r="AR349" i="1"/>
  <c r="AR351" i="1"/>
  <c r="AR353" i="1"/>
  <c r="AR355" i="1"/>
  <c r="AR357" i="1"/>
  <c r="AR359" i="1"/>
  <c r="AR361" i="1"/>
  <c r="AR363" i="1"/>
  <c r="AR365" i="1"/>
  <c r="AR368" i="1"/>
  <c r="AR370" i="1"/>
  <c r="AR372" i="1"/>
  <c r="AR374" i="1"/>
  <c r="AR376" i="1"/>
  <c r="AR378" i="1"/>
  <c r="AR380" i="1"/>
  <c r="AR382" i="1"/>
  <c r="AR384" i="1"/>
  <c r="AR386" i="1"/>
  <c r="AR388" i="1"/>
  <c r="AR390" i="1"/>
  <c r="AR392" i="1"/>
  <c r="AR394" i="1"/>
  <c r="AR396" i="1"/>
  <c r="AR398" i="1"/>
  <c r="AR401" i="1"/>
  <c r="AR403" i="1"/>
  <c r="AR405" i="1"/>
  <c r="AR407" i="1"/>
  <c r="AR410" i="1"/>
  <c r="AR412" i="1"/>
  <c r="AR416" i="1"/>
  <c r="AR418" i="1"/>
  <c r="AR420" i="1"/>
  <c r="AR422" i="1"/>
  <c r="AR424" i="1"/>
  <c r="AR426" i="1"/>
  <c r="AR428" i="1"/>
  <c r="AR430" i="1"/>
  <c r="AR432" i="1"/>
  <c r="AR434" i="1"/>
  <c r="AR436" i="1"/>
  <c r="AR438" i="1"/>
  <c r="AR440" i="1"/>
  <c r="AR442" i="1"/>
  <c r="AR444" i="1"/>
  <c r="AR446" i="1"/>
  <c r="AR449" i="1"/>
  <c r="AR451" i="1"/>
  <c r="AR453" i="1"/>
  <c r="AR455" i="1"/>
  <c r="AR458" i="1"/>
  <c r="AR460" i="1"/>
  <c r="AR462" i="1"/>
  <c r="AR464" i="1"/>
  <c r="AR466" i="1"/>
  <c r="AR468" i="1"/>
  <c r="AR470" i="1"/>
  <c r="AR472" i="1"/>
  <c r="AR474" i="1"/>
  <c r="AR476" i="1"/>
  <c r="AR478" i="1"/>
  <c r="AR480" i="1"/>
  <c r="AR482" i="1"/>
  <c r="AR484" i="1"/>
  <c r="AR486" i="1"/>
  <c r="AR488" i="1"/>
  <c r="AR490" i="1"/>
  <c r="AR492" i="1"/>
  <c r="AR494" i="1"/>
  <c r="AR496" i="1"/>
  <c r="AR498" i="1"/>
  <c r="AR500" i="1"/>
  <c r="AR502" i="1"/>
  <c r="AR504" i="1"/>
  <c r="AR506" i="1"/>
  <c r="AR508" i="1"/>
  <c r="AR510" i="1"/>
  <c r="AR512" i="1"/>
  <c r="AR514" i="1"/>
  <c r="AR516" i="1"/>
  <c r="AR518" i="1"/>
  <c r="AR520" i="1"/>
  <c r="AR522" i="1"/>
  <c r="AR524" i="1"/>
  <c r="AR525" i="1"/>
  <c r="AR527" i="1"/>
  <c r="AR529" i="1"/>
  <c r="AR531" i="1"/>
  <c r="AR533" i="1"/>
  <c r="AR535" i="1"/>
  <c r="AR537" i="1"/>
  <c r="AR539" i="1"/>
  <c r="AR541" i="1"/>
  <c r="AR543" i="1"/>
  <c r="AR545" i="1"/>
  <c r="AR547" i="1"/>
  <c r="AR549" i="1"/>
  <c r="AR551" i="1"/>
  <c r="AR553" i="1"/>
  <c r="AR555" i="1"/>
  <c r="AR557" i="1"/>
  <c r="AR559" i="1"/>
  <c r="AR561" i="1"/>
  <c r="AR563" i="1"/>
  <c r="AR565" i="1"/>
  <c r="AR567" i="1"/>
  <c r="AR569" i="1"/>
  <c r="AR571" i="1"/>
  <c r="AR573" i="1"/>
  <c r="AR575" i="1"/>
  <c r="AR577" i="1"/>
  <c r="AR579" i="1"/>
  <c r="AR581" i="1"/>
  <c r="AR583" i="1"/>
  <c r="AR585" i="1"/>
  <c r="AR587" i="1"/>
  <c r="AR589" i="1"/>
  <c r="AR591" i="1"/>
  <c r="AR593" i="1"/>
  <c r="AR595" i="1"/>
  <c r="AR597" i="1"/>
  <c r="AR599" i="1"/>
  <c r="AR601" i="1"/>
  <c r="AR603" i="1"/>
  <c r="AR605" i="1"/>
  <c r="AR607" i="1"/>
  <c r="AR609" i="1"/>
  <c r="AR611" i="1"/>
  <c r="AR613" i="1"/>
  <c r="AR615" i="1"/>
  <c r="AR617" i="1"/>
  <c r="AM12" i="14"/>
  <c r="AM14" i="14"/>
  <c r="AM16" i="14"/>
  <c r="AM18" i="14"/>
  <c r="AM20" i="14"/>
  <c r="AM22" i="14"/>
  <c r="AM24" i="14"/>
  <c r="AM26" i="14"/>
  <c r="AM28" i="14"/>
  <c r="AM30" i="14"/>
  <c r="AM32" i="14"/>
  <c r="AM34" i="14"/>
  <c r="AM36" i="14"/>
  <c r="AM38" i="14"/>
  <c r="AM40" i="14"/>
  <c r="AM42" i="14"/>
  <c r="AM45" i="14"/>
  <c r="AM47" i="14"/>
  <c r="AM49" i="14"/>
  <c r="AM51" i="14"/>
  <c r="AM53" i="14"/>
  <c r="AM55" i="14"/>
  <c r="AM57" i="14"/>
  <c r="AM64" i="14"/>
  <c r="AM66" i="14"/>
  <c r="AM68" i="14"/>
  <c r="AM70" i="14"/>
  <c r="AM72" i="14"/>
  <c r="AM74" i="14"/>
  <c r="AM76" i="14"/>
  <c r="AM78" i="14"/>
  <c r="AM80" i="14"/>
  <c r="AM82" i="14"/>
  <c r="AM84" i="14"/>
  <c r="AM86" i="14"/>
  <c r="AM89" i="14"/>
  <c r="AM90" i="14"/>
  <c r="AM92" i="14"/>
  <c r="AM94" i="14"/>
  <c r="AM96" i="14"/>
  <c r="AM98" i="14"/>
  <c r="AM100" i="14"/>
  <c r="AM11" i="14"/>
  <c r="AM13" i="14"/>
  <c r="AM15" i="14"/>
  <c r="AM17" i="14"/>
  <c r="AM19" i="14"/>
  <c r="AM21" i="14"/>
  <c r="AM23" i="14"/>
  <c r="AM25" i="14"/>
  <c r="AM27" i="14"/>
  <c r="AM29" i="14"/>
  <c r="AM31" i="14"/>
  <c r="AM33" i="14"/>
  <c r="AM35" i="14"/>
  <c r="AM37" i="14"/>
  <c r="AM39" i="14"/>
  <c r="AM41" i="14"/>
  <c r="AM44" i="14"/>
  <c r="AM46" i="14"/>
  <c r="AM48" i="14"/>
  <c r="AM50" i="14"/>
  <c r="AM52" i="14"/>
  <c r="AM54" i="14"/>
  <c r="AM56" i="14"/>
  <c r="AM63" i="14"/>
  <c r="AM65" i="14"/>
  <c r="AM67" i="14"/>
  <c r="AM69" i="14"/>
  <c r="AM71" i="14"/>
  <c r="AM73" i="14"/>
  <c r="AM75" i="14"/>
  <c r="AM77" i="14"/>
  <c r="AM79" i="14"/>
  <c r="AM81" i="14"/>
  <c r="AM83" i="14"/>
  <c r="AM85" i="14"/>
  <c r="AM87" i="14"/>
  <c r="AM88" i="14"/>
  <c r="AM91" i="14"/>
  <c r="AM93" i="14"/>
  <c r="AM95" i="14"/>
  <c r="AM97" i="14"/>
  <c r="AM99" i="14"/>
  <c r="AM102" i="14"/>
  <c r="AM104" i="14"/>
  <c r="AM106" i="14"/>
  <c r="AM108" i="14"/>
  <c r="AM110" i="14"/>
  <c r="AM112" i="14"/>
  <c r="AM114" i="14"/>
  <c r="AM116" i="14"/>
  <c r="AM118" i="14"/>
  <c r="AM120" i="14"/>
  <c r="AM122" i="14"/>
  <c r="AM124" i="14"/>
  <c r="AM126" i="14"/>
  <c r="AM128" i="14"/>
  <c r="AM130" i="14"/>
  <c r="AM132" i="14"/>
  <c r="AM134" i="14"/>
  <c r="AM136" i="14"/>
  <c r="AM138" i="14"/>
  <c r="AM140" i="14"/>
  <c r="AM142" i="14"/>
  <c r="AM144" i="14"/>
  <c r="AM146" i="14"/>
  <c r="AM148" i="14"/>
  <c r="AM150" i="14"/>
  <c r="AM152" i="14"/>
  <c r="AM154" i="14"/>
  <c r="AM156" i="14"/>
  <c r="AM158" i="14"/>
  <c r="AM160" i="14"/>
  <c r="AM162" i="14"/>
  <c r="AM164" i="14"/>
  <c r="AM166" i="14"/>
  <c r="AM168" i="14"/>
  <c r="AM170" i="14"/>
  <c r="AM172" i="14"/>
  <c r="AM174" i="14"/>
  <c r="AM176" i="14"/>
  <c r="AM178" i="14"/>
  <c r="AM180" i="14"/>
  <c r="AM182" i="14"/>
  <c r="AM184" i="14"/>
  <c r="AM186" i="14"/>
  <c r="AM188" i="14"/>
  <c r="AM190" i="14"/>
  <c r="AM192" i="14"/>
  <c r="AM194" i="14"/>
  <c r="AM196" i="14"/>
  <c r="AM198" i="14"/>
  <c r="AM200" i="14"/>
  <c r="AM202" i="14"/>
  <c r="AM204" i="14"/>
  <c r="AM206" i="14"/>
  <c r="AM208" i="14"/>
  <c r="AM210" i="14"/>
  <c r="AM212" i="14"/>
  <c r="AM214" i="14"/>
  <c r="AM216" i="14"/>
  <c r="AM218" i="14"/>
  <c r="AM220" i="14"/>
  <c r="AM222" i="14"/>
  <c r="AM224" i="14"/>
  <c r="AM226" i="14"/>
  <c r="AM228" i="14"/>
  <c r="AM230" i="14"/>
  <c r="AM232" i="14"/>
  <c r="AM234" i="14"/>
  <c r="AM236" i="14"/>
  <c r="AM238" i="14"/>
  <c r="AM240" i="14"/>
  <c r="AM242" i="14"/>
  <c r="AM244" i="14"/>
  <c r="AM246" i="14"/>
  <c r="AM248" i="14"/>
  <c r="AM250" i="14"/>
  <c r="AM252" i="14"/>
  <c r="AM254" i="14"/>
  <c r="AM256" i="14"/>
  <c r="AM258" i="14"/>
  <c r="AM260" i="14"/>
  <c r="AM262" i="14"/>
  <c r="AM264" i="14"/>
  <c r="AM266" i="14"/>
  <c r="AM268" i="14"/>
  <c r="AM270" i="14"/>
  <c r="AM272" i="14"/>
  <c r="AM274" i="14"/>
  <c r="AM276" i="14"/>
  <c r="AM278" i="14"/>
  <c r="AM280" i="14"/>
  <c r="AM282" i="14"/>
  <c r="AM284" i="14"/>
  <c r="AM287" i="14"/>
  <c r="AM290" i="14"/>
  <c r="AM292" i="14"/>
  <c r="AM293" i="14"/>
  <c r="AM295" i="14"/>
  <c r="AM297" i="14"/>
  <c r="AM299" i="14"/>
  <c r="AM301" i="14"/>
  <c r="AM303" i="14"/>
  <c r="AM305" i="14"/>
  <c r="AM307" i="14"/>
  <c r="AM311" i="14"/>
  <c r="AM313" i="14"/>
  <c r="AM315" i="14"/>
  <c r="AM317" i="14"/>
  <c r="AM320" i="14"/>
  <c r="AM322" i="14"/>
  <c r="AM324" i="14"/>
  <c r="AM326" i="14"/>
  <c r="AM328" i="14"/>
  <c r="AM330" i="14"/>
  <c r="AM332" i="14"/>
  <c r="AM334" i="14"/>
  <c r="AM336" i="14"/>
  <c r="AM338" i="14"/>
  <c r="AM340" i="14"/>
  <c r="AM342" i="14"/>
  <c r="AM344" i="14"/>
  <c r="AM347" i="14"/>
  <c r="AM349" i="14"/>
  <c r="AM351" i="14"/>
  <c r="AM353" i="14"/>
  <c r="AM355" i="14"/>
  <c r="AM357" i="14"/>
  <c r="AM359" i="14"/>
  <c r="AM361" i="14"/>
  <c r="AM363" i="14"/>
  <c r="AM365" i="14"/>
  <c r="AM368" i="14"/>
  <c r="AM370" i="14"/>
  <c r="AM372" i="14"/>
  <c r="AM374" i="14"/>
  <c r="AM376" i="14"/>
  <c r="AM378" i="14"/>
  <c r="AM380" i="14"/>
  <c r="AM382" i="14"/>
  <c r="AM384" i="14"/>
  <c r="AM386" i="14"/>
  <c r="AM388" i="14"/>
  <c r="AM390" i="14"/>
  <c r="AM392" i="14"/>
  <c r="AM394" i="14"/>
  <c r="AM396" i="14"/>
  <c r="AM398" i="14"/>
  <c r="AM401" i="14"/>
  <c r="AM403" i="14"/>
  <c r="AM405" i="14"/>
  <c r="AM407" i="14"/>
  <c r="AM410" i="14"/>
  <c r="AM412" i="14"/>
  <c r="AM416" i="14"/>
  <c r="AM418" i="14"/>
  <c r="AM420" i="14"/>
  <c r="AM422" i="14"/>
  <c r="AM424" i="14"/>
  <c r="AM426" i="14"/>
  <c r="AM428" i="14"/>
  <c r="AM430" i="14"/>
  <c r="AM432" i="14"/>
  <c r="AM434" i="14"/>
  <c r="AM436" i="14"/>
  <c r="AM438" i="14"/>
  <c r="AM440" i="14"/>
  <c r="AM442" i="14"/>
  <c r="AM444" i="14"/>
  <c r="AM446" i="14"/>
  <c r="AM449" i="14"/>
  <c r="AM451" i="14"/>
  <c r="AM453" i="14"/>
  <c r="AM455" i="14"/>
  <c r="AM458" i="14"/>
  <c r="AM460" i="14"/>
  <c r="AM462" i="14"/>
  <c r="AM464" i="14"/>
  <c r="AM466" i="14"/>
  <c r="AM468" i="14"/>
  <c r="AM470" i="14"/>
  <c r="AM472" i="14"/>
  <c r="AM474" i="14"/>
  <c r="AM476" i="14"/>
  <c r="AM478" i="14"/>
  <c r="AM480" i="14"/>
  <c r="AM482" i="14"/>
  <c r="AM484" i="14"/>
  <c r="AM486" i="14"/>
  <c r="AM488" i="14"/>
  <c r="AM490" i="14"/>
  <c r="AM492" i="14"/>
  <c r="AM494" i="14"/>
  <c r="AM496" i="14"/>
  <c r="AM498" i="14"/>
  <c r="AM500" i="14"/>
  <c r="AM502" i="14"/>
  <c r="AM504" i="14"/>
  <c r="AM506" i="14"/>
  <c r="AM508" i="14"/>
  <c r="AM510" i="14"/>
  <c r="AM512" i="14"/>
  <c r="AM514" i="14"/>
  <c r="AM516" i="14"/>
  <c r="AM518" i="14"/>
  <c r="AM520" i="14"/>
  <c r="AM522" i="14"/>
  <c r="AM524" i="14"/>
  <c r="AM525" i="14"/>
  <c r="AM527" i="14"/>
  <c r="AM529" i="14"/>
  <c r="AM531" i="14"/>
  <c r="AM533" i="14"/>
  <c r="AM535" i="14"/>
  <c r="AM537" i="14"/>
  <c r="AM539" i="14"/>
  <c r="AM541" i="14"/>
  <c r="AM543" i="14"/>
  <c r="AM545" i="14"/>
  <c r="AM547" i="14"/>
  <c r="AM549" i="14"/>
  <c r="AM551" i="14"/>
  <c r="AM553" i="14"/>
  <c r="AM555" i="14"/>
  <c r="AM557" i="14"/>
  <c r="AM559" i="14"/>
  <c r="AM561" i="14"/>
  <c r="AM563" i="14"/>
  <c r="AM565" i="14"/>
  <c r="AM567" i="14"/>
  <c r="AM569" i="14"/>
  <c r="AM571" i="14"/>
  <c r="AM573" i="14"/>
  <c r="AM575" i="14"/>
  <c r="AM577" i="14"/>
  <c r="AM579" i="14"/>
  <c r="AM581" i="14"/>
  <c r="AM583" i="14"/>
  <c r="AM585" i="14"/>
  <c r="AM587" i="14"/>
  <c r="AM589" i="14"/>
  <c r="AM591" i="14"/>
  <c r="AM593" i="14"/>
  <c r="AM595" i="14"/>
  <c r="AM597" i="14"/>
  <c r="AM599" i="14"/>
  <c r="AM601" i="14"/>
  <c r="AM603" i="14"/>
  <c r="AM605" i="14"/>
  <c r="AM607" i="14"/>
  <c r="AM609" i="14"/>
  <c r="AM611" i="14"/>
  <c r="AM613" i="14"/>
  <c r="AM615" i="14"/>
  <c r="AM617" i="14"/>
  <c r="AM101" i="14"/>
  <c r="AM103" i="14"/>
  <c r="AM105" i="14"/>
  <c r="AM107" i="14"/>
  <c r="AM109" i="14"/>
  <c r="AM111" i="14"/>
  <c r="AM113" i="14"/>
  <c r="AM115" i="14"/>
  <c r="AM117" i="14"/>
  <c r="AM119" i="14"/>
  <c r="AM121" i="14"/>
  <c r="AM123" i="14"/>
  <c r="AM125" i="14"/>
  <c r="AM127" i="14"/>
  <c r="AM129" i="14"/>
  <c r="AM131" i="14"/>
  <c r="AM133" i="14"/>
  <c r="AM135" i="14"/>
  <c r="AM137" i="14"/>
  <c r="AM139" i="14"/>
  <c r="AM141" i="14"/>
  <c r="AM143" i="14"/>
  <c r="AM145" i="14"/>
  <c r="AM147" i="14"/>
  <c r="AM149" i="14"/>
  <c r="AM151" i="14"/>
  <c r="AM153" i="14"/>
  <c r="AM155" i="14"/>
  <c r="AM157" i="14"/>
  <c r="AM159" i="14"/>
  <c r="AM161" i="14"/>
  <c r="AM163" i="14"/>
  <c r="AM165" i="14"/>
  <c r="AM167" i="14"/>
  <c r="AM169" i="14"/>
  <c r="AM171" i="14"/>
  <c r="AM173" i="14"/>
  <c r="AM175" i="14"/>
  <c r="AM177" i="14"/>
  <c r="AM179" i="14"/>
  <c r="AM181" i="14"/>
  <c r="AM183" i="14"/>
  <c r="AM185" i="14"/>
  <c r="AM187" i="14"/>
  <c r="AM189" i="14"/>
  <c r="AM191" i="14"/>
  <c r="AM193" i="14"/>
  <c r="AM195" i="14"/>
  <c r="AM197" i="14"/>
  <c r="AM199" i="14"/>
  <c r="AM201" i="14"/>
  <c r="AM203" i="14"/>
  <c r="AM205" i="14"/>
  <c r="AM207" i="14"/>
  <c r="AM209" i="14"/>
  <c r="AM211" i="14"/>
  <c r="AM213" i="14"/>
  <c r="AM215" i="14"/>
  <c r="AM217" i="14"/>
  <c r="AM219" i="14"/>
  <c r="AM221" i="14"/>
  <c r="AM223" i="14"/>
  <c r="AM225" i="14"/>
  <c r="AM227" i="14"/>
  <c r="AM229" i="14"/>
  <c r="AM231" i="14"/>
  <c r="AM233" i="14"/>
  <c r="AM235" i="14"/>
  <c r="AM237" i="14"/>
  <c r="AM239" i="14"/>
  <c r="AM241" i="14"/>
  <c r="AM243" i="14"/>
  <c r="AM245" i="14"/>
  <c r="AM247" i="14"/>
  <c r="AM249" i="14"/>
  <c r="AM251" i="14"/>
  <c r="AM253" i="14"/>
  <c r="AM255" i="14"/>
  <c r="AM257" i="14"/>
  <c r="AM259" i="14"/>
  <c r="AM261" i="14"/>
  <c r="AM263" i="14"/>
  <c r="AM265" i="14"/>
  <c r="AM267" i="14"/>
  <c r="AM269" i="14"/>
  <c r="AM271" i="14"/>
  <c r="AM273" i="14"/>
  <c r="AM275" i="14"/>
  <c r="AM277" i="14"/>
  <c r="AM279" i="14"/>
  <c r="AM281" i="14"/>
  <c r="AM283" i="14"/>
  <c r="AM285" i="14"/>
  <c r="AM288" i="14"/>
  <c r="AM291" i="14"/>
  <c r="AM289" i="14"/>
  <c r="AM294" i="14"/>
  <c r="AM296" i="14"/>
  <c r="AM298" i="14"/>
  <c r="AM300" i="14"/>
  <c r="AM302" i="14"/>
  <c r="AM304" i="14"/>
  <c r="AM306" i="14"/>
  <c r="AM308" i="14"/>
  <c r="AM310" i="14"/>
  <c r="AM312" i="14"/>
  <c r="AM314" i="14"/>
  <c r="AM316" i="14"/>
  <c r="AM319" i="14"/>
  <c r="AM321" i="14"/>
  <c r="AM323" i="14"/>
  <c r="AM325" i="14"/>
  <c r="AM327" i="14"/>
  <c r="AM329" i="14"/>
  <c r="AM331" i="14"/>
  <c r="AM333" i="14"/>
  <c r="AM335" i="14"/>
  <c r="AM337" i="14"/>
  <c r="AM339" i="14"/>
  <c r="AM341" i="14"/>
  <c r="AM343" i="14"/>
  <c r="AM345" i="14"/>
  <c r="AM348" i="14"/>
  <c r="AM350" i="14"/>
  <c r="AM352" i="14"/>
  <c r="AM354" i="14"/>
  <c r="AM356" i="14"/>
  <c r="AM358" i="14"/>
  <c r="AM360" i="14"/>
  <c r="AM362" i="14"/>
  <c r="AM364" i="14"/>
  <c r="AM366" i="14"/>
  <c r="AM369" i="14"/>
  <c r="AM371" i="14"/>
  <c r="AM373" i="14"/>
  <c r="AM375" i="14"/>
  <c r="AM377" i="14"/>
  <c r="AM379" i="14"/>
  <c r="AM381" i="14"/>
  <c r="AM383" i="14"/>
  <c r="AM385" i="14"/>
  <c r="AM387" i="14"/>
  <c r="AM389" i="14"/>
  <c r="AM391" i="14"/>
  <c r="AM393" i="14"/>
  <c r="AM395" i="14"/>
  <c r="AM397" i="14"/>
  <c r="AM399" i="14"/>
  <c r="AM402" i="14"/>
  <c r="AM404" i="14"/>
  <c r="AM406" i="14"/>
  <c r="AM408" i="14"/>
  <c r="AM411" i="14"/>
  <c r="AM414" i="14"/>
  <c r="AM417" i="14"/>
  <c r="AM419" i="14"/>
  <c r="AM421" i="14"/>
  <c r="AM423" i="14"/>
  <c r="AM425" i="14"/>
  <c r="AM427" i="14"/>
  <c r="AM429" i="14"/>
  <c r="AM431" i="14"/>
  <c r="AM433" i="14"/>
  <c r="AM435" i="14"/>
  <c r="AM437" i="14"/>
  <c r="AM439" i="14"/>
  <c r="AM441" i="14"/>
  <c r="AM443" i="14"/>
  <c r="AM445" i="14"/>
  <c r="AM447" i="14"/>
  <c r="AM448" i="14"/>
  <c r="AM450" i="14"/>
  <c r="AM452" i="14"/>
  <c r="AM454" i="14"/>
  <c r="AM457" i="14"/>
  <c r="AM459" i="14"/>
  <c r="AM461" i="14"/>
  <c r="AM463" i="14"/>
  <c r="AM465" i="14"/>
  <c r="AM467" i="14"/>
  <c r="AM469" i="14"/>
  <c r="AM471" i="14"/>
  <c r="AM473" i="14"/>
  <c r="AM475" i="14"/>
  <c r="AM477" i="14"/>
  <c r="AM479" i="14"/>
  <c r="AM481" i="14"/>
  <c r="AM483" i="14"/>
  <c r="AM485" i="14"/>
  <c r="AM487" i="14"/>
  <c r="AM489" i="14"/>
  <c r="AM491" i="14"/>
  <c r="AM493" i="14"/>
  <c r="AM495" i="14"/>
  <c r="AM497" i="14"/>
  <c r="AM499" i="14"/>
  <c r="AM501" i="14"/>
  <c r="AM503" i="14"/>
  <c r="AM505" i="14"/>
  <c r="AM507" i="14"/>
  <c r="AM509" i="14"/>
  <c r="AM511" i="14"/>
  <c r="AM513" i="14"/>
  <c r="AM515" i="14"/>
  <c r="AM517" i="14"/>
  <c r="AM519" i="14"/>
  <c r="AM521" i="14"/>
  <c r="AM523" i="14"/>
  <c r="AM526" i="14"/>
  <c r="AM528" i="14"/>
  <c r="AM530" i="14"/>
  <c r="AM532" i="14"/>
  <c r="AM534" i="14"/>
  <c r="AM536" i="14"/>
  <c r="AM538" i="14"/>
  <c r="AM540" i="14"/>
  <c r="AM542" i="14"/>
  <c r="AM544" i="14"/>
  <c r="AM546" i="14"/>
  <c r="AM548" i="14"/>
  <c r="AM550" i="14"/>
  <c r="AM552" i="14"/>
  <c r="AM554" i="14"/>
  <c r="AM556" i="14"/>
  <c r="AM558" i="14"/>
  <c r="AM560" i="14"/>
  <c r="AM562" i="14"/>
  <c r="AM564" i="14"/>
  <c r="AM566" i="14"/>
  <c r="AM568" i="14"/>
  <c r="AM570" i="14"/>
  <c r="AM572" i="14"/>
  <c r="AM574" i="14"/>
  <c r="AM576" i="14"/>
  <c r="AM578" i="14"/>
  <c r="AM580" i="14"/>
  <c r="AM582" i="14"/>
  <c r="AM584" i="14"/>
  <c r="AM586" i="14"/>
  <c r="AM588" i="14"/>
  <c r="AM590" i="14"/>
  <c r="AM592" i="14"/>
  <c r="AM594" i="14"/>
  <c r="AM596" i="14"/>
  <c r="AM598" i="14"/>
  <c r="AM600" i="14"/>
  <c r="AM602" i="14"/>
  <c r="AM604" i="14"/>
  <c r="AM606" i="14"/>
  <c r="AM608" i="14"/>
  <c r="AM610" i="14"/>
  <c r="AM612" i="14"/>
  <c r="AM614" i="14"/>
  <c r="AM616" i="14"/>
  <c r="AM618" i="14"/>
  <c r="G39" i="16"/>
  <c r="W13" i="16"/>
  <c r="S11" i="10"/>
  <c r="V11" i="10"/>
  <c r="S12" i="10"/>
  <c r="V12" i="10"/>
  <c r="S13" i="10"/>
  <c r="V13" i="10"/>
  <c r="S14" i="10"/>
  <c r="V14" i="10"/>
  <c r="S15" i="10"/>
  <c r="V15" i="10"/>
  <c r="S16" i="10"/>
  <c r="V16" i="10"/>
  <c r="S17" i="10"/>
  <c r="V17" i="10"/>
  <c r="S18" i="10"/>
  <c r="V18" i="10"/>
  <c r="S19" i="10"/>
  <c r="V19" i="10"/>
  <c r="S20" i="10"/>
  <c r="V20" i="10"/>
  <c r="S21" i="10"/>
  <c r="V21" i="10"/>
  <c r="S22" i="10"/>
  <c r="V22" i="10"/>
  <c r="S23" i="10"/>
  <c r="V23" i="10"/>
  <c r="S24" i="10"/>
  <c r="V24" i="10"/>
  <c r="S25" i="10"/>
  <c r="V25" i="10"/>
  <c r="S26" i="10"/>
  <c r="V26" i="10"/>
  <c r="S27" i="10"/>
  <c r="V27" i="10"/>
  <c r="S28" i="10"/>
  <c r="V28" i="10"/>
  <c r="S29" i="10"/>
  <c r="V29" i="10"/>
  <c r="S30" i="10"/>
  <c r="V30" i="10"/>
  <c r="S31" i="10"/>
  <c r="V31" i="10"/>
  <c r="S32" i="10"/>
  <c r="V32" i="10"/>
  <c r="S33" i="10"/>
  <c r="V33" i="10"/>
  <c r="S34" i="10"/>
  <c r="V34" i="10"/>
  <c r="S35" i="10"/>
  <c r="V35" i="10"/>
  <c r="S36" i="10"/>
  <c r="V36" i="10"/>
  <c r="S37" i="10"/>
  <c r="V37" i="10"/>
  <c r="S38" i="10"/>
  <c r="V38" i="10"/>
  <c r="S39" i="10"/>
  <c r="V39" i="10"/>
  <c r="S40" i="10"/>
  <c r="V40" i="10"/>
  <c r="S41" i="10"/>
  <c r="V41" i="10"/>
  <c r="S42" i="10"/>
  <c r="V42" i="10"/>
  <c r="S44" i="10"/>
  <c r="V44" i="10"/>
  <c r="S45" i="10"/>
  <c r="V45" i="10"/>
  <c r="S46" i="10"/>
  <c r="V46" i="10"/>
  <c r="S47" i="10"/>
  <c r="V47" i="10"/>
  <c r="S48" i="10"/>
  <c r="V48" i="10"/>
  <c r="S49" i="10"/>
  <c r="V49" i="10"/>
  <c r="S50" i="10"/>
  <c r="V50" i="10"/>
  <c r="S51" i="10"/>
  <c r="V51" i="10"/>
  <c r="S52" i="10"/>
  <c r="V52" i="10"/>
  <c r="S53" i="10"/>
  <c r="V53" i="10"/>
  <c r="S54" i="10"/>
  <c r="V54" i="10"/>
  <c r="S55" i="10"/>
  <c r="V55" i="10"/>
  <c r="S56" i="10"/>
  <c r="V56" i="10"/>
  <c r="S57" i="10"/>
  <c r="V57" i="10"/>
  <c r="S58" i="10"/>
  <c r="V58" i="10"/>
  <c r="S59" i="10"/>
  <c r="V59" i="10"/>
  <c r="S60" i="10"/>
  <c r="V60" i="10"/>
  <c r="S61" i="10"/>
  <c r="V61" i="10"/>
  <c r="S62" i="10"/>
  <c r="V62" i="10"/>
  <c r="S63" i="10"/>
  <c r="V63" i="10"/>
  <c r="S64" i="10"/>
  <c r="V64" i="10"/>
  <c r="S65" i="10"/>
  <c r="V65" i="10"/>
  <c r="S66" i="10"/>
  <c r="V66" i="10"/>
  <c r="S67" i="10"/>
  <c r="V67" i="10"/>
  <c r="S68" i="10"/>
  <c r="V68" i="10"/>
  <c r="S69" i="10"/>
  <c r="V69" i="10"/>
  <c r="S70" i="10"/>
  <c r="V70" i="10"/>
  <c r="S71" i="10"/>
  <c r="V71" i="10"/>
  <c r="S72" i="10"/>
  <c r="V72" i="10"/>
  <c r="S73" i="10"/>
  <c r="V73" i="10"/>
  <c r="S74" i="10"/>
  <c r="V74" i="10"/>
  <c r="S75" i="10"/>
  <c r="V75" i="10"/>
  <c r="S76" i="10"/>
  <c r="V76" i="10"/>
  <c r="S77" i="10"/>
  <c r="V77" i="10"/>
  <c r="BB12" i="25"/>
  <c r="BL12" i="25" s="1"/>
  <c r="BB13" i="25"/>
  <c r="BL13" i="25" s="1"/>
  <c r="BB14" i="25"/>
  <c r="BL14" i="25" s="1"/>
  <c r="BB15" i="25"/>
  <c r="BL15" i="25" s="1"/>
  <c r="BB16" i="25"/>
  <c r="BL16" i="25" s="1"/>
  <c r="BB17" i="25"/>
  <c r="BL17" i="25" s="1"/>
  <c r="BB18" i="25"/>
  <c r="BL18" i="25" s="1"/>
  <c r="BB19" i="25"/>
  <c r="BL19" i="25" s="1"/>
  <c r="BB20" i="25"/>
  <c r="BL20" i="25" s="1"/>
  <c r="BB21" i="25"/>
  <c r="BL21" i="25" s="1"/>
  <c r="BB22" i="25"/>
  <c r="BL22" i="25" s="1"/>
  <c r="BB23" i="25"/>
  <c r="BL23" i="25" s="1"/>
  <c r="BB24" i="25"/>
  <c r="BL24" i="25" s="1"/>
  <c r="BB25" i="25"/>
  <c r="BL25" i="25" s="1"/>
  <c r="BB26" i="25"/>
  <c r="BL26" i="25" s="1"/>
  <c r="BB27" i="25"/>
  <c r="BL27" i="25" s="1"/>
  <c r="BB28" i="25"/>
  <c r="BL28" i="25" s="1"/>
  <c r="BB29" i="25"/>
  <c r="BL29" i="25" s="1"/>
  <c r="BB30" i="25"/>
  <c r="BL30" i="25" s="1"/>
  <c r="BB31" i="25"/>
  <c r="BL31" i="25" s="1"/>
  <c r="BB32" i="25"/>
  <c r="BL32" i="25" s="1"/>
  <c r="BB33" i="25"/>
  <c r="BL33" i="25" s="1"/>
  <c r="BB34" i="25"/>
  <c r="BL34" i="25" s="1"/>
  <c r="BB35" i="25"/>
  <c r="BL35" i="25" s="1"/>
  <c r="BB36" i="25"/>
  <c r="BL36" i="25" s="1"/>
  <c r="BB37" i="25"/>
  <c r="BL37" i="25" s="1"/>
  <c r="BB38" i="25"/>
  <c r="BL38" i="25" s="1"/>
  <c r="BB39" i="25"/>
  <c r="BL39" i="25" s="1"/>
  <c r="BB40" i="25"/>
  <c r="BL40" i="25" s="1"/>
  <c r="BB41" i="25"/>
  <c r="BL41" i="25" s="1"/>
  <c r="BB42" i="25"/>
  <c r="BL42" i="25" s="1"/>
  <c r="BB44" i="25"/>
  <c r="BL44" i="25" s="1"/>
  <c r="BB45" i="25"/>
  <c r="BL45" i="25" s="1"/>
  <c r="BB46" i="25"/>
  <c r="BL46" i="25" s="1"/>
  <c r="BB47" i="25"/>
  <c r="BL47" i="25" s="1"/>
  <c r="BB48" i="25"/>
  <c r="BL48" i="25" s="1"/>
  <c r="BB49" i="25"/>
  <c r="BL49" i="25" s="1"/>
  <c r="BB50" i="25"/>
  <c r="BL50" i="25" s="1"/>
  <c r="BB51" i="25"/>
  <c r="BL51" i="25" s="1"/>
  <c r="BB52" i="25"/>
  <c r="BL52" i="25" s="1"/>
  <c r="BB53" i="25"/>
  <c r="BL53" i="25" s="1"/>
  <c r="BB54" i="25"/>
  <c r="BL54" i="25" s="1"/>
  <c r="BB55" i="25"/>
  <c r="BL55" i="25" s="1"/>
  <c r="BB56" i="25"/>
  <c r="BL56" i="25" s="1"/>
  <c r="BB57" i="25"/>
  <c r="BL57" i="25" s="1"/>
  <c r="BB58" i="25"/>
  <c r="BL58" i="25" s="1"/>
  <c r="BB59" i="25"/>
  <c r="BL59" i="25" s="1"/>
  <c r="BB60" i="25"/>
  <c r="BL60" i="25" s="1"/>
  <c r="BB61" i="25"/>
  <c r="BL61" i="25" s="1"/>
  <c r="BB62" i="25"/>
  <c r="BL62" i="25" s="1"/>
  <c r="BB63" i="25"/>
  <c r="BL63" i="25" s="1"/>
  <c r="BB64" i="25"/>
  <c r="BL64" i="25" s="1"/>
  <c r="BB65" i="25"/>
  <c r="BL65" i="25" s="1"/>
  <c r="BB66" i="25"/>
  <c r="BL66" i="25" s="1"/>
  <c r="BB67" i="25"/>
  <c r="BL67" i="25" s="1"/>
  <c r="BB68" i="25"/>
  <c r="BL68" i="25" s="1"/>
  <c r="BB69" i="25"/>
  <c r="BL69" i="25" s="1"/>
  <c r="BB70" i="25"/>
  <c r="BL70" i="25" s="1"/>
  <c r="BB71" i="25"/>
  <c r="BL71" i="25" s="1"/>
  <c r="BB72" i="25"/>
  <c r="BL72" i="25" s="1"/>
  <c r="BB73" i="25"/>
  <c r="BL73" i="25" s="1"/>
  <c r="BB74" i="25"/>
  <c r="BL74" i="25" s="1"/>
  <c r="BB75" i="25"/>
  <c r="BL75" i="25" s="1"/>
  <c r="BB76" i="25"/>
  <c r="BL76" i="25" s="1"/>
  <c r="BB77" i="25"/>
  <c r="BL77" i="25" s="1"/>
  <c r="BB78" i="25"/>
  <c r="BL78" i="25" s="1"/>
  <c r="BB79" i="25"/>
  <c r="BL79" i="25" s="1"/>
  <c r="BB80" i="25"/>
  <c r="BL80" i="25" s="1"/>
  <c r="BB81" i="25"/>
  <c r="BL81" i="25" s="1"/>
  <c r="BB82" i="25"/>
  <c r="BL82" i="25" s="1"/>
  <c r="BB83" i="25"/>
  <c r="BL83" i="25" s="1"/>
  <c r="BB84" i="25"/>
  <c r="BL84" i="25" s="1"/>
  <c r="BB85" i="25"/>
  <c r="BL85" i="25" s="1"/>
  <c r="BB86" i="25"/>
  <c r="BL86" i="25" s="1"/>
  <c r="BB87" i="25"/>
  <c r="BL87" i="25" s="1"/>
  <c r="BB88" i="25"/>
  <c r="BL88" i="25" s="1"/>
  <c r="BB90" i="25"/>
  <c r="BL90" i="25" s="1"/>
  <c r="BB91" i="25"/>
  <c r="BL91" i="25" s="1"/>
  <c r="BB92" i="25"/>
  <c r="BL92" i="25" s="1"/>
  <c r="Y11" i="22"/>
  <c r="AQ11" i="22" s="1"/>
  <c r="Y12" i="22"/>
  <c r="AQ12" i="22" s="1"/>
  <c r="Y13" i="22"/>
  <c r="AQ13" i="22" s="1"/>
  <c r="Y14" i="22"/>
  <c r="AQ14" i="22" s="1"/>
  <c r="Y15" i="22"/>
  <c r="AQ15" i="22" s="1"/>
  <c r="Y16" i="22"/>
  <c r="AQ16" i="22" s="1"/>
  <c r="Y17" i="22"/>
  <c r="AQ17" i="22" s="1"/>
  <c r="Y18" i="22"/>
  <c r="AQ18" i="22" s="1"/>
  <c r="Y19" i="22"/>
  <c r="AQ19" i="22" s="1"/>
  <c r="Y20" i="22"/>
  <c r="AQ20" i="22" s="1"/>
  <c r="Y21" i="22"/>
  <c r="AQ21" i="22" s="1"/>
  <c r="Y22" i="22"/>
  <c r="AQ22" i="22" s="1"/>
  <c r="Y23" i="22"/>
  <c r="AQ23" i="22" s="1"/>
  <c r="Y24" i="22"/>
  <c r="AQ24" i="22" s="1"/>
  <c r="Y25" i="22"/>
  <c r="AQ25" i="22" s="1"/>
  <c r="Y26" i="22"/>
  <c r="AQ26" i="22" s="1"/>
  <c r="Y27" i="22"/>
  <c r="AQ27" i="22" s="1"/>
  <c r="Y28" i="22"/>
  <c r="AQ28" i="22" s="1"/>
  <c r="Y29" i="22"/>
  <c r="AQ29" i="22" s="1"/>
  <c r="Y30" i="22"/>
  <c r="AQ30" i="22" s="1"/>
  <c r="Y31" i="22"/>
  <c r="AQ31" i="22" s="1"/>
  <c r="Y32" i="22"/>
  <c r="AQ32" i="22" s="1"/>
  <c r="Y33" i="22"/>
  <c r="AQ33" i="22" s="1"/>
  <c r="Y34" i="22"/>
  <c r="AQ34" i="22" s="1"/>
  <c r="Y35" i="22"/>
  <c r="AQ35" i="22" s="1"/>
  <c r="Y36" i="22"/>
  <c r="AQ36" i="22" s="1"/>
  <c r="Y37" i="22"/>
  <c r="AQ37" i="22" s="1"/>
  <c r="Y38" i="22"/>
  <c r="AQ38" i="22" s="1"/>
  <c r="Y39" i="22"/>
  <c r="AQ39" i="22" s="1"/>
  <c r="Y40" i="22"/>
  <c r="AQ40" i="22" s="1"/>
  <c r="Y41" i="22"/>
  <c r="AQ41" i="22" s="1"/>
  <c r="Y42" i="22"/>
  <c r="AQ42" i="22" s="1"/>
  <c r="Y44" i="22"/>
  <c r="AQ44" i="22" s="1"/>
  <c r="Y45" i="22"/>
  <c r="AQ45" i="22" s="1"/>
  <c r="Y46" i="22"/>
  <c r="AQ46" i="22" s="1"/>
  <c r="Y47" i="22"/>
  <c r="AQ47" i="22" s="1"/>
  <c r="Y48" i="22"/>
  <c r="AQ48" i="22" s="1"/>
  <c r="Y49" i="22"/>
  <c r="AQ49" i="22" s="1"/>
  <c r="Y50" i="22"/>
  <c r="AQ50" i="22" s="1"/>
  <c r="Y51" i="22"/>
  <c r="AQ51" i="22" s="1"/>
  <c r="Y52" i="22"/>
  <c r="AQ52" i="22" s="1"/>
  <c r="Y53" i="22"/>
  <c r="AQ53" i="22" s="1"/>
  <c r="Y54" i="22"/>
  <c r="AQ54" i="22" s="1"/>
  <c r="Y55" i="22"/>
  <c r="AQ55" i="22" s="1"/>
  <c r="Y56" i="22"/>
  <c r="AQ56" i="22" s="1"/>
  <c r="Y57" i="22"/>
  <c r="AQ57" i="22" s="1"/>
  <c r="Y58" i="22"/>
  <c r="AQ58" i="22" s="1"/>
  <c r="Y59" i="22"/>
  <c r="AQ59" i="22" s="1"/>
  <c r="Y60" i="22"/>
  <c r="AQ60" i="22" s="1"/>
  <c r="Y61" i="22"/>
  <c r="AQ61" i="22" s="1"/>
  <c r="Y62" i="22"/>
  <c r="AQ62" i="22" s="1"/>
  <c r="Y63" i="22"/>
  <c r="AQ63" i="22" s="1"/>
  <c r="Y64" i="22"/>
  <c r="AQ64" i="22" s="1"/>
  <c r="Y65" i="22"/>
  <c r="AQ65" i="22" s="1"/>
  <c r="Y66" i="22"/>
  <c r="AQ66" i="22" s="1"/>
  <c r="Y67" i="22"/>
  <c r="AQ67" i="22" s="1"/>
  <c r="Y68" i="22"/>
  <c r="AQ68" i="22" s="1"/>
  <c r="Y69" i="22"/>
  <c r="AQ69" i="22" s="1"/>
  <c r="Y70" i="22"/>
  <c r="AQ70" i="22" s="1"/>
  <c r="Y71" i="22"/>
  <c r="AQ71" i="22" s="1"/>
  <c r="Y72" i="22"/>
  <c r="AQ72" i="22" s="1"/>
  <c r="Y73" i="22"/>
  <c r="AQ73" i="22" s="1"/>
  <c r="Y74" i="22"/>
  <c r="AQ74" i="22" s="1"/>
  <c r="Y75" i="22"/>
  <c r="AQ75" i="22" s="1"/>
  <c r="Y76" i="22"/>
  <c r="AQ76" i="22" s="1"/>
  <c r="Y77" i="22"/>
  <c r="AQ77" i="22" s="1"/>
  <c r="Y78" i="22"/>
  <c r="AQ78" i="22" s="1"/>
  <c r="Y79" i="22"/>
  <c r="AQ79" i="22" s="1"/>
  <c r="Y80" i="22"/>
  <c r="AQ80" i="22" s="1"/>
  <c r="Y81" i="22"/>
  <c r="AQ81" i="22" s="1"/>
  <c r="Y82" i="22"/>
  <c r="AQ82" i="22" s="1"/>
  <c r="Y83" i="22"/>
  <c r="AQ83" i="22" s="1"/>
  <c r="Y84" i="22"/>
  <c r="AQ84" i="22" s="1"/>
  <c r="Y85" i="22"/>
  <c r="AQ85" i="22" s="1"/>
  <c r="Y86" i="22"/>
  <c r="AQ86" i="22" s="1"/>
  <c r="Y87" i="22"/>
  <c r="AQ87" i="22" s="1"/>
  <c r="Y89" i="22"/>
  <c r="AQ89" i="22" s="1"/>
  <c r="BN89" i="25" s="1"/>
  <c r="Y88" i="22"/>
  <c r="AQ88" i="22" s="1"/>
  <c r="Y90" i="22"/>
  <c r="AQ90" i="22" s="1"/>
  <c r="Y91" i="22"/>
  <c r="AQ91" i="22" s="1"/>
  <c r="Y92" i="22"/>
  <c r="AQ92" i="22" s="1"/>
  <c r="BN88" i="25" l="1"/>
  <c r="BN28" i="25"/>
  <c r="BV28" i="25" s="1"/>
  <c r="BX28" i="25" s="1"/>
  <c r="BV89" i="25"/>
  <c r="BX89" i="25" s="1"/>
  <c r="BN83" i="25"/>
  <c r="BV83" i="25" s="1"/>
  <c r="BN75" i="25"/>
  <c r="BV75" i="25" s="1"/>
  <c r="BN71" i="25"/>
  <c r="BV71" i="25" s="1"/>
  <c r="BN67" i="25"/>
  <c r="BV67" i="25" s="1"/>
  <c r="BN65" i="25"/>
  <c r="BV65" i="25" s="1"/>
  <c r="BN59" i="25"/>
  <c r="BV59" i="25" s="1"/>
  <c r="BN53" i="25"/>
  <c r="BV53" i="25" s="1"/>
  <c r="BN49" i="25"/>
  <c r="BV49" i="25" s="1"/>
  <c r="BN47" i="25"/>
  <c r="BV47" i="25" s="1"/>
  <c r="BN44" i="25"/>
  <c r="BV44" i="25" s="1"/>
  <c r="BN37" i="25"/>
  <c r="BV37" i="25" s="1"/>
  <c r="BX37" i="25" s="1"/>
  <c r="BN35" i="25"/>
  <c r="BV35" i="25" s="1"/>
  <c r="BX35" i="25" s="1"/>
  <c r="BN33" i="25"/>
  <c r="BV33" i="25" s="1"/>
  <c r="BX33" i="25" s="1"/>
  <c r="BN31" i="25"/>
  <c r="BV31" i="25" s="1"/>
  <c r="BX31" i="25" s="1"/>
  <c r="BN29" i="25"/>
  <c r="BV29" i="25" s="1"/>
  <c r="BX29" i="25" s="1"/>
  <c r="BN27" i="25"/>
  <c r="BV27" i="25" s="1"/>
  <c r="BX27" i="25" s="1"/>
  <c r="BN25" i="25"/>
  <c r="BV25" i="25" s="1"/>
  <c r="BX25" i="25" s="1"/>
  <c r="BN23" i="25"/>
  <c r="BV23" i="25" s="1"/>
  <c r="BX23" i="25" s="1"/>
  <c r="BN21" i="25"/>
  <c r="BV21" i="25" s="1"/>
  <c r="BX21" i="25" s="1"/>
  <c r="BN16" i="25"/>
  <c r="BV16" i="25" s="1"/>
  <c r="BX16" i="25" s="1"/>
  <c r="BN15" i="25"/>
  <c r="BV15" i="25" s="1"/>
  <c r="BX15" i="25" s="1"/>
  <c r="BN14" i="25"/>
  <c r="BV14" i="25" s="1"/>
  <c r="BX14" i="25" s="1"/>
  <c r="BN13" i="25"/>
  <c r="BV13" i="25" s="1"/>
  <c r="BX13" i="25" s="1"/>
  <c r="BN12" i="25"/>
  <c r="BV12" i="25" s="1"/>
  <c r="BX12" i="25" s="1"/>
  <c r="BN11" i="25"/>
  <c r="BV11" i="25" s="1"/>
  <c r="BX11" i="25" s="1"/>
  <c r="BN45" i="25"/>
  <c r="BV45" i="25" s="1"/>
  <c r="BN57" i="25"/>
  <c r="BV57" i="25" s="1"/>
  <c r="BN34" i="25"/>
  <c r="BV34" i="25" s="1"/>
  <c r="BX34" i="25" s="1"/>
  <c r="BN51" i="25"/>
  <c r="BV51" i="25" s="1"/>
  <c r="BN90" i="25"/>
  <c r="BV90" i="25" s="1"/>
  <c r="BN74" i="25"/>
  <c r="BV74" i="25" s="1"/>
  <c r="BN72" i="25"/>
  <c r="BV72" i="25" s="1"/>
  <c r="BN70" i="25"/>
  <c r="BV70" i="25" s="1"/>
  <c r="BN42" i="25"/>
  <c r="BV42" i="25" s="1"/>
  <c r="BN81" i="25"/>
  <c r="BV81" i="25" s="1"/>
  <c r="BN92" i="25"/>
  <c r="BV92" i="25" s="1"/>
  <c r="BN78" i="25"/>
  <c r="BV78" i="25" s="1"/>
  <c r="BN77" i="25"/>
  <c r="BV77" i="25" s="1"/>
  <c r="BN62" i="25"/>
  <c r="BV62" i="25" s="1"/>
  <c r="BN61" i="25"/>
  <c r="BV61" i="25" s="1"/>
  <c r="BN48" i="25"/>
  <c r="BV48" i="25" s="1"/>
  <c r="BN64" i="25"/>
  <c r="BV64" i="25" s="1"/>
  <c r="BN86" i="25"/>
  <c r="BV86" i="25" s="1"/>
  <c r="BN69" i="25"/>
  <c r="BV69" i="25" s="1"/>
  <c r="BN68" i="25"/>
  <c r="BV68" i="25" s="1"/>
  <c r="BN63" i="25"/>
  <c r="BV63" i="25" s="1"/>
  <c r="BN58" i="25"/>
  <c r="BV58" i="25" s="1"/>
  <c r="BN52" i="25"/>
  <c r="BV52" i="25" s="1"/>
  <c r="BN20" i="25"/>
  <c r="BV20" i="25" s="1"/>
  <c r="BX20" i="25" s="1"/>
  <c r="BN19" i="25"/>
  <c r="BV19" i="25" s="1"/>
  <c r="BX19" i="25" s="1"/>
  <c r="BN91" i="25"/>
  <c r="BV91" i="25" s="1"/>
  <c r="BV88" i="25"/>
  <c r="BX88" i="25" s="1"/>
  <c r="BN85" i="25"/>
  <c r="BV85" i="25" s="1"/>
  <c r="BN84" i="25"/>
  <c r="BV84" i="25" s="1"/>
  <c r="BN82" i="25"/>
  <c r="BV82" i="25" s="1"/>
  <c r="BN80" i="25"/>
  <c r="BV80" i="25" s="1"/>
  <c r="BN79" i="25"/>
  <c r="BV79" i="25" s="1"/>
  <c r="BN76" i="25"/>
  <c r="BV76" i="25" s="1"/>
  <c r="BN73" i="25"/>
  <c r="BV73" i="25" s="1"/>
  <c r="BN66" i="25"/>
  <c r="BV66" i="25" s="1"/>
  <c r="BN60" i="25"/>
  <c r="BV60" i="25" s="1"/>
  <c r="BN56" i="25"/>
  <c r="BV56" i="25" s="1"/>
  <c r="BN54" i="25"/>
  <c r="BV54" i="25" s="1"/>
  <c r="BN50" i="25"/>
  <c r="BV50" i="25" s="1"/>
  <c r="BN46" i="25"/>
  <c r="BV46" i="25" s="1"/>
  <c r="BN41" i="25"/>
  <c r="BV41" i="25" s="1"/>
  <c r="BN40" i="25"/>
  <c r="BV40" i="25" s="1"/>
  <c r="BN39" i="25"/>
  <c r="BV39" i="25" s="1"/>
  <c r="BN38" i="25"/>
  <c r="BV38" i="25" s="1"/>
  <c r="BX38" i="25" s="1"/>
  <c r="BN36" i="25"/>
  <c r="BV36" i="25" s="1"/>
  <c r="BX36" i="25" s="1"/>
  <c r="BN32" i="25"/>
  <c r="BV32" i="25" s="1"/>
  <c r="BX32" i="25" s="1"/>
  <c r="BN30" i="25"/>
  <c r="BV30" i="25" s="1"/>
  <c r="BX30" i="25" s="1"/>
  <c r="BN26" i="25"/>
  <c r="BV26" i="25" s="1"/>
  <c r="BX26" i="25" s="1"/>
  <c r="BN24" i="25"/>
  <c r="BV24" i="25" s="1"/>
  <c r="BX24" i="25" s="1"/>
  <c r="BN18" i="25"/>
  <c r="BV18" i="25" s="1"/>
  <c r="BX18" i="25" s="1"/>
  <c r="BN17" i="25"/>
  <c r="BV17" i="25" s="1"/>
  <c r="BX17" i="25" s="1"/>
  <c r="BN55" i="25"/>
  <c r="BV55" i="25" s="1"/>
  <c r="BN87" i="25" l="1"/>
  <c r="BV87" i="25" s="1"/>
  <c r="BN22" i="25"/>
  <c r="BV22" i="25" s="1"/>
  <c r="BX22" i="25" s="1"/>
  <c r="K11" i="26"/>
  <c r="O11" i="26"/>
  <c r="K12" i="26"/>
  <c r="O12" i="26"/>
  <c r="K13" i="26"/>
  <c r="O13" i="26"/>
  <c r="K14" i="26"/>
  <c r="O14" i="26"/>
  <c r="K15" i="26"/>
  <c r="O15" i="26"/>
  <c r="K16" i="26"/>
  <c r="O16" i="26"/>
  <c r="K17" i="26"/>
  <c r="O17" i="26"/>
  <c r="K18" i="26"/>
  <c r="O18" i="26"/>
  <c r="K19" i="26"/>
  <c r="AG19" i="26" s="1"/>
  <c r="K20" i="26"/>
  <c r="O20" i="26"/>
  <c r="K21" i="26"/>
  <c r="O21" i="26"/>
  <c r="K22" i="26"/>
  <c r="O22" i="26"/>
  <c r="K23" i="26"/>
  <c r="O23" i="26"/>
  <c r="K24" i="26"/>
  <c r="O24" i="26"/>
  <c r="K25" i="26"/>
  <c r="O25" i="26"/>
  <c r="K26" i="26"/>
  <c r="O26" i="26"/>
  <c r="K27" i="26"/>
  <c r="O27" i="26"/>
  <c r="K28" i="26"/>
  <c r="O28" i="26"/>
  <c r="K29" i="26"/>
  <c r="O29" i="26"/>
  <c r="K30" i="26"/>
  <c r="O30" i="26"/>
  <c r="K31" i="26"/>
  <c r="O31" i="26"/>
  <c r="K32" i="26"/>
  <c r="O32" i="26"/>
  <c r="K33" i="26"/>
  <c r="O33" i="26"/>
  <c r="K34" i="26"/>
  <c r="O34" i="26"/>
  <c r="K35" i="26"/>
  <c r="O35" i="26"/>
  <c r="K36" i="26"/>
  <c r="O36" i="26"/>
  <c r="K37" i="26"/>
  <c r="O37" i="26"/>
  <c r="K38" i="26"/>
  <c r="O38" i="26"/>
  <c r="K39" i="26"/>
  <c r="O39" i="26"/>
  <c r="BX39" i="25"/>
  <c r="K40" i="26"/>
  <c r="O40" i="26"/>
  <c r="BX40" i="25"/>
  <c r="K41" i="26"/>
  <c r="O41" i="26"/>
  <c r="BX41" i="25"/>
  <c r="K42" i="26"/>
  <c r="O42" i="26"/>
  <c r="BX42" i="25"/>
  <c r="K44" i="26"/>
  <c r="O44" i="26"/>
  <c r="BX44" i="25"/>
  <c r="K45" i="26"/>
  <c r="O45" i="26"/>
  <c r="BX45" i="25"/>
  <c r="K46" i="26"/>
  <c r="O46" i="26"/>
  <c r="BX46" i="25"/>
  <c r="K47" i="26"/>
  <c r="O47" i="26"/>
  <c r="BX47" i="25"/>
  <c r="K48" i="26"/>
  <c r="O48" i="26"/>
  <c r="BX48" i="25"/>
  <c r="K49" i="26"/>
  <c r="O49" i="26"/>
  <c r="BX49" i="25"/>
  <c r="K50" i="26"/>
  <c r="O50" i="26"/>
  <c r="BX50" i="25"/>
  <c r="K51" i="26"/>
  <c r="O51" i="26"/>
  <c r="BX51" i="25"/>
  <c r="K52" i="26"/>
  <c r="O52" i="26"/>
  <c r="BX52" i="25"/>
  <c r="K53" i="26"/>
  <c r="O53" i="26"/>
  <c r="BX53" i="25"/>
  <c r="K54" i="26"/>
  <c r="O54" i="26"/>
  <c r="BX54" i="25"/>
  <c r="K55" i="26"/>
  <c r="O55" i="26"/>
  <c r="BX55" i="25"/>
  <c r="K56" i="26"/>
  <c r="O56" i="26"/>
  <c r="BX56" i="25"/>
  <c r="K57" i="26"/>
  <c r="O57" i="26"/>
  <c r="BX57" i="25"/>
  <c r="K58" i="26"/>
  <c r="O58" i="26"/>
  <c r="BX58" i="25"/>
  <c r="K59" i="26"/>
  <c r="O59" i="26"/>
  <c r="BX59" i="25"/>
  <c r="K60" i="26"/>
  <c r="O60" i="26"/>
  <c r="BX60" i="25"/>
  <c r="K61" i="26"/>
  <c r="O61" i="26"/>
  <c r="BX61" i="25"/>
  <c r="K62" i="26"/>
  <c r="O62" i="26"/>
  <c r="BX62" i="25"/>
  <c r="K63" i="26"/>
  <c r="O63" i="26"/>
  <c r="BX63" i="25"/>
  <c r="K64" i="26"/>
  <c r="O64" i="26"/>
  <c r="BX64" i="25"/>
  <c r="K65" i="26"/>
  <c r="O65" i="26"/>
  <c r="BX65" i="25"/>
  <c r="K66" i="26"/>
  <c r="O66" i="26"/>
  <c r="BX66" i="25"/>
  <c r="K67" i="26"/>
  <c r="O67" i="26"/>
  <c r="BX67" i="25"/>
  <c r="K68" i="26"/>
  <c r="O68" i="26"/>
  <c r="BX68" i="25"/>
  <c r="K69" i="26"/>
  <c r="O69" i="26"/>
  <c r="BX69" i="25"/>
  <c r="K70" i="26"/>
  <c r="O70" i="26"/>
  <c r="BX70" i="25"/>
  <c r="K71" i="26"/>
  <c r="O71" i="26"/>
  <c r="BX71" i="25"/>
  <c r="K72" i="26"/>
  <c r="O72" i="26"/>
  <c r="BX72" i="25"/>
  <c r="K73" i="26"/>
  <c r="O73" i="26"/>
  <c r="BX73" i="25"/>
  <c r="K74" i="26"/>
  <c r="O74" i="26"/>
  <c r="BX74" i="25"/>
  <c r="K75" i="26"/>
  <c r="O75" i="26"/>
  <c r="BX75" i="25"/>
  <c r="K76" i="26"/>
  <c r="O76" i="26"/>
  <c r="BX76" i="25"/>
  <c r="K77" i="26"/>
  <c r="O77" i="26"/>
  <c r="BX77" i="25"/>
  <c r="BB11" i="2"/>
  <c r="BL11" i="2" s="1"/>
  <c r="BB12" i="2"/>
  <c r="BL12" i="2" s="1"/>
  <c r="BB13" i="2"/>
  <c r="BL13" i="2" s="1"/>
  <c r="BB14" i="2"/>
  <c r="BL14" i="2" s="1"/>
  <c r="BB15" i="2"/>
  <c r="BL15" i="2" s="1"/>
  <c r="BB16" i="2"/>
  <c r="BL16" i="2" s="1"/>
  <c r="BB17" i="2"/>
  <c r="BL17" i="2" s="1"/>
  <c r="BB18" i="2"/>
  <c r="BL18" i="2" s="1"/>
  <c r="BB19" i="2"/>
  <c r="BL19" i="2" s="1"/>
  <c r="BB20" i="2"/>
  <c r="BL20" i="2" s="1"/>
  <c r="BB21" i="2"/>
  <c r="BL21" i="2" s="1"/>
  <c r="BB22" i="2"/>
  <c r="BL22" i="2" s="1"/>
  <c r="BB23" i="2"/>
  <c r="BL23" i="2" s="1"/>
  <c r="BB24" i="2"/>
  <c r="BL24" i="2" s="1"/>
  <c r="BB25" i="2"/>
  <c r="BL25" i="2" s="1"/>
  <c r="BB26" i="2"/>
  <c r="BL26" i="2" s="1"/>
  <c r="BB27" i="2"/>
  <c r="BL27" i="2" s="1"/>
  <c r="BB28" i="2"/>
  <c r="BL28" i="2" s="1"/>
  <c r="BB29" i="2"/>
  <c r="BL29" i="2" s="1"/>
  <c r="BB30" i="2"/>
  <c r="BL30" i="2" s="1"/>
  <c r="BB31" i="2"/>
  <c r="BL31" i="2" s="1"/>
  <c r="BB32" i="2"/>
  <c r="BL32" i="2" s="1"/>
  <c r="BB33" i="2"/>
  <c r="BL33" i="2" s="1"/>
  <c r="BB34" i="2"/>
  <c r="BL34" i="2" s="1"/>
  <c r="BB35" i="2"/>
  <c r="BL35" i="2" s="1"/>
  <c r="BB36" i="2"/>
  <c r="BL36" i="2" s="1"/>
  <c r="BB37" i="2"/>
  <c r="BL37" i="2" s="1"/>
  <c r="BB38" i="2"/>
  <c r="BL38" i="2" s="1"/>
  <c r="BB39" i="2"/>
  <c r="BL39" i="2" s="1"/>
  <c r="BB40" i="2"/>
  <c r="BL40" i="2" s="1"/>
  <c r="BB41" i="2"/>
  <c r="BL41" i="2" s="1"/>
  <c r="BB42" i="2"/>
  <c r="BL42" i="2" s="1"/>
  <c r="BB44" i="2"/>
  <c r="BL44" i="2" s="1"/>
  <c r="BB45" i="2"/>
  <c r="BL45" i="2" s="1"/>
  <c r="BB46" i="2"/>
  <c r="BL46" i="2" s="1"/>
  <c r="BB47" i="2"/>
  <c r="BL47" i="2" s="1"/>
  <c r="BB48" i="2"/>
  <c r="BL48" i="2" s="1"/>
  <c r="BB49" i="2"/>
  <c r="BL49" i="2" s="1"/>
  <c r="BB50" i="2"/>
  <c r="BL50" i="2" s="1"/>
  <c r="BB51" i="2"/>
  <c r="BL51" i="2" s="1"/>
  <c r="BB52" i="2"/>
  <c r="BL52" i="2" s="1"/>
  <c r="BB53" i="2"/>
  <c r="BL53" i="2" s="1"/>
  <c r="BB54" i="2"/>
  <c r="BL54" i="2" s="1"/>
  <c r="BB55" i="2"/>
  <c r="BB56" i="2"/>
  <c r="BB57" i="2"/>
  <c r="BL57" i="2" s="1"/>
  <c r="BB58" i="2"/>
  <c r="BL58" i="2" s="1"/>
  <c r="BB59" i="2"/>
  <c r="BL59" i="2" s="1"/>
  <c r="BB61" i="2"/>
  <c r="BL61" i="2" s="1"/>
  <c r="BB62" i="2"/>
  <c r="BL62" i="2" s="1"/>
  <c r="BB63" i="2"/>
  <c r="BL63" i="2" s="1"/>
  <c r="BB64" i="2"/>
  <c r="BL64" i="2" s="1"/>
  <c r="BB65" i="2"/>
  <c r="BL65" i="2" s="1"/>
  <c r="BB66" i="2"/>
  <c r="BL66" i="2" s="1"/>
  <c r="BB67" i="2"/>
  <c r="BL67" i="2" s="1"/>
  <c r="BB68" i="2"/>
  <c r="BL68" i="2" s="1"/>
  <c r="BB69" i="2"/>
  <c r="BL69" i="2" s="1"/>
  <c r="BB70" i="2"/>
  <c r="BL70" i="2" s="1"/>
  <c r="BB71" i="2"/>
  <c r="BL71" i="2" s="1"/>
  <c r="BB72" i="2"/>
  <c r="BL72" i="2" s="1"/>
  <c r="BB73" i="2"/>
  <c r="BL73" i="2" s="1"/>
  <c r="BB74" i="2"/>
  <c r="BL74" i="2" s="1"/>
  <c r="BB75" i="2"/>
  <c r="BL75" i="2" s="1"/>
  <c r="BB76" i="2"/>
  <c r="BL76" i="2" s="1"/>
  <c r="BB77" i="2"/>
  <c r="BL77" i="2" s="1"/>
  <c r="BB78" i="2"/>
  <c r="BL78" i="2" s="1"/>
  <c r="BB79" i="2"/>
  <c r="BL79" i="2" s="1"/>
  <c r="BB80" i="2"/>
  <c r="BL80" i="2" s="1"/>
  <c r="BB81" i="2"/>
  <c r="BL81" i="2" s="1"/>
  <c r="BB82" i="2"/>
  <c r="BL82" i="2" s="1"/>
  <c r="BB83" i="2"/>
  <c r="BL83" i="2" s="1"/>
  <c r="BB84" i="2"/>
  <c r="BL84" i="2" s="1"/>
  <c r="BB85" i="2"/>
  <c r="BL85" i="2" s="1"/>
  <c r="BB86" i="2"/>
  <c r="BL86" i="2" s="1"/>
  <c r="BB87" i="2"/>
  <c r="BL87" i="2" s="1"/>
  <c r="BB88" i="2"/>
  <c r="BL88" i="2" s="1"/>
  <c r="BB90" i="2"/>
  <c r="BL90" i="2" s="1"/>
  <c r="BB91" i="2"/>
  <c r="BL91" i="2" s="1"/>
  <c r="BB92" i="2"/>
  <c r="BL92" i="2" s="1"/>
  <c r="BB93" i="2"/>
  <c r="BL93" i="2" s="1"/>
  <c r="BB94" i="2"/>
  <c r="BL94" i="2" s="1"/>
  <c r="Y11" i="1"/>
  <c r="AK11" i="1"/>
  <c r="Y12" i="1"/>
  <c r="AK12" i="1"/>
  <c r="Y13" i="1"/>
  <c r="AK13" i="1"/>
  <c r="Y14" i="1"/>
  <c r="AK14" i="1"/>
  <c r="Y15" i="1"/>
  <c r="AK15" i="1"/>
  <c r="Y16" i="1"/>
  <c r="AK16" i="1"/>
  <c r="Y17" i="1"/>
  <c r="AK17" i="1"/>
  <c r="Y18" i="1"/>
  <c r="AK18" i="1"/>
  <c r="Y19" i="1"/>
  <c r="AM19" i="1" s="1"/>
  <c r="Y20" i="1"/>
  <c r="AK20" i="1"/>
  <c r="Y21" i="1"/>
  <c r="AK21" i="1"/>
  <c r="Y22" i="1"/>
  <c r="AK22" i="1"/>
  <c r="Y23" i="1"/>
  <c r="AK23" i="1"/>
  <c r="Y24" i="1"/>
  <c r="AK24" i="1"/>
  <c r="Y25" i="1"/>
  <c r="AK25" i="1"/>
  <c r="Y26" i="1"/>
  <c r="AK26" i="1"/>
  <c r="Y27" i="1"/>
  <c r="AK27" i="1"/>
  <c r="Y28" i="1"/>
  <c r="AK28" i="1"/>
  <c r="Y29" i="1"/>
  <c r="AK29" i="1"/>
  <c r="Y30" i="1"/>
  <c r="AK30" i="1"/>
  <c r="Y31" i="1"/>
  <c r="AK31" i="1"/>
  <c r="Y32" i="1"/>
  <c r="AK32" i="1"/>
  <c r="Y33" i="1"/>
  <c r="AK33" i="1"/>
  <c r="Y34" i="1"/>
  <c r="AK34" i="1"/>
  <c r="Y35" i="1"/>
  <c r="AK35" i="1"/>
  <c r="Y36" i="1"/>
  <c r="AK36" i="1"/>
  <c r="Y37" i="1"/>
  <c r="AK37" i="1"/>
  <c r="Y38" i="1"/>
  <c r="AK38" i="1"/>
  <c r="Y39" i="1"/>
  <c r="AK39" i="1"/>
  <c r="Y40" i="1"/>
  <c r="AK40" i="1"/>
  <c r="Y41" i="1"/>
  <c r="AK41" i="1"/>
  <c r="Y42" i="1"/>
  <c r="AK42" i="1"/>
  <c r="Y44" i="1"/>
  <c r="AK44" i="1"/>
  <c r="Y45" i="1"/>
  <c r="AK45" i="1"/>
  <c r="Y46" i="1"/>
  <c r="AK46" i="1"/>
  <c r="Y47" i="1"/>
  <c r="AK47" i="1"/>
  <c r="Y48" i="1"/>
  <c r="AK48" i="1"/>
  <c r="Y49" i="1"/>
  <c r="AK49" i="1"/>
  <c r="Y50" i="1"/>
  <c r="AK50" i="1"/>
  <c r="Y51" i="1"/>
  <c r="AK51" i="1"/>
  <c r="Y52" i="1"/>
  <c r="AK52" i="1"/>
  <c r="Y53" i="1"/>
  <c r="AK53" i="1"/>
  <c r="Y54" i="1"/>
  <c r="AK54" i="1"/>
  <c r="Y55" i="1"/>
  <c r="AK55" i="1"/>
  <c r="Y56" i="1"/>
  <c r="AK56" i="1"/>
  <c r="Y57" i="1"/>
  <c r="AK57" i="1"/>
  <c r="Y58" i="1"/>
  <c r="AK58" i="1"/>
  <c r="Y59" i="1"/>
  <c r="AK59" i="1"/>
  <c r="Y61" i="1"/>
  <c r="AK61" i="1"/>
  <c r="Y62" i="1"/>
  <c r="AK62" i="1"/>
  <c r="Y63" i="1"/>
  <c r="AK63" i="1"/>
  <c r="Y64" i="1"/>
  <c r="AK64" i="1"/>
  <c r="Y65" i="1"/>
  <c r="AK65" i="1"/>
  <c r="Y66" i="1"/>
  <c r="AK66" i="1"/>
  <c r="Y67" i="1"/>
  <c r="AK67" i="1"/>
  <c r="Y68" i="1"/>
  <c r="AK68" i="1"/>
  <c r="Y69" i="1"/>
  <c r="AK69" i="1"/>
  <c r="Y70" i="1"/>
  <c r="AK70" i="1"/>
  <c r="Y71" i="1"/>
  <c r="AK71" i="1"/>
  <c r="Y72" i="1"/>
  <c r="AK72" i="1"/>
  <c r="Y73" i="1"/>
  <c r="AK73" i="1"/>
  <c r="Y74" i="1"/>
  <c r="AK74" i="1"/>
  <c r="Y75" i="1"/>
  <c r="AK75" i="1"/>
  <c r="Y76" i="1"/>
  <c r="AK76" i="1"/>
  <c r="Y77" i="1"/>
  <c r="AK77" i="1"/>
  <c r="Y78" i="1"/>
  <c r="AK78" i="1"/>
  <c r="Y79" i="1"/>
  <c r="AK79" i="1"/>
  <c r="Y80" i="1"/>
  <c r="AK80" i="1"/>
  <c r="Y81" i="1"/>
  <c r="AK81" i="1"/>
  <c r="Y82" i="1"/>
  <c r="AK82" i="1"/>
  <c r="Y83" i="1"/>
  <c r="AK83" i="1"/>
  <c r="Y84" i="1"/>
  <c r="AK84" i="1"/>
  <c r="Y85" i="1"/>
  <c r="AK85" i="1"/>
  <c r="Y86" i="1"/>
  <c r="AK86" i="1"/>
  <c r="K11" i="14"/>
  <c r="O11" i="14"/>
  <c r="K12" i="14"/>
  <c r="AG12" i="14" s="1"/>
  <c r="AY11" i="17"/>
  <c r="AY12" i="17"/>
  <c r="AY13" i="17"/>
  <c r="AY14" i="17"/>
  <c r="AY15" i="17"/>
  <c r="AY16" i="17"/>
  <c r="AY17" i="17"/>
  <c r="AY18" i="17"/>
  <c r="AY19" i="17"/>
  <c r="AY20" i="17"/>
  <c r="AY21" i="17"/>
  <c r="AY22" i="17"/>
  <c r="AY23" i="17"/>
  <c r="AY24" i="17"/>
  <c r="AY25" i="17"/>
  <c r="AY26" i="17"/>
  <c r="AY27" i="17"/>
  <c r="AY28" i="17"/>
  <c r="AY29" i="17"/>
  <c r="AY30" i="17"/>
  <c r="AY31" i="17"/>
  <c r="AY32" i="17"/>
  <c r="AY33" i="17"/>
  <c r="AY34" i="17"/>
  <c r="AY35" i="17"/>
  <c r="AY36" i="17"/>
  <c r="AY37" i="17"/>
  <c r="AY38" i="17"/>
  <c r="AY39" i="17"/>
  <c r="AY40" i="17"/>
  <c r="AY41" i="17"/>
  <c r="AY42" i="17"/>
  <c r="AY44" i="17"/>
  <c r="AY45" i="17"/>
  <c r="AY46" i="17"/>
  <c r="AY47" i="17"/>
  <c r="AY48" i="17"/>
  <c r="AY49" i="17"/>
  <c r="AY50" i="17"/>
  <c r="AY51" i="17"/>
  <c r="AY52" i="17"/>
  <c r="AY53" i="17"/>
  <c r="AY54" i="17"/>
  <c r="AY55" i="17"/>
  <c r="AY56" i="17"/>
  <c r="AY57" i="17"/>
  <c r="AY58" i="17"/>
  <c r="AY59" i="17"/>
  <c r="AY60" i="17"/>
  <c r="AY61" i="17"/>
  <c r="AY62" i="17"/>
  <c r="AY63" i="17"/>
  <c r="AY64" i="17"/>
  <c r="AY65" i="17"/>
  <c r="AY66" i="17"/>
  <c r="AY67" i="17"/>
  <c r="AY68" i="17"/>
  <c r="AY69" i="17"/>
  <c r="AY70" i="17"/>
  <c r="AY71" i="17"/>
  <c r="AY72" i="17"/>
  <c r="AY73" i="17"/>
  <c r="AY74" i="17"/>
  <c r="AY75" i="17"/>
  <c r="AY76" i="17"/>
  <c r="AY77" i="17"/>
  <c r="AY78" i="17"/>
  <c r="AY79" i="17"/>
  <c r="AY80" i="17"/>
  <c r="AY81" i="17"/>
  <c r="AY82" i="17"/>
  <c r="AY83" i="17"/>
  <c r="M11" i="15"/>
  <c r="AG11" i="15"/>
  <c r="M12" i="15"/>
  <c r="AG12" i="15"/>
  <c r="M13" i="15"/>
  <c r="AG13" i="15"/>
  <c r="M14" i="15"/>
  <c r="AG14" i="15"/>
  <c r="M15" i="15"/>
  <c r="AG15" i="15"/>
  <c r="M16" i="15"/>
  <c r="AG16" i="15"/>
  <c r="M17" i="15"/>
  <c r="AG17" i="15"/>
  <c r="M18" i="15"/>
  <c r="AG18" i="15"/>
  <c r="M19" i="15"/>
  <c r="AG19" i="15"/>
  <c r="M20" i="15"/>
  <c r="AG20" i="15"/>
  <c r="M21" i="15"/>
  <c r="AG21" i="15"/>
  <c r="M22" i="15"/>
  <c r="AG22" i="15"/>
  <c r="M23" i="15"/>
  <c r="AG23" i="15"/>
  <c r="M24" i="15"/>
  <c r="AG24" i="15"/>
  <c r="M25" i="15"/>
  <c r="AG25" i="15"/>
  <c r="M26" i="15"/>
  <c r="AG26" i="15"/>
  <c r="M27" i="15"/>
  <c r="AG27" i="15"/>
  <c r="M28" i="15"/>
  <c r="AG28" i="15"/>
  <c r="M29" i="15"/>
  <c r="AG29" i="15"/>
  <c r="M30" i="15"/>
  <c r="AG30" i="15"/>
  <c r="M31" i="15"/>
  <c r="AG31" i="15"/>
  <c r="M32" i="15"/>
  <c r="AG32" i="15"/>
  <c r="M33" i="15"/>
  <c r="AG33" i="15"/>
  <c r="M34" i="15"/>
  <c r="AG34" i="15"/>
  <c r="M35" i="15"/>
  <c r="AG35" i="15"/>
  <c r="M36" i="15"/>
  <c r="AG36" i="15"/>
  <c r="M37" i="15"/>
  <c r="AG37" i="15"/>
  <c r="M38" i="15"/>
  <c r="AG38" i="15"/>
  <c r="M39" i="15"/>
  <c r="AG39" i="15"/>
  <c r="M40" i="15"/>
  <c r="AG40" i="15"/>
  <c r="M41" i="15"/>
  <c r="AG41" i="15"/>
  <c r="M42" i="15"/>
  <c r="AG42" i="15"/>
  <c r="M44" i="15"/>
  <c r="AG44" i="15"/>
  <c r="M45" i="15"/>
  <c r="AG45" i="15"/>
  <c r="M46" i="15"/>
  <c r="AG46" i="15"/>
  <c r="M47" i="15"/>
  <c r="AG47" i="15"/>
  <c r="M48" i="15"/>
  <c r="AG48" i="15"/>
  <c r="M49" i="15"/>
  <c r="AG49" i="15"/>
  <c r="M50" i="15"/>
  <c r="AG50" i="15"/>
  <c r="M51" i="15"/>
  <c r="AG51" i="15"/>
  <c r="M52" i="15"/>
  <c r="AG52" i="15"/>
  <c r="M53" i="15"/>
  <c r="AG53" i="15"/>
  <c r="M54" i="15"/>
  <c r="AG54" i="15"/>
  <c r="M55" i="15"/>
  <c r="AG55" i="15"/>
  <c r="M56" i="15"/>
  <c r="AG56" i="15"/>
  <c r="M57" i="15"/>
  <c r="AG57" i="15"/>
  <c r="M58" i="15"/>
  <c r="AG58" i="15"/>
  <c r="M59" i="15"/>
  <c r="AG59" i="15"/>
  <c r="M60" i="15"/>
  <c r="AG60" i="15"/>
  <c r="M61" i="15"/>
  <c r="AG61" i="15"/>
  <c r="M62" i="15"/>
  <c r="AG62" i="15"/>
  <c r="M63" i="15"/>
  <c r="AG63" i="15"/>
  <c r="M64" i="15"/>
  <c r="AG64" i="15"/>
  <c r="M65" i="15"/>
  <c r="AG65" i="15"/>
  <c r="M66" i="15"/>
  <c r="AG66" i="15"/>
  <c r="M67" i="15"/>
  <c r="AG67" i="15"/>
  <c r="M68" i="15"/>
  <c r="AG68" i="15"/>
  <c r="M69" i="15"/>
  <c r="AG69" i="15"/>
  <c r="M70" i="15"/>
  <c r="AG70" i="15"/>
  <c r="M71" i="15"/>
  <c r="AG71" i="15"/>
  <c r="M72" i="15"/>
  <c r="AG72" i="15"/>
  <c r="M73" i="15"/>
  <c r="AG73" i="15"/>
  <c r="M74" i="15"/>
  <c r="AG74" i="15"/>
  <c r="M75" i="15"/>
  <c r="AG75" i="15"/>
  <c r="M76" i="15"/>
  <c r="AG76" i="15"/>
  <c r="M77" i="15"/>
  <c r="AG77" i="15"/>
  <c r="M78" i="15"/>
  <c r="AG78" i="15"/>
  <c r="M79" i="15"/>
  <c r="AG79" i="15"/>
  <c r="M80" i="15"/>
  <c r="AG80" i="15"/>
  <c r="M81" i="15"/>
  <c r="AG81" i="15"/>
  <c r="M82" i="15"/>
  <c r="AG82" i="15"/>
  <c r="W11" i="16"/>
  <c r="AB11" i="16"/>
  <c r="W12" i="16"/>
  <c r="AB12" i="16"/>
  <c r="AB13" i="16"/>
  <c r="W14" i="16"/>
  <c r="AB14" i="16"/>
  <c r="W15" i="16"/>
  <c r="AB15" i="16"/>
  <c r="W16" i="16"/>
  <c r="AB16" i="16"/>
  <c r="W17" i="16"/>
  <c r="AB17" i="16"/>
  <c r="W18" i="16"/>
  <c r="AB18" i="16"/>
  <c r="W19" i="16"/>
  <c r="AB19" i="16"/>
  <c r="W20" i="16"/>
  <c r="AB20" i="16"/>
  <c r="W21" i="16"/>
  <c r="AB21" i="16"/>
  <c r="W22" i="16"/>
  <c r="AB22" i="16"/>
  <c r="W23" i="16"/>
  <c r="AB23" i="16"/>
  <c r="W24" i="16"/>
  <c r="AB24" i="16"/>
  <c r="W25" i="16"/>
  <c r="AB25" i="16"/>
  <c r="W26" i="16"/>
  <c r="AB26" i="16"/>
  <c r="W27" i="16"/>
  <c r="AB27" i="16"/>
  <c r="W28" i="16"/>
  <c r="AB28" i="16"/>
  <c r="W29" i="16"/>
  <c r="AB29" i="16"/>
  <c r="W30" i="16"/>
  <c r="AB30" i="16"/>
  <c r="W31" i="16"/>
  <c r="AB31" i="16"/>
  <c r="W32" i="16"/>
  <c r="AB32" i="16"/>
  <c r="G33" i="16"/>
  <c r="W33" i="16"/>
  <c r="AB33" i="16"/>
  <c r="G34" i="16"/>
  <c r="W34" i="16"/>
  <c r="AB34" i="16"/>
  <c r="G35" i="16"/>
  <c r="W35" i="16"/>
  <c r="AB35" i="16"/>
  <c r="G36" i="16"/>
  <c r="W36" i="16"/>
  <c r="AB36" i="16"/>
  <c r="G37" i="16"/>
  <c r="W37" i="16"/>
  <c r="AB37" i="16"/>
  <c r="G38" i="16"/>
  <c r="W38" i="16"/>
  <c r="AB38" i="16"/>
  <c r="W39" i="16"/>
  <c r="AD39" i="16" s="1"/>
  <c r="AB39" i="16"/>
  <c r="G40" i="16"/>
  <c r="W40" i="16"/>
  <c r="AB40" i="16"/>
  <c r="G41" i="16"/>
  <c r="W41" i="16"/>
  <c r="AB41" i="16"/>
  <c r="G42" i="16"/>
  <c r="W42" i="16"/>
  <c r="AB42" i="16"/>
  <c r="G44" i="16"/>
  <c r="W44" i="16"/>
  <c r="AB44" i="16"/>
  <c r="G45" i="16"/>
  <c r="W45" i="16"/>
  <c r="AB45" i="16"/>
  <c r="G46" i="16"/>
  <c r="W46" i="16"/>
  <c r="AB46" i="16"/>
  <c r="G47" i="16"/>
  <c r="W47" i="16"/>
  <c r="AB47" i="16"/>
  <c r="G48" i="16"/>
  <c r="W48" i="16"/>
  <c r="AB48" i="16"/>
  <c r="G49" i="16"/>
  <c r="W49" i="16"/>
  <c r="AB49" i="16"/>
  <c r="G50" i="16"/>
  <c r="W50" i="16"/>
  <c r="AB50" i="16"/>
  <c r="G51" i="16"/>
  <c r="W51" i="16"/>
  <c r="AB51" i="16"/>
  <c r="G52" i="16"/>
  <c r="W52" i="16"/>
  <c r="AB52" i="16"/>
  <c r="G53" i="16"/>
  <c r="W53" i="16"/>
  <c r="AB53" i="16"/>
  <c r="G54" i="16"/>
  <c r="W54" i="16"/>
  <c r="AB54" i="16"/>
  <c r="G55" i="16"/>
  <c r="W55" i="16"/>
  <c r="AB55" i="16"/>
  <c r="G56" i="16"/>
  <c r="W56" i="16"/>
  <c r="AB56" i="16"/>
  <c r="G57" i="16"/>
  <c r="W57" i="16"/>
  <c r="AB57" i="16"/>
  <c r="G58" i="16"/>
  <c r="W58" i="16"/>
  <c r="AB58" i="16"/>
  <c r="G59" i="16"/>
  <c r="W59" i="16"/>
  <c r="AB59" i="16"/>
  <c r="G60" i="16"/>
  <c r="W60" i="16"/>
  <c r="AB60" i="16"/>
  <c r="G61" i="16"/>
  <c r="W61" i="16"/>
  <c r="AB61" i="16"/>
  <c r="G62" i="16"/>
  <c r="W62" i="16"/>
  <c r="AB62" i="16"/>
  <c r="G63" i="16"/>
  <c r="W63" i="16"/>
  <c r="AB63" i="16"/>
  <c r="G64" i="16"/>
  <c r="W64" i="16"/>
  <c r="AB64" i="16"/>
  <c r="G65" i="16"/>
  <c r="W65" i="16"/>
  <c r="AB65" i="16"/>
  <c r="G66" i="16"/>
  <c r="W66" i="16"/>
  <c r="AB66" i="16"/>
  <c r="G67" i="16"/>
  <c r="W67" i="16"/>
  <c r="AB67" i="16"/>
  <c r="G68" i="16"/>
  <c r="W68" i="16"/>
  <c r="AB68" i="16"/>
  <c r="G69" i="16"/>
  <c r="W69" i="16"/>
  <c r="AB69" i="16"/>
  <c r="G70" i="16"/>
  <c r="W70" i="16"/>
  <c r="AB70" i="16"/>
  <c r="G71" i="16"/>
  <c r="W71" i="16"/>
  <c r="AB71" i="16"/>
  <c r="G72" i="16"/>
  <c r="W72" i="16"/>
  <c r="AB72" i="16"/>
  <c r="G73" i="16"/>
  <c r="W73" i="16"/>
  <c r="AB73" i="16"/>
  <c r="G74" i="16"/>
  <c r="W74" i="16"/>
  <c r="AB74" i="16"/>
  <c r="G75" i="16"/>
  <c r="W75" i="16"/>
  <c r="AB75" i="16"/>
  <c r="G76" i="16"/>
  <c r="W76" i="16"/>
  <c r="AB76" i="16"/>
  <c r="G77" i="16"/>
  <c r="W77" i="16"/>
  <c r="AB77" i="16"/>
  <c r="AG77" i="26" l="1"/>
  <c r="AG75" i="26"/>
  <c r="AG73" i="26"/>
  <c r="AG71" i="26"/>
  <c r="AG69" i="26"/>
  <c r="AG67" i="26"/>
  <c r="AG65" i="26"/>
  <c r="AG63" i="26"/>
  <c r="AG61" i="26"/>
  <c r="AG59" i="26"/>
  <c r="AG57" i="26"/>
  <c r="AG55" i="26"/>
  <c r="AG53" i="26"/>
  <c r="AG51" i="26"/>
  <c r="AG49" i="26"/>
  <c r="AG47" i="26"/>
  <c r="AG45" i="26"/>
  <c r="AG42" i="26"/>
  <c r="AG40" i="26"/>
  <c r="AG38" i="26"/>
  <c r="AG36" i="26"/>
  <c r="AG34" i="26"/>
  <c r="AG32" i="26"/>
  <c r="AG30" i="26"/>
  <c r="AG28" i="26"/>
  <c r="AG26" i="26"/>
  <c r="AG24" i="26"/>
  <c r="AG22" i="26"/>
  <c r="AG20" i="26"/>
  <c r="AG17" i="26"/>
  <c r="AG15" i="26"/>
  <c r="AG13" i="26"/>
  <c r="BN19" i="2"/>
  <c r="AG76" i="26"/>
  <c r="AG74" i="26"/>
  <c r="AG72" i="26"/>
  <c r="AG70" i="26"/>
  <c r="AG68" i="26"/>
  <c r="AG66" i="26"/>
  <c r="AG64" i="26"/>
  <c r="AG62" i="26"/>
  <c r="AG60" i="26"/>
  <c r="AG58" i="26"/>
  <c r="AG56" i="26"/>
  <c r="AG54" i="26"/>
  <c r="AG52" i="26"/>
  <c r="AG50" i="26"/>
  <c r="AG48" i="26"/>
  <c r="AG46" i="26"/>
  <c r="AG44" i="26"/>
  <c r="AG41" i="26"/>
  <c r="AG39" i="26"/>
  <c r="AG37" i="26"/>
  <c r="AG35" i="26"/>
  <c r="AG33" i="26"/>
  <c r="AG31" i="26"/>
  <c r="AG29" i="26"/>
  <c r="AG27" i="26"/>
  <c r="AG25" i="26"/>
  <c r="AG23" i="26"/>
  <c r="AG21" i="26"/>
  <c r="AG18" i="26"/>
  <c r="AG16" i="26"/>
  <c r="AG14" i="26"/>
  <c r="AG12" i="26"/>
  <c r="AG11" i="26"/>
  <c r="AG11" i="14"/>
  <c r="AM29" i="1"/>
  <c r="BN29" i="2" s="1"/>
  <c r="BV29" i="2" s="1"/>
  <c r="BX29" i="2" s="1"/>
  <c r="AM57" i="1"/>
  <c r="BN57" i="2" s="1"/>
  <c r="BV57" i="2" s="1"/>
  <c r="BX57" i="2" s="1"/>
  <c r="AM41" i="1"/>
  <c r="BN41" i="2" s="1"/>
  <c r="BV41" i="2" s="1"/>
  <c r="BX41" i="2" s="1"/>
  <c r="AM37" i="1"/>
  <c r="BN37" i="2" s="1"/>
  <c r="BV37" i="2" s="1"/>
  <c r="BX37" i="2" s="1"/>
  <c r="AM33" i="1"/>
  <c r="BN33" i="2" s="1"/>
  <c r="BV33" i="2" s="1"/>
  <c r="BX33" i="2" s="1"/>
  <c r="AM31" i="1"/>
  <c r="BN31" i="2" s="1"/>
  <c r="BV31" i="2" s="1"/>
  <c r="BX31" i="2" s="1"/>
  <c r="AM30" i="1"/>
  <c r="BN30" i="2" s="1"/>
  <c r="BV30" i="2" s="1"/>
  <c r="BX30" i="2" s="1"/>
  <c r="AM16" i="1"/>
  <c r="BN16" i="2" s="1"/>
  <c r="BV16" i="2" s="1"/>
  <c r="BX16" i="2" s="1"/>
  <c r="AM12" i="1"/>
  <c r="BN12" i="2" s="1"/>
  <c r="BV12" i="2" s="1"/>
  <c r="BX12" i="2" s="1"/>
  <c r="AM11" i="1"/>
  <c r="AM66" i="1"/>
  <c r="AM59" i="1"/>
  <c r="BV60" i="2" s="1"/>
  <c r="BX60" i="2" s="1"/>
  <c r="AM58" i="1"/>
  <c r="BN58" i="2" s="1"/>
  <c r="BV58" i="2" s="1"/>
  <c r="BX58" i="2" s="1"/>
  <c r="AM81" i="1"/>
  <c r="AM78" i="1"/>
  <c r="BN78" i="2" s="1"/>
  <c r="AM69" i="1"/>
  <c r="AM68" i="1"/>
  <c r="AM67" i="1"/>
  <c r="BN67" i="2" s="1"/>
  <c r="BV67" i="2" s="1"/>
  <c r="BX67" i="2" s="1"/>
  <c r="AM47" i="1"/>
  <c r="BN47" i="2" s="1"/>
  <c r="BV47" i="2" s="1"/>
  <c r="BX47" i="2" s="1"/>
  <c r="AM44" i="1"/>
  <c r="BN44" i="2" s="1"/>
  <c r="BV44" i="2" s="1"/>
  <c r="BX44" i="2" s="1"/>
  <c r="AM42" i="1"/>
  <c r="BN42" i="2" s="1"/>
  <c r="BV42" i="2" s="1"/>
  <c r="BX42" i="2" s="1"/>
  <c r="AM22" i="1"/>
  <c r="BN22" i="2" s="1"/>
  <c r="BV22" i="2" s="1"/>
  <c r="BX22" i="2" s="1"/>
  <c r="AM84" i="1"/>
  <c r="BN84" i="2" s="1"/>
  <c r="AM83" i="1"/>
  <c r="BN83" i="2" s="1"/>
  <c r="BV83" i="2" s="1"/>
  <c r="BX83" i="2" s="1"/>
  <c r="AM82" i="1"/>
  <c r="AM63" i="1"/>
  <c r="BN63" i="2" s="1"/>
  <c r="BV63" i="2" s="1"/>
  <c r="BX63" i="2" s="1"/>
  <c r="AM62" i="1"/>
  <c r="BN62" i="2" s="1"/>
  <c r="AM49" i="1"/>
  <c r="BN49" i="2" s="1"/>
  <c r="BV49" i="2" s="1"/>
  <c r="BX49" i="2" s="1"/>
  <c r="AM48" i="1"/>
  <c r="BN48" i="2" s="1"/>
  <c r="BV48" i="2" s="1"/>
  <c r="BX48" i="2" s="1"/>
  <c r="AM39" i="1"/>
  <c r="BN39" i="2" s="1"/>
  <c r="BV39" i="2" s="1"/>
  <c r="BX39" i="2" s="1"/>
  <c r="AM38" i="1"/>
  <c r="BN38" i="2" s="1"/>
  <c r="BV38" i="2" s="1"/>
  <c r="BX38" i="2" s="1"/>
  <c r="AM27" i="1"/>
  <c r="BN27" i="2" s="1"/>
  <c r="BV27" i="2" s="1"/>
  <c r="BX27" i="2" s="1"/>
  <c r="AM23" i="1"/>
  <c r="BN23" i="2" s="1"/>
  <c r="BV23" i="2" s="1"/>
  <c r="BX23" i="2" s="1"/>
  <c r="AM18" i="1"/>
  <c r="BN18" i="2" s="1"/>
  <c r="BV18" i="2" s="1"/>
  <c r="BX18" i="2" s="1"/>
  <c r="AM17" i="1"/>
  <c r="BN17" i="2" s="1"/>
  <c r="BV17" i="2" s="1"/>
  <c r="BX17" i="2" s="1"/>
  <c r="AM86" i="1"/>
  <c r="BN86" i="2" s="1"/>
  <c r="BV86" i="2" s="1"/>
  <c r="BX86" i="2" s="1"/>
  <c r="AM85" i="1"/>
  <c r="BN85" i="2" s="1"/>
  <c r="AM80" i="1"/>
  <c r="AM79" i="1"/>
  <c r="AM65" i="1"/>
  <c r="AM64" i="1"/>
  <c r="BN64" i="2" s="1"/>
  <c r="AM61" i="1"/>
  <c r="BN61" i="2" s="1"/>
  <c r="BV61" i="2" s="1"/>
  <c r="BX61" i="2" s="1"/>
  <c r="AM50" i="1"/>
  <c r="BN50" i="2" s="1"/>
  <c r="BV50" i="2" s="1"/>
  <c r="BX50" i="2" s="1"/>
  <c r="AM46" i="1"/>
  <c r="BN46" i="2" s="1"/>
  <c r="BV46" i="2" s="1"/>
  <c r="BX46" i="2" s="1"/>
  <c r="AM45" i="1"/>
  <c r="BN45" i="2" s="1"/>
  <c r="BV45" i="2" s="1"/>
  <c r="BX45" i="2" s="1"/>
  <c r="AM40" i="1"/>
  <c r="BN40" i="2" s="1"/>
  <c r="BV40" i="2" s="1"/>
  <c r="BX40" i="2" s="1"/>
  <c r="AM34" i="1"/>
  <c r="BN34" i="2" s="1"/>
  <c r="BV34" i="2" s="1"/>
  <c r="BX34" i="2" s="1"/>
  <c r="AM28" i="1"/>
  <c r="BN28" i="2" s="1"/>
  <c r="BV28" i="2" s="1"/>
  <c r="BX28" i="2" s="1"/>
  <c r="AM20" i="1"/>
  <c r="BN20" i="2" s="1"/>
  <c r="BV20" i="2" s="1"/>
  <c r="BX20" i="2" s="1"/>
  <c r="AM13" i="1"/>
  <c r="BN13" i="2" s="1"/>
  <c r="BV13" i="2" s="1"/>
  <c r="BX13" i="2" s="1"/>
  <c r="AD66" i="16"/>
  <c r="AD53" i="16"/>
  <c r="AD27" i="16"/>
  <c r="AI66" i="15"/>
  <c r="BA66" i="17" s="1"/>
  <c r="BE66" i="17" s="1"/>
  <c r="BG66" i="17" s="1"/>
  <c r="AI58" i="15"/>
  <c r="BA58" i="17" s="1"/>
  <c r="BE58" i="17" s="1"/>
  <c r="BG58" i="17" s="1"/>
  <c r="AI46" i="15"/>
  <c r="BA46" i="17" s="1"/>
  <c r="BE46" i="17" s="1"/>
  <c r="BG46" i="17" s="1"/>
  <c r="AI50" i="15"/>
  <c r="BA50" i="17" s="1"/>
  <c r="BE50" i="17" s="1"/>
  <c r="BG50" i="17" s="1"/>
  <c r="AI48" i="15"/>
  <c r="BA48" i="17" s="1"/>
  <c r="BE48" i="17" s="1"/>
  <c r="BG48" i="17" s="1"/>
  <c r="AI47" i="15"/>
  <c r="BA47" i="17" s="1"/>
  <c r="BE47" i="17" s="1"/>
  <c r="BG47" i="17" s="1"/>
  <c r="AD25" i="16"/>
  <c r="AI76" i="15"/>
  <c r="BA76" i="17" s="1"/>
  <c r="BE76" i="17" s="1"/>
  <c r="BG76" i="17" s="1"/>
  <c r="AI70" i="15"/>
  <c r="BA70" i="17" s="1"/>
  <c r="BE70" i="17" s="1"/>
  <c r="BG70" i="17" s="1"/>
  <c r="AI68" i="15"/>
  <c r="BA68" i="17" s="1"/>
  <c r="BE68" i="17" s="1"/>
  <c r="BG68" i="17" s="1"/>
  <c r="AI67" i="15"/>
  <c r="BA67" i="17" s="1"/>
  <c r="BE67" i="17" s="1"/>
  <c r="BG67" i="17" s="1"/>
  <c r="AI32" i="15"/>
  <c r="BA32" i="17" s="1"/>
  <c r="BE32" i="17" s="1"/>
  <c r="BG32" i="17" s="1"/>
  <c r="AI22" i="15"/>
  <c r="BA22" i="17" s="1"/>
  <c r="BE22" i="17" s="1"/>
  <c r="BG22" i="17" s="1"/>
  <c r="AI19" i="15"/>
  <c r="BA19" i="17" s="1"/>
  <c r="BE19" i="17" s="1"/>
  <c r="BG19" i="17" s="1"/>
  <c r="AI18" i="15"/>
  <c r="BA18" i="17" s="1"/>
  <c r="BE18" i="17" s="1"/>
  <c r="BG18" i="17" s="1"/>
  <c r="AI17" i="15"/>
  <c r="BA17" i="17" s="1"/>
  <c r="BE17" i="17" s="1"/>
  <c r="BG17" i="17" s="1"/>
  <c r="AI16" i="15"/>
  <c r="BA16" i="17" s="1"/>
  <c r="BE16" i="17" s="1"/>
  <c r="BG16" i="17" s="1"/>
  <c r="AI15" i="15"/>
  <c r="BA15" i="17" s="1"/>
  <c r="BE15" i="17" s="1"/>
  <c r="BG15" i="17" s="1"/>
  <c r="AI14" i="15"/>
  <c r="BA14" i="17" s="1"/>
  <c r="BE14" i="17" s="1"/>
  <c r="BG14" i="17" s="1"/>
  <c r="AI13" i="15"/>
  <c r="BA13" i="17" s="1"/>
  <c r="BE13" i="17" s="1"/>
  <c r="BG13" i="17" s="1"/>
  <c r="AI12" i="15"/>
  <c r="AI11" i="15"/>
  <c r="BA11" i="17" s="1"/>
  <c r="BE11" i="17" s="1"/>
  <c r="BG11" i="17" s="1"/>
  <c r="AD31" i="16"/>
  <c r="AI80" i="15"/>
  <c r="BA80" i="17" s="1"/>
  <c r="BE80" i="17" s="1"/>
  <c r="BG80" i="17" s="1"/>
  <c r="AI79" i="15"/>
  <c r="BA79" i="17" s="1"/>
  <c r="BE79" i="17" s="1"/>
  <c r="BG79" i="17" s="1"/>
  <c r="AI78" i="15"/>
  <c r="BA78" i="17" s="1"/>
  <c r="BE78" i="17" s="1"/>
  <c r="BG78" i="17" s="1"/>
  <c r="AI62" i="15"/>
  <c r="BA62" i="17" s="1"/>
  <c r="BE62" i="17" s="1"/>
  <c r="BG62" i="17" s="1"/>
  <c r="AI60" i="15"/>
  <c r="BA60" i="17" s="1"/>
  <c r="BE60" i="17" s="1"/>
  <c r="BG60" i="17" s="1"/>
  <c r="AI59" i="15"/>
  <c r="BA59" i="17" s="1"/>
  <c r="BE59" i="17" s="1"/>
  <c r="BG59" i="17" s="1"/>
  <c r="AI40" i="15"/>
  <c r="BA40" i="17" s="1"/>
  <c r="BE40" i="17" s="1"/>
  <c r="BG40" i="17" s="1"/>
  <c r="AI39" i="15"/>
  <c r="BA39" i="17" s="1"/>
  <c r="BE39" i="17" s="1"/>
  <c r="BG39" i="17" s="1"/>
  <c r="AI38" i="15"/>
  <c r="BA38" i="17" s="1"/>
  <c r="BE38" i="17" s="1"/>
  <c r="BG38" i="17" s="1"/>
  <c r="AI37" i="15"/>
  <c r="BA37" i="17" s="1"/>
  <c r="BE37" i="17" s="1"/>
  <c r="BG37" i="17" s="1"/>
  <c r="AI36" i="15"/>
  <c r="BA36" i="17" s="1"/>
  <c r="BE36" i="17" s="1"/>
  <c r="BG36" i="17" s="1"/>
  <c r="AI35" i="15"/>
  <c r="BA35" i="17" s="1"/>
  <c r="BE35" i="17" s="1"/>
  <c r="BG35" i="17" s="1"/>
  <c r="AI34" i="15"/>
  <c r="BA34" i="17" s="1"/>
  <c r="BE34" i="17" s="1"/>
  <c r="BG34" i="17" s="1"/>
  <c r="AI33" i="15"/>
  <c r="BA33" i="17" s="1"/>
  <c r="BE33" i="17" s="1"/>
  <c r="BG33" i="17" s="1"/>
  <c r="AD70" i="16"/>
  <c r="AD36" i="16"/>
  <c r="AD32" i="16"/>
  <c r="AD26" i="16"/>
  <c r="AD13" i="16"/>
  <c r="AI82" i="15"/>
  <c r="BA82" i="17" s="1"/>
  <c r="BE82" i="17" s="1"/>
  <c r="BG82" i="17" s="1"/>
  <c r="AI75" i="15"/>
  <c r="BA75" i="17" s="1"/>
  <c r="BE75" i="17" s="1"/>
  <c r="BG75" i="17" s="1"/>
  <c r="AI74" i="15"/>
  <c r="BA74" i="17" s="1"/>
  <c r="BE74" i="17" s="1"/>
  <c r="BG74" i="17" s="1"/>
  <c r="AI72" i="15"/>
  <c r="BA72" i="17" s="1"/>
  <c r="BE72" i="17" s="1"/>
  <c r="BG72" i="17" s="1"/>
  <c r="AI71" i="15"/>
  <c r="BA71" i="17" s="1"/>
  <c r="BE71" i="17" s="1"/>
  <c r="BG71" i="17" s="1"/>
  <c r="AI64" i="15"/>
  <c r="BA64" i="17" s="1"/>
  <c r="BE64" i="17" s="1"/>
  <c r="BG64" i="17" s="1"/>
  <c r="AI63" i="15"/>
  <c r="AI56" i="15"/>
  <c r="BA56" i="17" s="1"/>
  <c r="BE56" i="17" s="1"/>
  <c r="BG56" i="17" s="1"/>
  <c r="AI55" i="15"/>
  <c r="BA55" i="17" s="1"/>
  <c r="BE55" i="17" s="1"/>
  <c r="BG55" i="17" s="1"/>
  <c r="AI52" i="15"/>
  <c r="BA52" i="17" s="1"/>
  <c r="BE52" i="17" s="1"/>
  <c r="BG52" i="17" s="1"/>
  <c r="AI51" i="15"/>
  <c r="BA51" i="17" s="1"/>
  <c r="BE51" i="17" s="1"/>
  <c r="BG51" i="17" s="1"/>
  <c r="AI44" i="15"/>
  <c r="BA44" i="17" s="1"/>
  <c r="BE44" i="17" s="1"/>
  <c r="BG44" i="17" s="1"/>
  <c r="AI42" i="15"/>
  <c r="BA42" i="17" s="1"/>
  <c r="BE42" i="17" s="1"/>
  <c r="BG42" i="17" s="1"/>
  <c r="AI31" i="15"/>
  <c r="BA31" i="17" s="1"/>
  <c r="BE31" i="17" s="1"/>
  <c r="BG31" i="17" s="1"/>
  <c r="AI30" i="15"/>
  <c r="BA30" i="17" s="1"/>
  <c r="BE30" i="17" s="1"/>
  <c r="BG30" i="17" s="1"/>
  <c r="AI29" i="15"/>
  <c r="BA29" i="17" s="1"/>
  <c r="BE29" i="17" s="1"/>
  <c r="BG29" i="17" s="1"/>
  <c r="AI28" i="15"/>
  <c r="BA28" i="17" s="1"/>
  <c r="BE28" i="17" s="1"/>
  <c r="BG28" i="17" s="1"/>
  <c r="AI27" i="15"/>
  <c r="BA27" i="17" s="1"/>
  <c r="BE27" i="17" s="1"/>
  <c r="BG27" i="17" s="1"/>
  <c r="AI26" i="15"/>
  <c r="BA26" i="17" s="1"/>
  <c r="BE26" i="17" s="1"/>
  <c r="BG26" i="17" s="1"/>
  <c r="AI25" i="15"/>
  <c r="BA25" i="17" s="1"/>
  <c r="BE25" i="17" s="1"/>
  <c r="BG25" i="17" s="1"/>
  <c r="AI24" i="15"/>
  <c r="BA24" i="17" s="1"/>
  <c r="BE24" i="17" s="1"/>
  <c r="BG24" i="17" s="1"/>
  <c r="AI23" i="15"/>
  <c r="BA23" i="17" s="1"/>
  <c r="BE23" i="17" s="1"/>
  <c r="BG23" i="17" s="1"/>
  <c r="BL56" i="2"/>
  <c r="BL55" i="2"/>
  <c r="AM77" i="1"/>
  <c r="BN77" i="2" s="1"/>
  <c r="AM76" i="1"/>
  <c r="BN76" i="2" s="1"/>
  <c r="AM75" i="1"/>
  <c r="AM74" i="1"/>
  <c r="BN74" i="2" s="1"/>
  <c r="AM73" i="1"/>
  <c r="BN73" i="2" s="1"/>
  <c r="AM72" i="1"/>
  <c r="BN72" i="2" s="1"/>
  <c r="AM71" i="1"/>
  <c r="BN71" i="2" s="1"/>
  <c r="AM70" i="1"/>
  <c r="BN70" i="2" s="1"/>
  <c r="AM51" i="1"/>
  <c r="AM35" i="1"/>
  <c r="BN35" i="2" s="1"/>
  <c r="BV35" i="2" s="1"/>
  <c r="BX35" i="2" s="1"/>
  <c r="AM24" i="1"/>
  <c r="BN24" i="2" s="1"/>
  <c r="BV24" i="2" s="1"/>
  <c r="BX24" i="2" s="1"/>
  <c r="AM21" i="1"/>
  <c r="BN21" i="2" s="1"/>
  <c r="AM15" i="1"/>
  <c r="BN15" i="2" s="1"/>
  <c r="BV15" i="2" s="1"/>
  <c r="BX15" i="2" s="1"/>
  <c r="AM14" i="1"/>
  <c r="BV19" i="2"/>
  <c r="BX19" i="2" s="1"/>
  <c r="BN11" i="2"/>
  <c r="BV11" i="2" s="1"/>
  <c r="BX11" i="2" s="1"/>
  <c r="AI81" i="15"/>
  <c r="BA81" i="17" s="1"/>
  <c r="BE81" i="17" s="1"/>
  <c r="BG81" i="17" s="1"/>
  <c r="AI77" i="15"/>
  <c r="BA77" i="17" s="1"/>
  <c r="BE77" i="17" s="1"/>
  <c r="BG77" i="17" s="1"/>
  <c r="BA63" i="17"/>
  <c r="BE63" i="17" s="1"/>
  <c r="BG63" i="17" s="1"/>
  <c r="AI73" i="15"/>
  <c r="BA73" i="17" s="1"/>
  <c r="BE73" i="17" s="1"/>
  <c r="BG73" i="17" s="1"/>
  <c r="AI69" i="15"/>
  <c r="BA69" i="17" s="1"/>
  <c r="BE69" i="17" s="1"/>
  <c r="BG69" i="17" s="1"/>
  <c r="AI65" i="15"/>
  <c r="BA65" i="17" s="1"/>
  <c r="BE65" i="17" s="1"/>
  <c r="BG65" i="17" s="1"/>
  <c r="AI61" i="15"/>
  <c r="BA61" i="17" s="1"/>
  <c r="BE61" i="17" s="1"/>
  <c r="BG61" i="17" s="1"/>
  <c r="AI57" i="15"/>
  <c r="AI54" i="15"/>
  <c r="BA54" i="17" s="1"/>
  <c r="BE54" i="17" s="1"/>
  <c r="BG54" i="17" s="1"/>
  <c r="AI53" i="15"/>
  <c r="BA53" i="17" s="1"/>
  <c r="BE53" i="17" s="1"/>
  <c r="BG53" i="17" s="1"/>
  <c r="AI49" i="15"/>
  <c r="BA49" i="17" s="1"/>
  <c r="BE49" i="17" s="1"/>
  <c r="BG49" i="17" s="1"/>
  <c r="AI45" i="15"/>
  <c r="BA45" i="17" s="1"/>
  <c r="BE45" i="17" s="1"/>
  <c r="BG45" i="17" s="1"/>
  <c r="AI41" i="15"/>
  <c r="BA41" i="17" s="1"/>
  <c r="BE41" i="17" s="1"/>
  <c r="BG41" i="17" s="1"/>
  <c r="AI21" i="15"/>
  <c r="BA21" i="17" s="1"/>
  <c r="BE21" i="17" s="1"/>
  <c r="BG21" i="17" s="1"/>
  <c r="AI20" i="15"/>
  <c r="BA20" i="17" s="1"/>
  <c r="BE20" i="17" s="1"/>
  <c r="BG20" i="17" s="1"/>
  <c r="BA57" i="17"/>
  <c r="BE57" i="17" s="1"/>
  <c r="BG57" i="17" s="1"/>
  <c r="BA12" i="17"/>
  <c r="BE12" i="17" s="1"/>
  <c r="BG12" i="17" s="1"/>
  <c r="AD14" i="16"/>
  <c r="AD62" i="16"/>
  <c r="AD30" i="16"/>
  <c r="AD22" i="16"/>
  <c r="AD19" i="16"/>
  <c r="AD64" i="16"/>
  <c r="AD63" i="16"/>
  <c r="AD52" i="16"/>
  <c r="AD51" i="16"/>
  <c r="AD50" i="16"/>
  <c r="AD49" i="16"/>
  <c r="AD48" i="16"/>
  <c r="AD47" i="16"/>
  <c r="AD46" i="16"/>
  <c r="AD44" i="16"/>
  <c r="AD42" i="16"/>
  <c r="AD41" i="16"/>
  <c r="AD40" i="16"/>
  <c r="AD34" i="16"/>
  <c r="AD33" i="16"/>
  <c r="AD24" i="16"/>
  <c r="AD23" i="16"/>
  <c r="AD18" i="16"/>
  <c r="AD17" i="16"/>
  <c r="AD16" i="16"/>
  <c r="AD15" i="16"/>
  <c r="AD12" i="16"/>
  <c r="AD77" i="16"/>
  <c r="AD74" i="16"/>
  <c r="AD73" i="16"/>
  <c r="AD71" i="16"/>
  <c r="AD65" i="16"/>
  <c r="AD60" i="16"/>
  <c r="AD59" i="16"/>
  <c r="AD58" i="16"/>
  <c r="AD57" i="16"/>
  <c r="AD56" i="16"/>
  <c r="AD55" i="16"/>
  <c r="AD54" i="16"/>
  <c r="AD37" i="16"/>
  <c r="AD28" i="16"/>
  <c r="AD21" i="16"/>
  <c r="AD20" i="16"/>
  <c r="AD75" i="16"/>
  <c r="AD61" i="16"/>
  <c r="AD72" i="16"/>
  <c r="AD67" i="16"/>
  <c r="AD45" i="16"/>
  <c r="AD38" i="16"/>
  <c r="AD35" i="16"/>
  <c r="AD29" i="16"/>
  <c r="AD11" i="16"/>
  <c r="AM56" i="1"/>
  <c r="AM55" i="1"/>
  <c r="AM54" i="1"/>
  <c r="BN54" i="2" s="1"/>
  <c r="AM53" i="1"/>
  <c r="AM52" i="1"/>
  <c r="AM36" i="1"/>
  <c r="AM32" i="1"/>
  <c r="AM26" i="1"/>
  <c r="AM25" i="1"/>
  <c r="AD76" i="16"/>
  <c r="AD69" i="16"/>
  <c r="AD68" i="16"/>
  <c r="AO586" i="22"/>
  <c r="AQ566" i="22"/>
  <c r="BN566" i="25" s="1"/>
  <c r="BV566" i="25" s="1"/>
  <c r="BX566" i="25" s="1"/>
  <c r="AO538" i="22"/>
  <c r="AO316" i="22"/>
  <c r="AO188" i="22"/>
  <c r="AO186" i="22"/>
  <c r="AO168" i="22"/>
  <c r="AO148" i="22"/>
  <c r="AO149" i="22"/>
  <c r="BN172" i="25"/>
  <c r="BV172" i="25" s="1"/>
  <c r="BX172" i="25" s="1"/>
  <c r="BN59" i="2" l="1"/>
  <c r="BV59" i="2" s="1"/>
  <c r="BX59" i="2" s="1"/>
  <c r="BN56" i="2"/>
  <c r="BV56" i="2" s="1"/>
  <c r="BX56" i="2" s="1"/>
  <c r="BN25" i="2"/>
  <c r="BV25" i="2" s="1"/>
  <c r="BX25" i="2" s="1"/>
  <c r="BN65" i="2"/>
  <c r="BV65" i="2" s="1"/>
  <c r="BX65" i="2" s="1"/>
  <c r="BN69" i="2"/>
  <c r="BV69" i="2" s="1"/>
  <c r="BX69" i="2" s="1"/>
  <c r="BN81" i="2"/>
  <c r="BV81" i="2" s="1"/>
  <c r="BX81" i="2" s="1"/>
  <c r="BN36" i="2"/>
  <c r="BV36" i="2" s="1"/>
  <c r="BX36" i="2" s="1"/>
  <c r="BN53" i="2"/>
  <c r="BV53" i="2" s="1"/>
  <c r="BX53" i="2" s="1"/>
  <c r="BN26" i="2"/>
  <c r="BV26" i="2" s="1"/>
  <c r="BX26" i="2" s="1"/>
  <c r="BN51" i="2"/>
  <c r="BV51" i="2" s="1"/>
  <c r="BX51" i="2" s="1"/>
  <c r="BN80" i="2"/>
  <c r="BV80" i="2" s="1"/>
  <c r="BX80" i="2" s="1"/>
  <c r="BV54" i="2"/>
  <c r="BX54" i="2" s="1"/>
  <c r="BV21" i="2"/>
  <c r="BX21" i="2" s="1"/>
  <c r="BN55" i="2"/>
  <c r="BV55" i="2" s="1"/>
  <c r="BX55" i="2" s="1"/>
  <c r="BV64" i="2"/>
  <c r="BX64" i="2" s="1"/>
  <c r="BV85" i="2"/>
  <c r="BX85" i="2" s="1"/>
  <c r="BV62" i="2"/>
  <c r="BX62" i="2" s="1"/>
  <c r="BV84" i="2"/>
  <c r="BX84" i="2" s="1"/>
  <c r="BV78" i="2"/>
  <c r="BX78" i="2" s="1"/>
  <c r="BN52" i="2"/>
  <c r="BV52" i="2" s="1"/>
  <c r="BX52" i="2" s="1"/>
  <c r="BN75" i="2"/>
  <c r="BV75" i="2" s="1"/>
  <c r="BX75" i="2" s="1"/>
  <c r="BN79" i="2"/>
  <c r="BV79" i="2" s="1"/>
  <c r="BX79" i="2" s="1"/>
  <c r="BN32" i="2"/>
  <c r="BV32" i="2" s="1"/>
  <c r="BX32" i="2" s="1"/>
  <c r="BN66" i="2"/>
  <c r="BV66" i="2" s="1"/>
  <c r="BX66" i="2" s="1"/>
  <c r="BN82" i="2"/>
  <c r="BV82" i="2" s="1"/>
  <c r="BX82" i="2" s="1"/>
  <c r="BN14" i="2"/>
  <c r="BV14" i="2" s="1"/>
  <c r="BX14" i="2" s="1"/>
  <c r="BN68" i="2"/>
  <c r="BV68" i="2" s="1"/>
  <c r="BX68" i="2" s="1"/>
  <c r="BV73" i="2"/>
  <c r="BX73" i="2" s="1"/>
  <c r="BV77" i="2"/>
  <c r="BX77" i="2" s="1"/>
  <c r="BV72" i="2"/>
  <c r="BX72" i="2" s="1"/>
  <c r="BV76" i="2"/>
  <c r="BX76" i="2" s="1"/>
  <c r="BV70" i="2"/>
  <c r="BX70" i="2" s="1"/>
  <c r="BV74" i="2"/>
  <c r="BX74" i="2" s="1"/>
  <c r="BV71" i="2"/>
  <c r="BX71" i="2" s="1"/>
  <c r="AK586" i="1"/>
  <c r="AK113" i="1"/>
  <c r="AK316" i="1"/>
  <c r="AK186" i="1"/>
  <c r="AK187" i="1"/>
  <c r="AK188" i="1"/>
  <c r="AK189" i="1"/>
  <c r="S180" i="10" l="1"/>
  <c r="V180" i="10"/>
  <c r="S181" i="10"/>
  <c r="V181" i="10"/>
  <c r="S182" i="10"/>
  <c r="V182" i="10"/>
  <c r="S183" i="10"/>
  <c r="V183" i="10"/>
  <c r="Y391" i="1" l="1"/>
  <c r="Y392" i="1"/>
  <c r="S404" i="10" l="1"/>
  <c r="S403" i="10"/>
  <c r="S402" i="10"/>
  <c r="S401" i="10"/>
  <c r="BB410" i="25"/>
  <c r="BL410" i="25" s="1"/>
  <c r="BB408" i="25"/>
  <c r="BL408" i="25" s="1"/>
  <c r="BB407" i="25"/>
  <c r="BL407" i="25" s="1"/>
  <c r="BB404" i="25"/>
  <c r="BL404" i="25" s="1"/>
  <c r="BB403" i="25"/>
  <c r="BL403" i="25" s="1"/>
  <c r="BB402" i="25"/>
  <c r="BL402" i="25" s="1"/>
  <c r="BB401" i="25"/>
  <c r="BL401" i="25" s="1"/>
  <c r="AO410" i="22"/>
  <c r="Y410" i="22"/>
  <c r="AO408" i="22"/>
  <c r="Y408" i="22"/>
  <c r="AO407" i="22"/>
  <c r="Y407" i="22"/>
  <c r="AO404" i="22"/>
  <c r="Y404" i="22"/>
  <c r="AO403" i="22"/>
  <c r="Y403" i="22"/>
  <c r="AO402" i="22"/>
  <c r="Y402" i="22"/>
  <c r="AO401" i="22"/>
  <c r="Y401" i="22"/>
  <c r="O410" i="26"/>
  <c r="K410" i="26"/>
  <c r="O408" i="26"/>
  <c r="K408" i="26"/>
  <c r="O407" i="26"/>
  <c r="K407" i="26"/>
  <c r="O404" i="26"/>
  <c r="K404" i="26"/>
  <c r="O403" i="26"/>
  <c r="K403" i="26"/>
  <c r="O402" i="26"/>
  <c r="K402" i="26"/>
  <c r="O401" i="26"/>
  <c r="K401" i="26"/>
  <c r="BB406" i="2"/>
  <c r="BL406" i="2" s="1"/>
  <c r="BB411" i="2"/>
  <c r="BL411" i="2" s="1"/>
  <c r="BB410" i="2"/>
  <c r="BL410" i="2" s="1"/>
  <c r="BB408" i="2"/>
  <c r="BL408" i="2" s="1"/>
  <c r="BB407" i="2"/>
  <c r="BL407" i="2" s="1"/>
  <c r="BB404" i="2"/>
  <c r="BL404" i="2" s="1"/>
  <c r="BB403" i="2"/>
  <c r="BL403" i="2" s="1"/>
  <c r="BB402" i="2"/>
  <c r="BL402" i="2" s="1"/>
  <c r="BB401" i="2"/>
  <c r="BL401" i="2" s="1"/>
  <c r="AK411" i="1"/>
  <c r="Y411" i="1"/>
  <c r="AK410" i="1"/>
  <c r="Y410" i="1"/>
  <c r="AK408" i="1"/>
  <c r="Y408" i="1"/>
  <c r="AK407" i="1"/>
  <c r="Y407" i="1"/>
  <c r="AK404" i="1"/>
  <c r="Y404" i="1"/>
  <c r="AK403" i="1"/>
  <c r="Y403" i="1"/>
  <c r="AK402" i="1"/>
  <c r="Y402" i="1"/>
  <c r="AK401" i="1"/>
  <c r="Y401" i="1"/>
  <c r="AY411" i="17"/>
  <c r="AY410" i="17"/>
  <c r="AY408" i="17"/>
  <c r="AY407" i="17"/>
  <c r="AY404" i="17"/>
  <c r="AY403" i="17"/>
  <c r="AY402" i="17"/>
  <c r="AY401" i="17"/>
  <c r="AY399" i="17"/>
  <c r="AG411" i="15"/>
  <c r="M411" i="15"/>
  <c r="AG410" i="15"/>
  <c r="M410" i="15"/>
  <c r="AG408" i="15"/>
  <c r="M408" i="15"/>
  <c r="AG407" i="15"/>
  <c r="M407" i="15"/>
  <c r="AG404" i="15"/>
  <c r="M404" i="15"/>
  <c r="AG403" i="15"/>
  <c r="M403" i="15"/>
  <c r="M402" i="15"/>
  <c r="AG401" i="15"/>
  <c r="M401" i="15"/>
  <c r="G411" i="16"/>
  <c r="G410" i="16"/>
  <c r="G408" i="16"/>
  <c r="G407" i="16"/>
  <c r="G404" i="16"/>
  <c r="G403" i="16"/>
  <c r="G402" i="16"/>
  <c r="G401" i="16"/>
  <c r="BB424" i="25"/>
  <c r="BL424" i="25" s="1"/>
  <c r="BB423" i="25"/>
  <c r="BL423" i="25" s="1"/>
  <c r="BB422" i="25"/>
  <c r="BL422" i="25" s="1"/>
  <c r="BB421" i="25"/>
  <c r="BL421" i="25" s="1"/>
  <c r="BB420" i="25"/>
  <c r="BL420" i="25" s="1"/>
  <c r="BB405" i="25"/>
  <c r="BL405" i="25" s="1"/>
  <c r="BB398" i="25"/>
  <c r="BL398" i="25" s="1"/>
  <c r="BB397" i="25"/>
  <c r="BL397" i="25" s="1"/>
  <c r="BB396" i="25"/>
  <c r="BL396" i="25" s="1"/>
  <c r="BB395" i="25"/>
  <c r="BL395" i="25" s="1"/>
  <c r="BB394" i="25"/>
  <c r="BL394" i="25" s="1"/>
  <c r="AO424" i="22"/>
  <c r="AO423" i="22"/>
  <c r="Y423" i="22"/>
  <c r="AO422" i="22"/>
  <c r="AO421" i="22"/>
  <c r="Y421" i="22"/>
  <c r="AO420" i="22"/>
  <c r="AO405" i="22"/>
  <c r="Y405" i="22"/>
  <c r="AO398" i="22"/>
  <c r="Y398" i="22"/>
  <c r="AO397" i="22"/>
  <c r="Y397" i="22"/>
  <c r="AO396" i="22"/>
  <c r="Y396" i="22"/>
  <c r="AO395" i="22"/>
  <c r="Y395" i="22"/>
  <c r="AO394" i="22"/>
  <c r="Y394" i="22"/>
  <c r="O424" i="26"/>
  <c r="K424" i="26"/>
  <c r="O423" i="26"/>
  <c r="K423" i="26"/>
  <c r="AG423" i="26" s="1"/>
  <c r="O422" i="26"/>
  <c r="K422" i="26"/>
  <c r="O421" i="26"/>
  <c r="K421" i="26"/>
  <c r="AG421" i="26" s="1"/>
  <c r="O420" i="26"/>
  <c r="K420" i="26"/>
  <c r="O406" i="26"/>
  <c r="K406" i="26"/>
  <c r="O405" i="26"/>
  <c r="K405" i="26"/>
  <c r="O398" i="26"/>
  <c r="K398" i="26"/>
  <c r="O397" i="26"/>
  <c r="K397" i="26"/>
  <c r="O396" i="26"/>
  <c r="K396" i="26"/>
  <c r="O395" i="26"/>
  <c r="K395" i="26"/>
  <c r="O394" i="26"/>
  <c r="K394" i="26"/>
  <c r="AG394" i="26" s="1"/>
  <c r="BB424" i="2"/>
  <c r="BL424" i="2" s="1"/>
  <c r="BB423" i="2"/>
  <c r="BL423" i="2" s="1"/>
  <c r="BB422" i="2"/>
  <c r="BL422" i="2" s="1"/>
  <c r="BB421" i="2"/>
  <c r="BL421" i="2" s="1"/>
  <c r="BB420" i="2"/>
  <c r="BL420" i="2" s="1"/>
  <c r="BB405" i="2"/>
  <c r="BL405" i="2" s="1"/>
  <c r="BB398" i="2"/>
  <c r="BL398" i="2" s="1"/>
  <c r="BB397" i="2"/>
  <c r="BL397" i="2" s="1"/>
  <c r="BB396" i="2"/>
  <c r="BL396" i="2" s="1"/>
  <c r="BB395" i="2"/>
  <c r="BL395" i="2" s="1"/>
  <c r="BB394" i="2"/>
  <c r="BL394" i="2" s="1"/>
  <c r="AK424" i="1"/>
  <c r="AK423" i="1"/>
  <c r="Y423" i="1"/>
  <c r="AK422" i="1"/>
  <c r="AK421" i="1"/>
  <c r="Y421" i="1"/>
  <c r="AK420" i="1"/>
  <c r="Y420" i="1"/>
  <c r="AK406" i="1"/>
  <c r="Y406" i="1"/>
  <c r="AK405" i="1"/>
  <c r="Y405" i="1"/>
  <c r="AK398" i="1"/>
  <c r="Y398" i="1"/>
  <c r="AK397" i="1"/>
  <c r="Y397" i="1"/>
  <c r="AK396" i="1"/>
  <c r="Y396" i="1"/>
  <c r="AK395" i="1"/>
  <c r="Y395" i="1"/>
  <c r="AK394" i="1"/>
  <c r="Y394" i="1"/>
  <c r="AY424" i="17"/>
  <c r="AY423" i="17"/>
  <c r="AY422" i="17"/>
  <c r="AY421" i="17"/>
  <c r="AY420" i="17"/>
  <c r="AY406" i="17"/>
  <c r="AY405" i="17"/>
  <c r="AY398" i="17"/>
  <c r="AY397" i="17"/>
  <c r="AY396" i="17"/>
  <c r="AY395" i="17"/>
  <c r="AY394" i="17"/>
  <c r="M424" i="15"/>
  <c r="M423" i="15"/>
  <c r="M422" i="15"/>
  <c r="M421" i="15"/>
  <c r="M420" i="15"/>
  <c r="M406" i="15"/>
  <c r="M405" i="15"/>
  <c r="M398" i="15"/>
  <c r="M397" i="15"/>
  <c r="M396" i="15"/>
  <c r="M395" i="15"/>
  <c r="M394" i="15"/>
  <c r="G424" i="16"/>
  <c r="G423" i="16"/>
  <c r="G422" i="16"/>
  <c r="G421" i="16"/>
  <c r="G420" i="16"/>
  <c r="G406" i="16"/>
  <c r="G405" i="16"/>
  <c r="G398" i="16"/>
  <c r="G397" i="16"/>
  <c r="G396" i="16"/>
  <c r="G395" i="16"/>
  <c r="G394" i="16"/>
  <c r="AG420" i="26" l="1"/>
  <c r="AG422" i="26"/>
  <c r="AG424" i="26"/>
  <c r="AG406" i="26"/>
  <c r="AG405" i="26"/>
  <c r="AG398" i="26"/>
  <c r="AG397" i="26"/>
  <c r="AG396" i="26"/>
  <c r="AG395" i="26"/>
  <c r="AG401" i="26"/>
  <c r="AG402" i="26"/>
  <c r="AG403" i="26"/>
  <c r="AG404" i="26"/>
  <c r="AG407" i="26"/>
  <c r="AG408" i="26"/>
  <c r="AG410" i="26"/>
  <c r="AQ401" i="22"/>
  <c r="AQ402" i="22"/>
  <c r="AQ403" i="22"/>
  <c r="AQ404" i="22"/>
  <c r="AQ407" i="22"/>
  <c r="AQ410" i="22"/>
  <c r="AQ421" i="22"/>
  <c r="Y422" i="1"/>
  <c r="Y424" i="1"/>
  <c r="AQ394" i="22"/>
  <c r="AQ395" i="22"/>
  <c r="AQ396" i="22"/>
  <c r="AQ397" i="22"/>
  <c r="AQ398" i="22"/>
  <c r="AQ405" i="22"/>
  <c r="AQ423" i="22"/>
  <c r="AQ408" i="22"/>
  <c r="Y420" i="22"/>
  <c r="AQ420" i="22" s="1"/>
  <c r="Y424" i="22"/>
  <c r="AQ424" i="22" s="1"/>
  <c r="Y422" i="22"/>
  <c r="AQ422" i="22" s="1"/>
  <c r="AG402" i="15"/>
  <c r="BB586" i="25"/>
  <c r="BL586" i="25" s="1"/>
  <c r="O586" i="26"/>
  <c r="K586" i="26"/>
  <c r="BB586" i="2"/>
  <c r="BL586" i="2" s="1"/>
  <c r="AY586" i="17"/>
  <c r="AG586" i="15"/>
  <c r="M586" i="15"/>
  <c r="AB586" i="16"/>
  <c r="G586" i="16"/>
  <c r="V586" i="10"/>
  <c r="S586" i="10"/>
  <c r="AG586" i="26" l="1"/>
  <c r="Y586" i="22"/>
  <c r="Y586" i="1"/>
  <c r="AM586" i="1" s="1"/>
  <c r="BN586" i="2" s="1"/>
  <c r="AI586" i="15"/>
  <c r="AD586" i="16"/>
  <c r="BA586" i="17" l="1"/>
  <c r="BE586" i="17" s="1"/>
  <c r="BG586" i="17" s="1"/>
  <c r="AQ586" i="22"/>
  <c r="BN586" i="25" s="1"/>
  <c r="BV586" i="25" s="1"/>
  <c r="BX586" i="25" s="1"/>
  <c r="BB503" i="25" l="1"/>
  <c r="BL503" i="25" s="1"/>
  <c r="AO503" i="22"/>
  <c r="Y503" i="22"/>
  <c r="K503" i="26"/>
  <c r="AG503" i="26" s="1"/>
  <c r="BB503" i="2"/>
  <c r="BL503" i="2" s="1"/>
  <c r="AK503" i="1"/>
  <c r="Y503" i="1"/>
  <c r="AY503" i="17"/>
  <c r="AG503" i="15"/>
  <c r="M503" i="15"/>
  <c r="AB503" i="16"/>
  <c r="G503" i="16"/>
  <c r="V503" i="10"/>
  <c r="S503" i="10"/>
  <c r="AQ503" i="22" l="1"/>
  <c r="BN503" i="25" s="1"/>
  <c r="BV503" i="25" s="1"/>
  <c r="AM503" i="1"/>
  <c r="BN503" i="2" s="1"/>
  <c r="AI503" i="15"/>
  <c r="AD503" i="16"/>
  <c r="AB499" i="16"/>
  <c r="BB488" i="25"/>
  <c r="Y488" i="22"/>
  <c r="AQ488" i="22" s="1"/>
  <c r="K488" i="26"/>
  <c r="AG488" i="26" s="1"/>
  <c r="BB488" i="2"/>
  <c r="Y488" i="1"/>
  <c r="AM488" i="1" s="1"/>
  <c r="AG488" i="15"/>
  <c r="M488" i="15"/>
  <c r="AB488" i="16"/>
  <c r="G488" i="16"/>
  <c r="V488" i="10"/>
  <c r="S488" i="10"/>
  <c r="AD566" i="16"/>
  <c r="AB566" i="16"/>
  <c r="V566" i="10"/>
  <c r="S566" i="10"/>
  <c r="BA503" i="17" l="1"/>
  <c r="BE503" i="17" s="1"/>
  <c r="BG503" i="17" s="1"/>
  <c r="BX503" i="25"/>
  <c r="BL488" i="2"/>
  <c r="BN488" i="2" s="1"/>
  <c r="AY488" i="17"/>
  <c r="AI488" i="15"/>
  <c r="AD488" i="16"/>
  <c r="BL488" i="25"/>
  <c r="BN488" i="25" s="1"/>
  <c r="BV488" i="25" s="1"/>
  <c r="BA488" i="17" l="1"/>
  <c r="BE488" i="17" s="1"/>
  <c r="BG488" i="17" s="1"/>
  <c r="BX488" i="25"/>
  <c r="Y538" i="22" l="1"/>
  <c r="AQ538" i="22" s="1"/>
  <c r="AK538" i="1"/>
  <c r="Y538" i="1"/>
  <c r="O538" i="26"/>
  <c r="AG538" i="15"/>
  <c r="M538" i="15"/>
  <c r="AB538" i="16"/>
  <c r="G538" i="16"/>
  <c r="V538" i="10"/>
  <c r="S538" i="10"/>
  <c r="BB316" i="25"/>
  <c r="Y316" i="22"/>
  <c r="AQ316" i="22" s="1"/>
  <c r="O316" i="26"/>
  <c r="K316" i="26"/>
  <c r="BB316" i="2"/>
  <c r="Y316" i="1"/>
  <c r="AM316" i="1" s="1"/>
  <c r="AY316" i="17"/>
  <c r="AG316" i="15"/>
  <c r="M316" i="15"/>
  <c r="W316" i="16"/>
  <c r="AB316" i="16"/>
  <c r="G316" i="16"/>
  <c r="V316" i="10"/>
  <c r="S316" i="10"/>
  <c r="M172" i="15"/>
  <c r="AY172" i="17"/>
  <c r="AB172" i="16"/>
  <c r="W172" i="16"/>
  <c r="G172" i="16"/>
  <c r="AG316" i="26" l="1"/>
  <c r="AG172" i="15"/>
  <c r="AI172" i="15" s="1"/>
  <c r="BA172" i="17" s="1"/>
  <c r="BE172" i="17" s="1"/>
  <c r="BG172" i="17" s="1"/>
  <c r="BB538" i="2"/>
  <c r="BL538" i="2" s="1"/>
  <c r="AI316" i="15"/>
  <c r="BA316" i="17" s="1"/>
  <c r="BE316" i="17" s="1"/>
  <c r="BG316" i="17" s="1"/>
  <c r="AI538" i="15"/>
  <c r="AD316" i="16"/>
  <c r="AD172" i="16"/>
  <c r="BL316" i="2"/>
  <c r="BN316" i="2" s="1"/>
  <c r="AM538" i="1"/>
  <c r="BL316" i="25"/>
  <c r="BN316" i="25" s="1"/>
  <c r="BV316" i="25" s="1"/>
  <c r="BX316" i="25" s="1"/>
  <c r="BB538" i="25"/>
  <c r="BL538" i="25" s="1"/>
  <c r="BN538" i="25" s="1"/>
  <c r="BV538" i="25" s="1"/>
  <c r="BX538" i="25" s="1"/>
  <c r="K538" i="26"/>
  <c r="AG538" i="26" s="1"/>
  <c r="AY538" i="17"/>
  <c r="BA538" i="17" s="1"/>
  <c r="AD538" i="16"/>
  <c r="BN538" i="2" l="1"/>
  <c r="BE538" i="17"/>
  <c r="BG538" i="17" s="1"/>
  <c r="AY542" i="17" l="1"/>
  <c r="G451" i="16" l="1"/>
  <c r="S443" i="10" l="1"/>
  <c r="S441" i="10"/>
  <c r="BB440" i="25"/>
  <c r="BL440" i="25" s="1"/>
  <c r="Y440" i="22"/>
  <c r="AQ440" i="22" s="1"/>
  <c r="K440" i="26"/>
  <c r="AG440" i="26" s="1"/>
  <c r="BB440" i="2"/>
  <c r="BL440" i="2" s="1"/>
  <c r="Y440" i="1"/>
  <c r="AM440" i="1" s="1"/>
  <c r="AY440" i="17"/>
  <c r="M440" i="15"/>
  <c r="AG440" i="15"/>
  <c r="AB440" i="16"/>
  <c r="G440" i="16"/>
  <c r="V440" i="10"/>
  <c r="V441" i="10"/>
  <c r="V442" i="10"/>
  <c r="V443" i="10"/>
  <c r="V444" i="10"/>
  <c r="S440" i="10"/>
  <c r="S442" i="10"/>
  <c r="BN440" i="2" l="1"/>
  <c r="AI440" i="15"/>
  <c r="AD440" i="16"/>
  <c r="BN440" i="25"/>
  <c r="BV440" i="25" s="1"/>
  <c r="BX440" i="25" s="1"/>
  <c r="BA440" i="17" l="1"/>
  <c r="BE440" i="17" s="1"/>
  <c r="BG440" i="17" s="1"/>
  <c r="G347" i="16"/>
  <c r="BB327" i="25" l="1"/>
  <c r="BB328" i="25"/>
  <c r="Y327" i="22"/>
  <c r="AQ327" i="22" s="1"/>
  <c r="K327" i="26"/>
  <c r="AG327" i="26" s="1"/>
  <c r="BB327" i="2"/>
  <c r="BB328" i="2"/>
  <c r="Y327" i="1"/>
  <c r="AM327" i="1" s="1"/>
  <c r="AY327" i="17"/>
  <c r="AG327" i="15"/>
  <c r="M327" i="15"/>
  <c r="AB327" i="16"/>
  <c r="W327" i="16"/>
  <c r="G327" i="16"/>
  <c r="BL327" i="2" l="1"/>
  <c r="BN327" i="2" s="1"/>
  <c r="AI327" i="15"/>
  <c r="BA327" i="17" s="1"/>
  <c r="BE327" i="17" s="1"/>
  <c r="BG327" i="17" s="1"/>
  <c r="BL327" i="25"/>
  <c r="BN327" i="25" s="1"/>
  <c r="BV327" i="25" s="1"/>
  <c r="AD327" i="16"/>
  <c r="V327" i="10"/>
  <c r="S327" i="10"/>
  <c r="S328" i="10"/>
  <c r="BX327" i="25" l="1"/>
  <c r="BL328" i="25"/>
  <c r="S315" i="10" l="1"/>
  <c r="BB314" i="25"/>
  <c r="Y314" i="22"/>
  <c r="AQ314" i="22" s="1"/>
  <c r="K314" i="26"/>
  <c r="AG314" i="26" s="1"/>
  <c r="BB315" i="2"/>
  <c r="BB314" i="2"/>
  <c r="BL314" i="2" s="1"/>
  <c r="AK314" i="1"/>
  <c r="Y314" i="1"/>
  <c r="AG314" i="15"/>
  <c r="M314" i="15"/>
  <c r="AB314" i="16"/>
  <c r="W314" i="16"/>
  <c r="G314" i="16"/>
  <c r="V314" i="10"/>
  <c r="S314" i="10"/>
  <c r="BL314" i="25" l="1"/>
  <c r="BN314" i="25" s="1"/>
  <c r="BV314" i="25" s="1"/>
  <c r="BX314" i="25" s="1"/>
  <c r="AM314" i="1"/>
  <c r="BN314" i="2" s="1"/>
  <c r="AY314" i="17"/>
  <c r="AI314" i="15"/>
  <c r="AD314" i="16"/>
  <c r="BA314" i="17" l="1"/>
  <c r="BE314" i="17" s="1"/>
  <c r="BG314" i="17" s="1"/>
  <c r="AY300" i="17"/>
  <c r="AY301" i="17"/>
  <c r="AY302" i="17"/>
  <c r="AY305" i="17"/>
  <c r="AY306" i="17"/>
  <c r="AY307" i="17"/>
  <c r="AY303" i="17"/>
  <c r="AY304" i="17" l="1"/>
  <c r="AB298" i="16"/>
  <c r="AB299" i="16"/>
  <c r="AB300" i="16"/>
  <c r="AB301" i="16"/>
  <c r="AB302" i="16"/>
  <c r="AB303" i="16"/>
  <c r="AB304" i="16"/>
  <c r="AB305" i="16"/>
  <c r="AB306" i="16"/>
  <c r="AB307" i="16"/>
  <c r="AB308" i="16"/>
  <c r="AB309" i="16"/>
  <c r="AB310" i="16"/>
  <c r="W299" i="16"/>
  <c r="W300" i="16"/>
  <c r="W301" i="16"/>
  <c r="W302" i="16"/>
  <c r="W303" i="16"/>
  <c r="V297" i="10"/>
  <c r="V298" i="10"/>
  <c r="V299" i="10"/>
  <c r="V300" i="10"/>
  <c r="V301" i="10"/>
  <c r="V302" i="10"/>
  <c r="V303" i="10"/>
  <c r="S298" i="10"/>
  <c r="Y297" i="1"/>
  <c r="S297" i="10"/>
  <c r="Y296" i="22"/>
  <c r="BB296" i="25"/>
  <c r="BL296" i="25" s="1"/>
  <c r="BB297" i="25"/>
  <c r="BL297" i="25" s="1"/>
  <c r="BB295" i="25"/>
  <c r="Y295" i="22"/>
  <c r="AO295" i="22"/>
  <c r="AO296" i="22"/>
  <c r="AO297" i="22"/>
  <c r="K295" i="26"/>
  <c r="AG295" i="26" s="1"/>
  <c r="BB296" i="2"/>
  <c r="BL296" i="2" s="1"/>
  <c r="BB297" i="2"/>
  <c r="BL297" i="2" s="1"/>
  <c r="BB295" i="2"/>
  <c r="Y295" i="1"/>
  <c r="AK295" i="1"/>
  <c r="AK296" i="1"/>
  <c r="AK297" i="1"/>
  <c r="AY296" i="17"/>
  <c r="AY297" i="17"/>
  <c r="AY298" i="17"/>
  <c r="AY295" i="17"/>
  <c r="AG296" i="15"/>
  <c r="AG297" i="15"/>
  <c r="AG295" i="15"/>
  <c r="M295" i="15"/>
  <c r="AB295" i="16"/>
  <c r="AB296" i="16"/>
  <c r="AB297" i="16"/>
  <c r="W295" i="16"/>
  <c r="W296" i="16"/>
  <c r="W297" i="16"/>
  <c r="G295" i="16"/>
  <c r="G296" i="16"/>
  <c r="G297" i="16"/>
  <c r="G298" i="16"/>
  <c r="G299" i="16"/>
  <c r="V295" i="10"/>
  <c r="V296" i="10"/>
  <c r="S295" i="10"/>
  <c r="S296" i="10"/>
  <c r="AQ295" i="22" l="1"/>
  <c r="AQ296" i="22"/>
  <c r="BL295" i="2"/>
  <c r="AI295" i="15"/>
  <c r="BA295" i="17" s="1"/>
  <c r="BE295" i="17" s="1"/>
  <c r="BG295" i="17" s="1"/>
  <c r="BL295" i="25"/>
  <c r="AD297" i="16"/>
  <c r="AD295" i="16"/>
  <c r="AM295" i="1"/>
  <c r="Y296" i="1"/>
  <c r="AM296" i="1" s="1"/>
  <c r="BN296" i="2" s="1"/>
  <c r="AM297" i="1"/>
  <c r="BN297" i="2" s="1"/>
  <c r="AD299" i="16"/>
  <c r="AD296" i="16"/>
  <c r="S393" i="10"/>
  <c r="S392" i="10"/>
  <c r="S391" i="10"/>
  <c r="S390" i="10"/>
  <c r="S389" i="10"/>
  <c r="S388" i="10"/>
  <c r="S386" i="10"/>
  <c r="S385" i="10"/>
  <c r="S384" i="10"/>
  <c r="S383" i="10"/>
  <c r="S382" i="10"/>
  <c r="S381" i="10"/>
  <c r="S380" i="10"/>
  <c r="S379" i="10"/>
  <c r="S378" i="10"/>
  <c r="S377" i="10"/>
  <c r="S376" i="10"/>
  <c r="S375" i="10"/>
  <c r="S374" i="10"/>
  <c r="S373" i="10"/>
  <c r="S372" i="10"/>
  <c r="S371" i="10"/>
  <c r="S370" i="10"/>
  <c r="S368" i="10"/>
  <c r="BB393" i="25"/>
  <c r="BL393" i="25" s="1"/>
  <c r="BB392" i="25"/>
  <c r="BL392" i="25" s="1"/>
  <c r="BB391" i="25"/>
  <c r="BL391" i="25" s="1"/>
  <c r="BB390" i="25"/>
  <c r="BL390" i="25" s="1"/>
  <c r="BB389" i="25"/>
  <c r="BL389" i="25" s="1"/>
  <c r="BB388" i="25"/>
  <c r="BL388" i="25" s="1"/>
  <c r="BB387" i="25"/>
  <c r="BL387" i="25" s="1"/>
  <c r="BB386" i="25"/>
  <c r="BL386" i="25" s="1"/>
  <c r="BB385" i="25"/>
  <c r="BL385" i="25" s="1"/>
  <c r="BB384" i="25"/>
  <c r="BL384" i="25" s="1"/>
  <c r="BB383" i="25"/>
  <c r="BL383" i="25" s="1"/>
  <c r="BB382" i="25"/>
  <c r="BL382" i="25" s="1"/>
  <c r="BB381" i="25"/>
  <c r="BL381" i="25" s="1"/>
  <c r="BB380" i="25"/>
  <c r="BL380" i="25" s="1"/>
  <c r="BB379" i="25"/>
  <c r="BL379" i="25" s="1"/>
  <c r="BB378" i="25"/>
  <c r="BL378" i="25" s="1"/>
  <c r="BB377" i="25"/>
  <c r="BL377" i="25" s="1"/>
  <c r="BB376" i="25"/>
  <c r="BL376" i="25" s="1"/>
  <c r="BB374" i="25"/>
  <c r="BL374" i="25" s="1"/>
  <c r="BB373" i="25"/>
  <c r="BL373" i="25" s="1"/>
  <c r="BB372" i="25"/>
  <c r="BL372" i="25" s="1"/>
  <c r="BB371" i="25"/>
  <c r="BL371" i="25" s="1"/>
  <c r="BB370" i="25"/>
  <c r="BL370" i="25" s="1"/>
  <c r="BB369" i="25"/>
  <c r="BL369" i="25" s="1"/>
  <c r="BB368" i="25"/>
  <c r="BL368" i="25" s="1"/>
  <c r="BB366" i="25"/>
  <c r="BL366" i="25" s="1"/>
  <c r="AO393" i="22"/>
  <c r="AO392" i="22"/>
  <c r="Y392" i="22"/>
  <c r="AO391" i="22"/>
  <c r="Y391" i="22"/>
  <c r="AO390" i="22"/>
  <c r="AO389" i="22"/>
  <c r="Y389" i="22"/>
  <c r="AO388" i="22"/>
  <c r="Y388" i="22"/>
  <c r="AO387" i="22"/>
  <c r="Y387" i="22"/>
  <c r="AO386" i="22"/>
  <c r="Y386" i="22"/>
  <c r="AO385" i="22"/>
  <c r="AO384" i="22"/>
  <c r="AO383" i="22"/>
  <c r="Y383" i="22"/>
  <c r="AO382" i="22"/>
  <c r="AO381" i="22"/>
  <c r="Y381" i="22"/>
  <c r="AO380" i="22"/>
  <c r="AO379" i="22"/>
  <c r="Y379" i="22"/>
  <c r="AO378" i="22"/>
  <c r="Y378" i="22"/>
  <c r="AO377" i="22"/>
  <c r="Y377" i="22"/>
  <c r="AO376" i="22"/>
  <c r="Y376" i="22"/>
  <c r="AO375" i="22"/>
  <c r="AO374" i="22"/>
  <c r="Y374" i="22"/>
  <c r="AO373" i="22"/>
  <c r="AO372" i="22"/>
  <c r="Y372" i="22"/>
  <c r="AO371" i="22"/>
  <c r="Y371" i="22"/>
  <c r="AO370" i="22"/>
  <c r="Y370" i="22"/>
  <c r="AO369" i="22"/>
  <c r="AO368" i="22"/>
  <c r="Y368" i="22"/>
  <c r="AO366" i="22"/>
  <c r="Y366" i="22"/>
  <c r="O393" i="26"/>
  <c r="K393" i="26"/>
  <c r="O392" i="26"/>
  <c r="K392" i="26"/>
  <c r="O391" i="26"/>
  <c r="K391" i="26"/>
  <c r="AG391" i="26" s="1"/>
  <c r="O390" i="26"/>
  <c r="K390" i="26"/>
  <c r="O389" i="26"/>
  <c r="K389" i="26"/>
  <c r="O388" i="26"/>
  <c r="K388" i="26"/>
  <c r="O387" i="26"/>
  <c r="K387" i="26"/>
  <c r="AG387" i="26" s="1"/>
  <c r="O386" i="26"/>
  <c r="K386" i="26"/>
  <c r="O385" i="26"/>
  <c r="K385" i="26"/>
  <c r="AG385" i="26" s="1"/>
  <c r="O384" i="26"/>
  <c r="K384" i="26"/>
  <c r="O383" i="26"/>
  <c r="K383" i="26"/>
  <c r="O382" i="26"/>
  <c r="K382" i="26"/>
  <c r="O381" i="26"/>
  <c r="K381" i="26"/>
  <c r="AG381" i="26" s="1"/>
  <c r="O380" i="26"/>
  <c r="K380" i="26"/>
  <c r="O379" i="26"/>
  <c r="K379" i="26"/>
  <c r="O378" i="26"/>
  <c r="K378" i="26"/>
  <c r="O377" i="26"/>
  <c r="K377" i="26"/>
  <c r="AG377" i="26" s="1"/>
  <c r="O376" i="26"/>
  <c r="K376" i="26"/>
  <c r="O375" i="26"/>
  <c r="K375" i="26"/>
  <c r="AG375" i="26" s="1"/>
  <c r="O374" i="26"/>
  <c r="K374" i="26"/>
  <c r="O373" i="26"/>
  <c r="K373" i="26"/>
  <c r="AG373" i="26" s="1"/>
  <c r="O372" i="26"/>
  <c r="K372" i="26"/>
  <c r="O371" i="26"/>
  <c r="K371" i="26"/>
  <c r="AG371" i="26" s="1"/>
  <c r="O370" i="26"/>
  <c r="K370" i="26"/>
  <c r="O369" i="26"/>
  <c r="K369" i="26"/>
  <c r="AG369" i="26" s="1"/>
  <c r="O368" i="26"/>
  <c r="K368" i="26"/>
  <c r="O366" i="26"/>
  <c r="K366" i="26"/>
  <c r="AG366" i="26" s="1"/>
  <c r="BB393" i="2"/>
  <c r="BL393" i="2" s="1"/>
  <c r="BB392" i="2"/>
  <c r="BL392" i="2" s="1"/>
  <c r="BB391" i="2"/>
  <c r="BL391" i="2" s="1"/>
  <c r="BB390" i="2"/>
  <c r="BL390" i="2" s="1"/>
  <c r="BB389" i="2"/>
  <c r="BL389" i="2" s="1"/>
  <c r="BB388" i="2"/>
  <c r="BL388" i="2" s="1"/>
  <c r="BB387" i="2"/>
  <c r="BL387" i="2" s="1"/>
  <c r="BB386" i="2"/>
  <c r="BL386" i="2" s="1"/>
  <c r="BB385" i="2"/>
  <c r="BL385" i="2" s="1"/>
  <c r="BB384" i="2"/>
  <c r="BL384" i="2" s="1"/>
  <c r="BB383" i="2"/>
  <c r="BL383" i="2" s="1"/>
  <c r="BB382" i="2"/>
  <c r="BL382" i="2" s="1"/>
  <c r="BB381" i="2"/>
  <c r="BL381" i="2" s="1"/>
  <c r="BB380" i="2"/>
  <c r="BL380" i="2" s="1"/>
  <c r="BB379" i="2"/>
  <c r="BL379" i="2" s="1"/>
  <c r="BB378" i="2"/>
  <c r="BL378" i="2" s="1"/>
  <c r="BB377" i="2"/>
  <c r="BL377" i="2" s="1"/>
  <c r="BB376" i="2"/>
  <c r="BL376" i="2" s="1"/>
  <c r="BB374" i="2"/>
  <c r="BL374" i="2" s="1"/>
  <c r="BB373" i="2"/>
  <c r="BL373" i="2" s="1"/>
  <c r="BB372" i="2"/>
  <c r="BL372" i="2" s="1"/>
  <c r="BB371" i="2"/>
  <c r="BL371" i="2" s="1"/>
  <c r="BB370" i="2"/>
  <c r="BL370" i="2" s="1"/>
  <c r="BB369" i="2"/>
  <c r="BL369" i="2" s="1"/>
  <c r="BB368" i="2"/>
  <c r="BL368" i="2" s="1"/>
  <c r="BB366" i="2"/>
  <c r="BL366" i="2" s="1"/>
  <c r="AK393" i="1"/>
  <c r="Y393" i="1"/>
  <c r="AK392" i="1"/>
  <c r="AK391" i="1"/>
  <c r="AK390" i="1"/>
  <c r="Y390" i="1"/>
  <c r="AK389" i="1"/>
  <c r="Y389" i="1"/>
  <c r="AK388" i="1"/>
  <c r="Y388" i="1"/>
  <c r="AK387" i="1"/>
  <c r="Y387" i="1"/>
  <c r="AK386" i="1"/>
  <c r="Y386" i="1"/>
  <c r="AK385" i="1"/>
  <c r="Y385" i="1"/>
  <c r="AK384" i="1"/>
  <c r="AK383" i="1"/>
  <c r="Y383" i="1"/>
  <c r="AK382" i="1"/>
  <c r="Y382" i="1"/>
  <c r="Y381" i="1"/>
  <c r="AM381" i="1" s="1"/>
  <c r="AK380" i="1"/>
  <c r="AK379" i="1"/>
  <c r="Y379" i="1"/>
  <c r="AK378" i="1"/>
  <c r="Y378" i="1"/>
  <c r="AK377" i="1"/>
  <c r="Y377" i="1"/>
  <c r="AK376" i="1"/>
  <c r="Y376" i="1"/>
  <c r="AK375" i="1"/>
  <c r="Y375" i="1"/>
  <c r="AK374" i="1"/>
  <c r="Y374" i="1"/>
  <c r="AK373" i="1"/>
  <c r="Y373" i="1"/>
  <c r="AK372" i="1"/>
  <c r="Y372" i="1"/>
  <c r="AK371" i="1"/>
  <c r="Y371" i="1"/>
  <c r="AK370" i="1"/>
  <c r="Y370" i="1"/>
  <c r="AK369" i="1"/>
  <c r="Y369" i="1"/>
  <c r="AK368" i="1"/>
  <c r="Y368" i="1"/>
  <c r="AK366" i="1"/>
  <c r="Y366" i="1"/>
  <c r="AY393" i="17"/>
  <c r="AY392" i="17"/>
  <c r="AY391" i="17"/>
  <c r="AY390" i="17"/>
  <c r="AY389" i="17"/>
  <c r="AY388" i="17"/>
  <c r="AY387" i="17"/>
  <c r="AY386" i="17"/>
  <c r="AY385" i="17"/>
  <c r="AY384" i="17"/>
  <c r="AY383" i="17"/>
  <c r="AY382" i="17"/>
  <c r="AY381" i="17"/>
  <c r="AY380" i="17"/>
  <c r="AY379" i="17"/>
  <c r="BA379" i="17" s="1"/>
  <c r="AY378" i="17"/>
  <c r="AY377" i="17"/>
  <c r="AY376" i="17"/>
  <c r="AY375" i="17"/>
  <c r="AY374" i="17"/>
  <c r="AY373" i="17"/>
  <c r="AY372" i="17"/>
  <c r="AY371" i="17"/>
  <c r="AY370" i="17"/>
  <c r="AY369" i="17"/>
  <c r="AY368" i="17"/>
  <c r="AY366" i="17"/>
  <c r="M393" i="15"/>
  <c r="AG392" i="15"/>
  <c r="M392" i="15"/>
  <c r="AG391" i="15"/>
  <c r="M391" i="15"/>
  <c r="AG390" i="15"/>
  <c r="M390" i="15"/>
  <c r="AG389" i="15"/>
  <c r="M389" i="15"/>
  <c r="AG388" i="15"/>
  <c r="M388" i="15"/>
  <c r="AG387" i="15"/>
  <c r="M387" i="15"/>
  <c r="AG386" i="15"/>
  <c r="M386" i="15"/>
  <c r="M385" i="15"/>
  <c r="AG384" i="15"/>
  <c r="M384" i="15"/>
  <c r="AG383" i="15"/>
  <c r="M383" i="15"/>
  <c r="AG382" i="15"/>
  <c r="M382" i="15"/>
  <c r="AG381" i="15"/>
  <c r="M381" i="15"/>
  <c r="AG380" i="15"/>
  <c r="M380" i="15"/>
  <c r="AG378" i="15"/>
  <c r="M378" i="15"/>
  <c r="AG377" i="15"/>
  <c r="M377" i="15"/>
  <c r="AG376" i="15"/>
  <c r="M376" i="15"/>
  <c r="AG375" i="15"/>
  <c r="M375" i="15"/>
  <c r="AG374" i="15"/>
  <c r="M374" i="15"/>
  <c r="AG373" i="15"/>
  <c r="M373" i="15"/>
  <c r="AG372" i="15"/>
  <c r="M372" i="15"/>
  <c r="AG371" i="15"/>
  <c r="M371" i="15"/>
  <c r="AG370" i="15"/>
  <c r="M370" i="15"/>
  <c r="AG369" i="15"/>
  <c r="M369" i="15"/>
  <c r="AG368" i="15"/>
  <c r="M368" i="15"/>
  <c r="AG366" i="15"/>
  <c r="M366" i="15"/>
  <c r="G393" i="16"/>
  <c r="G392" i="16"/>
  <c r="G391" i="16"/>
  <c r="G390" i="16"/>
  <c r="G389" i="16"/>
  <c r="G388" i="16"/>
  <c r="G387" i="16"/>
  <c r="G386" i="16"/>
  <c r="G385" i="16"/>
  <c r="G384" i="16"/>
  <c r="G383" i="16"/>
  <c r="G382" i="16"/>
  <c r="G381" i="16"/>
  <c r="G380" i="16"/>
  <c r="G379" i="16"/>
  <c r="G378" i="16"/>
  <c r="G377" i="16"/>
  <c r="G376" i="16"/>
  <c r="G375" i="16"/>
  <c r="G374" i="16"/>
  <c r="G373" i="16"/>
  <c r="G372" i="16"/>
  <c r="W371" i="16"/>
  <c r="G371" i="16"/>
  <c r="W370" i="16"/>
  <c r="G370" i="16"/>
  <c r="W369" i="16"/>
  <c r="G369" i="16"/>
  <c r="W368" i="16"/>
  <c r="G368" i="16"/>
  <c r="W366" i="16"/>
  <c r="G366" i="16"/>
  <c r="AG389" i="26" l="1"/>
  <c r="AG379" i="26"/>
  <c r="AG368" i="26"/>
  <c r="AG370" i="26"/>
  <c r="AG372" i="26"/>
  <c r="AG374" i="26"/>
  <c r="AG376" i="26"/>
  <c r="AG378" i="26"/>
  <c r="AG380" i="26"/>
  <c r="AG382" i="26"/>
  <c r="AG384" i="26"/>
  <c r="AG386" i="26"/>
  <c r="AG390" i="26"/>
  <c r="AG392" i="26"/>
  <c r="BN295" i="2"/>
  <c r="AG393" i="26"/>
  <c r="AG388" i="26"/>
  <c r="AG383" i="26"/>
  <c r="BN381" i="2"/>
  <c r="BV296" i="2"/>
  <c r="BX296" i="2" s="1"/>
  <c r="BN295" i="25"/>
  <c r="BV295" i="25" s="1"/>
  <c r="BX295" i="25" s="1"/>
  <c r="AI366" i="15"/>
  <c r="AI370" i="15"/>
  <c r="AQ366" i="22"/>
  <c r="AQ368" i="22"/>
  <c r="AQ374" i="22"/>
  <c r="AQ381" i="22"/>
  <c r="AQ391" i="22"/>
  <c r="AQ370" i="22"/>
  <c r="AQ371" i="22"/>
  <c r="AQ372" i="22"/>
  <c r="Y373" i="22"/>
  <c r="AQ373" i="22" s="1"/>
  <c r="AQ376" i="22"/>
  <c r="AQ377" i="22"/>
  <c r="AQ378" i="22"/>
  <c r="AQ379" i="22"/>
  <c r="Y380" i="22"/>
  <c r="AQ380" i="22" s="1"/>
  <c r="AQ383" i="22"/>
  <c r="Y384" i="22"/>
  <c r="AQ384" i="22" s="1"/>
  <c r="AQ386" i="22"/>
  <c r="AQ387" i="22"/>
  <c r="AQ388" i="22"/>
  <c r="AQ389" i="22"/>
  <c r="AQ392" i="22"/>
  <c r="Y393" i="22"/>
  <c r="AQ393" i="22" s="1"/>
  <c r="AM366" i="1"/>
  <c r="BN366" i="2" s="1"/>
  <c r="AM370" i="1"/>
  <c r="BN370" i="2" s="1"/>
  <c r="AM371" i="1"/>
  <c r="BN371" i="2" s="1"/>
  <c r="AM375" i="1"/>
  <c r="AI372" i="15"/>
  <c r="AI373" i="15"/>
  <c r="AI374" i="15"/>
  <c r="AI375" i="15"/>
  <c r="AI376" i="15"/>
  <c r="AI377" i="15"/>
  <c r="AI378" i="15"/>
  <c r="AI380" i="15"/>
  <c r="BA380" i="17" s="1"/>
  <c r="AI387" i="15"/>
  <c r="BA387" i="17" s="1"/>
  <c r="AI388" i="15"/>
  <c r="BA388" i="17" s="1"/>
  <c r="AI389" i="15"/>
  <c r="BA389" i="17" s="1"/>
  <c r="AI390" i="15"/>
  <c r="BA390" i="17" s="1"/>
  <c r="AM383" i="1"/>
  <c r="BN383" i="2" s="1"/>
  <c r="S366" i="10"/>
  <c r="S387" i="10"/>
  <c r="Y369" i="22"/>
  <c r="AQ369" i="22" s="1"/>
  <c r="Y385" i="22"/>
  <c r="AQ385" i="22" s="1"/>
  <c r="AI391" i="15"/>
  <c r="BA391" i="17" s="1"/>
  <c r="BB375" i="2"/>
  <c r="BL375" i="2" s="1"/>
  <c r="AM372" i="1"/>
  <c r="BN372" i="2" s="1"/>
  <c r="AM373" i="1"/>
  <c r="BN373" i="2" s="1"/>
  <c r="AM378" i="1"/>
  <c r="BN378" i="2" s="1"/>
  <c r="Y380" i="1"/>
  <c r="AM380" i="1" s="1"/>
  <c r="BN380" i="2" s="1"/>
  <c r="Y384" i="1"/>
  <c r="AM384" i="1" s="1"/>
  <c r="BN384" i="2" s="1"/>
  <c r="AM386" i="1"/>
  <c r="BN386" i="2" s="1"/>
  <c r="AM387" i="1"/>
  <c r="BN387" i="2" s="1"/>
  <c r="AM389" i="1"/>
  <c r="BN389" i="2" s="1"/>
  <c r="AM390" i="1"/>
  <c r="BN390" i="2" s="1"/>
  <c r="AM392" i="1"/>
  <c r="BN392" i="2" s="1"/>
  <c r="AM393" i="1"/>
  <c r="BN393" i="2" s="1"/>
  <c r="BB375" i="25"/>
  <c r="BL375" i="25" s="1"/>
  <c r="S369" i="10"/>
  <c r="Y375" i="22"/>
  <c r="AQ375" i="22" s="1"/>
  <c r="Y382" i="22"/>
  <c r="AQ382" i="22" s="1"/>
  <c r="Y390" i="22"/>
  <c r="AQ390" i="22" s="1"/>
  <c r="AM368" i="1"/>
  <c r="BN368" i="2" s="1"/>
  <c r="AM374" i="1"/>
  <c r="BN374" i="2" s="1"/>
  <c r="AM376" i="1"/>
  <c r="BN376" i="2" s="1"/>
  <c r="AM379" i="1"/>
  <c r="BN379" i="2" s="1"/>
  <c r="AM382" i="1"/>
  <c r="BN382" i="2" s="1"/>
  <c r="AM388" i="1"/>
  <c r="BN388" i="2" s="1"/>
  <c r="AM391" i="1"/>
  <c r="BN391" i="2" s="1"/>
  <c r="AM385" i="1"/>
  <c r="BN385" i="2" s="1"/>
  <c r="AI369" i="15"/>
  <c r="AI381" i="15"/>
  <c r="BA381" i="17" s="1"/>
  <c r="AI382" i="15"/>
  <c r="BA382" i="17" s="1"/>
  <c r="AI383" i="15"/>
  <c r="BA383" i="17" s="1"/>
  <c r="AI384" i="15"/>
  <c r="BA384" i="17" s="1"/>
  <c r="AG385" i="15"/>
  <c r="AI385" i="15" s="1"/>
  <c r="BA385" i="17" s="1"/>
  <c r="AI386" i="15"/>
  <c r="BA386" i="17" s="1"/>
  <c r="AI392" i="15"/>
  <c r="BA392" i="17" s="1"/>
  <c r="AG393" i="15"/>
  <c r="AI393" i="15" s="1"/>
  <c r="BA393" i="17" s="1"/>
  <c r="AI368" i="15"/>
  <c r="AI371" i="15"/>
  <c r="AM369" i="1"/>
  <c r="BN369" i="2" s="1"/>
  <c r="AM377" i="1"/>
  <c r="BN377" i="2" s="1"/>
  <c r="BN375" i="2" l="1"/>
  <c r="S275" i="10"/>
  <c r="BB274" i="25"/>
  <c r="BL274" i="25" s="1"/>
  <c r="BB275" i="25"/>
  <c r="BL275" i="25" s="1"/>
  <c r="O274" i="26"/>
  <c r="O275" i="26"/>
  <c r="O276" i="26"/>
  <c r="K274" i="26"/>
  <c r="K275" i="26"/>
  <c r="K276" i="26"/>
  <c r="K277" i="26"/>
  <c r="BB274" i="2"/>
  <c r="BL274" i="2" s="1"/>
  <c r="BB275" i="2"/>
  <c r="BL275" i="2" s="1"/>
  <c r="AY274" i="17"/>
  <c r="AY275" i="17"/>
  <c r="AY276" i="17"/>
  <c r="AY277" i="17"/>
  <c r="AG274" i="15"/>
  <c r="AG275" i="15"/>
  <c r="AG276" i="15"/>
  <c r="M273" i="15"/>
  <c r="M274" i="15"/>
  <c r="M275" i="15"/>
  <c r="M276" i="15"/>
  <c r="M277" i="15"/>
  <c r="M278" i="15"/>
  <c r="M279" i="15"/>
  <c r="W275" i="16"/>
  <c r="W276" i="16"/>
  <c r="W277" i="16"/>
  <c r="W278" i="16"/>
  <c r="S276" i="10"/>
  <c r="AG275" i="26" l="1"/>
  <c r="AG276" i="26"/>
  <c r="AG274" i="26"/>
  <c r="AI274" i="15"/>
  <c r="BA274" i="17" s="1"/>
  <c r="BE274" i="17" s="1"/>
  <c r="BG274" i="17" s="1"/>
  <c r="AI275" i="15"/>
  <c r="BA275" i="17" s="1"/>
  <c r="BE275" i="17" s="1"/>
  <c r="BG275" i="17" s="1"/>
  <c r="Y274" i="22"/>
  <c r="Y275" i="22"/>
  <c r="Y276" i="22"/>
  <c r="Y274" i="1"/>
  <c r="Y275" i="1"/>
  <c r="Y276" i="1"/>
  <c r="G272" i="16"/>
  <c r="G273" i="16"/>
  <c r="G274" i="16"/>
  <c r="G275" i="16"/>
  <c r="AD275" i="16" s="1"/>
  <c r="G276" i="16"/>
  <c r="AD276" i="16" s="1"/>
  <c r="AB270" i="16"/>
  <c r="AB271" i="16"/>
  <c r="AB272" i="16"/>
  <c r="AB273" i="16"/>
  <c r="AB274" i="16"/>
  <c r="AB275" i="16"/>
  <c r="V274" i="10"/>
  <c r="V275" i="10"/>
  <c r="V276" i="10"/>
  <c r="V277" i="10"/>
  <c r="V269" i="10"/>
  <c r="V270" i="10"/>
  <c r="V271" i="10"/>
  <c r="V272" i="10"/>
  <c r="V273" i="10" l="1"/>
  <c r="Y266" i="22"/>
  <c r="AG266" i="15"/>
  <c r="V265" i="10"/>
  <c r="V267" i="10"/>
  <c r="V268" i="10"/>
  <c r="S266" i="10"/>
  <c r="Y265" i="1"/>
  <c r="AG265" i="15"/>
  <c r="BB262" i="25"/>
  <c r="BL262" i="25" s="1"/>
  <c r="BB263" i="25"/>
  <c r="BL263" i="25" s="1"/>
  <c r="BB264" i="25"/>
  <c r="BL264" i="25" s="1"/>
  <c r="BB265" i="25"/>
  <c r="BL265" i="25" s="1"/>
  <c r="BB266" i="25"/>
  <c r="BL266" i="25" s="1"/>
  <c r="Y262" i="22"/>
  <c r="Y263" i="22"/>
  <c r="AQ263" i="22" s="1"/>
  <c r="O263" i="26"/>
  <c r="O264" i="26"/>
  <c r="O265" i="26"/>
  <c r="O266" i="26"/>
  <c r="O267" i="26"/>
  <c r="K262" i="26"/>
  <c r="K263" i="26"/>
  <c r="AG263" i="26" s="1"/>
  <c r="K264" i="26"/>
  <c r="K265" i="26"/>
  <c r="K266" i="26"/>
  <c r="K267" i="26"/>
  <c r="AG267" i="26" s="1"/>
  <c r="BB262" i="2"/>
  <c r="BL262" i="2" s="1"/>
  <c r="BB263" i="2"/>
  <c r="BL263" i="2" s="1"/>
  <c r="BB264" i="2"/>
  <c r="BL264" i="2" s="1"/>
  <c r="BB265" i="2"/>
  <c r="Y262" i="1"/>
  <c r="Y263" i="1"/>
  <c r="AM263" i="1" s="1"/>
  <c r="BN263" i="2" s="1"/>
  <c r="Y264" i="1"/>
  <c r="AY262" i="17"/>
  <c r="AY264" i="17"/>
  <c r="AY265" i="17"/>
  <c r="AY263" i="17"/>
  <c r="AG262" i="15"/>
  <c r="AG264" i="15"/>
  <c r="M262" i="15"/>
  <c r="M263" i="15"/>
  <c r="M264" i="15"/>
  <c r="M265" i="15"/>
  <c r="M266" i="15"/>
  <c r="AB262" i="16"/>
  <c r="AB263" i="16"/>
  <c r="AB264" i="16"/>
  <c r="AB265" i="16"/>
  <c r="AB266" i="16"/>
  <c r="AB267" i="16"/>
  <c r="AB268" i="16"/>
  <c r="W262" i="16"/>
  <c r="W263" i="16"/>
  <c r="W264" i="16"/>
  <c r="W265" i="16"/>
  <c r="W266" i="16"/>
  <c r="W267" i="16"/>
  <c r="G262" i="16"/>
  <c r="G263" i="16"/>
  <c r="G264" i="16"/>
  <c r="G265" i="16"/>
  <c r="G266" i="16"/>
  <c r="G267" i="16"/>
  <c r="G268" i="16"/>
  <c r="S262" i="10"/>
  <c r="S263" i="10"/>
  <c r="S264" i="10"/>
  <c r="S265" i="10"/>
  <c r="S267" i="10"/>
  <c r="S268" i="10"/>
  <c r="S269" i="10"/>
  <c r="S270" i="10"/>
  <c r="V262" i="10"/>
  <c r="V263" i="10"/>
  <c r="V264" i="10"/>
  <c r="Y261" i="1"/>
  <c r="BB260" i="25"/>
  <c r="BL260" i="25" s="1"/>
  <c r="BB261" i="25"/>
  <c r="BL261" i="25" s="1"/>
  <c r="Y260" i="22"/>
  <c r="O261" i="26"/>
  <c r="O262" i="26"/>
  <c r="K261" i="26"/>
  <c r="AG261" i="26" s="1"/>
  <c r="BB260" i="2"/>
  <c r="BL260" i="2" s="1"/>
  <c r="BB261" i="2"/>
  <c r="BL261" i="2" s="1"/>
  <c r="Y260" i="1"/>
  <c r="AY260" i="17"/>
  <c r="AY261" i="17"/>
  <c r="AG261" i="15"/>
  <c r="M261" i="15"/>
  <c r="AB261" i="16"/>
  <c r="W261" i="16"/>
  <c r="G261" i="16"/>
  <c r="V261" i="10"/>
  <c r="V250" i="10"/>
  <c r="V251" i="10"/>
  <c r="V252" i="10"/>
  <c r="V253" i="10"/>
  <c r="V254" i="10"/>
  <c r="V255" i="10"/>
  <c r="V256" i="10"/>
  <c r="V257" i="10"/>
  <c r="V258" i="10"/>
  <c r="V259" i="10"/>
  <c r="V260" i="10"/>
  <c r="Y254" i="1"/>
  <c r="Y253" i="22"/>
  <c r="Y253" i="1"/>
  <c r="AY253" i="17"/>
  <c r="BB253" i="25"/>
  <c r="BB252" i="25"/>
  <c r="BL252" i="25" s="1"/>
  <c r="O252" i="26"/>
  <c r="O253" i="26"/>
  <c r="K252" i="26"/>
  <c r="K253" i="26"/>
  <c r="AG253" i="26" s="1"/>
  <c r="BB252" i="2"/>
  <c r="BB253" i="2"/>
  <c r="Y252" i="1"/>
  <c r="AM252" i="1" s="1"/>
  <c r="AY252" i="17"/>
  <c r="AG253" i="15"/>
  <c r="AG252" i="15"/>
  <c r="M252" i="15"/>
  <c r="AB252" i="16"/>
  <c r="AB253" i="16"/>
  <c r="W252" i="16"/>
  <c r="W253" i="16"/>
  <c r="G252" i="16"/>
  <c r="G253" i="16"/>
  <c r="G254" i="16"/>
  <c r="G255" i="16"/>
  <c r="V249" i="10"/>
  <c r="AY231" i="17"/>
  <c r="M232" i="15"/>
  <c r="W232" i="16"/>
  <c r="G232" i="16"/>
  <c r="Y231" i="22"/>
  <c r="BB231" i="2"/>
  <c r="BL231" i="2" s="1"/>
  <c r="Y231" i="1"/>
  <c r="AG231" i="15"/>
  <c r="M231" i="15"/>
  <c r="V231" i="10"/>
  <c r="S231" i="10"/>
  <c r="Y232" i="1"/>
  <c r="O227" i="26"/>
  <c r="O228" i="26"/>
  <c r="AY227" i="17"/>
  <c r="Y225" i="22"/>
  <c r="BB225" i="25"/>
  <c r="BB225" i="2"/>
  <c r="BL225" i="2" s="1"/>
  <c r="AY225" i="17"/>
  <c r="AG225" i="15"/>
  <c r="V225" i="10"/>
  <c r="S225" i="10"/>
  <c r="BB226" i="25"/>
  <c r="AG226" i="15"/>
  <c r="S244" i="10"/>
  <c r="S245" i="10"/>
  <c r="BB211" i="2"/>
  <c r="Y211" i="1"/>
  <c r="AY211" i="17"/>
  <c r="AG211" i="15"/>
  <c r="V211" i="10"/>
  <c r="S211" i="10"/>
  <c r="Y208" i="1"/>
  <c r="BB208" i="25"/>
  <c r="BL208" i="25" s="1"/>
  <c r="K208" i="26"/>
  <c r="BB208" i="2"/>
  <c r="BL208" i="2" s="1"/>
  <c r="AG208" i="15"/>
  <c r="S208" i="10"/>
  <c r="V208" i="10"/>
  <c r="K209" i="26"/>
  <c r="S209" i="10"/>
  <c r="Y199" i="22"/>
  <c r="BB199" i="25"/>
  <c r="BL199" i="25" s="1"/>
  <c r="O199" i="26"/>
  <c r="K199" i="26"/>
  <c r="BB199" i="2"/>
  <c r="AY199" i="17"/>
  <c r="AG199" i="15"/>
  <c r="S199" i="10"/>
  <c r="V199" i="10"/>
  <c r="K198" i="26"/>
  <c r="BB198" i="2"/>
  <c r="BL198" i="2" s="1"/>
  <c r="Y198" i="1"/>
  <c r="BB197" i="25"/>
  <c r="BB198" i="25"/>
  <c r="BL198" i="25" s="1"/>
  <c r="Y197" i="22"/>
  <c r="AQ197" i="22" s="1"/>
  <c r="O197" i="26"/>
  <c r="O198" i="26"/>
  <c r="K197" i="26"/>
  <c r="BB197" i="2"/>
  <c r="BB200" i="2"/>
  <c r="BL200" i="2" s="1"/>
  <c r="Y197" i="1"/>
  <c r="AM197" i="1" s="1"/>
  <c r="AY197" i="17"/>
  <c r="AY198" i="17"/>
  <c r="AG197" i="15"/>
  <c r="AG198" i="15"/>
  <c r="M198" i="15"/>
  <c r="AB198" i="16"/>
  <c r="W198" i="16"/>
  <c r="W199" i="16"/>
  <c r="G198" i="16"/>
  <c r="G197" i="16"/>
  <c r="V197" i="10"/>
  <c r="V198" i="10"/>
  <c r="S197" i="10"/>
  <c r="S198" i="10"/>
  <c r="Y190" i="1"/>
  <c r="BB189" i="25"/>
  <c r="BL189" i="25" s="1"/>
  <c r="BB188" i="25"/>
  <c r="BL188" i="25" s="1"/>
  <c r="Y188" i="22"/>
  <c r="AQ188" i="22" s="1"/>
  <c r="O188" i="26"/>
  <c r="K188" i="26"/>
  <c r="K189" i="26"/>
  <c r="BB188" i="2"/>
  <c r="BL188" i="2" s="1"/>
  <c r="BB189" i="2"/>
  <c r="BL189" i="2" s="1"/>
  <c r="Y189" i="1"/>
  <c r="Y188" i="1"/>
  <c r="AM188" i="1" s="1"/>
  <c r="AY188" i="17"/>
  <c r="AY189" i="17"/>
  <c r="AG188" i="15"/>
  <c r="M188" i="15"/>
  <c r="W188" i="16"/>
  <c r="AB188" i="16"/>
  <c r="G188" i="16"/>
  <c r="S188" i="10"/>
  <c r="S189" i="10"/>
  <c r="V188" i="10"/>
  <c r="V189" i="10"/>
  <c r="BB186" i="25"/>
  <c r="BL186" i="25" s="1"/>
  <c r="Y186" i="22"/>
  <c r="AQ186" i="22" s="1"/>
  <c r="O186" i="26"/>
  <c r="K186" i="26"/>
  <c r="BB186" i="2"/>
  <c r="Y186" i="1"/>
  <c r="AM186" i="1" s="1"/>
  <c r="AY186" i="17"/>
  <c r="AY187" i="17"/>
  <c r="AG187" i="15"/>
  <c r="AG186" i="15"/>
  <c r="M186" i="15"/>
  <c r="V186" i="10"/>
  <c r="V187" i="10"/>
  <c r="S186" i="10"/>
  <c r="AB186" i="16"/>
  <c r="W186" i="16"/>
  <c r="W187" i="16"/>
  <c r="G186" i="16"/>
  <c r="G187" i="16"/>
  <c r="G182" i="16"/>
  <c r="Y179" i="22"/>
  <c r="Y179" i="1"/>
  <c r="AG179" i="15"/>
  <c r="V179" i="10"/>
  <c r="BB179" i="25"/>
  <c r="BB180" i="25"/>
  <c r="O179" i="26"/>
  <c r="K179" i="26"/>
  <c r="K180" i="26"/>
  <c r="BB179" i="2"/>
  <c r="BL179" i="2" s="1"/>
  <c r="AY179" i="17"/>
  <c r="AD252" i="16" l="1"/>
  <c r="AG197" i="26"/>
  <c r="AG252" i="26"/>
  <c r="AG265" i="26"/>
  <c r="AG198" i="26"/>
  <c r="AG266" i="26"/>
  <c r="AG264" i="26"/>
  <c r="AG199" i="26"/>
  <c r="BN188" i="2"/>
  <c r="AG179" i="26"/>
  <c r="AG186" i="26"/>
  <c r="AG188" i="26"/>
  <c r="AG262" i="26"/>
  <c r="Y208" i="22"/>
  <c r="AI188" i="15"/>
  <c r="BA188" i="17" s="1"/>
  <c r="BE188" i="17" s="1"/>
  <c r="BG188" i="17" s="1"/>
  <c r="BL186" i="2"/>
  <c r="BN186" i="2" s="1"/>
  <c r="BL265" i="2"/>
  <c r="W197" i="16"/>
  <c r="AD197" i="16" s="1"/>
  <c r="Y264" i="22"/>
  <c r="Y265" i="22"/>
  <c r="BL225" i="25"/>
  <c r="AD262" i="16"/>
  <c r="Y252" i="22"/>
  <c r="BL197" i="2"/>
  <c r="BN197" i="2" s="1"/>
  <c r="BL199" i="2"/>
  <c r="BL253" i="2"/>
  <c r="AG263" i="15"/>
  <c r="AI263" i="15" s="1"/>
  <c r="BA263" i="17" s="1"/>
  <c r="BE263" i="17" s="1"/>
  <c r="BG263" i="17" s="1"/>
  <c r="BL197" i="25"/>
  <c r="BN197" i="25" s="1"/>
  <c r="BV197" i="25" s="1"/>
  <c r="BX197" i="25" s="1"/>
  <c r="AI252" i="15"/>
  <c r="BA252" i="17" s="1"/>
  <c r="BE252" i="17" s="1"/>
  <c r="BG252" i="17" s="1"/>
  <c r="Y261" i="22"/>
  <c r="BL252" i="2"/>
  <c r="BN252" i="2" s="1"/>
  <c r="M197" i="15"/>
  <c r="AI197" i="15" s="1"/>
  <c r="BA197" i="17" s="1"/>
  <c r="BE197" i="17" s="1"/>
  <c r="BG197" i="17" s="1"/>
  <c r="AI198" i="15"/>
  <c r="BA198" i="17" s="1"/>
  <c r="BE198" i="17" s="1"/>
  <c r="BG198" i="17" s="1"/>
  <c r="AD267" i="16"/>
  <c r="S261" i="10"/>
  <c r="BL253" i="25"/>
  <c r="AI186" i="15"/>
  <c r="BA186" i="17" s="1"/>
  <c r="BE186" i="17" s="1"/>
  <c r="BG186" i="17" s="1"/>
  <c r="AI231" i="15"/>
  <c r="BA231" i="17" s="1"/>
  <c r="BE231" i="17" s="1"/>
  <c r="BG231" i="17" s="1"/>
  <c r="AI262" i="15"/>
  <c r="BA262" i="17" s="1"/>
  <c r="BE262" i="17" s="1"/>
  <c r="BG262" i="17" s="1"/>
  <c r="AD266" i="16"/>
  <c r="V266" i="10"/>
  <c r="BN263" i="25"/>
  <c r="BV263" i="25" s="1"/>
  <c r="BX263" i="25" s="1"/>
  <c r="AI265" i="15"/>
  <c r="BA265" i="17" s="1"/>
  <c r="BE265" i="17" s="1"/>
  <c r="BG265" i="17" s="1"/>
  <c r="AI266" i="15"/>
  <c r="AB197" i="16"/>
  <c r="AD186" i="16"/>
  <c r="AD188" i="16"/>
  <c r="AD263" i="16"/>
  <c r="AD265" i="16"/>
  <c r="AI264" i="15"/>
  <c r="BA264" i="17" s="1"/>
  <c r="BE264" i="17" s="1"/>
  <c r="BG264" i="17" s="1"/>
  <c r="AD264" i="16"/>
  <c r="AI261" i="15"/>
  <c r="BA261" i="17" s="1"/>
  <c r="BE261" i="17" s="1"/>
  <c r="BG261" i="17" s="1"/>
  <c r="AD261" i="16"/>
  <c r="AD253" i="16"/>
  <c r="BN188" i="25"/>
  <c r="BV188" i="25" s="1"/>
  <c r="BN186" i="25"/>
  <c r="BV186" i="25" s="1"/>
  <c r="AD198" i="16"/>
  <c r="M179" i="15"/>
  <c r="AI179" i="15" s="1"/>
  <c r="BA179" i="17" s="1"/>
  <c r="BE179" i="17" s="1"/>
  <c r="BG179" i="17" s="1"/>
  <c r="G179" i="16"/>
  <c r="S96" i="10"/>
  <c r="AG178" i="15"/>
  <c r="AG180" i="15"/>
  <c r="AG181" i="15"/>
  <c r="AY177" i="17"/>
  <c r="AY178" i="17"/>
  <c r="AY180" i="17"/>
  <c r="AY181" i="17"/>
  <c r="AY182" i="17"/>
  <c r="S175" i="10"/>
  <c r="Y174" i="22"/>
  <c r="Y174" i="1"/>
  <c r="BB173" i="25"/>
  <c r="Y173" i="22"/>
  <c r="AY173" i="17"/>
  <c r="S173" i="10"/>
  <c r="BB170" i="25"/>
  <c r="Y170" i="22"/>
  <c r="AQ170" i="22" s="1"/>
  <c r="O170" i="26"/>
  <c r="O173" i="26"/>
  <c r="K170" i="26"/>
  <c r="K173" i="26"/>
  <c r="K174" i="26"/>
  <c r="K175" i="26"/>
  <c r="BB170" i="2"/>
  <c r="BB173" i="2"/>
  <c r="BB174" i="2"/>
  <c r="Y170" i="1"/>
  <c r="AM170" i="1" s="1"/>
  <c r="AY171" i="17"/>
  <c r="AY170" i="17"/>
  <c r="AG171" i="15"/>
  <c r="AG173" i="15"/>
  <c r="AG174" i="15"/>
  <c r="AG175" i="15"/>
  <c r="AG170" i="15"/>
  <c r="M170" i="15"/>
  <c r="AB170" i="16"/>
  <c r="AB171" i="16"/>
  <c r="W170" i="16"/>
  <c r="W171" i="16"/>
  <c r="W173" i="16"/>
  <c r="G170" i="16"/>
  <c r="G171" i="16"/>
  <c r="S170" i="10"/>
  <c r="V170" i="10"/>
  <c r="V171" i="10"/>
  <c r="V173" i="10"/>
  <c r="S171" i="10"/>
  <c r="Y173" i="1"/>
  <c r="S166" i="10"/>
  <c r="Y164" i="22"/>
  <c r="Y164" i="1"/>
  <c r="BB164" i="25"/>
  <c r="BL164" i="25" s="1"/>
  <c r="BB165" i="25"/>
  <c r="BL165" i="25" s="1"/>
  <c r="Y165" i="22"/>
  <c r="O164" i="26"/>
  <c r="O165" i="26"/>
  <c r="O166" i="26"/>
  <c r="BB164" i="2"/>
  <c r="BL164" i="2" s="1"/>
  <c r="BB165" i="2"/>
  <c r="Y165" i="1"/>
  <c r="AY164" i="17"/>
  <c r="AY165" i="17"/>
  <c r="AG164" i="15"/>
  <c r="AG165" i="15"/>
  <c r="AB164" i="16"/>
  <c r="W164" i="16"/>
  <c r="W165" i="16"/>
  <c r="W166" i="16"/>
  <c r="G164" i="16"/>
  <c r="G165" i="16"/>
  <c r="V164" i="10"/>
  <c r="V165" i="10"/>
  <c r="S164" i="10"/>
  <c r="S163" i="10"/>
  <c r="Y159" i="22"/>
  <c r="Y159" i="1"/>
  <c r="BB158" i="25"/>
  <c r="BL158" i="25" s="1"/>
  <c r="BB158" i="2"/>
  <c r="Y158" i="1"/>
  <c r="AY158" i="17"/>
  <c r="BB157" i="25"/>
  <c r="Y158" i="22"/>
  <c r="Y157" i="22"/>
  <c r="AQ157" i="22" s="1"/>
  <c r="O157" i="26"/>
  <c r="O158" i="26"/>
  <c r="K157" i="26"/>
  <c r="BB157" i="2"/>
  <c r="BL157" i="2" s="1"/>
  <c r="BB159" i="2"/>
  <c r="Y157" i="1"/>
  <c r="AM157" i="1" s="1"/>
  <c r="AY157" i="17"/>
  <c r="AG157" i="15"/>
  <c r="M157" i="15"/>
  <c r="AB157" i="16"/>
  <c r="AB158" i="16"/>
  <c r="W157" i="16"/>
  <c r="W158" i="16"/>
  <c r="S157" i="10"/>
  <c r="G157" i="16"/>
  <c r="G158" i="16"/>
  <c r="G159" i="16"/>
  <c r="G160" i="16"/>
  <c r="G161" i="16"/>
  <c r="G162" i="16"/>
  <c r="V157" i="10"/>
  <c r="V158" i="10"/>
  <c r="V159" i="10"/>
  <c r="S158" i="10"/>
  <c r="Y152" i="1"/>
  <c r="Y151" i="22"/>
  <c r="Y151" i="1"/>
  <c r="Y150" i="22"/>
  <c r="BB150" i="25"/>
  <c r="BL150" i="25" s="1"/>
  <c r="BB151" i="25"/>
  <c r="BL151" i="25" s="1"/>
  <c r="BB149" i="25"/>
  <c r="BL149" i="25" s="1"/>
  <c r="Y149" i="22"/>
  <c r="AQ149" i="22" s="1"/>
  <c r="O149" i="26"/>
  <c r="O150" i="26"/>
  <c r="O151" i="26"/>
  <c r="O152" i="26"/>
  <c r="K149" i="26"/>
  <c r="AG149" i="26" s="1"/>
  <c r="K150" i="26"/>
  <c r="AG150" i="26" s="1"/>
  <c r="K151" i="26"/>
  <c r="AG151" i="26" s="1"/>
  <c r="K152" i="26"/>
  <c r="AG152" i="26" s="1"/>
  <c r="K153" i="26"/>
  <c r="BB150" i="2"/>
  <c r="BL150" i="2" s="1"/>
  <c r="BB151" i="2"/>
  <c r="BL151" i="2" s="1"/>
  <c r="BB149" i="2"/>
  <c r="BL149" i="2" s="1"/>
  <c r="Y150" i="1"/>
  <c r="Y149" i="1"/>
  <c r="AM149" i="1" s="1"/>
  <c r="AY149" i="17"/>
  <c r="AY150" i="17"/>
  <c r="AG149" i="15"/>
  <c r="AG150" i="15"/>
  <c r="M149" i="15"/>
  <c r="W149" i="16"/>
  <c r="AB149" i="16"/>
  <c r="G149" i="16"/>
  <c r="V149" i="10"/>
  <c r="V150" i="10"/>
  <c r="V151" i="10"/>
  <c r="S149" i="10"/>
  <c r="S150" i="10"/>
  <c r="S151" i="10"/>
  <c r="S148" i="10"/>
  <c r="Y148" i="1"/>
  <c r="BB146" i="25"/>
  <c r="Y146" i="22"/>
  <c r="Y146" i="1"/>
  <c r="Y145" i="22"/>
  <c r="V145" i="10"/>
  <c r="V146" i="10"/>
  <c r="BB145" i="25"/>
  <c r="BB147" i="25"/>
  <c r="BL147" i="25" s="1"/>
  <c r="O145" i="26"/>
  <c r="O146" i="26"/>
  <c r="K145" i="26"/>
  <c r="AG145" i="26" s="1"/>
  <c r="K146" i="26"/>
  <c r="AG146" i="26" s="1"/>
  <c r="K147" i="26"/>
  <c r="K148" i="26"/>
  <c r="Y145" i="1"/>
  <c r="Y147" i="1"/>
  <c r="BB145" i="2"/>
  <c r="BL145" i="2" s="1"/>
  <c r="AY145" i="17"/>
  <c r="AY146" i="17"/>
  <c r="AG145" i="15"/>
  <c r="AG146" i="15"/>
  <c r="M145" i="15"/>
  <c r="W145" i="16"/>
  <c r="S144" i="10"/>
  <c r="Y144" i="22"/>
  <c r="BB143" i="25"/>
  <c r="BL143" i="25" s="1"/>
  <c r="Y143" i="22"/>
  <c r="Y143" i="1"/>
  <c r="Y141" i="22"/>
  <c r="W138" i="16"/>
  <c r="BB142" i="25"/>
  <c r="BL142" i="25" s="1"/>
  <c r="O142" i="26"/>
  <c r="O143" i="26"/>
  <c r="O144" i="26"/>
  <c r="K142" i="26"/>
  <c r="K143" i="26"/>
  <c r="K144" i="26"/>
  <c r="BB142" i="2"/>
  <c r="BL142" i="2" s="1"/>
  <c r="AY142" i="17"/>
  <c r="M142" i="15"/>
  <c r="V142" i="10"/>
  <c r="BB140" i="25"/>
  <c r="BL140" i="25" s="1"/>
  <c r="BB141" i="25"/>
  <c r="O140" i="26"/>
  <c r="O141" i="26"/>
  <c r="K140" i="26"/>
  <c r="K141" i="26"/>
  <c r="AG141" i="26" s="1"/>
  <c r="BB140" i="2"/>
  <c r="AY140" i="17"/>
  <c r="AG140" i="15"/>
  <c r="AG141" i="15"/>
  <c r="AG142" i="15"/>
  <c r="AG143" i="15"/>
  <c r="AG144" i="15"/>
  <c r="S137" i="10"/>
  <c r="BB137" i="25"/>
  <c r="BL137" i="25" s="1"/>
  <c r="Y137" i="22"/>
  <c r="AQ137" i="22" s="1"/>
  <c r="O137" i="26"/>
  <c r="K137" i="26"/>
  <c r="BB137" i="2"/>
  <c r="Y137" i="1"/>
  <c r="AM137" i="1" s="1"/>
  <c r="AG137" i="15"/>
  <c r="M137" i="15"/>
  <c r="W137" i="16"/>
  <c r="V137" i="10"/>
  <c r="V138" i="10"/>
  <c r="S125" i="10"/>
  <c r="Y124" i="22"/>
  <c r="AQ124" i="22" s="1"/>
  <c r="S119" i="10"/>
  <c r="V119" i="10"/>
  <c r="BB119" i="25"/>
  <c r="Y119" i="22"/>
  <c r="AQ119" i="22" s="1"/>
  <c r="O119" i="26"/>
  <c r="K119" i="26"/>
  <c r="BB119" i="2"/>
  <c r="Y119" i="1"/>
  <c r="AM119" i="1" s="1"/>
  <c r="AY119" i="17"/>
  <c r="AG119" i="15"/>
  <c r="M119" i="15"/>
  <c r="W119" i="16"/>
  <c r="V113" i="10"/>
  <c r="BB113" i="25"/>
  <c r="BL113" i="25" s="1"/>
  <c r="Y113" i="22"/>
  <c r="AQ113" i="22" s="1"/>
  <c r="O113" i="26"/>
  <c r="K113" i="26"/>
  <c r="BB113" i="2"/>
  <c r="BL113" i="2" s="1"/>
  <c r="Y113" i="1"/>
  <c r="AM113" i="1" s="1"/>
  <c r="AY113" i="17"/>
  <c r="AG113" i="15"/>
  <c r="M113" i="15"/>
  <c r="W113" i="16"/>
  <c r="S113" i="10"/>
  <c r="AG170" i="26" l="1"/>
  <c r="BN157" i="2"/>
  <c r="AG140" i="26"/>
  <c r="AG157" i="26"/>
  <c r="AG113" i="26"/>
  <c r="AG143" i="26"/>
  <c r="BN113" i="2"/>
  <c r="BV113" i="2" s="1"/>
  <c r="BX113" i="2" s="1"/>
  <c r="AG173" i="26"/>
  <c r="BN149" i="2"/>
  <c r="AI142" i="15"/>
  <c r="AG119" i="26"/>
  <c r="AG137" i="26"/>
  <c r="AG144" i="26"/>
  <c r="AG142" i="26"/>
  <c r="BX186" i="25"/>
  <c r="BX188" i="25"/>
  <c r="AQ252" i="22"/>
  <c r="BN252" i="25" s="1"/>
  <c r="BV252" i="25" s="1"/>
  <c r="BX252" i="25" s="1"/>
  <c r="BL146" i="25"/>
  <c r="Y142" i="1"/>
  <c r="Y140" i="1"/>
  <c r="BL158" i="2"/>
  <c r="BL173" i="25"/>
  <c r="BL173" i="2"/>
  <c r="BL170" i="2"/>
  <c r="BV171" i="2" s="1"/>
  <c r="BX171" i="2" s="1"/>
  <c r="AI119" i="15"/>
  <c r="BA119" i="17" s="1"/>
  <c r="BE119" i="17" s="1"/>
  <c r="BG119" i="17" s="1"/>
  <c r="S174" i="10"/>
  <c r="V174" i="10"/>
  <c r="AI170" i="15"/>
  <c r="BA170" i="17" s="1"/>
  <c r="BE170" i="17" s="1"/>
  <c r="BG170" i="17" s="1"/>
  <c r="BL119" i="25"/>
  <c r="BN119" i="25" s="1"/>
  <c r="BV119" i="25" s="1"/>
  <c r="BX119" i="25" s="1"/>
  <c r="Y142" i="22"/>
  <c r="BL137" i="2"/>
  <c r="BN137" i="2" s="1"/>
  <c r="AY137" i="17"/>
  <c r="BL141" i="25"/>
  <c r="Y140" i="22"/>
  <c r="AI157" i="15"/>
  <c r="BA157" i="17" s="1"/>
  <c r="BE157" i="17" s="1"/>
  <c r="BG157" i="17" s="1"/>
  <c r="BL157" i="25"/>
  <c r="BN157" i="25" s="1"/>
  <c r="BV157" i="25" s="1"/>
  <c r="BX157" i="25" s="1"/>
  <c r="BL170" i="25"/>
  <c r="BN170" i="25" s="1"/>
  <c r="BV170" i="25" s="1"/>
  <c r="AD157" i="16"/>
  <c r="AD165" i="16"/>
  <c r="AD170" i="16"/>
  <c r="AD149" i="16"/>
  <c r="AI137" i="15"/>
  <c r="AI113" i="15"/>
  <c r="BA113" i="17" s="1"/>
  <c r="BE113" i="17" s="1"/>
  <c r="BG113" i="17" s="1"/>
  <c r="AI149" i="15"/>
  <c r="BA149" i="17" s="1"/>
  <c r="BE149" i="17" s="1"/>
  <c r="BG149" i="17" s="1"/>
  <c r="AD164" i="16"/>
  <c r="AD171" i="16"/>
  <c r="BN149" i="25"/>
  <c r="BV149" i="25" s="1"/>
  <c r="BL145" i="25"/>
  <c r="AD158" i="16"/>
  <c r="AI145" i="15"/>
  <c r="BA145" i="17" s="1"/>
  <c r="BE145" i="17" s="1"/>
  <c r="BG145" i="17" s="1"/>
  <c r="BN137" i="25"/>
  <c r="BV137" i="25" s="1"/>
  <c r="BX137" i="25" s="1"/>
  <c r="BN113" i="25"/>
  <c r="BV113" i="25" s="1"/>
  <c r="BL119" i="2"/>
  <c r="BN119" i="2" s="1"/>
  <c r="BN170" i="2" l="1"/>
  <c r="BV119" i="2"/>
  <c r="BX119" i="2" s="1"/>
  <c r="BA137" i="17"/>
  <c r="BE137" i="17" s="1"/>
  <c r="BG137" i="17" s="1"/>
  <c r="BX170" i="25"/>
  <c r="BX149" i="25"/>
  <c r="BX113" i="25"/>
  <c r="W109" i="16"/>
  <c r="AG109" i="15" l="1"/>
  <c r="S109" i="10"/>
  <c r="Y95" i="22"/>
  <c r="AQ95" i="22" s="1"/>
  <c r="BB94" i="25"/>
  <c r="BL94" i="25" s="1"/>
  <c r="V83" i="10"/>
  <c r="V84" i="10"/>
  <c r="O83" i="26"/>
  <c r="K83" i="26"/>
  <c r="AG83" i="15"/>
  <c r="K82" i="26"/>
  <c r="G270" i="16"/>
  <c r="G217" i="16"/>
  <c r="S260" i="10"/>
  <c r="S259" i="10"/>
  <c r="S258" i="10"/>
  <c r="S257" i="10"/>
  <c r="S256" i="10"/>
  <c r="S255" i="10"/>
  <c r="S254" i="10"/>
  <c r="S253" i="10"/>
  <c r="S251" i="10"/>
  <c r="S250" i="10"/>
  <c r="S249" i="10"/>
  <c r="BB259" i="25"/>
  <c r="BL259" i="25" s="1"/>
  <c r="BB258" i="25"/>
  <c r="BL258" i="25" s="1"/>
  <c r="BB257" i="25"/>
  <c r="BL257" i="25" s="1"/>
  <c r="BB256" i="25"/>
  <c r="BL256" i="25" s="1"/>
  <c r="BB255" i="25"/>
  <c r="BL255" i="25" s="1"/>
  <c r="BB254" i="25"/>
  <c r="BL254" i="25" s="1"/>
  <c r="BB251" i="25"/>
  <c r="BL251" i="25" s="1"/>
  <c r="BB250" i="25"/>
  <c r="BL250" i="25" s="1"/>
  <c r="BB249" i="25"/>
  <c r="BL249" i="25" s="1"/>
  <c r="AO262" i="22"/>
  <c r="AO261" i="22"/>
  <c r="AO260" i="22"/>
  <c r="AO259" i="22"/>
  <c r="Y259" i="22"/>
  <c r="AO258" i="22"/>
  <c r="Y258" i="22"/>
  <c r="AO257" i="22"/>
  <c r="Y257" i="22"/>
  <c r="AO256" i="22"/>
  <c r="Y256" i="22"/>
  <c r="AO255" i="22"/>
  <c r="Y255" i="22"/>
  <c r="AO254" i="22"/>
  <c r="Y254" i="22"/>
  <c r="AO253" i="22"/>
  <c r="AO251" i="22"/>
  <c r="Y251" i="22"/>
  <c r="AO250" i="22"/>
  <c r="Y250" i="22"/>
  <c r="AO249" i="22"/>
  <c r="Y249" i="22"/>
  <c r="O260" i="26"/>
  <c r="K260" i="26"/>
  <c r="O259" i="26"/>
  <c r="K259" i="26"/>
  <c r="AG259" i="26" s="1"/>
  <c r="O258" i="26"/>
  <c r="O257" i="26"/>
  <c r="K257" i="26"/>
  <c r="O256" i="26"/>
  <c r="K256" i="26"/>
  <c r="O255" i="26"/>
  <c r="K255" i="26"/>
  <c r="O254" i="26"/>
  <c r="K254" i="26"/>
  <c r="O251" i="26"/>
  <c r="O250" i="26"/>
  <c r="K250" i="26"/>
  <c r="AG250" i="26" s="1"/>
  <c r="O249" i="26"/>
  <c r="K249" i="26"/>
  <c r="BB259" i="2"/>
  <c r="BL259" i="2" s="1"/>
  <c r="BB258" i="2"/>
  <c r="BL258" i="2" s="1"/>
  <c r="BB257" i="2"/>
  <c r="BL257" i="2" s="1"/>
  <c r="BB256" i="2"/>
  <c r="BL256" i="2" s="1"/>
  <c r="BB255" i="2"/>
  <c r="BL255" i="2" s="1"/>
  <c r="BB254" i="2"/>
  <c r="BL254" i="2" s="1"/>
  <c r="BB251" i="2"/>
  <c r="BL251" i="2" s="1"/>
  <c r="BB250" i="2"/>
  <c r="BL250" i="2" s="1"/>
  <c r="BB249" i="2"/>
  <c r="BL249" i="2" s="1"/>
  <c r="AK262" i="1"/>
  <c r="AM262" i="1" s="1"/>
  <c r="AK261" i="1"/>
  <c r="AM261" i="1" s="1"/>
  <c r="BN261" i="2" s="1"/>
  <c r="AK260" i="1"/>
  <c r="AM260" i="1" s="1"/>
  <c r="BN260" i="2" s="1"/>
  <c r="AK259" i="1"/>
  <c r="Y259" i="1"/>
  <c r="AK258" i="1"/>
  <c r="Y258" i="1"/>
  <c r="AK257" i="1"/>
  <c r="Y257" i="1"/>
  <c r="AK256" i="1"/>
  <c r="Y256" i="1"/>
  <c r="AK255" i="1"/>
  <c r="Y255" i="1"/>
  <c r="AK254" i="1"/>
  <c r="AM254" i="1" s="1"/>
  <c r="AK253" i="1"/>
  <c r="AM253" i="1" s="1"/>
  <c r="BN253" i="2" s="1"/>
  <c r="AK251" i="1"/>
  <c r="Y251" i="1"/>
  <c r="AK250" i="1"/>
  <c r="Y250" i="1"/>
  <c r="AK249" i="1"/>
  <c r="Y249" i="1"/>
  <c r="AY259" i="17"/>
  <c r="AY258" i="17"/>
  <c r="AY257" i="17"/>
  <c r="AY256" i="17"/>
  <c r="AY255" i="17"/>
  <c r="AY254" i="17"/>
  <c r="AY251" i="17"/>
  <c r="AY250" i="17"/>
  <c r="AY249" i="17"/>
  <c r="AG260" i="15"/>
  <c r="M260" i="15"/>
  <c r="AG259" i="15"/>
  <c r="M259" i="15"/>
  <c r="AG258" i="15"/>
  <c r="M258" i="15"/>
  <c r="AG257" i="15"/>
  <c r="M257" i="15"/>
  <c r="AG256" i="15"/>
  <c r="M256" i="15"/>
  <c r="AG255" i="15"/>
  <c r="M255" i="15"/>
  <c r="AG254" i="15"/>
  <c r="M254" i="15"/>
  <c r="M253" i="15"/>
  <c r="AI253" i="15" s="1"/>
  <c r="BA253" i="17" s="1"/>
  <c r="BE253" i="17" s="1"/>
  <c r="BG253" i="17" s="1"/>
  <c r="AG251" i="15"/>
  <c r="M251" i="15"/>
  <c r="AG249" i="15"/>
  <c r="M249" i="15"/>
  <c r="AB257" i="16"/>
  <c r="W257" i="16"/>
  <c r="G257" i="16"/>
  <c r="AB256" i="16"/>
  <c r="W256" i="16"/>
  <c r="G256" i="16"/>
  <c r="AB255" i="16"/>
  <c r="W255" i="16"/>
  <c r="AB254" i="16"/>
  <c r="W254" i="16"/>
  <c r="AB251" i="16"/>
  <c r="W251" i="16"/>
  <c r="G251" i="16"/>
  <c r="AB249" i="16"/>
  <c r="W249" i="16"/>
  <c r="G249" i="16"/>
  <c r="K251" i="26"/>
  <c r="K258" i="26"/>
  <c r="Y572" i="22"/>
  <c r="G572" i="16"/>
  <c r="AD572" i="16" s="1"/>
  <c r="G248" i="16"/>
  <c r="G246" i="16"/>
  <c r="G245" i="16"/>
  <c r="Y244" i="1"/>
  <c r="AM244" i="1" s="1"/>
  <c r="Y243" i="22"/>
  <c r="G242" i="16"/>
  <c r="BB240" i="2"/>
  <c r="BL240" i="2" s="1"/>
  <c r="G240" i="16"/>
  <c r="G239" i="16"/>
  <c r="G231" i="16"/>
  <c r="G230" i="16"/>
  <c r="G209" i="16"/>
  <c r="S217" i="10"/>
  <c r="AB217" i="16"/>
  <c r="G223" i="16"/>
  <c r="G206" i="16"/>
  <c r="V502" i="10"/>
  <c r="G501" i="16"/>
  <c r="G496" i="16"/>
  <c r="AD496" i="16" s="1"/>
  <c r="G597" i="16"/>
  <c r="G207" i="16"/>
  <c r="AY230" i="17"/>
  <c r="G235" i="16"/>
  <c r="AG234" i="15"/>
  <c r="G321" i="16"/>
  <c r="G596" i="16"/>
  <c r="AD596" i="16" s="1"/>
  <c r="Y583" i="22"/>
  <c r="G507" i="16"/>
  <c r="AD507" i="16" s="1"/>
  <c r="V523" i="10"/>
  <c r="G523" i="16"/>
  <c r="G241" i="16"/>
  <c r="G283" i="16"/>
  <c r="V91" i="10"/>
  <c r="V90" i="10"/>
  <c r="V88" i="10"/>
  <c r="V89" i="10"/>
  <c r="V87" i="10"/>
  <c r="V86" i="10"/>
  <c r="V85" i="10"/>
  <c r="V82" i="10"/>
  <c r="V81" i="10"/>
  <c r="V80" i="10"/>
  <c r="V79" i="10"/>
  <c r="V78" i="10"/>
  <c r="S82" i="10"/>
  <c r="S81" i="10"/>
  <c r="S80" i="10"/>
  <c r="S79" i="10"/>
  <c r="S78" i="10"/>
  <c r="O82" i="26"/>
  <c r="O81" i="26"/>
  <c r="K81" i="26"/>
  <c r="AG81" i="26" s="1"/>
  <c r="BX80" i="25"/>
  <c r="O80" i="26"/>
  <c r="K80" i="26"/>
  <c r="BX79" i="25"/>
  <c r="O79" i="26"/>
  <c r="K79" i="26"/>
  <c r="BX78" i="25"/>
  <c r="O78" i="26"/>
  <c r="K78" i="26"/>
  <c r="AB82" i="16"/>
  <c r="W82" i="16"/>
  <c r="G82" i="16"/>
  <c r="AB81" i="16"/>
  <c r="W81" i="16"/>
  <c r="G81" i="16"/>
  <c r="AB80" i="16"/>
  <c r="W80" i="16"/>
  <c r="G80" i="16"/>
  <c r="AB79" i="16"/>
  <c r="W79" i="16"/>
  <c r="G79" i="16"/>
  <c r="AB78" i="16"/>
  <c r="W78" i="16"/>
  <c r="G78" i="16"/>
  <c r="S529" i="10"/>
  <c r="S528" i="10"/>
  <c r="S527" i="10"/>
  <c r="S526" i="10"/>
  <c r="S525" i="10"/>
  <c r="S524" i="10"/>
  <c r="S523" i="10"/>
  <c r="S522" i="10"/>
  <c r="S521" i="10"/>
  <c r="S520" i="10"/>
  <c r="S519" i="10"/>
  <c r="S518" i="10"/>
  <c r="S517" i="10"/>
  <c r="S516" i="10"/>
  <c r="S515" i="10"/>
  <c r="S514" i="10"/>
  <c r="S513" i="10"/>
  <c r="S512" i="10"/>
  <c r="S511" i="10"/>
  <c r="S510" i="10"/>
  <c r="S509" i="10"/>
  <c r="S508" i="10"/>
  <c r="S507" i="10"/>
  <c r="S506" i="10"/>
  <c r="S505" i="10"/>
  <c r="S504" i="10"/>
  <c r="S502" i="10"/>
  <c r="S501" i="10"/>
  <c r="S500" i="10"/>
  <c r="S499" i="10"/>
  <c r="S498" i="10"/>
  <c r="S497" i="10"/>
  <c r="S496" i="10"/>
  <c r="S495" i="10"/>
  <c r="S494" i="10"/>
  <c r="S493" i="10"/>
  <c r="S492" i="10"/>
  <c r="S491" i="10"/>
  <c r="S490" i="10"/>
  <c r="S489" i="10"/>
  <c r="S487" i="10"/>
  <c r="S486" i="10"/>
  <c r="S485" i="10"/>
  <c r="S484" i="10"/>
  <c r="S483" i="10"/>
  <c r="S482" i="10"/>
  <c r="S481" i="10"/>
  <c r="S480" i="10"/>
  <c r="BB529" i="25"/>
  <c r="BL529" i="25" s="1"/>
  <c r="BB527" i="25"/>
  <c r="BL527" i="25" s="1"/>
  <c r="BB526" i="25"/>
  <c r="BL526" i="25" s="1"/>
  <c r="BB525" i="25"/>
  <c r="BL525" i="25" s="1"/>
  <c r="BB524" i="25"/>
  <c r="BL524" i="25" s="1"/>
  <c r="BB523" i="25"/>
  <c r="BL523" i="25" s="1"/>
  <c r="BB522" i="25"/>
  <c r="BL522" i="25" s="1"/>
  <c r="BB521" i="25"/>
  <c r="BL521" i="25" s="1"/>
  <c r="BB520" i="25"/>
  <c r="BL520" i="25" s="1"/>
  <c r="BB519" i="25"/>
  <c r="BL519" i="25" s="1"/>
  <c r="BB518" i="25"/>
  <c r="BL518" i="25" s="1"/>
  <c r="BB517" i="25"/>
  <c r="BL517" i="25" s="1"/>
  <c r="BB516" i="25"/>
  <c r="BL516" i="25" s="1"/>
  <c r="BB515" i="25"/>
  <c r="BL515" i="25" s="1"/>
  <c r="BB514" i="25"/>
  <c r="BL514" i="25" s="1"/>
  <c r="BB513" i="25"/>
  <c r="BL513" i="25" s="1"/>
  <c r="BB512" i="25"/>
  <c r="BL512" i="25" s="1"/>
  <c r="BB511" i="25"/>
  <c r="BL511" i="25" s="1"/>
  <c r="BB510" i="25"/>
  <c r="BL510" i="25" s="1"/>
  <c r="BB509" i="25"/>
  <c r="BL509" i="25" s="1"/>
  <c r="BB508" i="25"/>
  <c r="BL508" i="25" s="1"/>
  <c r="BB507" i="25"/>
  <c r="BL507" i="25" s="1"/>
  <c r="BB506" i="25"/>
  <c r="BL506" i="25" s="1"/>
  <c r="BB505" i="25"/>
  <c r="BL505" i="25" s="1"/>
  <c r="BB504" i="25"/>
  <c r="BL504" i="25" s="1"/>
  <c r="BB502" i="25"/>
  <c r="BL502" i="25" s="1"/>
  <c r="BB501" i="25"/>
  <c r="BL501" i="25" s="1"/>
  <c r="BB500" i="25"/>
  <c r="BL500" i="25" s="1"/>
  <c r="BB499" i="25"/>
  <c r="BL499" i="25" s="1"/>
  <c r="BB498" i="25"/>
  <c r="BL498" i="25" s="1"/>
  <c r="BB497" i="25"/>
  <c r="BL497" i="25" s="1"/>
  <c r="BB496" i="25"/>
  <c r="BL496" i="25" s="1"/>
  <c r="BB495" i="25"/>
  <c r="BL495" i="25" s="1"/>
  <c r="BB494" i="25"/>
  <c r="BL494" i="25" s="1"/>
  <c r="BB493" i="25"/>
  <c r="BL493" i="25" s="1"/>
  <c r="BB492" i="25"/>
  <c r="BL492" i="25" s="1"/>
  <c r="BB491" i="25"/>
  <c r="BL491" i="25" s="1"/>
  <c r="BB490" i="25"/>
  <c r="BL490" i="25" s="1"/>
  <c r="BB489" i="25"/>
  <c r="BL489" i="25" s="1"/>
  <c r="BB487" i="25"/>
  <c r="BL487" i="25" s="1"/>
  <c r="BB486" i="25"/>
  <c r="BL486" i="25" s="1"/>
  <c r="BB485" i="25"/>
  <c r="BL485" i="25" s="1"/>
  <c r="BB484" i="25"/>
  <c r="BL484" i="25" s="1"/>
  <c r="BB483" i="25"/>
  <c r="BL483" i="25" s="1"/>
  <c r="BB482" i="25"/>
  <c r="BL482" i="25" s="1"/>
  <c r="BB481" i="25"/>
  <c r="BL481" i="25" s="1"/>
  <c r="BB480" i="25"/>
  <c r="BL480" i="25" s="1"/>
  <c r="AO529" i="22"/>
  <c r="Y529" i="22"/>
  <c r="AO528" i="22"/>
  <c r="AO527" i="22"/>
  <c r="Y527" i="22"/>
  <c r="AO526" i="22"/>
  <c r="Y526" i="22"/>
  <c r="AO525" i="22"/>
  <c r="Y525" i="22"/>
  <c r="AO524" i="22"/>
  <c r="Y524" i="22"/>
  <c r="AO523" i="22"/>
  <c r="Y523" i="22"/>
  <c r="AO522" i="22"/>
  <c r="Y522" i="22"/>
  <c r="AO521" i="22"/>
  <c r="Y521" i="22"/>
  <c r="AO520" i="22"/>
  <c r="Y520" i="22"/>
  <c r="AO519" i="22"/>
  <c r="Y519" i="22"/>
  <c r="AO518" i="22"/>
  <c r="Y518" i="22"/>
  <c r="AO517" i="22"/>
  <c r="Y517" i="22"/>
  <c r="AO516" i="22"/>
  <c r="Y516" i="22"/>
  <c r="AO515" i="22"/>
  <c r="Y515" i="22"/>
  <c r="AO514" i="22"/>
  <c r="Y514" i="22"/>
  <c r="AO513" i="22"/>
  <c r="Y513" i="22"/>
  <c r="AO512" i="22"/>
  <c r="Y512" i="22"/>
  <c r="AO511" i="22"/>
  <c r="Y511" i="22"/>
  <c r="AO510" i="22"/>
  <c r="Y510" i="22"/>
  <c r="AO509" i="22"/>
  <c r="Y509" i="22"/>
  <c r="AO508" i="22"/>
  <c r="Y508" i="22"/>
  <c r="AO507" i="22"/>
  <c r="Y507" i="22"/>
  <c r="AO506" i="22"/>
  <c r="Y506" i="22"/>
  <c r="AO505" i="22"/>
  <c r="Y505" i="22"/>
  <c r="AO504" i="22"/>
  <c r="Y504" i="22"/>
  <c r="AO502" i="22"/>
  <c r="Y502" i="22"/>
  <c r="AO501" i="22"/>
  <c r="Y501" i="22"/>
  <c r="AO500" i="22"/>
  <c r="Y500" i="22"/>
  <c r="AO499" i="22"/>
  <c r="Y499" i="22"/>
  <c r="AO498" i="22"/>
  <c r="Y498" i="22"/>
  <c r="AO497" i="22"/>
  <c r="Y497" i="22"/>
  <c r="AO496" i="22"/>
  <c r="Y496" i="22"/>
  <c r="AO495" i="22"/>
  <c r="Y495" i="22"/>
  <c r="AO494" i="22"/>
  <c r="Y494" i="22"/>
  <c r="AO493" i="22"/>
  <c r="Y493" i="22"/>
  <c r="AO492" i="22"/>
  <c r="AO491" i="22"/>
  <c r="Y491" i="22"/>
  <c r="AO490" i="22"/>
  <c r="Y490" i="22"/>
  <c r="AO489" i="22"/>
  <c r="Y489" i="22"/>
  <c r="AO487" i="22"/>
  <c r="Y487" i="22"/>
  <c r="AO486" i="22"/>
  <c r="Y486" i="22"/>
  <c r="AO485" i="22"/>
  <c r="Y485" i="22"/>
  <c r="AO484" i="22"/>
  <c r="Y484" i="22"/>
  <c r="AO483" i="22"/>
  <c r="Y483" i="22"/>
  <c r="AO482" i="22"/>
  <c r="AO481" i="22"/>
  <c r="Y481" i="22"/>
  <c r="Y480" i="22"/>
  <c r="O529" i="26"/>
  <c r="K529" i="26"/>
  <c r="O528" i="26"/>
  <c r="K528" i="26"/>
  <c r="O527" i="26"/>
  <c r="K527" i="26"/>
  <c r="O526" i="26"/>
  <c r="K526" i="26"/>
  <c r="AG526" i="26" s="1"/>
  <c r="O525" i="26"/>
  <c r="K525" i="26"/>
  <c r="O524" i="26"/>
  <c r="K524" i="26"/>
  <c r="O523" i="26"/>
  <c r="K523" i="26"/>
  <c r="O522" i="26"/>
  <c r="K522" i="26"/>
  <c r="O521" i="26"/>
  <c r="K521" i="26"/>
  <c r="O520" i="26"/>
  <c r="K520" i="26"/>
  <c r="O519" i="26"/>
  <c r="K519" i="26"/>
  <c r="O518" i="26"/>
  <c r="O517" i="26"/>
  <c r="K517" i="26"/>
  <c r="O516" i="26"/>
  <c r="K516" i="26"/>
  <c r="O515" i="26"/>
  <c r="K515" i="26"/>
  <c r="O514" i="26"/>
  <c r="K514" i="26"/>
  <c r="O513" i="26"/>
  <c r="K513" i="26"/>
  <c r="O512" i="26"/>
  <c r="K512" i="26"/>
  <c r="O511" i="26"/>
  <c r="K511" i="26"/>
  <c r="O510" i="26"/>
  <c r="K510" i="26"/>
  <c r="O509" i="26"/>
  <c r="K509" i="26"/>
  <c r="O508" i="26"/>
  <c r="K508" i="26"/>
  <c r="O507" i="26"/>
  <c r="K507" i="26"/>
  <c r="O506" i="26"/>
  <c r="K506" i="26"/>
  <c r="O505" i="26"/>
  <c r="K505" i="26"/>
  <c r="O504" i="26"/>
  <c r="O502" i="26"/>
  <c r="K502" i="26"/>
  <c r="O501" i="26"/>
  <c r="K501" i="26"/>
  <c r="O500" i="26"/>
  <c r="K500" i="26"/>
  <c r="O499" i="26"/>
  <c r="K499" i="26"/>
  <c r="O498" i="26"/>
  <c r="K498" i="26"/>
  <c r="O497" i="26"/>
  <c r="K497" i="26"/>
  <c r="O496" i="26"/>
  <c r="K496" i="26"/>
  <c r="O495" i="26"/>
  <c r="K495" i="26"/>
  <c r="O494" i="26"/>
  <c r="K494" i="26"/>
  <c r="O493" i="26"/>
  <c r="K493" i="26"/>
  <c r="O492" i="26"/>
  <c r="K492" i="26"/>
  <c r="O491" i="26"/>
  <c r="K491" i="26"/>
  <c r="O490" i="26"/>
  <c r="K490" i="26"/>
  <c r="O489" i="26"/>
  <c r="K489" i="26"/>
  <c r="O487" i="26"/>
  <c r="K487" i="26"/>
  <c r="O486" i="26"/>
  <c r="K486" i="26"/>
  <c r="O485" i="26"/>
  <c r="K485" i="26"/>
  <c r="O484" i="26"/>
  <c r="K484" i="26"/>
  <c r="O483" i="26"/>
  <c r="K483" i="26"/>
  <c r="O482" i="26"/>
  <c r="K482" i="26"/>
  <c r="O481" i="26"/>
  <c r="K481" i="26"/>
  <c r="O480" i="26"/>
  <c r="K480" i="26"/>
  <c r="BB529" i="2"/>
  <c r="BL529" i="2" s="1"/>
  <c r="BB528" i="2"/>
  <c r="BL528" i="2" s="1"/>
  <c r="BB527" i="2"/>
  <c r="BL527" i="2" s="1"/>
  <c r="BB526" i="2"/>
  <c r="BL526" i="2" s="1"/>
  <c r="BB525" i="2"/>
  <c r="BL525" i="2" s="1"/>
  <c r="BB524" i="2"/>
  <c r="BL524" i="2" s="1"/>
  <c r="BB523" i="2"/>
  <c r="BL523" i="2" s="1"/>
  <c r="BB522" i="2"/>
  <c r="BL522" i="2" s="1"/>
  <c r="BB521" i="2"/>
  <c r="BB520" i="2"/>
  <c r="BL520" i="2" s="1"/>
  <c r="BB519" i="2"/>
  <c r="BL519" i="2" s="1"/>
  <c r="BB518" i="2"/>
  <c r="BL518" i="2" s="1"/>
  <c r="BB517" i="2"/>
  <c r="BL517" i="2" s="1"/>
  <c r="BB516" i="2"/>
  <c r="BL516" i="2" s="1"/>
  <c r="BB515" i="2"/>
  <c r="BL515" i="2" s="1"/>
  <c r="BB514" i="2"/>
  <c r="BL514" i="2" s="1"/>
  <c r="BB513" i="2"/>
  <c r="BL513" i="2" s="1"/>
  <c r="BB512" i="2"/>
  <c r="BL512" i="2" s="1"/>
  <c r="BB511" i="2"/>
  <c r="BL511" i="2" s="1"/>
  <c r="BB510" i="2"/>
  <c r="BL510" i="2" s="1"/>
  <c r="BB509" i="2"/>
  <c r="BL509" i="2" s="1"/>
  <c r="BB508" i="2"/>
  <c r="BL508" i="2" s="1"/>
  <c r="BB507" i="2"/>
  <c r="BL507" i="2" s="1"/>
  <c r="BB506" i="2"/>
  <c r="BL506" i="2" s="1"/>
  <c r="BB505" i="2"/>
  <c r="BL505" i="2" s="1"/>
  <c r="BB504" i="2"/>
  <c r="BL504" i="2" s="1"/>
  <c r="BB502" i="2"/>
  <c r="BL502" i="2" s="1"/>
  <c r="BB501" i="2"/>
  <c r="BL501" i="2" s="1"/>
  <c r="BB500" i="2"/>
  <c r="BL500" i="2" s="1"/>
  <c r="BB499" i="2"/>
  <c r="BL499" i="2" s="1"/>
  <c r="BB498" i="2"/>
  <c r="BL498" i="2" s="1"/>
  <c r="BB497" i="2"/>
  <c r="BL497" i="2" s="1"/>
  <c r="BB496" i="2"/>
  <c r="BL496" i="2" s="1"/>
  <c r="BB495" i="2"/>
  <c r="BL495" i="2" s="1"/>
  <c r="BB494" i="2"/>
  <c r="BL494" i="2" s="1"/>
  <c r="BB493" i="2"/>
  <c r="BB492" i="2"/>
  <c r="BL492" i="2" s="1"/>
  <c r="BB491" i="2"/>
  <c r="BL491" i="2" s="1"/>
  <c r="BB490" i="2"/>
  <c r="BL490" i="2" s="1"/>
  <c r="BB489" i="2"/>
  <c r="BL489" i="2" s="1"/>
  <c r="BB487" i="2"/>
  <c r="BL487" i="2" s="1"/>
  <c r="BB486" i="2"/>
  <c r="BL486" i="2" s="1"/>
  <c r="BB485" i="2"/>
  <c r="BL485" i="2" s="1"/>
  <c r="BB484" i="2"/>
  <c r="BL484" i="2" s="1"/>
  <c r="BB483" i="2"/>
  <c r="BL483" i="2" s="1"/>
  <c r="BB482" i="2"/>
  <c r="BL482" i="2" s="1"/>
  <c r="BB481" i="2"/>
  <c r="BL481" i="2" s="1"/>
  <c r="BB480" i="2"/>
  <c r="BL480" i="2" s="1"/>
  <c r="AK529" i="1"/>
  <c r="Y529" i="1"/>
  <c r="AK528" i="1"/>
  <c r="Y528" i="1"/>
  <c r="AK527" i="1"/>
  <c r="Y527" i="1"/>
  <c r="AK526" i="1"/>
  <c r="Y526" i="1"/>
  <c r="AK525" i="1"/>
  <c r="Y525" i="1"/>
  <c r="AK524" i="1"/>
  <c r="Y524" i="1"/>
  <c r="AK523" i="1"/>
  <c r="Y523" i="1"/>
  <c r="AK522" i="1"/>
  <c r="Y522" i="1"/>
  <c r="AK521" i="1"/>
  <c r="Y521" i="1"/>
  <c r="AK520" i="1"/>
  <c r="Y520" i="1"/>
  <c r="AK519" i="1"/>
  <c r="AM519" i="1" s="1"/>
  <c r="Y519" i="1"/>
  <c r="Y518" i="1"/>
  <c r="AK517" i="1"/>
  <c r="Y517" i="1"/>
  <c r="AK516" i="1"/>
  <c r="Y516" i="1"/>
  <c r="AK515" i="1"/>
  <c r="Y515" i="1"/>
  <c r="Y514" i="1"/>
  <c r="AK513" i="1"/>
  <c r="Y513" i="1"/>
  <c r="AK512" i="1"/>
  <c r="Y512" i="1"/>
  <c r="AK511" i="1"/>
  <c r="Y511" i="1"/>
  <c r="AK510" i="1"/>
  <c r="Y510" i="1"/>
  <c r="AK509" i="1"/>
  <c r="Y509" i="1"/>
  <c r="AK508" i="1"/>
  <c r="Y508" i="1"/>
  <c r="AK507" i="1"/>
  <c r="Y507" i="1"/>
  <c r="AK506" i="1"/>
  <c r="Y506" i="1"/>
  <c r="AK505" i="1"/>
  <c r="Y505" i="1"/>
  <c r="AK504" i="1"/>
  <c r="Y504" i="1"/>
  <c r="AK502" i="1"/>
  <c r="Y502" i="1"/>
  <c r="AK501" i="1"/>
  <c r="Y501" i="1"/>
  <c r="AK500" i="1"/>
  <c r="Y500" i="1"/>
  <c r="AK499" i="1"/>
  <c r="Y499" i="1"/>
  <c r="AK498" i="1"/>
  <c r="Y498" i="1"/>
  <c r="AK497" i="1"/>
  <c r="Y497" i="1"/>
  <c r="AM497" i="1" s="1"/>
  <c r="AK496" i="1"/>
  <c r="Y496" i="1"/>
  <c r="AK495" i="1"/>
  <c r="Y495" i="1"/>
  <c r="AK494" i="1"/>
  <c r="Y494" i="1"/>
  <c r="AK493" i="1"/>
  <c r="Y493" i="1"/>
  <c r="AK492" i="1"/>
  <c r="Y492" i="1"/>
  <c r="AK491" i="1"/>
  <c r="Y491" i="1"/>
  <c r="AK490" i="1"/>
  <c r="Y490" i="1"/>
  <c r="AK489" i="1"/>
  <c r="Y489" i="1"/>
  <c r="AK487" i="1"/>
  <c r="Y487" i="1"/>
  <c r="AK486" i="1"/>
  <c r="Y486" i="1"/>
  <c r="AK485" i="1"/>
  <c r="Y485" i="1"/>
  <c r="AK484" i="1"/>
  <c r="Y484" i="1"/>
  <c r="AK483" i="1"/>
  <c r="Y483" i="1"/>
  <c r="AK482" i="1"/>
  <c r="Y482" i="1"/>
  <c r="AK481" i="1"/>
  <c r="Y481" i="1"/>
  <c r="AK480" i="1"/>
  <c r="Y480" i="1"/>
  <c r="AB502" i="16"/>
  <c r="AY502" i="17"/>
  <c r="AY528" i="17"/>
  <c r="AY521" i="17"/>
  <c r="AY505" i="17"/>
  <c r="AY482" i="17"/>
  <c r="AY480" i="17"/>
  <c r="AY481" i="17"/>
  <c r="AY483" i="17"/>
  <c r="AY484" i="17"/>
  <c r="AY485" i="17"/>
  <c r="AY486" i="17"/>
  <c r="AY487" i="17"/>
  <c r="AY489" i="17"/>
  <c r="AY490" i="17"/>
  <c r="AY491" i="17"/>
  <c r="AY492" i="17"/>
  <c r="AY493" i="17"/>
  <c r="AY494" i="17"/>
  <c r="AY495" i="17"/>
  <c r="AY496" i="17"/>
  <c r="AY497" i="17"/>
  <c r="AY498" i="17"/>
  <c r="AY499" i="17"/>
  <c r="AY500" i="17"/>
  <c r="AY501" i="17"/>
  <c r="AY504" i="17"/>
  <c r="AY506" i="17"/>
  <c r="AY507" i="17"/>
  <c r="AY508" i="17"/>
  <c r="AY509" i="17"/>
  <c r="AY510" i="17"/>
  <c r="AY511" i="17"/>
  <c r="AY512" i="17"/>
  <c r="AY513" i="17"/>
  <c r="AY514" i="17"/>
  <c r="AY515" i="17"/>
  <c r="AY516" i="17"/>
  <c r="AY517" i="17"/>
  <c r="AY518" i="17"/>
  <c r="AY519" i="17"/>
  <c r="AY520" i="17"/>
  <c r="AY522" i="17"/>
  <c r="AY523" i="17"/>
  <c r="AY524" i="17"/>
  <c r="AY525" i="17"/>
  <c r="AY526" i="17"/>
  <c r="AY527" i="17"/>
  <c r="AY529" i="17"/>
  <c r="M529" i="15"/>
  <c r="M528" i="15"/>
  <c r="M527" i="15"/>
  <c r="M526" i="15"/>
  <c r="M525" i="15"/>
  <c r="M524" i="15"/>
  <c r="M523" i="15"/>
  <c r="M522" i="15"/>
  <c r="M521" i="15"/>
  <c r="M520" i="15"/>
  <c r="M519" i="15"/>
  <c r="M518" i="15"/>
  <c r="M517" i="15"/>
  <c r="M516" i="15"/>
  <c r="M515" i="15"/>
  <c r="M514" i="15"/>
  <c r="M513" i="15"/>
  <c r="M512" i="15"/>
  <c r="M511" i="15"/>
  <c r="M510" i="15"/>
  <c r="M509" i="15"/>
  <c r="M508" i="15"/>
  <c r="M507" i="15"/>
  <c r="M506" i="15"/>
  <c r="M505" i="15"/>
  <c r="AG504" i="15"/>
  <c r="M504" i="15"/>
  <c r="AG502" i="15"/>
  <c r="M502" i="15"/>
  <c r="M501" i="15"/>
  <c r="M500" i="15"/>
  <c r="AG499" i="15"/>
  <c r="M499" i="15"/>
  <c r="M498" i="15"/>
  <c r="AG497" i="15"/>
  <c r="M497" i="15"/>
  <c r="M496" i="15"/>
  <c r="M495" i="15"/>
  <c r="AG494" i="15"/>
  <c r="M494" i="15"/>
  <c r="M493" i="15"/>
  <c r="M492" i="15"/>
  <c r="M491" i="15"/>
  <c r="AG490" i="15"/>
  <c r="M490" i="15"/>
  <c r="M489" i="15"/>
  <c r="AI489" i="15" s="1"/>
  <c r="M487" i="15"/>
  <c r="AG486" i="15"/>
  <c r="M486" i="15"/>
  <c r="M485" i="15"/>
  <c r="AG484" i="15"/>
  <c r="M484" i="15"/>
  <c r="AG483" i="15"/>
  <c r="M483" i="15"/>
  <c r="M482" i="15"/>
  <c r="AG481" i="15"/>
  <c r="M481" i="15"/>
  <c r="M480" i="15"/>
  <c r="AG480" i="15"/>
  <c r="AG482" i="15"/>
  <c r="AG485" i="15"/>
  <c r="AG487" i="15"/>
  <c r="AG489" i="15"/>
  <c r="AG491" i="15"/>
  <c r="AG492" i="15"/>
  <c r="AG493" i="15"/>
  <c r="AG495" i="15"/>
  <c r="AG496" i="15"/>
  <c r="AG498" i="15"/>
  <c r="AG500" i="15"/>
  <c r="AG501" i="15"/>
  <c r="AG505" i="15"/>
  <c r="AG506" i="15"/>
  <c r="AG507" i="15"/>
  <c r="AG508" i="15"/>
  <c r="AG509" i="15"/>
  <c r="AG510" i="15"/>
  <c r="AG511" i="15"/>
  <c r="AG512" i="15"/>
  <c r="AG513" i="15"/>
  <c r="AI513" i="15" s="1"/>
  <c r="AG514" i="15"/>
  <c r="AG515" i="15"/>
  <c r="AG516" i="15"/>
  <c r="AG517" i="15"/>
  <c r="AG518" i="15"/>
  <c r="AG519" i="15"/>
  <c r="AG520" i="15"/>
  <c r="AG521" i="15"/>
  <c r="AG522" i="15"/>
  <c r="AG523" i="15"/>
  <c r="AG524" i="15"/>
  <c r="AG525" i="15"/>
  <c r="AG526" i="15"/>
  <c r="AG527" i="15"/>
  <c r="AG528" i="15"/>
  <c r="AG529" i="15"/>
  <c r="M530" i="15"/>
  <c r="AG530" i="15"/>
  <c r="M531" i="15"/>
  <c r="AG531" i="15"/>
  <c r="G529" i="16"/>
  <c r="G528" i="16"/>
  <c r="G527" i="16"/>
  <c r="AD527" i="16" s="1"/>
  <c r="G526" i="16"/>
  <c r="G525" i="16"/>
  <c r="G524" i="16"/>
  <c r="G522" i="16"/>
  <c r="G521" i="16"/>
  <c r="G520" i="16"/>
  <c r="AD520" i="16" s="1"/>
  <c r="G519" i="16"/>
  <c r="AD519" i="16" s="1"/>
  <c r="G518" i="16"/>
  <c r="G517" i="16"/>
  <c r="G516" i="16"/>
  <c r="G515" i="16"/>
  <c r="G514" i="16"/>
  <c r="G513" i="16"/>
  <c r="G512" i="16"/>
  <c r="AD512" i="16" s="1"/>
  <c r="G511" i="16"/>
  <c r="G510" i="16"/>
  <c r="G509" i="16"/>
  <c r="G508" i="16"/>
  <c r="G506" i="16"/>
  <c r="G505" i="16"/>
  <c r="G504" i="16"/>
  <c r="G502" i="16"/>
  <c r="G500" i="16"/>
  <c r="G499" i="16"/>
  <c r="G498" i="16"/>
  <c r="G497" i="16"/>
  <c r="G495" i="16"/>
  <c r="AD495" i="16" s="1"/>
  <c r="G494" i="16"/>
  <c r="AD494" i="16" s="1"/>
  <c r="G493" i="16"/>
  <c r="AD493" i="16" s="1"/>
  <c r="G492" i="16"/>
  <c r="G491" i="16"/>
  <c r="G490" i="16"/>
  <c r="AD490" i="16" s="1"/>
  <c r="G489" i="16"/>
  <c r="G487" i="16"/>
  <c r="G486" i="16"/>
  <c r="G485" i="16"/>
  <c r="AD485" i="16" s="1"/>
  <c r="G484" i="16"/>
  <c r="G483" i="16"/>
  <c r="G482" i="16"/>
  <c r="G481" i="16"/>
  <c r="AD481" i="16" s="1"/>
  <c r="G480" i="16"/>
  <c r="S204" i="10"/>
  <c r="S203" i="10"/>
  <c r="S202" i="10"/>
  <c r="S201" i="10"/>
  <c r="S200" i="10"/>
  <c r="S196" i="10"/>
  <c r="S195" i="10"/>
  <c r="S194" i="10"/>
  <c r="S193" i="10"/>
  <c r="S192" i="10"/>
  <c r="S191" i="10"/>
  <c r="S190" i="10"/>
  <c r="S187" i="10"/>
  <c r="S185" i="10"/>
  <c r="S184" i="10"/>
  <c r="S179" i="10"/>
  <c r="S178" i="10"/>
  <c r="S177" i="10"/>
  <c r="S176" i="10"/>
  <c r="BB204" i="25"/>
  <c r="BL204" i="25" s="1"/>
  <c r="BB203" i="25"/>
  <c r="BL203" i="25" s="1"/>
  <c r="BB202" i="25"/>
  <c r="BL202" i="25" s="1"/>
  <c r="BB201" i="25"/>
  <c r="BL201" i="25" s="1"/>
  <c r="BB200" i="25"/>
  <c r="BL200" i="25" s="1"/>
  <c r="BB196" i="25"/>
  <c r="BL196" i="25" s="1"/>
  <c r="BB195" i="25"/>
  <c r="BL195" i="25" s="1"/>
  <c r="BB194" i="25"/>
  <c r="BL194" i="25" s="1"/>
  <c r="BB193" i="25"/>
  <c r="BL193" i="25" s="1"/>
  <c r="BB192" i="25"/>
  <c r="BL192" i="25" s="1"/>
  <c r="BB191" i="25"/>
  <c r="BL191" i="25" s="1"/>
  <c r="BB190" i="25"/>
  <c r="BL190" i="25" s="1"/>
  <c r="BB187" i="25"/>
  <c r="BL187" i="25" s="1"/>
  <c r="BB185" i="25"/>
  <c r="BL185" i="25" s="1"/>
  <c r="BB184" i="25"/>
  <c r="BL184" i="25" s="1"/>
  <c r="BB183" i="25"/>
  <c r="BL183" i="25" s="1"/>
  <c r="BB182" i="25"/>
  <c r="BL182" i="25" s="1"/>
  <c r="BB181" i="25"/>
  <c r="BL181" i="25" s="1"/>
  <c r="BL180" i="25"/>
  <c r="BB178" i="25"/>
  <c r="BL178" i="25" s="1"/>
  <c r="BB177" i="25"/>
  <c r="BL177" i="25" s="1"/>
  <c r="BB176" i="25"/>
  <c r="BL176" i="25" s="1"/>
  <c r="Y204" i="22"/>
  <c r="Y203" i="22"/>
  <c r="Y202" i="22"/>
  <c r="Y201" i="22"/>
  <c r="Y200" i="22"/>
  <c r="Y198" i="22"/>
  <c r="Y196" i="22"/>
  <c r="Y195" i="22"/>
  <c r="Y194" i="22"/>
  <c r="Y193" i="22"/>
  <c r="Y192" i="22"/>
  <c r="Y191" i="22"/>
  <c r="Y190" i="22"/>
  <c r="Y189" i="22"/>
  <c r="Y187" i="22"/>
  <c r="Y185" i="22"/>
  <c r="Y184" i="22"/>
  <c r="Y183" i="22"/>
  <c r="Y182" i="22"/>
  <c r="Y181" i="22"/>
  <c r="Y180" i="22"/>
  <c r="Y178" i="22"/>
  <c r="Y177" i="22"/>
  <c r="Y176" i="22"/>
  <c r="O204" i="26"/>
  <c r="K204" i="26"/>
  <c r="O203" i="26"/>
  <c r="K203" i="26"/>
  <c r="O202" i="26"/>
  <c r="K202" i="26"/>
  <c r="O201" i="26"/>
  <c r="K201" i="26"/>
  <c r="O200" i="26"/>
  <c r="K200" i="26"/>
  <c r="O196" i="26"/>
  <c r="K196" i="26"/>
  <c r="O195" i="26"/>
  <c r="K195" i="26"/>
  <c r="O194" i="26"/>
  <c r="K194" i="26"/>
  <c r="O193" i="26"/>
  <c r="K193" i="26"/>
  <c r="O192" i="26"/>
  <c r="K192" i="26"/>
  <c r="O191" i="26"/>
  <c r="K191" i="26"/>
  <c r="O190" i="26"/>
  <c r="K190" i="26"/>
  <c r="O189" i="26"/>
  <c r="AG189" i="26" s="1"/>
  <c r="O187" i="26"/>
  <c r="K187" i="26"/>
  <c r="O185" i="26"/>
  <c r="K185" i="26"/>
  <c r="O184" i="26"/>
  <c r="K184" i="26"/>
  <c r="O183" i="26"/>
  <c r="K183" i="26"/>
  <c r="O182" i="26"/>
  <c r="K182" i="26"/>
  <c r="O181" i="26"/>
  <c r="K181" i="26"/>
  <c r="O180" i="26"/>
  <c r="AG180" i="26" s="1"/>
  <c r="O178" i="26"/>
  <c r="K178" i="26"/>
  <c r="O177" i="26"/>
  <c r="K177" i="26"/>
  <c r="O176" i="26"/>
  <c r="K176" i="26"/>
  <c r="BB204" i="2"/>
  <c r="BB203" i="2"/>
  <c r="BL203" i="2" s="1"/>
  <c r="BB202" i="2"/>
  <c r="BB201" i="2"/>
  <c r="BL201" i="2" s="1"/>
  <c r="BB196" i="2"/>
  <c r="BB195" i="2"/>
  <c r="BB194" i="2"/>
  <c r="BL194" i="2" s="1"/>
  <c r="BB193" i="2"/>
  <c r="BL193" i="2" s="1"/>
  <c r="BB192" i="2"/>
  <c r="BL192" i="2" s="1"/>
  <c r="BB191" i="2"/>
  <c r="BL191" i="2" s="1"/>
  <c r="BB190" i="2"/>
  <c r="BL190" i="2" s="1"/>
  <c r="BB187" i="2"/>
  <c r="BL187" i="2" s="1"/>
  <c r="BB185" i="2"/>
  <c r="BB184" i="2"/>
  <c r="BB183" i="2"/>
  <c r="BL183" i="2" s="1"/>
  <c r="BB182" i="2"/>
  <c r="BL182" i="2" s="1"/>
  <c r="BB181" i="2"/>
  <c r="BB180" i="2"/>
  <c r="BB178" i="2"/>
  <c r="BL178" i="2" s="1"/>
  <c r="BB177" i="2"/>
  <c r="BL177" i="2" s="1"/>
  <c r="BB176" i="2"/>
  <c r="Y204" i="1"/>
  <c r="Y203" i="1"/>
  <c r="Y202" i="1"/>
  <c r="Y201" i="1"/>
  <c r="Y200" i="1"/>
  <c r="Y199" i="1"/>
  <c r="Y196" i="1"/>
  <c r="Y195" i="1"/>
  <c r="Y194" i="1"/>
  <c r="Y193" i="1"/>
  <c r="Y192" i="1"/>
  <c r="Y191" i="1"/>
  <c r="Y187" i="1"/>
  <c r="Y185" i="1"/>
  <c r="Y184" i="1"/>
  <c r="Y183" i="1"/>
  <c r="Y182" i="1"/>
  <c r="Y181" i="1"/>
  <c r="Y180" i="1"/>
  <c r="Y178" i="1"/>
  <c r="Y177" i="1"/>
  <c r="Y176" i="1"/>
  <c r="M204" i="15"/>
  <c r="M203" i="15"/>
  <c r="M202" i="15"/>
  <c r="M201" i="15"/>
  <c r="M199" i="15"/>
  <c r="AI199" i="15" s="1"/>
  <c r="BA199" i="17" s="1"/>
  <c r="BE199" i="17" s="1"/>
  <c r="BG199" i="17" s="1"/>
  <c r="M196" i="15"/>
  <c r="M195" i="15"/>
  <c r="M194" i="15"/>
  <c r="M193" i="15"/>
  <c r="M192" i="15"/>
  <c r="M191" i="15"/>
  <c r="M190" i="15"/>
  <c r="M189" i="15"/>
  <c r="M187" i="15"/>
  <c r="AI187" i="15" s="1"/>
  <c r="BA187" i="17" s="1"/>
  <c r="BE187" i="17" s="1"/>
  <c r="BG187" i="17" s="1"/>
  <c r="M185" i="15"/>
  <c r="M184" i="15"/>
  <c r="M183" i="15"/>
  <c r="M182" i="15"/>
  <c r="M181" i="15"/>
  <c r="AI181" i="15" s="1"/>
  <c r="BA181" i="17" s="1"/>
  <c r="BE181" i="17" s="1"/>
  <c r="BG181" i="17" s="1"/>
  <c r="M180" i="15"/>
  <c r="AI180" i="15" s="1"/>
  <c r="BA180" i="17" s="1"/>
  <c r="BE180" i="17" s="1"/>
  <c r="BG180" i="17" s="1"/>
  <c r="M178" i="15"/>
  <c r="AI178" i="15" s="1"/>
  <c r="BA178" i="17" s="1"/>
  <c r="BE178" i="17" s="1"/>
  <c r="BG178" i="17" s="1"/>
  <c r="M177" i="15"/>
  <c r="M176" i="15"/>
  <c r="W204" i="16"/>
  <c r="W203" i="16"/>
  <c r="W202" i="16"/>
  <c r="W201" i="16"/>
  <c r="W200" i="16"/>
  <c r="W196" i="16"/>
  <c r="W195" i="16"/>
  <c r="W194" i="16"/>
  <c r="W193" i="16"/>
  <c r="W192" i="16"/>
  <c r="W191" i="16"/>
  <c r="W190" i="16"/>
  <c r="W189" i="16"/>
  <c r="W185" i="16"/>
  <c r="W184" i="16"/>
  <c r="W183" i="16"/>
  <c r="W182" i="16"/>
  <c r="W181" i="16"/>
  <c r="W180" i="16"/>
  <c r="W179" i="16"/>
  <c r="W178" i="16"/>
  <c r="W177" i="16"/>
  <c r="W176" i="16"/>
  <c r="W83" i="16"/>
  <c r="W84" i="16"/>
  <c r="G585" i="16"/>
  <c r="G584" i="16"/>
  <c r="G583" i="16"/>
  <c r="G582" i="16"/>
  <c r="G581" i="16"/>
  <c r="G580" i="16"/>
  <c r="G579" i="16"/>
  <c r="G578" i="16"/>
  <c r="G577" i="16"/>
  <c r="G576" i="16"/>
  <c r="G575" i="16"/>
  <c r="G574" i="16"/>
  <c r="AD574" i="16" s="1"/>
  <c r="G573" i="16"/>
  <c r="G571" i="16"/>
  <c r="G570" i="16"/>
  <c r="G569" i="16"/>
  <c r="AD569" i="16" s="1"/>
  <c r="G568" i="16"/>
  <c r="M585" i="15"/>
  <c r="M584" i="15"/>
  <c r="M583" i="15"/>
  <c r="AG582" i="15"/>
  <c r="M582" i="15"/>
  <c r="AG581" i="15"/>
  <c r="M581" i="15"/>
  <c r="M580" i="15"/>
  <c r="M579" i="15"/>
  <c r="M578" i="15"/>
  <c r="AG577" i="15"/>
  <c r="M577" i="15"/>
  <c r="AG576" i="15"/>
  <c r="M576" i="15"/>
  <c r="AG575" i="15"/>
  <c r="M575" i="15"/>
  <c r="AG574" i="15"/>
  <c r="M574" i="15"/>
  <c r="AG573" i="15"/>
  <c r="M573" i="15"/>
  <c r="AG572" i="15"/>
  <c r="M572" i="15"/>
  <c r="M571" i="15"/>
  <c r="M570" i="15"/>
  <c r="M569" i="15"/>
  <c r="M568" i="15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BB585" i="2"/>
  <c r="BL585" i="2" s="1"/>
  <c r="BB584" i="2"/>
  <c r="BB583" i="2"/>
  <c r="BL583" i="2" s="1"/>
  <c r="BB582" i="2"/>
  <c r="BL582" i="2" s="1"/>
  <c r="BN582" i="2" s="1"/>
  <c r="BB581" i="2"/>
  <c r="BL581" i="2" s="1"/>
  <c r="BB580" i="2"/>
  <c r="BB579" i="2"/>
  <c r="BL579" i="2" s="1"/>
  <c r="BB578" i="2"/>
  <c r="BB577" i="2"/>
  <c r="BB576" i="2"/>
  <c r="BB575" i="2"/>
  <c r="BL575" i="2" s="1"/>
  <c r="BB574" i="2"/>
  <c r="BL574" i="2" s="1"/>
  <c r="BB573" i="2"/>
  <c r="BL573" i="2" s="1"/>
  <c r="BB572" i="2"/>
  <c r="BB571" i="2"/>
  <c r="BL571" i="2" s="1"/>
  <c r="BB570" i="2"/>
  <c r="BL570" i="2" s="1"/>
  <c r="BB569" i="2"/>
  <c r="BL569" i="2" s="1"/>
  <c r="BB568" i="2"/>
  <c r="BL568" i="2" s="1"/>
  <c r="O585" i="26"/>
  <c r="K585" i="26"/>
  <c r="O584" i="26"/>
  <c r="K584" i="26"/>
  <c r="O583" i="26"/>
  <c r="K583" i="26"/>
  <c r="O582" i="26"/>
  <c r="K582" i="26"/>
  <c r="O581" i="26"/>
  <c r="K581" i="26"/>
  <c r="O580" i="26"/>
  <c r="K580" i="26"/>
  <c r="O579" i="26"/>
  <c r="K579" i="26"/>
  <c r="O578" i="26"/>
  <c r="K578" i="26"/>
  <c r="O577" i="26"/>
  <c r="K577" i="26"/>
  <c r="O576" i="26"/>
  <c r="K576" i="26"/>
  <c r="O575" i="26"/>
  <c r="K575" i="26"/>
  <c r="O574" i="26"/>
  <c r="K574" i="26"/>
  <c r="O573" i="26"/>
  <c r="K573" i="26"/>
  <c r="O572" i="26"/>
  <c r="K572" i="26"/>
  <c r="O571" i="26"/>
  <c r="K571" i="26"/>
  <c r="O570" i="26"/>
  <c r="K570" i="26"/>
  <c r="O569" i="26"/>
  <c r="K569" i="26"/>
  <c r="O568" i="26"/>
  <c r="K568" i="26"/>
  <c r="Y585" i="22"/>
  <c r="Y584" i="22"/>
  <c r="Y582" i="22"/>
  <c r="Y581" i="22"/>
  <c r="Y580" i="22"/>
  <c r="Y579" i="22"/>
  <c r="Y578" i="22"/>
  <c r="Y577" i="22"/>
  <c r="Y576" i="22"/>
  <c r="Y575" i="22"/>
  <c r="Y574" i="22"/>
  <c r="Y573" i="22"/>
  <c r="Y571" i="22"/>
  <c r="Y570" i="22"/>
  <c r="Y569" i="22"/>
  <c r="Y568" i="22"/>
  <c r="BB585" i="25"/>
  <c r="BL585" i="25" s="1"/>
  <c r="BB584" i="25"/>
  <c r="BL584" i="25" s="1"/>
  <c r="BB583" i="25"/>
  <c r="BL583" i="25" s="1"/>
  <c r="BB582" i="25"/>
  <c r="BL582" i="25" s="1"/>
  <c r="BB581" i="25"/>
  <c r="BL581" i="25" s="1"/>
  <c r="BB580" i="25"/>
  <c r="BL580" i="25" s="1"/>
  <c r="BB579" i="25"/>
  <c r="BL579" i="25" s="1"/>
  <c r="BB578" i="25"/>
  <c r="BL578" i="25" s="1"/>
  <c r="BB577" i="25"/>
  <c r="BL577" i="25" s="1"/>
  <c r="BB576" i="25"/>
  <c r="BL576" i="25" s="1"/>
  <c r="BB575" i="25"/>
  <c r="BL575" i="25" s="1"/>
  <c r="BB574" i="25"/>
  <c r="BL574" i="25" s="1"/>
  <c r="BB573" i="25"/>
  <c r="BL573" i="25" s="1"/>
  <c r="BB572" i="25"/>
  <c r="BL572" i="25" s="1"/>
  <c r="BB571" i="25"/>
  <c r="BL571" i="25" s="1"/>
  <c r="BB570" i="25"/>
  <c r="BL570" i="25" s="1"/>
  <c r="BB569" i="25"/>
  <c r="BL569" i="25" s="1"/>
  <c r="BB568" i="25"/>
  <c r="BL568" i="25" s="1"/>
  <c r="BL179" i="25"/>
  <c r="BB428" i="25"/>
  <c r="BL428" i="25" s="1"/>
  <c r="BB427" i="25"/>
  <c r="BL427" i="25" s="1"/>
  <c r="BB426" i="25"/>
  <c r="BL426" i="25" s="1"/>
  <c r="BB425" i="25"/>
  <c r="BL425" i="25" s="1"/>
  <c r="BB419" i="25"/>
  <c r="BL419" i="25" s="1"/>
  <c r="BB418" i="25"/>
  <c r="BL418" i="25" s="1"/>
  <c r="BB417" i="25"/>
  <c r="BL417" i="25" s="1"/>
  <c r="BB416" i="25"/>
  <c r="BL416" i="25" s="1"/>
  <c r="Y428" i="22"/>
  <c r="Y427" i="22"/>
  <c r="Y426" i="22"/>
  <c r="Y425" i="22"/>
  <c r="Y419" i="22"/>
  <c r="Y418" i="22"/>
  <c r="Y417" i="22"/>
  <c r="Y416" i="22"/>
  <c r="O428" i="26"/>
  <c r="K428" i="26"/>
  <c r="O427" i="26"/>
  <c r="K427" i="26"/>
  <c r="O426" i="26"/>
  <c r="K426" i="26"/>
  <c r="O425" i="26"/>
  <c r="K425" i="26"/>
  <c r="O419" i="26"/>
  <c r="K419" i="26"/>
  <c r="O418" i="26"/>
  <c r="K418" i="26"/>
  <c r="O417" i="26"/>
  <c r="K417" i="26"/>
  <c r="O416" i="26"/>
  <c r="K416" i="26"/>
  <c r="BB428" i="2"/>
  <c r="BL428" i="2" s="1"/>
  <c r="BB427" i="2"/>
  <c r="BL427" i="2" s="1"/>
  <c r="BB426" i="2"/>
  <c r="BL426" i="2" s="1"/>
  <c r="BB425" i="2"/>
  <c r="BL425" i="2" s="1"/>
  <c r="BB419" i="2"/>
  <c r="BL419" i="2" s="1"/>
  <c r="BB418" i="2"/>
  <c r="BL418" i="2" s="1"/>
  <c r="BB417" i="2"/>
  <c r="BL417" i="2" s="1"/>
  <c r="BB416" i="2"/>
  <c r="BL416" i="2" s="1"/>
  <c r="Y428" i="1"/>
  <c r="Y427" i="1"/>
  <c r="Y426" i="1"/>
  <c r="Y425" i="1"/>
  <c r="Y419" i="1"/>
  <c r="Y418" i="1"/>
  <c r="Y417" i="1"/>
  <c r="Y416" i="1"/>
  <c r="AG428" i="15"/>
  <c r="M428" i="15"/>
  <c r="AG427" i="15"/>
  <c r="M427" i="15"/>
  <c r="AG426" i="15"/>
  <c r="M426" i="15"/>
  <c r="AG425" i="15"/>
  <c r="M425" i="15"/>
  <c r="M419" i="15"/>
  <c r="M418" i="15"/>
  <c r="M417" i="15"/>
  <c r="M416" i="15"/>
  <c r="G428" i="16"/>
  <c r="G427" i="16"/>
  <c r="G426" i="16"/>
  <c r="G425" i="16"/>
  <c r="G419" i="16"/>
  <c r="G418" i="16"/>
  <c r="AD418" i="16" s="1"/>
  <c r="G417" i="16"/>
  <c r="G416" i="16"/>
  <c r="S154" i="10"/>
  <c r="S153" i="10"/>
  <c r="S152" i="10"/>
  <c r="S147" i="10"/>
  <c r="S146" i="10"/>
  <c r="S145" i="10"/>
  <c r="S143" i="10"/>
  <c r="S142" i="10"/>
  <c r="BB154" i="25"/>
  <c r="BL154" i="25" s="1"/>
  <c r="BB153" i="25"/>
  <c r="BL153" i="25" s="1"/>
  <c r="BB152" i="25"/>
  <c r="BL152" i="25" s="1"/>
  <c r="BB148" i="25"/>
  <c r="BL148" i="25" s="1"/>
  <c r="BB144" i="25"/>
  <c r="BL144" i="25" s="1"/>
  <c r="Y154" i="22"/>
  <c r="Y153" i="22"/>
  <c r="Y152" i="22"/>
  <c r="Y148" i="22"/>
  <c r="AQ148" i="22" s="1"/>
  <c r="Y147" i="22"/>
  <c r="O154" i="26"/>
  <c r="K154" i="26"/>
  <c r="O153" i="26"/>
  <c r="AG153" i="26" s="1"/>
  <c r="O148" i="26"/>
  <c r="AG148" i="26" s="1"/>
  <c r="O147" i="26"/>
  <c r="AG147" i="26" s="1"/>
  <c r="BB154" i="2"/>
  <c r="BL154" i="2" s="1"/>
  <c r="BB153" i="2"/>
  <c r="BL153" i="2" s="1"/>
  <c r="BB152" i="2"/>
  <c r="BL152" i="2" s="1"/>
  <c r="BB148" i="2"/>
  <c r="BL148" i="2" s="1"/>
  <c r="BV149" i="2" s="1"/>
  <c r="BX149" i="2" s="1"/>
  <c r="BB147" i="2"/>
  <c r="BL147" i="2" s="1"/>
  <c r="BB146" i="2"/>
  <c r="BL146" i="2" s="1"/>
  <c r="BB144" i="2"/>
  <c r="BL144" i="2" s="1"/>
  <c r="BB143" i="2"/>
  <c r="BL143" i="2" s="1"/>
  <c r="Y154" i="1"/>
  <c r="Y153" i="1"/>
  <c r="Y144" i="1"/>
  <c r="AG148" i="15"/>
  <c r="BX92" i="25"/>
  <c r="BX90" i="25"/>
  <c r="BX86" i="25"/>
  <c r="BX84" i="25"/>
  <c r="O618" i="26"/>
  <c r="O617" i="26"/>
  <c r="O616" i="26"/>
  <c r="O615" i="26"/>
  <c r="O614" i="26"/>
  <c r="O613" i="26"/>
  <c r="O612" i="26"/>
  <c r="O611" i="26"/>
  <c r="O610" i="26"/>
  <c r="O609" i="26"/>
  <c r="O608" i="26"/>
  <c r="O607" i="26"/>
  <c r="O606" i="26"/>
  <c r="O605" i="26"/>
  <c r="O604" i="26"/>
  <c r="O603" i="26"/>
  <c r="O602" i="26"/>
  <c r="O601" i="26"/>
  <c r="O600" i="26"/>
  <c r="O599" i="26"/>
  <c r="O598" i="26"/>
  <c r="O597" i="26"/>
  <c r="O596" i="26"/>
  <c r="O595" i="26"/>
  <c r="O594" i="26"/>
  <c r="O593" i="26"/>
  <c r="O592" i="26"/>
  <c r="O591" i="26"/>
  <c r="O590" i="26"/>
  <c r="O589" i="26"/>
  <c r="O588" i="26"/>
  <c r="O587" i="26"/>
  <c r="O567" i="26"/>
  <c r="O564" i="26"/>
  <c r="O563" i="26"/>
  <c r="O562" i="26"/>
  <c r="O560" i="26"/>
  <c r="O559" i="26"/>
  <c r="O558" i="26"/>
  <c r="O557" i="26"/>
  <c r="O556" i="26"/>
  <c r="O555" i="26"/>
  <c r="O554" i="26"/>
  <c r="O553" i="26"/>
  <c r="O552" i="26"/>
  <c r="O551" i="26"/>
  <c r="O550" i="26"/>
  <c r="O549" i="26"/>
  <c r="O548" i="26"/>
  <c r="O547" i="26"/>
  <c r="O546" i="26"/>
  <c r="O545" i="26"/>
  <c r="O544" i="26"/>
  <c r="O543" i="26"/>
  <c r="O542" i="26"/>
  <c r="O541" i="26"/>
  <c r="O540" i="26"/>
  <c r="O539" i="26"/>
  <c r="O537" i="26"/>
  <c r="O536" i="26"/>
  <c r="O535" i="26"/>
  <c r="O534" i="26"/>
  <c r="O533" i="26"/>
  <c r="O532" i="26"/>
  <c r="O531" i="26"/>
  <c r="O530" i="26"/>
  <c r="O479" i="26"/>
  <c r="O478" i="26"/>
  <c r="O477" i="26"/>
  <c r="O476" i="26"/>
  <c r="O475" i="26"/>
  <c r="O474" i="26"/>
  <c r="O473" i="26"/>
  <c r="O472" i="26"/>
  <c r="O471" i="26"/>
  <c r="O470" i="26"/>
  <c r="O469" i="26"/>
  <c r="O468" i="26"/>
  <c r="O467" i="26"/>
  <c r="O466" i="26"/>
  <c r="O465" i="26"/>
  <c r="O464" i="26"/>
  <c r="O463" i="26"/>
  <c r="O462" i="26"/>
  <c r="O461" i="26"/>
  <c r="O460" i="26"/>
  <c r="O459" i="26"/>
  <c r="O458" i="26"/>
  <c r="O457" i="26"/>
  <c r="O455" i="26"/>
  <c r="O454" i="26"/>
  <c r="O453" i="26"/>
  <c r="O452" i="26"/>
  <c r="O451" i="26"/>
  <c r="O450" i="26"/>
  <c r="O449" i="26"/>
  <c r="O448" i="26"/>
  <c r="O447" i="26"/>
  <c r="O446" i="26"/>
  <c r="O445" i="26"/>
  <c r="O444" i="26"/>
  <c r="O443" i="26"/>
  <c r="O442" i="26"/>
  <c r="O441" i="26"/>
  <c r="O439" i="26"/>
  <c r="O438" i="26"/>
  <c r="O437" i="26"/>
  <c r="O436" i="26"/>
  <c r="O435" i="26"/>
  <c r="O434" i="26"/>
  <c r="O433" i="26"/>
  <c r="O432" i="26"/>
  <c r="O431" i="26"/>
  <c r="O430" i="26"/>
  <c r="O429" i="26"/>
  <c r="O414" i="26"/>
  <c r="O412" i="26"/>
  <c r="O411" i="26"/>
  <c r="O399" i="26"/>
  <c r="O365" i="26"/>
  <c r="O364" i="26"/>
  <c r="O363" i="26"/>
  <c r="O362" i="26"/>
  <c r="O361" i="26"/>
  <c r="O360" i="26"/>
  <c r="O359" i="26"/>
  <c r="O358" i="26"/>
  <c r="O357" i="26"/>
  <c r="O356" i="26"/>
  <c r="O355" i="26"/>
  <c r="O354" i="26"/>
  <c r="O353" i="26"/>
  <c r="O352" i="26"/>
  <c r="O351" i="26"/>
  <c r="O350" i="26"/>
  <c r="O349" i="26"/>
  <c r="O348" i="26"/>
  <c r="O347" i="26"/>
  <c r="O345" i="26"/>
  <c r="O344" i="26"/>
  <c r="O343" i="26"/>
  <c r="O342" i="26"/>
  <c r="O341" i="26"/>
  <c r="O340" i="26"/>
  <c r="O339" i="26"/>
  <c r="O338" i="26"/>
  <c r="O337" i="26"/>
  <c r="O336" i="26"/>
  <c r="O335" i="26"/>
  <c r="O334" i="26"/>
  <c r="O333" i="26"/>
  <c r="O332" i="26"/>
  <c r="O331" i="26"/>
  <c r="O330" i="26"/>
  <c r="O329" i="26"/>
  <c r="O328" i="26"/>
  <c r="O326" i="26"/>
  <c r="O325" i="26"/>
  <c r="O324" i="26"/>
  <c r="O323" i="26"/>
  <c r="O322" i="26"/>
  <c r="O321" i="26"/>
  <c r="O320" i="26"/>
  <c r="O319" i="26"/>
  <c r="O317" i="26"/>
  <c r="O315" i="26"/>
  <c r="O313" i="26"/>
  <c r="O312" i="26"/>
  <c r="O311" i="26"/>
  <c r="O310" i="26"/>
  <c r="O309" i="26"/>
  <c r="O308" i="26"/>
  <c r="O307" i="26"/>
  <c r="O306" i="26"/>
  <c r="O305" i="26"/>
  <c r="O304" i="26"/>
  <c r="O303" i="26"/>
  <c r="O302" i="26"/>
  <c r="O301" i="26"/>
  <c r="O300" i="26"/>
  <c r="O299" i="26"/>
  <c r="O298" i="26"/>
  <c r="O297" i="26"/>
  <c r="O296" i="26"/>
  <c r="O294" i="26"/>
  <c r="O293" i="26"/>
  <c r="O289" i="26"/>
  <c r="O292" i="26"/>
  <c r="O291" i="26"/>
  <c r="O290" i="26"/>
  <c r="O288" i="26"/>
  <c r="O287" i="26"/>
  <c r="O285" i="26"/>
  <c r="O284" i="26"/>
  <c r="O283" i="26"/>
  <c r="O282" i="26"/>
  <c r="O281" i="26"/>
  <c r="O280" i="26"/>
  <c r="O279" i="26"/>
  <c r="O278" i="26"/>
  <c r="O277" i="26"/>
  <c r="AG277" i="26" s="1"/>
  <c r="O273" i="26"/>
  <c r="O272" i="26"/>
  <c r="O271" i="26"/>
  <c r="O270" i="26"/>
  <c r="O269" i="26"/>
  <c r="O268" i="26"/>
  <c r="O248" i="26"/>
  <c r="O247" i="26"/>
  <c r="O246" i="26"/>
  <c r="O245" i="26"/>
  <c r="O244" i="26"/>
  <c r="O243" i="26"/>
  <c r="O242" i="26"/>
  <c r="O241" i="26"/>
  <c r="O240" i="26"/>
  <c r="O239" i="26"/>
  <c r="O238" i="26"/>
  <c r="O237" i="26"/>
  <c r="O236" i="26"/>
  <c r="O235" i="26"/>
  <c r="O234" i="26"/>
  <c r="O233" i="26"/>
  <c r="O232" i="26"/>
  <c r="O231" i="26"/>
  <c r="O230" i="26"/>
  <c r="O229" i="26"/>
  <c r="O226" i="26"/>
  <c r="O225" i="26"/>
  <c r="O224" i="26"/>
  <c r="O223" i="26"/>
  <c r="O222" i="26"/>
  <c r="O221" i="26"/>
  <c r="O220" i="26"/>
  <c r="O219" i="26"/>
  <c r="O218" i="26"/>
  <c r="O217" i="26"/>
  <c r="O216" i="26"/>
  <c r="O215" i="26"/>
  <c r="O214" i="26"/>
  <c r="O213" i="26"/>
  <c r="O212" i="26"/>
  <c r="O211" i="26"/>
  <c r="O210" i="26"/>
  <c r="O209" i="26"/>
  <c r="AG209" i="26" s="1"/>
  <c r="O208" i="26"/>
  <c r="AG208" i="26" s="1"/>
  <c r="O207" i="26"/>
  <c r="O206" i="26"/>
  <c r="O205" i="26"/>
  <c r="O175" i="26"/>
  <c r="AG175" i="26" s="1"/>
  <c r="O174" i="26"/>
  <c r="AG174" i="26" s="1"/>
  <c r="O169" i="26"/>
  <c r="O168" i="26"/>
  <c r="O167" i="26"/>
  <c r="O163" i="26"/>
  <c r="O162" i="26"/>
  <c r="O161" i="26"/>
  <c r="O160" i="26"/>
  <c r="O159" i="26"/>
  <c r="O156" i="26"/>
  <c r="O155" i="26"/>
  <c r="O139" i="26"/>
  <c r="O138" i="26"/>
  <c r="O136" i="26"/>
  <c r="O135" i="26"/>
  <c r="O134" i="26"/>
  <c r="O133" i="26"/>
  <c r="O132" i="26"/>
  <c r="O131" i="26"/>
  <c r="O130" i="26"/>
  <c r="O129" i="26"/>
  <c r="O128" i="26"/>
  <c r="O127" i="26"/>
  <c r="O126" i="26"/>
  <c r="O125" i="26"/>
  <c r="O124" i="26"/>
  <c r="O123" i="26"/>
  <c r="O122" i="26"/>
  <c r="O121" i="26"/>
  <c r="O120" i="26"/>
  <c r="O118" i="26"/>
  <c r="O117" i="26"/>
  <c r="O116" i="26"/>
  <c r="O115" i="26"/>
  <c r="O114" i="26"/>
  <c r="O112" i="26"/>
  <c r="O111" i="26"/>
  <c r="O110" i="26"/>
  <c r="O109" i="26"/>
  <c r="O108" i="26"/>
  <c r="O107" i="26"/>
  <c r="O106" i="26"/>
  <c r="O105" i="26"/>
  <c r="O104" i="26"/>
  <c r="O103" i="26"/>
  <c r="O102" i="26"/>
  <c r="O101" i="26"/>
  <c r="O100" i="26"/>
  <c r="O99" i="26"/>
  <c r="O98" i="26"/>
  <c r="O97" i="26"/>
  <c r="O96" i="26"/>
  <c r="O95" i="26"/>
  <c r="O94" i="26"/>
  <c r="O93" i="26"/>
  <c r="O92" i="26"/>
  <c r="O91" i="26"/>
  <c r="O90" i="26"/>
  <c r="O88" i="26"/>
  <c r="O89" i="26"/>
  <c r="O87" i="26"/>
  <c r="O86" i="26"/>
  <c r="O85" i="26"/>
  <c r="O84" i="26"/>
  <c r="K618" i="26"/>
  <c r="AG618" i="26" s="1"/>
  <c r="K617" i="26"/>
  <c r="K616" i="26"/>
  <c r="K615" i="26"/>
  <c r="AG615" i="26" s="1"/>
  <c r="K614" i="26"/>
  <c r="AG614" i="26" s="1"/>
  <c r="K613" i="26"/>
  <c r="K612" i="26"/>
  <c r="K611" i="26"/>
  <c r="AG611" i="26" s="1"/>
  <c r="K610" i="26"/>
  <c r="AG610" i="26" s="1"/>
  <c r="K609" i="26"/>
  <c r="K608" i="26"/>
  <c r="K607" i="26"/>
  <c r="AG607" i="26" s="1"/>
  <c r="K606" i="26"/>
  <c r="AG606" i="26" s="1"/>
  <c r="K605" i="26"/>
  <c r="K604" i="26"/>
  <c r="K603" i="26"/>
  <c r="AG603" i="26" s="1"/>
  <c r="K602" i="26"/>
  <c r="AG602" i="26" s="1"/>
  <c r="K601" i="26"/>
  <c r="K600" i="26"/>
  <c r="K599" i="26"/>
  <c r="AG599" i="26" s="1"/>
  <c r="K598" i="26"/>
  <c r="AG598" i="26" s="1"/>
  <c r="K597" i="26"/>
  <c r="K596" i="26"/>
  <c r="K595" i="26"/>
  <c r="AG595" i="26" s="1"/>
  <c r="K594" i="26"/>
  <c r="AG594" i="26" s="1"/>
  <c r="K593" i="26"/>
  <c r="K592" i="26"/>
  <c r="K591" i="26"/>
  <c r="AG591" i="26" s="1"/>
  <c r="K590" i="26"/>
  <c r="AG590" i="26" s="1"/>
  <c r="K589" i="26"/>
  <c r="K588" i="26"/>
  <c r="K587" i="26"/>
  <c r="AG587" i="26" s="1"/>
  <c r="K567" i="26"/>
  <c r="AG567" i="26" s="1"/>
  <c r="K564" i="26"/>
  <c r="K563" i="26"/>
  <c r="K562" i="26"/>
  <c r="AG562" i="26" s="1"/>
  <c r="K561" i="26"/>
  <c r="AG561" i="26" s="1"/>
  <c r="K560" i="26"/>
  <c r="K559" i="26"/>
  <c r="K558" i="26"/>
  <c r="K557" i="26"/>
  <c r="K556" i="26"/>
  <c r="K555" i="26"/>
  <c r="K554" i="26"/>
  <c r="K553" i="26"/>
  <c r="K552" i="26"/>
  <c r="K551" i="26"/>
  <c r="K550" i="26"/>
  <c r="AG550" i="26" s="1"/>
  <c r="K549" i="26"/>
  <c r="K548" i="26"/>
  <c r="K547" i="26"/>
  <c r="K546" i="26"/>
  <c r="K545" i="26"/>
  <c r="K544" i="26"/>
  <c r="K543" i="26"/>
  <c r="K542" i="26"/>
  <c r="K541" i="26"/>
  <c r="K540" i="26"/>
  <c r="K539" i="26"/>
  <c r="K537" i="26"/>
  <c r="K536" i="26"/>
  <c r="K535" i="26"/>
  <c r="K534" i="26"/>
  <c r="K533" i="26"/>
  <c r="K532" i="26"/>
  <c r="K531" i="26"/>
  <c r="K530" i="26"/>
  <c r="K479" i="26"/>
  <c r="AG479" i="26" s="1"/>
  <c r="K478" i="26"/>
  <c r="AG478" i="26" s="1"/>
  <c r="K477" i="26"/>
  <c r="K476" i="26"/>
  <c r="K475" i="26"/>
  <c r="AG475" i="26" s="1"/>
  <c r="K474" i="26"/>
  <c r="AG474" i="26" s="1"/>
  <c r="K473" i="26"/>
  <c r="K472" i="26"/>
  <c r="K471" i="26"/>
  <c r="AG471" i="26" s="1"/>
  <c r="K470" i="26"/>
  <c r="AG470" i="26" s="1"/>
  <c r="K469" i="26"/>
  <c r="K468" i="26"/>
  <c r="K467" i="26"/>
  <c r="K466" i="26"/>
  <c r="AG466" i="26" s="1"/>
  <c r="K465" i="26"/>
  <c r="K464" i="26"/>
  <c r="K463" i="26"/>
  <c r="AG463" i="26" s="1"/>
  <c r="K462" i="26"/>
  <c r="AG462" i="26" s="1"/>
  <c r="K461" i="26"/>
  <c r="K460" i="26"/>
  <c r="K459" i="26"/>
  <c r="AG459" i="26" s="1"/>
  <c r="K458" i="26"/>
  <c r="AG458" i="26" s="1"/>
  <c r="K457" i="26"/>
  <c r="K455" i="26"/>
  <c r="K454" i="26"/>
  <c r="AG454" i="26" s="1"/>
  <c r="K453" i="26"/>
  <c r="AG453" i="26" s="1"/>
  <c r="K452" i="26"/>
  <c r="K451" i="26"/>
  <c r="K450" i="26"/>
  <c r="AG450" i="26" s="1"/>
  <c r="K449" i="26"/>
  <c r="K448" i="26"/>
  <c r="K447" i="26"/>
  <c r="K446" i="26"/>
  <c r="AG446" i="26" s="1"/>
  <c r="K445" i="26"/>
  <c r="AG445" i="26" s="1"/>
  <c r="K444" i="26"/>
  <c r="K443" i="26"/>
  <c r="K442" i="26"/>
  <c r="AG442" i="26" s="1"/>
  <c r="K441" i="26"/>
  <c r="AG441" i="26" s="1"/>
  <c r="K439" i="26"/>
  <c r="K438" i="26"/>
  <c r="K437" i="26"/>
  <c r="AG437" i="26" s="1"/>
  <c r="K436" i="26"/>
  <c r="AG436" i="26" s="1"/>
  <c r="K435" i="26"/>
  <c r="K434" i="26"/>
  <c r="K433" i="26"/>
  <c r="AG433" i="26" s="1"/>
  <c r="K432" i="26"/>
  <c r="K431" i="26"/>
  <c r="K430" i="26"/>
  <c r="K429" i="26"/>
  <c r="K414" i="26"/>
  <c r="AG414" i="26" s="1"/>
  <c r="K412" i="26"/>
  <c r="K411" i="26"/>
  <c r="K399" i="26"/>
  <c r="K365" i="26"/>
  <c r="AG365" i="26" s="1"/>
  <c r="K364" i="26"/>
  <c r="K363" i="26"/>
  <c r="K362" i="26"/>
  <c r="AG362" i="26" s="1"/>
  <c r="K361" i="26"/>
  <c r="K360" i="26"/>
  <c r="K359" i="26"/>
  <c r="K358" i="26"/>
  <c r="AG358" i="26" s="1"/>
  <c r="K357" i="26"/>
  <c r="AG357" i="26" s="1"/>
  <c r="K356" i="26"/>
  <c r="K355" i="26"/>
  <c r="K354" i="26"/>
  <c r="AG354" i="26" s="1"/>
  <c r="K353" i="26"/>
  <c r="AG353" i="26" s="1"/>
  <c r="K352" i="26"/>
  <c r="K351" i="26"/>
  <c r="K350" i="26"/>
  <c r="K349" i="26"/>
  <c r="AG349" i="26" s="1"/>
  <c r="K348" i="26"/>
  <c r="K347" i="26"/>
  <c r="K345" i="26"/>
  <c r="AG345" i="26" s="1"/>
  <c r="K344" i="26"/>
  <c r="AG344" i="26" s="1"/>
  <c r="K343" i="26"/>
  <c r="K342" i="26"/>
  <c r="K341" i="26"/>
  <c r="AG341" i="26" s="1"/>
  <c r="K340" i="26"/>
  <c r="AG340" i="26" s="1"/>
  <c r="K339" i="26"/>
  <c r="K338" i="26"/>
  <c r="K337" i="26"/>
  <c r="AG337" i="26" s="1"/>
  <c r="K336" i="26"/>
  <c r="AG336" i="26" s="1"/>
  <c r="K335" i="26"/>
  <c r="K334" i="26"/>
  <c r="K333" i="26"/>
  <c r="AG333" i="26" s="1"/>
  <c r="K332" i="26"/>
  <c r="AG332" i="26" s="1"/>
  <c r="K331" i="26"/>
  <c r="K330" i="26"/>
  <c r="K329" i="26"/>
  <c r="AG329" i="26" s="1"/>
  <c r="K328" i="26"/>
  <c r="AG328" i="26" s="1"/>
  <c r="K326" i="26"/>
  <c r="K325" i="26"/>
  <c r="K324" i="26"/>
  <c r="AG324" i="26" s="1"/>
  <c r="K323" i="26"/>
  <c r="AG323" i="26" s="1"/>
  <c r="K322" i="26"/>
  <c r="K321" i="26"/>
  <c r="K320" i="26"/>
  <c r="AG320" i="26" s="1"/>
  <c r="K319" i="26"/>
  <c r="AG319" i="26" s="1"/>
  <c r="K317" i="26"/>
  <c r="K315" i="26"/>
  <c r="K313" i="26"/>
  <c r="AG313" i="26" s="1"/>
  <c r="K312" i="26"/>
  <c r="AG312" i="26" s="1"/>
  <c r="K311" i="26"/>
  <c r="K310" i="26"/>
  <c r="K309" i="26"/>
  <c r="AG309" i="26" s="1"/>
  <c r="K308" i="26"/>
  <c r="AG308" i="26" s="1"/>
  <c r="K307" i="26"/>
  <c r="K306" i="26"/>
  <c r="K305" i="26"/>
  <c r="AG305" i="26" s="1"/>
  <c r="K304" i="26"/>
  <c r="AG304" i="26" s="1"/>
  <c r="K303" i="26"/>
  <c r="K302" i="26"/>
  <c r="K301" i="26"/>
  <c r="AG301" i="26" s="1"/>
  <c r="K300" i="26"/>
  <c r="AG300" i="26" s="1"/>
  <c r="K299" i="26"/>
  <c r="K298" i="26"/>
  <c r="K297" i="26"/>
  <c r="AG297" i="26" s="1"/>
  <c r="K296" i="26"/>
  <c r="AG296" i="26" s="1"/>
  <c r="K294" i="26"/>
  <c r="K293" i="26"/>
  <c r="K289" i="26"/>
  <c r="AG289" i="26" s="1"/>
  <c r="K292" i="26"/>
  <c r="AG292" i="26" s="1"/>
  <c r="K291" i="26"/>
  <c r="K290" i="26"/>
  <c r="K288" i="26"/>
  <c r="AG288" i="26" s="1"/>
  <c r="K287" i="26"/>
  <c r="K285" i="26"/>
  <c r="K284" i="26"/>
  <c r="K283" i="26"/>
  <c r="AG283" i="26" s="1"/>
  <c r="K282" i="26"/>
  <c r="K281" i="26"/>
  <c r="K280" i="26"/>
  <c r="K279" i="26"/>
  <c r="AG279" i="26" s="1"/>
  <c r="K278" i="26"/>
  <c r="AG278" i="26" s="1"/>
  <c r="K273" i="26"/>
  <c r="K272" i="26"/>
  <c r="AG272" i="26" s="1"/>
  <c r="K271" i="26"/>
  <c r="AG271" i="26" s="1"/>
  <c r="K270" i="26"/>
  <c r="K269" i="26"/>
  <c r="K268" i="26"/>
  <c r="AG268" i="26" s="1"/>
  <c r="K248" i="26"/>
  <c r="AG248" i="26" s="1"/>
  <c r="K247" i="26"/>
  <c r="K246" i="26"/>
  <c r="K245" i="26"/>
  <c r="AG245" i="26" s="1"/>
  <c r="K244" i="26"/>
  <c r="AG244" i="26" s="1"/>
  <c r="K243" i="26"/>
  <c r="K242" i="26"/>
  <c r="K241" i="26"/>
  <c r="AG241" i="26" s="1"/>
  <c r="K240" i="26"/>
  <c r="AG240" i="26" s="1"/>
  <c r="K239" i="26"/>
  <c r="K238" i="26"/>
  <c r="K237" i="26"/>
  <c r="AG237" i="26" s="1"/>
  <c r="K236" i="26"/>
  <c r="K235" i="26"/>
  <c r="K234" i="26"/>
  <c r="K233" i="26"/>
  <c r="AG233" i="26" s="1"/>
  <c r="K232" i="26"/>
  <c r="AG232" i="26" s="1"/>
  <c r="K231" i="26"/>
  <c r="K230" i="26"/>
  <c r="K229" i="26"/>
  <c r="AG229" i="26" s="1"/>
  <c r="K228" i="26"/>
  <c r="AG228" i="26" s="1"/>
  <c r="K227" i="26"/>
  <c r="AG227" i="26" s="1"/>
  <c r="K226" i="26"/>
  <c r="K225" i="26"/>
  <c r="AG225" i="26" s="1"/>
  <c r="K224" i="26"/>
  <c r="AG224" i="26" s="1"/>
  <c r="K223" i="26"/>
  <c r="AG223" i="26" s="1"/>
  <c r="K222" i="26"/>
  <c r="AG222" i="26" s="1"/>
  <c r="K221" i="26"/>
  <c r="AG221" i="26" s="1"/>
  <c r="K220" i="26"/>
  <c r="AG220" i="26" s="1"/>
  <c r="K219" i="26"/>
  <c r="AG219" i="26" s="1"/>
  <c r="K218" i="26"/>
  <c r="AG218" i="26" s="1"/>
  <c r="K217" i="26"/>
  <c r="AG217" i="26" s="1"/>
  <c r="K216" i="26"/>
  <c r="AG216" i="26" s="1"/>
  <c r="K215" i="26"/>
  <c r="AG215" i="26" s="1"/>
  <c r="K214" i="26"/>
  <c r="AG214" i="26" s="1"/>
  <c r="K213" i="26"/>
  <c r="AG213" i="26" s="1"/>
  <c r="K212" i="26"/>
  <c r="AG212" i="26" s="1"/>
  <c r="K211" i="26"/>
  <c r="AG211" i="26" s="1"/>
  <c r="K210" i="26"/>
  <c r="AG210" i="26" s="1"/>
  <c r="K207" i="26"/>
  <c r="K206" i="26"/>
  <c r="AG206" i="26" s="1"/>
  <c r="K205" i="26"/>
  <c r="K169" i="26"/>
  <c r="AG169" i="26" s="1"/>
  <c r="K168" i="26"/>
  <c r="AG168" i="26" s="1"/>
  <c r="K167" i="26"/>
  <c r="AG167" i="26" s="1"/>
  <c r="K166" i="26"/>
  <c r="AG166" i="26" s="1"/>
  <c r="K165" i="26"/>
  <c r="AG165" i="26" s="1"/>
  <c r="K164" i="26"/>
  <c r="AG164" i="26" s="1"/>
  <c r="K163" i="26"/>
  <c r="AG163" i="26" s="1"/>
  <c r="K162" i="26"/>
  <c r="AG162" i="26" s="1"/>
  <c r="K161" i="26"/>
  <c r="K160" i="26"/>
  <c r="K159" i="26"/>
  <c r="AG159" i="26" s="1"/>
  <c r="K158" i="26"/>
  <c r="AG158" i="26" s="1"/>
  <c r="K156" i="26"/>
  <c r="AG156" i="26" s="1"/>
  <c r="K155" i="26"/>
  <c r="AG155" i="26" s="1"/>
  <c r="K139" i="26"/>
  <c r="AG139" i="26" s="1"/>
  <c r="K138" i="26"/>
  <c r="AG138" i="26" s="1"/>
  <c r="K136" i="26"/>
  <c r="AG136" i="26" s="1"/>
  <c r="K135" i="26"/>
  <c r="AG135" i="26" s="1"/>
  <c r="K134" i="26"/>
  <c r="AG134" i="26" s="1"/>
  <c r="K133" i="26"/>
  <c r="AG133" i="26" s="1"/>
  <c r="K132" i="26"/>
  <c r="AG132" i="26" s="1"/>
  <c r="K131" i="26"/>
  <c r="AG131" i="26" s="1"/>
  <c r="K130" i="26"/>
  <c r="AG130" i="26" s="1"/>
  <c r="K129" i="26"/>
  <c r="AG129" i="26" s="1"/>
  <c r="K128" i="26"/>
  <c r="AG128" i="26" s="1"/>
  <c r="K127" i="26"/>
  <c r="AG127" i="26" s="1"/>
  <c r="K126" i="26"/>
  <c r="AG126" i="26" s="1"/>
  <c r="K125" i="26"/>
  <c r="AG125" i="26" s="1"/>
  <c r="K124" i="26"/>
  <c r="AG124" i="26" s="1"/>
  <c r="K123" i="26"/>
  <c r="AG123" i="26" s="1"/>
  <c r="K122" i="26"/>
  <c r="AG122" i="26" s="1"/>
  <c r="K121" i="26"/>
  <c r="AG121" i="26" s="1"/>
  <c r="K120" i="26"/>
  <c r="AG120" i="26" s="1"/>
  <c r="K118" i="26"/>
  <c r="AG118" i="26" s="1"/>
  <c r="K117" i="26"/>
  <c r="AG117" i="26" s="1"/>
  <c r="K116" i="26"/>
  <c r="AG116" i="26" s="1"/>
  <c r="K115" i="26"/>
  <c r="AG115" i="26" s="1"/>
  <c r="K114" i="26"/>
  <c r="AG114" i="26" s="1"/>
  <c r="K112" i="26"/>
  <c r="AG112" i="26" s="1"/>
  <c r="K111" i="26"/>
  <c r="AG111" i="26" s="1"/>
  <c r="K110" i="26"/>
  <c r="AG110" i="26" s="1"/>
  <c r="K109" i="26"/>
  <c r="AG109" i="26" s="1"/>
  <c r="K108" i="26"/>
  <c r="AG108" i="26" s="1"/>
  <c r="K107" i="26"/>
  <c r="AG107" i="26" s="1"/>
  <c r="K106" i="26"/>
  <c r="AG106" i="26" s="1"/>
  <c r="K105" i="26"/>
  <c r="AG105" i="26" s="1"/>
  <c r="K104" i="26"/>
  <c r="AG104" i="26" s="1"/>
  <c r="K103" i="26"/>
  <c r="AG103" i="26" s="1"/>
  <c r="K102" i="26"/>
  <c r="AG102" i="26" s="1"/>
  <c r="K101" i="26"/>
  <c r="AG101" i="26" s="1"/>
  <c r="K100" i="26"/>
  <c r="AG100" i="26" s="1"/>
  <c r="K99" i="26"/>
  <c r="AG99" i="26" s="1"/>
  <c r="K98" i="26"/>
  <c r="AG98" i="26" s="1"/>
  <c r="K97" i="26"/>
  <c r="AG97" i="26" s="1"/>
  <c r="K96" i="26"/>
  <c r="AG96" i="26" s="1"/>
  <c r="K95" i="26"/>
  <c r="AG95" i="26" s="1"/>
  <c r="K94" i="26"/>
  <c r="AG94" i="26" s="1"/>
  <c r="K93" i="26"/>
  <c r="AG93" i="26" s="1"/>
  <c r="K92" i="26"/>
  <c r="AG92" i="26" s="1"/>
  <c r="K91" i="26"/>
  <c r="AG91" i="26" s="1"/>
  <c r="K90" i="26"/>
  <c r="AG90" i="26" s="1"/>
  <c r="K88" i="26"/>
  <c r="AG88" i="26" s="1"/>
  <c r="K89" i="26"/>
  <c r="AG89" i="26" s="1"/>
  <c r="K87" i="26"/>
  <c r="AG87" i="26" s="1"/>
  <c r="K86" i="26"/>
  <c r="AG86" i="26" s="1"/>
  <c r="K85" i="26"/>
  <c r="AG85" i="26" s="1"/>
  <c r="K84" i="26"/>
  <c r="AG84" i="26" s="1"/>
  <c r="BB618" i="25"/>
  <c r="BL618" i="25" s="1"/>
  <c r="BB617" i="25"/>
  <c r="BL617" i="25" s="1"/>
  <c r="BB616" i="25"/>
  <c r="BL616" i="25" s="1"/>
  <c r="BB615" i="25"/>
  <c r="BL615" i="25" s="1"/>
  <c r="BB614" i="25"/>
  <c r="BL614" i="25" s="1"/>
  <c r="BB613" i="25"/>
  <c r="BL613" i="25" s="1"/>
  <c r="BB612" i="25"/>
  <c r="BL612" i="25" s="1"/>
  <c r="BB611" i="25"/>
  <c r="BL611" i="25" s="1"/>
  <c r="BB610" i="25"/>
  <c r="BL610" i="25" s="1"/>
  <c r="BB609" i="25"/>
  <c r="BL609" i="25" s="1"/>
  <c r="BB608" i="25"/>
  <c r="BL608" i="25" s="1"/>
  <c r="BB607" i="25"/>
  <c r="BL607" i="25" s="1"/>
  <c r="BB606" i="25"/>
  <c r="BL606" i="25" s="1"/>
  <c r="BB605" i="25"/>
  <c r="BL605" i="25" s="1"/>
  <c r="BB604" i="25"/>
  <c r="BL604" i="25" s="1"/>
  <c r="BB603" i="25"/>
  <c r="BL603" i="25" s="1"/>
  <c r="BB602" i="25"/>
  <c r="BL602" i="25" s="1"/>
  <c r="BB601" i="25"/>
  <c r="BL601" i="25" s="1"/>
  <c r="BB600" i="25"/>
  <c r="BL600" i="25" s="1"/>
  <c r="BB599" i="25"/>
  <c r="BL599" i="25" s="1"/>
  <c r="BB598" i="25"/>
  <c r="BL598" i="25" s="1"/>
  <c r="BB597" i="25"/>
  <c r="BL597" i="25" s="1"/>
  <c r="BB596" i="25"/>
  <c r="BL596" i="25" s="1"/>
  <c r="BB595" i="25"/>
  <c r="BL595" i="25" s="1"/>
  <c r="BB594" i="25"/>
  <c r="BL594" i="25" s="1"/>
  <c r="BB593" i="25"/>
  <c r="BL593" i="25" s="1"/>
  <c r="BB592" i="25"/>
  <c r="BL592" i="25" s="1"/>
  <c r="BB591" i="25"/>
  <c r="BL591" i="25" s="1"/>
  <c r="BB590" i="25"/>
  <c r="BL590" i="25" s="1"/>
  <c r="BB589" i="25"/>
  <c r="BL589" i="25" s="1"/>
  <c r="BB588" i="25"/>
  <c r="BL588" i="25" s="1"/>
  <c r="BB587" i="25"/>
  <c r="BL587" i="25" s="1"/>
  <c r="BB567" i="25"/>
  <c r="BL567" i="25" s="1"/>
  <c r="BB565" i="25"/>
  <c r="BL565" i="25" s="1"/>
  <c r="BB564" i="25"/>
  <c r="BL564" i="25" s="1"/>
  <c r="BB563" i="25"/>
  <c r="BL563" i="25" s="1"/>
  <c r="BB562" i="25"/>
  <c r="BL562" i="25" s="1"/>
  <c r="BB561" i="25"/>
  <c r="BL561" i="25" s="1"/>
  <c r="BB560" i="25"/>
  <c r="BL560" i="25" s="1"/>
  <c r="BB559" i="25"/>
  <c r="BL559" i="25" s="1"/>
  <c r="BB558" i="25"/>
  <c r="BL558" i="25" s="1"/>
  <c r="BB557" i="25"/>
  <c r="BL557" i="25" s="1"/>
  <c r="BB556" i="25"/>
  <c r="BL556" i="25" s="1"/>
  <c r="BB555" i="25"/>
  <c r="BL555" i="25" s="1"/>
  <c r="BB554" i="25"/>
  <c r="BL554" i="25" s="1"/>
  <c r="BB553" i="25"/>
  <c r="BL553" i="25" s="1"/>
  <c r="BB552" i="25"/>
  <c r="BL552" i="25" s="1"/>
  <c r="BB551" i="25"/>
  <c r="BL551" i="25" s="1"/>
  <c r="BB550" i="25"/>
  <c r="BL550" i="25" s="1"/>
  <c r="BB549" i="25"/>
  <c r="BL549" i="25" s="1"/>
  <c r="BB548" i="25"/>
  <c r="BL548" i="25" s="1"/>
  <c r="BB547" i="25"/>
  <c r="BL547" i="25" s="1"/>
  <c r="BB546" i="25"/>
  <c r="BL546" i="25" s="1"/>
  <c r="BB545" i="25"/>
  <c r="BL545" i="25" s="1"/>
  <c r="BB544" i="25"/>
  <c r="BL544" i="25" s="1"/>
  <c r="BB543" i="25"/>
  <c r="BL543" i="25" s="1"/>
  <c r="BB542" i="25"/>
  <c r="BL542" i="25" s="1"/>
  <c r="BB541" i="25"/>
  <c r="BL541" i="25" s="1"/>
  <c r="BB540" i="25"/>
  <c r="BL540" i="25" s="1"/>
  <c r="BB539" i="25"/>
  <c r="BL539" i="25" s="1"/>
  <c r="BB537" i="25"/>
  <c r="BL537" i="25" s="1"/>
  <c r="BB536" i="25"/>
  <c r="BL536" i="25" s="1"/>
  <c r="BB535" i="25"/>
  <c r="BL535" i="25" s="1"/>
  <c r="BB534" i="25"/>
  <c r="BL534" i="25" s="1"/>
  <c r="BB533" i="25"/>
  <c r="BL533" i="25" s="1"/>
  <c r="BB532" i="25"/>
  <c r="BL532" i="25" s="1"/>
  <c r="BB531" i="25"/>
  <c r="BL531" i="25" s="1"/>
  <c r="BB530" i="25"/>
  <c r="BL530" i="25" s="1"/>
  <c r="BB479" i="25"/>
  <c r="BL479" i="25" s="1"/>
  <c r="BB478" i="25"/>
  <c r="BL478" i="25" s="1"/>
  <c r="BB477" i="25"/>
  <c r="BL477" i="25" s="1"/>
  <c r="BB476" i="25"/>
  <c r="BL476" i="25" s="1"/>
  <c r="BB475" i="25"/>
  <c r="BL475" i="25" s="1"/>
  <c r="BB474" i="25"/>
  <c r="BL474" i="25" s="1"/>
  <c r="BB473" i="25"/>
  <c r="BL473" i="25" s="1"/>
  <c r="BB472" i="25"/>
  <c r="BL472" i="25" s="1"/>
  <c r="BB471" i="25"/>
  <c r="BL471" i="25" s="1"/>
  <c r="BB470" i="25"/>
  <c r="BL470" i="25" s="1"/>
  <c r="BB469" i="25"/>
  <c r="BL469" i="25" s="1"/>
  <c r="BB468" i="25"/>
  <c r="BL468" i="25" s="1"/>
  <c r="BB467" i="25"/>
  <c r="BL467" i="25" s="1"/>
  <c r="BB466" i="25"/>
  <c r="BL466" i="25" s="1"/>
  <c r="BB465" i="25"/>
  <c r="BL465" i="25" s="1"/>
  <c r="BB464" i="25"/>
  <c r="BL464" i="25" s="1"/>
  <c r="BB463" i="25"/>
  <c r="BL463" i="25" s="1"/>
  <c r="BB462" i="25"/>
  <c r="BL462" i="25" s="1"/>
  <c r="BB461" i="25"/>
  <c r="BL461" i="25" s="1"/>
  <c r="BB460" i="25"/>
  <c r="BL460" i="25" s="1"/>
  <c r="BB459" i="25"/>
  <c r="BL459" i="25" s="1"/>
  <c r="BB458" i="25"/>
  <c r="BL458" i="25" s="1"/>
  <c r="BB457" i="25"/>
  <c r="BL457" i="25" s="1"/>
  <c r="BB455" i="25"/>
  <c r="BL455" i="25" s="1"/>
  <c r="BB454" i="25"/>
  <c r="BL454" i="25" s="1"/>
  <c r="BB453" i="25"/>
  <c r="BL453" i="25" s="1"/>
  <c r="BB452" i="25"/>
  <c r="BL452" i="25" s="1"/>
  <c r="BB451" i="25"/>
  <c r="BL451" i="25" s="1"/>
  <c r="BB450" i="25"/>
  <c r="BL450" i="25" s="1"/>
  <c r="BB449" i="25"/>
  <c r="BL449" i="25" s="1"/>
  <c r="BB448" i="25"/>
  <c r="BL448" i="25" s="1"/>
  <c r="BB447" i="25"/>
  <c r="BL447" i="25" s="1"/>
  <c r="BB446" i="25"/>
  <c r="BL446" i="25" s="1"/>
  <c r="BB445" i="25"/>
  <c r="BL445" i="25" s="1"/>
  <c r="BB444" i="25"/>
  <c r="BL444" i="25" s="1"/>
  <c r="BB443" i="25"/>
  <c r="BL443" i="25" s="1"/>
  <c r="BB442" i="25"/>
  <c r="BL442" i="25" s="1"/>
  <c r="BB441" i="25"/>
  <c r="BL441" i="25" s="1"/>
  <c r="BB439" i="25"/>
  <c r="BL439" i="25" s="1"/>
  <c r="BB438" i="25"/>
  <c r="BL438" i="25" s="1"/>
  <c r="BB437" i="25"/>
  <c r="BL437" i="25" s="1"/>
  <c r="BB436" i="25"/>
  <c r="BL436" i="25" s="1"/>
  <c r="BB435" i="25"/>
  <c r="BL435" i="25" s="1"/>
  <c r="BB434" i="25"/>
  <c r="BL434" i="25" s="1"/>
  <c r="BB433" i="25"/>
  <c r="BL433" i="25" s="1"/>
  <c r="BB432" i="25"/>
  <c r="BL432" i="25" s="1"/>
  <c r="BB431" i="25"/>
  <c r="BL431" i="25" s="1"/>
  <c r="BB430" i="25"/>
  <c r="BL430" i="25" s="1"/>
  <c r="BB429" i="25"/>
  <c r="BL429" i="25" s="1"/>
  <c r="BB414" i="25"/>
  <c r="BL414" i="25" s="1"/>
  <c r="BB412" i="25"/>
  <c r="BL412" i="25" s="1"/>
  <c r="BB411" i="25"/>
  <c r="BL411" i="25" s="1"/>
  <c r="BB406" i="25"/>
  <c r="BL406" i="25" s="1"/>
  <c r="BB399" i="25"/>
  <c r="BL399" i="25" s="1"/>
  <c r="BB365" i="25"/>
  <c r="BL365" i="25" s="1"/>
  <c r="BB364" i="25"/>
  <c r="BL364" i="25" s="1"/>
  <c r="BB363" i="25"/>
  <c r="BL363" i="25" s="1"/>
  <c r="BB362" i="25"/>
  <c r="BL362" i="25" s="1"/>
  <c r="BB361" i="25"/>
  <c r="BL361" i="25" s="1"/>
  <c r="BB360" i="25"/>
  <c r="BL360" i="25" s="1"/>
  <c r="BB359" i="25"/>
  <c r="BL359" i="25" s="1"/>
  <c r="BB358" i="25"/>
  <c r="BL358" i="25" s="1"/>
  <c r="BB357" i="25"/>
  <c r="BL357" i="25" s="1"/>
  <c r="BB356" i="25"/>
  <c r="BL356" i="25" s="1"/>
  <c r="BB355" i="25"/>
  <c r="BL355" i="25" s="1"/>
  <c r="BB354" i="25"/>
  <c r="BL354" i="25" s="1"/>
  <c r="BB353" i="25"/>
  <c r="BL353" i="25" s="1"/>
  <c r="BB352" i="25"/>
  <c r="BL352" i="25" s="1"/>
  <c r="BB351" i="25"/>
  <c r="BL351" i="25" s="1"/>
  <c r="BB350" i="25"/>
  <c r="BL350" i="25" s="1"/>
  <c r="BB349" i="25"/>
  <c r="BL349" i="25" s="1"/>
  <c r="BB348" i="25"/>
  <c r="BL348" i="25" s="1"/>
  <c r="BB347" i="25"/>
  <c r="BL347" i="25" s="1"/>
  <c r="BB345" i="25"/>
  <c r="BL345" i="25" s="1"/>
  <c r="BB344" i="25"/>
  <c r="BL344" i="25" s="1"/>
  <c r="BB343" i="25"/>
  <c r="BL343" i="25" s="1"/>
  <c r="BB342" i="25"/>
  <c r="BL342" i="25" s="1"/>
  <c r="BB341" i="25"/>
  <c r="BL341" i="25" s="1"/>
  <c r="BB340" i="25"/>
  <c r="BL340" i="25" s="1"/>
  <c r="BB339" i="25"/>
  <c r="BL339" i="25" s="1"/>
  <c r="BB338" i="25"/>
  <c r="BL338" i="25" s="1"/>
  <c r="BB337" i="25"/>
  <c r="BL337" i="25" s="1"/>
  <c r="BB336" i="25"/>
  <c r="BL336" i="25" s="1"/>
  <c r="BB335" i="25"/>
  <c r="BL335" i="25" s="1"/>
  <c r="BB334" i="25"/>
  <c r="BL334" i="25" s="1"/>
  <c r="BB333" i="25"/>
  <c r="BL333" i="25" s="1"/>
  <c r="BB332" i="25"/>
  <c r="BL332" i="25" s="1"/>
  <c r="BB331" i="25"/>
  <c r="BL331" i="25" s="1"/>
  <c r="BB330" i="25"/>
  <c r="BL330" i="25" s="1"/>
  <c r="BB329" i="25"/>
  <c r="BL329" i="25" s="1"/>
  <c r="BB326" i="25"/>
  <c r="BL326" i="25" s="1"/>
  <c r="BB325" i="25"/>
  <c r="BL325" i="25" s="1"/>
  <c r="BB324" i="25"/>
  <c r="BL324" i="25" s="1"/>
  <c r="BB323" i="25"/>
  <c r="BL323" i="25" s="1"/>
  <c r="BB322" i="25"/>
  <c r="BL322" i="25" s="1"/>
  <c r="BB321" i="25"/>
  <c r="BL321" i="25" s="1"/>
  <c r="BB320" i="25"/>
  <c r="BL320" i="25" s="1"/>
  <c r="BB319" i="25"/>
  <c r="BL319" i="25" s="1"/>
  <c r="BB317" i="25"/>
  <c r="BL317" i="25" s="1"/>
  <c r="BB315" i="25"/>
  <c r="BL315" i="25" s="1"/>
  <c r="BB313" i="25"/>
  <c r="BL313" i="25" s="1"/>
  <c r="BB312" i="25"/>
  <c r="BL312" i="25" s="1"/>
  <c r="BB311" i="25"/>
  <c r="BL311" i="25" s="1"/>
  <c r="BB310" i="25"/>
  <c r="BL310" i="25" s="1"/>
  <c r="BB309" i="25"/>
  <c r="BL309" i="25" s="1"/>
  <c r="BB308" i="25"/>
  <c r="BL308" i="25" s="1"/>
  <c r="BB307" i="25"/>
  <c r="BL307" i="25" s="1"/>
  <c r="BB306" i="25"/>
  <c r="BL306" i="25" s="1"/>
  <c r="BB305" i="25"/>
  <c r="BL305" i="25" s="1"/>
  <c r="BB304" i="25"/>
  <c r="BL304" i="25" s="1"/>
  <c r="BB303" i="25"/>
  <c r="BL303" i="25" s="1"/>
  <c r="BB302" i="25"/>
  <c r="BL302" i="25" s="1"/>
  <c r="BB301" i="25"/>
  <c r="BL301" i="25" s="1"/>
  <c r="BB300" i="25"/>
  <c r="BL300" i="25" s="1"/>
  <c r="BB299" i="25"/>
  <c r="BL299" i="25" s="1"/>
  <c r="BB298" i="25"/>
  <c r="BL298" i="25" s="1"/>
  <c r="BN296" i="25"/>
  <c r="BV296" i="25" s="1"/>
  <c r="BX296" i="25" s="1"/>
  <c r="BB294" i="25"/>
  <c r="BL294" i="25" s="1"/>
  <c r="BB293" i="25"/>
  <c r="BL293" i="25" s="1"/>
  <c r="BB289" i="25"/>
  <c r="BL289" i="25" s="1"/>
  <c r="BB292" i="25"/>
  <c r="BL292" i="25" s="1"/>
  <c r="BB291" i="25"/>
  <c r="BL291" i="25" s="1"/>
  <c r="BB290" i="25"/>
  <c r="BL290" i="25" s="1"/>
  <c r="BB288" i="25"/>
  <c r="BL288" i="25" s="1"/>
  <c r="BB287" i="25"/>
  <c r="BL287" i="25" s="1"/>
  <c r="BB285" i="25"/>
  <c r="BL285" i="25" s="1"/>
  <c r="BB284" i="25"/>
  <c r="BL284" i="25" s="1"/>
  <c r="BB283" i="25"/>
  <c r="BL283" i="25" s="1"/>
  <c r="BB282" i="25"/>
  <c r="BL282" i="25" s="1"/>
  <c r="BB281" i="25"/>
  <c r="BL281" i="25" s="1"/>
  <c r="BB280" i="25"/>
  <c r="BL280" i="25" s="1"/>
  <c r="BB279" i="25"/>
  <c r="BL279" i="25" s="1"/>
  <c r="BB278" i="25"/>
  <c r="BL278" i="25" s="1"/>
  <c r="BB277" i="25"/>
  <c r="BL277" i="25" s="1"/>
  <c r="BB276" i="25"/>
  <c r="BL276" i="25" s="1"/>
  <c r="BB273" i="25"/>
  <c r="BL273" i="25" s="1"/>
  <c r="BB272" i="25"/>
  <c r="BL272" i="25" s="1"/>
  <c r="BB271" i="25"/>
  <c r="BL271" i="25" s="1"/>
  <c r="BB270" i="25"/>
  <c r="BL270" i="25" s="1"/>
  <c r="BB269" i="25"/>
  <c r="BL269" i="25" s="1"/>
  <c r="BB268" i="25"/>
  <c r="BL268" i="25" s="1"/>
  <c r="BB267" i="25"/>
  <c r="BL267" i="25" s="1"/>
  <c r="BB248" i="25"/>
  <c r="BL248" i="25" s="1"/>
  <c r="BB247" i="25"/>
  <c r="BL247" i="25" s="1"/>
  <c r="BB246" i="25"/>
  <c r="BL246" i="25" s="1"/>
  <c r="BB245" i="25"/>
  <c r="BL245" i="25" s="1"/>
  <c r="BB244" i="25"/>
  <c r="BL244" i="25" s="1"/>
  <c r="BB243" i="25"/>
  <c r="BL243" i="25" s="1"/>
  <c r="BB242" i="25"/>
  <c r="BL242" i="25" s="1"/>
  <c r="BB241" i="25"/>
  <c r="BL241" i="25" s="1"/>
  <c r="BB240" i="25"/>
  <c r="BL240" i="25" s="1"/>
  <c r="BB239" i="25"/>
  <c r="BL239" i="25" s="1"/>
  <c r="BB238" i="25"/>
  <c r="BL238" i="25" s="1"/>
  <c r="BB237" i="25"/>
  <c r="BL237" i="25" s="1"/>
  <c r="BB236" i="25"/>
  <c r="BL236" i="25" s="1"/>
  <c r="BB235" i="25"/>
  <c r="BL235" i="25" s="1"/>
  <c r="BB234" i="25"/>
  <c r="BL234" i="25" s="1"/>
  <c r="BB233" i="25"/>
  <c r="BL233" i="25" s="1"/>
  <c r="BB232" i="25"/>
  <c r="BL232" i="25" s="1"/>
  <c r="BB231" i="25"/>
  <c r="BL231" i="25" s="1"/>
  <c r="BB230" i="25"/>
  <c r="BL230" i="25" s="1"/>
  <c r="BB229" i="25"/>
  <c r="BL229" i="25" s="1"/>
  <c r="BB228" i="25"/>
  <c r="BL228" i="25" s="1"/>
  <c r="BB227" i="25"/>
  <c r="BL227" i="25" s="1"/>
  <c r="BL226" i="25"/>
  <c r="BB224" i="25"/>
  <c r="BL224" i="25" s="1"/>
  <c r="BB223" i="25"/>
  <c r="BL223" i="25" s="1"/>
  <c r="BB222" i="25"/>
  <c r="BL222" i="25" s="1"/>
  <c r="BB221" i="25"/>
  <c r="BL221" i="25" s="1"/>
  <c r="BB220" i="25"/>
  <c r="BL220" i="25" s="1"/>
  <c r="BB219" i="25"/>
  <c r="BL219" i="25" s="1"/>
  <c r="BB218" i="25"/>
  <c r="BL218" i="25" s="1"/>
  <c r="BB217" i="25"/>
  <c r="BL217" i="25" s="1"/>
  <c r="BB216" i="25"/>
  <c r="BL216" i="25" s="1"/>
  <c r="BB215" i="25"/>
  <c r="BL215" i="25" s="1"/>
  <c r="BB214" i="25"/>
  <c r="BL214" i="25" s="1"/>
  <c r="BB213" i="25"/>
  <c r="BL213" i="25" s="1"/>
  <c r="BB212" i="25"/>
  <c r="BL212" i="25" s="1"/>
  <c r="BB211" i="25"/>
  <c r="BL211" i="25" s="1"/>
  <c r="BB210" i="25"/>
  <c r="BL210" i="25" s="1"/>
  <c r="BB209" i="25"/>
  <c r="BL209" i="25" s="1"/>
  <c r="BB207" i="25"/>
  <c r="BL207" i="25" s="1"/>
  <c r="BB206" i="25"/>
  <c r="BL206" i="25" s="1"/>
  <c r="BB205" i="25"/>
  <c r="BL205" i="25" s="1"/>
  <c r="BB175" i="25"/>
  <c r="BL175" i="25" s="1"/>
  <c r="BB174" i="25"/>
  <c r="BL174" i="25" s="1"/>
  <c r="BB169" i="25"/>
  <c r="BL169" i="25" s="1"/>
  <c r="BB168" i="25"/>
  <c r="BL168" i="25" s="1"/>
  <c r="BB167" i="25"/>
  <c r="BL167" i="25" s="1"/>
  <c r="BB166" i="25"/>
  <c r="BL166" i="25" s="1"/>
  <c r="BB163" i="25"/>
  <c r="BL163" i="25" s="1"/>
  <c r="BB162" i="25"/>
  <c r="BL162" i="25" s="1"/>
  <c r="BB161" i="25"/>
  <c r="BL161" i="25" s="1"/>
  <c r="BB160" i="25"/>
  <c r="BL160" i="25" s="1"/>
  <c r="BB159" i="25"/>
  <c r="BL159" i="25" s="1"/>
  <c r="BB156" i="25"/>
  <c r="BL156" i="25" s="1"/>
  <c r="BB155" i="25"/>
  <c r="BL155" i="25" s="1"/>
  <c r="BB139" i="25"/>
  <c r="BL139" i="25" s="1"/>
  <c r="BB138" i="25"/>
  <c r="BL138" i="25" s="1"/>
  <c r="BB136" i="25"/>
  <c r="BL136" i="25" s="1"/>
  <c r="BB135" i="25"/>
  <c r="BL135" i="25" s="1"/>
  <c r="BB134" i="25"/>
  <c r="BL134" i="25" s="1"/>
  <c r="BB133" i="25"/>
  <c r="BL133" i="25" s="1"/>
  <c r="BB132" i="25"/>
  <c r="BL132" i="25" s="1"/>
  <c r="BB131" i="25"/>
  <c r="BL131" i="25" s="1"/>
  <c r="BB130" i="25"/>
  <c r="BL130" i="25" s="1"/>
  <c r="BB129" i="25"/>
  <c r="BL129" i="25" s="1"/>
  <c r="BB128" i="25"/>
  <c r="BL128" i="25" s="1"/>
  <c r="BB127" i="25"/>
  <c r="BL127" i="25" s="1"/>
  <c r="BB126" i="25"/>
  <c r="BL126" i="25" s="1"/>
  <c r="BB125" i="25"/>
  <c r="BL125" i="25" s="1"/>
  <c r="BB124" i="25"/>
  <c r="BL124" i="25" s="1"/>
  <c r="BB123" i="25"/>
  <c r="BL123" i="25" s="1"/>
  <c r="BB122" i="25"/>
  <c r="BL122" i="25" s="1"/>
  <c r="BB121" i="25"/>
  <c r="BL121" i="25" s="1"/>
  <c r="BB120" i="25"/>
  <c r="BL120" i="25" s="1"/>
  <c r="BB118" i="25"/>
  <c r="BL118" i="25" s="1"/>
  <c r="BB117" i="25"/>
  <c r="BL117" i="25" s="1"/>
  <c r="BB116" i="25"/>
  <c r="BL116" i="25" s="1"/>
  <c r="BB115" i="25"/>
  <c r="BL115" i="25" s="1"/>
  <c r="BB114" i="25"/>
  <c r="BL114" i="25" s="1"/>
  <c r="BB112" i="25"/>
  <c r="BL112" i="25" s="1"/>
  <c r="BB111" i="25"/>
  <c r="BL111" i="25" s="1"/>
  <c r="BB110" i="25"/>
  <c r="BL110" i="25" s="1"/>
  <c r="BB109" i="25"/>
  <c r="BL109" i="25" s="1"/>
  <c r="BB108" i="25"/>
  <c r="BL108" i="25" s="1"/>
  <c r="BB107" i="25"/>
  <c r="BL107" i="25" s="1"/>
  <c r="BB106" i="25"/>
  <c r="BL106" i="25" s="1"/>
  <c r="BB105" i="25"/>
  <c r="BL105" i="25" s="1"/>
  <c r="BB104" i="25"/>
  <c r="BB103" i="25"/>
  <c r="BL103" i="25" s="1"/>
  <c r="BB102" i="25"/>
  <c r="BB101" i="25"/>
  <c r="BL101" i="25" s="1"/>
  <c r="BB100" i="25"/>
  <c r="BL100" i="25" s="1"/>
  <c r="BB99" i="25"/>
  <c r="BL99" i="25" s="1"/>
  <c r="BB98" i="25"/>
  <c r="BL98" i="25" s="1"/>
  <c r="BB97" i="25"/>
  <c r="BL97" i="25" s="1"/>
  <c r="BB96" i="25"/>
  <c r="BL96" i="25" s="1"/>
  <c r="BB95" i="25"/>
  <c r="BL95" i="25" s="1"/>
  <c r="BB93" i="25"/>
  <c r="BL93" i="25" s="1"/>
  <c r="AO618" i="22"/>
  <c r="AO617" i="22"/>
  <c r="AO616" i="22"/>
  <c r="AO615" i="22"/>
  <c r="AO614" i="22"/>
  <c r="AO613" i="22"/>
  <c r="AO612" i="22"/>
  <c r="AO611" i="22"/>
  <c r="AO610" i="22"/>
  <c r="AO609" i="22"/>
  <c r="AO608" i="22"/>
  <c r="AO607" i="22"/>
  <c r="AO606" i="22"/>
  <c r="AO605" i="22"/>
  <c r="AO604" i="22"/>
  <c r="AO603" i="22"/>
  <c r="AO602" i="22"/>
  <c r="AO601" i="22"/>
  <c r="AO600" i="22"/>
  <c r="AO599" i="22"/>
  <c r="AO598" i="22"/>
  <c r="AO597" i="22"/>
  <c r="AO596" i="22"/>
  <c r="AO595" i="22"/>
  <c r="AO594" i="22"/>
  <c r="AO593" i="22"/>
  <c r="AO592" i="22"/>
  <c r="AO591" i="22"/>
  <c r="AO590" i="22"/>
  <c r="AO589" i="22"/>
  <c r="AO588" i="22"/>
  <c r="AO587" i="22"/>
  <c r="AO585" i="22"/>
  <c r="AO584" i="22"/>
  <c r="AO583" i="22"/>
  <c r="AQ583" i="22" s="1"/>
  <c r="AO582" i="22"/>
  <c r="AO581" i="22"/>
  <c r="AQ581" i="22" s="1"/>
  <c r="AO580" i="22"/>
  <c r="AO579" i="22"/>
  <c r="AO578" i="22"/>
  <c r="AO577" i="22"/>
  <c r="AQ577" i="22" s="1"/>
  <c r="AO576" i="22"/>
  <c r="AO575" i="22"/>
  <c r="AO574" i="22"/>
  <c r="AO573" i="22"/>
  <c r="AQ573" i="22" s="1"/>
  <c r="AO572" i="22"/>
  <c r="AQ572" i="22" s="1"/>
  <c r="AO571" i="22"/>
  <c r="AQ571" i="22" s="1"/>
  <c r="AO570" i="22"/>
  <c r="AO569" i="22"/>
  <c r="AO568" i="22"/>
  <c r="AQ568" i="22" s="1"/>
  <c r="AO567" i="22"/>
  <c r="AO565" i="22"/>
  <c r="AO564" i="22"/>
  <c r="AO563" i="22"/>
  <c r="AO562" i="22"/>
  <c r="AO561" i="22"/>
  <c r="AO559" i="22"/>
  <c r="AO558" i="22"/>
  <c r="AO557" i="22"/>
  <c r="AO556" i="22"/>
  <c r="AO555" i="22"/>
  <c r="AO554" i="22"/>
  <c r="AO553" i="22"/>
  <c r="AO552" i="22"/>
  <c r="AO551" i="22"/>
  <c r="AO550" i="22"/>
  <c r="AO549" i="22"/>
  <c r="AO548" i="22"/>
  <c r="AO547" i="22"/>
  <c r="AO546" i="22"/>
  <c r="AO545" i="22"/>
  <c r="AO544" i="22"/>
  <c r="AO543" i="22"/>
  <c r="AO542" i="22"/>
  <c r="AO541" i="22"/>
  <c r="AO540" i="22"/>
  <c r="AO539" i="22"/>
  <c r="AO537" i="22"/>
  <c r="AO536" i="22"/>
  <c r="AO535" i="22"/>
  <c r="AO534" i="22"/>
  <c r="AO533" i="22"/>
  <c r="AO532" i="22"/>
  <c r="AO531" i="22"/>
  <c r="AO530" i="22"/>
  <c r="AO479" i="22"/>
  <c r="AO478" i="22"/>
  <c r="AO477" i="22"/>
  <c r="AO476" i="22"/>
  <c r="AO475" i="22"/>
  <c r="AO474" i="22"/>
  <c r="AO473" i="22"/>
  <c r="AO472" i="22"/>
  <c r="AO471" i="22"/>
  <c r="AO470" i="22"/>
  <c r="AO469" i="22"/>
  <c r="AO468" i="22"/>
  <c r="AO467" i="22"/>
  <c r="AO466" i="22"/>
  <c r="AO465" i="22"/>
  <c r="AO464" i="22"/>
  <c r="AO463" i="22"/>
  <c r="AO462" i="22"/>
  <c r="AO461" i="22"/>
  <c r="AO460" i="22"/>
  <c r="AO459" i="22"/>
  <c r="AO458" i="22"/>
  <c r="AO457" i="22"/>
  <c r="AO455" i="22"/>
  <c r="AO454" i="22"/>
  <c r="AO453" i="22"/>
  <c r="AO452" i="22"/>
  <c r="AO451" i="22"/>
  <c r="AO450" i="22"/>
  <c r="AO449" i="22"/>
  <c r="AO448" i="22"/>
  <c r="AO447" i="22"/>
  <c r="AO446" i="22"/>
  <c r="AO445" i="22"/>
  <c r="AO444" i="22"/>
  <c r="AO443" i="22"/>
  <c r="AO442" i="22"/>
  <c r="AO441" i="22"/>
  <c r="AO439" i="22"/>
  <c r="AO438" i="22"/>
  <c r="AO437" i="22"/>
  <c r="AO436" i="22"/>
  <c r="AO435" i="22"/>
  <c r="AO434" i="22"/>
  <c r="AO433" i="22"/>
  <c r="AO432" i="22"/>
  <c r="AO431" i="22"/>
  <c r="AO430" i="22"/>
  <c r="AO429" i="22"/>
  <c r="AO428" i="22"/>
  <c r="AQ428" i="22" s="1"/>
  <c r="AO427" i="22"/>
  <c r="AO426" i="22"/>
  <c r="AO425" i="22"/>
  <c r="AO419" i="22"/>
  <c r="AO418" i="22"/>
  <c r="AO417" i="22"/>
  <c r="AO416" i="22"/>
  <c r="AO414" i="22"/>
  <c r="AO412" i="22"/>
  <c r="AO411" i="22"/>
  <c r="AO406" i="22"/>
  <c r="AO399" i="22"/>
  <c r="AO365" i="22"/>
  <c r="AO364" i="22"/>
  <c r="AO363" i="22"/>
  <c r="AO362" i="22"/>
  <c r="AO361" i="22"/>
  <c r="AO360" i="22"/>
  <c r="AO359" i="22"/>
  <c r="AO358" i="22"/>
  <c r="AO357" i="22"/>
  <c r="AO356" i="22"/>
  <c r="AO355" i="22"/>
  <c r="AO354" i="22"/>
  <c r="AO353" i="22"/>
  <c r="AO352" i="22"/>
  <c r="AO351" i="22"/>
  <c r="AO350" i="22"/>
  <c r="AO349" i="22"/>
  <c r="AO348" i="22"/>
  <c r="AO347" i="22"/>
  <c r="AO345" i="22"/>
  <c r="AO344" i="22"/>
  <c r="AO343" i="22"/>
  <c r="AO342" i="22"/>
  <c r="AO341" i="22"/>
  <c r="AO340" i="22"/>
  <c r="AO339" i="22"/>
  <c r="AO338" i="22"/>
  <c r="AO337" i="22"/>
  <c r="AO336" i="22"/>
  <c r="AO335" i="22"/>
  <c r="AO334" i="22"/>
  <c r="AO333" i="22"/>
  <c r="AO332" i="22"/>
  <c r="AO331" i="22"/>
  <c r="AO330" i="22"/>
  <c r="AO329" i="22"/>
  <c r="AO328" i="22"/>
  <c r="AO326" i="22"/>
  <c r="AO325" i="22"/>
  <c r="AO324" i="22"/>
  <c r="AO323" i="22"/>
  <c r="AO322" i="22"/>
  <c r="AO321" i="22"/>
  <c r="AO320" i="22"/>
  <c r="AO319" i="22"/>
  <c r="AO317" i="22"/>
  <c r="AO315" i="22"/>
  <c r="AO313" i="22"/>
  <c r="AO312" i="22"/>
  <c r="AO311" i="22"/>
  <c r="AO310" i="22"/>
  <c r="AO309" i="22"/>
  <c r="AO308" i="22"/>
  <c r="AO307" i="22"/>
  <c r="AO306" i="22"/>
  <c r="AO305" i="22"/>
  <c r="AO304" i="22"/>
  <c r="AO303" i="22"/>
  <c r="AO302" i="22"/>
  <c r="AO301" i="22"/>
  <c r="AO300" i="22"/>
  <c r="AO299" i="22"/>
  <c r="AO298" i="22"/>
  <c r="AO294" i="22"/>
  <c r="AO293" i="22"/>
  <c r="AO289" i="22"/>
  <c r="AO292" i="22"/>
  <c r="AO291" i="22"/>
  <c r="AO290" i="22"/>
  <c r="AO288" i="22"/>
  <c r="AO287" i="22"/>
  <c r="AO285" i="22"/>
  <c r="AO284" i="22"/>
  <c r="AO283" i="22"/>
  <c r="AO282" i="22"/>
  <c r="AO281" i="22"/>
  <c r="AO280" i="22"/>
  <c r="AO279" i="22"/>
  <c r="AO278" i="22"/>
  <c r="AO277" i="22"/>
  <c r="AO276" i="22"/>
  <c r="AQ276" i="22" s="1"/>
  <c r="AO275" i="22"/>
  <c r="AO274" i="22"/>
  <c r="AO273" i="22"/>
  <c r="AO272" i="22"/>
  <c r="AO271" i="22"/>
  <c r="AO270" i="22"/>
  <c r="AO269" i="22"/>
  <c r="AO268" i="22"/>
  <c r="AO267" i="22"/>
  <c r="AO266" i="22"/>
  <c r="AO265" i="22"/>
  <c r="AO264" i="22"/>
  <c r="AO248" i="22"/>
  <c r="AO247" i="22"/>
  <c r="AO246" i="22"/>
  <c r="AO245" i="22"/>
  <c r="AO244" i="22"/>
  <c r="AO243" i="22"/>
  <c r="AO242" i="22"/>
  <c r="AO241" i="22"/>
  <c r="AO240" i="22"/>
  <c r="AO238" i="22"/>
  <c r="AO237" i="22"/>
  <c r="AO236" i="22"/>
  <c r="AO235" i="22"/>
  <c r="AO234" i="22"/>
  <c r="AO233" i="22"/>
  <c r="AO232" i="22"/>
  <c r="AO231" i="22"/>
  <c r="AQ231" i="22" s="1"/>
  <c r="AO230" i="22"/>
  <c r="AO229" i="22"/>
  <c r="AO228" i="22"/>
  <c r="AO227" i="22"/>
  <c r="AO226" i="22"/>
  <c r="AO225" i="22"/>
  <c r="AO224" i="22"/>
  <c r="AO223" i="22"/>
  <c r="AO222" i="22"/>
  <c r="AO221" i="22"/>
  <c r="AO220" i="22"/>
  <c r="AO219" i="22"/>
  <c r="AO218" i="22"/>
  <c r="AO217" i="22"/>
  <c r="AO216" i="22"/>
  <c r="AO215" i="22"/>
  <c r="AO214" i="22"/>
  <c r="AO213" i="22"/>
  <c r="AO212" i="22"/>
  <c r="AO211" i="22"/>
  <c r="AO210" i="22"/>
  <c r="AO209" i="22"/>
  <c r="AO208" i="22"/>
  <c r="AO207" i="22"/>
  <c r="AO205" i="22"/>
  <c r="AO204" i="22"/>
  <c r="AQ204" i="22" s="1"/>
  <c r="AO202" i="22"/>
  <c r="AO201" i="22"/>
  <c r="AO200" i="22"/>
  <c r="AQ200" i="22" s="1"/>
  <c r="AO198" i="22"/>
  <c r="AQ198" i="22" s="1"/>
  <c r="AO196" i="22"/>
  <c r="AO195" i="22"/>
  <c r="AO194" i="22"/>
  <c r="AQ194" i="22" s="1"/>
  <c r="AO192" i="22"/>
  <c r="AQ192" i="22" s="1"/>
  <c r="AO191" i="22"/>
  <c r="AO190" i="22"/>
  <c r="AQ190" i="22" s="1"/>
  <c r="AO189" i="22"/>
  <c r="AO187" i="22"/>
  <c r="AQ187" i="22" s="1"/>
  <c r="AO185" i="22"/>
  <c r="AO184" i="22"/>
  <c r="AO183" i="22"/>
  <c r="AO182" i="22"/>
  <c r="AO180" i="22"/>
  <c r="AO179" i="22"/>
  <c r="AQ179" i="22" s="1"/>
  <c r="AO178" i="22"/>
  <c r="AQ178" i="22" s="1"/>
  <c r="AO177" i="22"/>
  <c r="AQ177" i="22" s="1"/>
  <c r="AO176" i="22"/>
  <c r="AO175" i="22"/>
  <c r="AO174" i="22"/>
  <c r="AQ174" i="22" s="1"/>
  <c r="AO169" i="22"/>
  <c r="AO167" i="22"/>
  <c r="AO166" i="22"/>
  <c r="AO164" i="22"/>
  <c r="AO163" i="22"/>
  <c r="AO162" i="22"/>
  <c r="AO161" i="22"/>
  <c r="AO160" i="22"/>
  <c r="AO159" i="22"/>
  <c r="AQ159" i="22" s="1"/>
  <c r="AO158" i="22"/>
  <c r="AO156" i="22"/>
  <c r="AO154" i="22"/>
  <c r="AO153" i="22"/>
  <c r="AQ153" i="22" s="1"/>
  <c r="AQ152" i="22"/>
  <c r="AO151" i="22"/>
  <c r="AO150" i="22"/>
  <c r="AO147" i="22"/>
  <c r="AQ147" i="22" s="1"/>
  <c r="AO146" i="22"/>
  <c r="AQ144" i="22"/>
  <c r="AQ143" i="22"/>
  <c r="Y618" i="22"/>
  <c r="Y617" i="22"/>
  <c r="Y616" i="22"/>
  <c r="Y615" i="22"/>
  <c r="Y614" i="22"/>
  <c r="Y613" i="22"/>
  <c r="Y612" i="22"/>
  <c r="Y611" i="22"/>
  <c r="Y610" i="22"/>
  <c r="Y609" i="22"/>
  <c r="Y608" i="22"/>
  <c r="Y607" i="22"/>
  <c r="Y606" i="22"/>
  <c r="AQ606" i="22" s="1"/>
  <c r="Y605" i="22"/>
  <c r="Y604" i="22"/>
  <c r="Y603" i="22"/>
  <c r="Y602" i="22"/>
  <c r="AQ602" i="22" s="1"/>
  <c r="Y601" i="22"/>
  <c r="Y600" i="22"/>
  <c r="Y599" i="22"/>
  <c r="Y598" i="22"/>
  <c r="Y597" i="22"/>
  <c r="Y596" i="22"/>
  <c r="Y595" i="22"/>
  <c r="Y594" i="22"/>
  <c r="Y593" i="22"/>
  <c r="Y592" i="22"/>
  <c r="Y591" i="22"/>
  <c r="Y590" i="22"/>
  <c r="Y589" i="22"/>
  <c r="Y588" i="22"/>
  <c r="Y587" i="22"/>
  <c r="Y567" i="22"/>
  <c r="Y565" i="22"/>
  <c r="Y564" i="22"/>
  <c r="AQ564" i="22" s="1"/>
  <c r="Y563" i="22"/>
  <c r="Y562" i="22"/>
  <c r="Y561" i="22"/>
  <c r="Y560" i="22"/>
  <c r="Y559" i="22"/>
  <c r="Y558" i="22"/>
  <c r="Y557" i="22"/>
  <c r="Y556" i="22"/>
  <c r="AQ556" i="22" s="1"/>
  <c r="Y555" i="22"/>
  <c r="Y554" i="22"/>
  <c r="AQ554" i="22" s="1"/>
  <c r="Y553" i="22"/>
  <c r="Y552" i="22"/>
  <c r="Y551" i="22"/>
  <c r="Y550" i="22"/>
  <c r="AQ550" i="22" s="1"/>
  <c r="Y549" i="22"/>
  <c r="Y548" i="22"/>
  <c r="Y547" i="22"/>
  <c r="Y546" i="22"/>
  <c r="Y545" i="22"/>
  <c r="Y544" i="22"/>
  <c r="AQ544" i="22" s="1"/>
  <c r="Y543" i="22"/>
  <c r="Y542" i="22"/>
  <c r="Y541" i="22"/>
  <c r="Y540" i="22"/>
  <c r="Y539" i="22"/>
  <c r="Y537" i="22"/>
  <c r="Y536" i="22"/>
  <c r="Y535" i="22"/>
  <c r="Y534" i="22"/>
  <c r="Y533" i="22"/>
  <c r="Y532" i="22"/>
  <c r="Y531" i="22"/>
  <c r="Y530" i="22"/>
  <c r="Y479" i="22"/>
  <c r="Y478" i="22"/>
  <c r="Y477" i="22"/>
  <c r="Y476" i="22"/>
  <c r="Y475" i="22"/>
  <c r="Y474" i="22"/>
  <c r="Y473" i="22"/>
  <c r="Y472" i="22"/>
  <c r="Y471" i="22"/>
  <c r="Y470" i="22"/>
  <c r="Y469" i="22"/>
  <c r="Y468" i="22"/>
  <c r="Y467" i="22"/>
  <c r="Y466" i="22"/>
  <c r="Y465" i="22"/>
  <c r="Y464" i="22"/>
  <c r="Y463" i="22"/>
  <c r="Y462" i="22"/>
  <c r="Y461" i="22"/>
  <c r="Y460" i="22"/>
  <c r="Y459" i="22"/>
  <c r="Y458" i="22"/>
  <c r="Y457" i="22"/>
  <c r="Y455" i="22"/>
  <c r="Y454" i="22"/>
  <c r="AQ454" i="22" s="1"/>
  <c r="Y453" i="22"/>
  <c r="Y452" i="22"/>
  <c r="Y451" i="22"/>
  <c r="Y450" i="22"/>
  <c r="Y449" i="22"/>
  <c r="Y448" i="22"/>
  <c r="AQ448" i="22" s="1"/>
  <c r="Y447" i="22"/>
  <c r="Y446" i="22"/>
  <c r="Y445" i="22"/>
  <c r="Y444" i="22"/>
  <c r="Y443" i="22"/>
  <c r="Y442" i="22"/>
  <c r="Y441" i="22"/>
  <c r="Y439" i="22"/>
  <c r="Y438" i="22"/>
  <c r="AQ438" i="22" s="1"/>
  <c r="Y437" i="22"/>
  <c r="Y436" i="22"/>
  <c r="Y435" i="22"/>
  <c r="AQ435" i="22" s="1"/>
  <c r="Y434" i="22"/>
  <c r="AQ434" i="22" s="1"/>
  <c r="Y433" i="22"/>
  <c r="Y432" i="22"/>
  <c r="Y431" i="22"/>
  <c r="Y430" i="22"/>
  <c r="AQ430" i="22" s="1"/>
  <c r="Y429" i="22"/>
  <c r="Y414" i="22"/>
  <c r="Y412" i="22"/>
  <c r="Y411" i="22"/>
  <c r="Y406" i="22"/>
  <c r="AQ406" i="22" s="1"/>
  <c r="Y399" i="22"/>
  <c r="Y365" i="22"/>
  <c r="Y364" i="22"/>
  <c r="Y363" i="22"/>
  <c r="Y362" i="22"/>
  <c r="Y361" i="22"/>
  <c r="Y360" i="22"/>
  <c r="Y359" i="22"/>
  <c r="Y358" i="22"/>
  <c r="Y357" i="22"/>
  <c r="Y356" i="22"/>
  <c r="AQ356" i="22" s="1"/>
  <c r="Y355" i="22"/>
  <c r="Y354" i="22"/>
  <c r="Y353" i="22"/>
  <c r="Y352" i="22"/>
  <c r="Y351" i="22"/>
  <c r="AQ351" i="22" s="1"/>
  <c r="Y350" i="22"/>
  <c r="Y349" i="22"/>
  <c r="Y348" i="22"/>
  <c r="Y347" i="22"/>
  <c r="Y345" i="22"/>
  <c r="Y344" i="22"/>
  <c r="Y343" i="22"/>
  <c r="Y342" i="22"/>
  <c r="Y341" i="22"/>
  <c r="Y340" i="22"/>
  <c r="Y339" i="22"/>
  <c r="AQ339" i="22" s="1"/>
  <c r="Y338" i="22"/>
  <c r="Y337" i="22"/>
  <c r="Y336" i="22"/>
  <c r="Y335" i="22"/>
  <c r="Y334" i="22"/>
  <c r="Y333" i="22"/>
  <c r="Y332" i="22"/>
  <c r="Y331" i="22"/>
  <c r="Y330" i="22"/>
  <c r="Y329" i="22"/>
  <c r="Y328" i="22"/>
  <c r="Y326" i="22"/>
  <c r="Y325" i="22"/>
  <c r="Y324" i="22"/>
  <c r="Y323" i="22"/>
  <c r="Y322" i="22"/>
  <c r="Y321" i="22"/>
  <c r="Y320" i="22"/>
  <c r="Y319" i="22"/>
  <c r="Y317" i="22"/>
  <c r="Y315" i="22"/>
  <c r="Y313" i="22"/>
  <c r="Y312" i="22"/>
  <c r="Y311" i="22"/>
  <c r="Y310" i="22"/>
  <c r="Y309" i="22"/>
  <c r="Y308" i="22"/>
  <c r="Y307" i="22"/>
  <c r="Y306" i="22"/>
  <c r="Y305" i="22"/>
  <c r="Y304" i="22"/>
  <c r="Y303" i="22"/>
  <c r="Y302" i="22"/>
  <c r="Y301" i="22"/>
  <c r="Y300" i="22"/>
  <c r="Y299" i="22"/>
  <c r="Y298" i="22"/>
  <c r="Y297" i="22"/>
  <c r="Y294" i="22"/>
  <c r="Y293" i="22"/>
  <c r="Y289" i="22"/>
  <c r="Y292" i="22"/>
  <c r="Y291" i="22"/>
  <c r="Y290" i="22"/>
  <c r="Y288" i="22"/>
  <c r="Y287" i="22"/>
  <c r="Y285" i="22"/>
  <c r="Y284" i="22"/>
  <c r="Y283" i="22"/>
  <c r="Y282" i="22"/>
  <c r="Y281" i="22"/>
  <c r="Y280" i="22"/>
  <c r="Y279" i="22"/>
  <c r="Y278" i="22"/>
  <c r="Y277" i="22"/>
  <c r="Y273" i="22"/>
  <c r="Y272" i="22"/>
  <c r="Y271" i="22"/>
  <c r="Y270" i="22"/>
  <c r="Y269" i="22"/>
  <c r="Y268" i="22"/>
  <c r="Y267" i="22"/>
  <c r="Y248" i="22"/>
  <c r="Y247" i="22"/>
  <c r="Y246" i="22"/>
  <c r="Y245" i="22"/>
  <c r="Y244" i="22"/>
  <c r="Y242" i="22"/>
  <c r="Y241" i="22"/>
  <c r="Y240" i="22"/>
  <c r="Y239" i="22"/>
  <c r="Y238" i="22"/>
  <c r="Y237" i="22"/>
  <c r="Y236" i="22"/>
  <c r="AQ236" i="22" s="1"/>
  <c r="Y235" i="22"/>
  <c r="Y234" i="22"/>
  <c r="Y233" i="22"/>
  <c r="AQ233" i="22" s="1"/>
  <c r="Y232" i="22"/>
  <c r="Y230" i="22"/>
  <c r="Y229" i="22"/>
  <c r="Y228" i="22"/>
  <c r="Y227" i="22"/>
  <c r="Y226" i="22"/>
  <c r="Y224" i="22"/>
  <c r="Y223" i="22"/>
  <c r="Y222" i="22"/>
  <c r="Y221" i="22"/>
  <c r="Y220" i="22"/>
  <c r="Y219" i="22"/>
  <c r="Y218" i="22"/>
  <c r="Y217" i="22"/>
  <c r="Y216" i="22"/>
  <c r="AQ216" i="22" s="1"/>
  <c r="Y215" i="22"/>
  <c r="Y214" i="22"/>
  <c r="Y213" i="22"/>
  <c r="Y212" i="22"/>
  <c r="Y211" i="22"/>
  <c r="Y210" i="22"/>
  <c r="Y209" i="22"/>
  <c r="Y207" i="22"/>
  <c r="Y206" i="22"/>
  <c r="Y205" i="22"/>
  <c r="Y175" i="22"/>
  <c r="AQ175" i="22" s="1"/>
  <c r="Y169" i="22"/>
  <c r="Y168" i="22"/>
  <c r="AQ168" i="22" s="1"/>
  <c r="Y167" i="22"/>
  <c r="Y166" i="22"/>
  <c r="AQ166" i="22" s="1"/>
  <c r="Y163" i="22"/>
  <c r="Y162" i="22"/>
  <c r="Y161" i="22"/>
  <c r="Y160" i="22"/>
  <c r="Y156" i="22"/>
  <c r="Y155" i="22"/>
  <c r="Y139" i="22"/>
  <c r="Y138" i="22"/>
  <c r="Y136" i="22"/>
  <c r="Y135" i="22"/>
  <c r="Y134" i="22"/>
  <c r="Y133" i="22"/>
  <c r="Y132" i="22"/>
  <c r="Y131" i="22"/>
  <c r="Y130" i="22"/>
  <c r="Y129" i="22"/>
  <c r="Y128" i="22"/>
  <c r="Y127" i="22"/>
  <c r="Y126" i="22"/>
  <c r="Y125" i="22"/>
  <c r="Y123" i="22"/>
  <c r="Y122" i="22"/>
  <c r="Y121" i="22"/>
  <c r="Y120" i="22"/>
  <c r="Y118" i="22"/>
  <c r="Y117" i="22"/>
  <c r="Y116" i="22"/>
  <c r="AQ116" i="22" s="1"/>
  <c r="Y115" i="22"/>
  <c r="Y114" i="22"/>
  <c r="Y112" i="22"/>
  <c r="Y111" i="22"/>
  <c r="Y110" i="22"/>
  <c r="Y109" i="22"/>
  <c r="Y108" i="22"/>
  <c r="Y107" i="22"/>
  <c r="Y106" i="22"/>
  <c r="Y105" i="22"/>
  <c r="AQ105" i="22" s="1"/>
  <c r="Y104" i="22"/>
  <c r="AQ104" i="22" s="1"/>
  <c r="Y103" i="22"/>
  <c r="AQ103" i="22" s="1"/>
  <c r="Y102" i="22"/>
  <c r="AQ102" i="22" s="1"/>
  <c r="Y101" i="22"/>
  <c r="AQ101" i="22" s="1"/>
  <c r="Y100" i="22"/>
  <c r="AQ100" i="22" s="1"/>
  <c r="Y99" i="22"/>
  <c r="AQ99" i="22" s="1"/>
  <c r="Y98" i="22"/>
  <c r="AQ98" i="22" s="1"/>
  <c r="Y97" i="22"/>
  <c r="AQ97" i="22" s="1"/>
  <c r="Y96" i="22"/>
  <c r="AQ96" i="22" s="1"/>
  <c r="Y94" i="22"/>
  <c r="AQ94" i="22" s="1"/>
  <c r="Y93" i="22"/>
  <c r="AQ93" i="22" s="1"/>
  <c r="AG405" i="15"/>
  <c r="AG398" i="15"/>
  <c r="AG396" i="15"/>
  <c r="AG395" i="15"/>
  <c r="AB380" i="16"/>
  <c r="AB377" i="16"/>
  <c r="AG310" i="15"/>
  <c r="AG304" i="15"/>
  <c r="AG298" i="15"/>
  <c r="AG293" i="15"/>
  <c r="AG292" i="15"/>
  <c r="AG290" i="15"/>
  <c r="AG288" i="15"/>
  <c r="AG280" i="15"/>
  <c r="AG278" i="15"/>
  <c r="AG268" i="15"/>
  <c r="AG135" i="15"/>
  <c r="AG130" i="15"/>
  <c r="M126" i="15"/>
  <c r="AG123" i="15"/>
  <c r="AG112" i="15"/>
  <c r="AG99" i="15"/>
  <c r="G95" i="16"/>
  <c r="AG91" i="15"/>
  <c r="AG89" i="15"/>
  <c r="AG88" i="15"/>
  <c r="AG84" i="15"/>
  <c r="AG565" i="15"/>
  <c r="AG561" i="15"/>
  <c r="AG553" i="15"/>
  <c r="AG551" i="15"/>
  <c r="AG541" i="15"/>
  <c r="AG540" i="15"/>
  <c r="AG536" i="15"/>
  <c r="BB533" i="2"/>
  <c r="BL533" i="2" s="1"/>
  <c r="AG533" i="15"/>
  <c r="AG473" i="15"/>
  <c r="AG472" i="15"/>
  <c r="S471" i="10"/>
  <c r="AG469" i="15"/>
  <c r="G469" i="16"/>
  <c r="AG467" i="15"/>
  <c r="AG466" i="15"/>
  <c r="AG464" i="15"/>
  <c r="AG460" i="15"/>
  <c r="AG455" i="15"/>
  <c r="AG451" i="15"/>
  <c r="AG449" i="15"/>
  <c r="AG447" i="15"/>
  <c r="AG445" i="15"/>
  <c r="AG444" i="15"/>
  <c r="AG442" i="15"/>
  <c r="Y439" i="1"/>
  <c r="AG439" i="15"/>
  <c r="AK436" i="1"/>
  <c r="G431" i="16"/>
  <c r="G83" i="16"/>
  <c r="G84" i="16"/>
  <c r="G86" i="16"/>
  <c r="G87" i="16"/>
  <c r="G88" i="16"/>
  <c r="AD88" i="16" s="1"/>
  <c r="G91" i="16"/>
  <c r="G94" i="16"/>
  <c r="G97" i="16"/>
  <c r="M83" i="15"/>
  <c r="AY84" i="17"/>
  <c r="M84" i="15"/>
  <c r="AY85" i="17"/>
  <c r="AY86" i="17"/>
  <c r="AG86" i="15"/>
  <c r="M86" i="15"/>
  <c r="AY87" i="17"/>
  <c r="AG87" i="15"/>
  <c r="M87" i="15"/>
  <c r="AY89" i="17"/>
  <c r="M89" i="15"/>
  <c r="AY88" i="17"/>
  <c r="M88" i="15"/>
  <c r="AY90" i="17"/>
  <c r="AG90" i="15"/>
  <c r="M90" i="15"/>
  <c r="AY91" i="17"/>
  <c r="M91" i="15"/>
  <c r="AY92" i="17"/>
  <c r="AG92" i="15"/>
  <c r="M92" i="15"/>
  <c r="AY93" i="17"/>
  <c r="AG93" i="15"/>
  <c r="M93" i="15"/>
  <c r="AY94" i="17"/>
  <c r="AG94" i="15"/>
  <c r="M94" i="15"/>
  <c r="AY95" i="17"/>
  <c r="AG95" i="15"/>
  <c r="M95" i="15"/>
  <c r="AY96" i="17"/>
  <c r="AG96" i="15"/>
  <c r="M96" i="15"/>
  <c r="AY97" i="17"/>
  <c r="AG97" i="15"/>
  <c r="M97" i="15"/>
  <c r="AY98" i="17"/>
  <c r="AG98" i="15"/>
  <c r="M98" i="15"/>
  <c r="AY99" i="17"/>
  <c r="M99" i="15"/>
  <c r="AY100" i="17"/>
  <c r="AG100" i="15"/>
  <c r="M100" i="15"/>
  <c r="AY101" i="17"/>
  <c r="AG101" i="15"/>
  <c r="M101" i="15"/>
  <c r="AY102" i="17"/>
  <c r="AG102" i="15"/>
  <c r="M102" i="15"/>
  <c r="AY103" i="17"/>
  <c r="AG103" i="15"/>
  <c r="M103" i="15"/>
  <c r="AY104" i="17"/>
  <c r="AG104" i="15"/>
  <c r="M104" i="15"/>
  <c r="AY105" i="17"/>
  <c r="AG105" i="15"/>
  <c r="M105" i="15"/>
  <c r="AY106" i="17"/>
  <c r="AG106" i="15"/>
  <c r="M106" i="15"/>
  <c r="AY107" i="17"/>
  <c r="AG107" i="15"/>
  <c r="M107" i="15"/>
  <c r="AY108" i="17"/>
  <c r="AG108" i="15"/>
  <c r="M108" i="15"/>
  <c r="AY109" i="17"/>
  <c r="M109" i="15"/>
  <c r="AY110" i="17"/>
  <c r="AG110" i="15"/>
  <c r="M110" i="15"/>
  <c r="AY111" i="17"/>
  <c r="AG111" i="15"/>
  <c r="M111" i="15"/>
  <c r="AY112" i="17"/>
  <c r="M112" i="15"/>
  <c r="AY114" i="17"/>
  <c r="AG114" i="15"/>
  <c r="M114" i="15"/>
  <c r="AY115" i="17"/>
  <c r="AG115" i="15"/>
  <c r="M115" i="15"/>
  <c r="AY116" i="17"/>
  <c r="AG116" i="15"/>
  <c r="M116" i="15"/>
  <c r="AY117" i="17"/>
  <c r="AG117" i="15"/>
  <c r="M117" i="15"/>
  <c r="AY118" i="17"/>
  <c r="AG118" i="15"/>
  <c r="M118" i="15"/>
  <c r="AY120" i="17"/>
  <c r="AG120" i="15"/>
  <c r="M120" i="15"/>
  <c r="AY121" i="17"/>
  <c r="AG121" i="15"/>
  <c r="M121" i="15"/>
  <c r="AY122" i="17"/>
  <c r="AG122" i="15"/>
  <c r="M122" i="15"/>
  <c r="AY123" i="17"/>
  <c r="M123" i="15"/>
  <c r="AY124" i="17"/>
  <c r="AG124" i="15"/>
  <c r="M124" i="15"/>
  <c r="AY125" i="17"/>
  <c r="AG125" i="15"/>
  <c r="M125" i="15"/>
  <c r="AY126" i="17"/>
  <c r="AG126" i="15"/>
  <c r="AI126" i="15" s="1"/>
  <c r="AY127" i="17"/>
  <c r="AG127" i="15"/>
  <c r="M127" i="15"/>
  <c r="AY128" i="17"/>
  <c r="AG128" i="15"/>
  <c r="M128" i="15"/>
  <c r="AY129" i="17"/>
  <c r="AG129" i="15"/>
  <c r="M129" i="15"/>
  <c r="AY130" i="17"/>
  <c r="M130" i="15"/>
  <c r="AY131" i="17"/>
  <c r="AG131" i="15"/>
  <c r="M131" i="15"/>
  <c r="AY132" i="17"/>
  <c r="AG132" i="15"/>
  <c r="M132" i="15"/>
  <c r="AY133" i="17"/>
  <c r="AG133" i="15"/>
  <c r="M133" i="15"/>
  <c r="AY134" i="17"/>
  <c r="AG134" i="15"/>
  <c r="M134" i="15"/>
  <c r="AY135" i="17"/>
  <c r="M135" i="15"/>
  <c r="AY136" i="17"/>
  <c r="AG136" i="15"/>
  <c r="M136" i="15"/>
  <c r="AY138" i="17"/>
  <c r="AG138" i="15"/>
  <c r="M138" i="15"/>
  <c r="AY139" i="17"/>
  <c r="AG139" i="15"/>
  <c r="M139" i="15"/>
  <c r="M140" i="15"/>
  <c r="AI140" i="15" s="1"/>
  <c r="BA140" i="17" s="1"/>
  <c r="BE140" i="17" s="1"/>
  <c r="BG140" i="17" s="1"/>
  <c r="AY141" i="17"/>
  <c r="M141" i="15"/>
  <c r="AI141" i="15" s="1"/>
  <c r="AY143" i="17"/>
  <c r="M143" i="15"/>
  <c r="AI143" i="15" s="1"/>
  <c r="AY144" i="17"/>
  <c r="M144" i="15"/>
  <c r="M146" i="15"/>
  <c r="AI146" i="15" s="1"/>
  <c r="AY147" i="17"/>
  <c r="AG147" i="15"/>
  <c r="M147" i="15"/>
  <c r="AY148" i="17"/>
  <c r="M148" i="15"/>
  <c r="M150" i="15"/>
  <c r="AI150" i="15" s="1"/>
  <c r="BA150" i="17" s="1"/>
  <c r="BE150" i="17" s="1"/>
  <c r="BG150" i="17" s="1"/>
  <c r="AY151" i="17"/>
  <c r="AG151" i="15"/>
  <c r="M151" i="15"/>
  <c r="AY152" i="17"/>
  <c r="AG152" i="15"/>
  <c r="M152" i="15"/>
  <c r="AY153" i="17"/>
  <c r="AG153" i="15"/>
  <c r="M153" i="15"/>
  <c r="AY154" i="17"/>
  <c r="AG154" i="15"/>
  <c r="M154" i="15"/>
  <c r="AY155" i="17"/>
  <c r="AG155" i="15"/>
  <c r="M155" i="15"/>
  <c r="AY156" i="17"/>
  <c r="AG156" i="15"/>
  <c r="M156" i="15"/>
  <c r="AG158" i="15"/>
  <c r="M158" i="15"/>
  <c r="AY159" i="17"/>
  <c r="AG159" i="15"/>
  <c r="M159" i="15"/>
  <c r="AY160" i="17"/>
  <c r="AG160" i="15"/>
  <c r="M160" i="15"/>
  <c r="AY161" i="17"/>
  <c r="AG161" i="15"/>
  <c r="M161" i="15"/>
  <c r="AY162" i="17"/>
  <c r="AG162" i="15"/>
  <c r="M162" i="15"/>
  <c r="AY163" i="17"/>
  <c r="AG163" i="15"/>
  <c r="M163" i="15"/>
  <c r="M164" i="15"/>
  <c r="AI164" i="15" s="1"/>
  <c r="BA164" i="17" s="1"/>
  <c r="BE164" i="17" s="1"/>
  <c r="BG164" i="17" s="1"/>
  <c r="M165" i="15"/>
  <c r="AI165" i="15" s="1"/>
  <c r="BA165" i="17" s="1"/>
  <c r="BE165" i="17" s="1"/>
  <c r="BG165" i="17" s="1"/>
  <c r="AY166" i="17"/>
  <c r="AG166" i="15"/>
  <c r="M166" i="15"/>
  <c r="AY167" i="17"/>
  <c r="AG167" i="15"/>
  <c r="M167" i="15"/>
  <c r="AY168" i="17"/>
  <c r="AG168" i="15"/>
  <c r="M168" i="15"/>
  <c r="AY169" i="17"/>
  <c r="AG169" i="15"/>
  <c r="M169" i="15"/>
  <c r="M171" i="15"/>
  <c r="AI171" i="15" s="1"/>
  <c r="BA171" i="17" s="1"/>
  <c r="BE171" i="17" s="1"/>
  <c r="BG171" i="17" s="1"/>
  <c r="M173" i="15"/>
  <c r="AI173" i="15" s="1"/>
  <c r="BA173" i="17" s="1"/>
  <c r="BE173" i="17" s="1"/>
  <c r="BG173" i="17" s="1"/>
  <c r="AY174" i="17"/>
  <c r="M174" i="15"/>
  <c r="AI174" i="15" s="1"/>
  <c r="AY175" i="17"/>
  <c r="M175" i="15"/>
  <c r="AI175" i="15" s="1"/>
  <c r="AY176" i="17"/>
  <c r="AG176" i="15"/>
  <c r="AG177" i="15"/>
  <c r="AG182" i="15"/>
  <c r="AY183" i="17"/>
  <c r="AG183" i="15"/>
  <c r="AY184" i="17"/>
  <c r="AG184" i="15"/>
  <c r="AI184" i="15" s="1"/>
  <c r="AY185" i="17"/>
  <c r="AG185" i="15"/>
  <c r="AG189" i="15"/>
  <c r="AY190" i="17"/>
  <c r="AG190" i="15"/>
  <c r="AY191" i="17"/>
  <c r="AG191" i="15"/>
  <c r="AY192" i="17"/>
  <c r="AG192" i="15"/>
  <c r="AY193" i="17"/>
  <c r="AG193" i="15"/>
  <c r="AY194" i="17"/>
  <c r="AG194" i="15"/>
  <c r="AY195" i="17"/>
  <c r="AG195" i="15"/>
  <c r="AY196" i="17"/>
  <c r="AG196" i="15"/>
  <c r="AY200" i="17"/>
  <c r="AY201" i="17"/>
  <c r="AG201" i="15"/>
  <c r="AY202" i="17"/>
  <c r="AG202" i="15"/>
  <c r="AY203" i="17"/>
  <c r="AG203" i="15"/>
  <c r="AY204" i="17"/>
  <c r="AG204" i="15"/>
  <c r="AY205" i="17"/>
  <c r="AG205" i="15"/>
  <c r="M205" i="15"/>
  <c r="AY206" i="17"/>
  <c r="AG206" i="15"/>
  <c r="M206" i="15"/>
  <c r="AY207" i="17"/>
  <c r="AG207" i="15"/>
  <c r="M207" i="15"/>
  <c r="AY208" i="17"/>
  <c r="M208" i="15"/>
  <c r="AI208" i="15" s="1"/>
  <c r="AY209" i="17"/>
  <c r="AG209" i="15"/>
  <c r="M209" i="15"/>
  <c r="AY210" i="17"/>
  <c r="AG210" i="15"/>
  <c r="M210" i="15"/>
  <c r="M211" i="15"/>
  <c r="AI211" i="15" s="1"/>
  <c r="BA211" i="17" s="1"/>
  <c r="BE211" i="17" s="1"/>
  <c r="BG211" i="17" s="1"/>
  <c r="AY212" i="17"/>
  <c r="AG212" i="15"/>
  <c r="M212" i="15"/>
  <c r="AY213" i="17"/>
  <c r="AG213" i="15"/>
  <c r="M213" i="15"/>
  <c r="AY214" i="17"/>
  <c r="AG214" i="15"/>
  <c r="M214" i="15"/>
  <c r="AY215" i="17"/>
  <c r="AG215" i="15"/>
  <c r="M215" i="15"/>
  <c r="AY216" i="17"/>
  <c r="AG216" i="15"/>
  <c r="AI216" i="15" s="1"/>
  <c r="M216" i="15"/>
  <c r="AY217" i="17"/>
  <c r="AG217" i="15"/>
  <c r="M217" i="15"/>
  <c r="AY218" i="17"/>
  <c r="AG218" i="15"/>
  <c r="M218" i="15"/>
  <c r="AY219" i="17"/>
  <c r="AG219" i="15"/>
  <c r="M219" i="15"/>
  <c r="AY220" i="17"/>
  <c r="AG220" i="15"/>
  <c r="M220" i="15"/>
  <c r="AY221" i="17"/>
  <c r="AG221" i="15"/>
  <c r="M221" i="15"/>
  <c r="AY222" i="17"/>
  <c r="AG222" i="15"/>
  <c r="M222" i="15"/>
  <c r="AY223" i="17"/>
  <c r="AG223" i="15"/>
  <c r="M223" i="15"/>
  <c r="AY224" i="17"/>
  <c r="AG224" i="15"/>
  <c r="M224" i="15"/>
  <c r="M225" i="15"/>
  <c r="AI225" i="15" s="1"/>
  <c r="BA225" i="17" s="1"/>
  <c r="BE225" i="17" s="1"/>
  <c r="BG225" i="17" s="1"/>
  <c r="AY226" i="17"/>
  <c r="M226" i="15"/>
  <c r="AI226" i="15" s="1"/>
  <c r="AG227" i="15"/>
  <c r="M227" i="15"/>
  <c r="AY228" i="17"/>
  <c r="AG228" i="15"/>
  <c r="AI228" i="15" s="1"/>
  <c r="M228" i="15"/>
  <c r="AY229" i="17"/>
  <c r="AG229" i="15"/>
  <c r="M229" i="15"/>
  <c r="AG230" i="15"/>
  <c r="M230" i="15"/>
  <c r="AY232" i="17"/>
  <c r="AG232" i="15"/>
  <c r="AI232" i="15" s="1"/>
  <c r="AY233" i="17"/>
  <c r="AG233" i="15"/>
  <c r="M233" i="15"/>
  <c r="AY234" i="17"/>
  <c r="M234" i="15"/>
  <c r="AY235" i="17"/>
  <c r="AG235" i="15"/>
  <c r="M235" i="15"/>
  <c r="AY236" i="17"/>
  <c r="AG236" i="15"/>
  <c r="M236" i="15"/>
  <c r="AY237" i="17"/>
  <c r="AG237" i="15"/>
  <c r="M237" i="15"/>
  <c r="AY238" i="17"/>
  <c r="AG238" i="15"/>
  <c r="M238" i="15"/>
  <c r="AY239" i="17"/>
  <c r="AG239" i="15"/>
  <c r="M239" i="15"/>
  <c r="AY240" i="17"/>
  <c r="AG240" i="15"/>
  <c r="M240" i="15"/>
  <c r="AY241" i="17"/>
  <c r="AG241" i="15"/>
  <c r="M241" i="15"/>
  <c r="AY242" i="17"/>
  <c r="M242" i="15"/>
  <c r="AY243" i="17"/>
  <c r="AG243" i="15"/>
  <c r="M243" i="15"/>
  <c r="AY244" i="17"/>
  <c r="AG244" i="15"/>
  <c r="M244" i="15"/>
  <c r="AY245" i="17"/>
  <c r="AG245" i="15"/>
  <c r="M245" i="15"/>
  <c r="AY246" i="17"/>
  <c r="AG246" i="15"/>
  <c r="M246" i="15"/>
  <c r="AY247" i="17"/>
  <c r="AG247" i="15"/>
  <c r="M247" i="15"/>
  <c r="AY248" i="17"/>
  <c r="AG248" i="15"/>
  <c r="M248" i="15"/>
  <c r="AG250" i="15"/>
  <c r="M250" i="15"/>
  <c r="AY266" i="17"/>
  <c r="AY267" i="17"/>
  <c r="AG267" i="15"/>
  <c r="M267" i="15"/>
  <c r="AY268" i="17"/>
  <c r="M268" i="15"/>
  <c r="AY269" i="17"/>
  <c r="AG269" i="15"/>
  <c r="AI269" i="15" s="1"/>
  <c r="M269" i="15"/>
  <c r="AY270" i="17"/>
  <c r="AG270" i="15"/>
  <c r="M270" i="15"/>
  <c r="AY271" i="17"/>
  <c r="AG271" i="15"/>
  <c r="M271" i="15"/>
  <c r="AY272" i="17"/>
  <c r="AG272" i="15"/>
  <c r="M272" i="15"/>
  <c r="AY273" i="17"/>
  <c r="AG273" i="15"/>
  <c r="AI276" i="15"/>
  <c r="BA276" i="17" s="1"/>
  <c r="BE276" i="17" s="1"/>
  <c r="BG276" i="17" s="1"/>
  <c r="AG277" i="15"/>
  <c r="AY278" i="17"/>
  <c r="AY279" i="17"/>
  <c r="AG279" i="15"/>
  <c r="AI279" i="15" s="1"/>
  <c r="AY280" i="17"/>
  <c r="M280" i="15"/>
  <c r="AY281" i="17"/>
  <c r="M281" i="15"/>
  <c r="AY282" i="17"/>
  <c r="AG282" i="15"/>
  <c r="M282" i="15"/>
  <c r="AY283" i="17"/>
  <c r="AG283" i="15"/>
  <c r="M283" i="15"/>
  <c r="AY284" i="17"/>
  <c r="AG284" i="15"/>
  <c r="M284" i="15"/>
  <c r="AY285" i="17"/>
  <c r="AG285" i="15"/>
  <c r="M285" i="15"/>
  <c r="AY287" i="17"/>
  <c r="AG287" i="15"/>
  <c r="M287" i="15"/>
  <c r="AY288" i="17"/>
  <c r="M288" i="15"/>
  <c r="AY290" i="17"/>
  <c r="M290" i="15"/>
  <c r="AY291" i="17"/>
  <c r="AG291" i="15"/>
  <c r="M291" i="15"/>
  <c r="AY292" i="17"/>
  <c r="M292" i="15"/>
  <c r="AY289" i="17"/>
  <c r="AG289" i="15"/>
  <c r="M289" i="15"/>
  <c r="AY293" i="17"/>
  <c r="M293" i="15"/>
  <c r="AY294" i="17"/>
  <c r="AG294" i="15"/>
  <c r="M294" i="15"/>
  <c r="M296" i="15"/>
  <c r="AI296" i="15" s="1"/>
  <c r="BA296" i="17" s="1"/>
  <c r="BE296" i="17" s="1"/>
  <c r="BG296" i="17" s="1"/>
  <c r="M297" i="15"/>
  <c r="AI297" i="15" s="1"/>
  <c r="BA297" i="17" s="1"/>
  <c r="BE297" i="17" s="1"/>
  <c r="BG297" i="17" s="1"/>
  <c r="M298" i="15"/>
  <c r="AY299" i="17"/>
  <c r="AG299" i="15"/>
  <c r="M299" i="15"/>
  <c r="AG300" i="15"/>
  <c r="M300" i="15"/>
  <c r="AG301" i="15"/>
  <c r="M301" i="15"/>
  <c r="AG302" i="15"/>
  <c r="M302" i="15"/>
  <c r="AG303" i="15"/>
  <c r="M303" i="15"/>
  <c r="M304" i="15"/>
  <c r="AG305" i="15"/>
  <c r="M305" i="15"/>
  <c r="AG306" i="15"/>
  <c r="M306" i="15"/>
  <c r="AG307" i="15"/>
  <c r="M307" i="15"/>
  <c r="AY308" i="17"/>
  <c r="AG308" i="15"/>
  <c r="M308" i="15"/>
  <c r="AY309" i="17"/>
  <c r="AG309" i="15"/>
  <c r="M309" i="15"/>
  <c r="AY310" i="17"/>
  <c r="M310" i="15"/>
  <c r="AY311" i="17"/>
  <c r="AG311" i="15"/>
  <c r="M311" i="15"/>
  <c r="AY312" i="17"/>
  <c r="AG312" i="15"/>
  <c r="M312" i="15"/>
  <c r="AY313" i="17"/>
  <c r="AG313" i="15"/>
  <c r="M313" i="15"/>
  <c r="AY315" i="17"/>
  <c r="AG315" i="15"/>
  <c r="M315" i="15"/>
  <c r="AY317" i="17"/>
  <c r="AG317" i="15"/>
  <c r="M317" i="15"/>
  <c r="AY319" i="17"/>
  <c r="AG319" i="15"/>
  <c r="M319" i="15"/>
  <c r="AY320" i="17"/>
  <c r="AG320" i="15"/>
  <c r="M320" i="15"/>
  <c r="AY321" i="17"/>
  <c r="AG321" i="15"/>
  <c r="M321" i="15"/>
  <c r="AY322" i="17"/>
  <c r="AG322" i="15"/>
  <c r="M322" i="15"/>
  <c r="AY323" i="17"/>
  <c r="AG323" i="15"/>
  <c r="M323" i="15"/>
  <c r="AY324" i="17"/>
  <c r="AG324" i="15"/>
  <c r="M324" i="15"/>
  <c r="AY325" i="17"/>
  <c r="AG325" i="15"/>
  <c r="M325" i="15"/>
  <c r="AY326" i="17"/>
  <c r="AG326" i="15"/>
  <c r="M326" i="15"/>
  <c r="AY328" i="17"/>
  <c r="AG328" i="15"/>
  <c r="M328" i="15"/>
  <c r="AY329" i="17"/>
  <c r="AG329" i="15"/>
  <c r="M329" i="15"/>
  <c r="AY330" i="17"/>
  <c r="AG330" i="15"/>
  <c r="M330" i="15"/>
  <c r="AY331" i="17"/>
  <c r="AG331" i="15"/>
  <c r="AI331" i="15" s="1"/>
  <c r="M331" i="15"/>
  <c r="AY332" i="17"/>
  <c r="AG332" i="15"/>
  <c r="M332" i="15"/>
  <c r="AY333" i="17"/>
  <c r="AG333" i="15"/>
  <c r="M333" i="15"/>
  <c r="AY334" i="17"/>
  <c r="AG334" i="15"/>
  <c r="M334" i="15"/>
  <c r="AY335" i="17"/>
  <c r="AG335" i="15"/>
  <c r="M335" i="15"/>
  <c r="AG336" i="15"/>
  <c r="M336" i="15"/>
  <c r="AY337" i="17"/>
  <c r="AG337" i="15"/>
  <c r="M337" i="15"/>
  <c r="AY338" i="17"/>
  <c r="AG338" i="15"/>
  <c r="M338" i="15"/>
  <c r="AY339" i="17"/>
  <c r="AG339" i="15"/>
  <c r="M339" i="15"/>
  <c r="AY340" i="17"/>
  <c r="AG340" i="15"/>
  <c r="M340" i="15"/>
  <c r="AY341" i="17"/>
  <c r="AG341" i="15"/>
  <c r="M341" i="15"/>
  <c r="AY342" i="17"/>
  <c r="AG342" i="15"/>
  <c r="M342" i="15"/>
  <c r="AY343" i="17"/>
  <c r="AG343" i="15"/>
  <c r="M343" i="15"/>
  <c r="AY344" i="17"/>
  <c r="AG344" i="15"/>
  <c r="M344" i="15"/>
  <c r="AY345" i="17"/>
  <c r="AG345" i="15"/>
  <c r="M345" i="15"/>
  <c r="AY347" i="17"/>
  <c r="AG347" i="15"/>
  <c r="M347" i="15"/>
  <c r="AY348" i="17"/>
  <c r="AG348" i="15"/>
  <c r="M348" i="15"/>
  <c r="AY349" i="17"/>
  <c r="AG349" i="15"/>
  <c r="M349" i="15"/>
  <c r="AY350" i="17"/>
  <c r="AG350" i="15"/>
  <c r="M350" i="15"/>
  <c r="AY351" i="17"/>
  <c r="AG351" i="15"/>
  <c r="M351" i="15"/>
  <c r="AY352" i="17"/>
  <c r="AG352" i="15"/>
  <c r="M352" i="15"/>
  <c r="AY353" i="17"/>
  <c r="AG353" i="15"/>
  <c r="M353" i="15"/>
  <c r="AY354" i="17"/>
  <c r="AG354" i="15"/>
  <c r="M354" i="15"/>
  <c r="AY355" i="17"/>
  <c r="AG355" i="15"/>
  <c r="M355" i="15"/>
  <c r="AY356" i="17"/>
  <c r="AG356" i="15"/>
  <c r="M356" i="15"/>
  <c r="AY357" i="17"/>
  <c r="AG357" i="15"/>
  <c r="M357" i="15"/>
  <c r="AY358" i="17"/>
  <c r="AG358" i="15"/>
  <c r="M358" i="15"/>
  <c r="AY359" i="17"/>
  <c r="AG359" i="15"/>
  <c r="M359" i="15"/>
  <c r="AY360" i="17"/>
  <c r="AG360" i="15"/>
  <c r="M360" i="15"/>
  <c r="AY361" i="17"/>
  <c r="AG361" i="15"/>
  <c r="M361" i="15"/>
  <c r="AY362" i="17"/>
  <c r="AG362" i="15"/>
  <c r="M362" i="15"/>
  <c r="AY363" i="17"/>
  <c r="AG363" i="15"/>
  <c r="M363" i="15"/>
  <c r="AY364" i="17"/>
  <c r="AG364" i="15"/>
  <c r="M364" i="15"/>
  <c r="AY365" i="17"/>
  <c r="AG365" i="15"/>
  <c r="M365" i="15"/>
  <c r="AG394" i="15"/>
  <c r="AG397" i="15"/>
  <c r="AG399" i="15"/>
  <c r="M399" i="15"/>
  <c r="AI404" i="15"/>
  <c r="BA404" i="17" s="1"/>
  <c r="AG406" i="15"/>
  <c r="AY412" i="17"/>
  <c r="AG412" i="15"/>
  <c r="M412" i="15"/>
  <c r="AY414" i="17"/>
  <c r="AG414" i="15"/>
  <c r="M414" i="15"/>
  <c r="AY416" i="17"/>
  <c r="AG416" i="15"/>
  <c r="AY417" i="17"/>
  <c r="AG417" i="15"/>
  <c r="AY418" i="17"/>
  <c r="AG418" i="15"/>
  <c r="AY419" i="17"/>
  <c r="AG419" i="15"/>
  <c r="AG420" i="15"/>
  <c r="AI420" i="15" s="1"/>
  <c r="AG421" i="15"/>
  <c r="AG422" i="15"/>
  <c r="AI422" i="15" s="1"/>
  <c r="BA422" i="17" s="1"/>
  <c r="AG423" i="15"/>
  <c r="AG424" i="15"/>
  <c r="AI424" i="15" s="1"/>
  <c r="BA424" i="17" s="1"/>
  <c r="AY425" i="17"/>
  <c r="AY426" i="17"/>
  <c r="AY427" i="17"/>
  <c r="AY428" i="17"/>
  <c r="AY429" i="17"/>
  <c r="AG429" i="15"/>
  <c r="M429" i="15"/>
  <c r="AY430" i="17"/>
  <c r="AG430" i="15"/>
  <c r="M430" i="15"/>
  <c r="AY431" i="17"/>
  <c r="AG431" i="15"/>
  <c r="AI431" i="15" s="1"/>
  <c r="M431" i="15"/>
  <c r="AY432" i="17"/>
  <c r="AG432" i="15"/>
  <c r="M432" i="15"/>
  <c r="AY433" i="17"/>
  <c r="AG433" i="15"/>
  <c r="M433" i="15"/>
  <c r="AY434" i="17"/>
  <c r="AG434" i="15"/>
  <c r="M434" i="15"/>
  <c r="AY435" i="17"/>
  <c r="AG435" i="15"/>
  <c r="M435" i="15"/>
  <c r="AY436" i="17"/>
  <c r="AG436" i="15"/>
  <c r="M436" i="15"/>
  <c r="AY437" i="17"/>
  <c r="AG437" i="15"/>
  <c r="M437" i="15"/>
  <c r="AY438" i="17"/>
  <c r="AG438" i="15"/>
  <c r="M438" i="15"/>
  <c r="AY439" i="17"/>
  <c r="M439" i="15"/>
  <c r="AY441" i="17"/>
  <c r="AG441" i="15"/>
  <c r="M441" i="15"/>
  <c r="AY442" i="17"/>
  <c r="M442" i="15"/>
  <c r="AY443" i="17"/>
  <c r="AG443" i="15"/>
  <c r="M443" i="15"/>
  <c r="AY444" i="17"/>
  <c r="M444" i="15"/>
  <c r="AY445" i="17"/>
  <c r="M445" i="15"/>
  <c r="AY446" i="17"/>
  <c r="AG446" i="15"/>
  <c r="M446" i="15"/>
  <c r="AY447" i="17"/>
  <c r="M447" i="15"/>
  <c r="AY448" i="17"/>
  <c r="AG448" i="15"/>
  <c r="M448" i="15"/>
  <c r="AY449" i="17"/>
  <c r="M449" i="15"/>
  <c r="AY450" i="17"/>
  <c r="AG450" i="15"/>
  <c r="M450" i="15"/>
  <c r="AY451" i="17"/>
  <c r="M451" i="15"/>
  <c r="AI451" i="15" s="1"/>
  <c r="AY452" i="17"/>
  <c r="AG452" i="15"/>
  <c r="M452" i="15"/>
  <c r="AY453" i="17"/>
  <c r="AG453" i="15"/>
  <c r="M453" i="15"/>
  <c r="AY454" i="17"/>
  <c r="AG454" i="15"/>
  <c r="M454" i="15"/>
  <c r="AY455" i="17"/>
  <c r="M455" i="15"/>
  <c r="AY457" i="17"/>
  <c r="AG457" i="15"/>
  <c r="M457" i="15"/>
  <c r="AY458" i="17"/>
  <c r="AG458" i="15"/>
  <c r="M458" i="15"/>
  <c r="AY459" i="17"/>
  <c r="AG459" i="15"/>
  <c r="M459" i="15"/>
  <c r="AY460" i="17"/>
  <c r="M460" i="15"/>
  <c r="AY461" i="17"/>
  <c r="AG461" i="15"/>
  <c r="M461" i="15"/>
  <c r="AY462" i="17"/>
  <c r="AG462" i="15"/>
  <c r="M462" i="15"/>
  <c r="AY463" i="17"/>
  <c r="AG463" i="15"/>
  <c r="M463" i="15"/>
  <c r="AY464" i="17"/>
  <c r="M464" i="15"/>
  <c r="AY465" i="17"/>
  <c r="AG465" i="15"/>
  <c r="M465" i="15"/>
  <c r="AY466" i="17"/>
  <c r="M466" i="15"/>
  <c r="AI466" i="15" s="1"/>
  <c r="AY467" i="17"/>
  <c r="M467" i="15"/>
  <c r="AY468" i="17"/>
  <c r="AG468" i="15"/>
  <c r="M468" i="15"/>
  <c r="AY469" i="17"/>
  <c r="M469" i="15"/>
  <c r="AY470" i="17"/>
  <c r="M470" i="15"/>
  <c r="AY471" i="17"/>
  <c r="AG471" i="15"/>
  <c r="M471" i="15"/>
  <c r="AY472" i="17"/>
  <c r="M472" i="15"/>
  <c r="AY473" i="17"/>
  <c r="M473" i="15"/>
  <c r="AY474" i="17"/>
  <c r="AG474" i="15"/>
  <c r="M474" i="15"/>
  <c r="AY475" i="17"/>
  <c r="AG475" i="15"/>
  <c r="M475" i="15"/>
  <c r="AY476" i="17"/>
  <c r="AG476" i="15"/>
  <c r="M476" i="15"/>
  <c r="AY477" i="17"/>
  <c r="AG477" i="15"/>
  <c r="M477" i="15"/>
  <c r="AY478" i="17"/>
  <c r="AG478" i="15"/>
  <c r="M478" i="15"/>
  <c r="AY479" i="17"/>
  <c r="AG479" i="15"/>
  <c r="M479" i="15"/>
  <c r="AY530" i="17"/>
  <c r="AY531" i="17"/>
  <c r="AY532" i="17"/>
  <c r="AG532" i="15"/>
  <c r="M532" i="15"/>
  <c r="AY533" i="17"/>
  <c r="M533" i="15"/>
  <c r="AY534" i="17"/>
  <c r="AG534" i="15"/>
  <c r="AI534" i="15" s="1"/>
  <c r="M534" i="15"/>
  <c r="AY535" i="17"/>
  <c r="AG535" i="15"/>
  <c r="M535" i="15"/>
  <c r="AY536" i="17"/>
  <c r="M536" i="15"/>
  <c r="AY537" i="17"/>
  <c r="AG537" i="15"/>
  <c r="M537" i="15"/>
  <c r="AY539" i="17"/>
  <c r="AG539" i="15"/>
  <c r="M539" i="15"/>
  <c r="AY540" i="17"/>
  <c r="M540" i="15"/>
  <c r="AY541" i="17"/>
  <c r="M541" i="15"/>
  <c r="AG542" i="15"/>
  <c r="M542" i="15"/>
  <c r="AY543" i="17"/>
  <c r="AG543" i="15"/>
  <c r="M543" i="15"/>
  <c r="AY544" i="17"/>
  <c r="AG544" i="15"/>
  <c r="M544" i="15"/>
  <c r="AY545" i="17"/>
  <c r="AG545" i="15"/>
  <c r="M545" i="15"/>
  <c r="AY546" i="17"/>
  <c r="AG546" i="15"/>
  <c r="M546" i="15"/>
  <c r="AY547" i="17"/>
  <c r="AG547" i="15"/>
  <c r="M547" i="15"/>
  <c r="AY548" i="17"/>
  <c r="AG548" i="15"/>
  <c r="M548" i="15"/>
  <c r="AY549" i="17"/>
  <c r="AG549" i="15"/>
  <c r="M549" i="15"/>
  <c r="AY550" i="17"/>
  <c r="AG550" i="15"/>
  <c r="M550" i="15"/>
  <c r="AY551" i="17"/>
  <c r="M551" i="15"/>
  <c r="AY552" i="17"/>
  <c r="AG552" i="15"/>
  <c r="M552" i="15"/>
  <c r="AY553" i="17"/>
  <c r="M553" i="15"/>
  <c r="AY554" i="17"/>
  <c r="AG554" i="15"/>
  <c r="M554" i="15"/>
  <c r="AY555" i="17"/>
  <c r="AG555" i="15"/>
  <c r="M555" i="15"/>
  <c r="AY556" i="17"/>
  <c r="AG556" i="15"/>
  <c r="M556" i="15"/>
  <c r="AY557" i="17"/>
  <c r="AG557" i="15"/>
  <c r="M557" i="15"/>
  <c r="AY558" i="17"/>
  <c r="AG558" i="15"/>
  <c r="M558" i="15"/>
  <c r="AY559" i="17"/>
  <c r="AG559" i="15"/>
  <c r="M559" i="15"/>
  <c r="AY560" i="17"/>
  <c r="AG560" i="15"/>
  <c r="M560" i="15"/>
  <c r="AY561" i="17"/>
  <c r="M561" i="15"/>
  <c r="AY562" i="17"/>
  <c r="AG562" i="15"/>
  <c r="M562" i="15"/>
  <c r="AY563" i="17"/>
  <c r="AG563" i="15"/>
  <c r="M563" i="15"/>
  <c r="AY564" i="17"/>
  <c r="AG564" i="15"/>
  <c r="M564" i="15"/>
  <c r="AY565" i="17"/>
  <c r="M565" i="15"/>
  <c r="AY567" i="17"/>
  <c r="AG567" i="15"/>
  <c r="M567" i="15"/>
  <c r="AY568" i="17"/>
  <c r="AG568" i="15"/>
  <c r="AY569" i="17"/>
  <c r="AG569" i="15"/>
  <c r="AY570" i="17"/>
  <c r="AG570" i="15"/>
  <c r="AY571" i="17"/>
  <c r="AG571" i="15"/>
  <c r="AI571" i="15" s="1"/>
  <c r="AY572" i="17"/>
  <c r="AY573" i="17"/>
  <c r="AY574" i="17"/>
  <c r="AY575" i="17"/>
  <c r="AY576" i="17"/>
  <c r="AY577" i="17"/>
  <c r="AY578" i="17"/>
  <c r="AG578" i="15"/>
  <c r="AY579" i="17"/>
  <c r="AG579" i="15"/>
  <c r="AI579" i="15" s="1"/>
  <c r="AY580" i="17"/>
  <c r="AG580" i="15"/>
  <c r="AY581" i="17"/>
  <c r="AY582" i="17"/>
  <c r="AY583" i="17"/>
  <c r="AG583" i="15"/>
  <c r="AI583" i="15" s="1"/>
  <c r="AY584" i="17"/>
  <c r="AG584" i="15"/>
  <c r="AI584" i="15" s="1"/>
  <c r="AY585" i="17"/>
  <c r="AG585" i="15"/>
  <c r="AY587" i="17"/>
  <c r="AG587" i="15"/>
  <c r="M587" i="15"/>
  <c r="AY588" i="17"/>
  <c r="AG588" i="15"/>
  <c r="M588" i="15"/>
  <c r="AY589" i="17"/>
  <c r="AG589" i="15"/>
  <c r="M589" i="15"/>
  <c r="AY590" i="17"/>
  <c r="AG590" i="15"/>
  <c r="M590" i="15"/>
  <c r="AY591" i="17"/>
  <c r="AG591" i="15"/>
  <c r="M591" i="15"/>
  <c r="AY592" i="17"/>
  <c r="AG592" i="15"/>
  <c r="M592" i="15"/>
  <c r="AY593" i="17"/>
  <c r="AG593" i="15"/>
  <c r="M593" i="15"/>
  <c r="AY594" i="17"/>
  <c r="AG594" i="15"/>
  <c r="M594" i="15"/>
  <c r="AY595" i="17"/>
  <c r="AG595" i="15"/>
  <c r="M595" i="15"/>
  <c r="AY596" i="17"/>
  <c r="AG596" i="15"/>
  <c r="M596" i="15"/>
  <c r="AY597" i="17"/>
  <c r="AG597" i="15"/>
  <c r="M597" i="15"/>
  <c r="AY598" i="17"/>
  <c r="AG598" i="15"/>
  <c r="M598" i="15"/>
  <c r="AY599" i="17"/>
  <c r="AG599" i="15"/>
  <c r="M599" i="15"/>
  <c r="AY600" i="17"/>
  <c r="AG600" i="15"/>
  <c r="M600" i="15"/>
  <c r="AY601" i="17"/>
  <c r="AG601" i="15"/>
  <c r="M601" i="15"/>
  <c r="AY602" i="17"/>
  <c r="AG602" i="15"/>
  <c r="M602" i="15"/>
  <c r="AY603" i="17"/>
  <c r="AG603" i="15"/>
  <c r="M603" i="15"/>
  <c r="AY604" i="17"/>
  <c r="AG604" i="15"/>
  <c r="M604" i="15"/>
  <c r="AY605" i="17"/>
  <c r="AG605" i="15"/>
  <c r="M605" i="15"/>
  <c r="AY606" i="17"/>
  <c r="AG606" i="15"/>
  <c r="M606" i="15"/>
  <c r="AY607" i="17"/>
  <c r="AG607" i="15"/>
  <c r="M607" i="15"/>
  <c r="AY608" i="17"/>
  <c r="AG608" i="15"/>
  <c r="M608" i="15"/>
  <c r="AY609" i="17"/>
  <c r="AG609" i="15"/>
  <c r="M609" i="15"/>
  <c r="AY610" i="17"/>
  <c r="AG610" i="15"/>
  <c r="M610" i="15"/>
  <c r="AY611" i="17"/>
  <c r="AG611" i="15"/>
  <c r="M611" i="15"/>
  <c r="AY612" i="17"/>
  <c r="AG612" i="15"/>
  <c r="M612" i="15"/>
  <c r="AY613" i="17"/>
  <c r="AG613" i="15"/>
  <c r="M613" i="15"/>
  <c r="AY614" i="17"/>
  <c r="AG614" i="15"/>
  <c r="M614" i="15"/>
  <c r="AY615" i="17"/>
  <c r="AG615" i="15"/>
  <c r="M615" i="15"/>
  <c r="AY616" i="17"/>
  <c r="AG616" i="15"/>
  <c r="M616" i="15"/>
  <c r="AY617" i="17"/>
  <c r="AG617" i="15"/>
  <c r="M617" i="15"/>
  <c r="AY618" i="17"/>
  <c r="AG618" i="15"/>
  <c r="M618" i="15"/>
  <c r="V567" i="10"/>
  <c r="V565" i="10"/>
  <c r="V564" i="10"/>
  <c r="V563" i="10"/>
  <c r="V562" i="10"/>
  <c r="V561" i="10"/>
  <c r="V560" i="10"/>
  <c r="V559" i="10"/>
  <c r="V558" i="10"/>
  <c r="V557" i="10"/>
  <c r="V556" i="10"/>
  <c r="V555" i="10"/>
  <c r="V554" i="10"/>
  <c r="V553" i="10"/>
  <c r="V552" i="10"/>
  <c r="V551" i="10"/>
  <c r="V550" i="10"/>
  <c r="V549" i="10"/>
  <c r="V548" i="10"/>
  <c r="V547" i="10"/>
  <c r="V546" i="10"/>
  <c r="V545" i="10"/>
  <c r="V544" i="10"/>
  <c r="V543" i="10"/>
  <c r="V542" i="10"/>
  <c r="V541" i="10"/>
  <c r="V540" i="10"/>
  <c r="V539" i="10"/>
  <c r="V537" i="10"/>
  <c r="V536" i="10"/>
  <c r="V535" i="10"/>
  <c r="V534" i="10"/>
  <c r="V533" i="10"/>
  <c r="V532" i="10"/>
  <c r="V531" i="10"/>
  <c r="V530" i="10"/>
  <c r="V529" i="10"/>
  <c r="V528" i="10"/>
  <c r="V527" i="10"/>
  <c r="V526" i="10"/>
  <c r="V525" i="10"/>
  <c r="V524" i="10"/>
  <c r="V522" i="10"/>
  <c r="V521" i="10"/>
  <c r="V520" i="10"/>
  <c r="V519" i="10"/>
  <c r="V518" i="10"/>
  <c r="S567" i="10"/>
  <c r="S565" i="10"/>
  <c r="S564" i="10"/>
  <c r="S563" i="10"/>
  <c r="S562" i="10"/>
  <c r="S561" i="10"/>
  <c r="S560" i="10"/>
  <c r="S559" i="10"/>
  <c r="S558" i="10"/>
  <c r="S557" i="10"/>
  <c r="S556" i="10"/>
  <c r="S555" i="10"/>
  <c r="S554" i="10"/>
  <c r="S553" i="10"/>
  <c r="S552" i="10"/>
  <c r="S551" i="10"/>
  <c r="S550" i="10"/>
  <c r="S549" i="10"/>
  <c r="S548" i="10"/>
  <c r="S547" i="10"/>
  <c r="S546" i="10"/>
  <c r="S545" i="10"/>
  <c r="S544" i="10"/>
  <c r="S543" i="10"/>
  <c r="S542" i="10"/>
  <c r="S541" i="10"/>
  <c r="S539" i="10"/>
  <c r="S537" i="10"/>
  <c r="S536" i="10"/>
  <c r="S535" i="10"/>
  <c r="S534" i="10"/>
  <c r="S533" i="10"/>
  <c r="S532" i="10"/>
  <c r="S531" i="10"/>
  <c r="S530" i="10"/>
  <c r="V515" i="10"/>
  <c r="V514" i="10"/>
  <c r="V513" i="10"/>
  <c r="V512" i="10"/>
  <c r="V511" i="10"/>
  <c r="V510" i="10"/>
  <c r="V509" i="10"/>
  <c r="V508" i="10"/>
  <c r="V507" i="10"/>
  <c r="V506" i="10"/>
  <c r="V505" i="10"/>
  <c r="V504" i="10"/>
  <c r="V501" i="10"/>
  <c r="V500" i="10"/>
  <c r="V499" i="10"/>
  <c r="V498" i="10"/>
  <c r="V497" i="10"/>
  <c r="V496" i="10"/>
  <c r="V495" i="10"/>
  <c r="V494" i="10"/>
  <c r="V493" i="10"/>
  <c r="V492" i="10"/>
  <c r="V491" i="10"/>
  <c r="V490" i="10"/>
  <c r="V489" i="10"/>
  <c r="V487" i="10"/>
  <c r="V486" i="10"/>
  <c r="V485" i="10"/>
  <c r="V484" i="10"/>
  <c r="V483" i="10"/>
  <c r="V482" i="10"/>
  <c r="V481" i="10"/>
  <c r="V480" i="10"/>
  <c r="V479" i="10"/>
  <c r="V478" i="10"/>
  <c r="V477" i="10"/>
  <c r="V476" i="10"/>
  <c r="V475" i="10"/>
  <c r="V474" i="10"/>
  <c r="V473" i="10"/>
  <c r="V472" i="10"/>
  <c r="V471" i="10"/>
  <c r="V470" i="10"/>
  <c r="V469" i="10"/>
  <c r="V468" i="10"/>
  <c r="V467" i="10"/>
  <c r="V466" i="10"/>
  <c r="V465" i="10"/>
  <c r="V464" i="10"/>
  <c r="V463" i="10"/>
  <c r="V462" i="10"/>
  <c r="V461" i="10"/>
  <c r="V460" i="10"/>
  <c r="V459" i="10"/>
  <c r="V458" i="10"/>
  <c r="V457" i="10"/>
  <c r="V455" i="10"/>
  <c r="V454" i="10"/>
  <c r="V453" i="10"/>
  <c r="V452" i="10"/>
  <c r="V451" i="10"/>
  <c r="V450" i="10"/>
  <c r="V449" i="10"/>
  <c r="V448" i="10"/>
  <c r="V447" i="10"/>
  <c r="V446" i="10"/>
  <c r="V445" i="10"/>
  <c r="V439" i="10"/>
  <c r="V438" i="10"/>
  <c r="V437" i="10"/>
  <c r="V436" i="10"/>
  <c r="V435" i="10"/>
  <c r="V434" i="10"/>
  <c r="V433" i="10"/>
  <c r="V432" i="10"/>
  <c r="V431" i="10"/>
  <c r="V430" i="10"/>
  <c r="V429" i="10"/>
  <c r="S479" i="10"/>
  <c r="S478" i="10"/>
  <c r="S477" i="10"/>
  <c r="S476" i="10"/>
  <c r="S475" i="10"/>
  <c r="S474" i="10"/>
  <c r="S473" i="10"/>
  <c r="S472" i="10"/>
  <c r="S470" i="10"/>
  <c r="S469" i="10"/>
  <c r="S468" i="10"/>
  <c r="S467" i="10"/>
  <c r="S466" i="10"/>
  <c r="S465" i="10"/>
  <c r="S464" i="10"/>
  <c r="S463" i="10"/>
  <c r="S462" i="10"/>
  <c r="S461" i="10"/>
  <c r="S460" i="10"/>
  <c r="S459" i="10"/>
  <c r="S458" i="10"/>
  <c r="S457" i="10"/>
  <c r="S455" i="10"/>
  <c r="S454" i="10"/>
  <c r="S453" i="10"/>
  <c r="S452" i="10"/>
  <c r="S451" i="10"/>
  <c r="S450" i="10"/>
  <c r="S449" i="10"/>
  <c r="S448" i="10"/>
  <c r="S447" i="10"/>
  <c r="S446" i="10"/>
  <c r="S445" i="10"/>
  <c r="S444" i="10"/>
  <c r="S439" i="10"/>
  <c r="S438" i="10"/>
  <c r="S437" i="10"/>
  <c r="S436" i="10"/>
  <c r="S435" i="10"/>
  <c r="S434" i="10"/>
  <c r="S433" i="10"/>
  <c r="S432" i="10"/>
  <c r="S431" i="10"/>
  <c r="AK479" i="1"/>
  <c r="Y479" i="1"/>
  <c r="BB479" i="2"/>
  <c r="BL479" i="2" s="1"/>
  <c r="AK567" i="1"/>
  <c r="Y567" i="1"/>
  <c r="BB567" i="2"/>
  <c r="BL567" i="2" s="1"/>
  <c r="AK565" i="1"/>
  <c r="Y565" i="1"/>
  <c r="BB565" i="2"/>
  <c r="BL565" i="2" s="1"/>
  <c r="BB564" i="2"/>
  <c r="BL564" i="2" s="1"/>
  <c r="AK564" i="1"/>
  <c r="Y564" i="1"/>
  <c r="AK563" i="1"/>
  <c r="Y563" i="1"/>
  <c r="BB563" i="2"/>
  <c r="BL563" i="2" s="1"/>
  <c r="BB562" i="2"/>
  <c r="BL562" i="2" s="1"/>
  <c r="AK562" i="1"/>
  <c r="Y562" i="1"/>
  <c r="AK561" i="1"/>
  <c r="Y561" i="1"/>
  <c r="BB561" i="2"/>
  <c r="BL561" i="2" s="1"/>
  <c r="AK560" i="1"/>
  <c r="Y560" i="1"/>
  <c r="BB560" i="2"/>
  <c r="BL560" i="2" s="1"/>
  <c r="AK559" i="1"/>
  <c r="Y559" i="1"/>
  <c r="BB559" i="2"/>
  <c r="BL559" i="2" s="1"/>
  <c r="AK558" i="1"/>
  <c r="Y558" i="1"/>
  <c r="BB558" i="2"/>
  <c r="BL558" i="2" s="1"/>
  <c r="AK557" i="1"/>
  <c r="AM557" i="1" s="1"/>
  <c r="Y557" i="1"/>
  <c r="BB557" i="2"/>
  <c r="BL557" i="2" s="1"/>
  <c r="AK556" i="1"/>
  <c r="Y556" i="1"/>
  <c r="BB556" i="2"/>
  <c r="BL556" i="2" s="1"/>
  <c r="AK555" i="1"/>
  <c r="Y555" i="1"/>
  <c r="BB555" i="2"/>
  <c r="BL555" i="2" s="1"/>
  <c r="BB554" i="2"/>
  <c r="BL554" i="2" s="1"/>
  <c r="AK554" i="1"/>
  <c r="Y554" i="1"/>
  <c r="AK553" i="1"/>
  <c r="Y553" i="1"/>
  <c r="BB553" i="2"/>
  <c r="BL553" i="2" s="1"/>
  <c r="AK552" i="1"/>
  <c r="Y552" i="1"/>
  <c r="BB552" i="2"/>
  <c r="BL552" i="2" s="1"/>
  <c r="AK551" i="1"/>
  <c r="Y551" i="1"/>
  <c r="BB551" i="2"/>
  <c r="BL551" i="2" s="1"/>
  <c r="AK550" i="1"/>
  <c r="Y550" i="1"/>
  <c r="BB550" i="2"/>
  <c r="BL550" i="2" s="1"/>
  <c r="AK549" i="1"/>
  <c r="Y549" i="1"/>
  <c r="BB549" i="2"/>
  <c r="BL549" i="2" s="1"/>
  <c r="AK548" i="1"/>
  <c r="Y548" i="1"/>
  <c r="BB548" i="2"/>
  <c r="BL548" i="2" s="1"/>
  <c r="AK547" i="1"/>
  <c r="Y547" i="1"/>
  <c r="BB547" i="2"/>
  <c r="BL547" i="2" s="1"/>
  <c r="AK546" i="1"/>
  <c r="Y546" i="1"/>
  <c r="BB546" i="2"/>
  <c r="BL546" i="2" s="1"/>
  <c r="AK545" i="1"/>
  <c r="Y545" i="1"/>
  <c r="BB545" i="2"/>
  <c r="BL545" i="2" s="1"/>
  <c r="AK544" i="1"/>
  <c r="Y544" i="1"/>
  <c r="BB544" i="2"/>
  <c r="BL544" i="2" s="1"/>
  <c r="AK543" i="1"/>
  <c r="Y543" i="1"/>
  <c r="BB543" i="2"/>
  <c r="BL543" i="2" s="1"/>
  <c r="AK542" i="1"/>
  <c r="Y542" i="1"/>
  <c r="BB542" i="2"/>
  <c r="BL542" i="2" s="1"/>
  <c r="AK541" i="1"/>
  <c r="Y541" i="1"/>
  <c r="BB541" i="2"/>
  <c r="BL541" i="2" s="1"/>
  <c r="AK540" i="1"/>
  <c r="Y540" i="1"/>
  <c r="BB540" i="2"/>
  <c r="BL540" i="2" s="1"/>
  <c r="AK539" i="1"/>
  <c r="Y539" i="1"/>
  <c r="BB539" i="2"/>
  <c r="BL539" i="2" s="1"/>
  <c r="AK537" i="1"/>
  <c r="Y537" i="1"/>
  <c r="BB537" i="2"/>
  <c r="BL537" i="2" s="1"/>
  <c r="AK536" i="1"/>
  <c r="Y536" i="1"/>
  <c r="BB536" i="2"/>
  <c r="BL536" i="2" s="1"/>
  <c r="AK535" i="1"/>
  <c r="Y535" i="1"/>
  <c r="BB535" i="2"/>
  <c r="BL535" i="2" s="1"/>
  <c r="AK534" i="1"/>
  <c r="Y534" i="1"/>
  <c r="BB534" i="2"/>
  <c r="BL534" i="2" s="1"/>
  <c r="AK533" i="1"/>
  <c r="Y533" i="1"/>
  <c r="AK532" i="1"/>
  <c r="Y532" i="1"/>
  <c r="BB532" i="2"/>
  <c r="BL532" i="2" s="1"/>
  <c r="AK531" i="1"/>
  <c r="Y531" i="1"/>
  <c r="BB531" i="2"/>
  <c r="BL531" i="2" s="1"/>
  <c r="AK530" i="1"/>
  <c r="Y530" i="1"/>
  <c r="BB530" i="2"/>
  <c r="BL530" i="2" s="1"/>
  <c r="AK477" i="1"/>
  <c r="Y477" i="1"/>
  <c r="BB477" i="2"/>
  <c r="BL477" i="2" s="1"/>
  <c r="AK476" i="1"/>
  <c r="Y476" i="1"/>
  <c r="BL476" i="2"/>
  <c r="BB475" i="2"/>
  <c r="BL475" i="2" s="1"/>
  <c r="AK475" i="1"/>
  <c r="Y475" i="1"/>
  <c r="AK474" i="1"/>
  <c r="Y474" i="1"/>
  <c r="BB474" i="2"/>
  <c r="BL474" i="2" s="1"/>
  <c r="AK473" i="1"/>
  <c r="Y473" i="1"/>
  <c r="BB473" i="2"/>
  <c r="BL473" i="2" s="1"/>
  <c r="AK472" i="1"/>
  <c r="BB472" i="2"/>
  <c r="BL472" i="2" s="1"/>
  <c r="AK471" i="1"/>
  <c r="Y471" i="1"/>
  <c r="BB471" i="2"/>
  <c r="BL471" i="2" s="1"/>
  <c r="AK470" i="1"/>
  <c r="Y470" i="1"/>
  <c r="BB470" i="2"/>
  <c r="BL470" i="2" s="1"/>
  <c r="AK469" i="1"/>
  <c r="Y469" i="1"/>
  <c r="AM469" i="1" s="1"/>
  <c r="BB469" i="2"/>
  <c r="BL469" i="2" s="1"/>
  <c r="AK468" i="1"/>
  <c r="Y468" i="1"/>
  <c r="BB468" i="2"/>
  <c r="BL468" i="2" s="1"/>
  <c r="AK467" i="1"/>
  <c r="Y467" i="1"/>
  <c r="BB467" i="2"/>
  <c r="BL467" i="2" s="1"/>
  <c r="AK466" i="1"/>
  <c r="Y466" i="1"/>
  <c r="BB466" i="2"/>
  <c r="BL466" i="2" s="1"/>
  <c r="AK465" i="1"/>
  <c r="Y465" i="1"/>
  <c r="BB465" i="2"/>
  <c r="BL465" i="2" s="1"/>
  <c r="AK464" i="1"/>
  <c r="Y464" i="1"/>
  <c r="BB464" i="2"/>
  <c r="BL464" i="2" s="1"/>
  <c r="AK463" i="1"/>
  <c r="Y463" i="1"/>
  <c r="BB463" i="2"/>
  <c r="BL463" i="2" s="1"/>
  <c r="AK462" i="1"/>
  <c r="Y462" i="1"/>
  <c r="BB462" i="2"/>
  <c r="BL462" i="2" s="1"/>
  <c r="AK461" i="1"/>
  <c r="Y461" i="1"/>
  <c r="BB461" i="2"/>
  <c r="BL461" i="2" s="1"/>
  <c r="AK460" i="1"/>
  <c r="Y460" i="1"/>
  <c r="BB460" i="2"/>
  <c r="BL460" i="2" s="1"/>
  <c r="BB459" i="2"/>
  <c r="BL459" i="2" s="1"/>
  <c r="AK459" i="1"/>
  <c r="Y459" i="1"/>
  <c r="AK458" i="1"/>
  <c r="Y458" i="1"/>
  <c r="BB458" i="2"/>
  <c r="BL458" i="2" s="1"/>
  <c r="AK457" i="1"/>
  <c r="AM457" i="1" s="1"/>
  <c r="Y457" i="1"/>
  <c r="BB457" i="2"/>
  <c r="BL457" i="2" s="1"/>
  <c r="AK455" i="1"/>
  <c r="Y455" i="1"/>
  <c r="BB455" i="2"/>
  <c r="BL455" i="2" s="1"/>
  <c r="AK454" i="1"/>
  <c r="Y454" i="1"/>
  <c r="BB454" i="2"/>
  <c r="BL454" i="2" s="1"/>
  <c r="BB453" i="2"/>
  <c r="BL453" i="2" s="1"/>
  <c r="AK453" i="1"/>
  <c r="Y453" i="1"/>
  <c r="AK452" i="1"/>
  <c r="Y452" i="1"/>
  <c r="BB452" i="2"/>
  <c r="BL452" i="2" s="1"/>
  <c r="AK451" i="1"/>
  <c r="Y451" i="1"/>
  <c r="BB451" i="2"/>
  <c r="BL451" i="2" s="1"/>
  <c r="AK450" i="1"/>
  <c r="Y450" i="1"/>
  <c r="BB450" i="2"/>
  <c r="BL450" i="2" s="1"/>
  <c r="AK449" i="1"/>
  <c r="Y449" i="1"/>
  <c r="AM449" i="1" s="1"/>
  <c r="BB449" i="2"/>
  <c r="BL449" i="2" s="1"/>
  <c r="AK448" i="1"/>
  <c r="Y448" i="1"/>
  <c r="BB448" i="2"/>
  <c r="BL448" i="2" s="1"/>
  <c r="AK447" i="1"/>
  <c r="Y447" i="1"/>
  <c r="BB447" i="2"/>
  <c r="BL447" i="2" s="1"/>
  <c r="AK446" i="1"/>
  <c r="Y446" i="1"/>
  <c r="BB446" i="2"/>
  <c r="BL446" i="2" s="1"/>
  <c r="AK445" i="1"/>
  <c r="Y445" i="1"/>
  <c r="BB445" i="2"/>
  <c r="BL445" i="2" s="1"/>
  <c r="AK444" i="1"/>
  <c r="Y444" i="1"/>
  <c r="BB444" i="2"/>
  <c r="BL444" i="2" s="1"/>
  <c r="AK443" i="1"/>
  <c r="Y443" i="1"/>
  <c r="BB443" i="2"/>
  <c r="BL443" i="2" s="1"/>
  <c r="AK442" i="1"/>
  <c r="Y442" i="1"/>
  <c r="BB442" i="2"/>
  <c r="BL442" i="2" s="1"/>
  <c r="BB441" i="2"/>
  <c r="BL441" i="2" s="1"/>
  <c r="AK441" i="1"/>
  <c r="Y441" i="1"/>
  <c r="AK439" i="1"/>
  <c r="BB439" i="2"/>
  <c r="BL439" i="2" s="1"/>
  <c r="BB438" i="2"/>
  <c r="BL438" i="2" s="1"/>
  <c r="AK438" i="1"/>
  <c r="Y438" i="1"/>
  <c r="AK437" i="1"/>
  <c r="Y437" i="1"/>
  <c r="BB437" i="2"/>
  <c r="BL437" i="2" s="1"/>
  <c r="Y436" i="1"/>
  <c r="BB436" i="2"/>
  <c r="BL436" i="2" s="1"/>
  <c r="AK435" i="1"/>
  <c r="Y435" i="1"/>
  <c r="BB435" i="2"/>
  <c r="BL435" i="2" s="1"/>
  <c r="AK434" i="1"/>
  <c r="Y434" i="1"/>
  <c r="BB434" i="2"/>
  <c r="BL434" i="2" s="1"/>
  <c r="BB433" i="2"/>
  <c r="BL433" i="2" s="1"/>
  <c r="AK433" i="1"/>
  <c r="Y433" i="1"/>
  <c r="BB432" i="2"/>
  <c r="BL432" i="2" s="1"/>
  <c r="AK432" i="1"/>
  <c r="Y432" i="1"/>
  <c r="AK431" i="1"/>
  <c r="Y431" i="1"/>
  <c r="BB431" i="2"/>
  <c r="BL431" i="2" s="1"/>
  <c r="AK478" i="1"/>
  <c r="Y478" i="1"/>
  <c r="G567" i="16"/>
  <c r="AB567" i="16"/>
  <c r="G565" i="16"/>
  <c r="AB565" i="16"/>
  <c r="G564" i="16"/>
  <c r="AB564" i="16"/>
  <c r="G563" i="16"/>
  <c r="AB563" i="16"/>
  <c r="G562" i="16"/>
  <c r="AB562" i="16"/>
  <c r="G561" i="16"/>
  <c r="AB561" i="16"/>
  <c r="G560" i="16"/>
  <c r="AB560" i="16"/>
  <c r="G559" i="16"/>
  <c r="AB559" i="16"/>
  <c r="G558" i="16"/>
  <c r="AB558" i="16"/>
  <c r="G557" i="16"/>
  <c r="AB557" i="16"/>
  <c r="G556" i="16"/>
  <c r="AB556" i="16"/>
  <c r="G555" i="16"/>
  <c r="AB555" i="16"/>
  <c r="G554" i="16"/>
  <c r="AD554" i="16" s="1"/>
  <c r="AB554" i="16"/>
  <c r="G553" i="16"/>
  <c r="AB553" i="16"/>
  <c r="G552" i="16"/>
  <c r="AB552" i="16"/>
  <c r="G551" i="16"/>
  <c r="AB551" i="16"/>
  <c r="G550" i="16"/>
  <c r="AB550" i="16"/>
  <c r="G549" i="16"/>
  <c r="AB549" i="16"/>
  <c r="G548" i="16"/>
  <c r="AB548" i="16"/>
  <c r="G547" i="16"/>
  <c r="AB547" i="16"/>
  <c r="G546" i="16"/>
  <c r="AB546" i="16"/>
  <c r="G545" i="16"/>
  <c r="AD545" i="16" s="1"/>
  <c r="AB545" i="16"/>
  <c r="G544" i="16"/>
  <c r="AD544" i="16" s="1"/>
  <c r="AB544" i="16"/>
  <c r="G543" i="16"/>
  <c r="AB543" i="16"/>
  <c r="G542" i="16"/>
  <c r="AB542" i="16"/>
  <c r="G541" i="16"/>
  <c r="AB541" i="16"/>
  <c r="G540" i="16"/>
  <c r="AB540" i="16"/>
  <c r="G539" i="16"/>
  <c r="AB539" i="16"/>
  <c r="G537" i="16"/>
  <c r="AB537" i="16"/>
  <c r="G536" i="16"/>
  <c r="AB536" i="16"/>
  <c r="G535" i="16"/>
  <c r="AB535" i="16"/>
  <c r="G534" i="16"/>
  <c r="AB534" i="16"/>
  <c r="G533" i="16"/>
  <c r="AB533" i="16"/>
  <c r="G532" i="16"/>
  <c r="AB532" i="16"/>
  <c r="G531" i="16"/>
  <c r="AB531" i="16"/>
  <c r="G530" i="16"/>
  <c r="AB530" i="16"/>
  <c r="AB529" i="16"/>
  <c r="AB528" i="16"/>
  <c r="AB527" i="16"/>
  <c r="AB526" i="16"/>
  <c r="AB525" i="16"/>
  <c r="AB524" i="16"/>
  <c r="AB523" i="16"/>
  <c r="AB522" i="16"/>
  <c r="AB521" i="16"/>
  <c r="AB520" i="16"/>
  <c r="AB519" i="16"/>
  <c r="AB518" i="16"/>
  <c r="AB517" i="16"/>
  <c r="AB516" i="16"/>
  <c r="AB515" i="16"/>
  <c r="AB514" i="16"/>
  <c r="AB513" i="16"/>
  <c r="AB512" i="16"/>
  <c r="AB511" i="16"/>
  <c r="AB510" i="16"/>
  <c r="AB509" i="16"/>
  <c r="AB508" i="16"/>
  <c r="AB507" i="16"/>
  <c r="AB506" i="16"/>
  <c r="AB505" i="16"/>
  <c r="AB504" i="16"/>
  <c r="AB501" i="16"/>
  <c r="AB500" i="16"/>
  <c r="AB498" i="16"/>
  <c r="AB497" i="16"/>
  <c r="AB496" i="16"/>
  <c r="AB495" i="16"/>
  <c r="AB494" i="16"/>
  <c r="AB493" i="16"/>
  <c r="AB492" i="16"/>
  <c r="AB491" i="16"/>
  <c r="AB490" i="16"/>
  <c r="AB489" i="16"/>
  <c r="AB487" i="16"/>
  <c r="AB486" i="16"/>
  <c r="AB485" i="16"/>
  <c r="AB484" i="16"/>
  <c r="AB483" i="16"/>
  <c r="AB482" i="16"/>
  <c r="AB481" i="16"/>
  <c r="AB480" i="16"/>
  <c r="G479" i="16"/>
  <c r="AB479" i="16"/>
  <c r="G478" i="16"/>
  <c r="AB478" i="16"/>
  <c r="G477" i="16"/>
  <c r="AB477" i="16"/>
  <c r="G476" i="16"/>
  <c r="AD476" i="16" s="1"/>
  <c r="AB476" i="16"/>
  <c r="G475" i="16"/>
  <c r="AB475" i="16"/>
  <c r="G474" i="16"/>
  <c r="AB474" i="16"/>
  <c r="G473" i="16"/>
  <c r="AB473" i="16"/>
  <c r="G472" i="16"/>
  <c r="AB472" i="16"/>
  <c r="G471" i="16"/>
  <c r="AB471" i="16"/>
  <c r="G470" i="16"/>
  <c r="AB470" i="16"/>
  <c r="AB469" i="16"/>
  <c r="G468" i="16"/>
  <c r="AB468" i="16"/>
  <c r="G467" i="16"/>
  <c r="AB467" i="16"/>
  <c r="G466" i="16"/>
  <c r="AB466" i="16"/>
  <c r="G465" i="16"/>
  <c r="AB465" i="16"/>
  <c r="G464" i="16"/>
  <c r="AB464" i="16"/>
  <c r="G463" i="16"/>
  <c r="AB463" i="16"/>
  <c r="G462" i="16"/>
  <c r="AB462" i="16"/>
  <c r="G461" i="16"/>
  <c r="AD461" i="16" s="1"/>
  <c r="AB461" i="16"/>
  <c r="G460" i="16"/>
  <c r="AB460" i="16"/>
  <c r="G459" i="16"/>
  <c r="AD459" i="16" s="1"/>
  <c r="AB459" i="16"/>
  <c r="G458" i="16"/>
  <c r="AB458" i="16"/>
  <c r="G457" i="16"/>
  <c r="AB457" i="16"/>
  <c r="G455" i="16"/>
  <c r="AD455" i="16" s="1"/>
  <c r="AB455" i="16"/>
  <c r="G454" i="16"/>
  <c r="AB454" i="16"/>
  <c r="G453" i="16"/>
  <c r="AB453" i="16"/>
  <c r="G452" i="16"/>
  <c r="AB452" i="16"/>
  <c r="AB451" i="16"/>
  <c r="G450" i="16"/>
  <c r="AB450" i="16"/>
  <c r="G449" i="16"/>
  <c r="AB449" i="16"/>
  <c r="G448" i="16"/>
  <c r="AB448" i="16"/>
  <c r="G447" i="16"/>
  <c r="AB447" i="16"/>
  <c r="G446" i="16"/>
  <c r="AD446" i="16" s="1"/>
  <c r="AB446" i="16"/>
  <c r="G445" i="16"/>
  <c r="AB445" i="16"/>
  <c r="G444" i="16"/>
  <c r="AB444" i="16"/>
  <c r="G443" i="16"/>
  <c r="AB443" i="16"/>
  <c r="G442" i="16"/>
  <c r="AB442" i="16"/>
  <c r="G441" i="16"/>
  <c r="AB441" i="16"/>
  <c r="G439" i="16"/>
  <c r="AB439" i="16"/>
  <c r="G438" i="16"/>
  <c r="AB438" i="16"/>
  <c r="G437" i="16"/>
  <c r="AB437" i="16"/>
  <c r="G436" i="16"/>
  <c r="AB436" i="16"/>
  <c r="G435" i="16"/>
  <c r="AB435" i="16"/>
  <c r="G434" i="16"/>
  <c r="AB434" i="16"/>
  <c r="G433" i="16"/>
  <c r="AB433" i="16"/>
  <c r="G432" i="16"/>
  <c r="AB432" i="16"/>
  <c r="AB431" i="16"/>
  <c r="AK430" i="1"/>
  <c r="Y430" i="1"/>
  <c r="BB430" i="2"/>
  <c r="BL430" i="2" s="1"/>
  <c r="AK429" i="1"/>
  <c r="Y429" i="1"/>
  <c r="BB429" i="2"/>
  <c r="BL429" i="2" s="1"/>
  <c r="AK428" i="1"/>
  <c r="AK427" i="1"/>
  <c r="AK426" i="1"/>
  <c r="AK425" i="1"/>
  <c r="AM423" i="1"/>
  <c r="BN423" i="2" s="1"/>
  <c r="V387" i="10"/>
  <c r="V377" i="10"/>
  <c r="V428" i="10"/>
  <c r="V427" i="10"/>
  <c r="V426" i="10"/>
  <c r="V425" i="10"/>
  <c r="V424" i="10"/>
  <c r="V423" i="10"/>
  <c r="V422" i="10"/>
  <c r="V421" i="10"/>
  <c r="V420" i="10"/>
  <c r="V419" i="10"/>
  <c r="V418" i="10"/>
  <c r="V417" i="10"/>
  <c r="V416" i="10"/>
  <c r="V414" i="10"/>
  <c r="V412" i="10"/>
  <c r="V411" i="10"/>
  <c r="V410" i="10"/>
  <c r="V408" i="10"/>
  <c r="V407" i="10"/>
  <c r="V406" i="10"/>
  <c r="V405" i="10"/>
  <c r="V404" i="10"/>
  <c r="V403" i="10"/>
  <c r="V402" i="10"/>
  <c r="V401" i="10"/>
  <c r="V399" i="10"/>
  <c r="V398" i="10"/>
  <c r="V397" i="10"/>
  <c r="V396" i="10"/>
  <c r="V395" i="10"/>
  <c r="V394" i="10"/>
  <c r="V393" i="10"/>
  <c r="V392" i="10"/>
  <c r="V391" i="10"/>
  <c r="V390" i="10"/>
  <c r="V389" i="10"/>
  <c r="V388" i="10"/>
  <c r="V386" i="10"/>
  <c r="V385" i="10"/>
  <c r="V384" i="10"/>
  <c r="V383" i="10"/>
  <c r="V382" i="10"/>
  <c r="V381" i="10"/>
  <c r="V380" i="10"/>
  <c r="V379" i="10"/>
  <c r="V378" i="10"/>
  <c r="V376" i="10"/>
  <c r="V374" i="10"/>
  <c r="V373" i="10"/>
  <c r="V372" i="10"/>
  <c r="V375" i="10"/>
  <c r="V371" i="10"/>
  <c r="V370" i="10"/>
  <c r="V369" i="10"/>
  <c r="V368" i="10"/>
  <c r="V366" i="10"/>
  <c r="V329" i="10"/>
  <c r="V364" i="10"/>
  <c r="V363" i="10"/>
  <c r="V362" i="10"/>
  <c r="V361" i="10"/>
  <c r="V360" i="10"/>
  <c r="V359" i="10"/>
  <c r="V358" i="10"/>
  <c r="V357" i="10"/>
  <c r="V356" i="10"/>
  <c r="V355" i="10"/>
  <c r="V354" i="10"/>
  <c r="V353" i="10"/>
  <c r="V352" i="10"/>
  <c r="V351" i="10"/>
  <c r="V350" i="10"/>
  <c r="V349" i="10"/>
  <c r="V348" i="10"/>
  <c r="V347" i="10"/>
  <c r="V345" i="10"/>
  <c r="V344" i="10"/>
  <c r="V343" i="10"/>
  <c r="V342" i="10"/>
  <c r="V341" i="10"/>
  <c r="V340" i="10"/>
  <c r="V339" i="10"/>
  <c r="V338" i="10"/>
  <c r="V337" i="10"/>
  <c r="V336" i="10"/>
  <c r="V335" i="10"/>
  <c r="V334" i="10"/>
  <c r="V333" i="10"/>
  <c r="V332" i="10"/>
  <c r="V331" i="10"/>
  <c r="V330" i="10"/>
  <c r="V328" i="10"/>
  <c r="V326" i="10"/>
  <c r="V325" i="10"/>
  <c r="V324" i="10"/>
  <c r="V323" i="10"/>
  <c r="V322" i="10"/>
  <c r="V321" i="10"/>
  <c r="V320" i="10"/>
  <c r="V319" i="10"/>
  <c r="V317" i="10"/>
  <c r="V315" i="10"/>
  <c r="Y248" i="1"/>
  <c r="Y247" i="1"/>
  <c r="AK247" i="1"/>
  <c r="BB247" i="2"/>
  <c r="BL247" i="2" s="1"/>
  <c r="Y246" i="1"/>
  <c r="G244" i="16"/>
  <c r="Y242" i="1"/>
  <c r="Y241" i="1"/>
  <c r="Y239" i="1"/>
  <c r="Y237" i="1"/>
  <c r="Y230" i="1"/>
  <c r="AK230" i="1"/>
  <c r="BB230" i="2"/>
  <c r="BL230" i="2" s="1"/>
  <c r="AK248" i="1"/>
  <c r="BB248" i="2"/>
  <c r="BL248" i="2" s="1"/>
  <c r="AK246" i="1"/>
  <c r="BB246" i="2"/>
  <c r="BL246" i="2" s="1"/>
  <c r="Y245" i="1"/>
  <c r="AK245" i="1"/>
  <c r="BB245" i="2"/>
  <c r="BL245" i="2" s="1"/>
  <c r="AK244" i="1"/>
  <c r="BB244" i="2"/>
  <c r="BL244" i="2" s="1"/>
  <c r="Y243" i="1"/>
  <c r="AK243" i="1"/>
  <c r="AM243" i="1" s="1"/>
  <c r="BN243" i="2" s="1"/>
  <c r="BB243" i="2"/>
  <c r="BL243" i="2" s="1"/>
  <c r="AK242" i="1"/>
  <c r="BB242" i="2"/>
  <c r="BL242" i="2" s="1"/>
  <c r="AK241" i="1"/>
  <c r="AM241" i="1" s="1"/>
  <c r="BB241" i="2"/>
  <c r="BL241" i="2" s="1"/>
  <c r="AK240" i="1"/>
  <c r="Y240" i="1"/>
  <c r="AK239" i="1"/>
  <c r="BB239" i="2"/>
  <c r="BL239" i="2" s="1"/>
  <c r="Y238" i="1"/>
  <c r="AK238" i="1"/>
  <c r="BB238" i="2"/>
  <c r="BL238" i="2" s="1"/>
  <c r="AK237" i="1"/>
  <c r="BB237" i="2"/>
  <c r="BL237" i="2" s="1"/>
  <c r="AK236" i="1"/>
  <c r="Y236" i="1"/>
  <c r="BB236" i="2"/>
  <c r="BL236" i="2" s="1"/>
  <c r="Y235" i="1"/>
  <c r="AK235" i="1"/>
  <c r="BB235" i="2"/>
  <c r="BL235" i="2" s="1"/>
  <c r="Y234" i="1"/>
  <c r="AK234" i="1"/>
  <c r="BB234" i="2"/>
  <c r="BL234" i="2" s="1"/>
  <c r="Y233" i="1"/>
  <c r="AK233" i="1"/>
  <c r="BB233" i="2"/>
  <c r="BL233" i="2" s="1"/>
  <c r="AK232" i="1"/>
  <c r="BB232" i="2"/>
  <c r="BL232" i="2" s="1"/>
  <c r="AK231" i="1"/>
  <c r="AM231" i="1" s="1"/>
  <c r="BN231" i="2" s="1"/>
  <c r="Y229" i="1"/>
  <c r="AK229" i="1"/>
  <c r="BB229" i="2"/>
  <c r="BL229" i="2" s="1"/>
  <c r="BB228" i="2"/>
  <c r="BL228" i="2" s="1"/>
  <c r="AK228" i="1"/>
  <c r="Y228" i="1"/>
  <c r="AK227" i="1"/>
  <c r="Y227" i="1"/>
  <c r="BB227" i="2"/>
  <c r="BL227" i="2" s="1"/>
  <c r="BB226" i="2"/>
  <c r="BL226" i="2" s="1"/>
  <c r="AK226" i="1"/>
  <c r="Y226" i="1"/>
  <c r="V365" i="10"/>
  <c r="S365" i="10"/>
  <c r="S364" i="10"/>
  <c r="S363" i="10"/>
  <c r="S362" i="10"/>
  <c r="S361" i="10"/>
  <c r="S360" i="10"/>
  <c r="S359" i="10"/>
  <c r="S358" i="10"/>
  <c r="S357" i="10"/>
  <c r="S356" i="10"/>
  <c r="S355" i="10"/>
  <c r="S354" i="10"/>
  <c r="AK365" i="1"/>
  <c r="Y365" i="1"/>
  <c r="BB365" i="2"/>
  <c r="BL365" i="2" s="1"/>
  <c r="AK364" i="1"/>
  <c r="Y364" i="1"/>
  <c r="BB364" i="2"/>
  <c r="BL364" i="2" s="1"/>
  <c r="AK363" i="1"/>
  <c r="Y363" i="1"/>
  <c r="BB363" i="2"/>
  <c r="BL363" i="2" s="1"/>
  <c r="AK362" i="1"/>
  <c r="Y362" i="1"/>
  <c r="BB362" i="2"/>
  <c r="BL362" i="2" s="1"/>
  <c r="AK361" i="1"/>
  <c r="Y361" i="1"/>
  <c r="BB361" i="2"/>
  <c r="BL361" i="2" s="1"/>
  <c r="AK360" i="1"/>
  <c r="Y360" i="1"/>
  <c r="BB360" i="2"/>
  <c r="BL360" i="2" s="1"/>
  <c r="AK359" i="1"/>
  <c r="Y359" i="1"/>
  <c r="BB359" i="2"/>
  <c r="BL359" i="2" s="1"/>
  <c r="AK358" i="1"/>
  <c r="Y358" i="1"/>
  <c r="BB358" i="2"/>
  <c r="BL358" i="2" s="1"/>
  <c r="AK357" i="1"/>
  <c r="Y357" i="1"/>
  <c r="BB357" i="2"/>
  <c r="BL357" i="2" s="1"/>
  <c r="AK356" i="1"/>
  <c r="Y356" i="1"/>
  <c r="BB356" i="2"/>
  <c r="BL356" i="2" s="1"/>
  <c r="AK355" i="1"/>
  <c r="Y355" i="1"/>
  <c r="BB355" i="2"/>
  <c r="BL355" i="2" s="1"/>
  <c r="AK354" i="1"/>
  <c r="Y354" i="1"/>
  <c r="BB354" i="2"/>
  <c r="BL354" i="2" s="1"/>
  <c r="Y353" i="1"/>
  <c r="AK353" i="1"/>
  <c r="BB353" i="2"/>
  <c r="BL353" i="2" s="1"/>
  <c r="Y352" i="1"/>
  <c r="AK352" i="1"/>
  <c r="BB352" i="2"/>
  <c r="BL352" i="2" s="1"/>
  <c r="AK351" i="1"/>
  <c r="Y351" i="1"/>
  <c r="BB351" i="2"/>
  <c r="BL351" i="2" s="1"/>
  <c r="AK350" i="1"/>
  <c r="AM350" i="1" s="1"/>
  <c r="Y350" i="1"/>
  <c r="BB350" i="2"/>
  <c r="BL350" i="2" s="1"/>
  <c r="Y349" i="1"/>
  <c r="AK349" i="1"/>
  <c r="BB349" i="2"/>
  <c r="BL349" i="2" s="1"/>
  <c r="Y348" i="1"/>
  <c r="AK348" i="1"/>
  <c r="BB348" i="2"/>
  <c r="BL348" i="2" s="1"/>
  <c r="Y347" i="1"/>
  <c r="AK347" i="1"/>
  <c r="BB347" i="2"/>
  <c r="BL347" i="2" s="1"/>
  <c r="Y345" i="1"/>
  <c r="AK345" i="1"/>
  <c r="BB345" i="2"/>
  <c r="BL345" i="2" s="1"/>
  <c r="Y344" i="1"/>
  <c r="AK344" i="1"/>
  <c r="BB344" i="2"/>
  <c r="BL344" i="2" s="1"/>
  <c r="Y343" i="1"/>
  <c r="AK343" i="1"/>
  <c r="BB343" i="2"/>
  <c r="BL343" i="2" s="1"/>
  <c r="Y342" i="1"/>
  <c r="AK342" i="1"/>
  <c r="BB342" i="2"/>
  <c r="BL342" i="2" s="1"/>
  <c r="Y341" i="1"/>
  <c r="AK341" i="1"/>
  <c r="BB341" i="2"/>
  <c r="BL341" i="2" s="1"/>
  <c r="Y340" i="1"/>
  <c r="AK340" i="1"/>
  <c r="BB340" i="2"/>
  <c r="BL340" i="2" s="1"/>
  <c r="Y339" i="1"/>
  <c r="AK339" i="1"/>
  <c r="BB339" i="2"/>
  <c r="BL339" i="2" s="1"/>
  <c r="AK338" i="1"/>
  <c r="Y338" i="1"/>
  <c r="BB338" i="2"/>
  <c r="BL338" i="2" s="1"/>
  <c r="AK337" i="1"/>
  <c r="Y337" i="1"/>
  <c r="BB337" i="2"/>
  <c r="BL337" i="2" s="1"/>
  <c r="W365" i="16"/>
  <c r="G365" i="16"/>
  <c r="W364" i="16"/>
  <c r="G364" i="16"/>
  <c r="W363" i="16"/>
  <c r="G363" i="16"/>
  <c r="W362" i="16"/>
  <c r="G362" i="16"/>
  <c r="W361" i="16"/>
  <c r="G361" i="16"/>
  <c r="W360" i="16"/>
  <c r="G360" i="16"/>
  <c r="W359" i="16"/>
  <c r="G359" i="16"/>
  <c r="W358" i="16"/>
  <c r="G358" i="16"/>
  <c r="AD358" i="16" s="1"/>
  <c r="W357" i="16"/>
  <c r="G357" i="16"/>
  <c r="W356" i="16"/>
  <c r="G356" i="16"/>
  <c r="W355" i="16"/>
  <c r="G355" i="16"/>
  <c r="W354" i="16"/>
  <c r="G354" i="16"/>
  <c r="AB354" i="16"/>
  <c r="AB355" i="16"/>
  <c r="AB356" i="16"/>
  <c r="AB357" i="16"/>
  <c r="AB358" i="16"/>
  <c r="AB359" i="16"/>
  <c r="AB360" i="16"/>
  <c r="AB361" i="16"/>
  <c r="AB362" i="16"/>
  <c r="AB363" i="16"/>
  <c r="AB364" i="16"/>
  <c r="AB365" i="16"/>
  <c r="V248" i="10"/>
  <c r="V247" i="10"/>
  <c r="V246" i="10"/>
  <c r="V245" i="10"/>
  <c r="V244" i="10"/>
  <c r="V243" i="10"/>
  <c r="V242" i="10"/>
  <c r="V241" i="10"/>
  <c r="V240" i="10"/>
  <c r="V239" i="10"/>
  <c r="V238" i="10"/>
  <c r="V237" i="10"/>
  <c r="V236" i="10"/>
  <c r="V235" i="10"/>
  <c r="V234" i="10"/>
  <c r="V233" i="10"/>
  <c r="V232" i="10"/>
  <c r="V230" i="10"/>
  <c r="V229" i="10"/>
  <c r="V228" i="10"/>
  <c r="V227" i="10"/>
  <c r="V226" i="10"/>
  <c r="V224" i="10"/>
  <c r="V223" i="10"/>
  <c r="V222" i="10"/>
  <c r="V221" i="10"/>
  <c r="V220" i="10"/>
  <c r="V219" i="10"/>
  <c r="Y218" i="1"/>
  <c r="AK218" i="1"/>
  <c r="BB218" i="2"/>
  <c r="BL218" i="2" s="1"/>
  <c r="AK217" i="1"/>
  <c r="Y217" i="1"/>
  <c r="BB217" i="2"/>
  <c r="BL217" i="2" s="1"/>
  <c r="V218" i="10"/>
  <c r="V217" i="10"/>
  <c r="V216" i="10"/>
  <c r="W217" i="16"/>
  <c r="AD217" i="16" s="1"/>
  <c r="G216" i="16"/>
  <c r="W216" i="16"/>
  <c r="AD216" i="16" s="1"/>
  <c r="AB216" i="16"/>
  <c r="G212" i="16"/>
  <c r="W212" i="16"/>
  <c r="AB212" i="16"/>
  <c r="BL202" i="2"/>
  <c r="AK202" i="1"/>
  <c r="V177" i="10"/>
  <c r="AK177" i="1"/>
  <c r="AM177" i="1" s="1"/>
  <c r="G177" i="16"/>
  <c r="AB177" i="16"/>
  <c r="AK196" i="1"/>
  <c r="BL196" i="2"/>
  <c r="BV197" i="2" s="1"/>
  <c r="BX197" i="2" s="1"/>
  <c r="AK195" i="1"/>
  <c r="BL195" i="2"/>
  <c r="AK194" i="1"/>
  <c r="AM194" i="1" s="1"/>
  <c r="AK193" i="1"/>
  <c r="AK192" i="1"/>
  <c r="AK191" i="1"/>
  <c r="AK190" i="1"/>
  <c r="AM190" i="1" s="1"/>
  <c r="AM189" i="1"/>
  <c r="BN189" i="2" s="1"/>
  <c r="AM187" i="1"/>
  <c r="AK185" i="1"/>
  <c r="BL185" i="2"/>
  <c r="AK184" i="1"/>
  <c r="BL184" i="2"/>
  <c r="AK183" i="1"/>
  <c r="AK182" i="1"/>
  <c r="AM182" i="1" s="1"/>
  <c r="AK181" i="1"/>
  <c r="BL181" i="2"/>
  <c r="AK180" i="1"/>
  <c r="BL180" i="2"/>
  <c r="AK179" i="1"/>
  <c r="AM179" i="1" s="1"/>
  <c r="BN179" i="2" s="1"/>
  <c r="AK178" i="1"/>
  <c r="AK176" i="1"/>
  <c r="BL176" i="2"/>
  <c r="AK175" i="1"/>
  <c r="Y175" i="1"/>
  <c r="BB175" i="2"/>
  <c r="BL175" i="2" s="1"/>
  <c r="AK174" i="1"/>
  <c r="AM174" i="1" s="1"/>
  <c r="BL174" i="2"/>
  <c r="AK173" i="1"/>
  <c r="AM173" i="1" s="1"/>
  <c r="BN173" i="2" s="1"/>
  <c r="V215" i="10"/>
  <c r="V214" i="10"/>
  <c r="V213" i="10"/>
  <c r="V212" i="10"/>
  <c r="V210" i="10"/>
  <c r="V209" i="10"/>
  <c r="V207" i="10"/>
  <c r="V206" i="10"/>
  <c r="V205" i="10"/>
  <c r="V204" i="10"/>
  <c r="V203" i="10"/>
  <c r="V202" i="10"/>
  <c r="V201" i="10"/>
  <c r="V200" i="10"/>
  <c r="V196" i="10"/>
  <c r="V195" i="10"/>
  <c r="V194" i="10"/>
  <c r="V193" i="10"/>
  <c r="V192" i="10"/>
  <c r="V191" i="10"/>
  <c r="V190" i="10"/>
  <c r="V185" i="10"/>
  <c r="V184" i="10"/>
  <c r="V178" i="10"/>
  <c r="V176" i="10"/>
  <c r="V175" i="10"/>
  <c r="V169" i="10"/>
  <c r="V168" i="10"/>
  <c r="V167" i="10"/>
  <c r="V166" i="10"/>
  <c r="V163" i="10"/>
  <c r="V162" i="10"/>
  <c r="V161" i="10"/>
  <c r="V160" i="10"/>
  <c r="V156" i="10"/>
  <c r="V155" i="10"/>
  <c r="V154" i="10"/>
  <c r="V153" i="10"/>
  <c r="V152" i="10"/>
  <c r="V148" i="10"/>
  <c r="V147" i="10"/>
  <c r="V144" i="10"/>
  <c r="V143" i="10"/>
  <c r="V592" i="10"/>
  <c r="V591" i="10"/>
  <c r="V590" i="10"/>
  <c r="V618" i="10"/>
  <c r="V617" i="10"/>
  <c r="V616" i="10"/>
  <c r="V615" i="10"/>
  <c r="V614" i="10"/>
  <c r="V613" i="10"/>
  <c r="V612" i="10"/>
  <c r="V611" i="10"/>
  <c r="V610" i="10"/>
  <c r="V609" i="10"/>
  <c r="V608" i="10"/>
  <c r="V607" i="10"/>
  <c r="V606" i="10"/>
  <c r="V605" i="10"/>
  <c r="V604" i="10"/>
  <c r="V603" i="10"/>
  <c r="V602" i="10"/>
  <c r="V601" i="10"/>
  <c r="V600" i="10"/>
  <c r="V599" i="10"/>
  <c r="V598" i="10"/>
  <c r="V597" i="10"/>
  <c r="V596" i="10"/>
  <c r="V595" i="10"/>
  <c r="V594" i="10"/>
  <c r="V593" i="10"/>
  <c r="V589" i="10"/>
  <c r="V588" i="10"/>
  <c r="V587" i="10"/>
  <c r="V585" i="10"/>
  <c r="V584" i="10"/>
  <c r="V583" i="10"/>
  <c r="V582" i="10"/>
  <c r="V581" i="10"/>
  <c r="V580" i="10"/>
  <c r="V579" i="10"/>
  <c r="V578" i="10"/>
  <c r="V577" i="10"/>
  <c r="V576" i="10"/>
  <c r="V575" i="10"/>
  <c r="V574" i="10"/>
  <c r="V573" i="10"/>
  <c r="V572" i="10"/>
  <c r="V571" i="10"/>
  <c r="V570" i="10"/>
  <c r="V569" i="10"/>
  <c r="V568" i="10"/>
  <c r="S618" i="10"/>
  <c r="S617" i="10"/>
  <c r="S616" i="10"/>
  <c r="S615" i="10"/>
  <c r="S614" i="10"/>
  <c r="S613" i="10"/>
  <c r="S612" i="10"/>
  <c r="S611" i="10"/>
  <c r="S610" i="10"/>
  <c r="S609" i="10"/>
  <c r="S608" i="10"/>
  <c r="S607" i="10"/>
  <c r="S606" i="10"/>
  <c r="S605" i="10"/>
  <c r="S604" i="10"/>
  <c r="S603" i="10"/>
  <c r="S602" i="10"/>
  <c r="S601" i="10"/>
  <c r="S600" i="10"/>
  <c r="S599" i="10"/>
  <c r="S598" i="10"/>
  <c r="S597" i="10"/>
  <c r="S596" i="10"/>
  <c r="S595" i="10"/>
  <c r="S594" i="10"/>
  <c r="S593" i="10"/>
  <c r="S592" i="10"/>
  <c r="S591" i="10"/>
  <c r="S590" i="10"/>
  <c r="S589" i="10"/>
  <c r="S588" i="10"/>
  <c r="S587" i="10"/>
  <c r="S585" i="10"/>
  <c r="S584" i="10"/>
  <c r="S583" i="10"/>
  <c r="S582" i="10"/>
  <c r="S581" i="10"/>
  <c r="S580" i="10"/>
  <c r="S579" i="10"/>
  <c r="S578" i="10"/>
  <c r="S577" i="10"/>
  <c r="S576" i="10"/>
  <c r="S575" i="10"/>
  <c r="S574" i="10"/>
  <c r="S573" i="10"/>
  <c r="S572" i="10"/>
  <c r="S571" i="10"/>
  <c r="S570" i="10"/>
  <c r="S569" i="10"/>
  <c r="S568" i="10"/>
  <c r="AK618" i="1"/>
  <c r="Y618" i="1"/>
  <c r="BB618" i="2"/>
  <c r="BL618" i="2" s="1"/>
  <c r="AK617" i="1"/>
  <c r="Y617" i="1"/>
  <c r="BB617" i="2"/>
  <c r="BL617" i="2" s="1"/>
  <c r="AK616" i="1"/>
  <c r="Y616" i="1"/>
  <c r="BB616" i="2"/>
  <c r="BL616" i="2" s="1"/>
  <c r="AK615" i="1"/>
  <c r="Y615" i="1"/>
  <c r="BB615" i="2"/>
  <c r="BL615" i="2" s="1"/>
  <c r="AK614" i="1"/>
  <c r="Y614" i="1"/>
  <c r="BB614" i="2"/>
  <c r="BL614" i="2" s="1"/>
  <c r="AK613" i="1"/>
  <c r="Y613" i="1"/>
  <c r="BB613" i="2"/>
  <c r="BL613" i="2" s="1"/>
  <c r="BB612" i="2"/>
  <c r="BL612" i="2" s="1"/>
  <c r="AK612" i="1"/>
  <c r="Y612" i="1"/>
  <c r="AK611" i="1"/>
  <c r="Y611" i="1"/>
  <c r="BB611" i="2"/>
  <c r="BL611" i="2" s="1"/>
  <c r="AK610" i="1"/>
  <c r="Y610" i="1"/>
  <c r="BB610" i="2"/>
  <c r="BL610" i="2" s="1"/>
  <c r="AK609" i="1"/>
  <c r="AM609" i="1" s="1"/>
  <c r="Y609" i="1"/>
  <c r="BB609" i="2"/>
  <c r="BL609" i="2" s="1"/>
  <c r="AK608" i="1"/>
  <c r="Y608" i="1"/>
  <c r="BB608" i="2"/>
  <c r="BL608" i="2" s="1"/>
  <c r="AK607" i="1"/>
  <c r="Y607" i="1"/>
  <c r="BB607" i="2"/>
  <c r="BL607" i="2" s="1"/>
  <c r="AK606" i="1"/>
  <c r="Y606" i="1"/>
  <c r="BB606" i="2"/>
  <c r="BL606" i="2" s="1"/>
  <c r="AK605" i="1"/>
  <c r="Y605" i="1"/>
  <c r="BB605" i="2"/>
  <c r="BL605" i="2" s="1"/>
  <c r="AK604" i="1"/>
  <c r="Y604" i="1"/>
  <c r="BB604" i="2"/>
  <c r="BL604" i="2" s="1"/>
  <c r="AK603" i="1"/>
  <c r="Y603" i="1"/>
  <c r="BB603" i="2"/>
  <c r="BL603" i="2" s="1"/>
  <c r="AK602" i="1"/>
  <c r="Y602" i="1"/>
  <c r="BB602" i="2"/>
  <c r="BL602" i="2" s="1"/>
  <c r="AK601" i="1"/>
  <c r="Y601" i="1"/>
  <c r="BB601" i="2"/>
  <c r="BL601" i="2" s="1"/>
  <c r="AK600" i="1"/>
  <c r="Y600" i="1"/>
  <c r="BB600" i="2"/>
  <c r="BL600" i="2" s="1"/>
  <c r="AK599" i="1"/>
  <c r="Y599" i="1"/>
  <c r="BB599" i="2"/>
  <c r="BL599" i="2" s="1"/>
  <c r="AK598" i="1"/>
  <c r="Y598" i="1"/>
  <c r="BB598" i="2"/>
  <c r="BL598" i="2" s="1"/>
  <c r="BB597" i="2"/>
  <c r="BL597" i="2" s="1"/>
  <c r="AK597" i="1"/>
  <c r="Y597" i="1"/>
  <c r="AK596" i="1"/>
  <c r="Y596" i="1"/>
  <c r="BB596" i="2"/>
  <c r="BL596" i="2" s="1"/>
  <c r="AK595" i="1"/>
  <c r="Y595" i="1"/>
  <c r="BB595" i="2"/>
  <c r="BL595" i="2" s="1"/>
  <c r="AK594" i="1"/>
  <c r="Y594" i="1"/>
  <c r="BB594" i="2"/>
  <c r="BL594" i="2" s="1"/>
  <c r="AK593" i="1"/>
  <c r="Y593" i="1"/>
  <c r="BB593" i="2"/>
  <c r="BL593" i="2" s="1"/>
  <c r="AK592" i="1"/>
  <c r="Y592" i="1"/>
  <c r="BB592" i="2"/>
  <c r="BL592" i="2" s="1"/>
  <c r="AK591" i="1"/>
  <c r="Y591" i="1"/>
  <c r="BB591" i="2"/>
  <c r="BL591" i="2" s="1"/>
  <c r="AK590" i="1"/>
  <c r="Y590" i="1"/>
  <c r="BB590" i="2"/>
  <c r="BL590" i="2" s="1"/>
  <c r="AK589" i="1"/>
  <c r="Y589" i="1"/>
  <c r="BB589" i="2"/>
  <c r="BL589" i="2" s="1"/>
  <c r="AK588" i="1"/>
  <c r="Y588" i="1"/>
  <c r="BB588" i="2"/>
  <c r="BL588" i="2" s="1"/>
  <c r="AK587" i="1"/>
  <c r="Y587" i="1"/>
  <c r="BB587" i="2"/>
  <c r="BL587" i="2" s="1"/>
  <c r="AK585" i="1"/>
  <c r="BL584" i="2"/>
  <c r="AK584" i="1"/>
  <c r="AK583" i="1"/>
  <c r="AM583" i="1" s="1"/>
  <c r="AK582" i="1"/>
  <c r="AM582" i="1" s="1"/>
  <c r="AK581" i="1"/>
  <c r="AK580" i="1"/>
  <c r="AM580" i="1" s="1"/>
  <c r="BL580" i="2"/>
  <c r="AK579" i="1"/>
  <c r="AK578" i="1"/>
  <c r="AM578" i="1" s="1"/>
  <c r="BL578" i="2"/>
  <c r="AK577" i="1"/>
  <c r="BL577" i="2"/>
  <c r="AK576" i="1"/>
  <c r="BL576" i="2"/>
  <c r="AK575" i="1"/>
  <c r="AK574" i="1"/>
  <c r="AM574" i="1" s="1"/>
  <c r="AK573" i="1"/>
  <c r="AK572" i="1"/>
  <c r="BL572" i="2"/>
  <c r="AK571" i="1"/>
  <c r="AK569" i="1"/>
  <c r="AK568" i="1"/>
  <c r="AK570" i="1"/>
  <c r="G618" i="16"/>
  <c r="AB618" i="16"/>
  <c r="G617" i="16"/>
  <c r="AD617" i="16" s="1"/>
  <c r="AB617" i="16"/>
  <c r="G616" i="16"/>
  <c r="AB616" i="16"/>
  <c r="G615" i="16"/>
  <c r="AB615" i="16"/>
  <c r="G614" i="16"/>
  <c r="AB614" i="16"/>
  <c r="G613" i="16"/>
  <c r="AB613" i="16"/>
  <c r="G612" i="16"/>
  <c r="AB612" i="16"/>
  <c r="G611" i="16"/>
  <c r="AB611" i="16"/>
  <c r="G610" i="16"/>
  <c r="AB610" i="16"/>
  <c r="G609" i="16"/>
  <c r="AD609" i="16" s="1"/>
  <c r="AB609" i="16"/>
  <c r="G608" i="16"/>
  <c r="AB608" i="16"/>
  <c r="G607" i="16"/>
  <c r="AB607" i="16"/>
  <c r="G606" i="16"/>
  <c r="AB606" i="16"/>
  <c r="G605" i="16"/>
  <c r="AB605" i="16"/>
  <c r="G604" i="16"/>
  <c r="AB604" i="16"/>
  <c r="G603" i="16"/>
  <c r="AB603" i="16"/>
  <c r="G602" i="16"/>
  <c r="AB602" i="16"/>
  <c r="G601" i="16"/>
  <c r="AB601" i="16"/>
  <c r="G600" i="16"/>
  <c r="AD600" i="16" s="1"/>
  <c r="AB600" i="16"/>
  <c r="G599" i="16"/>
  <c r="AB599" i="16"/>
  <c r="G598" i="16"/>
  <c r="AB598" i="16"/>
  <c r="AB597" i="16"/>
  <c r="AB596" i="16"/>
  <c r="G595" i="16"/>
  <c r="AB595" i="16"/>
  <c r="G594" i="16"/>
  <c r="AD594" i="16" s="1"/>
  <c r="AB594" i="16"/>
  <c r="G593" i="16"/>
  <c r="AB593" i="16"/>
  <c r="G592" i="16"/>
  <c r="AB592" i="16"/>
  <c r="G591" i="16"/>
  <c r="AB591" i="16"/>
  <c r="G590" i="16"/>
  <c r="AB590" i="16"/>
  <c r="G589" i="16"/>
  <c r="AB589" i="16"/>
  <c r="G588" i="16"/>
  <c r="AB588" i="16"/>
  <c r="G587" i="16"/>
  <c r="AD587" i="16" s="1"/>
  <c r="AB587" i="16"/>
  <c r="AB585" i="16"/>
  <c r="AB584" i="16"/>
  <c r="AB583" i="16"/>
  <c r="AB582" i="16"/>
  <c r="AB581" i="16"/>
  <c r="AB580" i="16"/>
  <c r="AB579" i="16"/>
  <c r="AB578" i="16"/>
  <c r="AB577" i="16"/>
  <c r="AB576" i="16"/>
  <c r="AB575" i="16"/>
  <c r="AB574" i="16"/>
  <c r="AB573" i="16"/>
  <c r="AB572" i="16"/>
  <c r="AB571" i="16"/>
  <c r="AB570" i="16"/>
  <c r="AB569" i="16"/>
  <c r="AB568" i="16"/>
  <c r="V313" i="10"/>
  <c r="V312" i="10"/>
  <c r="V311" i="10"/>
  <c r="V310" i="10"/>
  <c r="V309" i="10"/>
  <c r="V308" i="10"/>
  <c r="V307" i="10"/>
  <c r="V306" i="10"/>
  <c r="V305" i="10"/>
  <c r="V304" i="10"/>
  <c r="V294" i="10"/>
  <c r="V293" i="10"/>
  <c r="V289" i="10"/>
  <c r="V292" i="10"/>
  <c r="S310" i="10"/>
  <c r="S309" i="10"/>
  <c r="S308" i="10"/>
  <c r="S307" i="10"/>
  <c r="S306" i="10"/>
  <c r="S305" i="10"/>
  <c r="S304" i="10"/>
  <c r="S303" i="10"/>
  <c r="S302" i="10"/>
  <c r="S301" i="10"/>
  <c r="S300" i="10"/>
  <c r="S299" i="10"/>
  <c r="S294" i="10"/>
  <c r="S293" i="10"/>
  <c r="S289" i="10"/>
  <c r="S292" i="10"/>
  <c r="V290" i="10"/>
  <c r="V288" i="10"/>
  <c r="V287" i="10"/>
  <c r="V285" i="10"/>
  <c r="V284" i="10"/>
  <c r="V283" i="10"/>
  <c r="V282" i="10"/>
  <c r="V281" i="10"/>
  <c r="V280" i="10"/>
  <c r="V279" i="10"/>
  <c r="V278" i="10"/>
  <c r="S290" i="10"/>
  <c r="S288" i="10"/>
  <c r="S287" i="10"/>
  <c r="S285" i="10"/>
  <c r="S284" i="10"/>
  <c r="S283" i="10"/>
  <c r="S282" i="10"/>
  <c r="S281" i="10"/>
  <c r="S280" i="10"/>
  <c r="S279" i="10"/>
  <c r="S278" i="10"/>
  <c r="S277" i="10"/>
  <c r="S274" i="10"/>
  <c r="S273" i="10"/>
  <c r="S272" i="10"/>
  <c r="S271" i="10"/>
  <c r="Y313" i="1"/>
  <c r="AK313" i="1"/>
  <c r="BB313" i="2"/>
  <c r="BL313" i="2" s="1"/>
  <c r="Y312" i="1"/>
  <c r="AK312" i="1"/>
  <c r="BB312" i="2"/>
  <c r="BL312" i="2" s="1"/>
  <c r="Y311" i="1"/>
  <c r="AK311" i="1"/>
  <c r="BB311" i="2"/>
  <c r="BL311" i="2" s="1"/>
  <c r="AK310" i="1"/>
  <c r="Y310" i="1"/>
  <c r="BB310" i="2"/>
  <c r="BL310" i="2" s="1"/>
  <c r="AK309" i="1"/>
  <c r="Y309" i="1"/>
  <c r="BB309" i="2"/>
  <c r="BL309" i="2" s="1"/>
  <c r="AK308" i="1"/>
  <c r="Y308" i="1"/>
  <c r="BB308" i="2"/>
  <c r="BL308" i="2" s="1"/>
  <c r="AK307" i="1"/>
  <c r="Y307" i="1"/>
  <c r="BB307" i="2"/>
  <c r="BL307" i="2" s="1"/>
  <c r="AK306" i="1"/>
  <c r="Y306" i="1"/>
  <c r="BB306" i="2"/>
  <c r="BL306" i="2" s="1"/>
  <c r="AK305" i="1"/>
  <c r="Y305" i="1"/>
  <c r="AK304" i="1"/>
  <c r="Y304" i="1"/>
  <c r="BB304" i="2"/>
  <c r="BL304" i="2" s="1"/>
  <c r="AK303" i="1"/>
  <c r="Y303" i="1"/>
  <c r="BB303" i="2"/>
  <c r="BL303" i="2" s="1"/>
  <c r="AK302" i="1"/>
  <c r="Y302" i="1"/>
  <c r="BB302" i="2"/>
  <c r="BL302" i="2" s="1"/>
  <c r="AK301" i="1"/>
  <c r="Y301" i="1"/>
  <c r="BB301" i="2"/>
  <c r="BL301" i="2" s="1"/>
  <c r="AK300" i="1"/>
  <c r="Y300" i="1"/>
  <c r="BB300" i="2"/>
  <c r="BL300" i="2" s="1"/>
  <c r="AK299" i="1"/>
  <c r="Y299" i="1"/>
  <c r="BB299" i="2"/>
  <c r="BL299" i="2" s="1"/>
  <c r="AK298" i="1"/>
  <c r="Y298" i="1"/>
  <c r="BB298" i="2"/>
  <c r="BL298" i="2" s="1"/>
  <c r="AK294" i="1"/>
  <c r="Y294" i="1"/>
  <c r="BB294" i="2"/>
  <c r="BL294" i="2" s="1"/>
  <c r="AK293" i="1"/>
  <c r="Y293" i="1"/>
  <c r="BB293" i="2"/>
  <c r="BL293" i="2" s="1"/>
  <c r="AK289" i="1"/>
  <c r="Y289" i="1"/>
  <c r="BB289" i="2"/>
  <c r="BL289" i="2" s="1"/>
  <c r="AK292" i="1"/>
  <c r="Y292" i="1"/>
  <c r="BB292" i="2"/>
  <c r="BL292" i="2" s="1"/>
  <c r="AK291" i="1"/>
  <c r="Y291" i="1"/>
  <c r="BB291" i="2"/>
  <c r="BL291" i="2" s="1"/>
  <c r="AK290" i="1"/>
  <c r="Y290" i="1"/>
  <c r="BB290" i="2"/>
  <c r="BL290" i="2" s="1"/>
  <c r="Y317" i="1"/>
  <c r="AK317" i="1"/>
  <c r="BB317" i="2"/>
  <c r="BL317" i="2" s="1"/>
  <c r="Y315" i="1"/>
  <c r="AK315" i="1"/>
  <c r="BL315" i="2"/>
  <c r="AK288" i="1"/>
  <c r="Y288" i="1"/>
  <c r="BB288" i="2"/>
  <c r="BL288" i="2" s="1"/>
  <c r="AK285" i="1"/>
  <c r="Y285" i="1"/>
  <c r="BB285" i="2"/>
  <c r="BL285" i="2" s="1"/>
  <c r="AK283" i="1"/>
  <c r="Y283" i="1"/>
  <c r="BB283" i="2"/>
  <c r="BL283" i="2" s="1"/>
  <c r="AK282" i="1"/>
  <c r="Y282" i="1"/>
  <c r="BB282" i="2"/>
  <c r="BL282" i="2" s="1"/>
  <c r="AK281" i="1"/>
  <c r="Y281" i="1"/>
  <c r="BB281" i="2"/>
  <c r="BL281" i="2" s="1"/>
  <c r="AK280" i="1"/>
  <c r="Y280" i="1"/>
  <c r="BB280" i="2"/>
  <c r="BL280" i="2" s="1"/>
  <c r="AK279" i="1"/>
  <c r="Y279" i="1"/>
  <c r="BB279" i="2"/>
  <c r="BL279" i="2" s="1"/>
  <c r="AK278" i="1"/>
  <c r="Y278" i="1"/>
  <c r="BB278" i="2"/>
  <c r="BL278" i="2" s="1"/>
  <c r="AK277" i="1"/>
  <c r="Y277" i="1"/>
  <c r="BB277" i="2"/>
  <c r="BL277" i="2" s="1"/>
  <c r="AK276" i="1"/>
  <c r="AM276" i="1" s="1"/>
  <c r="BB276" i="2"/>
  <c r="BL276" i="2" s="1"/>
  <c r="AK275" i="1"/>
  <c r="AM275" i="1" s="1"/>
  <c r="BN275" i="2" s="1"/>
  <c r="AK274" i="1"/>
  <c r="AM274" i="1" s="1"/>
  <c r="BN274" i="2" s="1"/>
  <c r="AK273" i="1"/>
  <c r="Y273" i="1"/>
  <c r="BB273" i="2"/>
  <c r="BL273" i="2" s="1"/>
  <c r="AK272" i="1"/>
  <c r="Y272" i="1"/>
  <c r="BB272" i="2"/>
  <c r="BL272" i="2" s="1"/>
  <c r="AK271" i="1"/>
  <c r="Y271" i="1"/>
  <c r="BB271" i="2"/>
  <c r="BL271" i="2" s="1"/>
  <c r="AK270" i="1"/>
  <c r="Y270" i="1"/>
  <c r="BB270" i="2"/>
  <c r="BL270" i="2" s="1"/>
  <c r="AK269" i="1"/>
  <c r="Y269" i="1"/>
  <c r="BB269" i="2"/>
  <c r="BL269" i="2" s="1"/>
  <c r="AK268" i="1"/>
  <c r="Y268" i="1"/>
  <c r="BB268" i="2"/>
  <c r="BL268" i="2" s="1"/>
  <c r="AK267" i="1"/>
  <c r="Y267" i="1"/>
  <c r="BB267" i="2"/>
  <c r="BL267" i="2" s="1"/>
  <c r="AK266" i="1"/>
  <c r="Y266" i="1"/>
  <c r="BB266" i="2"/>
  <c r="BL266" i="2" s="1"/>
  <c r="AK265" i="1"/>
  <c r="AM265" i="1" s="1"/>
  <c r="BN265" i="2" s="1"/>
  <c r="AK264" i="1"/>
  <c r="AM264" i="1" s="1"/>
  <c r="BN264" i="2" s="1"/>
  <c r="BB287" i="2"/>
  <c r="BL287" i="2" s="1"/>
  <c r="AK287" i="1"/>
  <c r="Y287" i="1"/>
  <c r="G310" i="16"/>
  <c r="W310" i="16"/>
  <c r="G309" i="16"/>
  <c r="W309" i="16"/>
  <c r="G308" i="16"/>
  <c r="W308" i="16"/>
  <c r="G307" i="16"/>
  <c r="W307" i="16"/>
  <c r="G306" i="16"/>
  <c r="W306" i="16"/>
  <c r="G305" i="16"/>
  <c r="W305" i="16"/>
  <c r="G304" i="16"/>
  <c r="W304" i="16"/>
  <c r="G303" i="16"/>
  <c r="G302" i="16"/>
  <c r="G301" i="16"/>
  <c r="G300" i="16"/>
  <c r="AD300" i="16" s="1"/>
  <c r="W298" i="16"/>
  <c r="AD298" i="16" s="1"/>
  <c r="G294" i="16"/>
  <c r="W294" i="16"/>
  <c r="AB294" i="16"/>
  <c r="G293" i="16"/>
  <c r="W293" i="16"/>
  <c r="AB293" i="16"/>
  <c r="G289" i="16"/>
  <c r="W289" i="16"/>
  <c r="AB289" i="16"/>
  <c r="G292" i="16"/>
  <c r="W292" i="16"/>
  <c r="AB292" i="16"/>
  <c r="G291" i="16"/>
  <c r="W291" i="16"/>
  <c r="AB291" i="16"/>
  <c r="G288" i="16"/>
  <c r="W288" i="16"/>
  <c r="AB288" i="16"/>
  <c r="G287" i="16"/>
  <c r="W287" i="16"/>
  <c r="AB287" i="16"/>
  <c r="W285" i="16"/>
  <c r="G284" i="16"/>
  <c r="W284" i="16"/>
  <c r="AB284" i="16"/>
  <c r="W283" i="16"/>
  <c r="AB283" i="16"/>
  <c r="G282" i="16"/>
  <c r="W282" i="16"/>
  <c r="AD282" i="16" s="1"/>
  <c r="AB282" i="16"/>
  <c r="G281" i="16"/>
  <c r="W281" i="16"/>
  <c r="AB281" i="16"/>
  <c r="G280" i="16"/>
  <c r="W280" i="16"/>
  <c r="AB280" i="16"/>
  <c r="G279" i="16"/>
  <c r="W279" i="16"/>
  <c r="AB279" i="16"/>
  <c r="G278" i="16"/>
  <c r="AD278" i="16" s="1"/>
  <c r="AB278" i="16"/>
  <c r="G277" i="16"/>
  <c r="AB277" i="16"/>
  <c r="AB276" i="16"/>
  <c r="W274" i="16"/>
  <c r="AD274" i="16" s="1"/>
  <c r="W273" i="16"/>
  <c r="W272" i="16"/>
  <c r="G271" i="16"/>
  <c r="W271" i="16"/>
  <c r="W270" i="16"/>
  <c r="G269" i="16"/>
  <c r="W269" i="16"/>
  <c r="AB269" i="16"/>
  <c r="W268" i="16"/>
  <c r="AD268" i="16" s="1"/>
  <c r="G260" i="16"/>
  <c r="W260" i="16"/>
  <c r="AB260" i="16"/>
  <c r="G259" i="16"/>
  <c r="W259" i="16"/>
  <c r="AB259" i="16"/>
  <c r="G258" i="16"/>
  <c r="W258" i="16"/>
  <c r="AB258" i="16"/>
  <c r="G250" i="16"/>
  <c r="W250" i="16"/>
  <c r="AB250" i="16"/>
  <c r="G100" i="16"/>
  <c r="Y99" i="1"/>
  <c r="Y91" i="1"/>
  <c r="AK99" i="1"/>
  <c r="BB99" i="2"/>
  <c r="BL99" i="2" s="1"/>
  <c r="Y98" i="1"/>
  <c r="AK98" i="1"/>
  <c r="BB98" i="2"/>
  <c r="BL98" i="2" s="1"/>
  <c r="AK97" i="1"/>
  <c r="Y97" i="1"/>
  <c r="BB97" i="2"/>
  <c r="BL97" i="2" s="1"/>
  <c r="AK96" i="1"/>
  <c r="Y96" i="1"/>
  <c r="BB96" i="2"/>
  <c r="BL96" i="2" s="1"/>
  <c r="AK95" i="1"/>
  <c r="Y95" i="1"/>
  <c r="BB95" i="2"/>
  <c r="BL95" i="2" s="1"/>
  <c r="Y94" i="1"/>
  <c r="AK94" i="1"/>
  <c r="AK93" i="1"/>
  <c r="Y93" i="1"/>
  <c r="AK92" i="1"/>
  <c r="Y92" i="1"/>
  <c r="AK91" i="1"/>
  <c r="AK90" i="1"/>
  <c r="Y90" i="1"/>
  <c r="AK88" i="1"/>
  <c r="Y88" i="1"/>
  <c r="AK89" i="1"/>
  <c r="Y89" i="1"/>
  <c r="G89" i="16"/>
  <c r="W89" i="16"/>
  <c r="AB89" i="16"/>
  <c r="W88" i="16"/>
  <c r="AB88" i="16"/>
  <c r="V141" i="10"/>
  <c r="V140" i="10"/>
  <c r="V139" i="10"/>
  <c r="V136" i="10"/>
  <c r="V135" i="10"/>
  <c r="V134" i="10"/>
  <c r="V133" i="10"/>
  <c r="V132" i="10"/>
  <c r="V131" i="10"/>
  <c r="V130" i="10"/>
  <c r="V129" i="10"/>
  <c r="V128" i="10"/>
  <c r="V127" i="10"/>
  <c r="V126" i="10"/>
  <c r="V125" i="10"/>
  <c r="V124" i="10"/>
  <c r="V123" i="10"/>
  <c r="V122" i="10"/>
  <c r="V121" i="10"/>
  <c r="V120" i="10"/>
  <c r="V118" i="10"/>
  <c r="V117" i="10"/>
  <c r="V116" i="10"/>
  <c r="V115" i="10"/>
  <c r="V114" i="10"/>
  <c r="V112" i="10"/>
  <c r="V111" i="10"/>
  <c r="V110" i="10"/>
  <c r="V109" i="10"/>
  <c r="V108" i="10"/>
  <c r="V107" i="10"/>
  <c r="V106" i="10"/>
  <c r="V105" i="10"/>
  <c r="V104" i="10"/>
  <c r="V103" i="10"/>
  <c r="V102" i="10"/>
  <c r="V101" i="10"/>
  <c r="V100" i="10"/>
  <c r="V99" i="10"/>
  <c r="V98" i="10"/>
  <c r="V97" i="10"/>
  <c r="V96" i="10"/>
  <c r="V95" i="10"/>
  <c r="V94" i="10"/>
  <c r="V93" i="10"/>
  <c r="V92" i="10"/>
  <c r="S219" i="10"/>
  <c r="S430" i="10"/>
  <c r="S429" i="10"/>
  <c r="S428" i="10"/>
  <c r="S427" i="10"/>
  <c r="S426" i="10"/>
  <c r="S425" i="10"/>
  <c r="S424" i="10"/>
  <c r="S423" i="10"/>
  <c r="S422" i="10"/>
  <c r="S421" i="10"/>
  <c r="S420" i="10"/>
  <c r="S419" i="10"/>
  <c r="S418" i="10"/>
  <c r="S417" i="10"/>
  <c r="S416" i="10"/>
  <c r="S414" i="10"/>
  <c r="S412" i="10"/>
  <c r="S411" i="10"/>
  <c r="S410" i="10"/>
  <c r="S408" i="10"/>
  <c r="S407" i="10"/>
  <c r="S406" i="10"/>
  <c r="S405" i="10"/>
  <c r="S399" i="10"/>
  <c r="S398" i="10"/>
  <c r="S397" i="10"/>
  <c r="S396" i="10"/>
  <c r="S395" i="10"/>
  <c r="S394" i="10"/>
  <c r="S353" i="10"/>
  <c r="S352" i="10"/>
  <c r="S351" i="10"/>
  <c r="S350" i="10"/>
  <c r="S349" i="10"/>
  <c r="S348" i="10"/>
  <c r="S347" i="10"/>
  <c r="S345" i="10"/>
  <c r="S344" i="10"/>
  <c r="S343" i="10"/>
  <c r="S342" i="10"/>
  <c r="S341" i="10"/>
  <c r="S340" i="10"/>
  <c r="S339" i="10"/>
  <c r="S338" i="10"/>
  <c r="S337" i="10"/>
  <c r="S336" i="10"/>
  <c r="S335" i="10"/>
  <c r="S334" i="10"/>
  <c r="S333" i="10"/>
  <c r="S332" i="10"/>
  <c r="S331" i="10"/>
  <c r="S330" i="10"/>
  <c r="S329" i="10"/>
  <c r="S326" i="10"/>
  <c r="S325" i="10"/>
  <c r="S324" i="10"/>
  <c r="S323" i="10"/>
  <c r="S322" i="10"/>
  <c r="S321" i="10"/>
  <c r="S320" i="10"/>
  <c r="S319" i="10"/>
  <c r="S317" i="10"/>
  <c r="S313" i="10"/>
  <c r="S312" i="10"/>
  <c r="S311" i="10"/>
  <c r="S248" i="10"/>
  <c r="S247" i="10"/>
  <c r="S246" i="10"/>
  <c r="S243" i="10"/>
  <c r="S242" i="10"/>
  <c r="S241" i="10"/>
  <c r="S240" i="10"/>
  <c r="S239" i="10"/>
  <c r="S238" i="10"/>
  <c r="S237" i="10"/>
  <c r="S236" i="10"/>
  <c r="S235" i="10"/>
  <c r="S234" i="10"/>
  <c r="S233" i="10"/>
  <c r="S232" i="10"/>
  <c r="S230" i="10"/>
  <c r="S229" i="10"/>
  <c r="S228" i="10"/>
  <c r="S227" i="10"/>
  <c r="S226" i="10"/>
  <c r="S224" i="10"/>
  <c r="S223" i="10"/>
  <c r="S222" i="10"/>
  <c r="S221" i="10"/>
  <c r="S220" i="10"/>
  <c r="S218" i="10"/>
  <c r="S216" i="10"/>
  <c r="S215" i="10"/>
  <c r="S214" i="10"/>
  <c r="S213" i="10"/>
  <c r="S212" i="10"/>
  <c r="S210" i="10"/>
  <c r="S207" i="10"/>
  <c r="S206" i="10"/>
  <c r="S205" i="10"/>
  <c r="S169" i="10"/>
  <c r="S168" i="10"/>
  <c r="S167" i="10"/>
  <c r="S165" i="10"/>
  <c r="S162" i="10"/>
  <c r="S161" i="10"/>
  <c r="S160" i="10"/>
  <c r="S159" i="10"/>
  <c r="S156" i="10"/>
  <c r="S155" i="10"/>
  <c r="S141" i="10"/>
  <c r="S140" i="10"/>
  <c r="S139" i="10"/>
  <c r="S138" i="10"/>
  <c r="S136" i="10"/>
  <c r="S135" i="10"/>
  <c r="S134" i="10"/>
  <c r="S133" i="10"/>
  <c r="S132" i="10"/>
  <c r="S131" i="10"/>
  <c r="S130" i="10"/>
  <c r="S129" i="10"/>
  <c r="S128" i="10"/>
  <c r="S127" i="10"/>
  <c r="S126" i="10"/>
  <c r="S124" i="10"/>
  <c r="S123" i="10"/>
  <c r="S122" i="10"/>
  <c r="S121" i="10"/>
  <c r="S120" i="10"/>
  <c r="S118" i="10"/>
  <c r="S117" i="10"/>
  <c r="S116" i="10"/>
  <c r="S115" i="10"/>
  <c r="S114" i="10"/>
  <c r="S112" i="10"/>
  <c r="S111" i="10"/>
  <c r="S110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5" i="10"/>
  <c r="S94" i="10"/>
  <c r="S93" i="10"/>
  <c r="S92" i="10"/>
  <c r="S91" i="10"/>
  <c r="S90" i="10"/>
  <c r="S88" i="10"/>
  <c r="S89" i="10"/>
  <c r="S87" i="10"/>
  <c r="S86" i="10"/>
  <c r="S85" i="10"/>
  <c r="S84" i="10"/>
  <c r="S83" i="10"/>
  <c r="BB478" i="2"/>
  <c r="BL478" i="2" s="1"/>
  <c r="AK198" i="1"/>
  <c r="BB100" i="2"/>
  <c r="BL100" i="2" s="1"/>
  <c r="Y100" i="1"/>
  <c r="AK100" i="1"/>
  <c r="AM420" i="1"/>
  <c r="BN420" i="2" s="1"/>
  <c r="AK419" i="1"/>
  <c r="AK418" i="1"/>
  <c r="AK417" i="1"/>
  <c r="AM417" i="1" s="1"/>
  <c r="AK416" i="1"/>
  <c r="BB414" i="2"/>
  <c r="BL414" i="2" s="1"/>
  <c r="Y414" i="1"/>
  <c r="AK414" i="1"/>
  <c r="BB412" i="2"/>
  <c r="BL412" i="2" s="1"/>
  <c r="Y412" i="1"/>
  <c r="AK412" i="1"/>
  <c r="BB399" i="2"/>
  <c r="BL399" i="2" s="1"/>
  <c r="Y399" i="1"/>
  <c r="AK399" i="1"/>
  <c r="BB336" i="2"/>
  <c r="BL336" i="2" s="1"/>
  <c r="Y336" i="1"/>
  <c r="AK336" i="1"/>
  <c r="BB335" i="2"/>
  <c r="BL335" i="2" s="1"/>
  <c r="Y335" i="1"/>
  <c r="AK335" i="1"/>
  <c r="BB334" i="2"/>
  <c r="BL334" i="2" s="1"/>
  <c r="Y334" i="1"/>
  <c r="AK334" i="1"/>
  <c r="BB333" i="2"/>
  <c r="BL333" i="2" s="1"/>
  <c r="Y333" i="1"/>
  <c r="AK333" i="1"/>
  <c r="BB332" i="2"/>
  <c r="BL332" i="2" s="1"/>
  <c r="Y332" i="1"/>
  <c r="AK332" i="1"/>
  <c r="BB331" i="2"/>
  <c r="BL331" i="2" s="1"/>
  <c r="Y331" i="1"/>
  <c r="AK331" i="1"/>
  <c r="BB330" i="2"/>
  <c r="BL330" i="2" s="1"/>
  <c r="Y330" i="1"/>
  <c r="AK330" i="1"/>
  <c r="BB329" i="2"/>
  <c r="BL329" i="2" s="1"/>
  <c r="Y329" i="1"/>
  <c r="AK329" i="1"/>
  <c r="BL328" i="2"/>
  <c r="Y328" i="1"/>
  <c r="AK328" i="1"/>
  <c r="BB326" i="2"/>
  <c r="BL326" i="2" s="1"/>
  <c r="AK326" i="1"/>
  <c r="Y326" i="1"/>
  <c r="BB325" i="2"/>
  <c r="BL325" i="2" s="1"/>
  <c r="AK325" i="1"/>
  <c r="Y325" i="1"/>
  <c r="BB324" i="2"/>
  <c r="BL324" i="2" s="1"/>
  <c r="AK324" i="1"/>
  <c r="Y324" i="1"/>
  <c r="BB323" i="2"/>
  <c r="BL323" i="2" s="1"/>
  <c r="AK323" i="1"/>
  <c r="Y323" i="1"/>
  <c r="BB322" i="2"/>
  <c r="BL322" i="2" s="1"/>
  <c r="Y322" i="1"/>
  <c r="AK322" i="1"/>
  <c r="BB321" i="2"/>
  <c r="BL321" i="2" s="1"/>
  <c r="Y321" i="1"/>
  <c r="AK321" i="1"/>
  <c r="BB320" i="2"/>
  <c r="BL320" i="2" s="1"/>
  <c r="Y320" i="1"/>
  <c r="AK320" i="1"/>
  <c r="BB319" i="2"/>
  <c r="BL319" i="2" s="1"/>
  <c r="AK319" i="1"/>
  <c r="Y319" i="1"/>
  <c r="Y225" i="1"/>
  <c r="AK225" i="1"/>
  <c r="BB224" i="2"/>
  <c r="BL224" i="2" s="1"/>
  <c r="Y224" i="1"/>
  <c r="AK224" i="1"/>
  <c r="BB223" i="2"/>
  <c r="BL223" i="2" s="1"/>
  <c r="Y223" i="1"/>
  <c r="AK223" i="1"/>
  <c r="BB222" i="2"/>
  <c r="BL222" i="2" s="1"/>
  <c r="Y222" i="1"/>
  <c r="AK222" i="1"/>
  <c r="BB221" i="2"/>
  <c r="BL221" i="2" s="1"/>
  <c r="Y221" i="1"/>
  <c r="AK221" i="1"/>
  <c r="BB220" i="2"/>
  <c r="BL220" i="2" s="1"/>
  <c r="Y220" i="1"/>
  <c r="AK220" i="1"/>
  <c r="BB219" i="2"/>
  <c r="BL219" i="2" s="1"/>
  <c r="Y219" i="1"/>
  <c r="AK219" i="1"/>
  <c r="BB216" i="2"/>
  <c r="BL216" i="2" s="1"/>
  <c r="Y216" i="1"/>
  <c r="AK216" i="1"/>
  <c r="BB215" i="2"/>
  <c r="BL215" i="2" s="1"/>
  <c r="AK215" i="1"/>
  <c r="Y215" i="1"/>
  <c r="BB214" i="2"/>
  <c r="BL214" i="2" s="1"/>
  <c r="Y214" i="1"/>
  <c r="AK214" i="1"/>
  <c r="BB213" i="2"/>
  <c r="BL213" i="2" s="1"/>
  <c r="Y213" i="1"/>
  <c r="AK213" i="1"/>
  <c r="BB212" i="2"/>
  <c r="BL212" i="2" s="1"/>
  <c r="Y212" i="1"/>
  <c r="AK212" i="1"/>
  <c r="BL211" i="2"/>
  <c r="AK211" i="1"/>
  <c r="AM211" i="1" s="1"/>
  <c r="BB210" i="2"/>
  <c r="BL210" i="2" s="1"/>
  <c r="AK210" i="1"/>
  <c r="Y210" i="1"/>
  <c r="BB209" i="2"/>
  <c r="BL209" i="2" s="1"/>
  <c r="Y209" i="1"/>
  <c r="AK209" i="1"/>
  <c r="AK208" i="1"/>
  <c r="AM208" i="1" s="1"/>
  <c r="BN208" i="2" s="1"/>
  <c r="BB207" i="2"/>
  <c r="BL207" i="2" s="1"/>
  <c r="AK207" i="1"/>
  <c r="Y207" i="1"/>
  <c r="BB206" i="2"/>
  <c r="BL206" i="2" s="1"/>
  <c r="Y206" i="1"/>
  <c r="AK206" i="1"/>
  <c r="BB205" i="2"/>
  <c r="BL205" i="2" s="1"/>
  <c r="AK205" i="1"/>
  <c r="Y205" i="1"/>
  <c r="BL204" i="2"/>
  <c r="AK204" i="1"/>
  <c r="AK203" i="1"/>
  <c r="AM203" i="1" s="1"/>
  <c r="BN203" i="2" s="1"/>
  <c r="AK201" i="1"/>
  <c r="AK200" i="1"/>
  <c r="AM200" i="1" s="1"/>
  <c r="BN200" i="2" s="1"/>
  <c r="AK199" i="1"/>
  <c r="AM199" i="1" s="1"/>
  <c r="BN199" i="2" s="1"/>
  <c r="BB169" i="2"/>
  <c r="BL169" i="2" s="1"/>
  <c r="Y169" i="1"/>
  <c r="AK169" i="1"/>
  <c r="BB168" i="2"/>
  <c r="BL168" i="2" s="1"/>
  <c r="Y168" i="1"/>
  <c r="AK168" i="1"/>
  <c r="BB167" i="2"/>
  <c r="BL167" i="2" s="1"/>
  <c r="AK167" i="1"/>
  <c r="Y167" i="1"/>
  <c r="BB166" i="2"/>
  <c r="BL166" i="2" s="1"/>
  <c r="Y166" i="1"/>
  <c r="AK166" i="1"/>
  <c r="BL165" i="2"/>
  <c r="AK165" i="1"/>
  <c r="AM165" i="1" s="1"/>
  <c r="AK164" i="1"/>
  <c r="AM164" i="1" s="1"/>
  <c r="BN164" i="2" s="1"/>
  <c r="BB163" i="2"/>
  <c r="BL163" i="2" s="1"/>
  <c r="AK163" i="1"/>
  <c r="Y163" i="1"/>
  <c r="BB162" i="2"/>
  <c r="BL162" i="2" s="1"/>
  <c r="Y162" i="1"/>
  <c r="AK162" i="1"/>
  <c r="BB161" i="2"/>
  <c r="BL161" i="2" s="1"/>
  <c r="Y161" i="1"/>
  <c r="AK161" i="1"/>
  <c r="BB160" i="2"/>
  <c r="BL160" i="2" s="1"/>
  <c r="Y160" i="1"/>
  <c r="AK160" i="1"/>
  <c r="BL159" i="2"/>
  <c r="AK159" i="1"/>
  <c r="AM159" i="1" s="1"/>
  <c r="AK158" i="1"/>
  <c r="AM158" i="1" s="1"/>
  <c r="BN158" i="2" s="1"/>
  <c r="BB156" i="2"/>
  <c r="BL156" i="2" s="1"/>
  <c r="AK156" i="1"/>
  <c r="Y156" i="1"/>
  <c r="BB155" i="2"/>
  <c r="BL155" i="2" s="1"/>
  <c r="Y155" i="1"/>
  <c r="AK155" i="1"/>
  <c r="AK154" i="1"/>
  <c r="AM154" i="1" s="1"/>
  <c r="BN154" i="2" s="1"/>
  <c r="AK153" i="1"/>
  <c r="AK152" i="1"/>
  <c r="AK151" i="1"/>
  <c r="AK150" i="1"/>
  <c r="AM150" i="1" s="1"/>
  <c r="AK148" i="1"/>
  <c r="AM148" i="1" s="1"/>
  <c r="BN148" i="2" s="1"/>
  <c r="AK147" i="1"/>
  <c r="AK146" i="1"/>
  <c r="AM146" i="1" s="1"/>
  <c r="BN146" i="2" s="1"/>
  <c r="AK145" i="1"/>
  <c r="AM145" i="1" s="1"/>
  <c r="BN145" i="2" s="1"/>
  <c r="AK144" i="1"/>
  <c r="AK143" i="1"/>
  <c r="AM143" i="1" s="1"/>
  <c r="AK142" i="1"/>
  <c r="AM142" i="1" s="1"/>
  <c r="BN142" i="2" s="1"/>
  <c r="BB141" i="2"/>
  <c r="BL141" i="2" s="1"/>
  <c r="Y141" i="1"/>
  <c r="AK141" i="1"/>
  <c r="BL140" i="2"/>
  <c r="AK140" i="1"/>
  <c r="AM140" i="1" s="1"/>
  <c r="BN140" i="2" s="1"/>
  <c r="BB139" i="2"/>
  <c r="BL139" i="2" s="1"/>
  <c r="Y139" i="1"/>
  <c r="AK139" i="1"/>
  <c r="BB138" i="2"/>
  <c r="BL138" i="2" s="1"/>
  <c r="Y138" i="1"/>
  <c r="AK138" i="1"/>
  <c r="BB136" i="2"/>
  <c r="BL136" i="2" s="1"/>
  <c r="Y136" i="1"/>
  <c r="AK136" i="1"/>
  <c r="BB135" i="2"/>
  <c r="BL135" i="2" s="1"/>
  <c r="Y135" i="1"/>
  <c r="AK135" i="1"/>
  <c r="BB134" i="2"/>
  <c r="BL134" i="2" s="1"/>
  <c r="Y134" i="1"/>
  <c r="AK134" i="1"/>
  <c r="BB133" i="2"/>
  <c r="BL133" i="2" s="1"/>
  <c r="Y133" i="1"/>
  <c r="AK133" i="1"/>
  <c r="BB132" i="2"/>
  <c r="BL132" i="2" s="1"/>
  <c r="Y132" i="1"/>
  <c r="AK132" i="1"/>
  <c r="BB131" i="2"/>
  <c r="BL131" i="2" s="1"/>
  <c r="Y131" i="1"/>
  <c r="AK131" i="1"/>
  <c r="BB130" i="2"/>
  <c r="BL130" i="2" s="1"/>
  <c r="AK130" i="1"/>
  <c r="Y130" i="1"/>
  <c r="BB129" i="2"/>
  <c r="BL129" i="2" s="1"/>
  <c r="Y129" i="1"/>
  <c r="AK129" i="1"/>
  <c r="BB128" i="2"/>
  <c r="BL128" i="2" s="1"/>
  <c r="AK128" i="1"/>
  <c r="Y128" i="1"/>
  <c r="BB127" i="2"/>
  <c r="BL127" i="2" s="1"/>
  <c r="Y127" i="1"/>
  <c r="AK127" i="1"/>
  <c r="BB126" i="2"/>
  <c r="BL126" i="2" s="1"/>
  <c r="Y126" i="1"/>
  <c r="AK126" i="1"/>
  <c r="BB125" i="2"/>
  <c r="BL125" i="2" s="1"/>
  <c r="AK125" i="1"/>
  <c r="Y125" i="1"/>
  <c r="BB124" i="2"/>
  <c r="BL124" i="2" s="1"/>
  <c r="Y124" i="1"/>
  <c r="AK124" i="1"/>
  <c r="BB123" i="2"/>
  <c r="BL123" i="2" s="1"/>
  <c r="Y123" i="1"/>
  <c r="AK123" i="1"/>
  <c r="BB122" i="2"/>
  <c r="BL122" i="2" s="1"/>
  <c r="Y122" i="1"/>
  <c r="AK122" i="1"/>
  <c r="BB121" i="2"/>
  <c r="BL121" i="2" s="1"/>
  <c r="Y121" i="1"/>
  <c r="AK121" i="1"/>
  <c r="BB120" i="2"/>
  <c r="BL120" i="2" s="1"/>
  <c r="AK120" i="1"/>
  <c r="Y120" i="1"/>
  <c r="BB118" i="2"/>
  <c r="BL118" i="2" s="1"/>
  <c r="Y118" i="1"/>
  <c r="AK118" i="1"/>
  <c r="BB117" i="2"/>
  <c r="BL117" i="2" s="1"/>
  <c r="Y117" i="1"/>
  <c r="AK117" i="1"/>
  <c r="BB116" i="2"/>
  <c r="BL116" i="2" s="1"/>
  <c r="Y116" i="1"/>
  <c r="AK116" i="1"/>
  <c r="BB115" i="2"/>
  <c r="BL115" i="2" s="1"/>
  <c r="Y115" i="1"/>
  <c r="AK115" i="1"/>
  <c r="BB114" i="2"/>
  <c r="BL114" i="2" s="1"/>
  <c r="Y114" i="1"/>
  <c r="AK114" i="1"/>
  <c r="BB112" i="2"/>
  <c r="BL112" i="2" s="1"/>
  <c r="Y112" i="1"/>
  <c r="AK112" i="1"/>
  <c r="BB111" i="2"/>
  <c r="BL111" i="2" s="1"/>
  <c r="Y111" i="1"/>
  <c r="AK111" i="1"/>
  <c r="BB110" i="2"/>
  <c r="BL110" i="2" s="1"/>
  <c r="Y110" i="1"/>
  <c r="AK110" i="1"/>
  <c r="BB109" i="2"/>
  <c r="BL109" i="2" s="1"/>
  <c r="Y109" i="1"/>
  <c r="AK109" i="1"/>
  <c r="BB108" i="2"/>
  <c r="BL108" i="2" s="1"/>
  <c r="Y108" i="1"/>
  <c r="AK108" i="1"/>
  <c r="BB107" i="2"/>
  <c r="BL107" i="2" s="1"/>
  <c r="Y107" i="1"/>
  <c r="AK107" i="1"/>
  <c r="BB106" i="2"/>
  <c r="BL106" i="2" s="1"/>
  <c r="AK106" i="1"/>
  <c r="Y106" i="1"/>
  <c r="BB105" i="2"/>
  <c r="BL105" i="2" s="1"/>
  <c r="AK105" i="1"/>
  <c r="Y105" i="1"/>
  <c r="BB104" i="2"/>
  <c r="BL104" i="2" s="1"/>
  <c r="Y104" i="1"/>
  <c r="AK104" i="1"/>
  <c r="BB103" i="2"/>
  <c r="BL103" i="2" s="1"/>
  <c r="Y103" i="1"/>
  <c r="AK103" i="1"/>
  <c r="BB102" i="2"/>
  <c r="BL102" i="2" s="1"/>
  <c r="Y102" i="1"/>
  <c r="AK102" i="1"/>
  <c r="BB101" i="2"/>
  <c r="BL101" i="2" s="1"/>
  <c r="Y101" i="1"/>
  <c r="AK101" i="1"/>
  <c r="Y87" i="1"/>
  <c r="AK87" i="1"/>
  <c r="AG85" i="15"/>
  <c r="M85" i="15"/>
  <c r="G430" i="16"/>
  <c r="G429" i="16"/>
  <c r="G414" i="16"/>
  <c r="G412" i="16"/>
  <c r="G399" i="16"/>
  <c r="W353" i="16"/>
  <c r="G353" i="16"/>
  <c r="W352" i="16"/>
  <c r="G352" i="16"/>
  <c r="W351" i="16"/>
  <c r="G351" i="16"/>
  <c r="W350" i="16"/>
  <c r="G350" i="16"/>
  <c r="W349" i="16"/>
  <c r="G349" i="16"/>
  <c r="W348" i="16"/>
  <c r="G348" i="16"/>
  <c r="W347" i="16"/>
  <c r="W345" i="16"/>
  <c r="G345" i="16"/>
  <c r="W344" i="16"/>
  <c r="G344" i="16"/>
  <c r="W343" i="16"/>
  <c r="G343" i="16"/>
  <c r="W342" i="16"/>
  <c r="G342" i="16"/>
  <c r="W341" i="16"/>
  <c r="G341" i="16"/>
  <c r="W340" i="16"/>
  <c r="G340" i="16"/>
  <c r="W339" i="16"/>
  <c r="G339" i="16"/>
  <c r="W338" i="16"/>
  <c r="G338" i="16"/>
  <c r="W337" i="16"/>
  <c r="G337" i="16"/>
  <c r="W336" i="16"/>
  <c r="G336" i="16"/>
  <c r="W335" i="16"/>
  <c r="G335" i="16"/>
  <c r="W334" i="16"/>
  <c r="G334" i="16"/>
  <c r="W333" i="16"/>
  <c r="G333" i="16"/>
  <c r="W332" i="16"/>
  <c r="G332" i="16"/>
  <c r="W331" i="16"/>
  <c r="G331" i="16"/>
  <c r="W330" i="16"/>
  <c r="G330" i="16"/>
  <c r="W329" i="16"/>
  <c r="G329" i="16"/>
  <c r="W328" i="16"/>
  <c r="G328" i="16"/>
  <c r="W326" i="16"/>
  <c r="G326" i="16"/>
  <c r="W325" i="16"/>
  <c r="G325" i="16"/>
  <c r="W324" i="16"/>
  <c r="G324" i="16"/>
  <c r="W323" i="16"/>
  <c r="G323" i="16"/>
  <c r="W322" i="16"/>
  <c r="G322" i="16"/>
  <c r="W321" i="16"/>
  <c r="W320" i="16"/>
  <c r="G320" i="16"/>
  <c r="W319" i="16"/>
  <c r="G319" i="16"/>
  <c r="W317" i="16"/>
  <c r="G317" i="16"/>
  <c r="W315" i="16"/>
  <c r="G315" i="16"/>
  <c r="W313" i="16"/>
  <c r="G313" i="16"/>
  <c r="W312" i="16"/>
  <c r="G312" i="16"/>
  <c r="W311" i="16"/>
  <c r="G311" i="16"/>
  <c r="W248" i="16"/>
  <c r="W247" i="16"/>
  <c r="G247" i="16"/>
  <c r="W246" i="16"/>
  <c r="W245" i="16"/>
  <c r="W244" i="16"/>
  <c r="W243" i="16"/>
  <c r="G243" i="16"/>
  <c r="W242" i="16"/>
  <c r="W241" i="16"/>
  <c r="W240" i="16"/>
  <c r="W239" i="16"/>
  <c r="W238" i="16"/>
  <c r="G238" i="16"/>
  <c r="W237" i="16"/>
  <c r="G237" i="16"/>
  <c r="W236" i="16"/>
  <c r="G236" i="16"/>
  <c r="W235" i="16"/>
  <c r="W234" i="16"/>
  <c r="G234" i="16"/>
  <c r="W233" i="16"/>
  <c r="G233" i="16"/>
  <c r="AD232" i="16"/>
  <c r="W231" i="16"/>
  <c r="W230" i="16"/>
  <c r="W229" i="16"/>
  <c r="G229" i="16"/>
  <c r="W228" i="16"/>
  <c r="G228" i="16"/>
  <c r="W227" i="16"/>
  <c r="G227" i="16"/>
  <c r="W225" i="16"/>
  <c r="G225" i="16"/>
  <c r="W224" i="16"/>
  <c r="G224" i="16"/>
  <c r="W223" i="16"/>
  <c r="W222" i="16"/>
  <c r="G222" i="16"/>
  <c r="W221" i="16"/>
  <c r="G221" i="16"/>
  <c r="W220" i="16"/>
  <c r="G220" i="16"/>
  <c r="W219" i="16"/>
  <c r="G219" i="16"/>
  <c r="W218" i="16"/>
  <c r="G218" i="16"/>
  <c r="W215" i="16"/>
  <c r="G215" i="16"/>
  <c r="W214" i="16"/>
  <c r="G214" i="16"/>
  <c r="W213" i="16"/>
  <c r="G213" i="16"/>
  <c r="W211" i="16"/>
  <c r="G211" i="16"/>
  <c r="W210" i="16"/>
  <c r="G210" i="16"/>
  <c r="W209" i="16"/>
  <c r="W208" i="16"/>
  <c r="G208" i="16"/>
  <c r="W207" i="16"/>
  <c r="W206" i="16"/>
  <c r="W205" i="16"/>
  <c r="G205" i="16"/>
  <c r="G204" i="16"/>
  <c r="G203" i="16"/>
  <c r="G202" i="16"/>
  <c r="G201" i="16"/>
  <c r="G200" i="16"/>
  <c r="G199" i="16"/>
  <c r="G196" i="16"/>
  <c r="G195" i="16"/>
  <c r="G194" i="16"/>
  <c r="G193" i="16"/>
  <c r="G192" i="16"/>
  <c r="G191" i="16"/>
  <c r="G190" i="16"/>
  <c r="G189" i="16"/>
  <c r="G185" i="16"/>
  <c r="G184" i="16"/>
  <c r="G183" i="16"/>
  <c r="G181" i="16"/>
  <c r="G180" i="16"/>
  <c r="G178" i="16"/>
  <c r="G176" i="16"/>
  <c r="W175" i="16"/>
  <c r="G175" i="16"/>
  <c r="W174" i="16"/>
  <c r="G174" i="16"/>
  <c r="G173" i="16"/>
  <c r="AD173" i="16" s="1"/>
  <c r="W169" i="16"/>
  <c r="G169" i="16"/>
  <c r="W168" i="16"/>
  <c r="G168" i="16"/>
  <c r="W167" i="16"/>
  <c r="G167" i="16"/>
  <c r="G166" i="16"/>
  <c r="W163" i="16"/>
  <c r="G163" i="16"/>
  <c r="W162" i="16"/>
  <c r="W161" i="16"/>
  <c r="W160" i="16"/>
  <c r="W159" i="16"/>
  <c r="W156" i="16"/>
  <c r="G156" i="16"/>
  <c r="W155" i="16"/>
  <c r="G155" i="16"/>
  <c r="W154" i="16"/>
  <c r="G154" i="16"/>
  <c r="W153" i="16"/>
  <c r="G153" i="16"/>
  <c r="W152" i="16"/>
  <c r="G152" i="16"/>
  <c r="W151" i="16"/>
  <c r="G151" i="16"/>
  <c r="G150" i="16"/>
  <c r="W148" i="16"/>
  <c r="G148" i="16"/>
  <c r="W147" i="16"/>
  <c r="G147" i="16"/>
  <c r="W146" i="16"/>
  <c r="G146" i="16"/>
  <c r="G145" i="16"/>
  <c r="AD145" i="16" s="1"/>
  <c r="W144" i="16"/>
  <c r="G144" i="16"/>
  <c r="W143" i="16"/>
  <c r="G143" i="16"/>
  <c r="W142" i="16"/>
  <c r="G142" i="16"/>
  <c r="W141" i="16"/>
  <c r="W140" i="16"/>
  <c r="W139" i="16"/>
  <c r="W136" i="16"/>
  <c r="W135" i="16"/>
  <c r="W134" i="16"/>
  <c r="W133" i="16"/>
  <c r="W132" i="16"/>
  <c r="W131" i="16"/>
  <c r="W130" i="16"/>
  <c r="W129" i="16"/>
  <c r="W128" i="16"/>
  <c r="W127" i="16"/>
  <c r="W126" i="16"/>
  <c r="W125" i="16"/>
  <c r="W124" i="16"/>
  <c r="W123" i="16"/>
  <c r="W122" i="16"/>
  <c r="W121" i="16"/>
  <c r="W120" i="16"/>
  <c r="W118" i="16"/>
  <c r="W117" i="16"/>
  <c r="W116" i="16"/>
  <c r="W115" i="16"/>
  <c r="W114" i="16"/>
  <c r="W112" i="16"/>
  <c r="W111" i="16"/>
  <c r="W110" i="16"/>
  <c r="W108" i="16"/>
  <c r="W107" i="16"/>
  <c r="W106" i="16"/>
  <c r="W105" i="16"/>
  <c r="G105" i="16"/>
  <c r="W104" i="16"/>
  <c r="G104" i="16"/>
  <c r="W103" i="16"/>
  <c r="G103" i="16"/>
  <c r="W102" i="16"/>
  <c r="G102" i="16"/>
  <c r="W101" i="16"/>
  <c r="G101" i="16"/>
  <c r="W100" i="16"/>
  <c r="W99" i="16"/>
  <c r="G99" i="16"/>
  <c r="W98" i="16"/>
  <c r="G98" i="16"/>
  <c r="W97" i="16"/>
  <c r="W96" i="16"/>
  <c r="G96" i="16"/>
  <c r="W95" i="16"/>
  <c r="W94" i="16"/>
  <c r="W93" i="16"/>
  <c r="G93" i="16"/>
  <c r="W92" i="16"/>
  <c r="G92" i="16"/>
  <c r="W91" i="16"/>
  <c r="W90" i="16"/>
  <c r="G90" i="16"/>
  <c r="W87" i="16"/>
  <c r="W86" i="16"/>
  <c r="W85" i="16"/>
  <c r="G85" i="16"/>
  <c r="S291" i="10"/>
  <c r="BB284" i="2"/>
  <c r="BL284" i="2" s="1"/>
  <c r="Y284" i="1"/>
  <c r="AB326" i="16"/>
  <c r="AB328" i="16"/>
  <c r="AB181" i="16"/>
  <c r="AB183" i="16"/>
  <c r="AB180" i="16"/>
  <c r="AB159" i="16"/>
  <c r="AB142" i="16"/>
  <c r="AB237" i="16"/>
  <c r="AB238" i="16"/>
  <c r="AB228" i="16"/>
  <c r="AB224" i="16"/>
  <c r="AB223" i="16"/>
  <c r="AD390" i="16"/>
  <c r="G226" i="16"/>
  <c r="W226" i="16"/>
  <c r="W150" i="16"/>
  <c r="AB369" i="16"/>
  <c r="AB95" i="16"/>
  <c r="AB340" i="16"/>
  <c r="AB385" i="16"/>
  <c r="AB317" i="16"/>
  <c r="AB325" i="16"/>
  <c r="AB201" i="16"/>
  <c r="AB182" i="16"/>
  <c r="AB175" i="16"/>
  <c r="AB430" i="16"/>
  <c r="AB424" i="16"/>
  <c r="AB419" i="16"/>
  <c r="AB392" i="16"/>
  <c r="AB389" i="16"/>
  <c r="AB351" i="16"/>
  <c r="AB337" i="16"/>
  <c r="AB211" i="16"/>
  <c r="AB210" i="16"/>
  <c r="AB195" i="16"/>
  <c r="AB184" i="16"/>
  <c r="AB165" i="16"/>
  <c r="AB153" i="16"/>
  <c r="AB143" i="16"/>
  <c r="AB105" i="16"/>
  <c r="V517" i="10"/>
  <c r="V516" i="10"/>
  <c r="AB313" i="16"/>
  <c r="AK284" i="1"/>
  <c r="V291" i="10"/>
  <c r="AB429" i="16"/>
  <c r="AB428" i="16"/>
  <c r="AB427" i="16"/>
  <c r="AB426" i="16"/>
  <c r="AB425" i="16"/>
  <c r="AB423" i="16"/>
  <c r="AB422" i="16"/>
  <c r="AB421" i="16"/>
  <c r="AB420" i="16"/>
  <c r="AB418" i="16"/>
  <c r="AB417" i="16"/>
  <c r="AB416" i="16"/>
  <c r="AB414" i="16"/>
  <c r="AB412" i="16"/>
  <c r="AB411" i="16"/>
  <c r="AB410" i="16"/>
  <c r="AB408" i="16"/>
  <c r="AB407" i="16"/>
  <c r="AB406" i="16"/>
  <c r="AB405" i="16"/>
  <c r="AB404" i="16"/>
  <c r="AB403" i="16"/>
  <c r="AB402" i="16"/>
  <c r="AB401" i="16"/>
  <c r="AB399" i="16"/>
  <c r="AB398" i="16"/>
  <c r="AB397" i="16"/>
  <c r="AB396" i="16"/>
  <c r="AB395" i="16"/>
  <c r="AB394" i="16"/>
  <c r="AB393" i="16"/>
  <c r="AB391" i="16"/>
  <c r="AB390" i="16"/>
  <c r="AB388" i="16"/>
  <c r="AB387" i="16"/>
  <c r="AB386" i="16"/>
  <c r="AB384" i="16"/>
  <c r="AB383" i="16"/>
  <c r="AB382" i="16"/>
  <c r="AB381" i="16"/>
  <c r="AB379" i="16"/>
  <c r="AB378" i="16"/>
  <c r="AB376" i="16"/>
  <c r="AB375" i="16"/>
  <c r="AB374" i="16"/>
  <c r="AB373" i="16"/>
  <c r="AB372" i="16"/>
  <c r="AB371" i="16"/>
  <c r="AB370" i="16"/>
  <c r="AB368" i="16"/>
  <c r="AB366" i="16"/>
  <c r="AB353" i="16"/>
  <c r="AB352" i="16"/>
  <c r="AB350" i="16"/>
  <c r="AB349" i="16"/>
  <c r="AB348" i="16"/>
  <c r="AB347" i="16"/>
  <c r="AB345" i="16"/>
  <c r="AB344" i="16"/>
  <c r="AB343" i="16"/>
  <c r="AB342" i="16"/>
  <c r="AB341" i="16"/>
  <c r="AB339" i="16"/>
  <c r="AB338" i="16"/>
  <c r="AB336" i="16"/>
  <c r="AB335" i="16"/>
  <c r="AB334" i="16"/>
  <c r="AB333" i="16"/>
  <c r="AB332" i="16"/>
  <c r="AB331" i="16"/>
  <c r="AB330" i="16"/>
  <c r="AB329" i="16"/>
  <c r="AB324" i="16"/>
  <c r="AB323" i="16"/>
  <c r="AB322" i="16"/>
  <c r="AB321" i="16"/>
  <c r="AB320" i="16"/>
  <c r="AB319" i="16"/>
  <c r="AB315" i="16"/>
  <c r="AB312" i="16"/>
  <c r="AB311" i="16"/>
  <c r="AB248" i="16"/>
  <c r="AB247" i="16"/>
  <c r="AB246" i="16"/>
  <c r="AB245" i="16"/>
  <c r="AB244" i="16"/>
  <c r="AB243" i="16"/>
  <c r="AB242" i="16"/>
  <c r="AB241" i="16"/>
  <c r="AB240" i="16"/>
  <c r="AB239" i="16"/>
  <c r="AB236" i="16"/>
  <c r="AB235" i="16"/>
  <c r="AB234" i="16"/>
  <c r="AB233" i="16"/>
  <c r="AB232" i="16"/>
  <c r="AB231" i="16"/>
  <c r="AB230" i="16"/>
  <c r="AB229" i="16"/>
  <c r="AB227" i="16"/>
  <c r="AB226" i="16"/>
  <c r="AB225" i="16"/>
  <c r="AB222" i="16"/>
  <c r="AB221" i="16"/>
  <c r="AB220" i="16"/>
  <c r="AB219" i="16"/>
  <c r="AB218" i="16"/>
  <c r="AB215" i="16"/>
  <c r="AB214" i="16"/>
  <c r="AB213" i="16"/>
  <c r="AB209" i="16"/>
  <c r="AB208" i="16"/>
  <c r="AB207" i="16"/>
  <c r="AB206" i="16"/>
  <c r="AB205" i="16"/>
  <c r="AB204" i="16"/>
  <c r="AB203" i="16"/>
  <c r="AB202" i="16"/>
  <c r="AB200" i="16"/>
  <c r="AB199" i="16"/>
  <c r="AB196" i="16"/>
  <c r="AB194" i="16"/>
  <c r="AB193" i="16"/>
  <c r="AB192" i="16"/>
  <c r="AB191" i="16"/>
  <c r="AB190" i="16"/>
  <c r="AB189" i="16"/>
  <c r="AB187" i="16"/>
  <c r="AB185" i="16"/>
  <c r="AB179" i="16"/>
  <c r="AB178" i="16"/>
  <c r="AB176" i="16"/>
  <c r="AB174" i="16"/>
  <c r="AB173" i="16"/>
  <c r="AB169" i="16"/>
  <c r="AB168" i="16"/>
  <c r="AB167" i="16"/>
  <c r="AB166" i="16"/>
  <c r="AB163" i="16"/>
  <c r="AB162" i="16"/>
  <c r="AB161" i="16"/>
  <c r="AB160" i="16"/>
  <c r="AB156" i="16"/>
  <c r="AB155" i="16"/>
  <c r="AB154" i="16"/>
  <c r="AB152" i="16"/>
  <c r="AB151" i="16"/>
  <c r="AB150" i="16"/>
  <c r="AB148" i="16"/>
  <c r="AB147" i="16"/>
  <c r="AB146" i="16"/>
  <c r="AB145" i="16"/>
  <c r="AB144" i="16"/>
  <c r="AB104" i="16"/>
  <c r="AB103" i="16"/>
  <c r="AB102" i="16"/>
  <c r="AB101" i="16"/>
  <c r="AB100" i="16"/>
  <c r="AB99" i="16"/>
  <c r="AB98" i="16"/>
  <c r="AB97" i="16"/>
  <c r="AB96" i="16"/>
  <c r="AB94" i="16"/>
  <c r="AB93" i="16"/>
  <c r="AB92" i="16"/>
  <c r="AB91" i="16"/>
  <c r="AB90" i="16"/>
  <c r="AB87" i="16"/>
  <c r="AB86" i="16"/>
  <c r="AB85" i="16"/>
  <c r="AB84" i="16"/>
  <c r="AB83" i="16"/>
  <c r="AD555" i="16"/>
  <c r="AD475" i="16"/>
  <c r="AD434" i="16"/>
  <c r="AM562" i="1"/>
  <c r="BN562" i="2" s="1"/>
  <c r="BV379" i="2"/>
  <c r="BX379" i="2" s="1"/>
  <c r="AD444" i="16"/>
  <c r="AM548" i="1"/>
  <c r="AG281" i="15"/>
  <c r="BE388" i="17"/>
  <c r="BG388" i="17" s="1"/>
  <c r="BA366" i="17"/>
  <c r="BE366" i="17" s="1"/>
  <c r="BG366" i="17" s="1"/>
  <c r="BE380" i="17"/>
  <c r="BG380" i="17" s="1"/>
  <c r="BA374" i="17"/>
  <c r="BE374" i="17" s="1"/>
  <c r="BG374" i="17" s="1"/>
  <c r="AI244" i="15"/>
  <c r="BA244" i="17" s="1"/>
  <c r="BE244" i="17" s="1"/>
  <c r="BG244" i="17" s="1"/>
  <c r="AI185" i="15"/>
  <c r="AG470" i="15"/>
  <c r="AI195" i="15"/>
  <c r="AI491" i="15"/>
  <c r="AD591" i="16"/>
  <c r="AD489" i="16"/>
  <c r="AD354" i="16"/>
  <c r="AD517" i="16"/>
  <c r="BB528" i="25"/>
  <c r="BL528" i="25" s="1"/>
  <c r="Y482" i="22"/>
  <c r="Y492" i="22"/>
  <c r="Y528" i="22"/>
  <c r="K518" i="26"/>
  <c r="BE386" i="17"/>
  <c r="BG386" i="17" s="1"/>
  <c r="G285" i="16"/>
  <c r="AB285" i="16"/>
  <c r="AD421" i="16"/>
  <c r="AD500" i="16"/>
  <c r="AI271" i="15"/>
  <c r="AM248" i="1"/>
  <c r="AQ447" i="22" l="1"/>
  <c r="AQ416" i="22"/>
  <c r="AQ425" i="22"/>
  <c r="AQ417" i="22"/>
  <c r="BN417" i="25" s="1"/>
  <c r="BV417" i="25" s="1"/>
  <c r="BX417" i="25" s="1"/>
  <c r="AQ559" i="22"/>
  <c r="AG557" i="26"/>
  <c r="AG545" i="26"/>
  <c r="AG520" i="26"/>
  <c r="AG467" i="26"/>
  <c r="AG432" i="26"/>
  <c r="AG429" i="26"/>
  <c r="AG399" i="26"/>
  <c r="AG361" i="26"/>
  <c r="AG350" i="26"/>
  <c r="AG287" i="26"/>
  <c r="AG282" i="26"/>
  <c r="AG236" i="26"/>
  <c r="AG207" i="26"/>
  <c r="AM468" i="1"/>
  <c r="AM434" i="1"/>
  <c r="BN434" i="2" s="1"/>
  <c r="AM460" i="1"/>
  <c r="BN460" i="2" s="1"/>
  <c r="AM455" i="1"/>
  <c r="BN455" i="2" s="1"/>
  <c r="AM416" i="1"/>
  <c r="BN416" i="2" s="1"/>
  <c r="BV416" i="2" s="1"/>
  <c r="BX416" i="2" s="1"/>
  <c r="AM526" i="1"/>
  <c r="AM450" i="1"/>
  <c r="BN450" i="2" s="1"/>
  <c r="BV450" i="2" s="1"/>
  <c r="BX450" i="2" s="1"/>
  <c r="AM201" i="1"/>
  <c r="AM195" i="1"/>
  <c r="AI153" i="15"/>
  <c r="AI129" i="15"/>
  <c r="BA129" i="17" s="1"/>
  <c r="BE129" i="17" s="1"/>
  <c r="BG129" i="17" s="1"/>
  <c r="AI107" i="15"/>
  <c r="AI193" i="15"/>
  <c r="BA193" i="17" s="1"/>
  <c r="BE193" i="17" s="1"/>
  <c r="BG193" i="17" s="1"/>
  <c r="AI177" i="15"/>
  <c r="BA177" i="17" s="1"/>
  <c r="BE177" i="17" s="1"/>
  <c r="BG177" i="17" s="1"/>
  <c r="AI495" i="15"/>
  <c r="AI467" i="15"/>
  <c r="BA467" i="17" s="1"/>
  <c r="BE467" i="17" s="1"/>
  <c r="BG467" i="17" s="1"/>
  <c r="AQ601" i="22"/>
  <c r="BN601" i="25" s="1"/>
  <c r="BV601" i="25" s="1"/>
  <c r="BX601" i="25" s="1"/>
  <c r="AQ605" i="22"/>
  <c r="AQ609" i="22"/>
  <c r="AQ569" i="22"/>
  <c r="BN569" i="25" s="1"/>
  <c r="BV569" i="25" s="1"/>
  <c r="BX569" i="25" s="1"/>
  <c r="AQ574" i="22"/>
  <c r="BN574" i="25" s="1"/>
  <c r="BV574" i="25" s="1"/>
  <c r="BX574" i="25" s="1"/>
  <c r="AQ582" i="22"/>
  <c r="BN609" i="2"/>
  <c r="AM579" i="1"/>
  <c r="AM596" i="1"/>
  <c r="BN596" i="2" s="1"/>
  <c r="AM575" i="1"/>
  <c r="BN575" i="2" s="1"/>
  <c r="BV575" i="2" s="1"/>
  <c r="BX575" i="2" s="1"/>
  <c r="AI585" i="15"/>
  <c r="BA585" i="17" s="1"/>
  <c r="BE585" i="17" s="1"/>
  <c r="BG585" i="17" s="1"/>
  <c r="AI569" i="15"/>
  <c r="AM567" i="1"/>
  <c r="BN567" i="2" s="1"/>
  <c r="BV567" i="2" s="1"/>
  <c r="BX567" i="2" s="1"/>
  <c r="AM565" i="1"/>
  <c r="AM560" i="1"/>
  <c r="AI560" i="15"/>
  <c r="BA560" i="17" s="1"/>
  <c r="BE560" i="17" s="1"/>
  <c r="BG560" i="17" s="1"/>
  <c r="AG558" i="26"/>
  <c r="AG554" i="26"/>
  <c r="AG553" i="26"/>
  <c r="AM551" i="1"/>
  <c r="BN551" i="2" s="1"/>
  <c r="AI551" i="15"/>
  <c r="BA551" i="17" s="1"/>
  <c r="BE551" i="17" s="1"/>
  <c r="BG551" i="17" s="1"/>
  <c r="AG549" i="26"/>
  <c r="BN548" i="2"/>
  <c r="AG546" i="26"/>
  <c r="AM543" i="1"/>
  <c r="BN543" i="2" s="1"/>
  <c r="AG542" i="26"/>
  <c r="AG541" i="26"/>
  <c r="AI121" i="15"/>
  <c r="BA121" i="17" s="1"/>
  <c r="BE121" i="17" s="1"/>
  <c r="BG121" i="17" s="1"/>
  <c r="AG537" i="26"/>
  <c r="AM536" i="1"/>
  <c r="AG536" i="26"/>
  <c r="AI536" i="15"/>
  <c r="AM534" i="1"/>
  <c r="BN534" i="2" s="1"/>
  <c r="AG533" i="26"/>
  <c r="AI533" i="15"/>
  <c r="BA533" i="17" s="1"/>
  <c r="BE533" i="17" s="1"/>
  <c r="BG533" i="17" s="1"/>
  <c r="AM528" i="1"/>
  <c r="BN528" i="2" s="1"/>
  <c r="AG528" i="26"/>
  <c r="BN526" i="2"/>
  <c r="AM524" i="1"/>
  <c r="AG524" i="26"/>
  <c r="AG522" i="26"/>
  <c r="AI521" i="15"/>
  <c r="BA521" i="17" s="1"/>
  <c r="BE521" i="17" s="1"/>
  <c r="BG521" i="17" s="1"/>
  <c r="BN519" i="2"/>
  <c r="AG518" i="26"/>
  <c r="AM507" i="1"/>
  <c r="BN507" i="2" s="1"/>
  <c r="AM500" i="1"/>
  <c r="BN500" i="2" s="1"/>
  <c r="BN497" i="2"/>
  <c r="AM498" i="1"/>
  <c r="BN498" i="2"/>
  <c r="BV498" i="2" s="1"/>
  <c r="BX498" i="2" s="1"/>
  <c r="AI493" i="15"/>
  <c r="AM486" i="1"/>
  <c r="BN486" i="2" s="1"/>
  <c r="BV486" i="2" s="1"/>
  <c r="BX486" i="2" s="1"/>
  <c r="AM485" i="1"/>
  <c r="BN485" i="2" s="1"/>
  <c r="AM481" i="1"/>
  <c r="BN481" i="2" s="1"/>
  <c r="AG532" i="26"/>
  <c r="AQ570" i="22"/>
  <c r="BN570" i="25" s="1"/>
  <c r="BV570" i="25" s="1"/>
  <c r="BX570" i="25" s="1"/>
  <c r="AM513" i="1"/>
  <c r="BN513" i="2" s="1"/>
  <c r="BA216" i="17"/>
  <c r="BE216" i="17" s="1"/>
  <c r="BG216" i="17" s="1"/>
  <c r="BN449" i="2"/>
  <c r="AM418" i="1"/>
  <c r="BN418" i="2" s="1"/>
  <c r="BV418" i="2" s="1"/>
  <c r="BX418" i="2" s="1"/>
  <c r="AM584" i="1"/>
  <c r="AD365" i="16"/>
  <c r="AM542" i="1"/>
  <c r="BN542" i="2" s="1"/>
  <c r="AI247" i="15"/>
  <c r="BN524" i="2"/>
  <c r="AM156" i="1"/>
  <c r="BN156" i="2" s="1"/>
  <c r="AM576" i="1"/>
  <c r="BN576" i="2" s="1"/>
  <c r="BV576" i="2" s="1"/>
  <c r="BX576" i="2" s="1"/>
  <c r="AM202" i="1"/>
  <c r="AI505" i="15"/>
  <c r="BA505" i="17" s="1"/>
  <c r="BE505" i="17" s="1"/>
  <c r="BG505" i="17" s="1"/>
  <c r="AM487" i="1"/>
  <c r="BN487" i="2" s="1"/>
  <c r="BV487" i="2" s="1"/>
  <c r="BX487" i="2" s="1"/>
  <c r="AM529" i="1"/>
  <c r="BN529" i="2" s="1"/>
  <c r="BV529" i="2" s="1"/>
  <c r="BX529" i="2" s="1"/>
  <c r="BN557" i="2"/>
  <c r="AM184" i="1"/>
  <c r="AM431" i="1"/>
  <c r="BN431" i="2" s="1"/>
  <c r="AM442" i="1"/>
  <c r="BN442" i="2" s="1"/>
  <c r="AM471" i="1"/>
  <c r="BN471" i="2" s="1"/>
  <c r="BN565" i="2"/>
  <c r="AI540" i="15"/>
  <c r="BA540" i="17" s="1"/>
  <c r="BE540" i="17" s="1"/>
  <c r="BG540" i="17" s="1"/>
  <c r="AI446" i="15"/>
  <c r="AI399" i="15"/>
  <c r="BA399" i="17" s="1"/>
  <c r="BE399" i="17" s="1"/>
  <c r="BG399" i="17" s="1"/>
  <c r="AI89" i="15"/>
  <c r="BA89" i="17" s="1"/>
  <c r="BE89" i="17" s="1"/>
  <c r="BG89" i="17" s="1"/>
  <c r="AQ603" i="22"/>
  <c r="BN603" i="25" s="1"/>
  <c r="BV603" i="25" s="1"/>
  <c r="BX603" i="25" s="1"/>
  <c r="AQ607" i="22"/>
  <c r="AQ154" i="22"/>
  <c r="AQ575" i="22"/>
  <c r="BN575" i="25" s="1"/>
  <c r="BV575" i="25" s="1"/>
  <c r="BX575" i="25" s="1"/>
  <c r="AG160" i="26"/>
  <c r="AG280" i="26"/>
  <c r="AG284" i="26"/>
  <c r="AG290" i="26"/>
  <c r="AG293" i="26"/>
  <c r="AG298" i="26"/>
  <c r="AG302" i="26"/>
  <c r="AG306" i="26"/>
  <c r="AG310" i="26"/>
  <c r="AG321" i="26"/>
  <c r="AG330" i="26"/>
  <c r="AG338" i="26"/>
  <c r="AG347" i="26"/>
  <c r="AG355" i="26"/>
  <c r="AG363" i="26"/>
  <c r="AG430" i="26"/>
  <c r="AG443" i="26"/>
  <c r="AG451" i="26"/>
  <c r="AG460" i="26"/>
  <c r="AG468" i="26"/>
  <c r="AG476" i="26"/>
  <c r="AG534" i="26"/>
  <c r="AG543" i="26"/>
  <c r="AG551" i="26"/>
  <c r="AG559" i="26"/>
  <c r="AG592" i="26"/>
  <c r="AG600" i="26"/>
  <c r="AG604" i="26"/>
  <c r="AG612" i="26"/>
  <c r="BN248" i="2"/>
  <c r="BN457" i="2"/>
  <c r="BV457" i="2" s="1"/>
  <c r="BX457" i="2" s="1"/>
  <c r="AM144" i="1"/>
  <c r="BN144" i="2" s="1"/>
  <c r="AM153" i="1"/>
  <c r="BN153" i="2" s="1"/>
  <c r="BN201" i="2"/>
  <c r="BV201" i="2" s="1"/>
  <c r="BX201" i="2" s="1"/>
  <c r="AM569" i="1"/>
  <c r="BN569" i="2" s="1"/>
  <c r="BV569" i="2" s="1"/>
  <c r="BX569" i="2" s="1"/>
  <c r="AM573" i="1"/>
  <c r="BN573" i="2" s="1"/>
  <c r="AM577" i="1"/>
  <c r="BN577" i="2" s="1"/>
  <c r="BV577" i="2" s="1"/>
  <c r="BX577" i="2" s="1"/>
  <c r="AM581" i="1"/>
  <c r="BN581" i="2" s="1"/>
  <c r="BV581" i="2" s="1"/>
  <c r="BX581" i="2" s="1"/>
  <c r="AM196" i="1"/>
  <c r="BN196" i="2" s="1"/>
  <c r="BV196" i="2" s="1"/>
  <c r="BX196" i="2" s="1"/>
  <c r="AI561" i="15"/>
  <c r="AQ350" i="22"/>
  <c r="BN350" i="25" s="1"/>
  <c r="BV350" i="25" s="1"/>
  <c r="BX350" i="25" s="1"/>
  <c r="AQ358" i="22"/>
  <c r="BN358" i="25" s="1"/>
  <c r="BV358" i="25" s="1"/>
  <c r="BX358" i="25" s="1"/>
  <c r="AQ399" i="22"/>
  <c r="BN399" i="25" s="1"/>
  <c r="BV399" i="25" s="1"/>
  <c r="BX399" i="25" s="1"/>
  <c r="AQ432" i="22"/>
  <c r="AQ449" i="22"/>
  <c r="AQ553" i="22"/>
  <c r="BN553" i="25" s="1"/>
  <c r="BV553" i="25" s="1"/>
  <c r="BX553" i="25" s="1"/>
  <c r="AQ557" i="22"/>
  <c r="AQ176" i="22"/>
  <c r="AQ191" i="22"/>
  <c r="AQ196" i="22"/>
  <c r="AQ418" i="22"/>
  <c r="BN418" i="25" s="1"/>
  <c r="BV418" i="25" s="1"/>
  <c r="BX418" i="25" s="1"/>
  <c r="AQ427" i="22"/>
  <c r="AQ585" i="22"/>
  <c r="AG205" i="26"/>
  <c r="AG231" i="26"/>
  <c r="AG235" i="26"/>
  <c r="AG239" i="26"/>
  <c r="AG243" i="26"/>
  <c r="AG247" i="26"/>
  <c r="AG270" i="26"/>
  <c r="AG519" i="26"/>
  <c r="AG521" i="26"/>
  <c r="AG523" i="26"/>
  <c r="AG525" i="26"/>
  <c r="AG527" i="26"/>
  <c r="AG529" i="26"/>
  <c r="AG79" i="26"/>
  <c r="AG258" i="26"/>
  <c r="AG249" i="26"/>
  <c r="AG260" i="26"/>
  <c r="AG83" i="26"/>
  <c r="AG315" i="26"/>
  <c r="AG325" i="26"/>
  <c r="AG334" i="26"/>
  <c r="AG342" i="26"/>
  <c r="AG351" i="26"/>
  <c r="AG359" i="26"/>
  <c r="AG411" i="26"/>
  <c r="AG434" i="26"/>
  <c r="AG438" i="26"/>
  <c r="AG447" i="26"/>
  <c r="AG455" i="26"/>
  <c r="AG464" i="26"/>
  <c r="AG472" i="26"/>
  <c r="AG530" i="26"/>
  <c r="AG539" i="26"/>
  <c r="AG547" i="26"/>
  <c r="AG555" i="26"/>
  <c r="AG563" i="26"/>
  <c r="AG588" i="26"/>
  <c r="AG596" i="26"/>
  <c r="AG608" i="26"/>
  <c r="AG616" i="26"/>
  <c r="BA269" i="17"/>
  <c r="BE269" i="17" s="1"/>
  <c r="BG269" i="17" s="1"/>
  <c r="BN560" i="2"/>
  <c r="AM419" i="1"/>
  <c r="BN419" i="2" s="1"/>
  <c r="BV419" i="2" s="1"/>
  <c r="BX419" i="2" s="1"/>
  <c r="AM568" i="1"/>
  <c r="BN568" i="2" s="1"/>
  <c r="BV568" i="2" s="1"/>
  <c r="BX568" i="2" s="1"/>
  <c r="AM585" i="1"/>
  <c r="BN585" i="2" s="1"/>
  <c r="BV585" i="2" s="1"/>
  <c r="BX585" i="2" s="1"/>
  <c r="AM193" i="1"/>
  <c r="BN193" i="2" s="1"/>
  <c r="BV193" i="2" s="1"/>
  <c r="BX193" i="2" s="1"/>
  <c r="BN177" i="2"/>
  <c r="AI473" i="15"/>
  <c r="AI442" i="15"/>
  <c r="BA442" i="17" s="1"/>
  <c r="BE442" i="17" s="1"/>
  <c r="BG442" i="17" s="1"/>
  <c r="AQ213" i="22"/>
  <c r="BN213" i="25" s="1"/>
  <c r="BV213" i="25" s="1"/>
  <c r="BX213" i="25" s="1"/>
  <c r="AQ600" i="22"/>
  <c r="BN600" i="25" s="1"/>
  <c r="BV600" i="25" s="1"/>
  <c r="BX600" i="25" s="1"/>
  <c r="AQ604" i="22"/>
  <c r="AQ608" i="22"/>
  <c r="BN608" i="25" s="1"/>
  <c r="BV608" i="25" s="1"/>
  <c r="BX608" i="25" s="1"/>
  <c r="AQ576" i="22"/>
  <c r="BN576" i="25" s="1"/>
  <c r="BV576" i="25" s="1"/>
  <c r="BX576" i="25" s="1"/>
  <c r="AQ584" i="22"/>
  <c r="BN584" i="25" s="1"/>
  <c r="BV584" i="25" s="1"/>
  <c r="BX584" i="25" s="1"/>
  <c r="AG161" i="26"/>
  <c r="AG230" i="26"/>
  <c r="AG234" i="26"/>
  <c r="AG238" i="26"/>
  <c r="AG242" i="26"/>
  <c r="AG246" i="26"/>
  <c r="AG269" i="26"/>
  <c r="AG281" i="26"/>
  <c r="AG285" i="26"/>
  <c r="AG291" i="26"/>
  <c r="AG294" i="26"/>
  <c r="AG299" i="26"/>
  <c r="AG303" i="26"/>
  <c r="AG307" i="26"/>
  <c r="AG311" i="26"/>
  <c r="AG317" i="26"/>
  <c r="AG322" i="26"/>
  <c r="AG326" i="26"/>
  <c r="AG331" i="26"/>
  <c r="AG335" i="26"/>
  <c r="AG339" i="26"/>
  <c r="AG343" i="26"/>
  <c r="AG348" i="26"/>
  <c r="AG352" i="26"/>
  <c r="AG356" i="26"/>
  <c r="AG360" i="26"/>
  <c r="AG364" i="26"/>
  <c r="AG412" i="26"/>
  <c r="AG431" i="26"/>
  <c r="AG435" i="26"/>
  <c r="AG439" i="26"/>
  <c r="AG444" i="26"/>
  <c r="AG448" i="26"/>
  <c r="AG452" i="26"/>
  <c r="AG457" i="26"/>
  <c r="AG461" i="26"/>
  <c r="AG465" i="26"/>
  <c r="AG473" i="26"/>
  <c r="AG531" i="26"/>
  <c r="AG535" i="26"/>
  <c r="AG540" i="26"/>
  <c r="AG544" i="26"/>
  <c r="AG548" i="26"/>
  <c r="AG552" i="26"/>
  <c r="AG556" i="26"/>
  <c r="AG560" i="26"/>
  <c r="AG564" i="26"/>
  <c r="AG589" i="26"/>
  <c r="AG593" i="26"/>
  <c r="AG597" i="26"/>
  <c r="AG601" i="26"/>
  <c r="AG605" i="26"/>
  <c r="AG609" i="26"/>
  <c r="AG613" i="26"/>
  <c r="AG617" i="26"/>
  <c r="AD230" i="16"/>
  <c r="AG477" i="26"/>
  <c r="AG469" i="26"/>
  <c r="AG449" i="26"/>
  <c r="AD270" i="16"/>
  <c r="AD285" i="16"/>
  <c r="AD269" i="16"/>
  <c r="AM304" i="1"/>
  <c r="BN304" i="2" s="1"/>
  <c r="AI444" i="15"/>
  <c r="BA444" i="17" s="1"/>
  <c r="BE444" i="17" s="1"/>
  <c r="BG444" i="17" s="1"/>
  <c r="AI436" i="15"/>
  <c r="BA436" i="17" s="1"/>
  <c r="BE436" i="17" s="1"/>
  <c r="BG436" i="17" s="1"/>
  <c r="AQ426" i="22"/>
  <c r="BN426" i="25" s="1"/>
  <c r="BV426" i="25" s="1"/>
  <c r="BX426" i="25" s="1"/>
  <c r="AD362" i="16"/>
  <c r="AD355" i="16"/>
  <c r="AI354" i="15"/>
  <c r="BA354" i="17" s="1"/>
  <c r="BE354" i="17" s="1"/>
  <c r="BG354" i="17" s="1"/>
  <c r="AI347" i="15"/>
  <c r="BA347" i="17" s="1"/>
  <c r="BE347" i="17" s="1"/>
  <c r="BG347" i="17" s="1"/>
  <c r="AD279" i="16"/>
  <c r="AI268" i="15"/>
  <c r="BA268" i="17" s="1"/>
  <c r="BE268" i="17" s="1"/>
  <c r="BG268" i="17" s="1"/>
  <c r="AG273" i="26"/>
  <c r="AI272" i="15"/>
  <c r="BA272" i="17" s="1"/>
  <c r="BE272" i="17" s="1"/>
  <c r="BG272" i="17" s="1"/>
  <c r="BN182" i="2"/>
  <c r="BN184" i="2"/>
  <c r="BA153" i="17"/>
  <c r="BE153" i="17" s="1"/>
  <c r="BG153" i="17" s="1"/>
  <c r="AQ243" i="22"/>
  <c r="BN243" i="25" s="1"/>
  <c r="BV243" i="25" s="1"/>
  <c r="BX243" i="25" s="1"/>
  <c r="AM239" i="1"/>
  <c r="AI237" i="15"/>
  <c r="BA237" i="17" s="1"/>
  <c r="BE237" i="17" s="1"/>
  <c r="BG237" i="17" s="1"/>
  <c r="BA228" i="17"/>
  <c r="BE228" i="17" s="1"/>
  <c r="BG228" i="17" s="1"/>
  <c r="AG226" i="26"/>
  <c r="AG568" i="26"/>
  <c r="AG569" i="26"/>
  <c r="AG570" i="26"/>
  <c r="AG571" i="26"/>
  <c r="AG572" i="26"/>
  <c r="AG573" i="26"/>
  <c r="AG574" i="26"/>
  <c r="AG575" i="26"/>
  <c r="AG576" i="26"/>
  <c r="AG577" i="26"/>
  <c r="AG195" i="26"/>
  <c r="AG201" i="26"/>
  <c r="AG202" i="26"/>
  <c r="BN584" i="2"/>
  <c r="BV584" i="2" s="1"/>
  <c r="BX584" i="2" s="1"/>
  <c r="BN276" i="2"/>
  <c r="BV276" i="2" s="1"/>
  <c r="BX276" i="2" s="1"/>
  <c r="BN574" i="2"/>
  <c r="BV574" i="2" s="1"/>
  <c r="BX574" i="2" s="1"/>
  <c r="BN578" i="2"/>
  <c r="BV578" i="2" s="1"/>
  <c r="BX578" i="2" s="1"/>
  <c r="BN579" i="2"/>
  <c r="BV579" i="2" s="1"/>
  <c r="BX579" i="2" s="1"/>
  <c r="BN580" i="2"/>
  <c r="BV580" i="2" s="1"/>
  <c r="BX580" i="2" s="1"/>
  <c r="BN583" i="2"/>
  <c r="BV583" i="2" s="1"/>
  <c r="BX583" i="2" s="1"/>
  <c r="BN202" i="2"/>
  <c r="BV202" i="2" s="1"/>
  <c r="BX202" i="2" s="1"/>
  <c r="BN239" i="2"/>
  <c r="BN241" i="2"/>
  <c r="BN254" i="2"/>
  <c r="BV254" i="2" s="1"/>
  <c r="BX254" i="2" s="1"/>
  <c r="BN417" i="2"/>
  <c r="BV417" i="2" s="1"/>
  <c r="BX417" i="2" s="1"/>
  <c r="BN195" i="2"/>
  <c r="BV195" i="2" s="1"/>
  <c r="BX195" i="2" s="1"/>
  <c r="BN350" i="2"/>
  <c r="BN244" i="2"/>
  <c r="BV244" i="2" s="1"/>
  <c r="BX244" i="2" s="1"/>
  <c r="BN469" i="2"/>
  <c r="BN536" i="2"/>
  <c r="BV263" i="2"/>
  <c r="BX263" i="2" s="1"/>
  <c r="BN262" i="2"/>
  <c r="BN468" i="2"/>
  <c r="BN211" i="2"/>
  <c r="AM204" i="1"/>
  <c r="BN204" i="2" s="1"/>
  <c r="BV204" i="2" s="1"/>
  <c r="BX204" i="2" s="1"/>
  <c r="AG204" i="26"/>
  <c r="AQ203" i="22"/>
  <c r="AG203" i="26"/>
  <c r="AG200" i="26"/>
  <c r="AG196" i="26"/>
  <c r="AG194" i="26"/>
  <c r="BN194" i="2"/>
  <c r="BV194" i="2" s="1"/>
  <c r="BX194" i="2" s="1"/>
  <c r="AQ193" i="22"/>
  <c r="BN193" i="25" s="1"/>
  <c r="BV193" i="25" s="1"/>
  <c r="BX193" i="25" s="1"/>
  <c r="AG193" i="26"/>
  <c r="AG192" i="26"/>
  <c r="AM192" i="1"/>
  <c r="BN192" i="2" s="1"/>
  <c r="AG191" i="26"/>
  <c r="AG190" i="26"/>
  <c r="BN190" i="2"/>
  <c r="BV190" i="2" s="1"/>
  <c r="BX190" i="2" s="1"/>
  <c r="AQ189" i="22"/>
  <c r="BN187" i="2"/>
  <c r="BV187" i="2" s="1"/>
  <c r="BX187" i="2" s="1"/>
  <c r="AQ185" i="22"/>
  <c r="AQ183" i="22"/>
  <c r="AQ181" i="22"/>
  <c r="BN181" i="25" s="1"/>
  <c r="BV181" i="25" s="1"/>
  <c r="BX181" i="25" s="1"/>
  <c r="AQ180" i="22"/>
  <c r="AG178" i="26"/>
  <c r="AG177" i="26"/>
  <c r="AG176" i="26"/>
  <c r="BN174" i="2"/>
  <c r="BV174" i="2" s="1"/>
  <c r="BX174" i="2" s="1"/>
  <c r="BN165" i="2"/>
  <c r="BV165" i="2" s="1"/>
  <c r="BX165" i="2" s="1"/>
  <c r="BN159" i="2"/>
  <c r="BV159" i="2" s="1"/>
  <c r="BX159" i="2" s="1"/>
  <c r="BV188" i="2"/>
  <c r="BX188" i="2" s="1"/>
  <c r="BV566" i="2"/>
  <c r="BX566" i="2" s="1"/>
  <c r="BV586" i="2"/>
  <c r="BX586" i="2" s="1"/>
  <c r="BN150" i="2"/>
  <c r="BV150" i="2" s="1"/>
  <c r="BX150" i="2" s="1"/>
  <c r="BV157" i="2"/>
  <c r="BX157" i="2" s="1"/>
  <c r="BN143" i="2"/>
  <c r="BV488" i="2"/>
  <c r="BX488" i="2" s="1"/>
  <c r="AG154" i="26"/>
  <c r="AG416" i="26"/>
  <c r="AG417" i="26"/>
  <c r="AG418" i="26"/>
  <c r="AG419" i="26"/>
  <c r="AG425" i="26"/>
  <c r="AG426" i="26"/>
  <c r="AG427" i="26"/>
  <c r="AG428" i="26"/>
  <c r="AG480" i="26"/>
  <c r="AG481" i="26"/>
  <c r="AG482" i="26"/>
  <c r="AG483" i="26"/>
  <c r="AG484" i="26"/>
  <c r="AG485" i="26"/>
  <c r="AG486" i="26"/>
  <c r="AG487" i="26"/>
  <c r="AG489" i="26"/>
  <c r="AG490" i="26"/>
  <c r="AG491" i="26"/>
  <c r="AG492" i="26"/>
  <c r="AG493" i="26"/>
  <c r="AG494" i="26"/>
  <c r="AG495" i="26"/>
  <c r="AG496" i="26"/>
  <c r="AG497" i="26"/>
  <c r="AG498" i="26"/>
  <c r="AG499" i="26"/>
  <c r="AG500" i="26"/>
  <c r="AG501" i="26"/>
  <c r="AG502" i="26"/>
  <c r="AG504" i="26"/>
  <c r="AG505" i="26"/>
  <c r="AG506" i="26"/>
  <c r="AG507" i="26"/>
  <c r="AG508" i="26"/>
  <c r="AG509" i="26"/>
  <c r="AG510" i="26"/>
  <c r="AG511" i="26"/>
  <c r="AG512" i="26"/>
  <c r="AG513" i="26"/>
  <c r="AG514" i="26"/>
  <c r="AG515" i="26"/>
  <c r="AG516" i="26"/>
  <c r="AG517" i="26"/>
  <c r="AG78" i="26"/>
  <c r="AG80" i="26"/>
  <c r="AG251" i="26"/>
  <c r="AG254" i="26"/>
  <c r="AG255" i="26"/>
  <c r="AG256" i="26"/>
  <c r="AG257" i="26"/>
  <c r="AG578" i="26"/>
  <c r="AG579" i="26"/>
  <c r="AG580" i="26"/>
  <c r="AG581" i="26"/>
  <c r="AG582" i="26"/>
  <c r="AG583" i="26"/>
  <c r="AG584" i="26"/>
  <c r="AG585" i="26"/>
  <c r="AG181" i="26"/>
  <c r="AG182" i="26"/>
  <c r="AG183" i="26"/>
  <c r="AG184" i="26"/>
  <c r="AG185" i="26"/>
  <c r="AG187" i="26"/>
  <c r="AG82" i="26"/>
  <c r="BV142" i="2"/>
  <c r="BX142" i="2" s="1"/>
  <c r="BV158" i="2"/>
  <c r="BX158" i="2" s="1"/>
  <c r="BV265" i="2"/>
  <c r="BX265" i="2" s="1"/>
  <c r="BV275" i="2"/>
  <c r="BX275" i="2" s="1"/>
  <c r="BV189" i="2"/>
  <c r="BX189" i="2" s="1"/>
  <c r="BV261" i="2"/>
  <c r="BX261" i="2" s="1"/>
  <c r="BV145" i="2"/>
  <c r="BX145" i="2" s="1"/>
  <c r="BV200" i="2"/>
  <c r="BX200" i="2" s="1"/>
  <c r="BV264" i="2"/>
  <c r="BX264" i="2" s="1"/>
  <c r="BV253" i="2"/>
  <c r="BX253" i="2" s="1"/>
  <c r="BV146" i="2"/>
  <c r="BX146" i="2" s="1"/>
  <c r="BA583" i="17"/>
  <c r="BE583" i="17" s="1"/>
  <c r="BG583" i="17" s="1"/>
  <c r="BA579" i="17"/>
  <c r="BE579" i="17" s="1"/>
  <c r="BG579" i="17" s="1"/>
  <c r="BA571" i="17"/>
  <c r="BA561" i="17"/>
  <c r="BE561" i="17" s="1"/>
  <c r="BG561" i="17" s="1"/>
  <c r="AI543" i="15"/>
  <c r="BA543" i="17" s="1"/>
  <c r="BE543" i="17" s="1"/>
  <c r="BG543" i="17" s="1"/>
  <c r="BA473" i="17"/>
  <c r="BE473" i="17" s="1"/>
  <c r="BG473" i="17" s="1"/>
  <c r="BA466" i="17"/>
  <c r="BE466" i="17" s="1"/>
  <c r="BG466" i="17" s="1"/>
  <c r="BA451" i="17"/>
  <c r="BE451" i="17" s="1"/>
  <c r="BG451" i="17" s="1"/>
  <c r="BA446" i="17"/>
  <c r="BE446" i="17" s="1"/>
  <c r="BG446" i="17" s="1"/>
  <c r="BA431" i="17"/>
  <c r="BE431" i="17" s="1"/>
  <c r="BG431" i="17" s="1"/>
  <c r="BA495" i="17"/>
  <c r="BE495" i="17" s="1"/>
  <c r="BG495" i="17" s="1"/>
  <c r="BA493" i="17"/>
  <c r="BE493" i="17" s="1"/>
  <c r="BG493" i="17" s="1"/>
  <c r="BA491" i="17"/>
  <c r="BE491" i="17" s="1"/>
  <c r="BG491" i="17" s="1"/>
  <c r="BA489" i="17"/>
  <c r="BE489" i="17" s="1"/>
  <c r="BG489" i="17" s="1"/>
  <c r="BA420" i="17"/>
  <c r="BE420" i="17" s="1"/>
  <c r="BG420" i="17" s="1"/>
  <c r="BA584" i="17"/>
  <c r="BE584" i="17" s="1"/>
  <c r="BG584" i="17" s="1"/>
  <c r="BA569" i="17"/>
  <c r="BE569" i="17" s="1"/>
  <c r="BG569" i="17" s="1"/>
  <c r="BA536" i="17"/>
  <c r="BE536" i="17" s="1"/>
  <c r="BG536" i="17" s="1"/>
  <c r="BA534" i="17"/>
  <c r="BE534" i="17" s="1"/>
  <c r="BG534" i="17" s="1"/>
  <c r="BA513" i="17"/>
  <c r="BE513" i="17" s="1"/>
  <c r="BG513" i="17" s="1"/>
  <c r="BA279" i="17"/>
  <c r="BE279" i="17" s="1"/>
  <c r="BG279" i="17" s="1"/>
  <c r="AD435" i="16"/>
  <c r="AD438" i="16"/>
  <c r="AI281" i="15"/>
  <c r="BA281" i="17" s="1"/>
  <c r="BE281" i="17" s="1"/>
  <c r="BG281" i="17" s="1"/>
  <c r="AI618" i="15"/>
  <c r="BA618" i="17" s="1"/>
  <c r="BE618" i="17" s="1"/>
  <c r="BG618" i="17" s="1"/>
  <c r="AI617" i="15"/>
  <c r="BA617" i="17" s="1"/>
  <c r="BE617" i="17" s="1"/>
  <c r="BG617" i="17" s="1"/>
  <c r="AI610" i="15"/>
  <c r="AI607" i="15"/>
  <c r="BA607" i="17" s="1"/>
  <c r="BE607" i="17" s="1"/>
  <c r="BG607" i="17" s="1"/>
  <c r="AI599" i="15"/>
  <c r="BA599" i="17" s="1"/>
  <c r="BE599" i="17" s="1"/>
  <c r="BG599" i="17" s="1"/>
  <c r="AI588" i="15"/>
  <c r="BA588" i="17" s="1"/>
  <c r="AI455" i="15"/>
  <c r="BA455" i="17" s="1"/>
  <c r="BE455" i="17" s="1"/>
  <c r="BG455" i="17" s="1"/>
  <c r="AI447" i="15"/>
  <c r="BA447" i="17" s="1"/>
  <c r="BE447" i="17" s="1"/>
  <c r="BG447" i="17" s="1"/>
  <c r="AI418" i="15"/>
  <c r="BA418" i="17" s="1"/>
  <c r="BE418" i="17" s="1"/>
  <c r="BG418" i="17" s="1"/>
  <c r="AI416" i="15"/>
  <c r="BA416" i="17" s="1"/>
  <c r="BE416" i="17" s="1"/>
  <c r="BG416" i="17" s="1"/>
  <c r="AI234" i="15"/>
  <c r="BA234" i="17" s="1"/>
  <c r="BE234" i="17" s="1"/>
  <c r="BG234" i="17" s="1"/>
  <c r="AI182" i="15"/>
  <c r="BA182" i="17" s="1"/>
  <c r="BE182" i="17" s="1"/>
  <c r="BG182" i="17" s="1"/>
  <c r="AD321" i="16"/>
  <c r="AD564" i="16"/>
  <c r="BA175" i="17"/>
  <c r="BE175" i="17" s="1"/>
  <c r="BG175" i="17" s="1"/>
  <c r="AD601" i="16"/>
  <c r="AD602" i="16"/>
  <c r="AD611" i="16"/>
  <c r="AD616" i="16"/>
  <c r="AD340" i="16"/>
  <c r="AD250" i="16"/>
  <c r="AD360" i="16"/>
  <c r="AD442" i="16"/>
  <c r="AD445" i="16"/>
  <c r="AD539" i="16"/>
  <c r="AD579" i="16"/>
  <c r="AQ508" i="22"/>
  <c r="BN508" i="25" s="1"/>
  <c r="BV508" i="25" s="1"/>
  <c r="BX508" i="25" s="1"/>
  <c r="AQ509" i="22"/>
  <c r="BN509" i="25" s="1"/>
  <c r="BV509" i="25" s="1"/>
  <c r="BX509" i="25" s="1"/>
  <c r="AQ511" i="22"/>
  <c r="BN511" i="25" s="1"/>
  <c r="BV511" i="25" s="1"/>
  <c r="BX511" i="25" s="1"/>
  <c r="AQ512" i="22"/>
  <c r="BN512" i="25" s="1"/>
  <c r="BV512" i="25" s="1"/>
  <c r="BX512" i="25" s="1"/>
  <c r="BA271" i="17"/>
  <c r="BE271" i="17" s="1"/>
  <c r="BG271" i="17" s="1"/>
  <c r="BA331" i="17"/>
  <c r="BE331" i="17" s="1"/>
  <c r="BG331" i="17" s="1"/>
  <c r="BA184" i="17"/>
  <c r="BA185" i="17"/>
  <c r="BE185" i="17" s="1"/>
  <c r="BG185" i="17" s="1"/>
  <c r="AI282" i="15"/>
  <c r="BA282" i="17" s="1"/>
  <c r="BE282" i="17" s="1"/>
  <c r="BG282" i="17" s="1"/>
  <c r="AI270" i="15"/>
  <c r="AI248" i="15"/>
  <c r="BA248" i="17" s="1"/>
  <c r="BE248" i="17" s="1"/>
  <c r="BG248" i="17" s="1"/>
  <c r="AI218" i="15"/>
  <c r="BA218" i="17" s="1"/>
  <c r="BE218" i="17" s="1"/>
  <c r="BG218" i="17" s="1"/>
  <c r="AI214" i="15"/>
  <c r="AI205" i="15"/>
  <c r="AI204" i="15"/>
  <c r="AI202" i="15"/>
  <c r="BA202" i="17" s="1"/>
  <c r="BE202" i="17" s="1"/>
  <c r="BG202" i="17" s="1"/>
  <c r="AI194" i="15"/>
  <c r="AI192" i="15"/>
  <c r="AQ520" i="22"/>
  <c r="AQ516" i="22"/>
  <c r="AQ255" i="22"/>
  <c r="BN255" i="25" s="1"/>
  <c r="BV255" i="25" s="1"/>
  <c r="BX255" i="25" s="1"/>
  <c r="AQ256" i="22"/>
  <c r="AQ257" i="22"/>
  <c r="BN257" i="25" s="1"/>
  <c r="BV257" i="25" s="1"/>
  <c r="BX257" i="25" s="1"/>
  <c r="AI554" i="15"/>
  <c r="BA554" i="17" s="1"/>
  <c r="BE554" i="17" s="1"/>
  <c r="BG554" i="17" s="1"/>
  <c r="AI550" i="15"/>
  <c r="AI537" i="15"/>
  <c r="BA537" i="17" s="1"/>
  <c r="BE537" i="17" s="1"/>
  <c r="BG537" i="17" s="1"/>
  <c r="AI468" i="15"/>
  <c r="AQ490" i="22"/>
  <c r="BN490" i="25" s="1"/>
  <c r="BV490" i="25" s="1"/>
  <c r="BX490" i="25" s="1"/>
  <c r="AQ489" i="22"/>
  <c r="BN489" i="25" s="1"/>
  <c r="BV489" i="25" s="1"/>
  <c r="BX489" i="25" s="1"/>
  <c r="AQ486" i="22"/>
  <c r="BN486" i="25" s="1"/>
  <c r="BV486" i="25" s="1"/>
  <c r="BX486" i="25" s="1"/>
  <c r="AQ485" i="22"/>
  <c r="BN485" i="25" s="1"/>
  <c r="BV485" i="25" s="1"/>
  <c r="BX485" i="25" s="1"/>
  <c r="AQ484" i="22"/>
  <c r="BN484" i="25" s="1"/>
  <c r="BV484" i="25" s="1"/>
  <c r="BX484" i="25" s="1"/>
  <c r="AQ483" i="22"/>
  <c r="BN483" i="25" s="1"/>
  <c r="BV483" i="25" s="1"/>
  <c r="BX483" i="25" s="1"/>
  <c r="AQ251" i="22"/>
  <c r="AQ250" i="22"/>
  <c r="AQ249" i="22"/>
  <c r="AQ518" i="22"/>
  <c r="BN518" i="25" s="1"/>
  <c r="BV518" i="25" s="1"/>
  <c r="BX518" i="25" s="1"/>
  <c r="AQ521" i="22"/>
  <c r="AQ341" i="22"/>
  <c r="BN341" i="25" s="1"/>
  <c r="BV341" i="25" s="1"/>
  <c r="BX341" i="25" s="1"/>
  <c r="AQ343" i="22"/>
  <c r="BN343" i="25" s="1"/>
  <c r="BV343" i="25" s="1"/>
  <c r="BX343" i="25" s="1"/>
  <c r="AQ345" i="22"/>
  <c r="AQ348" i="22"/>
  <c r="AQ352" i="22"/>
  <c r="BN352" i="25" s="1"/>
  <c r="BV352" i="25" s="1"/>
  <c r="BX352" i="25" s="1"/>
  <c r="AQ354" i="22"/>
  <c r="BN354" i="25" s="1"/>
  <c r="BV354" i="25" s="1"/>
  <c r="BX354" i="25" s="1"/>
  <c r="AQ360" i="22"/>
  <c r="BN360" i="25" s="1"/>
  <c r="BV360" i="25" s="1"/>
  <c r="BX360" i="25" s="1"/>
  <c r="AQ362" i="22"/>
  <c r="AQ364" i="22"/>
  <c r="AQ411" i="22"/>
  <c r="BN411" i="25" s="1"/>
  <c r="BV411" i="25" s="1"/>
  <c r="BX411" i="25" s="1"/>
  <c r="AQ414" i="22"/>
  <c r="BN414" i="25" s="1"/>
  <c r="BV414" i="25" s="1"/>
  <c r="BX414" i="25" s="1"/>
  <c r="AQ436" i="22"/>
  <c r="AQ441" i="22"/>
  <c r="AQ443" i="22"/>
  <c r="BN443" i="25" s="1"/>
  <c r="BV443" i="25" s="1"/>
  <c r="BX443" i="25" s="1"/>
  <c r="AQ445" i="22"/>
  <c r="BN445" i="25" s="1"/>
  <c r="BV445" i="25" s="1"/>
  <c r="BX445" i="25" s="1"/>
  <c r="AQ450" i="22"/>
  <c r="BN450" i="25" s="1"/>
  <c r="BV450" i="25" s="1"/>
  <c r="BX450" i="25" s="1"/>
  <c r="AQ452" i="22"/>
  <c r="AQ457" i="22"/>
  <c r="AQ459" i="22"/>
  <c r="BN459" i="25" s="1"/>
  <c r="BV459" i="25" s="1"/>
  <c r="BX459" i="25" s="1"/>
  <c r="AQ461" i="22"/>
  <c r="AQ463" i="22"/>
  <c r="AQ465" i="22"/>
  <c r="BN465" i="25" s="1"/>
  <c r="BV465" i="25" s="1"/>
  <c r="BX465" i="25" s="1"/>
  <c r="AQ467" i="22"/>
  <c r="BN467" i="25" s="1"/>
  <c r="BV467" i="25" s="1"/>
  <c r="BX467" i="25" s="1"/>
  <c r="AQ469" i="22"/>
  <c r="AQ471" i="22"/>
  <c r="BN471" i="25" s="1"/>
  <c r="BV471" i="25" s="1"/>
  <c r="BX471" i="25" s="1"/>
  <c r="AQ473" i="22"/>
  <c r="BN473" i="25" s="1"/>
  <c r="BV473" i="25" s="1"/>
  <c r="BX473" i="25" s="1"/>
  <c r="AQ475" i="22"/>
  <c r="BN475" i="25" s="1"/>
  <c r="BV475" i="25" s="1"/>
  <c r="BX475" i="25" s="1"/>
  <c r="AQ477" i="22"/>
  <c r="AQ479" i="22"/>
  <c r="BN479" i="25" s="1"/>
  <c r="BV479" i="25" s="1"/>
  <c r="BX479" i="25" s="1"/>
  <c r="AQ531" i="22"/>
  <c r="BN531" i="25" s="1"/>
  <c r="BV531" i="25" s="1"/>
  <c r="BX531" i="25" s="1"/>
  <c r="AQ533" i="22"/>
  <c r="BN533" i="25" s="1"/>
  <c r="BV533" i="25" s="1"/>
  <c r="BX533" i="25" s="1"/>
  <c r="AQ535" i="22"/>
  <c r="BN535" i="25" s="1"/>
  <c r="BV535" i="25" s="1"/>
  <c r="BX535" i="25" s="1"/>
  <c r="AQ537" i="22"/>
  <c r="AQ540" i="22"/>
  <c r="BN540" i="25" s="1"/>
  <c r="BV540" i="25" s="1"/>
  <c r="BX540" i="25" s="1"/>
  <c r="AQ542" i="22"/>
  <c r="AQ546" i="22"/>
  <c r="AQ548" i="22"/>
  <c r="BN548" i="25" s="1"/>
  <c r="BV548" i="25" s="1"/>
  <c r="BX548" i="25" s="1"/>
  <c r="AQ552" i="22"/>
  <c r="BN552" i="25" s="1"/>
  <c r="BV552" i="25" s="1"/>
  <c r="BX552" i="25" s="1"/>
  <c r="AQ558" i="22"/>
  <c r="BN558" i="25" s="1"/>
  <c r="BV558" i="25" s="1"/>
  <c r="BX558" i="25" s="1"/>
  <c r="BN560" i="25"/>
  <c r="BV560" i="25" s="1"/>
  <c r="BX560" i="25" s="1"/>
  <c r="AQ562" i="22"/>
  <c r="AQ567" i="22"/>
  <c r="AQ588" i="22"/>
  <c r="BN588" i="25" s="1"/>
  <c r="BV588" i="25" s="1"/>
  <c r="BX588" i="25" s="1"/>
  <c r="AQ590" i="22"/>
  <c r="BN590" i="25" s="1"/>
  <c r="BV590" i="25" s="1"/>
  <c r="BX590" i="25" s="1"/>
  <c r="AQ592" i="22"/>
  <c r="BN592" i="25" s="1"/>
  <c r="BV592" i="25" s="1"/>
  <c r="BX592" i="25" s="1"/>
  <c r="AQ594" i="22"/>
  <c r="BN594" i="25" s="1"/>
  <c r="BV594" i="25" s="1"/>
  <c r="BX594" i="25" s="1"/>
  <c r="AQ596" i="22"/>
  <c r="BN596" i="25" s="1"/>
  <c r="BV596" i="25" s="1"/>
  <c r="BX596" i="25" s="1"/>
  <c r="AQ598" i="22"/>
  <c r="AQ610" i="22"/>
  <c r="AQ612" i="22"/>
  <c r="BN612" i="25" s="1"/>
  <c r="BV612" i="25" s="1"/>
  <c r="BX612" i="25" s="1"/>
  <c r="AQ614" i="22"/>
  <c r="BN614" i="25" s="1"/>
  <c r="BV614" i="25" s="1"/>
  <c r="BX614" i="25" s="1"/>
  <c r="AQ616" i="22"/>
  <c r="BN616" i="25" s="1"/>
  <c r="BV616" i="25" s="1"/>
  <c r="BX616" i="25" s="1"/>
  <c r="AQ618" i="22"/>
  <c r="AQ578" i="22"/>
  <c r="BN578" i="25" s="1"/>
  <c r="BV578" i="25" s="1"/>
  <c r="BX578" i="25" s="1"/>
  <c r="AQ580" i="22"/>
  <c r="BN580" i="25" s="1"/>
  <c r="BV580" i="25" s="1"/>
  <c r="BX580" i="25" s="1"/>
  <c r="AQ480" i="22"/>
  <c r="BN480" i="25" s="1"/>
  <c r="BV480" i="25" s="1"/>
  <c r="BX480" i="25" s="1"/>
  <c r="AQ481" i="22"/>
  <c r="AQ492" i="22"/>
  <c r="BN492" i="25" s="1"/>
  <c r="BV492" i="25" s="1"/>
  <c r="BX492" i="25" s="1"/>
  <c r="AQ493" i="22"/>
  <c r="BN493" i="25" s="1"/>
  <c r="BV493" i="25" s="1"/>
  <c r="BX493" i="25" s="1"/>
  <c r="AQ494" i="22"/>
  <c r="AQ495" i="22"/>
  <c r="BN495" i="25" s="1"/>
  <c r="BV495" i="25" s="1"/>
  <c r="BX495" i="25" s="1"/>
  <c r="AQ496" i="22"/>
  <c r="AQ497" i="22"/>
  <c r="BN497" i="25" s="1"/>
  <c r="BV497" i="25" s="1"/>
  <c r="BX497" i="25" s="1"/>
  <c r="AQ498" i="22"/>
  <c r="BN498" i="25" s="1"/>
  <c r="BV498" i="25" s="1"/>
  <c r="BX498" i="25" s="1"/>
  <c r="AQ499" i="22"/>
  <c r="AQ500" i="22"/>
  <c r="BN500" i="25" s="1"/>
  <c r="BV500" i="25" s="1"/>
  <c r="BX500" i="25" s="1"/>
  <c r="AQ501" i="22"/>
  <c r="BN501" i="25" s="1"/>
  <c r="BV501" i="25" s="1"/>
  <c r="BX501" i="25" s="1"/>
  <c r="AQ502" i="22"/>
  <c r="AQ504" i="22"/>
  <c r="AQ505" i="22"/>
  <c r="BN505" i="25" s="1"/>
  <c r="BV505" i="25" s="1"/>
  <c r="BX505" i="25" s="1"/>
  <c r="AQ506" i="22"/>
  <c r="BN506" i="25" s="1"/>
  <c r="BV506" i="25" s="1"/>
  <c r="BX506" i="25" s="1"/>
  <c r="AQ507" i="22"/>
  <c r="BN507" i="25" s="1"/>
  <c r="BV507" i="25" s="1"/>
  <c r="BX507" i="25" s="1"/>
  <c r="AQ510" i="22"/>
  <c r="BN510" i="25" s="1"/>
  <c r="BV510" i="25" s="1"/>
  <c r="BX510" i="25" s="1"/>
  <c r="AQ513" i="22"/>
  <c r="BN513" i="25" s="1"/>
  <c r="BV513" i="25" s="1"/>
  <c r="BX513" i="25" s="1"/>
  <c r="AQ514" i="22"/>
  <c r="BN514" i="25" s="1"/>
  <c r="BV514" i="25" s="1"/>
  <c r="BX514" i="25" s="1"/>
  <c r="AQ515" i="22"/>
  <c r="BN515" i="25" s="1"/>
  <c r="BV515" i="25" s="1"/>
  <c r="BX515" i="25" s="1"/>
  <c r="AQ519" i="22"/>
  <c r="AQ522" i="22"/>
  <c r="BN522" i="25" s="1"/>
  <c r="BV522" i="25" s="1"/>
  <c r="BX522" i="25" s="1"/>
  <c r="AQ523" i="22"/>
  <c r="BN523" i="25" s="1"/>
  <c r="BV523" i="25" s="1"/>
  <c r="BX523" i="25" s="1"/>
  <c r="AQ524" i="22"/>
  <c r="BN524" i="25" s="1"/>
  <c r="BV524" i="25" s="1"/>
  <c r="BX524" i="25" s="1"/>
  <c r="AQ525" i="22"/>
  <c r="AQ526" i="22"/>
  <c r="BN526" i="25" s="1"/>
  <c r="BV526" i="25" s="1"/>
  <c r="BX526" i="25" s="1"/>
  <c r="AQ527" i="22"/>
  <c r="BN527" i="25" s="1"/>
  <c r="BV527" i="25" s="1"/>
  <c r="BX527" i="25" s="1"/>
  <c r="AQ429" i="22"/>
  <c r="BN429" i="25" s="1"/>
  <c r="BV429" i="25" s="1"/>
  <c r="BX429" i="25" s="1"/>
  <c r="AQ340" i="22"/>
  <c r="BN340" i="25" s="1"/>
  <c r="BV340" i="25" s="1"/>
  <c r="BX340" i="25" s="1"/>
  <c r="AQ342" i="22"/>
  <c r="BN342" i="25" s="1"/>
  <c r="BV342" i="25" s="1"/>
  <c r="BX342" i="25" s="1"/>
  <c r="AQ344" i="22"/>
  <c r="BN344" i="25" s="1"/>
  <c r="BV344" i="25" s="1"/>
  <c r="BX344" i="25" s="1"/>
  <c r="AQ347" i="22"/>
  <c r="AQ349" i="22"/>
  <c r="AQ353" i="22"/>
  <c r="BN353" i="25" s="1"/>
  <c r="BV353" i="25" s="1"/>
  <c r="BX353" i="25" s="1"/>
  <c r="AQ355" i="22"/>
  <c r="BN355" i="25" s="1"/>
  <c r="BV355" i="25" s="1"/>
  <c r="BX355" i="25" s="1"/>
  <c r="AQ357" i="22"/>
  <c r="BN357" i="25" s="1"/>
  <c r="BV357" i="25" s="1"/>
  <c r="BX357" i="25" s="1"/>
  <c r="AQ359" i="22"/>
  <c r="AQ361" i="22"/>
  <c r="BN361" i="25" s="1"/>
  <c r="BV361" i="25" s="1"/>
  <c r="BX361" i="25" s="1"/>
  <c r="AQ363" i="22"/>
  <c r="BN363" i="25" s="1"/>
  <c r="BV363" i="25" s="1"/>
  <c r="BX363" i="25" s="1"/>
  <c r="AQ365" i="22"/>
  <c r="AQ412" i="22"/>
  <c r="BN412" i="25" s="1"/>
  <c r="BV412" i="25" s="1"/>
  <c r="BX412" i="25" s="1"/>
  <c r="AQ433" i="22"/>
  <c r="BN433" i="25" s="1"/>
  <c r="BV433" i="25" s="1"/>
  <c r="BX433" i="25" s="1"/>
  <c r="AQ437" i="22"/>
  <c r="BN437" i="25" s="1"/>
  <c r="BV437" i="25" s="1"/>
  <c r="BX437" i="25" s="1"/>
  <c r="AQ439" i="22"/>
  <c r="AQ442" i="22"/>
  <c r="AQ444" i="22"/>
  <c r="BN444" i="25" s="1"/>
  <c r="BV444" i="25" s="1"/>
  <c r="BX444" i="25" s="1"/>
  <c r="AQ446" i="22"/>
  <c r="BN446" i="25" s="1"/>
  <c r="BV446" i="25" s="1"/>
  <c r="BX446" i="25" s="1"/>
  <c r="AQ451" i="22"/>
  <c r="AQ453" i="22"/>
  <c r="AQ455" i="22"/>
  <c r="AQ458" i="22"/>
  <c r="BN458" i="25" s="1"/>
  <c r="BV458" i="25" s="1"/>
  <c r="BX458" i="25" s="1"/>
  <c r="AQ460" i="22"/>
  <c r="AQ462" i="22"/>
  <c r="BN462" i="25" s="1"/>
  <c r="BV462" i="25" s="1"/>
  <c r="BX462" i="25" s="1"/>
  <c r="AQ464" i="22"/>
  <c r="BN464" i="25" s="1"/>
  <c r="BV464" i="25" s="1"/>
  <c r="BX464" i="25" s="1"/>
  <c r="AQ466" i="22"/>
  <c r="BN466" i="25" s="1"/>
  <c r="BV466" i="25" s="1"/>
  <c r="BX466" i="25" s="1"/>
  <c r="AQ468" i="22"/>
  <c r="AQ470" i="22"/>
  <c r="AQ472" i="22"/>
  <c r="AQ474" i="22"/>
  <c r="BN474" i="25" s="1"/>
  <c r="BV474" i="25" s="1"/>
  <c r="BX474" i="25" s="1"/>
  <c r="AQ476" i="22"/>
  <c r="BN476" i="25" s="1"/>
  <c r="BV476" i="25" s="1"/>
  <c r="BX476" i="25" s="1"/>
  <c r="AQ478" i="22"/>
  <c r="BN478" i="25" s="1"/>
  <c r="BV478" i="25" s="1"/>
  <c r="BX478" i="25" s="1"/>
  <c r="AQ530" i="22"/>
  <c r="BN530" i="25" s="1"/>
  <c r="BV530" i="25" s="1"/>
  <c r="BX530" i="25" s="1"/>
  <c r="AQ532" i="22"/>
  <c r="BN532" i="25" s="1"/>
  <c r="BV532" i="25" s="1"/>
  <c r="BX532" i="25" s="1"/>
  <c r="AQ534" i="22"/>
  <c r="AQ536" i="22"/>
  <c r="BN536" i="25" s="1"/>
  <c r="BV536" i="25" s="1"/>
  <c r="BX536" i="25" s="1"/>
  <c r="AQ539" i="22"/>
  <c r="BN539" i="25" s="1"/>
  <c r="BV539" i="25" s="1"/>
  <c r="BX539" i="25" s="1"/>
  <c r="AQ541" i="22"/>
  <c r="BN541" i="25" s="1"/>
  <c r="BV541" i="25" s="1"/>
  <c r="BX541" i="25" s="1"/>
  <c r="AQ543" i="22"/>
  <c r="BN543" i="25" s="1"/>
  <c r="BV543" i="25" s="1"/>
  <c r="BX543" i="25" s="1"/>
  <c r="AQ545" i="22"/>
  <c r="BN545" i="25" s="1"/>
  <c r="BV545" i="25" s="1"/>
  <c r="BX545" i="25" s="1"/>
  <c r="AQ547" i="22"/>
  <c r="BN547" i="25" s="1"/>
  <c r="BV547" i="25" s="1"/>
  <c r="BX547" i="25" s="1"/>
  <c r="AQ549" i="22"/>
  <c r="BN549" i="25" s="1"/>
  <c r="BV549" i="25" s="1"/>
  <c r="BX549" i="25" s="1"/>
  <c r="AQ551" i="22"/>
  <c r="BN551" i="25" s="1"/>
  <c r="BV551" i="25" s="1"/>
  <c r="BX551" i="25" s="1"/>
  <c r="AQ555" i="22"/>
  <c r="BN555" i="25" s="1"/>
  <c r="BV555" i="25" s="1"/>
  <c r="BX555" i="25" s="1"/>
  <c r="AQ561" i="22"/>
  <c r="BN561" i="25" s="1"/>
  <c r="BV561" i="25" s="1"/>
  <c r="BX561" i="25" s="1"/>
  <c r="AQ563" i="22"/>
  <c r="BN563" i="25" s="1"/>
  <c r="BV563" i="25" s="1"/>
  <c r="BX563" i="25" s="1"/>
  <c r="AQ565" i="22"/>
  <c r="BN565" i="25" s="1"/>
  <c r="BV565" i="25" s="1"/>
  <c r="BX565" i="25" s="1"/>
  <c r="AQ587" i="22"/>
  <c r="BN587" i="25" s="1"/>
  <c r="BV587" i="25" s="1"/>
  <c r="BX587" i="25" s="1"/>
  <c r="AQ589" i="22"/>
  <c r="BN589" i="25" s="1"/>
  <c r="BV589" i="25" s="1"/>
  <c r="BX589" i="25" s="1"/>
  <c r="AQ591" i="22"/>
  <c r="BN591" i="25" s="1"/>
  <c r="BV591" i="25" s="1"/>
  <c r="BX591" i="25" s="1"/>
  <c r="AQ593" i="22"/>
  <c r="BN593" i="25" s="1"/>
  <c r="BV593" i="25" s="1"/>
  <c r="BX593" i="25" s="1"/>
  <c r="AQ595" i="22"/>
  <c r="BN595" i="25" s="1"/>
  <c r="BV595" i="25" s="1"/>
  <c r="BX595" i="25" s="1"/>
  <c r="AQ597" i="22"/>
  <c r="AQ599" i="22"/>
  <c r="BN599" i="25" s="1"/>
  <c r="BV599" i="25" s="1"/>
  <c r="BX599" i="25" s="1"/>
  <c r="AQ611" i="22"/>
  <c r="BN611" i="25" s="1"/>
  <c r="BV611" i="25" s="1"/>
  <c r="BX611" i="25" s="1"/>
  <c r="AQ613" i="22"/>
  <c r="BN613" i="25" s="1"/>
  <c r="BV613" i="25" s="1"/>
  <c r="BX613" i="25" s="1"/>
  <c r="AQ615" i="22"/>
  <c r="BN615" i="25" s="1"/>
  <c r="BV615" i="25" s="1"/>
  <c r="BX615" i="25" s="1"/>
  <c r="AQ617" i="22"/>
  <c r="BN617" i="25" s="1"/>
  <c r="BV617" i="25" s="1"/>
  <c r="BX617" i="25" s="1"/>
  <c r="AQ419" i="22"/>
  <c r="AQ579" i="22"/>
  <c r="BN579" i="25" s="1"/>
  <c r="BV579" i="25" s="1"/>
  <c r="BX579" i="25" s="1"/>
  <c r="AQ482" i="22"/>
  <c r="BN482" i="25" s="1"/>
  <c r="BV482" i="25" s="1"/>
  <c r="BX482" i="25" s="1"/>
  <c r="AQ517" i="22"/>
  <c r="BN517" i="25" s="1"/>
  <c r="BV517" i="25" s="1"/>
  <c r="BX517" i="25" s="1"/>
  <c r="AQ528" i="22"/>
  <c r="AQ529" i="22"/>
  <c r="BN529" i="25" s="1"/>
  <c r="BV529" i="25" s="1"/>
  <c r="BX529" i="25" s="1"/>
  <c r="AQ491" i="22"/>
  <c r="BN491" i="25" s="1"/>
  <c r="BV491" i="25" s="1"/>
  <c r="BX491" i="25" s="1"/>
  <c r="AQ487" i="22"/>
  <c r="BN487" i="25" s="1"/>
  <c r="BV487" i="25" s="1"/>
  <c r="BX487" i="25" s="1"/>
  <c r="AQ431" i="22"/>
  <c r="AQ163" i="22"/>
  <c r="BN163" i="25" s="1"/>
  <c r="BV163" i="25" s="1"/>
  <c r="BX163" i="25" s="1"/>
  <c r="AQ297" i="22"/>
  <c r="BN297" i="25" s="1"/>
  <c r="BV297" i="25" s="1"/>
  <c r="BX297" i="25" s="1"/>
  <c r="AQ155" i="22"/>
  <c r="BN155" i="25" s="1"/>
  <c r="BV155" i="25" s="1"/>
  <c r="BX155" i="25" s="1"/>
  <c r="AQ160" i="22"/>
  <c r="AQ162" i="22"/>
  <c r="AQ169" i="22"/>
  <c r="AQ206" i="22"/>
  <c r="BN206" i="25" s="1"/>
  <c r="BV206" i="25" s="1"/>
  <c r="BX206" i="25" s="1"/>
  <c r="AQ210" i="22"/>
  <c r="AQ212" i="22"/>
  <c r="AQ214" i="22"/>
  <c r="AQ218" i="22"/>
  <c r="BN218" i="25" s="1"/>
  <c r="BV218" i="25" s="1"/>
  <c r="BX218" i="25" s="1"/>
  <c r="AQ220" i="22"/>
  <c r="BN220" i="25" s="1"/>
  <c r="BV220" i="25" s="1"/>
  <c r="BX220" i="25" s="1"/>
  <c r="AQ222" i="22"/>
  <c r="AQ224" i="22"/>
  <c r="BN224" i="25" s="1"/>
  <c r="BV224" i="25" s="1"/>
  <c r="BX224" i="25" s="1"/>
  <c r="AQ226" i="22"/>
  <c r="BN226" i="25" s="1"/>
  <c r="BV226" i="25" s="1"/>
  <c r="BX226" i="25" s="1"/>
  <c r="AQ228" i="22"/>
  <c r="BN228" i="25" s="1"/>
  <c r="BV228" i="25" s="1"/>
  <c r="BX228" i="25" s="1"/>
  <c r="AQ230" i="22"/>
  <c r="AQ232" i="22"/>
  <c r="BN232" i="25" s="1"/>
  <c r="BV232" i="25" s="1"/>
  <c r="BX232" i="25" s="1"/>
  <c r="AQ234" i="22"/>
  <c r="BN234" i="25" s="1"/>
  <c r="BV234" i="25" s="1"/>
  <c r="BX234" i="25" s="1"/>
  <c r="AQ238" i="22"/>
  <c r="AQ240" i="22"/>
  <c r="AQ242" i="22"/>
  <c r="BN242" i="25" s="1"/>
  <c r="BV242" i="25" s="1"/>
  <c r="BX242" i="25" s="1"/>
  <c r="AQ244" i="22"/>
  <c r="BN244" i="25" s="1"/>
  <c r="BV244" i="25" s="1"/>
  <c r="BX244" i="25" s="1"/>
  <c r="AQ246" i="22"/>
  <c r="AQ248" i="22"/>
  <c r="AQ267" i="22"/>
  <c r="BN267" i="25" s="1"/>
  <c r="BV267" i="25" s="1"/>
  <c r="BX267" i="25" s="1"/>
  <c r="AQ269" i="22"/>
  <c r="BN269" i="25" s="1"/>
  <c r="BV269" i="25" s="1"/>
  <c r="BX269" i="25" s="1"/>
  <c r="AQ271" i="22"/>
  <c r="AQ273" i="22"/>
  <c r="AQ277" i="22"/>
  <c r="BN277" i="25" s="1"/>
  <c r="BV277" i="25" s="1"/>
  <c r="BX277" i="25" s="1"/>
  <c r="AQ279" i="22"/>
  <c r="BN279" i="25" s="1"/>
  <c r="BV279" i="25" s="1"/>
  <c r="BX279" i="25" s="1"/>
  <c r="AQ283" i="22"/>
  <c r="AQ285" i="22"/>
  <c r="AQ288" i="22"/>
  <c r="BN288" i="25" s="1"/>
  <c r="BV288" i="25" s="1"/>
  <c r="BX288" i="25" s="1"/>
  <c r="AQ291" i="22"/>
  <c r="BN291" i="25" s="1"/>
  <c r="BV291" i="25" s="1"/>
  <c r="BX291" i="25" s="1"/>
  <c r="AQ289" i="22"/>
  <c r="AQ294" i="22"/>
  <c r="AQ299" i="22"/>
  <c r="BN299" i="25" s="1"/>
  <c r="BV299" i="25" s="1"/>
  <c r="BX299" i="25" s="1"/>
  <c r="AQ301" i="22"/>
  <c r="BN301" i="25" s="1"/>
  <c r="BV301" i="25" s="1"/>
  <c r="BX301" i="25" s="1"/>
  <c r="AQ303" i="22"/>
  <c r="AQ305" i="22"/>
  <c r="AQ307" i="22"/>
  <c r="BN307" i="25" s="1"/>
  <c r="BV307" i="25" s="1"/>
  <c r="BX307" i="25" s="1"/>
  <c r="AQ309" i="22"/>
  <c r="BN309" i="25" s="1"/>
  <c r="BV309" i="25" s="1"/>
  <c r="BX309" i="25" s="1"/>
  <c r="AQ311" i="22"/>
  <c r="AQ313" i="22"/>
  <c r="BN313" i="25" s="1"/>
  <c r="BV313" i="25" s="1"/>
  <c r="BX313" i="25" s="1"/>
  <c r="AQ317" i="22"/>
  <c r="BN317" i="25" s="1"/>
  <c r="BV317" i="25" s="1"/>
  <c r="BX317" i="25" s="1"/>
  <c r="AQ320" i="22"/>
  <c r="BN320" i="25" s="1"/>
  <c r="BV320" i="25" s="1"/>
  <c r="BX320" i="25" s="1"/>
  <c r="AQ322" i="22"/>
  <c r="AQ324" i="22"/>
  <c r="AQ326" i="22"/>
  <c r="AQ329" i="22"/>
  <c r="BN329" i="25" s="1"/>
  <c r="BV329" i="25" s="1"/>
  <c r="BX329" i="25" s="1"/>
  <c r="AQ331" i="22"/>
  <c r="AQ333" i="22"/>
  <c r="BN333" i="25" s="1"/>
  <c r="BV333" i="25" s="1"/>
  <c r="BX333" i="25" s="1"/>
  <c r="AQ335" i="22"/>
  <c r="BN335" i="25" s="1"/>
  <c r="BV335" i="25" s="1"/>
  <c r="BX335" i="25" s="1"/>
  <c r="AQ337" i="22"/>
  <c r="AQ182" i="22"/>
  <c r="AQ184" i="22"/>
  <c r="AQ202" i="22"/>
  <c r="BN202" i="25" s="1"/>
  <c r="BV202" i="25" s="1"/>
  <c r="BX202" i="25" s="1"/>
  <c r="AQ254" i="22"/>
  <c r="BN254" i="25" s="1"/>
  <c r="BV254" i="25" s="1"/>
  <c r="BX254" i="25" s="1"/>
  <c r="AQ258" i="22"/>
  <c r="AQ259" i="22"/>
  <c r="AQ274" i="22"/>
  <c r="BN274" i="25" s="1"/>
  <c r="BV274" i="25" s="1"/>
  <c r="BX274" i="25" s="1"/>
  <c r="AQ156" i="22"/>
  <c r="BN156" i="25" s="1"/>
  <c r="BV156" i="25" s="1"/>
  <c r="BX156" i="25" s="1"/>
  <c r="AQ161" i="22"/>
  <c r="AQ167" i="22"/>
  <c r="AQ205" i="22"/>
  <c r="BN205" i="25" s="1"/>
  <c r="BV205" i="25" s="1"/>
  <c r="BX205" i="25" s="1"/>
  <c r="AQ207" i="22"/>
  <c r="BN207" i="25" s="1"/>
  <c r="BV207" i="25" s="1"/>
  <c r="BX207" i="25" s="1"/>
  <c r="AQ209" i="22"/>
  <c r="AQ211" i="22"/>
  <c r="AQ215" i="22"/>
  <c r="BN215" i="25" s="1"/>
  <c r="BV215" i="25" s="1"/>
  <c r="BX215" i="25" s="1"/>
  <c r="AQ217" i="22"/>
  <c r="BN217" i="25" s="1"/>
  <c r="BV217" i="25" s="1"/>
  <c r="BX217" i="25" s="1"/>
  <c r="AQ219" i="22"/>
  <c r="BN219" i="25" s="1"/>
  <c r="BV219" i="25" s="1"/>
  <c r="AQ221" i="22"/>
  <c r="AQ223" i="22"/>
  <c r="BN223" i="25" s="1"/>
  <c r="BV223" i="25" s="1"/>
  <c r="BX223" i="25" s="1"/>
  <c r="AQ227" i="22"/>
  <c r="BN227" i="25" s="1"/>
  <c r="BV227" i="25" s="1"/>
  <c r="BX227" i="25" s="1"/>
  <c r="AQ229" i="22"/>
  <c r="AQ235" i="22"/>
  <c r="AQ237" i="22"/>
  <c r="BN237" i="25" s="1"/>
  <c r="BV237" i="25" s="1"/>
  <c r="BX237" i="25" s="1"/>
  <c r="AQ239" i="22"/>
  <c r="BN239" i="25" s="1"/>
  <c r="BV239" i="25" s="1"/>
  <c r="BX239" i="25" s="1"/>
  <c r="AQ241" i="22"/>
  <c r="AQ245" i="22"/>
  <c r="AQ247" i="22"/>
  <c r="BN247" i="25" s="1"/>
  <c r="BV247" i="25" s="1"/>
  <c r="BX247" i="25" s="1"/>
  <c r="AQ268" i="22"/>
  <c r="AQ270" i="22"/>
  <c r="AQ272" i="22"/>
  <c r="AQ278" i="22"/>
  <c r="BN278" i="25" s="1"/>
  <c r="BV278" i="25" s="1"/>
  <c r="BX278" i="25" s="1"/>
  <c r="AQ280" i="22"/>
  <c r="BN280" i="25" s="1"/>
  <c r="BV280" i="25" s="1"/>
  <c r="BX280" i="25" s="1"/>
  <c r="AQ282" i="22"/>
  <c r="AQ284" i="22"/>
  <c r="AQ287" i="22"/>
  <c r="BN287" i="25" s="1"/>
  <c r="BV287" i="25" s="1"/>
  <c r="BX287" i="25" s="1"/>
  <c r="AQ290" i="22"/>
  <c r="BN290" i="25" s="1"/>
  <c r="BV290" i="25" s="1"/>
  <c r="BX290" i="25" s="1"/>
  <c r="AQ292" i="22"/>
  <c r="BN292" i="25" s="1"/>
  <c r="BV292" i="25" s="1"/>
  <c r="BX292" i="25" s="1"/>
  <c r="AQ293" i="22"/>
  <c r="AQ298" i="22"/>
  <c r="BN298" i="25" s="1"/>
  <c r="BV298" i="25" s="1"/>
  <c r="BX298" i="25" s="1"/>
  <c r="AQ300" i="22"/>
  <c r="BN300" i="25" s="1"/>
  <c r="BV300" i="25" s="1"/>
  <c r="BX300" i="25" s="1"/>
  <c r="AQ302" i="22"/>
  <c r="AQ304" i="22"/>
  <c r="AQ306" i="22"/>
  <c r="AQ308" i="22"/>
  <c r="BN308" i="25" s="1"/>
  <c r="BV308" i="25" s="1"/>
  <c r="BX308" i="25" s="1"/>
  <c r="AQ310" i="22"/>
  <c r="AQ312" i="22"/>
  <c r="AQ315" i="22"/>
  <c r="BN315" i="25" s="1"/>
  <c r="BV315" i="25" s="1"/>
  <c r="BX315" i="25" s="1"/>
  <c r="AQ319" i="22"/>
  <c r="BN319" i="25" s="1"/>
  <c r="BV319" i="25" s="1"/>
  <c r="BX319" i="25" s="1"/>
  <c r="AQ321" i="22"/>
  <c r="AQ323" i="22"/>
  <c r="AQ325" i="22"/>
  <c r="BN325" i="25" s="1"/>
  <c r="BV325" i="25" s="1"/>
  <c r="BX325" i="25" s="1"/>
  <c r="AQ328" i="22"/>
  <c r="BN328" i="25" s="1"/>
  <c r="BV328" i="25" s="1"/>
  <c r="BX328" i="25" s="1"/>
  <c r="AQ330" i="22"/>
  <c r="AQ332" i="22"/>
  <c r="AQ334" i="22"/>
  <c r="BN334" i="25" s="1"/>
  <c r="BV334" i="25" s="1"/>
  <c r="BX334" i="25" s="1"/>
  <c r="AQ336" i="22"/>
  <c r="BN336" i="25" s="1"/>
  <c r="BV336" i="25" s="1"/>
  <c r="BX336" i="25" s="1"/>
  <c r="AQ338" i="22"/>
  <c r="AQ195" i="22"/>
  <c r="AQ201" i="22"/>
  <c r="AQ281" i="22"/>
  <c r="BN281" i="25" s="1"/>
  <c r="BV281" i="25" s="1"/>
  <c r="BX281" i="25" s="1"/>
  <c r="AQ275" i="22"/>
  <c r="BN275" i="25" s="1"/>
  <c r="BV275" i="25" s="1"/>
  <c r="BX275" i="25" s="1"/>
  <c r="AQ266" i="22"/>
  <c r="BN266" i="25" s="1"/>
  <c r="BV266" i="25" s="1"/>
  <c r="BX266" i="25" s="1"/>
  <c r="AQ265" i="22"/>
  <c r="BN265" i="25" s="1"/>
  <c r="BV265" i="25" s="1"/>
  <c r="BX265" i="25" s="1"/>
  <c r="AQ264" i="22"/>
  <c r="BN264" i="25" s="1"/>
  <c r="BV264" i="25" s="1"/>
  <c r="BX264" i="25" s="1"/>
  <c r="AQ262" i="22"/>
  <c r="BN262" i="25" s="1"/>
  <c r="BV262" i="25" s="1"/>
  <c r="BX262" i="25" s="1"/>
  <c r="AQ261" i="22"/>
  <c r="BN261" i="25" s="1"/>
  <c r="BV261" i="25" s="1"/>
  <c r="BX261" i="25" s="1"/>
  <c r="AQ260" i="22"/>
  <c r="BN260" i="25" s="1"/>
  <c r="BV260" i="25" s="1"/>
  <c r="BX260" i="25" s="1"/>
  <c r="AQ253" i="22"/>
  <c r="BN253" i="25" s="1"/>
  <c r="BV253" i="25" s="1"/>
  <c r="BX253" i="25" s="1"/>
  <c r="AQ225" i="22"/>
  <c r="BN225" i="25" s="1"/>
  <c r="BV225" i="25" s="1"/>
  <c r="BX225" i="25" s="1"/>
  <c r="AQ208" i="22"/>
  <c r="BN208" i="25" s="1"/>
  <c r="BV208" i="25" s="1"/>
  <c r="BX208" i="25" s="1"/>
  <c r="AQ199" i="22"/>
  <c r="BN199" i="25" s="1"/>
  <c r="BV199" i="25" s="1"/>
  <c r="BX199" i="25" s="1"/>
  <c r="AQ173" i="22"/>
  <c r="BN173" i="25" s="1"/>
  <c r="BV173" i="25" s="1"/>
  <c r="BX173" i="25" s="1"/>
  <c r="AQ165" i="22"/>
  <c r="BN165" i="25" s="1"/>
  <c r="BV165" i="25" s="1"/>
  <c r="BX165" i="25" s="1"/>
  <c r="AQ164" i="22"/>
  <c r="BN164" i="25" s="1"/>
  <c r="BV164" i="25" s="1"/>
  <c r="BX164" i="25" s="1"/>
  <c r="AQ158" i="22"/>
  <c r="BN158" i="25" s="1"/>
  <c r="BV158" i="25" s="1"/>
  <c r="BX158" i="25" s="1"/>
  <c r="AQ151" i="22"/>
  <c r="BN151" i="25" s="1"/>
  <c r="BV151" i="25" s="1"/>
  <c r="BX151" i="25" s="1"/>
  <c r="AQ150" i="22"/>
  <c r="BN150" i="25" s="1"/>
  <c r="BV150" i="25" s="1"/>
  <c r="BX150" i="25" s="1"/>
  <c r="BN101" i="25"/>
  <c r="BV101" i="25" s="1"/>
  <c r="AQ107" i="22"/>
  <c r="BN107" i="25" s="1"/>
  <c r="BV107" i="25" s="1"/>
  <c r="BX107" i="25" s="1"/>
  <c r="AQ109" i="22"/>
  <c r="AQ111" i="22"/>
  <c r="BN111" i="25" s="1"/>
  <c r="BV111" i="25" s="1"/>
  <c r="BX111" i="25" s="1"/>
  <c r="AQ114" i="22"/>
  <c r="BN114" i="25" s="1"/>
  <c r="BV114" i="25" s="1"/>
  <c r="BX114" i="25" s="1"/>
  <c r="AQ117" i="22"/>
  <c r="BN117" i="25" s="1"/>
  <c r="BV117" i="25" s="1"/>
  <c r="BX117" i="25" s="1"/>
  <c r="AQ120" i="22"/>
  <c r="BN120" i="25" s="1"/>
  <c r="BV120" i="25" s="1"/>
  <c r="BX120" i="25" s="1"/>
  <c r="AQ122" i="22"/>
  <c r="BN122" i="25" s="1"/>
  <c r="BV122" i="25" s="1"/>
  <c r="BX122" i="25" s="1"/>
  <c r="AQ125" i="22"/>
  <c r="BN125" i="25" s="1"/>
  <c r="BV125" i="25" s="1"/>
  <c r="BX125" i="25" s="1"/>
  <c r="AQ127" i="22"/>
  <c r="BN127" i="25" s="1"/>
  <c r="BV127" i="25" s="1"/>
  <c r="BX127" i="25" s="1"/>
  <c r="AQ129" i="22"/>
  <c r="AQ131" i="22"/>
  <c r="AQ133" i="22"/>
  <c r="BN133" i="25" s="1"/>
  <c r="BV133" i="25" s="1"/>
  <c r="BX133" i="25" s="1"/>
  <c r="AQ135" i="22"/>
  <c r="BN135" i="25" s="1"/>
  <c r="BV135" i="25" s="1"/>
  <c r="BX135" i="25" s="1"/>
  <c r="AQ138" i="22"/>
  <c r="BN100" i="25"/>
  <c r="BV100" i="25" s="1"/>
  <c r="BX100" i="25" s="1"/>
  <c r="AQ106" i="22"/>
  <c r="BN106" i="25" s="1"/>
  <c r="BV106" i="25" s="1"/>
  <c r="BX106" i="25" s="1"/>
  <c r="AQ108" i="22"/>
  <c r="BN108" i="25" s="1"/>
  <c r="BV108" i="25" s="1"/>
  <c r="BX108" i="25" s="1"/>
  <c r="AQ110" i="22"/>
  <c r="BN110" i="25" s="1"/>
  <c r="BV110" i="25" s="1"/>
  <c r="BX110" i="25" s="1"/>
  <c r="AQ112" i="22"/>
  <c r="AQ115" i="22"/>
  <c r="BN115" i="25" s="1"/>
  <c r="BV115" i="25" s="1"/>
  <c r="BX115" i="25" s="1"/>
  <c r="AQ118" i="22"/>
  <c r="BN118" i="25" s="1"/>
  <c r="BV118" i="25" s="1"/>
  <c r="BX118" i="25" s="1"/>
  <c r="AQ121" i="22"/>
  <c r="AQ123" i="22"/>
  <c r="AQ126" i="22"/>
  <c r="AQ128" i="22"/>
  <c r="BN128" i="25" s="1"/>
  <c r="BV128" i="25" s="1"/>
  <c r="BX128" i="25" s="1"/>
  <c r="AQ130" i="22"/>
  <c r="BN130" i="25" s="1"/>
  <c r="BV130" i="25" s="1"/>
  <c r="BX130" i="25" s="1"/>
  <c r="AQ132" i="22"/>
  <c r="BN132" i="25" s="1"/>
  <c r="BV132" i="25" s="1"/>
  <c r="BX132" i="25" s="1"/>
  <c r="AQ134" i="22"/>
  <c r="AQ136" i="22"/>
  <c r="BN136" i="25" s="1"/>
  <c r="BV136" i="25" s="1"/>
  <c r="BX136" i="25" s="1"/>
  <c r="AQ139" i="22"/>
  <c r="BN139" i="25" s="1"/>
  <c r="BV139" i="25" s="1"/>
  <c r="BX139" i="25" s="1"/>
  <c r="AQ146" i="22"/>
  <c r="BN146" i="25" s="1"/>
  <c r="BV146" i="25" s="1"/>
  <c r="BX146" i="25" s="1"/>
  <c r="AQ145" i="22"/>
  <c r="BN145" i="25" s="1"/>
  <c r="BV145" i="25" s="1"/>
  <c r="BX145" i="25" s="1"/>
  <c r="AQ141" i="22"/>
  <c r="BN141" i="25" s="1"/>
  <c r="BV141" i="25" s="1"/>
  <c r="BX141" i="25" s="1"/>
  <c r="AQ142" i="22"/>
  <c r="BN142" i="25" s="1"/>
  <c r="BV142" i="25" s="1"/>
  <c r="BX142" i="25" s="1"/>
  <c r="AQ140" i="22"/>
  <c r="BN140" i="25" s="1"/>
  <c r="BV140" i="25" s="1"/>
  <c r="BX140" i="25" s="1"/>
  <c r="AM479" i="1"/>
  <c r="BN479" i="2" s="1"/>
  <c r="AM207" i="1"/>
  <c r="BN207" i="2" s="1"/>
  <c r="AM608" i="1"/>
  <c r="AM571" i="1"/>
  <c r="BN571" i="2" s="1"/>
  <c r="AM570" i="1"/>
  <c r="BN570" i="2" s="1"/>
  <c r="AM315" i="1"/>
  <c r="BE571" i="17"/>
  <c r="BG571" i="17" s="1"/>
  <c r="AI349" i="15"/>
  <c r="BA349" i="17" s="1"/>
  <c r="BE349" i="17" s="1"/>
  <c r="BG349" i="17" s="1"/>
  <c r="AI104" i="15"/>
  <c r="BA104" i="17" s="1"/>
  <c r="BE104" i="17" s="1"/>
  <c r="BG104" i="17" s="1"/>
  <c r="AI412" i="15"/>
  <c r="AI600" i="15"/>
  <c r="BA600" i="17" s="1"/>
  <c r="AI563" i="15"/>
  <c r="AI123" i="15"/>
  <c r="BA123" i="17" s="1"/>
  <c r="BE123" i="17" s="1"/>
  <c r="BG123" i="17" s="1"/>
  <c r="AI112" i="15"/>
  <c r="BA112" i="17" s="1"/>
  <c r="BE112" i="17" s="1"/>
  <c r="BG112" i="17" s="1"/>
  <c r="AI83" i="15"/>
  <c r="BA83" i="17" s="1"/>
  <c r="BE83" i="17" s="1"/>
  <c r="BG83" i="17" s="1"/>
  <c r="AI304" i="15"/>
  <c r="BA304" i="17" s="1"/>
  <c r="BE304" i="17" s="1"/>
  <c r="BG304" i="17" s="1"/>
  <c r="AI224" i="15"/>
  <c r="BA224" i="17" s="1"/>
  <c r="BE224" i="17" s="1"/>
  <c r="BG224" i="17" s="1"/>
  <c r="AD509" i="16"/>
  <c r="AD491" i="16"/>
  <c r="AD499" i="16"/>
  <c r="AD610" i="16"/>
  <c r="BN159" i="25"/>
  <c r="BV159" i="25" s="1"/>
  <c r="BX159" i="25" s="1"/>
  <c r="BN94" i="25"/>
  <c r="BV94" i="25" s="1"/>
  <c r="BX94" i="25" s="1"/>
  <c r="BN362" i="25"/>
  <c r="BV362" i="25" s="1"/>
  <c r="BX362" i="25" s="1"/>
  <c r="BN401" i="25"/>
  <c r="BV401" i="25" s="1"/>
  <c r="BX401" i="25" s="1"/>
  <c r="BN405" i="25"/>
  <c r="BV405" i="25" s="1"/>
  <c r="BX405" i="25" s="1"/>
  <c r="BN410" i="25"/>
  <c r="BV410" i="25" s="1"/>
  <c r="BX410" i="25" s="1"/>
  <c r="AD565" i="16"/>
  <c r="AD458" i="16"/>
  <c r="BN365" i="25"/>
  <c r="BV365" i="25" s="1"/>
  <c r="BX365" i="25" s="1"/>
  <c r="BN359" i="25"/>
  <c r="BV359" i="25" s="1"/>
  <c r="BX359" i="25" s="1"/>
  <c r="BN321" i="25"/>
  <c r="BV321" i="25" s="1"/>
  <c r="BX321" i="25" s="1"/>
  <c r="BV543" i="2"/>
  <c r="BX543" i="2" s="1"/>
  <c r="AI310" i="15"/>
  <c r="BA310" i="17" s="1"/>
  <c r="BE310" i="17" s="1"/>
  <c r="BG310" i="17" s="1"/>
  <c r="AD310" i="16"/>
  <c r="AD309" i="16"/>
  <c r="AD308" i="16"/>
  <c r="AD307" i="16"/>
  <c r="AD305" i="16"/>
  <c r="AD306" i="16"/>
  <c r="AD304" i="16"/>
  <c r="AD301" i="16"/>
  <c r="AM298" i="1"/>
  <c r="AD303" i="16"/>
  <c r="AD302" i="16"/>
  <c r="BN276" i="25"/>
  <c r="BV276" i="25" s="1"/>
  <c r="BX276" i="25" s="1"/>
  <c r="BN312" i="25"/>
  <c r="BV312" i="25" s="1"/>
  <c r="BX312" i="25" s="1"/>
  <c r="BN402" i="25"/>
  <c r="BV402" i="25" s="1"/>
  <c r="BX402" i="25" s="1"/>
  <c r="BN406" i="25"/>
  <c r="BV406" i="25" s="1"/>
  <c r="BX406" i="25" s="1"/>
  <c r="BL102" i="25"/>
  <c r="BL104" i="25"/>
  <c r="BN104" i="25" s="1"/>
  <c r="BV104" i="25" s="1"/>
  <c r="BX104" i="25" s="1"/>
  <c r="AD460" i="16"/>
  <c r="AD462" i="16"/>
  <c r="AD467" i="16"/>
  <c r="AD468" i="16"/>
  <c r="AD597" i="16"/>
  <c r="AD177" i="16"/>
  <c r="AD356" i="16"/>
  <c r="AD357" i="16"/>
  <c r="AD359" i="16"/>
  <c r="AD361" i="16"/>
  <c r="AD363" i="16"/>
  <c r="BN430" i="25"/>
  <c r="BV430" i="25" s="1"/>
  <c r="BX430" i="25" s="1"/>
  <c r="BN434" i="25"/>
  <c r="BV434" i="25" s="1"/>
  <c r="BX434" i="25" s="1"/>
  <c r="BN463" i="25"/>
  <c r="BV463" i="25" s="1"/>
  <c r="BX463" i="25" s="1"/>
  <c r="BN537" i="25"/>
  <c r="BV537" i="25" s="1"/>
  <c r="BX537" i="25" s="1"/>
  <c r="BN542" i="25"/>
  <c r="BV542" i="25" s="1"/>
  <c r="BX542" i="25" s="1"/>
  <c r="BN546" i="25"/>
  <c r="BV546" i="25" s="1"/>
  <c r="BX546" i="25" s="1"/>
  <c r="BN550" i="25"/>
  <c r="BV550" i="25" s="1"/>
  <c r="BX550" i="25" s="1"/>
  <c r="AD588" i="16"/>
  <c r="AD589" i="16"/>
  <c r="AD593" i="16"/>
  <c r="AD595" i="16"/>
  <c r="AD598" i="16"/>
  <c r="AD603" i="16"/>
  <c r="AD605" i="16"/>
  <c r="AD608" i="16"/>
  <c r="AD613" i="16"/>
  <c r="AD614" i="16"/>
  <c r="AD615" i="16"/>
  <c r="AD436" i="16"/>
  <c r="AD437" i="16"/>
  <c r="AD447" i="16"/>
  <c r="AD452" i="16"/>
  <c r="AD454" i="16"/>
  <c r="AD473" i="16"/>
  <c r="AD474" i="16"/>
  <c r="AD530" i="16"/>
  <c r="AD536" i="16"/>
  <c r="AD542" i="16"/>
  <c r="AD547" i="16"/>
  <c r="AD548" i="16"/>
  <c r="AD550" i="16"/>
  <c r="AD553" i="16"/>
  <c r="AD556" i="16"/>
  <c r="AD557" i="16"/>
  <c r="AD563" i="16"/>
  <c r="AD416" i="16"/>
  <c r="AD417" i="16"/>
  <c r="AD419" i="16"/>
  <c r="AD578" i="16"/>
  <c r="AD205" i="16"/>
  <c r="AD223" i="16"/>
  <c r="AD240" i="16"/>
  <c r="AD258" i="16"/>
  <c r="AD259" i="16"/>
  <c r="AD280" i="16"/>
  <c r="AD287" i="16"/>
  <c r="AD288" i="16"/>
  <c r="AD291" i="16"/>
  <c r="AD292" i="16"/>
  <c r="AM97" i="1"/>
  <c r="BN97" i="2" s="1"/>
  <c r="AM280" i="1"/>
  <c r="BN280" i="2" s="1"/>
  <c r="AD246" i="16"/>
  <c r="AM422" i="1"/>
  <c r="BN422" i="2" s="1"/>
  <c r="AM426" i="1"/>
  <c r="BN426" i="2" s="1"/>
  <c r="AI528" i="15"/>
  <c r="AI526" i="15"/>
  <c r="BA526" i="17" s="1"/>
  <c r="BE526" i="17" s="1"/>
  <c r="BG526" i="17" s="1"/>
  <c r="AI523" i="15"/>
  <c r="BA523" i="17" s="1"/>
  <c r="BE523" i="17" s="1"/>
  <c r="BG523" i="17" s="1"/>
  <c r="AI519" i="15"/>
  <c r="AI517" i="15"/>
  <c r="AI515" i="15"/>
  <c r="AI511" i="15"/>
  <c r="AI509" i="15"/>
  <c r="BA509" i="17" s="1"/>
  <c r="AI507" i="15"/>
  <c r="AI500" i="15"/>
  <c r="AI496" i="15"/>
  <c r="AI487" i="15"/>
  <c r="BX82" i="25"/>
  <c r="BX83" i="25"/>
  <c r="BX87" i="25"/>
  <c r="BX85" i="25"/>
  <c r="BX91" i="25"/>
  <c r="AM439" i="1"/>
  <c r="BV440" i="2" s="1"/>
  <c r="BX440" i="2" s="1"/>
  <c r="AM463" i="1"/>
  <c r="BN463" i="2" s="1"/>
  <c r="AM464" i="1"/>
  <c r="BN464" i="2" s="1"/>
  <c r="AM465" i="1"/>
  <c r="BN465" i="2" s="1"/>
  <c r="AM470" i="1"/>
  <c r="BN470" i="2" s="1"/>
  <c r="AM473" i="1"/>
  <c r="BN473" i="2" s="1"/>
  <c r="AM477" i="1"/>
  <c r="BN477" i="2" s="1"/>
  <c r="AM533" i="1"/>
  <c r="AM547" i="1"/>
  <c r="AM553" i="1"/>
  <c r="BN553" i="2" s="1"/>
  <c r="AD320" i="16"/>
  <c r="AD370" i="16"/>
  <c r="AD372" i="16"/>
  <c r="AD380" i="16"/>
  <c r="AD407" i="16"/>
  <c r="AM561" i="1"/>
  <c r="BE383" i="17"/>
  <c r="BG383" i="17" s="1"/>
  <c r="BA214" i="17"/>
  <c r="BE214" i="17" s="1"/>
  <c r="BG214" i="17" s="1"/>
  <c r="BA205" i="17"/>
  <c r="BE205" i="17" s="1"/>
  <c r="BG205" i="17" s="1"/>
  <c r="BA195" i="17"/>
  <c r="BE195" i="17" s="1"/>
  <c r="BG195" i="17" s="1"/>
  <c r="BA204" i="17"/>
  <c r="BE204" i="17" s="1"/>
  <c r="BG204" i="17" s="1"/>
  <c r="BA107" i="17"/>
  <c r="BE107" i="17" s="1"/>
  <c r="BG107" i="17" s="1"/>
  <c r="AD92" i="16"/>
  <c r="AD95" i="16"/>
  <c r="AD156" i="16"/>
  <c r="AM130" i="1"/>
  <c r="BN130" i="2" s="1"/>
  <c r="AM303" i="1"/>
  <c r="AM305" i="1"/>
  <c r="BN305" i="2" s="1"/>
  <c r="BV305" i="2" s="1"/>
  <c r="BX305" i="2" s="1"/>
  <c r="AM307" i="1"/>
  <c r="BN307" i="2" s="1"/>
  <c r="AM309" i="1"/>
  <c r="BN309" i="2" s="1"/>
  <c r="AM590" i="1"/>
  <c r="BN590" i="2" s="1"/>
  <c r="AM594" i="1"/>
  <c r="BN594" i="2" s="1"/>
  <c r="AM597" i="1"/>
  <c r="BN597" i="2" s="1"/>
  <c r="AM598" i="1"/>
  <c r="BN598" i="2" s="1"/>
  <c r="AM600" i="1"/>
  <c r="BN600" i="2" s="1"/>
  <c r="AM602" i="1"/>
  <c r="BN602" i="2" s="1"/>
  <c r="AM612" i="1"/>
  <c r="BN612" i="2" s="1"/>
  <c r="AM617" i="1"/>
  <c r="AM430" i="1"/>
  <c r="AM433" i="1"/>
  <c r="AM441" i="1"/>
  <c r="AM444" i="1"/>
  <c r="BN444" i="2" s="1"/>
  <c r="AM447" i="1"/>
  <c r="BN447" i="2" s="1"/>
  <c r="AM448" i="1"/>
  <c r="AM451" i="1"/>
  <c r="BN451" i="2" s="1"/>
  <c r="AM454" i="1"/>
  <c r="AM459" i="1"/>
  <c r="AM563" i="1"/>
  <c r="AI469" i="15"/>
  <c r="BA469" i="17" s="1"/>
  <c r="AI464" i="15"/>
  <c r="BA464" i="17" s="1"/>
  <c r="BE464" i="17" s="1"/>
  <c r="BG464" i="17" s="1"/>
  <c r="AI410" i="15"/>
  <c r="AI396" i="15"/>
  <c r="BA396" i="17" s="1"/>
  <c r="BE396" i="17" s="1"/>
  <c r="BG396" i="17" s="1"/>
  <c r="AI332" i="15"/>
  <c r="BA332" i="17" s="1"/>
  <c r="BE332" i="17" s="1"/>
  <c r="BG332" i="17" s="1"/>
  <c r="AI329" i="15"/>
  <c r="BA329" i="17" s="1"/>
  <c r="BE329" i="17" s="1"/>
  <c r="BG329" i="17" s="1"/>
  <c r="AI328" i="15"/>
  <c r="BA328" i="17" s="1"/>
  <c r="BE328" i="17" s="1"/>
  <c r="BG328" i="17" s="1"/>
  <c r="AI326" i="15"/>
  <c r="BA326" i="17" s="1"/>
  <c r="BE326" i="17" s="1"/>
  <c r="BG326" i="17" s="1"/>
  <c r="AI322" i="15"/>
  <c r="BA322" i="17" s="1"/>
  <c r="BE322" i="17" s="1"/>
  <c r="BG322" i="17" s="1"/>
  <c r="AI311" i="15"/>
  <c r="BA311" i="17" s="1"/>
  <c r="BE311" i="17" s="1"/>
  <c r="BG311" i="17" s="1"/>
  <c r="AI309" i="15"/>
  <c r="BA309" i="17" s="1"/>
  <c r="BE309" i="17" s="1"/>
  <c r="BG309" i="17" s="1"/>
  <c r="AI308" i="15"/>
  <c r="BA308" i="17" s="1"/>
  <c r="BE308" i="17" s="1"/>
  <c r="BG308" i="17" s="1"/>
  <c r="AI307" i="15"/>
  <c r="BA307" i="17" s="1"/>
  <c r="BE307" i="17" s="1"/>
  <c r="BG307" i="17" s="1"/>
  <c r="AI306" i="15"/>
  <c r="BA306" i="17" s="1"/>
  <c r="BE306" i="17" s="1"/>
  <c r="BG306" i="17" s="1"/>
  <c r="AI305" i="15"/>
  <c r="BA305" i="17" s="1"/>
  <c r="BE305" i="17" s="1"/>
  <c r="BG305" i="17" s="1"/>
  <c r="AI302" i="15"/>
  <c r="BA302" i="17" s="1"/>
  <c r="BE302" i="17" s="1"/>
  <c r="BG302" i="17" s="1"/>
  <c r="AI292" i="15"/>
  <c r="BA292" i="17" s="1"/>
  <c r="BE292" i="17" s="1"/>
  <c r="BG292" i="17" s="1"/>
  <c r="AI291" i="15"/>
  <c r="BA291" i="17" s="1"/>
  <c r="BE291" i="17" s="1"/>
  <c r="BG291" i="17" s="1"/>
  <c r="AI280" i="15"/>
  <c r="BA280" i="17" s="1"/>
  <c r="BE280" i="17" s="1"/>
  <c r="BG280" i="17" s="1"/>
  <c r="AI245" i="15"/>
  <c r="BA245" i="17" s="1"/>
  <c r="BE245" i="17" s="1"/>
  <c r="BG245" i="17" s="1"/>
  <c r="AI240" i="15"/>
  <c r="AI239" i="15"/>
  <c r="BA239" i="17" s="1"/>
  <c r="BE239" i="17" s="1"/>
  <c r="BG239" i="17" s="1"/>
  <c r="AI235" i="15"/>
  <c r="BA235" i="17" s="1"/>
  <c r="BE235" i="17" s="1"/>
  <c r="BG235" i="17" s="1"/>
  <c r="AI233" i="15"/>
  <c r="BA233" i="17" s="1"/>
  <c r="BE233" i="17" s="1"/>
  <c r="BG233" i="17" s="1"/>
  <c r="AI230" i="15"/>
  <c r="BA230" i="17" s="1"/>
  <c r="BE230" i="17" s="1"/>
  <c r="BG230" i="17" s="1"/>
  <c r="AI229" i="15"/>
  <c r="BA229" i="17" s="1"/>
  <c r="BE229" i="17" s="1"/>
  <c r="BG229" i="17" s="1"/>
  <c r="AI227" i="15"/>
  <c r="BA227" i="17" s="1"/>
  <c r="BE227" i="17" s="1"/>
  <c r="BG227" i="17" s="1"/>
  <c r="AI223" i="15"/>
  <c r="BA223" i="17" s="1"/>
  <c r="BE223" i="17" s="1"/>
  <c r="BG223" i="17" s="1"/>
  <c r="AI222" i="15"/>
  <c r="AI221" i="15"/>
  <c r="BA221" i="17" s="1"/>
  <c r="BE221" i="17" s="1"/>
  <c r="BG221" i="17" s="1"/>
  <c r="AI220" i="15"/>
  <c r="BA220" i="17" s="1"/>
  <c r="BE220" i="17" s="1"/>
  <c r="BG220" i="17" s="1"/>
  <c r="AI212" i="15"/>
  <c r="BA212" i="17" s="1"/>
  <c r="BE212" i="17" s="1"/>
  <c r="BG212" i="17" s="1"/>
  <c r="AI210" i="15"/>
  <c r="BA210" i="17" s="1"/>
  <c r="BE210" i="17" s="1"/>
  <c r="BG210" i="17" s="1"/>
  <c r="AI191" i="15"/>
  <c r="BA191" i="17" s="1"/>
  <c r="BE191" i="17" s="1"/>
  <c r="BG191" i="17" s="1"/>
  <c r="AI189" i="15"/>
  <c r="BA189" i="17" s="1"/>
  <c r="BE189" i="17" s="1"/>
  <c r="BG189" i="17" s="1"/>
  <c r="AI176" i="15"/>
  <c r="BA176" i="17" s="1"/>
  <c r="BE176" i="17" s="1"/>
  <c r="BG176" i="17" s="1"/>
  <c r="AI147" i="15"/>
  <c r="BA147" i="17" s="1"/>
  <c r="BE147" i="17" s="1"/>
  <c r="BG147" i="17" s="1"/>
  <c r="AI132" i="15"/>
  <c r="BA132" i="17" s="1"/>
  <c r="BE132" i="17" s="1"/>
  <c r="BG132" i="17" s="1"/>
  <c r="AI131" i="15"/>
  <c r="BA131" i="17" s="1"/>
  <c r="BE131" i="17" s="1"/>
  <c r="BG131" i="17" s="1"/>
  <c r="AI128" i="15"/>
  <c r="BA128" i="17" s="1"/>
  <c r="BE128" i="17" s="1"/>
  <c r="BG128" i="17" s="1"/>
  <c r="AI100" i="15"/>
  <c r="BA100" i="17" s="1"/>
  <c r="BE100" i="17" s="1"/>
  <c r="BG100" i="17" s="1"/>
  <c r="AI91" i="15"/>
  <c r="BA91" i="17" s="1"/>
  <c r="BE91" i="17" s="1"/>
  <c r="BG91" i="17" s="1"/>
  <c r="AI86" i="15"/>
  <c r="BA86" i="17" s="1"/>
  <c r="BE86" i="17" s="1"/>
  <c r="BG86" i="17" s="1"/>
  <c r="AI524" i="15"/>
  <c r="AI522" i="15"/>
  <c r="BA522" i="17" s="1"/>
  <c r="AI520" i="15"/>
  <c r="AI518" i="15"/>
  <c r="BA518" i="17" s="1"/>
  <c r="AI516" i="15"/>
  <c r="AI514" i="15"/>
  <c r="BA514" i="17" s="1"/>
  <c r="AI512" i="15"/>
  <c r="AI510" i="15"/>
  <c r="BA510" i="17" s="1"/>
  <c r="AI508" i="15"/>
  <c r="AI506" i="15"/>
  <c r="BA506" i="17" s="1"/>
  <c r="AI501" i="15"/>
  <c r="AI498" i="15"/>
  <c r="BA498" i="17" s="1"/>
  <c r="AI492" i="15"/>
  <c r="AI485" i="15"/>
  <c r="BA485" i="17" s="1"/>
  <c r="BA226" i="17"/>
  <c r="BE226" i="17" s="1"/>
  <c r="BG226" i="17" s="1"/>
  <c r="BA194" i="17"/>
  <c r="BE194" i="17" s="1"/>
  <c r="BG194" i="17" s="1"/>
  <c r="BA192" i="17"/>
  <c r="BE192" i="17" s="1"/>
  <c r="BG192" i="17" s="1"/>
  <c r="AD376" i="16"/>
  <c r="AD381" i="16"/>
  <c r="BV384" i="2"/>
  <c r="BX384" i="2" s="1"/>
  <c r="BV385" i="2"/>
  <c r="BX385" i="2" s="1"/>
  <c r="AM95" i="1"/>
  <c r="BN95" i="2" s="1"/>
  <c r="BA222" i="17"/>
  <c r="BE222" i="17" s="1"/>
  <c r="BG222" i="17" s="1"/>
  <c r="AM408" i="1"/>
  <c r="BN408" i="2" s="1"/>
  <c r="AM279" i="1"/>
  <c r="BN279" i="2" s="1"/>
  <c r="AM288" i="1"/>
  <c r="BN288" i="2" s="1"/>
  <c r="AM291" i="1"/>
  <c r="AM289" i="1"/>
  <c r="BN289" i="2" s="1"/>
  <c r="AM294" i="1"/>
  <c r="AM539" i="1"/>
  <c r="BN539" i="2" s="1"/>
  <c r="AM249" i="1"/>
  <c r="AM259" i="1"/>
  <c r="AI439" i="15"/>
  <c r="BA439" i="17" s="1"/>
  <c r="BE439" i="17" s="1"/>
  <c r="BG439" i="17" s="1"/>
  <c r="AI486" i="15"/>
  <c r="AI616" i="15"/>
  <c r="BA616" i="17" s="1"/>
  <c r="AI615" i="15"/>
  <c r="AI611" i="15"/>
  <c r="BA611" i="17" s="1"/>
  <c r="BE611" i="17" s="1"/>
  <c r="BG611" i="17" s="1"/>
  <c r="AI608" i="15"/>
  <c r="AI597" i="15"/>
  <c r="BA597" i="17" s="1"/>
  <c r="AI590" i="15"/>
  <c r="AI564" i="15"/>
  <c r="BA564" i="17" s="1"/>
  <c r="AI557" i="15"/>
  <c r="AI552" i="15"/>
  <c r="AI546" i="15"/>
  <c r="AI477" i="15"/>
  <c r="BA477" i="17" s="1"/>
  <c r="AI465" i="15"/>
  <c r="AI453" i="15"/>
  <c r="AI443" i="15"/>
  <c r="AI406" i="15"/>
  <c r="AI403" i="15"/>
  <c r="BA370" i="17"/>
  <c r="BE370" i="17" s="1"/>
  <c r="BG370" i="17" s="1"/>
  <c r="AI365" i="15"/>
  <c r="BA365" i="17" s="1"/>
  <c r="BE365" i="17" s="1"/>
  <c r="BG365" i="17" s="1"/>
  <c r="AI361" i="15"/>
  <c r="BA361" i="17" s="1"/>
  <c r="BE361" i="17" s="1"/>
  <c r="BG361" i="17" s="1"/>
  <c r="AI360" i="15"/>
  <c r="BA360" i="17" s="1"/>
  <c r="BE360" i="17" s="1"/>
  <c r="BG360" i="17" s="1"/>
  <c r="AI353" i="15"/>
  <c r="BA353" i="17" s="1"/>
  <c r="BE353" i="17" s="1"/>
  <c r="BG353" i="17" s="1"/>
  <c r="AI348" i="15"/>
  <c r="BA348" i="17" s="1"/>
  <c r="BE348" i="17" s="1"/>
  <c r="BG348" i="17" s="1"/>
  <c r="AI344" i="15"/>
  <c r="BA344" i="17" s="1"/>
  <c r="BE344" i="17" s="1"/>
  <c r="BG344" i="17" s="1"/>
  <c r="AI343" i="15"/>
  <c r="BA343" i="17" s="1"/>
  <c r="BE343" i="17" s="1"/>
  <c r="BG343" i="17" s="1"/>
  <c r="AI341" i="15"/>
  <c r="BA341" i="17" s="1"/>
  <c r="BE341" i="17" s="1"/>
  <c r="BG341" i="17" s="1"/>
  <c r="AI340" i="15"/>
  <c r="BA340" i="17" s="1"/>
  <c r="BE340" i="17" s="1"/>
  <c r="BG340" i="17" s="1"/>
  <c r="AI338" i="15"/>
  <c r="BA338" i="17" s="1"/>
  <c r="BE338" i="17" s="1"/>
  <c r="BG338" i="17" s="1"/>
  <c r="AI334" i="15"/>
  <c r="BA334" i="17" s="1"/>
  <c r="BE334" i="17" s="1"/>
  <c r="BG334" i="17" s="1"/>
  <c r="AI333" i="15"/>
  <c r="BA333" i="17" s="1"/>
  <c r="BE333" i="17" s="1"/>
  <c r="BG333" i="17" s="1"/>
  <c r="AI183" i="15"/>
  <c r="BA183" i="17" s="1"/>
  <c r="BE183" i="17" s="1"/>
  <c r="BG183" i="17" s="1"/>
  <c r="BX81" i="25"/>
  <c r="BV423" i="2"/>
  <c r="BX423" i="2" s="1"/>
  <c r="AM517" i="1"/>
  <c r="BN517" i="2" s="1"/>
  <c r="AM618" i="1"/>
  <c r="BN618" i="2" s="1"/>
  <c r="AM365" i="1"/>
  <c r="AM228" i="1"/>
  <c r="BN228" i="2" s="1"/>
  <c r="AM238" i="1"/>
  <c r="AM240" i="1"/>
  <c r="AM230" i="1"/>
  <c r="AM424" i="1"/>
  <c r="BN424" i="2" s="1"/>
  <c r="AM428" i="1"/>
  <c r="BN428" i="2" s="1"/>
  <c r="BE424" i="17"/>
  <c r="BG424" i="17" s="1"/>
  <c r="BE422" i="17"/>
  <c r="BG422" i="17" s="1"/>
  <c r="BE404" i="17"/>
  <c r="BG404" i="17" s="1"/>
  <c r="BA369" i="17"/>
  <c r="BE369" i="17" s="1"/>
  <c r="BG369" i="17" s="1"/>
  <c r="AI148" i="15"/>
  <c r="AI135" i="15"/>
  <c r="BA135" i="17" s="1"/>
  <c r="BE135" i="17" s="1"/>
  <c r="BG135" i="17" s="1"/>
  <c r="AI88" i="15"/>
  <c r="BA88" i="17" s="1"/>
  <c r="BE88" i="17" s="1"/>
  <c r="BG88" i="17" s="1"/>
  <c r="AI482" i="15"/>
  <c r="AI484" i="15"/>
  <c r="AI494" i="15"/>
  <c r="AI499" i="15"/>
  <c r="BA499" i="17" s="1"/>
  <c r="AM105" i="1"/>
  <c r="BN105" i="2" s="1"/>
  <c r="AM131" i="1"/>
  <c r="BN131" i="2" s="1"/>
  <c r="AM132" i="1"/>
  <c r="BN132" i="2" s="1"/>
  <c r="AM214" i="1"/>
  <c r="BN214" i="2" s="1"/>
  <c r="BV389" i="2"/>
  <c r="BX389" i="2" s="1"/>
  <c r="AM401" i="1"/>
  <c r="BN401" i="2" s="1"/>
  <c r="AM92" i="1"/>
  <c r="BN92" i="2" s="1"/>
  <c r="AM277" i="1"/>
  <c r="BN277" i="2" s="1"/>
  <c r="BV277" i="2" s="1"/>
  <c r="BX277" i="2" s="1"/>
  <c r="AM278" i="1"/>
  <c r="BN278" i="2" s="1"/>
  <c r="AM281" i="1"/>
  <c r="BN281" i="2" s="1"/>
  <c r="AM283" i="1"/>
  <c r="BN283" i="2" s="1"/>
  <c r="AM285" i="1"/>
  <c r="BN285" i="2" s="1"/>
  <c r="AM290" i="1"/>
  <c r="BN290" i="2" s="1"/>
  <c r="AM292" i="1"/>
  <c r="BN292" i="2" s="1"/>
  <c r="AM293" i="1"/>
  <c r="BN293" i="2" s="1"/>
  <c r="AM300" i="1"/>
  <c r="BN300" i="2" s="1"/>
  <c r="AM310" i="1"/>
  <c r="BN310" i="2" s="1"/>
  <c r="AM572" i="1"/>
  <c r="AM587" i="1"/>
  <c r="BN587" i="2" s="1"/>
  <c r="AM589" i="1"/>
  <c r="BN589" i="2" s="1"/>
  <c r="AM591" i="1"/>
  <c r="BN591" i="2" s="1"/>
  <c r="AM593" i="1"/>
  <c r="BN593" i="2" s="1"/>
  <c r="AM616" i="1"/>
  <c r="BN616" i="2" s="1"/>
  <c r="AM178" i="1"/>
  <c r="AM181" i="1"/>
  <c r="BN181" i="2" s="1"/>
  <c r="AM183" i="1"/>
  <c r="AM185" i="1"/>
  <c r="AM191" i="1"/>
  <c r="AM364" i="1"/>
  <c r="BN364" i="2" s="1"/>
  <c r="AM235" i="1"/>
  <c r="AM421" i="1"/>
  <c r="BN421" i="2" s="1"/>
  <c r="AM425" i="1"/>
  <c r="BN425" i="2" s="1"/>
  <c r="AM427" i="1"/>
  <c r="AM429" i="1"/>
  <c r="BN429" i="2" s="1"/>
  <c r="AM436" i="1"/>
  <c r="BN436" i="2" s="1"/>
  <c r="AM466" i="1"/>
  <c r="BN466" i="2" s="1"/>
  <c r="AM467" i="1"/>
  <c r="AM474" i="1"/>
  <c r="BN474" i="2" s="1"/>
  <c r="AM530" i="1"/>
  <c r="BN530" i="2" s="1"/>
  <c r="AM550" i="1"/>
  <c r="BN550" i="2" s="1"/>
  <c r="AM556" i="1"/>
  <c r="AM564" i="1"/>
  <c r="BN564" i="2" s="1"/>
  <c r="AM480" i="1"/>
  <c r="AM489" i="1"/>
  <c r="AM495" i="1"/>
  <c r="BN495" i="2" s="1"/>
  <c r="AM496" i="1"/>
  <c r="AM499" i="1"/>
  <c r="AM501" i="1"/>
  <c r="AM502" i="1"/>
  <c r="AM504" i="1"/>
  <c r="AM505" i="1"/>
  <c r="BN505" i="2" s="1"/>
  <c r="AM506" i="1"/>
  <c r="BN506" i="2" s="1"/>
  <c r="AM508" i="1"/>
  <c r="BN508" i="2" s="1"/>
  <c r="AM509" i="1"/>
  <c r="BN509" i="2" s="1"/>
  <c r="AM510" i="1"/>
  <c r="BN510" i="2" s="1"/>
  <c r="AM511" i="1"/>
  <c r="BN511" i="2" s="1"/>
  <c r="AM516" i="1"/>
  <c r="BN516" i="2" s="1"/>
  <c r="AM518" i="1"/>
  <c r="BN518" i="2" s="1"/>
  <c r="AM258" i="1"/>
  <c r="BN258" i="2" s="1"/>
  <c r="AD178" i="16"/>
  <c r="AD196" i="16"/>
  <c r="AD206" i="16"/>
  <c r="AD235" i="16"/>
  <c r="AD313" i="16"/>
  <c r="AD325" i="16"/>
  <c r="AD332" i="16"/>
  <c r="AD336" i="16"/>
  <c r="AD344" i="16"/>
  <c r="AD349" i="16"/>
  <c r="AD353" i="16"/>
  <c r="AD386" i="16"/>
  <c r="AD394" i="16"/>
  <c r="AD398" i="16"/>
  <c r="AD403" i="16"/>
  <c r="AD412" i="16"/>
  <c r="AD429" i="16"/>
  <c r="AM357" i="1"/>
  <c r="BN357" i="2" s="1"/>
  <c r="AM359" i="1"/>
  <c r="BN359" i="2" s="1"/>
  <c r="AM362" i="1"/>
  <c r="BN362" i="2" s="1"/>
  <c r="AI162" i="15"/>
  <c r="BA162" i="17" s="1"/>
  <c r="BE162" i="17" s="1"/>
  <c r="BG162" i="17" s="1"/>
  <c r="AI283" i="15"/>
  <c r="BA283" i="17" s="1"/>
  <c r="BE283" i="17" s="1"/>
  <c r="BG283" i="17" s="1"/>
  <c r="AD146" i="16"/>
  <c r="AD163" i="16"/>
  <c r="AD192" i="16"/>
  <c r="AD201" i="16"/>
  <c r="AD210" i="16"/>
  <c r="AD222" i="16"/>
  <c r="AD239" i="16"/>
  <c r="AD311" i="16"/>
  <c r="AD317" i="16"/>
  <c r="AD323" i="16"/>
  <c r="AD330" i="16"/>
  <c r="AD334" i="16"/>
  <c r="AD338" i="16"/>
  <c r="AD342" i="16"/>
  <c r="AD347" i="16"/>
  <c r="AD351" i="16"/>
  <c r="AD368" i="16"/>
  <c r="AD374" i="16"/>
  <c r="AD378" i="16"/>
  <c r="AD384" i="16"/>
  <c r="AD388" i="16"/>
  <c r="AD392" i="16"/>
  <c r="AD396" i="16"/>
  <c r="AD401" i="16"/>
  <c r="AD405" i="16"/>
  <c r="AD410" i="16"/>
  <c r="AD568" i="16"/>
  <c r="AD571" i="16"/>
  <c r="AD576" i="16"/>
  <c r="AD226" i="16"/>
  <c r="BN231" i="25"/>
  <c r="BV231" i="25" s="1"/>
  <c r="BX231" i="25" s="1"/>
  <c r="AM109" i="1"/>
  <c r="AM126" i="1"/>
  <c r="BN126" i="2" s="1"/>
  <c r="BV126" i="2" s="1"/>
  <c r="BX126" i="2" s="1"/>
  <c r="AM128" i="1"/>
  <c r="BN128" i="2" s="1"/>
  <c r="BV128" i="2" s="1"/>
  <c r="BX128" i="2" s="1"/>
  <c r="AM160" i="1"/>
  <c r="BN160" i="2" s="1"/>
  <c r="AM225" i="1"/>
  <c r="BN225" i="2" s="1"/>
  <c r="AM266" i="1"/>
  <c r="BN266" i="2" s="1"/>
  <c r="AM269" i="1"/>
  <c r="BN269" i="2" s="1"/>
  <c r="AM271" i="1"/>
  <c r="BN271" i="2" s="1"/>
  <c r="AI461" i="15"/>
  <c r="BE392" i="17"/>
  <c r="BG392" i="17" s="1"/>
  <c r="BA247" i="17"/>
  <c r="BE247" i="17" s="1"/>
  <c r="BG247" i="17" s="1"/>
  <c r="AD153" i="16"/>
  <c r="AD167" i="16"/>
  <c r="AD185" i="16"/>
  <c r="AD271" i="16"/>
  <c r="AD272" i="16"/>
  <c r="AD273" i="16"/>
  <c r="AD277" i="16"/>
  <c r="BA270" i="17"/>
  <c r="BE270" i="17" s="1"/>
  <c r="BG270" i="17" s="1"/>
  <c r="AI267" i="15"/>
  <c r="BA267" i="17" s="1"/>
  <c r="BE267" i="17" s="1"/>
  <c r="BG267" i="17" s="1"/>
  <c r="AD590" i="16"/>
  <c r="AD592" i="16"/>
  <c r="AD599" i="16"/>
  <c r="AD604" i="16"/>
  <c r="AD606" i="16"/>
  <c r="AD607" i="16"/>
  <c r="AD612" i="16"/>
  <c r="AD618" i="16"/>
  <c r="AD501" i="16"/>
  <c r="AD528" i="16"/>
  <c r="AD256" i="16"/>
  <c r="AI250" i="15"/>
  <c r="BA250" i="17" s="1"/>
  <c r="BE250" i="17" s="1"/>
  <c r="BG250" i="17" s="1"/>
  <c r="AD244" i="16"/>
  <c r="AD243" i="16"/>
  <c r="AM242" i="1"/>
  <c r="BA240" i="17"/>
  <c r="BE240" i="17" s="1"/>
  <c r="BG240" i="17" s="1"/>
  <c r="BN179" i="25"/>
  <c r="BV179" i="25" s="1"/>
  <c r="BX179" i="25" s="1"/>
  <c r="BN198" i="25"/>
  <c r="BV198" i="25" s="1"/>
  <c r="BX198" i="25" s="1"/>
  <c r="AM229" i="1"/>
  <c r="BN229" i="2" s="1"/>
  <c r="AI209" i="15"/>
  <c r="BA209" i="17" s="1"/>
  <c r="BE209" i="17" s="1"/>
  <c r="BG209" i="17" s="1"/>
  <c r="AM147" i="1"/>
  <c r="BN147" i="2" s="1"/>
  <c r="AM151" i="1"/>
  <c r="BN151" i="2" s="1"/>
  <c r="AM198" i="1"/>
  <c r="BN198" i="2" s="1"/>
  <c r="AM338" i="1"/>
  <c r="BN338" i="2" s="1"/>
  <c r="BV143" i="2"/>
  <c r="BX143" i="2" s="1"/>
  <c r="AM180" i="1"/>
  <c r="BN180" i="2" s="1"/>
  <c r="AM152" i="1"/>
  <c r="AM163" i="1"/>
  <c r="AM324" i="1"/>
  <c r="BN324" i="2" s="1"/>
  <c r="AM330" i="1"/>
  <c r="BN330" i="2" s="1"/>
  <c r="AM332" i="1"/>
  <c r="BN332" i="2" s="1"/>
  <c r="AM333" i="1"/>
  <c r="AM334" i="1"/>
  <c r="BN334" i="2" s="1"/>
  <c r="AM335" i="1"/>
  <c r="AM336" i="1"/>
  <c r="BN336" i="2" s="1"/>
  <c r="BV381" i="2"/>
  <c r="BX381" i="2" s="1"/>
  <c r="BV383" i="2"/>
  <c r="BX383" i="2" s="1"/>
  <c r="AM313" i="1"/>
  <c r="BA200" i="17"/>
  <c r="BE200" i="17" s="1"/>
  <c r="BG200" i="17" s="1"/>
  <c r="AI301" i="15"/>
  <c r="BA301" i="17" s="1"/>
  <c r="BE301" i="17" s="1"/>
  <c r="BG301" i="17" s="1"/>
  <c r="AI300" i="15"/>
  <c r="BA300" i="17" s="1"/>
  <c r="BE300" i="17" s="1"/>
  <c r="BG300" i="17" s="1"/>
  <c r="AI299" i="15"/>
  <c r="BA299" i="17" s="1"/>
  <c r="BE299" i="17" s="1"/>
  <c r="BG299" i="17" s="1"/>
  <c r="AI294" i="15"/>
  <c r="BA294" i="17" s="1"/>
  <c r="BE294" i="17" s="1"/>
  <c r="BG294" i="17" s="1"/>
  <c r="AI109" i="15"/>
  <c r="BA109" i="17" s="1"/>
  <c r="BE109" i="17" s="1"/>
  <c r="BG109" i="17" s="1"/>
  <c r="AI425" i="15"/>
  <c r="BA425" i="17" s="1"/>
  <c r="BE425" i="17" s="1"/>
  <c r="BG425" i="17" s="1"/>
  <c r="AI572" i="15"/>
  <c r="BA572" i="17" s="1"/>
  <c r="BE572" i="17" s="1"/>
  <c r="BG572" i="17" s="1"/>
  <c r="AI581" i="15"/>
  <c r="AI582" i="15"/>
  <c r="BA582" i="17" s="1"/>
  <c r="BE582" i="17" s="1"/>
  <c r="BG582" i="17" s="1"/>
  <c r="AI603" i="15"/>
  <c r="AI601" i="15"/>
  <c r="BA601" i="17" s="1"/>
  <c r="AI595" i="15"/>
  <c r="AI594" i="15"/>
  <c r="AI593" i="15"/>
  <c r="AI592" i="15"/>
  <c r="BA592" i="17" s="1"/>
  <c r="AI591" i="15"/>
  <c r="AI589" i="15"/>
  <c r="BA589" i="17" s="1"/>
  <c r="BE589" i="17" s="1"/>
  <c r="BG589" i="17" s="1"/>
  <c r="AI587" i="15"/>
  <c r="AI532" i="15"/>
  <c r="AI479" i="15"/>
  <c r="AI478" i="15"/>
  <c r="AI476" i="15"/>
  <c r="AI475" i="15"/>
  <c r="AI474" i="15"/>
  <c r="AI471" i="15"/>
  <c r="BA471" i="17" s="1"/>
  <c r="AI463" i="15"/>
  <c r="AI462" i="15"/>
  <c r="AI459" i="15"/>
  <c r="AI457" i="15"/>
  <c r="AI454" i="15"/>
  <c r="AI452" i="15"/>
  <c r="BA452" i="17" s="1"/>
  <c r="AI450" i="15"/>
  <c r="AI448" i="15"/>
  <c r="BA448" i="17" s="1"/>
  <c r="AI441" i="15"/>
  <c r="BA441" i="17" s="1"/>
  <c r="AI437" i="15"/>
  <c r="AI429" i="15"/>
  <c r="BA429" i="17" s="1"/>
  <c r="BE429" i="17" s="1"/>
  <c r="BG429" i="17" s="1"/>
  <c r="AI411" i="15"/>
  <c r="AI408" i="15"/>
  <c r="AI407" i="15"/>
  <c r="AI402" i="15"/>
  <c r="AI401" i="15"/>
  <c r="BE393" i="17"/>
  <c r="BG393" i="17" s="1"/>
  <c r="BE391" i="17"/>
  <c r="BG391" i="17" s="1"/>
  <c r="BE390" i="17"/>
  <c r="BG390" i="17" s="1"/>
  <c r="BE389" i="17"/>
  <c r="BG389" i="17" s="1"/>
  <c r="BE385" i="17"/>
  <c r="BG385" i="17" s="1"/>
  <c r="BE381" i="17"/>
  <c r="BG381" i="17" s="1"/>
  <c r="BE379" i="17"/>
  <c r="BG379" i="17" s="1"/>
  <c r="BA378" i="17"/>
  <c r="BE378" i="17" s="1"/>
  <c r="BG378" i="17" s="1"/>
  <c r="BA377" i="17"/>
  <c r="BE377" i="17" s="1"/>
  <c r="BG377" i="17" s="1"/>
  <c r="BA376" i="17"/>
  <c r="BE376" i="17" s="1"/>
  <c r="BG376" i="17" s="1"/>
  <c r="BA375" i="17"/>
  <c r="BE375" i="17" s="1"/>
  <c r="BG375" i="17" s="1"/>
  <c r="BA372" i="17"/>
  <c r="BE372" i="17" s="1"/>
  <c r="BG372" i="17" s="1"/>
  <c r="BA368" i="17"/>
  <c r="BE368" i="17" s="1"/>
  <c r="BG368" i="17" s="1"/>
  <c r="AI364" i="15"/>
  <c r="BA364" i="17" s="1"/>
  <c r="BE364" i="17" s="1"/>
  <c r="BG364" i="17" s="1"/>
  <c r="AI363" i="15"/>
  <c r="BA363" i="17" s="1"/>
  <c r="BE363" i="17" s="1"/>
  <c r="BG363" i="17" s="1"/>
  <c r="AI359" i="15"/>
  <c r="AI358" i="15"/>
  <c r="BA358" i="17" s="1"/>
  <c r="BE358" i="17" s="1"/>
  <c r="BG358" i="17" s="1"/>
  <c r="AI356" i="15"/>
  <c r="BA356" i="17" s="1"/>
  <c r="BE356" i="17" s="1"/>
  <c r="BG356" i="17" s="1"/>
  <c r="BE184" i="17"/>
  <c r="BG184" i="17" s="1"/>
  <c r="AD241" i="16"/>
  <c r="AD248" i="16"/>
  <c r="AM176" i="1"/>
  <c r="BA174" i="17"/>
  <c r="BE174" i="17" s="1"/>
  <c r="BG174" i="17" s="1"/>
  <c r="AI169" i="15"/>
  <c r="BA169" i="17" s="1"/>
  <c r="BE169" i="17" s="1"/>
  <c r="BG169" i="17" s="1"/>
  <c r="AI168" i="15"/>
  <c r="BA168" i="17" s="1"/>
  <c r="BE168" i="17" s="1"/>
  <c r="BG168" i="17" s="1"/>
  <c r="AI167" i="15"/>
  <c r="BA167" i="17" s="1"/>
  <c r="BE167" i="17" s="1"/>
  <c r="BG167" i="17" s="1"/>
  <c r="AI166" i="15"/>
  <c r="BA166" i="17" s="1"/>
  <c r="BE166" i="17" s="1"/>
  <c r="BG166" i="17" s="1"/>
  <c r="AI163" i="15"/>
  <c r="BA163" i="17" s="1"/>
  <c r="BE163" i="17" s="1"/>
  <c r="BG163" i="17" s="1"/>
  <c r="AM162" i="1"/>
  <c r="BN162" i="2" s="1"/>
  <c r="AM161" i="1"/>
  <c r="BN161" i="2" s="1"/>
  <c r="AI161" i="15"/>
  <c r="BA161" i="17" s="1"/>
  <c r="BE161" i="17" s="1"/>
  <c r="BG161" i="17" s="1"/>
  <c r="AI158" i="15"/>
  <c r="BA158" i="17" s="1"/>
  <c r="BE158" i="17" s="1"/>
  <c r="BG158" i="17" s="1"/>
  <c r="AI156" i="15"/>
  <c r="BA156" i="17" s="1"/>
  <c r="BE156" i="17" s="1"/>
  <c r="BG156" i="17" s="1"/>
  <c r="AM155" i="1"/>
  <c r="AI155" i="15"/>
  <c r="BA155" i="17" s="1"/>
  <c r="BE155" i="17" s="1"/>
  <c r="BG155" i="17" s="1"/>
  <c r="AI154" i="15"/>
  <c r="BA154" i="17" s="1"/>
  <c r="BE154" i="17" s="1"/>
  <c r="BG154" i="17" s="1"/>
  <c r="AI152" i="15"/>
  <c r="BA152" i="17" s="1"/>
  <c r="BE152" i="17" s="1"/>
  <c r="BG152" i="17" s="1"/>
  <c r="AI151" i="15"/>
  <c r="BA151" i="17" s="1"/>
  <c r="BE151" i="17" s="1"/>
  <c r="BG151" i="17" s="1"/>
  <c r="BA148" i="17"/>
  <c r="BE148" i="17" s="1"/>
  <c r="BG148" i="17" s="1"/>
  <c r="BA146" i="17"/>
  <c r="BE146" i="17" s="1"/>
  <c r="BG146" i="17" s="1"/>
  <c r="BA141" i="17"/>
  <c r="BE141" i="17" s="1"/>
  <c r="BG141" i="17" s="1"/>
  <c r="AM106" i="1"/>
  <c r="BN106" i="2" s="1"/>
  <c r="AM124" i="1"/>
  <c r="AM205" i="1"/>
  <c r="BN205" i="2" s="1"/>
  <c r="AM206" i="1"/>
  <c r="BN206" i="2" s="1"/>
  <c r="AM209" i="1"/>
  <c r="BN209" i="2" s="1"/>
  <c r="BV209" i="2" s="1"/>
  <c r="BX209" i="2" s="1"/>
  <c r="AM212" i="1"/>
  <c r="BN212" i="2" s="1"/>
  <c r="AM213" i="1"/>
  <c r="BN213" i="2" s="1"/>
  <c r="AM215" i="1"/>
  <c r="BN215" i="2" s="1"/>
  <c r="AM320" i="1"/>
  <c r="BN320" i="2" s="1"/>
  <c r="AM321" i="1"/>
  <c r="BN321" i="2" s="1"/>
  <c r="AM322" i="1"/>
  <c r="AM323" i="1"/>
  <c r="BN323" i="2" s="1"/>
  <c r="AM396" i="1"/>
  <c r="BN396" i="2" s="1"/>
  <c r="BV396" i="2" s="1"/>
  <c r="BX396" i="2" s="1"/>
  <c r="AM282" i="1"/>
  <c r="BN282" i="2" s="1"/>
  <c r="AM317" i="1"/>
  <c r="BN317" i="2" s="1"/>
  <c r="AM355" i="1"/>
  <c r="BN355" i="2" s="1"/>
  <c r="AM356" i="1"/>
  <c r="BN356" i="2" s="1"/>
  <c r="BV373" i="2"/>
  <c r="BX373" i="2" s="1"/>
  <c r="AM535" i="1"/>
  <c r="BE387" i="17"/>
  <c r="BG387" i="17" s="1"/>
  <c r="BA373" i="17"/>
  <c r="BE373" i="17" s="1"/>
  <c r="BG373" i="17" s="1"/>
  <c r="BA371" i="17"/>
  <c r="BE371" i="17" s="1"/>
  <c r="BG371" i="17" s="1"/>
  <c r="BA359" i="17"/>
  <c r="BE359" i="17" s="1"/>
  <c r="BG359" i="17" s="1"/>
  <c r="BN160" i="25"/>
  <c r="BV160" i="25" s="1"/>
  <c r="BX160" i="25" s="1"/>
  <c r="AM337" i="1"/>
  <c r="BN337" i="2" s="1"/>
  <c r="AM354" i="1"/>
  <c r="BN354" i="2" s="1"/>
  <c r="AM358" i="1"/>
  <c r="BV368" i="2"/>
  <c r="BX368" i="2" s="1"/>
  <c r="BV370" i="2"/>
  <c r="BX370" i="2" s="1"/>
  <c r="AM227" i="1"/>
  <c r="AM478" i="1"/>
  <c r="BN478" i="2" s="1"/>
  <c r="AM443" i="1"/>
  <c r="BN443" i="2" s="1"/>
  <c r="AM446" i="1"/>
  <c r="BN446" i="2" s="1"/>
  <c r="AM532" i="1"/>
  <c r="BN532" i="2" s="1"/>
  <c r="AM522" i="1"/>
  <c r="BN522" i="2" s="1"/>
  <c r="AM527" i="1"/>
  <c r="AM120" i="1"/>
  <c r="BN120" i="2" s="1"/>
  <c r="BV120" i="2" s="1"/>
  <c r="BX120" i="2" s="1"/>
  <c r="AM125" i="1"/>
  <c r="AM139" i="1"/>
  <c r="AM141" i="1"/>
  <c r="BN141" i="2" s="1"/>
  <c r="AM328" i="1"/>
  <c r="BN328" i="2" s="1"/>
  <c r="AM329" i="1"/>
  <c r="BN329" i="2" s="1"/>
  <c r="AM410" i="1"/>
  <c r="BN410" i="2" s="1"/>
  <c r="AM411" i="1"/>
  <c r="BN411" i="2" s="1"/>
  <c r="AM412" i="1"/>
  <c r="AM414" i="1"/>
  <c r="BN414" i="2" s="1"/>
  <c r="AM89" i="1"/>
  <c r="BN89" i="2" s="1"/>
  <c r="AM90" i="1"/>
  <c r="BN90" i="2" s="1"/>
  <c r="AM273" i="1"/>
  <c r="AM299" i="1"/>
  <c r="AM301" i="1"/>
  <c r="BN301" i="2" s="1"/>
  <c r="AM606" i="1"/>
  <c r="BN606" i="2" s="1"/>
  <c r="AM138" i="1"/>
  <c r="BN138" i="2" s="1"/>
  <c r="AM136" i="1"/>
  <c r="AI134" i="15"/>
  <c r="BA134" i="17" s="1"/>
  <c r="BE134" i="17" s="1"/>
  <c r="BG134" i="17" s="1"/>
  <c r="AI133" i="15"/>
  <c r="BA133" i="17" s="1"/>
  <c r="BE133" i="17" s="1"/>
  <c r="BG133" i="17" s="1"/>
  <c r="AM129" i="1"/>
  <c r="BN129" i="2" s="1"/>
  <c r="AI127" i="15"/>
  <c r="BA127" i="17" s="1"/>
  <c r="BE127" i="17" s="1"/>
  <c r="BG127" i="17" s="1"/>
  <c r="AI124" i="15"/>
  <c r="BA124" i="17" s="1"/>
  <c r="BE124" i="17" s="1"/>
  <c r="BG124" i="17" s="1"/>
  <c r="AI122" i="15"/>
  <c r="BA122" i="17" s="1"/>
  <c r="BE122" i="17" s="1"/>
  <c r="BG122" i="17" s="1"/>
  <c r="AI120" i="15"/>
  <c r="BA120" i="17" s="1"/>
  <c r="BE120" i="17" s="1"/>
  <c r="BG120" i="17" s="1"/>
  <c r="AM118" i="1"/>
  <c r="BN118" i="2" s="1"/>
  <c r="AM117" i="1"/>
  <c r="AM115" i="1"/>
  <c r="BN115" i="2" s="1"/>
  <c r="AI115" i="15"/>
  <c r="BA115" i="17" s="1"/>
  <c r="BE115" i="17" s="1"/>
  <c r="BG115" i="17" s="1"/>
  <c r="AM114" i="1"/>
  <c r="AM98" i="1"/>
  <c r="BN98" i="2" s="1"/>
  <c r="BV98" i="2" s="1"/>
  <c r="BX98" i="2" s="1"/>
  <c r="AM112" i="1"/>
  <c r="BN112" i="2" s="1"/>
  <c r="AD233" i="16"/>
  <c r="AD234" i="16"/>
  <c r="AD236" i="16"/>
  <c r="AD242" i="16"/>
  <c r="AD245" i="16"/>
  <c r="AD312" i="16"/>
  <c r="AD315" i="16"/>
  <c r="AD319" i="16"/>
  <c r="AD322" i="16"/>
  <c r="AD324" i="16"/>
  <c r="AD326" i="16"/>
  <c r="AD329" i="16"/>
  <c r="AD331" i="16"/>
  <c r="AD333" i="16"/>
  <c r="AD335" i="16"/>
  <c r="AD337" i="16"/>
  <c r="AD339" i="16"/>
  <c r="AD341" i="16"/>
  <c r="AD343" i="16"/>
  <c r="AD345" i="16"/>
  <c r="AD366" i="16"/>
  <c r="AD369" i="16"/>
  <c r="AD382" i="16"/>
  <c r="AD385" i="16"/>
  <c r="AD387" i="16"/>
  <c r="AD389" i="16"/>
  <c r="AD391" i="16"/>
  <c r="AD393" i="16"/>
  <c r="AD395" i="16"/>
  <c r="AD397" i="16"/>
  <c r="AD399" i="16"/>
  <c r="AD402" i="16"/>
  <c r="AD404" i="16"/>
  <c r="AD406" i="16"/>
  <c r="AD408" i="16"/>
  <c r="AD411" i="16"/>
  <c r="AM111" i="1"/>
  <c r="BN111" i="2" s="1"/>
  <c r="AM108" i="1"/>
  <c r="BN108" i="2" s="1"/>
  <c r="AM107" i="1"/>
  <c r="BN107" i="2" s="1"/>
  <c r="AM99" i="1"/>
  <c r="BN99" i="2" s="1"/>
  <c r="AD103" i="16"/>
  <c r="AM101" i="1"/>
  <c r="BN101" i="2" s="1"/>
  <c r="AM100" i="1"/>
  <c r="BN100" i="2" s="1"/>
  <c r="AI99" i="15"/>
  <c r="BA99" i="17" s="1"/>
  <c r="BE99" i="17" s="1"/>
  <c r="BG99" i="17" s="1"/>
  <c r="BN95" i="25"/>
  <c r="BV95" i="25" s="1"/>
  <c r="BX95" i="25" s="1"/>
  <c r="AD93" i="16"/>
  <c r="AM91" i="1"/>
  <c r="BN91" i="2" s="1"/>
  <c r="AI85" i="15"/>
  <c r="BA85" i="17" s="1"/>
  <c r="BE85" i="17" s="1"/>
  <c r="BG85" i="17" s="1"/>
  <c r="AM87" i="1"/>
  <c r="BN87" i="2" s="1"/>
  <c r="AD414" i="16"/>
  <c r="AD430" i="16"/>
  <c r="AM284" i="1"/>
  <c r="BN284" i="2" s="1"/>
  <c r="AM110" i="1"/>
  <c r="BN110" i="2" s="1"/>
  <c r="AM121" i="1"/>
  <c r="AM123" i="1"/>
  <c r="BN123" i="2" s="1"/>
  <c r="AM127" i="1"/>
  <c r="BN127" i="2" s="1"/>
  <c r="AM135" i="1"/>
  <c r="BN135" i="2" s="1"/>
  <c r="AM216" i="1"/>
  <c r="BN216" i="2" s="1"/>
  <c r="AM219" i="1"/>
  <c r="BN219" i="2" s="1"/>
  <c r="AM220" i="1"/>
  <c r="AM221" i="1"/>
  <c r="BN221" i="2" s="1"/>
  <c r="AM222" i="1"/>
  <c r="BN222" i="2" s="1"/>
  <c r="AM223" i="1"/>
  <c r="BN223" i="2" s="1"/>
  <c r="AM224" i="1"/>
  <c r="BN224" i="2" s="1"/>
  <c r="AM326" i="1"/>
  <c r="AM331" i="1"/>
  <c r="BN331" i="2" s="1"/>
  <c r="AM406" i="1"/>
  <c r="BN406" i="2" s="1"/>
  <c r="AM407" i="1"/>
  <c r="BN407" i="2" s="1"/>
  <c r="BV420" i="2"/>
  <c r="BX420" i="2" s="1"/>
  <c r="AM167" i="1"/>
  <c r="AM168" i="1"/>
  <c r="AM169" i="1"/>
  <c r="BV386" i="2"/>
  <c r="BX386" i="2" s="1"/>
  <c r="AM397" i="1"/>
  <c r="BN397" i="2" s="1"/>
  <c r="BV397" i="2" s="1"/>
  <c r="BX397" i="2" s="1"/>
  <c r="AM398" i="1"/>
  <c r="BN398" i="2" s="1"/>
  <c r="AM94" i="1"/>
  <c r="BN94" i="2" s="1"/>
  <c r="AM267" i="1"/>
  <c r="BN267" i="2" s="1"/>
  <c r="AM270" i="1"/>
  <c r="BN270" i="2" s="1"/>
  <c r="AM272" i="1"/>
  <c r="BN272" i="2" s="1"/>
  <c r="AM302" i="1"/>
  <c r="BN302" i="2" s="1"/>
  <c r="AM306" i="1"/>
  <c r="BN306" i="2" s="1"/>
  <c r="AM308" i="1"/>
  <c r="BN308" i="2" s="1"/>
  <c r="AM311" i="1"/>
  <c r="BN311" i="2" s="1"/>
  <c r="AM588" i="1"/>
  <c r="BN588" i="2" s="1"/>
  <c r="AM601" i="1"/>
  <c r="BN601" i="2" s="1"/>
  <c r="AM603" i="1"/>
  <c r="AM610" i="1"/>
  <c r="BN610" i="2" s="1"/>
  <c r="AM611" i="1"/>
  <c r="BN611" i="2" s="1"/>
  <c r="AM175" i="1"/>
  <c r="BN175" i="2" s="1"/>
  <c r="BV175" i="2" s="1"/>
  <c r="BX175" i="2" s="1"/>
  <c r="AM217" i="1"/>
  <c r="BN217" i="2" s="1"/>
  <c r="AM218" i="1"/>
  <c r="BN218" i="2" s="1"/>
  <c r="AM339" i="1"/>
  <c r="BN339" i="2" s="1"/>
  <c r="AM340" i="1"/>
  <c r="BN340" i="2" s="1"/>
  <c r="AM341" i="1"/>
  <c r="BN341" i="2" s="1"/>
  <c r="AM342" i="1"/>
  <c r="BN342" i="2" s="1"/>
  <c r="AM343" i="1"/>
  <c r="BN343" i="2" s="1"/>
  <c r="AM352" i="1"/>
  <c r="BN352" i="2" s="1"/>
  <c r="AM361" i="1"/>
  <c r="BN361" i="2" s="1"/>
  <c r="BV374" i="2"/>
  <c r="BX374" i="2" s="1"/>
  <c r="BV375" i="2"/>
  <c r="BX375" i="2" s="1"/>
  <c r="AM232" i="1"/>
  <c r="AM233" i="1"/>
  <c r="BN233" i="2" s="1"/>
  <c r="AM237" i="1"/>
  <c r="BN237" i="2" s="1"/>
  <c r="AM245" i="1"/>
  <c r="BN245" i="2" s="1"/>
  <c r="AM246" i="1"/>
  <c r="BN246" i="2" s="1"/>
  <c r="AM247" i="1"/>
  <c r="AD432" i="16"/>
  <c r="AD433" i="16"/>
  <c r="AD439" i="16"/>
  <c r="AD441" i="16"/>
  <c r="AD443" i="16"/>
  <c r="AD448" i="16"/>
  <c r="AD449" i="16"/>
  <c r="AD450" i="16"/>
  <c r="AD451" i="16"/>
  <c r="AD453" i="16"/>
  <c r="AD457" i="16"/>
  <c r="AD463" i="16"/>
  <c r="AD464" i="16"/>
  <c r="AD465" i="16"/>
  <c r="AD466" i="16"/>
  <c r="AD470" i="16"/>
  <c r="AD471" i="16"/>
  <c r="AM438" i="1"/>
  <c r="BN438" i="2" s="1"/>
  <c r="AM453" i="1"/>
  <c r="AM458" i="1"/>
  <c r="BN458" i="2" s="1"/>
  <c r="AM462" i="1"/>
  <c r="AM531" i="1"/>
  <c r="BN531" i="2" s="1"/>
  <c r="AM541" i="1"/>
  <c r="AM545" i="1"/>
  <c r="BN545" i="2" s="1"/>
  <c r="AI609" i="15"/>
  <c r="BA609" i="17" s="1"/>
  <c r="BE609" i="17" s="1"/>
  <c r="BG609" i="17" s="1"/>
  <c r="AI605" i="15"/>
  <c r="AI604" i="15"/>
  <c r="BA604" i="17" s="1"/>
  <c r="BE604" i="17" s="1"/>
  <c r="BG604" i="17" s="1"/>
  <c r="AI602" i="15"/>
  <c r="AI598" i="15"/>
  <c r="AI596" i="15"/>
  <c r="AI567" i="15"/>
  <c r="AI562" i="15"/>
  <c r="AI559" i="15"/>
  <c r="BA559" i="17" s="1"/>
  <c r="BE559" i="17" s="1"/>
  <c r="BG559" i="17" s="1"/>
  <c r="AI558" i="15"/>
  <c r="AI556" i="15"/>
  <c r="BA556" i="17" s="1"/>
  <c r="AI555" i="15"/>
  <c r="AI549" i="15"/>
  <c r="BA549" i="17" s="1"/>
  <c r="AI548" i="15"/>
  <c r="AI547" i="15"/>
  <c r="AI545" i="15"/>
  <c r="AI544" i="15"/>
  <c r="BA544" i="17" s="1"/>
  <c r="AI542" i="15"/>
  <c r="AI539" i="15"/>
  <c r="BA539" i="17" s="1"/>
  <c r="BE539" i="17" s="1"/>
  <c r="BG539" i="17" s="1"/>
  <c r="AI535" i="15"/>
  <c r="AI458" i="15"/>
  <c r="BA458" i="17" s="1"/>
  <c r="AI438" i="15"/>
  <c r="AI432" i="15"/>
  <c r="BA432" i="17" s="1"/>
  <c r="BE432" i="17" s="1"/>
  <c r="BG432" i="17" s="1"/>
  <c r="AI355" i="15"/>
  <c r="BA355" i="17" s="1"/>
  <c r="BE355" i="17" s="1"/>
  <c r="BG355" i="17" s="1"/>
  <c r="AI352" i="15"/>
  <c r="BA352" i="17" s="1"/>
  <c r="BE352" i="17" s="1"/>
  <c r="BG352" i="17" s="1"/>
  <c r="AI350" i="15"/>
  <c r="BA350" i="17" s="1"/>
  <c r="BE350" i="17" s="1"/>
  <c r="BG350" i="17" s="1"/>
  <c r="AI345" i="15"/>
  <c r="BA345" i="17" s="1"/>
  <c r="BE345" i="17" s="1"/>
  <c r="BG345" i="17" s="1"/>
  <c r="AI337" i="15"/>
  <c r="BA337" i="17" s="1"/>
  <c r="BE337" i="17" s="1"/>
  <c r="BG337" i="17" s="1"/>
  <c r="AI330" i="15"/>
  <c r="AI325" i="15"/>
  <c r="BA325" i="17" s="1"/>
  <c r="BE325" i="17" s="1"/>
  <c r="BG325" i="17" s="1"/>
  <c r="AI324" i="15"/>
  <c r="BA324" i="17" s="1"/>
  <c r="BE324" i="17" s="1"/>
  <c r="BG324" i="17" s="1"/>
  <c r="AI289" i="15"/>
  <c r="BA289" i="17" s="1"/>
  <c r="BE289" i="17" s="1"/>
  <c r="BG289" i="17" s="1"/>
  <c r="AI287" i="15"/>
  <c r="BA287" i="17" s="1"/>
  <c r="BE287" i="17" s="1"/>
  <c r="BG287" i="17" s="1"/>
  <c r="AI285" i="15"/>
  <c r="BA285" i="17" s="1"/>
  <c r="BE285" i="17" s="1"/>
  <c r="BG285" i="17" s="1"/>
  <c r="AI284" i="15"/>
  <c r="BA284" i="17" s="1"/>
  <c r="BE284" i="17" s="1"/>
  <c r="BG284" i="17" s="1"/>
  <c r="AI277" i="15"/>
  <c r="BN93" i="25"/>
  <c r="BV93" i="25" s="1"/>
  <c r="BX93" i="25" s="1"/>
  <c r="BN97" i="25"/>
  <c r="BV97" i="25" s="1"/>
  <c r="BX97" i="25" s="1"/>
  <c r="BN99" i="25"/>
  <c r="BV99" i="25" s="1"/>
  <c r="BX99" i="25" s="1"/>
  <c r="BN103" i="25"/>
  <c r="BV103" i="25" s="1"/>
  <c r="BN105" i="25"/>
  <c r="BV105" i="25" s="1"/>
  <c r="BX105" i="25" s="1"/>
  <c r="BN109" i="25"/>
  <c r="BV109" i="25" s="1"/>
  <c r="BX109" i="25" s="1"/>
  <c r="BN116" i="25"/>
  <c r="BV116" i="25" s="1"/>
  <c r="BX116" i="25" s="1"/>
  <c r="BN121" i="25"/>
  <c r="BV121" i="25" s="1"/>
  <c r="BX121" i="25" s="1"/>
  <c r="BN123" i="25"/>
  <c r="BV123" i="25" s="1"/>
  <c r="BX123" i="25" s="1"/>
  <c r="BN129" i="25"/>
  <c r="BV129" i="25" s="1"/>
  <c r="BX129" i="25" s="1"/>
  <c r="BN131" i="25"/>
  <c r="BV131" i="25" s="1"/>
  <c r="BX131" i="25" s="1"/>
  <c r="BN138" i="25"/>
  <c r="BV138" i="25" s="1"/>
  <c r="BX138" i="25" s="1"/>
  <c r="BN161" i="25"/>
  <c r="BV161" i="25" s="1"/>
  <c r="BX161" i="25" s="1"/>
  <c r="BN323" i="25"/>
  <c r="BV323" i="25" s="1"/>
  <c r="BX323" i="25" s="1"/>
  <c r="BN330" i="25"/>
  <c r="BV330" i="25" s="1"/>
  <c r="BX330" i="25" s="1"/>
  <c r="BN332" i="25"/>
  <c r="BV332" i="25" s="1"/>
  <c r="BX332" i="25" s="1"/>
  <c r="BN337" i="25"/>
  <c r="BV337" i="25" s="1"/>
  <c r="BX337" i="25" s="1"/>
  <c r="BN339" i="25"/>
  <c r="BV339" i="25" s="1"/>
  <c r="BX339" i="25" s="1"/>
  <c r="BN345" i="25"/>
  <c r="BV345" i="25" s="1"/>
  <c r="BX345" i="25" s="1"/>
  <c r="BN348" i="25"/>
  <c r="BV348" i="25" s="1"/>
  <c r="BX348" i="25" s="1"/>
  <c r="BN368" i="25"/>
  <c r="BV368" i="25" s="1"/>
  <c r="BX368" i="25" s="1"/>
  <c r="BN370" i="25"/>
  <c r="BV370" i="25" s="1"/>
  <c r="BX370" i="25" s="1"/>
  <c r="BN372" i="25"/>
  <c r="BV372" i="25" s="1"/>
  <c r="BX372" i="25" s="1"/>
  <c r="BN374" i="25"/>
  <c r="BV374" i="25" s="1"/>
  <c r="BX374" i="25" s="1"/>
  <c r="BN376" i="25"/>
  <c r="BV376" i="25" s="1"/>
  <c r="BX376" i="25" s="1"/>
  <c r="BN378" i="25"/>
  <c r="BV378" i="25" s="1"/>
  <c r="BX378" i="25" s="1"/>
  <c r="BN380" i="25"/>
  <c r="BV380" i="25" s="1"/>
  <c r="BX380" i="25" s="1"/>
  <c r="BN382" i="25"/>
  <c r="BV382" i="25" s="1"/>
  <c r="BX382" i="25" s="1"/>
  <c r="BN384" i="25"/>
  <c r="BV384" i="25" s="1"/>
  <c r="BX384" i="25" s="1"/>
  <c r="BN386" i="25"/>
  <c r="BV386" i="25" s="1"/>
  <c r="BX386" i="25" s="1"/>
  <c r="BN388" i="25"/>
  <c r="BV388" i="25" s="1"/>
  <c r="BX388" i="25" s="1"/>
  <c r="BN390" i="25"/>
  <c r="BV390" i="25" s="1"/>
  <c r="BX390" i="25" s="1"/>
  <c r="BN392" i="25"/>
  <c r="BV392" i="25" s="1"/>
  <c r="BX392" i="25" s="1"/>
  <c r="BN394" i="25"/>
  <c r="BV394" i="25" s="1"/>
  <c r="BX394" i="25" s="1"/>
  <c r="BN396" i="25"/>
  <c r="BV396" i="25" s="1"/>
  <c r="BX396" i="25" s="1"/>
  <c r="BN398" i="25"/>
  <c r="BV398" i="25" s="1"/>
  <c r="BX398" i="25" s="1"/>
  <c r="BN403" i="25"/>
  <c r="BV403" i="25" s="1"/>
  <c r="BX403" i="25" s="1"/>
  <c r="BN407" i="25"/>
  <c r="BV407" i="25" s="1"/>
  <c r="BX407" i="25" s="1"/>
  <c r="BN431" i="25"/>
  <c r="BV431" i="25" s="1"/>
  <c r="BX431" i="25" s="1"/>
  <c r="BN435" i="25"/>
  <c r="BV435" i="25" s="1"/>
  <c r="BX435" i="25" s="1"/>
  <c r="BN439" i="25"/>
  <c r="BV439" i="25" s="1"/>
  <c r="BX439" i="25" s="1"/>
  <c r="BN442" i="25"/>
  <c r="BV442" i="25" s="1"/>
  <c r="BX442" i="25" s="1"/>
  <c r="BN449" i="25"/>
  <c r="BV449" i="25" s="1"/>
  <c r="BX449" i="25" s="1"/>
  <c r="BN451" i="25"/>
  <c r="BV451" i="25" s="1"/>
  <c r="BX451" i="25" s="1"/>
  <c r="BN453" i="25"/>
  <c r="BV453" i="25" s="1"/>
  <c r="BX453" i="25" s="1"/>
  <c r="BN455" i="25"/>
  <c r="BV455" i="25" s="1"/>
  <c r="BX455" i="25" s="1"/>
  <c r="BN460" i="25"/>
  <c r="BV460" i="25" s="1"/>
  <c r="BX460" i="25" s="1"/>
  <c r="BN468" i="25"/>
  <c r="BV468" i="25" s="1"/>
  <c r="BX468" i="25" s="1"/>
  <c r="BN470" i="25"/>
  <c r="BV470" i="25" s="1"/>
  <c r="BX470" i="25" s="1"/>
  <c r="BN472" i="25"/>
  <c r="BV472" i="25" s="1"/>
  <c r="BX472" i="25" s="1"/>
  <c r="BN534" i="25"/>
  <c r="BV534" i="25" s="1"/>
  <c r="BX534" i="25" s="1"/>
  <c r="BN557" i="25"/>
  <c r="BV557" i="25" s="1"/>
  <c r="BX557" i="25" s="1"/>
  <c r="BN559" i="25"/>
  <c r="BV559" i="25" s="1"/>
  <c r="BX559" i="25" s="1"/>
  <c r="BN598" i="25"/>
  <c r="BV598" i="25" s="1"/>
  <c r="BX598" i="25" s="1"/>
  <c r="BN602" i="25"/>
  <c r="BV602" i="25" s="1"/>
  <c r="BX602" i="25" s="1"/>
  <c r="BN604" i="25"/>
  <c r="BV604" i="25" s="1"/>
  <c r="BX604" i="25" s="1"/>
  <c r="BN606" i="25"/>
  <c r="BV606" i="25" s="1"/>
  <c r="BX606" i="25" s="1"/>
  <c r="BN610" i="25"/>
  <c r="BV610" i="25" s="1"/>
  <c r="BX610" i="25" s="1"/>
  <c r="AI273" i="15"/>
  <c r="BA273" i="17" s="1"/>
  <c r="BE273" i="17" s="1"/>
  <c r="BG273" i="17" s="1"/>
  <c r="AI246" i="15"/>
  <c r="BA246" i="17" s="1"/>
  <c r="BE246" i="17" s="1"/>
  <c r="BG246" i="17" s="1"/>
  <c r="AI242" i="15"/>
  <c r="BA242" i="17" s="1"/>
  <c r="BE242" i="17" s="1"/>
  <c r="BG242" i="17" s="1"/>
  <c r="AI241" i="15"/>
  <c r="BA241" i="17" s="1"/>
  <c r="BE241" i="17" s="1"/>
  <c r="BG241" i="17" s="1"/>
  <c r="AI238" i="15"/>
  <c r="BA238" i="17" s="1"/>
  <c r="BE238" i="17" s="1"/>
  <c r="BG238" i="17" s="1"/>
  <c r="AI236" i="15"/>
  <c r="BA236" i="17" s="1"/>
  <c r="BE236" i="17" s="1"/>
  <c r="BG236" i="17" s="1"/>
  <c r="BA232" i="17"/>
  <c r="BE232" i="17" s="1"/>
  <c r="BG232" i="17" s="1"/>
  <c r="AI219" i="15"/>
  <c r="BA219" i="17" s="1"/>
  <c r="BE219" i="17" s="1"/>
  <c r="BG219" i="17" s="1"/>
  <c r="AI217" i="15"/>
  <c r="BA217" i="17" s="1"/>
  <c r="BE217" i="17" s="1"/>
  <c r="BG217" i="17" s="1"/>
  <c r="AI213" i="15"/>
  <c r="BA213" i="17" s="1"/>
  <c r="BE213" i="17" s="1"/>
  <c r="BG213" i="17" s="1"/>
  <c r="BA208" i="17"/>
  <c r="BE208" i="17" s="1"/>
  <c r="BG208" i="17" s="1"/>
  <c r="AI207" i="15"/>
  <c r="BA207" i="17" s="1"/>
  <c r="BE207" i="17" s="1"/>
  <c r="BG207" i="17" s="1"/>
  <c r="AI206" i="15"/>
  <c r="BA206" i="17" s="1"/>
  <c r="BE206" i="17" s="1"/>
  <c r="BG206" i="17" s="1"/>
  <c r="BN271" i="25"/>
  <c r="BV271" i="25" s="1"/>
  <c r="BX271" i="25" s="1"/>
  <c r="BN273" i="25"/>
  <c r="BV273" i="25" s="1"/>
  <c r="BX273" i="25" s="1"/>
  <c r="BN283" i="25"/>
  <c r="BV283" i="25" s="1"/>
  <c r="BX283" i="25" s="1"/>
  <c r="BN285" i="25"/>
  <c r="BV285" i="25" s="1"/>
  <c r="BX285" i="25" s="1"/>
  <c r="BN289" i="25"/>
  <c r="BV289" i="25" s="1"/>
  <c r="BX289" i="25" s="1"/>
  <c r="BN294" i="25"/>
  <c r="BV294" i="25" s="1"/>
  <c r="BX294" i="25" s="1"/>
  <c r="BN303" i="25"/>
  <c r="BV303" i="25" s="1"/>
  <c r="BX303" i="25" s="1"/>
  <c r="BN305" i="25"/>
  <c r="BV305" i="25" s="1"/>
  <c r="BX305" i="25" s="1"/>
  <c r="BN311" i="25"/>
  <c r="BV311" i="25" s="1"/>
  <c r="BX311" i="25" s="1"/>
  <c r="BN143" i="25"/>
  <c r="BV143" i="25" s="1"/>
  <c r="BX143" i="25" s="1"/>
  <c r="BN147" i="25"/>
  <c r="BV147" i="25" s="1"/>
  <c r="BX147" i="25" s="1"/>
  <c r="BN153" i="25"/>
  <c r="BV153" i="25" s="1"/>
  <c r="BX153" i="25" s="1"/>
  <c r="AI417" i="15"/>
  <c r="BA417" i="17" s="1"/>
  <c r="AI419" i="15"/>
  <c r="AI421" i="15"/>
  <c r="AI423" i="15"/>
  <c r="BN416" i="25"/>
  <c r="BV416" i="25" s="1"/>
  <c r="BX416" i="25" s="1"/>
  <c r="BN420" i="25"/>
  <c r="BV420" i="25" s="1"/>
  <c r="BX420" i="25" s="1"/>
  <c r="BN422" i="25"/>
  <c r="BV422" i="25" s="1"/>
  <c r="BX422" i="25" s="1"/>
  <c r="BN424" i="25"/>
  <c r="BV424" i="25" s="1"/>
  <c r="BX424" i="25" s="1"/>
  <c r="BN571" i="25"/>
  <c r="BV571" i="25" s="1"/>
  <c r="BX571" i="25" s="1"/>
  <c r="BN582" i="25"/>
  <c r="BV582" i="25" s="1"/>
  <c r="BX582" i="25" s="1"/>
  <c r="BN585" i="25"/>
  <c r="BV585" i="25" s="1"/>
  <c r="BX585" i="25" s="1"/>
  <c r="BN178" i="25"/>
  <c r="BV178" i="25" s="1"/>
  <c r="BX178" i="25" s="1"/>
  <c r="BN180" i="25"/>
  <c r="BV180" i="25" s="1"/>
  <c r="BX180" i="25" s="1"/>
  <c r="BN182" i="25"/>
  <c r="BV182" i="25" s="1"/>
  <c r="BX182" i="25" s="1"/>
  <c r="BN184" i="25"/>
  <c r="BV184" i="25" s="1"/>
  <c r="BX184" i="25" s="1"/>
  <c r="BN187" i="25"/>
  <c r="BV187" i="25" s="1"/>
  <c r="BX187" i="25" s="1"/>
  <c r="BN190" i="25"/>
  <c r="BV190" i="25" s="1"/>
  <c r="BX190" i="25" s="1"/>
  <c r="BN192" i="25"/>
  <c r="BV192" i="25" s="1"/>
  <c r="BX192" i="25" s="1"/>
  <c r="BN194" i="25"/>
  <c r="BV194" i="25" s="1"/>
  <c r="BX194" i="25" s="1"/>
  <c r="BN196" i="25"/>
  <c r="BV196" i="25" s="1"/>
  <c r="BX196" i="25" s="1"/>
  <c r="BN201" i="25"/>
  <c r="BV201" i="25" s="1"/>
  <c r="BX201" i="25" s="1"/>
  <c r="BN203" i="25"/>
  <c r="BV203" i="25" s="1"/>
  <c r="BX203" i="25" s="1"/>
  <c r="AD480" i="16"/>
  <c r="AD483" i="16"/>
  <c r="AD508" i="16"/>
  <c r="AD513" i="16"/>
  <c r="AD515" i="16"/>
  <c r="AD516" i="16"/>
  <c r="AD521" i="16"/>
  <c r="AD523" i="16"/>
  <c r="AM483" i="1"/>
  <c r="BN483" i="2" s="1"/>
  <c r="AM484" i="1"/>
  <c r="AM520" i="1"/>
  <c r="BN520" i="2" s="1"/>
  <c r="BV520" i="2" s="1"/>
  <c r="BX520" i="2" s="1"/>
  <c r="AM525" i="1"/>
  <c r="BN496" i="25"/>
  <c r="BV496" i="25" s="1"/>
  <c r="BX496" i="25" s="1"/>
  <c r="BN499" i="25"/>
  <c r="BV499" i="25" s="1"/>
  <c r="BX499" i="25" s="1"/>
  <c r="BN520" i="25"/>
  <c r="BV520" i="25" s="1"/>
  <c r="BX520" i="25" s="1"/>
  <c r="BN521" i="25"/>
  <c r="BV521" i="25" s="1"/>
  <c r="BX521" i="25" s="1"/>
  <c r="BN572" i="25"/>
  <c r="BV572" i="25" s="1"/>
  <c r="BX572" i="25" s="1"/>
  <c r="AD254" i="16"/>
  <c r="AD255" i="16"/>
  <c r="BN249" i="25"/>
  <c r="BV249" i="25" s="1"/>
  <c r="BX249" i="25" s="1"/>
  <c r="BN250" i="25"/>
  <c r="BV250" i="25" s="1"/>
  <c r="BX250" i="25" s="1"/>
  <c r="BN251" i="25"/>
  <c r="BV251" i="25" s="1"/>
  <c r="BX251" i="25" s="1"/>
  <c r="BN259" i="25"/>
  <c r="BV259" i="25" s="1"/>
  <c r="BX259" i="25" s="1"/>
  <c r="BN96" i="25"/>
  <c r="BV96" i="25" s="1"/>
  <c r="BX96" i="25" s="1"/>
  <c r="BN98" i="25"/>
  <c r="BV98" i="25" s="1"/>
  <c r="BX98" i="25" s="1"/>
  <c r="BN112" i="25"/>
  <c r="BV112" i="25" s="1"/>
  <c r="BX112" i="25" s="1"/>
  <c r="BN124" i="25"/>
  <c r="BV124" i="25" s="1"/>
  <c r="BX124" i="25" s="1"/>
  <c r="BN126" i="25"/>
  <c r="BV126" i="25" s="1"/>
  <c r="BX126" i="25" s="1"/>
  <c r="BN134" i="25"/>
  <c r="BV134" i="25" s="1"/>
  <c r="BX134" i="25" s="1"/>
  <c r="BN162" i="25"/>
  <c r="BV162" i="25" s="1"/>
  <c r="BX162" i="25" s="1"/>
  <c r="BN166" i="25"/>
  <c r="BV166" i="25" s="1"/>
  <c r="BX166" i="25" s="1"/>
  <c r="BN174" i="25"/>
  <c r="BV174" i="25" s="1"/>
  <c r="BX174" i="25" s="1"/>
  <c r="BN322" i="25"/>
  <c r="BV322" i="25" s="1"/>
  <c r="BX322" i="25" s="1"/>
  <c r="BN324" i="25"/>
  <c r="BV324" i="25" s="1"/>
  <c r="BX324" i="25" s="1"/>
  <c r="BN331" i="25"/>
  <c r="BV331" i="25" s="1"/>
  <c r="BX331" i="25" s="1"/>
  <c r="BN338" i="25"/>
  <c r="BV338" i="25" s="1"/>
  <c r="BX338" i="25" s="1"/>
  <c r="BN347" i="25"/>
  <c r="BV347" i="25" s="1"/>
  <c r="BX347" i="25" s="1"/>
  <c r="BN349" i="25"/>
  <c r="BV349" i="25" s="1"/>
  <c r="BX349" i="25" s="1"/>
  <c r="BN351" i="25"/>
  <c r="BV351" i="25" s="1"/>
  <c r="BX351" i="25" s="1"/>
  <c r="BN356" i="25"/>
  <c r="BV356" i="25" s="1"/>
  <c r="BX356" i="25" s="1"/>
  <c r="BN364" i="25"/>
  <c r="BV364" i="25" s="1"/>
  <c r="BX364" i="25" s="1"/>
  <c r="BN366" i="25"/>
  <c r="BV366" i="25" s="1"/>
  <c r="BX366" i="25" s="1"/>
  <c r="BN369" i="25"/>
  <c r="BV369" i="25" s="1"/>
  <c r="BX369" i="25" s="1"/>
  <c r="BN371" i="25"/>
  <c r="BV371" i="25" s="1"/>
  <c r="BX371" i="25" s="1"/>
  <c r="BN373" i="25"/>
  <c r="BV373" i="25" s="1"/>
  <c r="BX373" i="25" s="1"/>
  <c r="BN375" i="25"/>
  <c r="BV375" i="25" s="1"/>
  <c r="BX375" i="25" s="1"/>
  <c r="BN377" i="25"/>
  <c r="BV377" i="25" s="1"/>
  <c r="BX377" i="25" s="1"/>
  <c r="BN379" i="25"/>
  <c r="BV379" i="25" s="1"/>
  <c r="BX379" i="25" s="1"/>
  <c r="BN381" i="25"/>
  <c r="BV381" i="25" s="1"/>
  <c r="BX381" i="25" s="1"/>
  <c r="BN383" i="25"/>
  <c r="BV383" i="25" s="1"/>
  <c r="BX383" i="25" s="1"/>
  <c r="BN385" i="25"/>
  <c r="BV385" i="25" s="1"/>
  <c r="BX385" i="25" s="1"/>
  <c r="BN387" i="25"/>
  <c r="BV387" i="25" s="1"/>
  <c r="BX387" i="25" s="1"/>
  <c r="BN389" i="25"/>
  <c r="BV389" i="25" s="1"/>
  <c r="BX389" i="25" s="1"/>
  <c r="BN391" i="25"/>
  <c r="BV391" i="25" s="1"/>
  <c r="BX391" i="25" s="1"/>
  <c r="BN393" i="25"/>
  <c r="BV393" i="25" s="1"/>
  <c r="BX393" i="25" s="1"/>
  <c r="BN395" i="25"/>
  <c r="BV395" i="25" s="1"/>
  <c r="BX395" i="25" s="1"/>
  <c r="BN397" i="25"/>
  <c r="BV397" i="25" s="1"/>
  <c r="BX397" i="25" s="1"/>
  <c r="BN404" i="25"/>
  <c r="BV404" i="25" s="1"/>
  <c r="BX404" i="25" s="1"/>
  <c r="BN408" i="25"/>
  <c r="BV408" i="25" s="1"/>
  <c r="BX408" i="25" s="1"/>
  <c r="BN432" i="25"/>
  <c r="BV432" i="25" s="1"/>
  <c r="BX432" i="25" s="1"/>
  <c r="BN436" i="25"/>
  <c r="BV436" i="25" s="1"/>
  <c r="BX436" i="25" s="1"/>
  <c r="BN438" i="25"/>
  <c r="BV438" i="25" s="1"/>
  <c r="BX438" i="25" s="1"/>
  <c r="BN441" i="25"/>
  <c r="BV441" i="25" s="1"/>
  <c r="BX441" i="25" s="1"/>
  <c r="BN447" i="25"/>
  <c r="BV447" i="25" s="1"/>
  <c r="BX447" i="25" s="1"/>
  <c r="BN448" i="25"/>
  <c r="BV448" i="25" s="1"/>
  <c r="BX448" i="25" s="1"/>
  <c r="BN452" i="25"/>
  <c r="BV452" i="25" s="1"/>
  <c r="BX452" i="25" s="1"/>
  <c r="BN454" i="25"/>
  <c r="BV454" i="25" s="1"/>
  <c r="BX454" i="25" s="1"/>
  <c r="BN457" i="25"/>
  <c r="BV457" i="25" s="1"/>
  <c r="BX457" i="25" s="1"/>
  <c r="BN461" i="25"/>
  <c r="BV461" i="25" s="1"/>
  <c r="BX461" i="25" s="1"/>
  <c r="BN469" i="25"/>
  <c r="BV469" i="25" s="1"/>
  <c r="BX469" i="25" s="1"/>
  <c r="BN477" i="25"/>
  <c r="BV477" i="25" s="1"/>
  <c r="BX477" i="25" s="1"/>
  <c r="BN544" i="25"/>
  <c r="BV544" i="25" s="1"/>
  <c r="BX544" i="25" s="1"/>
  <c r="BN554" i="25"/>
  <c r="BV554" i="25" s="1"/>
  <c r="BX554" i="25" s="1"/>
  <c r="BN556" i="25"/>
  <c r="BV556" i="25" s="1"/>
  <c r="BX556" i="25" s="1"/>
  <c r="BN597" i="25"/>
  <c r="BV597" i="25" s="1"/>
  <c r="BX597" i="25" s="1"/>
  <c r="BN605" i="25"/>
  <c r="BV605" i="25" s="1"/>
  <c r="BX605" i="25" s="1"/>
  <c r="BN607" i="25"/>
  <c r="BV607" i="25" s="1"/>
  <c r="BX607" i="25" s="1"/>
  <c r="BN609" i="25"/>
  <c r="BV609" i="25" s="1"/>
  <c r="BX609" i="25" s="1"/>
  <c r="BN618" i="25"/>
  <c r="BV618" i="25" s="1"/>
  <c r="BX618" i="25" s="1"/>
  <c r="AI144" i="15"/>
  <c r="BA144" i="17" s="1"/>
  <c r="BE144" i="17" s="1"/>
  <c r="BG144" i="17" s="1"/>
  <c r="BA143" i="17"/>
  <c r="BE143" i="17" s="1"/>
  <c r="BG143" i="17" s="1"/>
  <c r="BA142" i="17"/>
  <c r="BE142" i="17" s="1"/>
  <c r="BG142" i="17" s="1"/>
  <c r="AI139" i="15"/>
  <c r="BA139" i="17" s="1"/>
  <c r="BE139" i="17" s="1"/>
  <c r="BG139" i="17" s="1"/>
  <c r="AI138" i="15"/>
  <c r="BA138" i="17" s="1"/>
  <c r="BE138" i="17" s="1"/>
  <c r="BG138" i="17" s="1"/>
  <c r="AI136" i="15"/>
  <c r="BA136" i="17" s="1"/>
  <c r="BE136" i="17" s="1"/>
  <c r="BG136" i="17" s="1"/>
  <c r="AI125" i="15"/>
  <c r="BA125" i="17" s="1"/>
  <c r="BE125" i="17" s="1"/>
  <c r="BG125" i="17" s="1"/>
  <c r="AI118" i="15"/>
  <c r="BA118" i="17" s="1"/>
  <c r="BE118" i="17" s="1"/>
  <c r="BG118" i="17" s="1"/>
  <c r="AI116" i="15"/>
  <c r="BA116" i="17" s="1"/>
  <c r="BE116" i="17" s="1"/>
  <c r="BG116" i="17" s="1"/>
  <c r="AI114" i="15"/>
  <c r="BA114" i="17" s="1"/>
  <c r="BE114" i="17" s="1"/>
  <c r="BG114" i="17" s="1"/>
  <c r="AI111" i="15"/>
  <c r="BA111" i="17" s="1"/>
  <c r="BE111" i="17" s="1"/>
  <c r="BG111" i="17" s="1"/>
  <c r="AI110" i="15"/>
  <c r="BA110" i="17" s="1"/>
  <c r="BE110" i="17" s="1"/>
  <c r="BG110" i="17" s="1"/>
  <c r="AI108" i="15"/>
  <c r="BA108" i="17" s="1"/>
  <c r="BE108" i="17" s="1"/>
  <c r="BG108" i="17" s="1"/>
  <c r="AI105" i="15"/>
  <c r="BA105" i="17" s="1"/>
  <c r="BE105" i="17" s="1"/>
  <c r="BG105" i="17" s="1"/>
  <c r="AI103" i="15"/>
  <c r="BA103" i="17" s="1"/>
  <c r="BE103" i="17" s="1"/>
  <c r="BG103" i="17" s="1"/>
  <c r="AI102" i="15"/>
  <c r="BA102" i="17" s="1"/>
  <c r="BE102" i="17" s="1"/>
  <c r="BG102" i="17" s="1"/>
  <c r="AI101" i="15"/>
  <c r="BA101" i="17" s="1"/>
  <c r="BE101" i="17" s="1"/>
  <c r="BG101" i="17" s="1"/>
  <c r="AI98" i="15"/>
  <c r="BA98" i="17" s="1"/>
  <c r="BE98" i="17" s="1"/>
  <c r="BG98" i="17" s="1"/>
  <c r="AI97" i="15"/>
  <c r="BA97" i="17" s="1"/>
  <c r="BE97" i="17" s="1"/>
  <c r="BG97" i="17" s="1"/>
  <c r="AI96" i="15"/>
  <c r="BA96" i="17" s="1"/>
  <c r="BE96" i="17" s="1"/>
  <c r="BG96" i="17" s="1"/>
  <c r="AI95" i="15"/>
  <c r="BA95" i="17" s="1"/>
  <c r="BE95" i="17" s="1"/>
  <c r="BG95" i="17" s="1"/>
  <c r="AI94" i="15"/>
  <c r="BA94" i="17" s="1"/>
  <c r="BE94" i="17" s="1"/>
  <c r="BG94" i="17" s="1"/>
  <c r="AI93" i="15"/>
  <c r="BA93" i="17" s="1"/>
  <c r="BE93" i="17" s="1"/>
  <c r="BG93" i="17" s="1"/>
  <c r="AI92" i="15"/>
  <c r="BA92" i="17" s="1"/>
  <c r="BE92" i="17" s="1"/>
  <c r="BG92" i="17" s="1"/>
  <c r="AI90" i="15"/>
  <c r="BA90" i="17" s="1"/>
  <c r="BE90" i="17" s="1"/>
  <c r="BG90" i="17" s="1"/>
  <c r="AI449" i="15"/>
  <c r="AI472" i="15"/>
  <c r="AI541" i="15"/>
  <c r="AI553" i="15"/>
  <c r="BA553" i="17" s="1"/>
  <c r="AI565" i="15"/>
  <c r="AI84" i="15"/>
  <c r="BA84" i="17" s="1"/>
  <c r="BE84" i="17" s="1"/>
  <c r="BG84" i="17" s="1"/>
  <c r="AI130" i="15"/>
  <c r="BA130" i="17" s="1"/>
  <c r="BE130" i="17" s="1"/>
  <c r="BG130" i="17" s="1"/>
  <c r="AI395" i="15"/>
  <c r="AI405" i="15"/>
  <c r="BN176" i="25"/>
  <c r="BV176" i="25" s="1"/>
  <c r="BX176" i="25" s="1"/>
  <c r="BN268" i="25"/>
  <c r="BV268" i="25" s="1"/>
  <c r="BX268" i="25" s="1"/>
  <c r="BN270" i="25"/>
  <c r="BV270" i="25" s="1"/>
  <c r="BX270" i="25" s="1"/>
  <c r="BN272" i="25"/>
  <c r="BV272" i="25" s="1"/>
  <c r="BX272" i="25" s="1"/>
  <c r="BN282" i="25"/>
  <c r="BV282" i="25" s="1"/>
  <c r="BX282" i="25" s="1"/>
  <c r="BN284" i="25"/>
  <c r="BV284" i="25" s="1"/>
  <c r="BX284" i="25" s="1"/>
  <c r="BN293" i="25"/>
  <c r="BV293" i="25" s="1"/>
  <c r="BX293" i="25" s="1"/>
  <c r="BN302" i="25"/>
  <c r="BV302" i="25" s="1"/>
  <c r="BX302" i="25" s="1"/>
  <c r="BN304" i="25"/>
  <c r="BV304" i="25" s="1"/>
  <c r="BX304" i="25" s="1"/>
  <c r="BN306" i="25"/>
  <c r="BV306" i="25" s="1"/>
  <c r="BX306" i="25" s="1"/>
  <c r="BN310" i="25"/>
  <c r="BV310" i="25" s="1"/>
  <c r="BX310" i="25" s="1"/>
  <c r="BN144" i="25"/>
  <c r="BV144" i="25" s="1"/>
  <c r="BX144" i="25" s="1"/>
  <c r="BN148" i="25"/>
  <c r="BV148" i="25" s="1"/>
  <c r="BX148" i="25" s="1"/>
  <c r="BN152" i="25"/>
  <c r="BV152" i="25" s="1"/>
  <c r="BX152" i="25" s="1"/>
  <c r="BN154" i="25"/>
  <c r="BV154" i="25" s="1"/>
  <c r="BX154" i="25" s="1"/>
  <c r="AD423" i="16"/>
  <c r="AD425" i="16"/>
  <c r="AD426" i="16"/>
  <c r="AD427" i="16"/>
  <c r="BN421" i="25"/>
  <c r="BV421" i="25" s="1"/>
  <c r="BX421" i="25" s="1"/>
  <c r="BN423" i="25"/>
  <c r="BV423" i="25" s="1"/>
  <c r="BX423" i="25" s="1"/>
  <c r="BN425" i="25"/>
  <c r="BV425" i="25" s="1"/>
  <c r="BX425" i="25" s="1"/>
  <c r="BN568" i="25"/>
  <c r="BV568" i="25" s="1"/>
  <c r="BX568" i="25" s="1"/>
  <c r="BN573" i="25"/>
  <c r="BV573" i="25" s="1"/>
  <c r="BX573" i="25" s="1"/>
  <c r="BN577" i="25"/>
  <c r="BV577" i="25" s="1"/>
  <c r="BX577" i="25" s="1"/>
  <c r="BN581" i="25"/>
  <c r="BV581" i="25" s="1"/>
  <c r="BX581" i="25" s="1"/>
  <c r="AI578" i="15"/>
  <c r="AI580" i="15"/>
  <c r="BA580" i="17" s="1"/>
  <c r="AD583" i="16"/>
  <c r="AD584" i="16"/>
  <c r="AI190" i="15"/>
  <c r="BA190" i="17" s="1"/>
  <c r="BE190" i="17" s="1"/>
  <c r="BG190" i="17" s="1"/>
  <c r="AI196" i="15"/>
  <c r="BA196" i="17" s="1"/>
  <c r="BE196" i="17" s="1"/>
  <c r="BG196" i="17" s="1"/>
  <c r="AI201" i="15"/>
  <c r="BA201" i="17" s="1"/>
  <c r="BE201" i="17" s="1"/>
  <c r="BG201" i="17" s="1"/>
  <c r="AI203" i="15"/>
  <c r="BA203" i="17" s="1"/>
  <c r="BE203" i="17" s="1"/>
  <c r="BG203" i="17" s="1"/>
  <c r="BN177" i="25"/>
  <c r="BV177" i="25" s="1"/>
  <c r="BX177" i="25" s="1"/>
  <c r="BN183" i="25"/>
  <c r="BV183" i="25" s="1"/>
  <c r="BX183" i="25" s="1"/>
  <c r="BN185" i="25"/>
  <c r="BV185" i="25" s="1"/>
  <c r="BX185" i="25" s="1"/>
  <c r="BN191" i="25"/>
  <c r="BV191" i="25" s="1"/>
  <c r="BX191" i="25" s="1"/>
  <c r="BN195" i="25"/>
  <c r="BV195" i="25" s="1"/>
  <c r="BX195" i="25" s="1"/>
  <c r="BN200" i="25"/>
  <c r="BV200" i="25" s="1"/>
  <c r="BX200" i="25" s="1"/>
  <c r="BN204" i="25"/>
  <c r="BV204" i="25" s="1"/>
  <c r="BX204" i="25" s="1"/>
  <c r="BN583" i="25"/>
  <c r="BV583" i="25" s="1"/>
  <c r="BX583" i="25" s="1"/>
  <c r="BN256" i="25"/>
  <c r="BV256" i="25" s="1"/>
  <c r="BX256" i="25" s="1"/>
  <c r="BN258" i="25"/>
  <c r="BV258" i="25" s="1"/>
  <c r="BX258" i="25" s="1"/>
  <c r="BN427" i="25"/>
  <c r="BV427" i="25" s="1"/>
  <c r="BX427" i="25" s="1"/>
  <c r="BN419" i="25"/>
  <c r="BV419" i="25" s="1"/>
  <c r="BX419" i="25" s="1"/>
  <c r="BN428" i="25"/>
  <c r="BV428" i="25" s="1"/>
  <c r="BX428" i="25" s="1"/>
  <c r="BV199" i="2"/>
  <c r="BX199" i="2" s="1"/>
  <c r="AM166" i="1"/>
  <c r="BN166" i="2" s="1"/>
  <c r="AM325" i="1"/>
  <c r="BN325" i="2" s="1"/>
  <c r="AM399" i="1"/>
  <c r="AM312" i="1"/>
  <c r="BN312" i="2" s="1"/>
  <c r="AM363" i="1"/>
  <c r="BN363" i="2" s="1"/>
  <c r="AM234" i="1"/>
  <c r="BN234" i="2" s="1"/>
  <c r="AM236" i="1"/>
  <c r="BN236" i="2" s="1"/>
  <c r="AM472" i="1"/>
  <c r="BN472" i="2" s="1"/>
  <c r="AM549" i="1"/>
  <c r="BN549" i="2" s="1"/>
  <c r="AM558" i="1"/>
  <c r="BN558" i="2" s="1"/>
  <c r="AM523" i="1"/>
  <c r="AM102" i="1"/>
  <c r="BN102" i="2" s="1"/>
  <c r="AM103" i="1"/>
  <c r="BN103" i="2" s="1"/>
  <c r="AM104" i="1"/>
  <c r="BN104" i="2" s="1"/>
  <c r="AM116" i="1"/>
  <c r="BN116" i="2" s="1"/>
  <c r="AM122" i="1"/>
  <c r="BN122" i="2" s="1"/>
  <c r="AM133" i="1"/>
  <c r="BN133" i="2" s="1"/>
  <c r="AM134" i="1"/>
  <c r="BN134" i="2" s="1"/>
  <c r="BV382" i="2"/>
  <c r="BX382" i="2" s="1"/>
  <c r="BV390" i="2"/>
  <c r="BX390" i="2" s="1"/>
  <c r="AM394" i="1"/>
  <c r="BN394" i="2" s="1"/>
  <c r="AM395" i="1"/>
  <c r="BN395" i="2" s="1"/>
  <c r="AM403" i="1"/>
  <c r="BN403" i="2" s="1"/>
  <c r="AM404" i="1"/>
  <c r="BN404" i="2" s="1"/>
  <c r="AM405" i="1"/>
  <c r="BN405" i="2" s="1"/>
  <c r="BV380" i="2"/>
  <c r="BX380" i="2" s="1"/>
  <c r="AM88" i="1"/>
  <c r="BN88" i="2" s="1"/>
  <c r="AM96" i="1"/>
  <c r="BN96" i="2" s="1"/>
  <c r="AM287" i="1"/>
  <c r="BN287" i="2" s="1"/>
  <c r="AM604" i="1"/>
  <c r="BN604" i="2" s="1"/>
  <c r="AM614" i="1"/>
  <c r="BN614" i="2" s="1"/>
  <c r="AM344" i="1"/>
  <c r="BN344" i="2" s="1"/>
  <c r="AM345" i="1"/>
  <c r="BN345" i="2" s="1"/>
  <c r="AM347" i="1"/>
  <c r="AM348" i="1"/>
  <c r="BN348" i="2" s="1"/>
  <c r="AM349" i="1"/>
  <c r="AM353" i="1"/>
  <c r="AM360" i="1"/>
  <c r="BN360" i="2" s="1"/>
  <c r="BV376" i="2"/>
  <c r="BX376" i="2" s="1"/>
  <c r="BV377" i="2"/>
  <c r="BX377" i="2" s="1"/>
  <c r="AM437" i="1"/>
  <c r="BN437" i="2" s="1"/>
  <c r="AM452" i="1"/>
  <c r="AM552" i="1"/>
  <c r="BN552" i="2" s="1"/>
  <c r="BA266" i="17"/>
  <c r="BE266" i="17" s="1"/>
  <c r="BG266" i="17" s="1"/>
  <c r="AI445" i="15"/>
  <c r="BA445" i="17" s="1"/>
  <c r="AI460" i="15"/>
  <c r="AI470" i="15"/>
  <c r="AI570" i="15"/>
  <c r="AI568" i="15"/>
  <c r="AI290" i="15"/>
  <c r="BA290" i="17" s="1"/>
  <c r="BE290" i="17" s="1"/>
  <c r="BG290" i="17" s="1"/>
  <c r="AI288" i="15"/>
  <c r="BA288" i="17" s="1"/>
  <c r="BE288" i="17" s="1"/>
  <c r="BG288" i="17" s="1"/>
  <c r="AI278" i="15"/>
  <c r="AI434" i="15"/>
  <c r="AI414" i="15"/>
  <c r="AI398" i="15"/>
  <c r="AI397" i="15"/>
  <c r="BE382" i="17"/>
  <c r="BG382" i="17" s="1"/>
  <c r="AI362" i="15"/>
  <c r="BA362" i="17" s="1"/>
  <c r="BE362" i="17" s="1"/>
  <c r="BG362" i="17" s="1"/>
  <c r="AI357" i="15"/>
  <c r="BA357" i="17" s="1"/>
  <c r="BE357" i="17" s="1"/>
  <c r="BG357" i="17" s="1"/>
  <c r="AI351" i="15"/>
  <c r="BA351" i="17" s="1"/>
  <c r="BE351" i="17" s="1"/>
  <c r="BG351" i="17" s="1"/>
  <c r="AI339" i="15"/>
  <c r="BA339" i="17" s="1"/>
  <c r="BE339" i="17" s="1"/>
  <c r="BG339" i="17" s="1"/>
  <c r="AI336" i="15"/>
  <c r="BA336" i="17" s="1"/>
  <c r="BE336" i="17" s="1"/>
  <c r="BG336" i="17" s="1"/>
  <c r="AI321" i="15"/>
  <c r="BA321" i="17" s="1"/>
  <c r="BE321" i="17" s="1"/>
  <c r="BG321" i="17" s="1"/>
  <c r="AI298" i="15"/>
  <c r="AI293" i="15"/>
  <c r="BA293" i="17" s="1"/>
  <c r="BE293" i="17" s="1"/>
  <c r="BG293" i="17" s="1"/>
  <c r="AI159" i="15"/>
  <c r="BA159" i="17" s="1"/>
  <c r="BE159" i="17" s="1"/>
  <c r="BG159" i="17" s="1"/>
  <c r="AI426" i="15"/>
  <c r="BA426" i="17" s="1"/>
  <c r="BE426" i="17" s="1"/>
  <c r="BG426" i="17" s="1"/>
  <c r="AI573" i="15"/>
  <c r="AI574" i="15"/>
  <c r="AI575" i="15"/>
  <c r="AI576" i="15"/>
  <c r="BA576" i="17" s="1"/>
  <c r="AI577" i="15"/>
  <c r="AI529" i="15"/>
  <c r="AI527" i="15"/>
  <c r="AI525" i="15"/>
  <c r="AI480" i="15"/>
  <c r="AI483" i="15"/>
  <c r="AD237" i="16"/>
  <c r="AD247" i="16"/>
  <c r="AD328" i="16"/>
  <c r="AD348" i="16"/>
  <c r="AD350" i="16"/>
  <c r="AD352" i="16"/>
  <c r="AD373" i="16"/>
  <c r="AD375" i="16"/>
  <c r="AD377" i="16"/>
  <c r="AD379" i="16"/>
  <c r="AD364" i="16"/>
  <c r="AD570" i="16"/>
  <c r="AD580" i="16"/>
  <c r="AD582" i="16"/>
  <c r="AD497" i="16"/>
  <c r="AD504" i="16"/>
  <c r="AD506" i="16"/>
  <c r="AD511" i="16"/>
  <c r="AD524" i="16"/>
  <c r="AD525" i="16"/>
  <c r="AD251" i="16"/>
  <c r="AD150" i="16"/>
  <c r="AD371" i="16"/>
  <c r="AD85" i="16"/>
  <c r="AD86" i="16"/>
  <c r="AD87" i="16"/>
  <c r="AD90" i="16"/>
  <c r="AD91" i="16"/>
  <c r="AD94" i="16"/>
  <c r="AD96" i="16"/>
  <c r="AD97" i="16"/>
  <c r="AD98" i="16"/>
  <c r="AD99" i="16"/>
  <c r="AD100" i="16"/>
  <c r="AD101" i="16"/>
  <c r="AD102" i="16"/>
  <c r="AD104" i="16"/>
  <c r="AD105" i="16"/>
  <c r="AD142" i="16"/>
  <c r="AD143" i="16"/>
  <c r="AD144" i="16"/>
  <c r="AD147" i="16"/>
  <c r="AD148" i="16"/>
  <c r="AD151" i="16"/>
  <c r="AD152" i="16"/>
  <c r="AD154" i="16"/>
  <c r="AD159" i="16"/>
  <c r="AD161" i="16"/>
  <c r="AD169" i="16"/>
  <c r="AD175" i="16"/>
  <c r="AD176" i="16"/>
  <c r="AD179" i="16"/>
  <c r="AD180" i="16"/>
  <c r="AD182" i="16"/>
  <c r="AD183" i="16"/>
  <c r="AD184" i="16"/>
  <c r="AD187" i="16"/>
  <c r="AD189" i="16"/>
  <c r="AD191" i="16"/>
  <c r="AD193" i="16"/>
  <c r="AD194" i="16"/>
  <c r="AD195" i="16"/>
  <c r="AD199" i="16"/>
  <c r="AD200" i="16"/>
  <c r="AD202" i="16"/>
  <c r="AD203" i="16"/>
  <c r="AD204" i="16"/>
  <c r="AD208" i="16"/>
  <c r="AD209" i="16"/>
  <c r="AD213" i="16"/>
  <c r="AD215" i="16"/>
  <c r="AD218" i="16"/>
  <c r="AD220" i="16"/>
  <c r="AD224" i="16"/>
  <c r="AD227" i="16"/>
  <c r="AD229" i="16"/>
  <c r="AD89" i="16"/>
  <c r="AD260" i="16"/>
  <c r="AD281" i="16"/>
  <c r="AD283" i="16"/>
  <c r="AD284" i="16"/>
  <c r="AD289" i="16"/>
  <c r="AD293" i="16"/>
  <c r="AD294" i="16"/>
  <c r="AD212" i="16"/>
  <c r="AD581" i="16"/>
  <c r="AD84" i="16"/>
  <c r="AD83" i="16"/>
  <c r="AD486" i="16"/>
  <c r="AD498" i="16"/>
  <c r="AD502" i="16"/>
  <c r="AD505" i="16"/>
  <c r="AD510" i="16"/>
  <c r="AD526" i="16"/>
  <c r="BN167" i="25"/>
  <c r="BV167" i="25" s="1"/>
  <c r="BX167" i="25" s="1"/>
  <c r="BN168" i="25"/>
  <c r="BN169" i="25"/>
  <c r="BV169" i="25" s="1"/>
  <c r="BX169" i="25" s="1"/>
  <c r="BN175" i="25"/>
  <c r="BV175" i="25" s="1"/>
  <c r="BX175" i="25" s="1"/>
  <c r="BN209" i="25"/>
  <c r="BV209" i="25" s="1"/>
  <c r="BX209" i="25" s="1"/>
  <c r="BN211" i="25"/>
  <c r="BV211" i="25" s="1"/>
  <c r="BX211" i="25" s="1"/>
  <c r="BN221" i="25"/>
  <c r="BV221" i="25" s="1"/>
  <c r="BX221" i="25" s="1"/>
  <c r="BN229" i="25"/>
  <c r="BV229" i="25" s="1"/>
  <c r="BX229" i="25" s="1"/>
  <c r="BN233" i="25"/>
  <c r="BV233" i="25" s="1"/>
  <c r="BX233" i="25" s="1"/>
  <c r="BN235" i="25"/>
  <c r="BV235" i="25" s="1"/>
  <c r="BX235" i="25" s="1"/>
  <c r="BN241" i="25"/>
  <c r="BV241" i="25" s="1"/>
  <c r="BX241" i="25" s="1"/>
  <c r="BN245" i="25"/>
  <c r="BV245" i="25" s="1"/>
  <c r="BX245" i="25" s="1"/>
  <c r="BN567" i="25"/>
  <c r="BV567" i="25" s="1"/>
  <c r="BX567" i="25" s="1"/>
  <c r="BN210" i="25"/>
  <c r="BV210" i="25" s="1"/>
  <c r="BX210" i="25" s="1"/>
  <c r="BN212" i="25"/>
  <c r="BV212" i="25" s="1"/>
  <c r="BX212" i="25" s="1"/>
  <c r="BN214" i="25"/>
  <c r="BV214" i="25" s="1"/>
  <c r="BX214" i="25" s="1"/>
  <c r="BN216" i="25"/>
  <c r="BV216" i="25" s="1"/>
  <c r="BX216" i="25" s="1"/>
  <c r="BN222" i="25"/>
  <c r="BV222" i="25" s="1"/>
  <c r="BX222" i="25" s="1"/>
  <c r="BN230" i="25"/>
  <c r="BV230" i="25" s="1"/>
  <c r="BX230" i="25" s="1"/>
  <c r="BN236" i="25"/>
  <c r="BV236" i="25" s="1"/>
  <c r="BX236" i="25" s="1"/>
  <c r="BN238" i="25"/>
  <c r="BV238" i="25" s="1"/>
  <c r="BX238" i="25" s="1"/>
  <c r="BN240" i="25"/>
  <c r="BV240" i="25" s="1"/>
  <c r="BX240" i="25" s="1"/>
  <c r="BN246" i="25"/>
  <c r="BV246" i="25" s="1"/>
  <c r="BX246" i="25" s="1"/>
  <c r="BN248" i="25"/>
  <c r="BV248" i="25" s="1"/>
  <c r="BX248" i="25" s="1"/>
  <c r="BN562" i="25"/>
  <c r="BV562" i="25" s="1"/>
  <c r="BX562" i="25" s="1"/>
  <c r="BN564" i="25"/>
  <c r="BV564" i="25" s="1"/>
  <c r="BX564" i="25" s="1"/>
  <c r="BN528" i="25"/>
  <c r="BV528" i="25" s="1"/>
  <c r="BX528" i="25" s="1"/>
  <c r="BN481" i="25"/>
  <c r="BV481" i="25" s="1"/>
  <c r="BX481" i="25" s="1"/>
  <c r="BN519" i="25"/>
  <c r="BV519" i="25" s="1"/>
  <c r="BX519" i="25" s="1"/>
  <c r="BN494" i="25"/>
  <c r="BV494" i="25" s="1"/>
  <c r="BX494" i="25" s="1"/>
  <c r="BN502" i="25"/>
  <c r="BV502" i="25" s="1"/>
  <c r="BX502" i="25" s="1"/>
  <c r="BN504" i="25"/>
  <c r="BV504" i="25" s="1"/>
  <c r="BX504" i="25" s="1"/>
  <c r="BN516" i="25"/>
  <c r="BV516" i="25" s="1"/>
  <c r="BX516" i="25" s="1"/>
  <c r="BN525" i="25"/>
  <c r="BV525" i="25" s="1"/>
  <c r="BX525" i="25" s="1"/>
  <c r="BV469" i="2"/>
  <c r="BX469" i="2" s="1"/>
  <c r="BV582" i="2"/>
  <c r="BX582" i="2" s="1"/>
  <c r="BV372" i="2"/>
  <c r="BX372" i="2" s="1"/>
  <c r="BV508" i="2"/>
  <c r="BX508" i="2" s="1"/>
  <c r="BV144" i="2"/>
  <c r="BX144" i="2" s="1"/>
  <c r="BV148" i="2"/>
  <c r="BX148" i="2" s="1"/>
  <c r="BV154" i="2"/>
  <c r="BX154" i="2" s="1"/>
  <c r="BV203" i="2"/>
  <c r="BX203" i="2" s="1"/>
  <c r="BV387" i="2"/>
  <c r="BX387" i="2" s="1"/>
  <c r="BV388" i="2"/>
  <c r="BX388" i="2" s="1"/>
  <c r="BV391" i="2"/>
  <c r="BX391" i="2" s="1"/>
  <c r="BV393" i="2"/>
  <c r="BX393" i="2" s="1"/>
  <c r="BV173" i="2"/>
  <c r="BX173" i="2" s="1"/>
  <c r="BV369" i="2"/>
  <c r="BX369" i="2" s="1"/>
  <c r="AM432" i="1"/>
  <c r="BN432" i="2" s="1"/>
  <c r="AM435" i="1"/>
  <c r="BN435" i="2" s="1"/>
  <c r="AM445" i="1"/>
  <c r="BN445" i="2" s="1"/>
  <c r="AM461" i="1"/>
  <c r="BN461" i="2" s="1"/>
  <c r="AM475" i="1"/>
  <c r="BN475" i="2" s="1"/>
  <c r="AM476" i="1"/>
  <c r="BN476" i="2" s="1"/>
  <c r="BV476" i="2" s="1"/>
  <c r="AM537" i="1"/>
  <c r="AM540" i="1"/>
  <c r="BN540" i="2" s="1"/>
  <c r="AM544" i="1"/>
  <c r="BN544" i="2" s="1"/>
  <c r="AM546" i="1"/>
  <c r="BN546" i="2" s="1"/>
  <c r="AM554" i="1"/>
  <c r="BN554" i="2" s="1"/>
  <c r="AM555" i="1"/>
  <c r="BN555" i="2" s="1"/>
  <c r="AM559" i="1"/>
  <c r="AM482" i="1"/>
  <c r="BN482" i="2" s="1"/>
  <c r="AM490" i="1"/>
  <c r="BN490" i="2" s="1"/>
  <c r="AM491" i="1"/>
  <c r="BN491" i="2" s="1"/>
  <c r="AM492" i="1"/>
  <c r="BN492" i="2" s="1"/>
  <c r="AM493" i="1"/>
  <c r="BN493" i="2" s="1"/>
  <c r="AM494" i="1"/>
  <c r="AM512" i="1"/>
  <c r="AM514" i="1"/>
  <c r="BN514" i="2" s="1"/>
  <c r="AM515" i="1"/>
  <c r="BN515" i="2" s="1"/>
  <c r="AM521" i="1"/>
  <c r="BN521" i="2" s="1"/>
  <c r="AM250" i="1"/>
  <c r="BN250" i="2" s="1"/>
  <c r="AM251" i="1"/>
  <c r="BV252" i="2" s="1"/>
  <c r="BX252" i="2" s="1"/>
  <c r="AM255" i="1"/>
  <c r="BN255" i="2" s="1"/>
  <c r="AM256" i="1"/>
  <c r="BN256" i="2" s="1"/>
  <c r="AM257" i="1"/>
  <c r="BN257" i="2" s="1"/>
  <c r="AM210" i="1"/>
  <c r="AM319" i="1"/>
  <c r="BV392" i="2"/>
  <c r="BX392" i="2" s="1"/>
  <c r="AM402" i="1"/>
  <c r="BN402" i="2" s="1"/>
  <c r="AM93" i="1"/>
  <c r="BN93" i="2" s="1"/>
  <c r="AM268" i="1"/>
  <c r="BN268" i="2" s="1"/>
  <c r="AM592" i="1"/>
  <c r="AM595" i="1"/>
  <c r="AM599" i="1"/>
  <c r="BN599" i="2" s="1"/>
  <c r="AM605" i="1"/>
  <c r="BN605" i="2" s="1"/>
  <c r="AM607" i="1"/>
  <c r="AM613" i="1"/>
  <c r="BN613" i="2" s="1"/>
  <c r="AM615" i="1"/>
  <c r="BN615" i="2" s="1"/>
  <c r="AM351" i="1"/>
  <c r="BN351" i="2" s="1"/>
  <c r="BV371" i="2"/>
  <c r="BX371" i="2" s="1"/>
  <c r="BV378" i="2"/>
  <c r="BX378" i="2" s="1"/>
  <c r="AM226" i="1"/>
  <c r="BN226" i="2" s="1"/>
  <c r="BA126" i="17"/>
  <c r="BE126" i="17" s="1"/>
  <c r="BG126" i="17" s="1"/>
  <c r="BE384" i="17"/>
  <c r="BG384" i="17" s="1"/>
  <c r="BA330" i="17"/>
  <c r="BE330" i="17" s="1"/>
  <c r="BG330" i="17" s="1"/>
  <c r="AI87" i="15"/>
  <c r="BA87" i="17" s="1"/>
  <c r="BE87" i="17" s="1"/>
  <c r="BG87" i="17" s="1"/>
  <c r="AI490" i="15"/>
  <c r="BA490" i="17" s="1"/>
  <c r="AI502" i="15"/>
  <c r="AI249" i="15"/>
  <c r="BA249" i="17" s="1"/>
  <c r="BE249" i="17" s="1"/>
  <c r="BG249" i="17" s="1"/>
  <c r="AI251" i="15"/>
  <c r="BA251" i="17" s="1"/>
  <c r="BE251" i="17" s="1"/>
  <c r="BG251" i="17" s="1"/>
  <c r="AI254" i="15"/>
  <c r="BA254" i="17" s="1"/>
  <c r="BE254" i="17" s="1"/>
  <c r="BG254" i="17" s="1"/>
  <c r="AI614" i="15"/>
  <c r="AI612" i="15"/>
  <c r="BA612" i="17" s="1"/>
  <c r="AI319" i="15"/>
  <c r="BA319" i="17" s="1"/>
  <c r="BE319" i="17" s="1"/>
  <c r="BG319" i="17" s="1"/>
  <c r="AI315" i="15"/>
  <c r="BA315" i="17" s="1"/>
  <c r="BE315" i="17" s="1"/>
  <c r="BG315" i="17" s="1"/>
  <c r="AI312" i="15"/>
  <c r="BA312" i="17" s="1"/>
  <c r="BE312" i="17" s="1"/>
  <c r="BG312" i="17" s="1"/>
  <c r="AI243" i="15"/>
  <c r="BA243" i="17" s="1"/>
  <c r="BE243" i="17" s="1"/>
  <c r="BG243" i="17" s="1"/>
  <c r="AI258" i="15"/>
  <c r="BA258" i="17" s="1"/>
  <c r="BE258" i="17" s="1"/>
  <c r="BG258" i="17" s="1"/>
  <c r="AI260" i="15"/>
  <c r="BA260" i="17" s="1"/>
  <c r="BE260" i="17" s="1"/>
  <c r="BG260" i="17" s="1"/>
  <c r="AI613" i="15"/>
  <c r="AI606" i="15"/>
  <c r="AI435" i="15"/>
  <c r="AI433" i="15"/>
  <c r="BA433" i="17" s="1"/>
  <c r="AI430" i="15"/>
  <c r="AI394" i="15"/>
  <c r="AI342" i="15"/>
  <c r="BA342" i="17" s="1"/>
  <c r="BE342" i="17" s="1"/>
  <c r="BG342" i="17" s="1"/>
  <c r="AI335" i="15"/>
  <c r="BA335" i="17" s="1"/>
  <c r="BE335" i="17" s="1"/>
  <c r="BG335" i="17" s="1"/>
  <c r="AI323" i="15"/>
  <c r="BA323" i="17" s="1"/>
  <c r="BE323" i="17" s="1"/>
  <c r="BG323" i="17" s="1"/>
  <c r="AI320" i="15"/>
  <c r="BA320" i="17" s="1"/>
  <c r="BE320" i="17" s="1"/>
  <c r="BG320" i="17" s="1"/>
  <c r="AI317" i="15"/>
  <c r="BA317" i="17" s="1"/>
  <c r="BE317" i="17" s="1"/>
  <c r="BG317" i="17" s="1"/>
  <c r="AI313" i="15"/>
  <c r="BA313" i="17" s="1"/>
  <c r="BE313" i="17" s="1"/>
  <c r="BG313" i="17" s="1"/>
  <c r="AI303" i="15"/>
  <c r="BA303" i="17" s="1"/>
  <c r="BE303" i="17" s="1"/>
  <c r="BG303" i="17" s="1"/>
  <c r="AI215" i="15"/>
  <c r="BA215" i="17" s="1"/>
  <c r="BE215" i="17" s="1"/>
  <c r="BG215" i="17" s="1"/>
  <c r="AI160" i="15"/>
  <c r="BA160" i="17" s="1"/>
  <c r="BE160" i="17" s="1"/>
  <c r="BG160" i="17" s="1"/>
  <c r="AI427" i="15"/>
  <c r="AI531" i="15"/>
  <c r="AI481" i="15"/>
  <c r="BA481" i="17" s="1"/>
  <c r="AI497" i="15"/>
  <c r="AI504" i="15"/>
  <c r="BA504" i="17" s="1"/>
  <c r="AI255" i="15"/>
  <c r="BA255" i="17" s="1"/>
  <c r="BE255" i="17" s="1"/>
  <c r="BG255" i="17" s="1"/>
  <c r="AI256" i="15"/>
  <c r="BA256" i="17" s="1"/>
  <c r="BE256" i="17" s="1"/>
  <c r="BG256" i="17" s="1"/>
  <c r="AI257" i="15"/>
  <c r="BA257" i="17" s="1"/>
  <c r="BE257" i="17" s="1"/>
  <c r="BG257" i="17" s="1"/>
  <c r="AI259" i="15"/>
  <c r="BA259" i="17" s="1"/>
  <c r="BE259" i="17" s="1"/>
  <c r="BG259" i="17" s="1"/>
  <c r="AI117" i="15"/>
  <c r="BA117" i="17" s="1"/>
  <c r="BE117" i="17" s="1"/>
  <c r="BG117" i="17" s="1"/>
  <c r="AI106" i="15"/>
  <c r="BA106" i="17" s="1"/>
  <c r="BE106" i="17" s="1"/>
  <c r="BG106" i="17" s="1"/>
  <c r="AI428" i="15"/>
  <c r="AI530" i="15"/>
  <c r="BA530" i="17" s="1"/>
  <c r="AD472" i="16"/>
  <c r="AD477" i="16"/>
  <c r="AD478" i="16"/>
  <c r="AD479" i="16"/>
  <c r="AD531" i="16"/>
  <c r="AD532" i="16"/>
  <c r="AD533" i="16"/>
  <c r="AD534" i="16"/>
  <c r="AD535" i="16"/>
  <c r="AD537" i="16"/>
  <c r="AD540" i="16"/>
  <c r="AD541" i="16"/>
  <c r="AD543" i="16"/>
  <c r="AD546" i="16"/>
  <c r="AD549" i="16"/>
  <c r="AD551" i="16"/>
  <c r="AD552" i="16"/>
  <c r="AD558" i="16"/>
  <c r="AD559" i="16"/>
  <c r="AD560" i="16"/>
  <c r="AD561" i="16"/>
  <c r="AD562" i="16"/>
  <c r="AD567" i="16"/>
  <c r="AD155" i="16"/>
  <c r="AD160" i="16"/>
  <c r="AD162" i="16"/>
  <c r="AD166" i="16"/>
  <c r="AD168" i="16"/>
  <c r="AD174" i="16"/>
  <c r="AD207" i="16"/>
  <c r="AD211" i="16"/>
  <c r="AD214" i="16"/>
  <c r="AD219" i="16"/>
  <c r="AD221" i="16"/>
  <c r="AD225" i="16"/>
  <c r="AD228" i="16"/>
  <c r="AD231" i="16"/>
  <c r="AD383" i="16"/>
  <c r="AD181" i="16"/>
  <c r="AD190" i="16"/>
  <c r="AD238" i="16"/>
  <c r="AD431" i="16"/>
  <c r="AD469" i="16"/>
  <c r="AD420" i="16"/>
  <c r="AD422" i="16"/>
  <c r="AD424" i="16"/>
  <c r="AD428" i="16"/>
  <c r="AD573" i="16"/>
  <c r="AD575" i="16"/>
  <c r="AD577" i="16"/>
  <c r="AD585" i="16"/>
  <c r="AD482" i="16"/>
  <c r="AD484" i="16"/>
  <c r="AD487" i="16"/>
  <c r="AD492" i="16"/>
  <c r="AD514" i="16"/>
  <c r="AD518" i="16"/>
  <c r="AD522" i="16"/>
  <c r="AD529" i="16"/>
  <c r="AD78" i="16"/>
  <c r="AD79" i="16"/>
  <c r="AD80" i="16"/>
  <c r="AD81" i="16"/>
  <c r="AD82" i="16"/>
  <c r="AD249" i="16"/>
  <c r="AD257" i="16"/>
  <c r="BV468" i="2" l="1"/>
  <c r="BX468" i="2" s="1"/>
  <c r="BV140" i="2"/>
  <c r="BX140" i="2" s="1"/>
  <c r="BN139" i="2"/>
  <c r="BV137" i="2"/>
  <c r="BX137" i="2" s="1"/>
  <c r="BN136" i="2"/>
  <c r="BV136" i="2" s="1"/>
  <c r="BX136" i="2" s="1"/>
  <c r="BV557" i="2"/>
  <c r="BX557" i="2" s="1"/>
  <c r="BV350" i="2"/>
  <c r="BX350" i="2" s="1"/>
  <c r="BN607" i="2"/>
  <c r="BV607" i="2" s="1"/>
  <c r="BX607" i="2" s="1"/>
  <c r="BV593" i="2"/>
  <c r="BX593" i="2" s="1"/>
  <c r="BN592" i="2"/>
  <c r="BV495" i="2"/>
  <c r="BX495" i="2" s="1"/>
  <c r="BN494" i="2"/>
  <c r="BV494" i="2" s="1"/>
  <c r="BX494" i="2" s="1"/>
  <c r="BV538" i="2"/>
  <c r="BX538" i="2" s="1"/>
  <c r="BN537" i="2"/>
  <c r="BV537" i="2" s="1"/>
  <c r="BX537" i="2" s="1"/>
  <c r="BV596" i="2"/>
  <c r="BX596" i="2" s="1"/>
  <c r="BN595" i="2"/>
  <c r="BV595" i="2" s="1"/>
  <c r="BX595" i="2" s="1"/>
  <c r="BV320" i="2"/>
  <c r="BX320" i="2" s="1"/>
  <c r="BN319" i="2"/>
  <c r="BV319" i="2" s="1"/>
  <c r="BX319" i="2" s="1"/>
  <c r="BV513" i="2"/>
  <c r="BX513" i="2" s="1"/>
  <c r="BN512" i="2"/>
  <c r="BV512" i="2" s="1"/>
  <c r="BX512" i="2" s="1"/>
  <c r="BN452" i="2"/>
  <c r="BV452" i="2" s="1"/>
  <c r="BX452" i="2" s="1"/>
  <c r="BV348" i="2"/>
  <c r="BX348" i="2" s="1"/>
  <c r="BN347" i="2"/>
  <c r="BV347" i="2" s="1"/>
  <c r="BX347" i="2" s="1"/>
  <c r="BV248" i="2"/>
  <c r="BX248" i="2" s="1"/>
  <c r="BN247" i="2"/>
  <c r="BV247" i="2" s="1"/>
  <c r="BX247" i="2" s="1"/>
  <c r="BN232" i="2"/>
  <c r="BV232" i="2" s="1"/>
  <c r="BX232" i="2" s="1"/>
  <c r="BV327" i="2"/>
  <c r="BX327" i="2" s="1"/>
  <c r="BN326" i="2"/>
  <c r="BV326" i="2" s="1"/>
  <c r="BX326" i="2" s="1"/>
  <c r="BV300" i="2"/>
  <c r="BX300" i="2" s="1"/>
  <c r="BN299" i="2"/>
  <c r="BV299" i="2" s="1"/>
  <c r="BX299" i="2" s="1"/>
  <c r="BV528" i="2"/>
  <c r="BX528" i="2" s="1"/>
  <c r="BN527" i="2"/>
  <c r="BV527" i="2" s="1"/>
  <c r="BX527" i="2" s="1"/>
  <c r="BV228" i="2"/>
  <c r="BX228" i="2" s="1"/>
  <c r="BN227" i="2"/>
  <c r="BV227" i="2" s="1"/>
  <c r="BX227" i="2" s="1"/>
  <c r="BV536" i="2"/>
  <c r="BX536" i="2" s="1"/>
  <c r="BN535" i="2"/>
  <c r="BV535" i="2" s="1"/>
  <c r="BX535" i="2" s="1"/>
  <c r="BV323" i="2"/>
  <c r="BX323" i="2" s="1"/>
  <c r="BN322" i="2"/>
  <c r="BV322" i="2" s="1"/>
  <c r="BX322" i="2" s="1"/>
  <c r="BV243" i="2"/>
  <c r="BX243" i="2" s="1"/>
  <c r="BN242" i="2"/>
  <c r="BV242" i="2" s="1"/>
  <c r="BX242" i="2" s="1"/>
  <c r="BV503" i="2"/>
  <c r="BX503" i="2" s="1"/>
  <c r="BN502" i="2"/>
  <c r="BV502" i="2" s="1"/>
  <c r="BX502" i="2" s="1"/>
  <c r="BV500" i="2"/>
  <c r="BX500" i="2" s="1"/>
  <c r="BN499" i="2"/>
  <c r="BV499" i="2" s="1"/>
  <c r="BX499" i="2" s="1"/>
  <c r="BV481" i="2"/>
  <c r="BX481" i="2" s="1"/>
  <c r="BN480" i="2"/>
  <c r="BV480" i="2" s="1"/>
  <c r="BX480" i="2" s="1"/>
  <c r="BV236" i="2"/>
  <c r="BX236" i="2" s="1"/>
  <c r="BN235" i="2"/>
  <c r="BV235" i="2" s="1"/>
  <c r="BX235" i="2" s="1"/>
  <c r="BV573" i="2"/>
  <c r="BX573" i="2" s="1"/>
  <c r="BN572" i="2"/>
  <c r="BV231" i="2"/>
  <c r="BX231" i="2" s="1"/>
  <c r="BN230" i="2"/>
  <c r="BV230" i="2" s="1"/>
  <c r="BX230" i="2" s="1"/>
  <c r="BV239" i="2"/>
  <c r="BX239" i="2" s="1"/>
  <c r="BN238" i="2"/>
  <c r="BV238" i="2" s="1"/>
  <c r="BX238" i="2" s="1"/>
  <c r="BV366" i="2"/>
  <c r="BX366" i="2" s="1"/>
  <c r="BN365" i="2"/>
  <c r="BV365" i="2" s="1"/>
  <c r="BX365" i="2" s="1"/>
  <c r="BV260" i="2"/>
  <c r="BX260" i="2" s="1"/>
  <c r="BN259" i="2"/>
  <c r="BV259" i="2" s="1"/>
  <c r="BX259" i="2" s="1"/>
  <c r="BN563" i="2"/>
  <c r="BV563" i="2" s="1"/>
  <c r="BX563" i="2" s="1"/>
  <c r="BV455" i="2"/>
  <c r="BX455" i="2" s="1"/>
  <c r="BN454" i="2"/>
  <c r="BV454" i="2" s="1"/>
  <c r="BX454" i="2" s="1"/>
  <c r="BV449" i="2"/>
  <c r="BX449" i="2" s="1"/>
  <c r="BN448" i="2"/>
  <c r="BV448" i="2" s="1"/>
  <c r="BX448" i="2" s="1"/>
  <c r="BV434" i="2"/>
  <c r="BX434" i="2" s="1"/>
  <c r="BN433" i="2"/>
  <c r="BV433" i="2" s="1"/>
  <c r="BX433" i="2" s="1"/>
  <c r="BV618" i="2"/>
  <c r="BX618" i="2" s="1"/>
  <c r="BN617" i="2"/>
  <c r="BV617" i="2" s="1"/>
  <c r="BX617" i="2" s="1"/>
  <c r="BN561" i="2"/>
  <c r="BV561" i="2" s="1"/>
  <c r="BX561" i="2" s="1"/>
  <c r="BV534" i="2"/>
  <c r="BX534" i="2" s="1"/>
  <c r="BN533" i="2"/>
  <c r="BV533" i="2" s="1"/>
  <c r="BX533" i="2" s="1"/>
  <c r="BV316" i="2"/>
  <c r="BX316" i="2" s="1"/>
  <c r="BN315" i="2"/>
  <c r="BV315" i="2" s="1"/>
  <c r="BX315" i="2" s="1"/>
  <c r="BN556" i="2"/>
  <c r="BV556" i="2" s="1"/>
  <c r="BX556" i="2" s="1"/>
  <c r="BN439" i="2"/>
  <c r="BV439" i="2" s="1"/>
  <c r="BX439" i="2" s="1"/>
  <c r="BV560" i="2"/>
  <c r="BX560" i="2" s="1"/>
  <c r="BN559" i="2"/>
  <c r="BV559" i="2" s="1"/>
  <c r="BX559" i="2" s="1"/>
  <c r="BV354" i="2"/>
  <c r="BX354" i="2" s="1"/>
  <c r="BN353" i="2"/>
  <c r="BV353" i="2" s="1"/>
  <c r="BX353" i="2" s="1"/>
  <c r="BV524" i="2"/>
  <c r="BX524" i="2" s="1"/>
  <c r="BN523" i="2"/>
  <c r="BV523" i="2" s="1"/>
  <c r="BX523" i="2" s="1"/>
  <c r="BV401" i="2"/>
  <c r="BX401" i="2" s="1"/>
  <c r="BN399" i="2"/>
  <c r="BV399" i="2" s="1"/>
  <c r="BX399" i="2" s="1"/>
  <c r="BV526" i="2"/>
  <c r="BX526" i="2" s="1"/>
  <c r="BN525" i="2"/>
  <c r="BV525" i="2" s="1"/>
  <c r="BX525" i="2" s="1"/>
  <c r="BV485" i="2"/>
  <c r="BX485" i="2" s="1"/>
  <c r="BN484" i="2"/>
  <c r="BV484" i="2" s="1"/>
  <c r="BX484" i="2" s="1"/>
  <c r="BV542" i="2"/>
  <c r="BX542" i="2" s="1"/>
  <c r="BN541" i="2"/>
  <c r="BV541" i="2" s="1"/>
  <c r="BX541" i="2" s="1"/>
  <c r="BV463" i="2"/>
  <c r="BX463" i="2" s="1"/>
  <c r="BN462" i="2"/>
  <c r="BV462" i="2" s="1"/>
  <c r="BX462" i="2" s="1"/>
  <c r="BN453" i="2"/>
  <c r="BV453" i="2" s="1"/>
  <c r="BX453" i="2" s="1"/>
  <c r="BV604" i="2"/>
  <c r="BX604" i="2" s="1"/>
  <c r="BN603" i="2"/>
  <c r="BV603" i="2" s="1"/>
  <c r="BX603" i="2" s="1"/>
  <c r="BV170" i="2"/>
  <c r="BX170" i="2" s="1"/>
  <c r="BN169" i="2"/>
  <c r="BV169" i="2" s="1"/>
  <c r="BX169" i="2" s="1"/>
  <c r="BV221" i="2"/>
  <c r="BX221" i="2" s="1"/>
  <c r="BN220" i="2"/>
  <c r="BV220" i="2" s="1"/>
  <c r="BX220" i="2" s="1"/>
  <c r="BV274" i="2"/>
  <c r="BX274" i="2" s="1"/>
  <c r="BN273" i="2"/>
  <c r="BV273" i="2" s="1"/>
  <c r="BX273" i="2" s="1"/>
  <c r="BN412" i="2"/>
  <c r="BV412" i="2" s="1"/>
  <c r="BX412" i="2" s="1"/>
  <c r="BV359" i="2"/>
  <c r="BX359" i="2" s="1"/>
  <c r="BN358" i="2"/>
  <c r="BV358" i="2" s="1"/>
  <c r="BX358" i="2" s="1"/>
  <c r="BV314" i="2"/>
  <c r="BX314" i="2" s="1"/>
  <c r="BN313" i="2"/>
  <c r="BV313" i="2" s="1"/>
  <c r="BX313" i="2" s="1"/>
  <c r="BV336" i="2"/>
  <c r="BX336" i="2" s="1"/>
  <c r="BN335" i="2"/>
  <c r="BV335" i="2" s="1"/>
  <c r="BX335" i="2" s="1"/>
  <c r="BV334" i="2"/>
  <c r="BX334" i="2" s="1"/>
  <c r="BN333" i="2"/>
  <c r="BV333" i="2" s="1"/>
  <c r="BX333" i="2" s="1"/>
  <c r="BV164" i="2"/>
  <c r="BX164" i="2" s="1"/>
  <c r="BN163" i="2"/>
  <c r="BV163" i="2" s="1"/>
  <c r="BX163" i="2" s="1"/>
  <c r="BV505" i="2"/>
  <c r="BX505" i="2" s="1"/>
  <c r="BN504" i="2"/>
  <c r="BV504" i="2" s="1"/>
  <c r="BX504" i="2" s="1"/>
  <c r="BN501" i="2"/>
  <c r="BV501" i="2" s="1"/>
  <c r="BX501" i="2" s="1"/>
  <c r="BV497" i="2"/>
  <c r="BX497" i="2" s="1"/>
  <c r="BN496" i="2"/>
  <c r="BV496" i="2" s="1"/>
  <c r="BX496" i="2" s="1"/>
  <c r="BN489" i="2"/>
  <c r="BV489" i="2" s="1"/>
  <c r="BX489" i="2" s="1"/>
  <c r="BV428" i="2"/>
  <c r="BX428" i="2" s="1"/>
  <c r="BN427" i="2"/>
  <c r="BV427" i="2" s="1"/>
  <c r="BX427" i="2" s="1"/>
  <c r="BV241" i="2"/>
  <c r="BX241" i="2" s="1"/>
  <c r="BN240" i="2"/>
  <c r="BV240" i="2" s="1"/>
  <c r="BX240" i="2" s="1"/>
  <c r="BN249" i="2"/>
  <c r="BV249" i="2" s="1"/>
  <c r="BX249" i="2" s="1"/>
  <c r="BV295" i="2"/>
  <c r="BX295" i="2" s="1"/>
  <c r="BN294" i="2"/>
  <c r="BV294" i="2" s="1"/>
  <c r="BX294" i="2" s="1"/>
  <c r="BV292" i="2"/>
  <c r="BX292" i="2" s="1"/>
  <c r="BN291" i="2"/>
  <c r="BV291" i="2" s="1"/>
  <c r="BX291" i="2" s="1"/>
  <c r="BV460" i="2"/>
  <c r="BX460" i="2" s="1"/>
  <c r="BN459" i="2"/>
  <c r="BV459" i="2" s="1"/>
  <c r="BX459" i="2" s="1"/>
  <c r="BV431" i="2"/>
  <c r="BX431" i="2" s="1"/>
  <c r="BN430" i="2"/>
  <c r="BV430" i="2" s="1"/>
  <c r="BX430" i="2" s="1"/>
  <c r="BV304" i="2"/>
  <c r="BX304" i="2" s="1"/>
  <c r="BN303" i="2"/>
  <c r="BV303" i="2" s="1"/>
  <c r="BX303" i="2" s="1"/>
  <c r="BV548" i="2"/>
  <c r="BX548" i="2" s="1"/>
  <c r="BN547" i="2"/>
  <c r="BV547" i="2" s="1"/>
  <c r="BX547" i="2" s="1"/>
  <c r="BN298" i="2"/>
  <c r="BV298" i="2" s="1"/>
  <c r="BX298" i="2" s="1"/>
  <c r="BV609" i="2"/>
  <c r="BX609" i="2" s="1"/>
  <c r="BN608" i="2"/>
  <c r="BV608" i="2" s="1"/>
  <c r="BX608" i="2" s="1"/>
  <c r="BV470" i="2"/>
  <c r="BX470" i="2" s="1"/>
  <c r="BN349" i="2"/>
  <c r="BV349" i="2" s="1"/>
  <c r="BX349" i="2" s="1"/>
  <c r="BN251" i="2"/>
  <c r="BV251" i="2" s="1"/>
  <c r="BX251" i="2" s="1"/>
  <c r="BN467" i="2"/>
  <c r="BV467" i="2" s="1"/>
  <c r="BX467" i="2" s="1"/>
  <c r="BN441" i="2"/>
  <c r="BV441" i="2" s="1"/>
  <c r="BX441" i="2" s="1"/>
  <c r="BV211" i="2"/>
  <c r="BX211" i="2" s="1"/>
  <c r="BN210" i="2"/>
  <c r="BV210" i="2" s="1"/>
  <c r="BX210" i="2" s="1"/>
  <c r="BV192" i="2"/>
  <c r="BX192" i="2" s="1"/>
  <c r="BN191" i="2"/>
  <c r="BV191" i="2" s="1"/>
  <c r="BX191" i="2" s="1"/>
  <c r="BV186" i="2"/>
  <c r="BX186" i="2" s="1"/>
  <c r="BN185" i="2"/>
  <c r="BV185" i="2" s="1"/>
  <c r="BX185" i="2" s="1"/>
  <c r="BV184" i="2"/>
  <c r="BX184" i="2" s="1"/>
  <c r="BN183" i="2"/>
  <c r="BV183" i="2" s="1"/>
  <c r="BX183" i="2" s="1"/>
  <c r="BV179" i="2"/>
  <c r="BX179" i="2" s="1"/>
  <c r="BN178" i="2"/>
  <c r="BV178" i="2" s="1"/>
  <c r="BX178" i="2" s="1"/>
  <c r="BV177" i="2"/>
  <c r="BX177" i="2" s="1"/>
  <c r="BN176" i="2"/>
  <c r="BV176" i="2" s="1"/>
  <c r="BX176" i="2" s="1"/>
  <c r="BN168" i="2"/>
  <c r="BV168" i="2" s="1"/>
  <c r="BX168" i="2" s="1"/>
  <c r="BN167" i="2"/>
  <c r="BV156" i="2"/>
  <c r="BX156" i="2" s="1"/>
  <c r="BN155" i="2"/>
  <c r="BV155" i="2" s="1"/>
  <c r="BX155" i="2" s="1"/>
  <c r="BV153" i="2"/>
  <c r="BX153" i="2" s="1"/>
  <c r="BN152" i="2"/>
  <c r="BV152" i="2" s="1"/>
  <c r="BX152" i="2" s="1"/>
  <c r="BV404" i="2"/>
  <c r="BX404" i="2" s="1"/>
  <c r="BV407" i="2"/>
  <c r="BX407" i="2" s="1"/>
  <c r="BV421" i="2"/>
  <c r="BX421" i="2" s="1"/>
  <c r="BV363" i="2"/>
  <c r="BX363" i="2" s="1"/>
  <c r="BV301" i="2"/>
  <c r="BX301" i="2" s="1"/>
  <c r="BV532" i="2"/>
  <c r="BX532" i="2" s="1"/>
  <c r="BV355" i="2"/>
  <c r="BX355" i="2" s="1"/>
  <c r="BV338" i="2"/>
  <c r="BX338" i="2" s="1"/>
  <c r="BV357" i="2"/>
  <c r="BX357" i="2" s="1"/>
  <c r="BV509" i="2"/>
  <c r="BX509" i="2" s="1"/>
  <c r="BV506" i="2"/>
  <c r="BX506" i="2" s="1"/>
  <c r="BV550" i="2"/>
  <c r="BX550" i="2" s="1"/>
  <c r="BV474" i="2"/>
  <c r="BX474" i="2" s="1"/>
  <c r="BV436" i="2"/>
  <c r="BX436" i="2" s="1"/>
  <c r="BV181" i="2"/>
  <c r="BX181" i="2" s="1"/>
  <c r="BV602" i="2"/>
  <c r="BX602" i="2" s="1"/>
  <c r="BV598" i="2"/>
  <c r="BX598" i="2" s="1"/>
  <c r="BV280" i="2"/>
  <c r="BX280" i="2" s="1"/>
  <c r="BV571" i="2"/>
  <c r="BX571" i="2" s="1"/>
  <c r="BV207" i="2"/>
  <c r="BX207" i="2" s="1"/>
  <c r="BV551" i="2"/>
  <c r="BX551" i="2" s="1"/>
  <c r="BV364" i="2"/>
  <c r="BX364" i="2" s="1"/>
  <c r="BV129" i="2"/>
  <c r="BX129" i="2" s="1"/>
  <c r="BN125" i="2"/>
  <c r="BV125" i="2" s="1"/>
  <c r="BX125" i="2" s="1"/>
  <c r="BN121" i="2"/>
  <c r="BV121" i="2" s="1"/>
  <c r="BX121" i="2" s="1"/>
  <c r="BV519" i="2"/>
  <c r="BX519" i="2" s="1"/>
  <c r="BV507" i="2"/>
  <c r="BX507" i="2" s="1"/>
  <c r="BV562" i="2"/>
  <c r="BX562" i="2" s="1"/>
  <c r="BV437" i="2"/>
  <c r="BX437" i="2" s="1"/>
  <c r="BV208" i="2"/>
  <c r="BX208" i="2" s="1"/>
  <c r="BN124" i="2"/>
  <c r="BV124" i="2" s="1"/>
  <c r="BX124" i="2" s="1"/>
  <c r="BV343" i="2"/>
  <c r="BX343" i="2" s="1"/>
  <c r="BV341" i="2"/>
  <c r="BX341" i="2" s="1"/>
  <c r="BV219" i="2"/>
  <c r="BX219" i="2" s="1"/>
  <c r="BV100" i="2"/>
  <c r="BX100" i="2" s="1"/>
  <c r="BV281" i="2"/>
  <c r="BX281" i="2" s="1"/>
  <c r="BV214" i="2"/>
  <c r="BX214" i="2" s="1"/>
  <c r="BV517" i="2"/>
  <c r="BX517" i="2" s="1"/>
  <c r="BV590" i="2"/>
  <c r="BX590" i="2" s="1"/>
  <c r="BV426" i="2"/>
  <c r="BX426" i="2" s="1"/>
  <c r="BV518" i="2"/>
  <c r="BX518" i="2" s="1"/>
  <c r="BV510" i="2"/>
  <c r="BX510" i="2" s="1"/>
  <c r="BV565" i="2"/>
  <c r="BX565" i="2" s="1"/>
  <c r="BV471" i="2"/>
  <c r="BX471" i="2" s="1"/>
  <c r="BV182" i="2"/>
  <c r="BX182" i="2" s="1"/>
  <c r="BV414" i="2"/>
  <c r="BX414" i="2" s="1"/>
  <c r="BN114" i="2"/>
  <c r="BV114" i="2" s="1"/>
  <c r="BX114" i="2" s="1"/>
  <c r="BN109" i="2"/>
  <c r="BV109" i="2" s="1"/>
  <c r="BX109" i="2" s="1"/>
  <c r="BV564" i="2"/>
  <c r="BX564" i="2" s="1"/>
  <c r="BV442" i="2"/>
  <c r="BX442" i="2" s="1"/>
  <c r="BV438" i="2"/>
  <c r="BX438" i="2" s="1"/>
  <c r="BV215" i="2"/>
  <c r="BX215" i="2" s="1"/>
  <c r="BN117" i="2"/>
  <c r="BV117" i="2" s="1"/>
  <c r="BX117" i="2" s="1"/>
  <c r="BV226" i="2"/>
  <c r="BX226" i="2" s="1"/>
  <c r="BV615" i="2"/>
  <c r="BX615" i="2" s="1"/>
  <c r="BV599" i="2"/>
  <c r="BX599" i="2" s="1"/>
  <c r="BV592" i="2"/>
  <c r="BX592" i="2" s="1"/>
  <c r="BV93" i="2"/>
  <c r="BX93" i="2" s="1"/>
  <c r="BV256" i="2"/>
  <c r="BX256" i="2" s="1"/>
  <c r="BV521" i="2"/>
  <c r="BX521" i="2" s="1"/>
  <c r="BV514" i="2"/>
  <c r="BX514" i="2" s="1"/>
  <c r="BV492" i="2"/>
  <c r="BX492" i="2" s="1"/>
  <c r="BV490" i="2"/>
  <c r="BX490" i="2" s="1"/>
  <c r="BV554" i="2"/>
  <c r="BX554" i="2" s="1"/>
  <c r="BV544" i="2"/>
  <c r="BX544" i="2" s="1"/>
  <c r="BV475" i="2"/>
  <c r="BX475" i="2" s="1"/>
  <c r="BV445" i="2"/>
  <c r="BX445" i="2" s="1"/>
  <c r="BV432" i="2"/>
  <c r="BX432" i="2" s="1"/>
  <c r="BV552" i="2"/>
  <c r="BX552" i="2" s="1"/>
  <c r="BV360" i="2"/>
  <c r="BX360" i="2" s="1"/>
  <c r="BV345" i="2"/>
  <c r="BX345" i="2" s="1"/>
  <c r="BV395" i="2"/>
  <c r="BX395" i="2" s="1"/>
  <c r="BV133" i="2"/>
  <c r="BX133" i="2" s="1"/>
  <c r="BV122" i="2"/>
  <c r="BX122" i="2" s="1"/>
  <c r="BV116" i="2"/>
  <c r="BX116" i="2" s="1"/>
  <c r="BV103" i="2"/>
  <c r="BX103" i="2" s="1"/>
  <c r="BV549" i="2"/>
  <c r="BX549" i="2" s="1"/>
  <c r="BV472" i="2"/>
  <c r="BX472" i="2" s="1"/>
  <c r="BV312" i="2"/>
  <c r="BX312" i="2" s="1"/>
  <c r="BV483" i="2"/>
  <c r="BX483" i="2" s="1"/>
  <c r="BV545" i="2"/>
  <c r="BX545" i="2" s="1"/>
  <c r="BV531" i="2"/>
  <c r="BX531" i="2" s="1"/>
  <c r="BV458" i="2"/>
  <c r="BX458" i="2" s="1"/>
  <c r="BV245" i="2"/>
  <c r="BX245" i="2" s="1"/>
  <c r="BV237" i="2"/>
  <c r="BX237" i="2" s="1"/>
  <c r="BV352" i="2"/>
  <c r="BX352" i="2" s="1"/>
  <c r="BV342" i="2"/>
  <c r="BX342" i="2" s="1"/>
  <c r="BV340" i="2"/>
  <c r="BX340" i="2" s="1"/>
  <c r="BV218" i="2"/>
  <c r="BX218" i="2" s="1"/>
  <c r="BV610" i="2"/>
  <c r="BX610" i="2" s="1"/>
  <c r="BV601" i="2"/>
  <c r="BX601" i="2" s="1"/>
  <c r="BV308" i="2"/>
  <c r="BX308" i="2" s="1"/>
  <c r="BV302" i="2"/>
  <c r="BX302" i="2" s="1"/>
  <c r="BV272" i="2"/>
  <c r="BX272" i="2" s="1"/>
  <c r="BV351" i="2"/>
  <c r="BX351" i="2" s="1"/>
  <c r="BV613" i="2"/>
  <c r="BX613" i="2" s="1"/>
  <c r="BV605" i="2"/>
  <c r="BX605" i="2" s="1"/>
  <c r="BV402" i="2"/>
  <c r="BX402" i="2" s="1"/>
  <c r="BV257" i="2"/>
  <c r="BX257" i="2" s="1"/>
  <c r="BV255" i="2"/>
  <c r="BX255" i="2" s="1"/>
  <c r="BV250" i="2"/>
  <c r="BX250" i="2" s="1"/>
  <c r="BV515" i="2"/>
  <c r="BX515" i="2" s="1"/>
  <c r="BV493" i="2"/>
  <c r="BX493" i="2" s="1"/>
  <c r="BV491" i="2"/>
  <c r="BX491" i="2" s="1"/>
  <c r="BV482" i="2"/>
  <c r="BX482" i="2" s="1"/>
  <c r="BV555" i="2"/>
  <c r="BX555" i="2" s="1"/>
  <c r="BV546" i="2"/>
  <c r="BX546" i="2" s="1"/>
  <c r="BV540" i="2"/>
  <c r="BX540" i="2" s="1"/>
  <c r="BX476" i="2"/>
  <c r="BV461" i="2"/>
  <c r="BX461" i="2" s="1"/>
  <c r="BV435" i="2"/>
  <c r="BX435" i="2" s="1"/>
  <c r="BV344" i="2"/>
  <c r="BX344" i="2" s="1"/>
  <c r="BV614" i="2"/>
  <c r="BX614" i="2" s="1"/>
  <c r="BV287" i="2"/>
  <c r="BX287" i="2" s="1"/>
  <c r="BV96" i="2"/>
  <c r="BX96" i="2" s="1"/>
  <c r="BV405" i="2"/>
  <c r="BX405" i="2" s="1"/>
  <c r="BV403" i="2"/>
  <c r="BX403" i="2" s="1"/>
  <c r="BV394" i="2"/>
  <c r="BX394" i="2" s="1"/>
  <c r="BV134" i="2"/>
  <c r="BX134" i="2" s="1"/>
  <c r="BV104" i="2"/>
  <c r="BX104" i="2" s="1"/>
  <c r="BV102" i="2"/>
  <c r="BX102" i="2" s="1"/>
  <c r="BV558" i="2"/>
  <c r="BX558" i="2" s="1"/>
  <c r="BV234" i="2"/>
  <c r="BX234" i="2" s="1"/>
  <c r="BV325" i="2"/>
  <c r="BX325" i="2" s="1"/>
  <c r="BV246" i="2"/>
  <c r="BX246" i="2" s="1"/>
  <c r="BV233" i="2"/>
  <c r="BX233" i="2" s="1"/>
  <c r="BV361" i="2"/>
  <c r="BX361" i="2" s="1"/>
  <c r="BV339" i="2"/>
  <c r="BX339" i="2" s="1"/>
  <c r="BV217" i="2"/>
  <c r="BX217" i="2" s="1"/>
  <c r="BV611" i="2"/>
  <c r="BX611" i="2" s="1"/>
  <c r="BV588" i="2"/>
  <c r="BX588" i="2" s="1"/>
  <c r="BV311" i="2"/>
  <c r="BX311" i="2" s="1"/>
  <c r="BV306" i="2"/>
  <c r="BX306" i="2" s="1"/>
  <c r="BV270" i="2"/>
  <c r="BX270" i="2" s="1"/>
  <c r="BV94" i="2"/>
  <c r="BX94" i="2" s="1"/>
  <c r="BV398" i="2"/>
  <c r="BX398" i="2" s="1"/>
  <c r="BV89" i="2"/>
  <c r="BX89" i="2" s="1"/>
  <c r="BV87" i="2"/>
  <c r="BX87" i="2" s="1"/>
  <c r="BV91" i="2"/>
  <c r="BX91" i="2" s="1"/>
  <c r="BV90" i="2"/>
  <c r="BX90" i="2" s="1"/>
  <c r="BV411" i="2"/>
  <c r="BX411" i="2" s="1"/>
  <c r="BV198" i="2"/>
  <c r="BX198" i="2" s="1"/>
  <c r="BV225" i="2"/>
  <c r="BX225" i="2" s="1"/>
  <c r="BV92" i="2"/>
  <c r="BX92" i="2" s="1"/>
  <c r="BV424" i="2"/>
  <c r="BX424" i="2" s="1"/>
  <c r="BV408" i="2"/>
  <c r="BX408" i="2" s="1"/>
  <c r="BV422" i="2"/>
  <c r="BX422" i="2" s="1"/>
  <c r="BV539" i="2"/>
  <c r="BX539" i="2" s="1"/>
  <c r="BV473" i="2"/>
  <c r="BX473" i="2" s="1"/>
  <c r="BV465" i="2"/>
  <c r="BX465" i="2" s="1"/>
  <c r="BV591" i="2"/>
  <c r="BX591" i="2" s="1"/>
  <c r="BV587" i="2"/>
  <c r="BX587" i="2" s="1"/>
  <c r="BV289" i="2"/>
  <c r="BX289" i="2" s="1"/>
  <c r="BV283" i="2"/>
  <c r="BX283" i="2" s="1"/>
  <c r="BV97" i="2"/>
  <c r="BX97" i="2" s="1"/>
  <c r="BV330" i="2"/>
  <c r="BX330" i="2" s="1"/>
  <c r="BV321" i="2"/>
  <c r="BX321" i="2" s="1"/>
  <c r="BV206" i="2"/>
  <c r="BX206" i="2" s="1"/>
  <c r="BV160" i="2"/>
  <c r="BX160" i="2" s="1"/>
  <c r="BV127" i="2"/>
  <c r="BX127" i="2" s="1"/>
  <c r="BV105" i="2"/>
  <c r="BX105" i="2" s="1"/>
  <c r="BV522" i="2"/>
  <c r="BX522" i="2" s="1"/>
  <c r="BV466" i="2"/>
  <c r="BX466" i="2" s="1"/>
  <c r="BV616" i="2"/>
  <c r="BX616" i="2" s="1"/>
  <c r="BV612" i="2"/>
  <c r="BX612" i="2" s="1"/>
  <c r="BV600" i="2"/>
  <c r="BX600" i="2" s="1"/>
  <c r="BV310" i="2"/>
  <c r="BX310" i="2" s="1"/>
  <c r="BV282" i="2"/>
  <c r="BX282" i="2" s="1"/>
  <c r="BV278" i="2"/>
  <c r="BX278" i="2" s="1"/>
  <c r="BV267" i="2"/>
  <c r="BX267" i="2" s="1"/>
  <c r="BV331" i="2"/>
  <c r="BX331" i="2" s="1"/>
  <c r="BV224" i="2"/>
  <c r="BX224" i="2" s="1"/>
  <c r="BV139" i="2"/>
  <c r="BX139" i="2" s="1"/>
  <c r="BV130" i="2"/>
  <c r="BX130" i="2" s="1"/>
  <c r="BV108" i="2"/>
  <c r="BX108" i="2" s="1"/>
  <c r="BV406" i="2"/>
  <c r="BX406" i="2" s="1"/>
  <c r="BV88" i="2"/>
  <c r="BX88" i="2" s="1"/>
  <c r="BV410" i="2"/>
  <c r="BX410" i="2" s="1"/>
  <c r="BV151" i="2"/>
  <c r="BX151" i="2" s="1"/>
  <c r="BV223" i="2"/>
  <c r="BX223" i="2" s="1"/>
  <c r="BV135" i="2"/>
  <c r="BX135" i="2" s="1"/>
  <c r="BV123" i="2"/>
  <c r="BX123" i="2" s="1"/>
  <c r="BV101" i="2"/>
  <c r="BX101" i="2" s="1"/>
  <c r="BV112" i="2"/>
  <c r="BX112" i="2" s="1"/>
  <c r="BV118" i="2"/>
  <c r="BX118" i="2" s="1"/>
  <c r="BV141" i="2"/>
  <c r="BX141" i="2" s="1"/>
  <c r="BV446" i="2"/>
  <c r="BX446" i="2" s="1"/>
  <c r="BV478" i="2"/>
  <c r="BX478" i="2" s="1"/>
  <c r="BV337" i="2"/>
  <c r="BX337" i="2" s="1"/>
  <c r="BV317" i="2"/>
  <c r="BX317" i="2" s="1"/>
  <c r="BV213" i="2"/>
  <c r="BX213" i="2" s="1"/>
  <c r="BV205" i="2"/>
  <c r="BX205" i="2" s="1"/>
  <c r="BV161" i="2"/>
  <c r="BX161" i="2" s="1"/>
  <c r="BV271" i="2"/>
  <c r="BX271" i="2" s="1"/>
  <c r="BV266" i="2"/>
  <c r="BX266" i="2" s="1"/>
  <c r="BV362" i="2"/>
  <c r="BX362" i="2" s="1"/>
  <c r="BV530" i="2"/>
  <c r="BX530" i="2" s="1"/>
  <c r="BV429" i="2"/>
  <c r="BX429" i="2" s="1"/>
  <c r="BV425" i="2"/>
  <c r="BX425" i="2" s="1"/>
  <c r="BV131" i="2"/>
  <c r="BX131" i="2" s="1"/>
  <c r="BV279" i="2"/>
  <c r="BX279" i="2" s="1"/>
  <c r="BV307" i="2"/>
  <c r="BX307" i="2" s="1"/>
  <c r="BV477" i="2"/>
  <c r="BX477" i="2" s="1"/>
  <c r="BV570" i="2"/>
  <c r="BX570" i="2" s="1"/>
  <c r="BV479" i="2"/>
  <c r="BX479" i="2" s="1"/>
  <c r="BV258" i="2"/>
  <c r="BX258" i="2" s="1"/>
  <c r="BV511" i="2"/>
  <c r="BX511" i="2" s="1"/>
  <c r="BV553" i="2"/>
  <c r="BX553" i="2" s="1"/>
  <c r="BV447" i="2"/>
  <c r="BX447" i="2" s="1"/>
  <c r="BV443" i="2"/>
  <c r="BX443" i="2" s="1"/>
  <c r="BV229" i="2"/>
  <c r="BX229" i="2" s="1"/>
  <c r="BV356" i="2"/>
  <c r="BX356" i="2" s="1"/>
  <c r="BV597" i="2"/>
  <c r="BX597" i="2" s="1"/>
  <c r="BV589" i="2"/>
  <c r="BX589" i="2" s="1"/>
  <c r="BV572" i="2"/>
  <c r="BX572" i="2" s="1"/>
  <c r="BV309" i="2"/>
  <c r="BX309" i="2" s="1"/>
  <c r="BV288" i="2"/>
  <c r="BX288" i="2" s="1"/>
  <c r="BV99" i="2"/>
  <c r="BX99" i="2" s="1"/>
  <c r="BV95" i="2"/>
  <c r="BX95" i="2" s="1"/>
  <c r="BV332" i="2"/>
  <c r="BX332" i="2" s="1"/>
  <c r="BV167" i="2"/>
  <c r="BX167" i="2" s="1"/>
  <c r="BV162" i="2"/>
  <c r="BX162" i="2" s="1"/>
  <c r="BV138" i="2"/>
  <c r="BX138" i="2" s="1"/>
  <c r="BV111" i="2"/>
  <c r="BX111" i="2" s="1"/>
  <c r="BV107" i="2"/>
  <c r="BX107" i="2" s="1"/>
  <c r="BV284" i="2"/>
  <c r="BX284" i="2" s="1"/>
  <c r="BV516" i="2"/>
  <c r="BX516" i="2" s="1"/>
  <c r="BV147" i="2"/>
  <c r="BX147" i="2" s="1"/>
  <c r="BV464" i="2"/>
  <c r="BX464" i="2" s="1"/>
  <c r="BV451" i="2"/>
  <c r="BX451" i="2" s="1"/>
  <c r="BV444" i="2"/>
  <c r="BX444" i="2" s="1"/>
  <c r="BV180" i="2"/>
  <c r="BX180" i="2" s="1"/>
  <c r="BV606" i="2"/>
  <c r="BX606" i="2" s="1"/>
  <c r="BV594" i="2"/>
  <c r="BX594" i="2" s="1"/>
  <c r="BV293" i="2"/>
  <c r="BX293" i="2" s="1"/>
  <c r="BV290" i="2"/>
  <c r="BX290" i="2" s="1"/>
  <c r="BV285" i="2"/>
  <c r="BX285" i="2" s="1"/>
  <c r="BV269" i="2"/>
  <c r="BX269" i="2" s="1"/>
  <c r="BV329" i="2"/>
  <c r="BX329" i="2" s="1"/>
  <c r="BV324" i="2"/>
  <c r="BX324" i="2" s="1"/>
  <c r="BV222" i="2"/>
  <c r="BX222" i="2" s="1"/>
  <c r="BV216" i="2"/>
  <c r="BX216" i="2" s="1"/>
  <c r="BV212" i="2"/>
  <c r="BX212" i="2" s="1"/>
  <c r="BV132" i="2"/>
  <c r="BX132" i="2" s="1"/>
  <c r="BV115" i="2"/>
  <c r="BX115" i="2" s="1"/>
  <c r="BV110" i="2"/>
  <c r="BX110" i="2" s="1"/>
  <c r="BV106" i="2"/>
  <c r="BX106" i="2" s="1"/>
  <c r="BA397" i="17"/>
  <c r="BE397" i="17" s="1"/>
  <c r="BG397" i="17" s="1"/>
  <c r="BA405" i="17"/>
  <c r="BE405" i="17" s="1"/>
  <c r="BG405" i="17" s="1"/>
  <c r="BA423" i="17"/>
  <c r="BE423" i="17" s="1"/>
  <c r="BG423" i="17" s="1"/>
  <c r="BA542" i="17"/>
  <c r="BE542" i="17" s="1"/>
  <c r="BG542" i="17" s="1"/>
  <c r="BA401" i="17"/>
  <c r="BE401" i="17" s="1"/>
  <c r="BG401" i="17" s="1"/>
  <c r="BA407" i="17"/>
  <c r="BE407" i="17" s="1"/>
  <c r="BG407" i="17" s="1"/>
  <c r="BA411" i="17"/>
  <c r="BE411" i="17" s="1"/>
  <c r="BG411" i="17" s="1"/>
  <c r="BA403" i="17"/>
  <c r="BE403" i="17" s="1"/>
  <c r="BG403" i="17" s="1"/>
  <c r="BA528" i="17"/>
  <c r="BE528" i="17" s="1"/>
  <c r="BG528" i="17" s="1"/>
  <c r="BA480" i="17"/>
  <c r="BE480" i="17" s="1"/>
  <c r="BG480" i="17" s="1"/>
  <c r="BA494" i="17"/>
  <c r="BE494" i="17" s="1"/>
  <c r="BG494" i="17" s="1"/>
  <c r="BA517" i="17"/>
  <c r="BE517" i="17" s="1"/>
  <c r="BG517" i="17" s="1"/>
  <c r="BA412" i="17"/>
  <c r="BE412" i="17" s="1"/>
  <c r="BG412" i="17" s="1"/>
  <c r="BA419" i="17"/>
  <c r="BE419" i="17" s="1"/>
  <c r="BG419" i="17" s="1"/>
  <c r="BA428" i="17"/>
  <c r="BE428" i="17" s="1"/>
  <c r="BG428" i="17" s="1"/>
  <c r="BA443" i="17"/>
  <c r="BE443" i="17" s="1"/>
  <c r="BG443" i="17" s="1"/>
  <c r="BA450" i="17"/>
  <c r="BE450" i="17" s="1"/>
  <c r="BG450" i="17" s="1"/>
  <c r="BA459" i="17"/>
  <c r="BE459" i="17" s="1"/>
  <c r="BG459" i="17" s="1"/>
  <c r="BA531" i="17"/>
  <c r="BE531" i="17" s="1"/>
  <c r="BG531" i="17" s="1"/>
  <c r="BA545" i="17"/>
  <c r="BE545" i="17" s="1"/>
  <c r="BG545" i="17" s="1"/>
  <c r="BA555" i="17"/>
  <c r="BE555" i="17" s="1"/>
  <c r="BG555" i="17" s="1"/>
  <c r="BA593" i="17"/>
  <c r="BE593" i="17" s="1"/>
  <c r="BG593" i="17" s="1"/>
  <c r="BA605" i="17"/>
  <c r="BE605" i="17" s="1"/>
  <c r="BG605" i="17" s="1"/>
  <c r="BA613" i="17"/>
  <c r="BE613" i="17" s="1"/>
  <c r="BG613" i="17" s="1"/>
  <c r="BA486" i="17"/>
  <c r="BE486" i="17" s="1"/>
  <c r="BG486" i="17" s="1"/>
  <c r="BA527" i="17"/>
  <c r="BE527" i="17" s="1"/>
  <c r="BG527" i="17" s="1"/>
  <c r="BA437" i="17"/>
  <c r="BE437" i="17" s="1"/>
  <c r="BG437" i="17" s="1"/>
  <c r="BA461" i="17"/>
  <c r="BE461" i="17" s="1"/>
  <c r="BG461" i="17" s="1"/>
  <c r="BA468" i="17"/>
  <c r="BE468" i="17" s="1"/>
  <c r="BG468" i="17" s="1"/>
  <c r="BA476" i="17"/>
  <c r="BE476" i="17" s="1"/>
  <c r="BG476" i="17" s="1"/>
  <c r="BA535" i="17"/>
  <c r="BE535" i="17" s="1"/>
  <c r="BG535" i="17" s="1"/>
  <c r="BA548" i="17"/>
  <c r="BE548" i="17" s="1"/>
  <c r="BG548" i="17" s="1"/>
  <c r="BA565" i="17"/>
  <c r="BE565" i="17" s="1"/>
  <c r="BG565" i="17" s="1"/>
  <c r="BA573" i="17"/>
  <c r="BE573" i="17" s="1"/>
  <c r="BG573" i="17" s="1"/>
  <c r="BA577" i="17"/>
  <c r="BE577" i="17" s="1"/>
  <c r="BG577" i="17" s="1"/>
  <c r="BA596" i="17"/>
  <c r="BE596" i="17" s="1"/>
  <c r="BG596" i="17" s="1"/>
  <c r="BA608" i="17"/>
  <c r="BE608" i="17" s="1"/>
  <c r="BG608" i="17" s="1"/>
  <c r="BA394" i="17"/>
  <c r="BE394" i="17" s="1"/>
  <c r="BG394" i="17" s="1"/>
  <c r="BA398" i="17"/>
  <c r="BE398" i="17" s="1"/>
  <c r="BG398" i="17" s="1"/>
  <c r="BA395" i="17"/>
  <c r="BE395" i="17" s="1"/>
  <c r="BG395" i="17" s="1"/>
  <c r="BA421" i="17"/>
  <c r="BE421" i="17" s="1"/>
  <c r="BG421" i="17" s="1"/>
  <c r="BA402" i="17"/>
  <c r="BE402" i="17" s="1"/>
  <c r="BG402" i="17" s="1"/>
  <c r="BA408" i="17"/>
  <c r="BE408" i="17" s="1"/>
  <c r="BG408" i="17" s="1"/>
  <c r="BA406" i="17"/>
  <c r="BE406" i="17" s="1"/>
  <c r="BG406" i="17" s="1"/>
  <c r="BA410" i="17"/>
  <c r="BE410" i="17" s="1"/>
  <c r="BG410" i="17" s="1"/>
  <c r="BE530" i="17"/>
  <c r="BG530" i="17" s="1"/>
  <c r="BE504" i="17"/>
  <c r="BG504" i="17" s="1"/>
  <c r="BE481" i="17"/>
  <c r="BG481" i="17" s="1"/>
  <c r="BE433" i="17"/>
  <c r="BG433" i="17" s="1"/>
  <c r="BE612" i="17"/>
  <c r="BG612" i="17" s="1"/>
  <c r="BE490" i="17"/>
  <c r="BG490" i="17" s="1"/>
  <c r="BE576" i="17"/>
  <c r="BG576" i="17" s="1"/>
  <c r="BE445" i="17"/>
  <c r="BG445" i="17" s="1"/>
  <c r="BE580" i="17"/>
  <c r="BG580" i="17" s="1"/>
  <c r="BE553" i="17"/>
  <c r="BG553" i="17" s="1"/>
  <c r="BE417" i="17"/>
  <c r="BG417" i="17" s="1"/>
  <c r="BE458" i="17"/>
  <c r="BG458" i="17" s="1"/>
  <c r="BE544" i="17"/>
  <c r="BG544" i="17" s="1"/>
  <c r="BE549" i="17"/>
  <c r="BG549" i="17" s="1"/>
  <c r="BE556" i="17"/>
  <c r="BG556" i="17" s="1"/>
  <c r="BE448" i="17"/>
  <c r="BG448" i="17" s="1"/>
  <c r="BE452" i="17"/>
  <c r="BG452" i="17" s="1"/>
  <c r="BE471" i="17"/>
  <c r="BG471" i="17" s="1"/>
  <c r="BE588" i="17"/>
  <c r="BG588" i="17" s="1"/>
  <c r="BE592" i="17"/>
  <c r="BG592" i="17" s="1"/>
  <c r="BE601" i="17"/>
  <c r="BG601" i="17" s="1"/>
  <c r="BE499" i="17"/>
  <c r="BG499" i="17" s="1"/>
  <c r="BE477" i="17"/>
  <c r="BG477" i="17" s="1"/>
  <c r="BE564" i="17"/>
  <c r="BG564" i="17" s="1"/>
  <c r="BE597" i="17"/>
  <c r="BG597" i="17" s="1"/>
  <c r="BE616" i="17"/>
  <c r="BG616" i="17" s="1"/>
  <c r="BE485" i="17"/>
  <c r="BG485" i="17" s="1"/>
  <c r="BE498" i="17"/>
  <c r="BG498" i="17" s="1"/>
  <c r="BE506" i="17"/>
  <c r="BG506" i="17" s="1"/>
  <c r="BE510" i="17"/>
  <c r="BG510" i="17" s="1"/>
  <c r="BE514" i="17"/>
  <c r="BG514" i="17" s="1"/>
  <c r="BE518" i="17"/>
  <c r="BG518" i="17" s="1"/>
  <c r="BE522" i="17"/>
  <c r="BG522" i="17" s="1"/>
  <c r="BE469" i="17"/>
  <c r="BG469" i="17" s="1"/>
  <c r="BE509" i="17"/>
  <c r="BG509" i="17" s="1"/>
  <c r="BE600" i="17"/>
  <c r="BG600" i="17" s="1"/>
  <c r="BA483" i="17"/>
  <c r="BE483" i="17" s="1"/>
  <c r="BG483" i="17" s="1"/>
  <c r="BA487" i="17"/>
  <c r="BE487" i="17" s="1"/>
  <c r="BG487" i="17" s="1"/>
  <c r="BA492" i="17"/>
  <c r="BE492" i="17" s="1"/>
  <c r="BG492" i="17" s="1"/>
  <c r="BA496" i="17"/>
  <c r="BE496" i="17" s="1"/>
  <c r="BG496" i="17" s="1"/>
  <c r="BA500" i="17"/>
  <c r="BE500" i="17" s="1"/>
  <c r="BG500" i="17" s="1"/>
  <c r="BA507" i="17"/>
  <c r="BE507" i="17" s="1"/>
  <c r="BG507" i="17" s="1"/>
  <c r="BA511" i="17"/>
  <c r="BE511" i="17" s="1"/>
  <c r="BG511" i="17" s="1"/>
  <c r="BA515" i="17"/>
  <c r="BE515" i="17" s="1"/>
  <c r="BG515" i="17" s="1"/>
  <c r="BA519" i="17"/>
  <c r="BE519" i="17" s="1"/>
  <c r="BG519" i="17" s="1"/>
  <c r="BA524" i="17"/>
  <c r="BE524" i="17" s="1"/>
  <c r="BG524" i="17" s="1"/>
  <c r="BA529" i="17"/>
  <c r="BE529" i="17" s="1"/>
  <c r="BG529" i="17" s="1"/>
  <c r="BA430" i="17"/>
  <c r="BE430" i="17" s="1"/>
  <c r="BG430" i="17" s="1"/>
  <c r="BA434" i="17"/>
  <c r="BE434" i="17" s="1"/>
  <c r="BG434" i="17" s="1"/>
  <c r="BA438" i="17"/>
  <c r="BE438" i="17" s="1"/>
  <c r="BG438" i="17" s="1"/>
  <c r="BA449" i="17"/>
  <c r="BE449" i="17" s="1"/>
  <c r="BG449" i="17" s="1"/>
  <c r="BA453" i="17"/>
  <c r="BE453" i="17" s="1"/>
  <c r="BG453" i="17" s="1"/>
  <c r="BA457" i="17"/>
  <c r="BE457" i="17" s="1"/>
  <c r="BG457" i="17" s="1"/>
  <c r="BA462" i="17"/>
  <c r="BE462" i="17" s="1"/>
  <c r="BG462" i="17" s="1"/>
  <c r="BA465" i="17"/>
  <c r="BE465" i="17" s="1"/>
  <c r="BG465" i="17" s="1"/>
  <c r="BA470" i="17"/>
  <c r="BE470" i="17" s="1"/>
  <c r="BG470" i="17" s="1"/>
  <c r="BA475" i="17"/>
  <c r="BE475" i="17" s="1"/>
  <c r="BG475" i="17" s="1"/>
  <c r="BA479" i="17"/>
  <c r="BE479" i="17" s="1"/>
  <c r="BG479" i="17" s="1"/>
  <c r="BA541" i="17"/>
  <c r="BE541" i="17" s="1"/>
  <c r="BG541" i="17" s="1"/>
  <c r="BA547" i="17"/>
  <c r="BE547" i="17" s="1"/>
  <c r="BG547" i="17" s="1"/>
  <c r="BA552" i="17"/>
  <c r="BE552" i="17" s="1"/>
  <c r="BG552" i="17" s="1"/>
  <c r="BA557" i="17"/>
  <c r="BE557" i="17" s="1"/>
  <c r="BG557" i="17" s="1"/>
  <c r="BA562" i="17"/>
  <c r="BE562" i="17" s="1"/>
  <c r="BG562" i="17" s="1"/>
  <c r="BA568" i="17"/>
  <c r="BE568" i="17" s="1"/>
  <c r="BG568" i="17" s="1"/>
  <c r="BA570" i="17"/>
  <c r="BE570" i="17" s="1"/>
  <c r="BG570" i="17" s="1"/>
  <c r="BA574" i="17"/>
  <c r="BE574" i="17" s="1"/>
  <c r="BG574" i="17" s="1"/>
  <c r="BA578" i="17"/>
  <c r="BE578" i="17" s="1"/>
  <c r="BG578" i="17" s="1"/>
  <c r="BA581" i="17"/>
  <c r="BE581" i="17" s="1"/>
  <c r="BG581" i="17" s="1"/>
  <c r="BA587" i="17"/>
  <c r="BE587" i="17" s="1"/>
  <c r="BG587" i="17" s="1"/>
  <c r="BA591" i="17"/>
  <c r="BE591" i="17" s="1"/>
  <c r="BG591" i="17" s="1"/>
  <c r="BA595" i="17"/>
  <c r="BE595" i="17" s="1"/>
  <c r="BG595" i="17" s="1"/>
  <c r="BA603" i="17"/>
  <c r="BE603" i="17" s="1"/>
  <c r="BG603" i="17" s="1"/>
  <c r="BA615" i="17"/>
  <c r="BE615" i="17" s="1"/>
  <c r="BG615" i="17" s="1"/>
  <c r="BA502" i="17"/>
  <c r="BE502" i="17" s="1"/>
  <c r="BG502" i="17" s="1"/>
  <c r="BA482" i="17"/>
  <c r="BE482" i="17" s="1"/>
  <c r="BG482" i="17" s="1"/>
  <c r="BA484" i="17"/>
  <c r="BE484" i="17" s="1"/>
  <c r="BG484" i="17" s="1"/>
  <c r="BA497" i="17"/>
  <c r="BE497" i="17" s="1"/>
  <c r="BG497" i="17" s="1"/>
  <c r="BA501" i="17"/>
  <c r="BE501" i="17" s="1"/>
  <c r="BG501" i="17" s="1"/>
  <c r="BA508" i="17"/>
  <c r="BE508" i="17" s="1"/>
  <c r="BG508" i="17" s="1"/>
  <c r="BA512" i="17"/>
  <c r="BE512" i="17" s="1"/>
  <c r="BG512" i="17" s="1"/>
  <c r="BA516" i="17"/>
  <c r="BE516" i="17" s="1"/>
  <c r="BG516" i="17" s="1"/>
  <c r="BA520" i="17"/>
  <c r="BE520" i="17" s="1"/>
  <c r="BG520" i="17" s="1"/>
  <c r="BA525" i="17"/>
  <c r="BE525" i="17" s="1"/>
  <c r="BG525" i="17" s="1"/>
  <c r="BA414" i="17"/>
  <c r="BE414" i="17" s="1"/>
  <c r="BG414" i="17" s="1"/>
  <c r="BA427" i="17"/>
  <c r="BE427" i="17" s="1"/>
  <c r="BG427" i="17" s="1"/>
  <c r="BA435" i="17"/>
  <c r="BE435" i="17" s="1"/>
  <c r="BG435" i="17" s="1"/>
  <c r="BA454" i="17"/>
  <c r="BE454" i="17" s="1"/>
  <c r="BG454" i="17" s="1"/>
  <c r="BA460" i="17"/>
  <c r="BE460" i="17" s="1"/>
  <c r="BG460" i="17" s="1"/>
  <c r="BA463" i="17"/>
  <c r="BE463" i="17" s="1"/>
  <c r="BG463" i="17" s="1"/>
  <c r="BA472" i="17"/>
  <c r="BE472" i="17" s="1"/>
  <c r="BG472" i="17" s="1"/>
  <c r="BA474" i="17"/>
  <c r="BE474" i="17" s="1"/>
  <c r="BG474" i="17" s="1"/>
  <c r="BA478" i="17"/>
  <c r="BE478" i="17" s="1"/>
  <c r="BG478" i="17" s="1"/>
  <c r="BA532" i="17"/>
  <c r="BE532" i="17" s="1"/>
  <c r="BG532" i="17" s="1"/>
  <c r="BA546" i="17"/>
  <c r="BE546" i="17" s="1"/>
  <c r="BG546" i="17" s="1"/>
  <c r="BA550" i="17"/>
  <c r="BE550" i="17" s="1"/>
  <c r="BG550" i="17" s="1"/>
  <c r="BA558" i="17"/>
  <c r="BE558" i="17" s="1"/>
  <c r="BG558" i="17" s="1"/>
  <c r="BA563" i="17"/>
  <c r="BE563" i="17" s="1"/>
  <c r="BG563" i="17" s="1"/>
  <c r="BA567" i="17"/>
  <c r="BE567" i="17" s="1"/>
  <c r="BG567" i="17" s="1"/>
  <c r="BA575" i="17"/>
  <c r="BE575" i="17" s="1"/>
  <c r="BG575" i="17" s="1"/>
  <c r="BA590" i="17"/>
  <c r="BE590" i="17" s="1"/>
  <c r="BG590" i="17" s="1"/>
  <c r="BA594" i="17"/>
  <c r="BE594" i="17" s="1"/>
  <c r="BG594" i="17" s="1"/>
  <c r="BA598" i="17"/>
  <c r="BE598" i="17" s="1"/>
  <c r="BG598" i="17" s="1"/>
  <c r="BA602" i="17"/>
  <c r="BE602" i="17" s="1"/>
  <c r="BG602" i="17" s="1"/>
  <c r="BA606" i="17"/>
  <c r="BE606" i="17" s="1"/>
  <c r="BG606" i="17" s="1"/>
  <c r="BA610" i="17"/>
  <c r="BE610" i="17" s="1"/>
  <c r="BG610" i="17" s="1"/>
  <c r="BA614" i="17"/>
  <c r="BE614" i="17" s="1"/>
  <c r="BG614" i="17" s="1"/>
  <c r="BN102" i="25"/>
  <c r="BV102" i="25" s="1"/>
  <c r="BX102" i="25" s="1"/>
  <c r="BX103" i="25"/>
  <c r="BX101" i="25"/>
  <c r="BV168" i="25"/>
  <c r="BX168" i="25" s="1"/>
  <c r="BE441" i="17"/>
  <c r="BG441" i="17" s="1"/>
  <c r="BV328" i="2"/>
  <c r="BX328" i="2" s="1"/>
  <c r="BN326" i="25"/>
  <c r="BV326" i="25" s="1"/>
  <c r="BX326" i="25" s="1"/>
  <c r="BA298" i="17"/>
  <c r="BE298" i="17" s="1"/>
  <c r="BG298" i="17" s="1"/>
  <c r="BA278" i="17"/>
  <c r="BE278" i="17" s="1"/>
  <c r="BG278" i="17" s="1"/>
  <c r="BA277" i="17"/>
  <c r="BE277" i="17" s="1"/>
  <c r="BG277" i="17" s="1"/>
  <c r="BV262" i="2"/>
  <c r="BX262" i="2" s="1"/>
  <c r="BN189" i="25"/>
  <c r="BV189" i="25" s="1"/>
  <c r="BX189" i="25" s="1"/>
  <c r="BV166" i="2"/>
  <c r="BX166" i="2" s="1"/>
  <c r="BX219" i="25"/>
  <c r="BV297" i="2"/>
  <c r="BX297" i="2" s="1"/>
  <c r="BV268" i="2"/>
  <c r="BX268" i="2" s="1"/>
  <c r="AD141" i="16" l="1"/>
  <c r="G113" i="16"/>
  <c r="AD113" i="16" s="1"/>
  <c r="AB113" i="16"/>
  <c r="AB132" i="16"/>
  <c r="AB130" i="16"/>
  <c r="AB109" i="16"/>
  <c r="AB141" i="16"/>
  <c r="G141" i="16"/>
  <c r="AB129" i="16"/>
  <c r="AB118" i="16"/>
  <c r="G118" i="16"/>
  <c r="AD118" i="16" s="1"/>
  <c r="AB136" i="16"/>
  <c r="G125" i="16"/>
  <c r="AD125" i="16" s="1"/>
  <c r="AB125" i="16"/>
  <c r="AB116" i="16"/>
  <c r="AB117" i="16"/>
  <c r="AB139" i="16"/>
  <c r="AB127" i="16"/>
  <c r="AB106" i="16"/>
  <c r="AB133" i="16"/>
  <c r="AB122" i="16"/>
  <c r="G115" i="16"/>
  <c r="AD115" i="16" s="1"/>
  <c r="AB115" i="16"/>
  <c r="AB110" i="16"/>
  <c r="G127" i="16"/>
  <c r="AD127" i="16" s="1"/>
  <c r="G130" i="16"/>
  <c r="AD130" i="16" s="1"/>
  <c r="G137" i="16"/>
  <c r="AD137" i="16" s="1"/>
  <c r="AB137" i="16"/>
  <c r="G119" i="16"/>
  <c r="AD119" i="16" s="1"/>
  <c r="AB119" i="16"/>
  <c r="G140" i="16"/>
  <c r="AD140" i="16" s="1"/>
  <c r="AB140" i="16"/>
  <c r="AB128" i="16"/>
  <c r="G128" i="16"/>
  <c r="AD128" i="16" s="1"/>
  <c r="AB107" i="16"/>
  <c r="G135" i="16"/>
  <c r="AD135" i="16" s="1"/>
  <c r="AB135" i="16"/>
  <c r="AB123" i="16"/>
  <c r="G114" i="16"/>
  <c r="AD114" i="16" s="1"/>
  <c r="AB114" i="16"/>
  <c r="G134" i="16"/>
  <c r="AD134" i="16" s="1"/>
  <c r="AB134" i="16"/>
  <c r="AB121" i="16"/>
  <c r="G121" i="16"/>
  <c r="AD121" i="16" s="1"/>
  <c r="G111" i="16"/>
  <c r="AD111" i="16" s="1"/>
  <c r="AB111" i="16"/>
  <c r="G117" i="16"/>
  <c r="AD117" i="16" s="1"/>
  <c r="AB126" i="16"/>
  <c r="G126" i="16"/>
  <c r="AD126" i="16" s="1"/>
  <c r="G131" i="16"/>
  <c r="AD131" i="16" s="1"/>
  <c r="AB131" i="16"/>
  <c r="AB108" i="16"/>
  <c r="G108" i="16"/>
  <c r="AD108" i="16" s="1"/>
  <c r="AB138" i="16"/>
  <c r="G133" i="16"/>
  <c r="AD133" i="16"/>
  <c r="AB124" i="16"/>
  <c r="G124" i="16"/>
  <c r="AD124" i="16" s="1"/>
  <c r="AB120" i="16"/>
  <c r="AB112" i="16"/>
  <c r="G112" i="16"/>
  <c r="AD112" i="16" s="1"/>
  <c r="AD136" i="16"/>
  <c r="G136" i="16"/>
  <c r="G120" i="16"/>
  <c r="AD120" i="16" s="1"/>
  <c r="AD139" i="16"/>
  <c r="G139" i="16"/>
  <c r="AD123" i="16"/>
  <c r="G123" i="16"/>
  <c r="AD107" i="16"/>
  <c r="G107" i="16"/>
  <c r="AD110" i="16"/>
  <c r="G110" i="16"/>
  <c r="AD116" i="16"/>
  <c r="G116" i="16"/>
  <c r="AD122" i="16"/>
  <c r="G122" i="16"/>
  <c r="AD106" i="16"/>
  <c r="G106" i="16"/>
  <c r="G129" i="16"/>
  <c r="AD129" i="16" s="1"/>
  <c r="G132" i="16"/>
  <c r="AD132" i="16" s="1"/>
  <c r="G138" i="16"/>
  <c r="AD138" i="16" s="1"/>
  <c r="G109" i="16"/>
  <c r="AD109" i="16" s="1"/>
</calcChain>
</file>

<file path=xl/sharedStrings.xml><?xml version="1.0" encoding="utf-8"?>
<sst xmlns="http://schemas.openxmlformats.org/spreadsheetml/2006/main" count="18046" uniqueCount="1004">
  <si>
    <t>Charges for</t>
  </si>
  <si>
    <t>Inter-</t>
  </si>
  <si>
    <t>Special</t>
  </si>
  <si>
    <t>Total</t>
  </si>
  <si>
    <t>County</t>
  </si>
  <si>
    <t>Taxes</t>
  </si>
  <si>
    <t>Services</t>
  </si>
  <si>
    <t>governmental</t>
  </si>
  <si>
    <t>Revenue</t>
  </si>
  <si>
    <t>Revenues</t>
  </si>
  <si>
    <t>Allen</t>
  </si>
  <si>
    <t>Ashland</t>
  </si>
  <si>
    <t>Ashtabula</t>
  </si>
  <si>
    <t>Athens</t>
  </si>
  <si>
    <t>Auglaize</t>
  </si>
  <si>
    <t>Belmont</t>
  </si>
  <si>
    <t>Carroll</t>
  </si>
  <si>
    <t>Clark</t>
  </si>
  <si>
    <t>Clinton</t>
  </si>
  <si>
    <t>Coshocton</t>
  </si>
  <si>
    <t>Cuyahoga</t>
  </si>
  <si>
    <t>Darke</t>
  </si>
  <si>
    <t>Defiance</t>
  </si>
  <si>
    <t>Delaware</t>
  </si>
  <si>
    <t>Erie</t>
  </si>
  <si>
    <t>Fairfield</t>
  </si>
  <si>
    <t>Fayette</t>
  </si>
  <si>
    <t>Franklin</t>
  </si>
  <si>
    <t>Fulton</t>
  </si>
  <si>
    <t>Gallia</t>
  </si>
  <si>
    <t>Geauga</t>
  </si>
  <si>
    <t>Guernsey</t>
  </si>
  <si>
    <t>Hamilton</t>
  </si>
  <si>
    <t>Hancock</t>
  </si>
  <si>
    <t>Henry</t>
  </si>
  <si>
    <t>Hocking</t>
  </si>
  <si>
    <t>Holmes</t>
  </si>
  <si>
    <t>Huron</t>
  </si>
  <si>
    <t>Jackson</t>
  </si>
  <si>
    <t>Jefferson</t>
  </si>
  <si>
    <t>Knox</t>
  </si>
  <si>
    <t>Lake</t>
  </si>
  <si>
    <t>Licking</t>
  </si>
  <si>
    <t>Logan</t>
  </si>
  <si>
    <t>Lorain</t>
  </si>
  <si>
    <t>Mahoning</t>
  </si>
  <si>
    <t>Marion</t>
  </si>
  <si>
    <t>Medina</t>
  </si>
  <si>
    <t>Miami</t>
  </si>
  <si>
    <t>Monroe</t>
  </si>
  <si>
    <t>Montgomery</t>
  </si>
  <si>
    <t>Muskingum</t>
  </si>
  <si>
    <t>Noble</t>
  </si>
  <si>
    <t>Ottawa</t>
  </si>
  <si>
    <t>Pickaway</t>
  </si>
  <si>
    <t>Pike</t>
  </si>
  <si>
    <t>Portage</t>
  </si>
  <si>
    <t>Preble</t>
  </si>
  <si>
    <t>Ross</t>
  </si>
  <si>
    <t>Scioto</t>
  </si>
  <si>
    <t>Seneca</t>
  </si>
  <si>
    <t>Shelby</t>
  </si>
  <si>
    <t>Stark</t>
  </si>
  <si>
    <t>Summit</t>
  </si>
  <si>
    <t>Trumbull</t>
  </si>
  <si>
    <t>Tuscarawas</t>
  </si>
  <si>
    <t>Union</t>
  </si>
  <si>
    <t>Van Wert</t>
  </si>
  <si>
    <t>Vinton</t>
  </si>
  <si>
    <t>Warren</t>
  </si>
  <si>
    <t>Washington</t>
  </si>
  <si>
    <t>Wayne</t>
  </si>
  <si>
    <t>Wood</t>
  </si>
  <si>
    <t>Capital</t>
  </si>
  <si>
    <t>Expenditures</t>
  </si>
  <si>
    <t>Outlay</t>
  </si>
  <si>
    <t>Principal</t>
  </si>
  <si>
    <t>Brown</t>
  </si>
  <si>
    <t>Morrow</t>
  </si>
  <si>
    <t>Sandusky</t>
  </si>
  <si>
    <t>Long-Term Obligations</t>
  </si>
  <si>
    <t>General</t>
  </si>
  <si>
    <t>Other</t>
  </si>
  <si>
    <t>Obligation</t>
  </si>
  <si>
    <t>Bonds</t>
  </si>
  <si>
    <t>Loans</t>
  </si>
  <si>
    <t>Obligations</t>
  </si>
  <si>
    <t>Assets</t>
  </si>
  <si>
    <t>Cash and</t>
  </si>
  <si>
    <t>Deferred</t>
  </si>
  <si>
    <t>Fund</t>
  </si>
  <si>
    <t>Investments</t>
  </si>
  <si>
    <t>Liabilities</t>
  </si>
  <si>
    <t>Fund Balance</t>
  </si>
  <si>
    <t>Compensated</t>
  </si>
  <si>
    <t>Notes</t>
  </si>
  <si>
    <t>Leases</t>
  </si>
  <si>
    <t>Absences</t>
  </si>
  <si>
    <t>Payables</t>
  </si>
  <si>
    <t>Current</t>
  </si>
  <si>
    <t>Net Assets</t>
  </si>
  <si>
    <t>Invested in</t>
  </si>
  <si>
    <t>Restricted</t>
  </si>
  <si>
    <t>Unrestricted</t>
  </si>
  <si>
    <t>Program Revenues - Governmental Activities</t>
  </si>
  <si>
    <t>Property</t>
  </si>
  <si>
    <t>Investment</t>
  </si>
  <si>
    <t>Grants</t>
  </si>
  <si>
    <t>Earnings</t>
  </si>
  <si>
    <t>Contributions</t>
  </si>
  <si>
    <t>Richland</t>
  </si>
  <si>
    <t>Crawford</t>
  </si>
  <si>
    <t>Columbiana</t>
  </si>
  <si>
    <t>Clermont</t>
  </si>
  <si>
    <t>Greene</t>
  </si>
  <si>
    <t>Lucas</t>
  </si>
  <si>
    <t>One Year</t>
  </si>
  <si>
    <t>Summary Data from the General Fund Balance Sheet</t>
  </si>
  <si>
    <t>Out</t>
  </si>
  <si>
    <t>Change in</t>
  </si>
  <si>
    <t>and Interest</t>
  </si>
  <si>
    <t>Capital Assets</t>
  </si>
  <si>
    <t>Expenses</t>
  </si>
  <si>
    <t>Grants,</t>
  </si>
  <si>
    <t>Expenses from the Statement of Activities - Governmental Activities</t>
  </si>
  <si>
    <t>Summary Data from the Statement of Net Assets - Governmental Activities</t>
  </si>
  <si>
    <t>General Fund Revenues - Modified Accrual Basis of Accounting</t>
  </si>
  <si>
    <t>All Other</t>
  </si>
  <si>
    <t>General Fund Expenditures - Modified Accrual Basis of Accounting</t>
  </si>
  <si>
    <t xml:space="preserve"> </t>
  </si>
  <si>
    <t>Revenues from the Statement of Activities - Governmental Activities</t>
  </si>
  <si>
    <t>Long-term Liabilities</t>
  </si>
  <si>
    <t>More Than 1 Yr</t>
  </si>
  <si>
    <t>Statement</t>
  </si>
  <si>
    <t>Balances if</t>
  </si>
  <si>
    <t>Value is "0"</t>
  </si>
  <si>
    <t>Program</t>
  </si>
  <si>
    <t>Grants and</t>
  </si>
  <si>
    <t>Entitlements</t>
  </si>
  <si>
    <t>Payments in</t>
  </si>
  <si>
    <t>Lieu of</t>
  </si>
  <si>
    <t>Program and</t>
  </si>
  <si>
    <t>Vocational</t>
  </si>
  <si>
    <t>Instruction</t>
  </si>
  <si>
    <t>Support Services</t>
  </si>
  <si>
    <t>Instructional</t>
  </si>
  <si>
    <t>Staff</t>
  </si>
  <si>
    <t>Board of</t>
  </si>
  <si>
    <t>Education</t>
  </si>
  <si>
    <t>Administration</t>
  </si>
  <si>
    <t>Fiscal</t>
  </si>
  <si>
    <t>Operation and</t>
  </si>
  <si>
    <t>Maintenance</t>
  </si>
  <si>
    <t>of Plant</t>
  </si>
  <si>
    <t>Pupil</t>
  </si>
  <si>
    <t>Transportation</t>
  </si>
  <si>
    <t>Non-Instructional Services</t>
  </si>
  <si>
    <t>Food</t>
  </si>
  <si>
    <t>Service</t>
  </si>
  <si>
    <t>Extracurricular</t>
  </si>
  <si>
    <t>Activities</t>
  </si>
  <si>
    <t>Interest</t>
  </si>
  <si>
    <t>Transfers</t>
  </si>
  <si>
    <t>Beginning</t>
  </si>
  <si>
    <t>of Year</t>
  </si>
  <si>
    <t>End of</t>
  </si>
  <si>
    <t>Year</t>
  </si>
  <si>
    <t>and Activities</t>
  </si>
  <si>
    <t>Balance if</t>
  </si>
  <si>
    <t>All Schools Reporting Under GAAP</t>
  </si>
  <si>
    <t>Tuition</t>
  </si>
  <si>
    <t>and Fees</t>
  </si>
  <si>
    <t>Extra-</t>
  </si>
  <si>
    <t>curricular</t>
  </si>
  <si>
    <t>Payments</t>
  </si>
  <si>
    <t>in Lieu</t>
  </si>
  <si>
    <t>of Taxes</t>
  </si>
  <si>
    <t>and</t>
  </si>
  <si>
    <t>Donations</t>
  </si>
  <si>
    <t>Debt Service</t>
  </si>
  <si>
    <t>Other Financing Uses</t>
  </si>
  <si>
    <t>Advances</t>
  </si>
  <si>
    <t>Uses</t>
  </si>
  <si>
    <t>All</t>
  </si>
  <si>
    <t>Net</t>
  </si>
  <si>
    <t>Balance</t>
  </si>
  <si>
    <t>End</t>
  </si>
  <si>
    <t>Other Uses</t>
  </si>
  <si>
    <t>Other Financing Sources</t>
  </si>
  <si>
    <t>Transfers in</t>
  </si>
  <si>
    <t>Advances in</t>
  </si>
  <si>
    <t>Proceeds</t>
  </si>
  <si>
    <t>Bond</t>
  </si>
  <si>
    <t>Financing</t>
  </si>
  <si>
    <t>Sources</t>
  </si>
  <si>
    <t>and Other</t>
  </si>
  <si>
    <t>Fund Bal.</t>
  </si>
  <si>
    <t>Governmental Fund Revenues - Modified Accrual Basis of Accounting</t>
  </si>
  <si>
    <t>Summary Data from the Governmental Fund Balance Sheet</t>
  </si>
  <si>
    <t>IRN #</t>
  </si>
  <si>
    <t>School District</t>
  </si>
  <si>
    <t>Adams</t>
  </si>
  <si>
    <t>Delphos City SD</t>
  </si>
  <si>
    <t>Perry Local SD</t>
  </si>
  <si>
    <t>Ashland City SD</t>
  </si>
  <si>
    <t>Hillsdale Local SD</t>
  </si>
  <si>
    <t>Mapleton Local SD</t>
  </si>
  <si>
    <t>Buckeye Local SD</t>
  </si>
  <si>
    <t>Conneaut Area City SD</t>
  </si>
  <si>
    <t>Grand Valley Local SD</t>
  </si>
  <si>
    <t>Jefferson Area Local SD</t>
  </si>
  <si>
    <t>Athens City SD</t>
  </si>
  <si>
    <t>Nelsonville-York City SD</t>
  </si>
  <si>
    <t>Trimble Local SD</t>
  </si>
  <si>
    <t>Minster Local SD</t>
  </si>
  <si>
    <t>New Bremen Local SD</t>
  </si>
  <si>
    <t>Bellaire Local SD</t>
  </si>
  <si>
    <t>Martins Ferry City SD</t>
  </si>
  <si>
    <t>Shadyside Local SD</t>
  </si>
  <si>
    <t>Union Local SD</t>
  </si>
  <si>
    <t>Eastern Local SD</t>
  </si>
  <si>
    <t>Fayetteville-Perry Local SD</t>
  </si>
  <si>
    <t>Western Brown Local SD</t>
  </si>
  <si>
    <t>Butler</t>
  </si>
  <si>
    <t>Fairfield City SD</t>
  </si>
  <si>
    <t>Hamilton City SD</t>
  </si>
  <si>
    <t>Lakota Local SD</t>
  </si>
  <si>
    <t>Madison Local SD</t>
  </si>
  <si>
    <t>Middletown City SD</t>
  </si>
  <si>
    <t>Monroe Local SD</t>
  </si>
  <si>
    <t>New Miami Local SD</t>
  </si>
  <si>
    <t>Brown Local SD</t>
  </si>
  <si>
    <t>Champaign</t>
  </si>
  <si>
    <t>Triad Local SD</t>
  </si>
  <si>
    <t>Urbana City SD</t>
  </si>
  <si>
    <t>West Liberty-Salem Local SD</t>
  </si>
  <si>
    <t>Clark-Shawnee Local SD</t>
  </si>
  <si>
    <t>Greenon Local SD</t>
  </si>
  <si>
    <t>Northeastern Local SD</t>
  </si>
  <si>
    <t>Northwestern Local SD</t>
  </si>
  <si>
    <t>Southeastern Local SD</t>
  </si>
  <si>
    <t>Tecumseh Local SD</t>
  </si>
  <si>
    <t>Batavia Local SD</t>
  </si>
  <si>
    <t>Bethel-Tate Local SD</t>
  </si>
  <si>
    <t>Felicity-Franklin Local SD</t>
  </si>
  <si>
    <t>Goshen Local SD</t>
  </si>
  <si>
    <t>West Clermont Local SD</t>
  </si>
  <si>
    <t>Williamsburg Local SD</t>
  </si>
  <si>
    <t>Blanchester Local SD</t>
  </si>
  <si>
    <t>Clinton-Massie Local SD</t>
  </si>
  <si>
    <t>East Clinton Local SD</t>
  </si>
  <si>
    <t>Wilmington City SD</t>
  </si>
  <si>
    <t>Beaver Local SD</t>
  </si>
  <si>
    <t>Crestview Local SD</t>
  </si>
  <si>
    <t>East Liverpool City SD</t>
  </si>
  <si>
    <t>East Palestine City SD</t>
  </si>
  <si>
    <t>Southern Local SD</t>
  </si>
  <si>
    <t>United Local SD</t>
  </si>
  <si>
    <t>Wellsville Local SD</t>
  </si>
  <si>
    <t>Coshocton City SD</t>
  </si>
  <si>
    <t>Ridgewood Local SD</t>
  </si>
  <si>
    <t>River View Local SD</t>
  </si>
  <si>
    <t>Buckeye Central Local SD</t>
  </si>
  <si>
    <t>Bucyrus City SD</t>
  </si>
  <si>
    <t>Colonel Crawford Local SD</t>
  </si>
  <si>
    <t>Galion City SD</t>
  </si>
  <si>
    <t>Wynford Local SD</t>
  </si>
  <si>
    <t>Beachwood City SD</t>
  </si>
  <si>
    <t>Bedford City SD</t>
  </si>
  <si>
    <t>Berea City SD</t>
  </si>
  <si>
    <t>Brooklyn City SD</t>
  </si>
  <si>
    <t>Cleveland Municipal SD</t>
  </si>
  <si>
    <t>East Cleveland City SD</t>
  </si>
  <si>
    <t>Euclid City SD</t>
  </si>
  <si>
    <t>Fairview Park City SD</t>
  </si>
  <si>
    <t>Independence Local SD</t>
  </si>
  <si>
    <t>Lakewood City SD</t>
  </si>
  <si>
    <t>North Olmsted City SD</t>
  </si>
  <si>
    <t>North Royalton City SD</t>
  </si>
  <si>
    <t>Olmsted Falls City SD</t>
  </si>
  <si>
    <t>Orange City SD</t>
  </si>
  <si>
    <t>Parma City SD</t>
  </si>
  <si>
    <t>Richmond Heights Local SD</t>
  </si>
  <si>
    <t>Solon City SD</t>
  </si>
  <si>
    <t>South Euclid-Lyndhurst City SD</t>
  </si>
  <si>
    <t>Strongsville City SD</t>
  </si>
  <si>
    <t>Warrensville Heights City SD</t>
  </si>
  <si>
    <t>Westlake City SD</t>
  </si>
  <si>
    <t>Greenville City SD</t>
  </si>
  <si>
    <t>Ayersville Local SD</t>
  </si>
  <si>
    <t>Olentangy Local SD</t>
  </si>
  <si>
    <t>Berlin-Milan Local SD</t>
  </si>
  <si>
    <t>Huron City SD</t>
  </si>
  <si>
    <t>Kelleys Island Local SD</t>
  </si>
  <si>
    <t>Margaretta Local SD</t>
  </si>
  <si>
    <t>Perkins Local SD</t>
  </si>
  <si>
    <t>Sandusky City SD</t>
  </si>
  <si>
    <t>Vermilion Local SD</t>
  </si>
  <si>
    <t>Amanda-Clearcreek Local SD</t>
  </si>
  <si>
    <t>Bloom-Carroll Local SD</t>
  </si>
  <si>
    <t>Fairfield Union Local SD</t>
  </si>
  <si>
    <t>Lancaster City SD</t>
  </si>
  <si>
    <t>Pickerington Local SD</t>
  </si>
  <si>
    <t>Miami Trace Local SD</t>
  </si>
  <si>
    <t>Washington Court House City SD</t>
  </si>
  <si>
    <t>Bexley City SD</t>
  </si>
  <si>
    <t>Canal Winchester Local SD</t>
  </si>
  <si>
    <t>Columbus City SD</t>
  </si>
  <si>
    <t>Dublin City SD</t>
  </si>
  <si>
    <t>Grandview Heights City SD</t>
  </si>
  <si>
    <t>Groveport Madison Local SD</t>
  </si>
  <si>
    <t>Hilliard City SD</t>
  </si>
  <si>
    <t>Plain Local SD</t>
  </si>
  <si>
    <t>South-Western City SD</t>
  </si>
  <si>
    <t>Upper Arlington City SD</t>
  </si>
  <si>
    <t>Westerville City SD</t>
  </si>
  <si>
    <t>Whitehall City SD</t>
  </si>
  <si>
    <t>Worthington City SD</t>
  </si>
  <si>
    <t>Archbold-Area Local SD</t>
  </si>
  <si>
    <t>Swanton Local SD</t>
  </si>
  <si>
    <t>Gallipolis City SD</t>
  </si>
  <si>
    <t>Kenston Local SD</t>
  </si>
  <si>
    <t>Ledgemont Local SD</t>
  </si>
  <si>
    <t>Newbury Local SD</t>
  </si>
  <si>
    <t>West Geauga Local SD</t>
  </si>
  <si>
    <t>Beavercreek City SD</t>
  </si>
  <si>
    <t>Greeneview Local SD</t>
  </si>
  <si>
    <t>Cambridge City SD</t>
  </si>
  <si>
    <t>East Guernsey Local SD</t>
  </si>
  <si>
    <t>Rolling Hills Local SD</t>
  </si>
  <si>
    <t>Finneytown Local SD</t>
  </si>
  <si>
    <t>Forest Hills Local SD</t>
  </si>
  <si>
    <t>Loveland City SD</t>
  </si>
  <si>
    <t>Madeira City SD</t>
  </si>
  <si>
    <t>Mariemont City SD</t>
  </si>
  <si>
    <t>Northwest Local SD</t>
  </si>
  <si>
    <t>Oak Hills Local SD</t>
  </si>
  <si>
    <t>Princeton City SD</t>
  </si>
  <si>
    <t>Reading Community City SD</t>
  </si>
  <si>
    <t>Southwest Local SD</t>
  </si>
  <si>
    <t>Sycamore Community City SD</t>
  </si>
  <si>
    <t>Winton Woods City SD</t>
  </si>
  <si>
    <t>Wyoming City SD</t>
  </si>
  <si>
    <t>Arcadia Local SD</t>
  </si>
  <si>
    <t>Arlington Local SD</t>
  </si>
  <si>
    <t>Cory-Rawson Local SD</t>
  </si>
  <si>
    <t>Findlay City SD</t>
  </si>
  <si>
    <t>Van Buren Local SD</t>
  </si>
  <si>
    <t>Hardin</t>
  </si>
  <si>
    <t>Hardin Northern Local SD</t>
  </si>
  <si>
    <t>Kenton City SD</t>
  </si>
  <si>
    <t>Conotton Valley Union Local SD</t>
  </si>
  <si>
    <t>Harrison</t>
  </si>
  <si>
    <t>Harrison Hills City SD</t>
  </si>
  <si>
    <t>Holgate Local SD</t>
  </si>
  <si>
    <t>Liberty Center Local SD</t>
  </si>
  <si>
    <t>Napoleon Area City SD</t>
  </si>
  <si>
    <t>Patrick Henry Local SD</t>
  </si>
  <si>
    <t>Highland</t>
  </si>
  <si>
    <t>Fairfield Local SD</t>
  </si>
  <si>
    <t>Hillsboro City SD</t>
  </si>
  <si>
    <t>Lynchburg-Clay Local SD</t>
  </si>
  <si>
    <t>Logan-Hocking Local SD</t>
  </si>
  <si>
    <t>East Holmes Local SD</t>
  </si>
  <si>
    <t>West Holmes Local SD</t>
  </si>
  <si>
    <t>Bellevue City SD</t>
  </si>
  <si>
    <t>Monroeville Local SD</t>
  </si>
  <si>
    <t>New London Local SD</t>
  </si>
  <si>
    <t>Norwalk City SD</t>
  </si>
  <si>
    <t>Western Reserve Local SD</t>
  </si>
  <si>
    <t>Willard City SD</t>
  </si>
  <si>
    <t>Wellston City SD</t>
  </si>
  <si>
    <t>Edison Local SD</t>
  </si>
  <si>
    <t>Indian Creek Local SD</t>
  </si>
  <si>
    <t>Steubenville City SD</t>
  </si>
  <si>
    <t>Mount Vernon City SD</t>
  </si>
  <si>
    <t>Willoughby-Eastlake City SD</t>
  </si>
  <si>
    <t>Lawrence</t>
  </si>
  <si>
    <t>Dawson-Bryant Local SD</t>
  </si>
  <si>
    <t>Fairland Local SD</t>
  </si>
  <si>
    <t>Ironton City SD</t>
  </si>
  <si>
    <t>Rock Hill Local SD</t>
  </si>
  <si>
    <t>South Point Local SD</t>
  </si>
  <si>
    <t>Symmes Valley Local SD</t>
  </si>
  <si>
    <t>Heath City SD</t>
  </si>
  <si>
    <t>Johnstown-Monroe Local SD</t>
  </si>
  <si>
    <t>Licking Heights Local SD</t>
  </si>
  <si>
    <t>Licking Valley Local SD</t>
  </si>
  <si>
    <t>Newark City SD</t>
  </si>
  <si>
    <t>North Fork Local SD</t>
  </si>
  <si>
    <t>Northridge Local SD</t>
  </si>
  <si>
    <t>Riverside Local SD</t>
  </si>
  <si>
    <t>Avon Lake City SD</t>
  </si>
  <si>
    <t>Avon Local SD</t>
  </si>
  <si>
    <t>Clearview Local SD</t>
  </si>
  <si>
    <t>Columbia Local SD</t>
  </si>
  <si>
    <t>Elyria City SD</t>
  </si>
  <si>
    <t>Firelands Local SD</t>
  </si>
  <si>
    <t>Lorain City SD</t>
  </si>
  <si>
    <t>Midview Local SD</t>
  </si>
  <si>
    <t>North Ridgeville City SD</t>
  </si>
  <si>
    <t>Oberlin City SD</t>
  </si>
  <si>
    <t>Anthony Wayne Local SD</t>
  </si>
  <si>
    <t>Maumee City SD</t>
  </si>
  <si>
    <t>Oregon City SD</t>
  </si>
  <si>
    <t>Ottawa Hills Local SD</t>
  </si>
  <si>
    <t>Springfield Local SD</t>
  </si>
  <si>
    <t>Sylvania City SD</t>
  </si>
  <si>
    <t>Toledo City SD</t>
  </si>
  <si>
    <t>Washington Local SD</t>
  </si>
  <si>
    <t>Jefferson Local SD</t>
  </si>
  <si>
    <t>Madison</t>
  </si>
  <si>
    <t>Jonathan Alder Local SD</t>
  </si>
  <si>
    <t>London City SD</t>
  </si>
  <si>
    <t>Austintown Local SD</t>
  </si>
  <si>
    <t>Boardman Local SD</t>
  </si>
  <si>
    <t>Canfield Local SD</t>
  </si>
  <si>
    <t>Jackson-Milton Local SD</t>
  </si>
  <si>
    <t>Sebring Local SD</t>
  </si>
  <si>
    <t>South Range Local SD</t>
  </si>
  <si>
    <t>Struthers City SD</t>
  </si>
  <si>
    <t>West Branch Local SD</t>
  </si>
  <si>
    <t>Youngstown City SD</t>
  </si>
  <si>
    <t>Marion City SD</t>
  </si>
  <si>
    <t>Pleasant Local SD</t>
  </si>
  <si>
    <t>Ridgedale Local SD</t>
  </si>
  <si>
    <t>River Valley Local SD</t>
  </si>
  <si>
    <t>Black River Local SD</t>
  </si>
  <si>
    <t>Brunswick City SD</t>
  </si>
  <si>
    <t>Cloverleaf Local SD</t>
  </si>
  <si>
    <t>Highland Local SD</t>
  </si>
  <si>
    <t>Medina City SD</t>
  </si>
  <si>
    <t>Wadsworth City SD</t>
  </si>
  <si>
    <t>Meigs</t>
  </si>
  <si>
    <t>Meigs Local SD</t>
  </si>
  <si>
    <t>Mercer</t>
  </si>
  <si>
    <t>Bethel Local SD</t>
  </si>
  <si>
    <t>Miami East Local SD</t>
  </si>
  <si>
    <t>Piqua City SD</t>
  </si>
  <si>
    <t>Troy City SD</t>
  </si>
  <si>
    <t>Switzerland Of Ohio Local SD</t>
  </si>
  <si>
    <t>Brookville Local SD</t>
  </si>
  <si>
    <t>Dayton City SD</t>
  </si>
  <si>
    <t>Huber Heights City SD</t>
  </si>
  <si>
    <t>Kettering City SD</t>
  </si>
  <si>
    <t>Miamisburg City SD</t>
  </si>
  <si>
    <t>New Lebanon Local SD</t>
  </si>
  <si>
    <t>Northmont City SD</t>
  </si>
  <si>
    <t>Oakwood City SD</t>
  </si>
  <si>
    <t>Trotwood-Madison City SD</t>
  </si>
  <si>
    <t>Valley View Local SD</t>
  </si>
  <si>
    <t>Vandalia-Butler City SD</t>
  </si>
  <si>
    <t>Morgan Local SD</t>
  </si>
  <si>
    <t>Morgan</t>
  </si>
  <si>
    <t>Cardington-Lincoln Local SD</t>
  </si>
  <si>
    <t>Northmor Local SD</t>
  </si>
  <si>
    <t>East Muskingum Local SD</t>
  </si>
  <si>
    <t>Franklin Local SD</t>
  </si>
  <si>
    <t>Maysville Local SD</t>
  </si>
  <si>
    <t>Tri-Valley Local SD</t>
  </si>
  <si>
    <t>West Muskingum Local SD</t>
  </si>
  <si>
    <t>Zanesville City SD</t>
  </si>
  <si>
    <t>Noble Local SD</t>
  </si>
  <si>
    <t>Benton Carroll Salem Local SD</t>
  </si>
  <si>
    <t>Genoa Area Local SD</t>
  </si>
  <si>
    <t>Paulding</t>
  </si>
  <si>
    <t>Perry</t>
  </si>
  <si>
    <t>Circleville City SD</t>
  </si>
  <si>
    <t>Logan Elm Local SD</t>
  </si>
  <si>
    <t>Teays Valley Local SD</t>
  </si>
  <si>
    <t>Westfall Local SD</t>
  </si>
  <si>
    <t>Scioto Valley Local SD</t>
  </si>
  <si>
    <t>Waverly City SD</t>
  </si>
  <si>
    <t>Western Local SD</t>
  </si>
  <si>
    <t>Aurora City SD</t>
  </si>
  <si>
    <t>James A Garfield Local SD</t>
  </si>
  <si>
    <t>Kent City SD</t>
  </si>
  <si>
    <t>Rootstown Local SD</t>
  </si>
  <si>
    <t>Southeast Local SD</t>
  </si>
  <si>
    <t>Streetsboro City SD</t>
  </si>
  <si>
    <t>Waterloo Local SD</t>
  </si>
  <si>
    <t>Tri-County North Local SD</t>
  </si>
  <si>
    <t>Putnam</t>
  </si>
  <si>
    <t>Clear Fork Valley Local SD</t>
  </si>
  <si>
    <t>Mansfield City SD</t>
  </si>
  <si>
    <t>Ontario Local SD</t>
  </si>
  <si>
    <t>Plymouth-Shiloh Local SD</t>
  </si>
  <si>
    <t>Shelby City SD</t>
  </si>
  <si>
    <t>Chillicothe City SD</t>
  </si>
  <si>
    <t>Huntington Local SD</t>
  </si>
  <si>
    <t>Paint Valley Local SD</t>
  </si>
  <si>
    <t>Union-Scioto Local SD</t>
  </si>
  <si>
    <t>Zane Trace Local SD</t>
  </si>
  <si>
    <t>Woodmore Local SD</t>
  </si>
  <si>
    <t>Bloom-Vernon Local SD</t>
  </si>
  <si>
    <t>Clay Local SD</t>
  </si>
  <si>
    <t>Green Local SD</t>
  </si>
  <si>
    <t>Minford Local SD</t>
  </si>
  <si>
    <t>New Boston Local SD</t>
  </si>
  <si>
    <t>Portsmouth City SD</t>
  </si>
  <si>
    <t>Washington-Nile Local SD</t>
  </si>
  <si>
    <t>Wheelersburg Local SD</t>
  </si>
  <si>
    <t>Seneca East Local SD</t>
  </si>
  <si>
    <t>Tiffin City SD</t>
  </si>
  <si>
    <t>Botkins Local SD</t>
  </si>
  <si>
    <t>Fort Loramie Local SD</t>
  </si>
  <si>
    <t>Hardin-Houston Local SD</t>
  </si>
  <si>
    <t>Russia Local SD</t>
  </si>
  <si>
    <t>Alliance City SD</t>
  </si>
  <si>
    <t>Canton City SD</t>
  </si>
  <si>
    <t>Canton Local SD</t>
  </si>
  <si>
    <t>Fairless Local SD</t>
  </si>
  <si>
    <t>Jackson Local SD</t>
  </si>
  <si>
    <t>Lake Local SD</t>
  </si>
  <si>
    <t>Louisville City SD</t>
  </si>
  <si>
    <t>Marlington Local SD</t>
  </si>
  <si>
    <t>Massillon City SD</t>
  </si>
  <si>
    <t>Minerva Local SD</t>
  </si>
  <si>
    <t>North Canton City SD</t>
  </si>
  <si>
    <t>Osnaburg Local SD</t>
  </si>
  <si>
    <t>Sandy Valley Local SD</t>
  </si>
  <si>
    <t>Tuslaw Local SD</t>
  </si>
  <si>
    <t>Akron City SD</t>
  </si>
  <si>
    <t>Barberton City SD</t>
  </si>
  <si>
    <t>Copley-Fairlawn City SD</t>
  </si>
  <si>
    <t>Hudson City SD</t>
  </si>
  <si>
    <t>Mogadore Local SD</t>
  </si>
  <si>
    <t>Nordonia Hills City SD</t>
  </si>
  <si>
    <t>Norton City SD</t>
  </si>
  <si>
    <t>Revere Local SD</t>
  </si>
  <si>
    <t>Stow-Munroe Falls City SD</t>
  </si>
  <si>
    <t>Tallmadge City SD</t>
  </si>
  <si>
    <t>Twinsburg City SD</t>
  </si>
  <si>
    <t>Woodridge Local SD</t>
  </si>
  <si>
    <t>Bloomfield-Mespo Local SD</t>
  </si>
  <si>
    <t>Bristol Local SD</t>
  </si>
  <si>
    <t>Champion Local SD</t>
  </si>
  <si>
    <t>Girard City SD</t>
  </si>
  <si>
    <t>Howland Local SD</t>
  </si>
  <si>
    <t>Joseph Badger Local SD</t>
  </si>
  <si>
    <t>LaBrae Local SD</t>
  </si>
  <si>
    <t>Lakeview Local SD</t>
  </si>
  <si>
    <t>Liberty Local SD</t>
  </si>
  <si>
    <t>Lordstown Local SD</t>
  </si>
  <si>
    <t>Maplewood Local SD</t>
  </si>
  <si>
    <t>Mathews Local SD</t>
  </si>
  <si>
    <t>Southington Local SD</t>
  </si>
  <si>
    <t>Warren City SD</t>
  </si>
  <si>
    <t>Weathersfield Local SD</t>
  </si>
  <si>
    <t>Claymont City SD</t>
  </si>
  <si>
    <t>Dover City SD</t>
  </si>
  <si>
    <t>Garaway Local SD</t>
  </si>
  <si>
    <t>Indian Valley Local SD</t>
  </si>
  <si>
    <t>New Philadelphia City SD</t>
  </si>
  <si>
    <t>Tuscarawas Valley Local SD</t>
  </si>
  <si>
    <t>Fairbanks Local SD</t>
  </si>
  <si>
    <t>North Union Local SD</t>
  </si>
  <si>
    <t>Lincolnview Local SD</t>
  </si>
  <si>
    <t>Van Wert City SD</t>
  </si>
  <si>
    <t>Vinton County Local SD</t>
  </si>
  <si>
    <t>Carlisle Local SD</t>
  </si>
  <si>
    <t>Franklin City SD</t>
  </si>
  <si>
    <t>Little Miami Local SD</t>
  </si>
  <si>
    <t>Mason City SD</t>
  </si>
  <si>
    <t>Belpre City SD</t>
  </si>
  <si>
    <t>Frontier Local SD</t>
  </si>
  <si>
    <t>Warren Local SD</t>
  </si>
  <si>
    <t>Wolf Creek Local SD</t>
  </si>
  <si>
    <t>Chippewa Local SD</t>
  </si>
  <si>
    <t>Triway Local SD</t>
  </si>
  <si>
    <t>Williams</t>
  </si>
  <si>
    <t>Stryker Local SD</t>
  </si>
  <si>
    <t>Bowling Green City SD</t>
  </si>
  <si>
    <t>Eastwood Local SD</t>
  </si>
  <si>
    <t>North Baltimore Local SD</t>
  </si>
  <si>
    <t>Northwood Local SD</t>
  </si>
  <si>
    <t>Otsego Local SD</t>
  </si>
  <si>
    <t>Wyandot</t>
  </si>
  <si>
    <t>Business</t>
  </si>
  <si>
    <t>Central</t>
  </si>
  <si>
    <t>capital</t>
  </si>
  <si>
    <t>outlay and</t>
  </si>
  <si>
    <t>debt</t>
  </si>
  <si>
    <t>principal</t>
  </si>
  <si>
    <t>Amounts</t>
  </si>
  <si>
    <t>Due within</t>
  </si>
  <si>
    <t>Due in More</t>
  </si>
  <si>
    <t>Than One Year/Tie</t>
  </si>
  <si>
    <t xml:space="preserve">to Statement of </t>
  </si>
  <si>
    <t>This Column</t>
  </si>
  <si>
    <t>Should not</t>
  </si>
  <si>
    <t>exist</t>
  </si>
  <si>
    <t xml:space="preserve">Income </t>
  </si>
  <si>
    <t>Income</t>
  </si>
  <si>
    <t>(including</t>
  </si>
  <si>
    <t>special items)</t>
  </si>
  <si>
    <t>Extraordinary/</t>
  </si>
  <si>
    <t>Miscellaneous</t>
  </si>
  <si>
    <t>in reserve for</t>
  </si>
  <si>
    <t>Inventory</t>
  </si>
  <si>
    <t>in Reserve for</t>
  </si>
  <si>
    <t>Pass-through</t>
  </si>
  <si>
    <t xml:space="preserve">Capital </t>
  </si>
  <si>
    <t xml:space="preserve">Refund of </t>
  </si>
  <si>
    <t>Prior Year's</t>
  </si>
  <si>
    <t>Refund of</t>
  </si>
  <si>
    <t>Receipts</t>
  </si>
  <si>
    <t xml:space="preserve">Adena Local SD </t>
  </si>
  <si>
    <t>Regular (1)</t>
  </si>
  <si>
    <t>Increase or</t>
  </si>
  <si>
    <t>(Decrease)</t>
  </si>
  <si>
    <t>Special Items</t>
  </si>
  <si>
    <t>Proceeds of</t>
  </si>
  <si>
    <t xml:space="preserve">Extraordinary/ </t>
  </si>
  <si>
    <t>Pupils (2)</t>
  </si>
  <si>
    <t>Pupils(2)</t>
  </si>
  <si>
    <t>In / (Out)</t>
  </si>
  <si>
    <t xml:space="preserve">Extraordinary </t>
  </si>
  <si>
    <t>Item</t>
  </si>
  <si>
    <t>Extraordinary</t>
  </si>
  <si>
    <t>Earnings on</t>
  </si>
  <si>
    <t xml:space="preserve">Northwest Local SD    </t>
  </si>
  <si>
    <t>(Continued)</t>
  </si>
  <si>
    <t>Governmental Fund Expenditures - Modified Accrual Basis of Accounting</t>
  </si>
  <si>
    <t>Revenues,</t>
  </si>
  <si>
    <t>Debt</t>
  </si>
  <si>
    <t>Sources, and</t>
  </si>
  <si>
    <t>Issued (2)</t>
  </si>
  <si>
    <t xml:space="preserve">Darke </t>
  </si>
  <si>
    <t>Coventry Local SD</t>
  </si>
  <si>
    <t>Manchester Local SD</t>
  </si>
  <si>
    <t>Niles City SD</t>
  </si>
  <si>
    <t>Salem City SD</t>
  </si>
  <si>
    <t>New Albany-Plain Local SD</t>
  </si>
  <si>
    <t xml:space="preserve"> Taxes (1)</t>
  </si>
  <si>
    <t>Dalton Local SD</t>
  </si>
  <si>
    <t>College Corner Local SD (CASH)</t>
  </si>
  <si>
    <t>Columbus Grove Local SD (CASH)</t>
  </si>
  <si>
    <t>Marietta City SD (CASH)</t>
  </si>
  <si>
    <t>Millcreek-West Unity Local SD (CASH)</t>
  </si>
  <si>
    <t>Old Fort Local SD (CASH)</t>
  </si>
  <si>
    <t>Franklin Monroe Local SD (CASH)</t>
  </si>
  <si>
    <t>Fort Frye Local SD (CASH)</t>
  </si>
  <si>
    <t>Alexander Local SD (CASH)</t>
  </si>
  <si>
    <t>Carey Ex Vill SD (CASH)</t>
  </si>
  <si>
    <t>Celina City SD (CASH)</t>
  </si>
  <si>
    <t>Evergreen Local SD (CASH)</t>
  </si>
  <si>
    <t>Fairlawn Local SD (CASH)</t>
  </si>
  <si>
    <t>Mohawk Local SD (CASH)</t>
  </si>
  <si>
    <t>Wickliffe City SD (CASH)</t>
  </si>
  <si>
    <t>Wooster City SD</t>
  </si>
  <si>
    <t>Transfers and</t>
  </si>
  <si>
    <t>Other Financing</t>
  </si>
  <si>
    <t>Fairborn City SD</t>
  </si>
  <si>
    <t>`</t>
  </si>
  <si>
    <t>Switzerland of Ohio Local SD</t>
  </si>
  <si>
    <t>Springfield City SD</t>
  </si>
  <si>
    <t>Lakewood Local  SD</t>
  </si>
  <si>
    <t>Norwood City SD</t>
  </si>
  <si>
    <t>Ravenna City SD</t>
  </si>
  <si>
    <t>South Central Local SD</t>
  </si>
  <si>
    <t xml:space="preserve">Bay Village City SD </t>
  </si>
  <si>
    <t>OCBOA</t>
  </si>
  <si>
    <t xml:space="preserve">Southwest Licking Local SD </t>
  </si>
  <si>
    <t xml:space="preserve">Big Walnut Local SD </t>
  </si>
  <si>
    <t xml:space="preserve">Buckeye Valley Local SD </t>
  </si>
  <si>
    <t xml:space="preserve">Keystone Local SD </t>
  </si>
  <si>
    <t>McDonald Local SD</t>
  </si>
  <si>
    <t xml:space="preserve">Berkshire Local SD </t>
  </si>
  <si>
    <t>Mississinawa Valley Local SD  (CASH)</t>
  </si>
  <si>
    <t xml:space="preserve">Gahanna-Jefferson City SD </t>
  </si>
  <si>
    <t xml:space="preserve">Gallia County Local SD </t>
  </si>
  <si>
    <t>Geneva Area City SD</t>
  </si>
  <si>
    <t xml:space="preserve">Fremont City SD </t>
  </si>
  <si>
    <t xml:space="preserve">Southern Local SD </t>
  </si>
  <si>
    <t>Waynesfield-Goshen Local SD  (CASH)</t>
  </si>
  <si>
    <t>Bluffton Ex Vill SD (OCBOA)</t>
  </si>
  <si>
    <t xml:space="preserve">Campbell City SD </t>
  </si>
  <si>
    <t xml:space="preserve">Cardinal Local SD </t>
  </si>
  <si>
    <t xml:space="preserve">Cedar Cliff Local SD </t>
  </si>
  <si>
    <t xml:space="preserve">Centerburg Local SD </t>
  </si>
  <si>
    <t xml:space="preserve">Centerville City SD </t>
  </si>
  <si>
    <t>Cleveland Heights-University Heights City SD</t>
  </si>
  <si>
    <t>Cincinnati City SD/Cincinnati Public SD</t>
  </si>
  <si>
    <t>Clermont Northeastern Local SD</t>
  </si>
  <si>
    <t>Coldwater Exempted Village SD (CASH)</t>
  </si>
  <si>
    <t>Crestview Local SD (CASH)</t>
  </si>
  <si>
    <t xml:space="preserve">Cuyahoga Falls City SD </t>
  </si>
  <si>
    <t>Danville Local SD (CASH)</t>
  </si>
  <si>
    <t>Deer Park City SD</t>
  </si>
  <si>
    <t>Defiance City SD (CASH)</t>
  </si>
  <si>
    <t>East Knox Local SD (CASH)</t>
  </si>
  <si>
    <t>Eastern Local SD (CASH)</t>
  </si>
  <si>
    <t>Edgerton Local SD (CASH)</t>
  </si>
  <si>
    <t xml:space="preserve">Edgewood City SD </t>
  </si>
  <si>
    <t>Elida Local SD (CASH)</t>
  </si>
  <si>
    <t>Fredericktown Local SD (CASH)</t>
  </si>
  <si>
    <t>Georgetown Exempted Village SD (CASH)</t>
  </si>
  <si>
    <t>Granville Exempted Village SD</t>
  </si>
  <si>
    <t>Hicksville Ex Vill SD  (CASH)</t>
  </si>
  <si>
    <t>Jackson Center Local SD (CASH)</t>
  </si>
  <si>
    <t xml:space="preserve">Ashtabula Area City SD </t>
  </si>
  <si>
    <t>Arcanum Butler Local SD (CASH)</t>
  </si>
  <si>
    <t>Bath Local SD (CASH)</t>
  </si>
  <si>
    <t>Bradford Ex Vill SD (cash) Two year audit</t>
  </si>
  <si>
    <t>Bettsville Local SD (CASH)</t>
  </si>
  <si>
    <t xml:space="preserve">Brookfield Local SD </t>
  </si>
  <si>
    <t>Bryan City SD (CASH)</t>
  </si>
  <si>
    <t xml:space="preserve">Buckeye Local SD </t>
  </si>
  <si>
    <t>Continental Local SD (CASH) Two year Audit</t>
  </si>
  <si>
    <t>Bradford Ex Vill SD (CASH) Two year audit</t>
  </si>
  <si>
    <t>Fairport Harbor Ex Vill SD - Two Year Audit</t>
  </si>
  <si>
    <t>Eaton Community SD</t>
  </si>
  <si>
    <t xml:space="preserve">Elgin Local SD </t>
  </si>
  <si>
    <t xml:space="preserve">Garfield Heights City SD </t>
  </si>
  <si>
    <t>Jackson City SD (CASH)</t>
  </si>
  <si>
    <t xml:space="preserve">Jefferson Township Local SD </t>
  </si>
  <si>
    <t>Leipsic Local SD (CASH)</t>
  </si>
  <si>
    <t>Lima City School District (CASH)</t>
  </si>
  <si>
    <t>Loudonville-Perrysville Exempted Village SD</t>
  </si>
  <si>
    <t xml:space="preserve">Lowellville Local SD </t>
  </si>
  <si>
    <t>Marion Local SD (CASH)</t>
  </si>
  <si>
    <t>Pandora-Gilboa Local SD (CASH)  (Two year Audit)</t>
  </si>
  <si>
    <t>Parkway Local SD (CASH) (Two year Audit)</t>
  </si>
  <si>
    <t>Perry Local SD (CASH)</t>
  </si>
  <si>
    <t>Preble Shawnee Local SD (CASH)</t>
  </si>
  <si>
    <t>Tri-Village Local SD (CASH)</t>
  </si>
  <si>
    <t>Ansonia Local SD (CASH)</t>
  </si>
  <si>
    <t>Elmwood Local SD (CASH)</t>
  </si>
  <si>
    <t>Kirtland Local SD (CASH)</t>
  </si>
  <si>
    <t xml:space="preserve">Madison Plains Local SD </t>
  </si>
  <si>
    <t>Toledo School for the Arts</t>
  </si>
  <si>
    <t>Twin Valley Community Local SD (CASH)</t>
  </si>
  <si>
    <t>Upper Scioto Valley Local SD (CASH)</t>
  </si>
  <si>
    <t>Valley Local SD (CASH)</t>
  </si>
  <si>
    <t>Gorham Fayette Local SD - name changed to Fayette Local.  See below</t>
  </si>
  <si>
    <t>Vanlue Local SD (CASH)</t>
  </si>
  <si>
    <t>Versailles Exempted Village SD (CASH)</t>
  </si>
  <si>
    <t>Shawnee Local SD (CASH)</t>
  </si>
  <si>
    <t>Southern Local SD (CASH)</t>
  </si>
  <si>
    <t>Springboro Community City SD (CASH)</t>
  </si>
  <si>
    <t>Spencerville Local SD (CASH)</t>
  </si>
  <si>
    <t>St Henry Consolidated Local SD (CASH)</t>
  </si>
  <si>
    <t>St Marys City SD (CASH)</t>
  </si>
  <si>
    <t>Strasburg-Franklin Local SD (CASH)</t>
  </si>
  <si>
    <t>New Knoxville Local SD (CASH)</t>
  </si>
  <si>
    <t>West Carrollton City SD</t>
  </si>
  <si>
    <t>Wayne Local SD (CASH)</t>
  </si>
  <si>
    <t xml:space="preserve">North College Hill City SD </t>
  </si>
  <si>
    <t>Ottawa-Glandorf Local SD (CASH)</t>
  </si>
  <si>
    <t xml:space="preserve">Mad River Local SD </t>
  </si>
  <si>
    <t xml:space="preserve">Mt. Healthy City SD </t>
  </si>
  <si>
    <t xml:space="preserve">Ridgemont Local SD </t>
  </si>
  <si>
    <t xml:space="preserve">Rocky River City SD </t>
  </si>
  <si>
    <t xml:space="preserve">Ross Local SD </t>
  </si>
  <si>
    <t xml:space="preserve">Shaker Heights City SD </t>
  </si>
  <si>
    <t xml:space="preserve">Springfield Local SD </t>
  </si>
  <si>
    <t xml:space="preserve">Talawanda City SD </t>
  </si>
  <si>
    <t xml:space="preserve">Crestwood Local SD </t>
  </si>
  <si>
    <t xml:space="preserve">Cuyahoga Heights Local SD </t>
  </si>
  <si>
    <t xml:space="preserve">Field Local SD </t>
  </si>
  <si>
    <t xml:space="preserve">Kings Local SD  </t>
  </si>
  <si>
    <t xml:space="preserve">Maple Heights City SD </t>
  </si>
  <si>
    <t xml:space="preserve">Mayfield City SD </t>
  </si>
  <si>
    <t xml:space="preserve">Poland Local SD </t>
  </si>
  <si>
    <t xml:space="preserve">Three Rivers Local SD </t>
  </si>
  <si>
    <t xml:space="preserve">Toronto City SD  </t>
  </si>
  <si>
    <t>In some instances, numbers were rounded on the financial statements.</t>
  </si>
  <si>
    <t xml:space="preserve"> In some instances, numbers were rounded on the financial statements.</t>
  </si>
  <si>
    <t>As of June 30, 2011</t>
  </si>
  <si>
    <t>For the Fiscal Year Ended June 30, 2011</t>
  </si>
  <si>
    <t xml:space="preserve">Lebanon City SD (CASH) </t>
  </si>
  <si>
    <t xml:space="preserve">Madison Local SD (CASH)  </t>
  </si>
  <si>
    <t>Adult/Continuing</t>
  </si>
  <si>
    <t>Nonspendable</t>
  </si>
  <si>
    <t>Committed</t>
  </si>
  <si>
    <t>Assigned</t>
  </si>
  <si>
    <t>Unassigned</t>
  </si>
  <si>
    <t>still cash for 2010</t>
  </si>
  <si>
    <t>2010 Cash</t>
  </si>
  <si>
    <t>Formally Sugarcreek LSD.  Now Bellbrook-Sugarcreek LSD.  Totals pulled from AOS website.</t>
  </si>
  <si>
    <t>some amounts rounded on statements</t>
  </si>
  <si>
    <t>numbers rounded</t>
  </si>
  <si>
    <t>no report for 2010</t>
  </si>
  <si>
    <t>some numbers rounded</t>
  </si>
  <si>
    <t>some numbers are rounded</t>
  </si>
  <si>
    <t>cash for 2010</t>
  </si>
  <si>
    <t>Name change in 2008 to drop Gorham.  See Fayette Local above.</t>
  </si>
  <si>
    <t>Totals pulled from AOS website.</t>
  </si>
  <si>
    <t>Still cash for 2010</t>
  </si>
  <si>
    <t>Name changed in 2007 - now RIVERSIDE LOCAL SCHOOL DISTRICT.  See below</t>
  </si>
  <si>
    <t>Cash for 2010</t>
  </si>
  <si>
    <t>Did Not File</t>
  </si>
  <si>
    <t>Community School</t>
  </si>
  <si>
    <t>Not included in AFR's box.  Community School District</t>
  </si>
  <si>
    <t>Did not file.  Cash in 2010</t>
  </si>
  <si>
    <t>Bellbrook-Sugarcreek Local SD</t>
  </si>
  <si>
    <t>Central Local SD (CASH)</t>
  </si>
  <si>
    <t>Chardon Local SD (CASH)</t>
  </si>
  <si>
    <t>Oak Hill Union Local SD (CASH)</t>
  </si>
  <si>
    <t>some numbers were rounded on report</t>
  </si>
  <si>
    <t>Northwestern Local SD (CASH)</t>
  </si>
  <si>
    <t>Program revenue not broken out</t>
  </si>
  <si>
    <t>instruction and support services are not broken out</t>
  </si>
  <si>
    <t>instruction is not broken out</t>
  </si>
  <si>
    <t>Instruction is not broken out</t>
  </si>
  <si>
    <t>instruction are not broken out</t>
  </si>
  <si>
    <t>instruction not broken out</t>
  </si>
  <si>
    <t>Instruction not broken out</t>
  </si>
  <si>
    <t>Within 1 Yr</t>
  </si>
  <si>
    <t>St of Act GA Rev</t>
  </si>
  <si>
    <t>St of Act GA Exp</t>
  </si>
  <si>
    <t>St of Act GA Exp to St of Act GA Rev</t>
  </si>
  <si>
    <t>St of Act GA</t>
  </si>
  <si>
    <t>St of Act GA Rev to St of Act GA</t>
  </si>
  <si>
    <t>county</t>
  </si>
  <si>
    <t>here</t>
  </si>
  <si>
    <t>St of Act - GA Exp</t>
  </si>
  <si>
    <t>Gen Fund - BS</t>
  </si>
  <si>
    <t>Gen Rev</t>
  </si>
  <si>
    <t>Gen Exp</t>
  </si>
  <si>
    <t>Gov Fund - BS</t>
  </si>
  <si>
    <t>General Fund Rev</t>
  </si>
  <si>
    <t>Govt Fund Exp</t>
  </si>
  <si>
    <t>Other (3)</t>
  </si>
  <si>
    <t>Retirement (4)</t>
  </si>
  <si>
    <t>St of Act - GA Exp county</t>
  </si>
  <si>
    <t>Gen Fund - BS county</t>
  </si>
  <si>
    <t>here 1st</t>
  </si>
  <si>
    <t>here 2nd</t>
  </si>
  <si>
    <t>county 1st</t>
  </si>
  <si>
    <t>county 2nd</t>
  </si>
  <si>
    <t>Gen Rev county</t>
  </si>
  <si>
    <t>Gen Exp county</t>
  </si>
  <si>
    <t>Gov Fund - BS county</t>
  </si>
  <si>
    <t>General Fund Rev county</t>
  </si>
  <si>
    <t>Govt Fund Exp county</t>
  </si>
  <si>
    <t>Cash for 2011</t>
  </si>
  <si>
    <t>Danbury Local SD (CASH)</t>
  </si>
  <si>
    <t>still cash for 2010 &amp; 2011</t>
  </si>
  <si>
    <t>Delaware City SD</t>
  </si>
  <si>
    <t>Federal Hocking Local SD</t>
  </si>
  <si>
    <t>Liberty Union-Thurston Local SD</t>
  </si>
  <si>
    <t>Report provided does not balance.  Pulled Balanced Report from AOS.</t>
  </si>
  <si>
    <t>some numbers are rounded on previous tabs - and report provided does not balance.  Pulled Balanced Report from AOS.</t>
  </si>
  <si>
    <t>Report provided is partially the same totals as 2010.  Pulled correct filed report from AOS.</t>
  </si>
  <si>
    <t>some combined totals</t>
  </si>
  <si>
    <t>Edon-Northwest Local SD (CASH)</t>
  </si>
  <si>
    <t>no filing for 2011</t>
  </si>
  <si>
    <t>Fayette Local SD (CASH)</t>
  </si>
  <si>
    <t>Report provided does not balance on all statements.  Pulled Balanced Report from AOS.</t>
  </si>
  <si>
    <t>combine with debt</t>
  </si>
  <si>
    <t>pulled from AOS</t>
  </si>
  <si>
    <t>for 2010 and 2011 - AOS is reflecting CASH statements - while boxes are reflecting GAAP</t>
  </si>
  <si>
    <t>Fostoria City SD (CASH)</t>
  </si>
  <si>
    <t>cash for 2010 &amp; still for 2011</t>
  </si>
  <si>
    <t>Totals provided on report are the same totals as 2010.  Report for 2011 is NOT on AOS yet.</t>
  </si>
  <si>
    <t>Gibsonburg Exempted Village SD</t>
  </si>
  <si>
    <t xml:space="preserve">Amherst Exempted Village SD </t>
  </si>
  <si>
    <t>Barnesville Exempted Village SD</t>
  </si>
  <si>
    <t>Bridgeport Exempted Village SD</t>
  </si>
  <si>
    <t>Caldwell Exempted Village SD</t>
  </si>
  <si>
    <t>Carrollton Exempted Village SD</t>
  </si>
  <si>
    <t>Chagrin Falls Exempted Village SD</t>
  </si>
  <si>
    <t>Chesapeake Union Exempted Village SD</t>
  </si>
  <si>
    <t>Clyde-Green Springs Exempted Village SD</t>
  </si>
  <si>
    <t>Columbiana Exempted Village SD</t>
  </si>
  <si>
    <t>Covington Exempted Village SD</t>
  </si>
  <si>
    <t>Crooksville Exempted Village SD</t>
  </si>
  <si>
    <t>Greenfield Exempted Village SD</t>
  </si>
  <si>
    <t>Hubbard Exempted Village SD</t>
  </si>
  <si>
    <t>Indian Hill Exempted Village SD</t>
  </si>
  <si>
    <t>Leetonia Exempted Village SD (CASH)</t>
  </si>
  <si>
    <t>Fort Recovery Local SD (CASH)</t>
  </si>
  <si>
    <t>National Trail Local SD (CASH)</t>
  </si>
  <si>
    <t>Lisbon Exempted Village SD</t>
  </si>
  <si>
    <t>Marysville Exempted Village SD</t>
  </si>
  <si>
    <t>Mechanicsburg Exempted Village SD</t>
  </si>
  <si>
    <t>Mentor Exempted Village SD</t>
  </si>
  <si>
    <t>Milford Exempted Village SD</t>
  </si>
  <si>
    <t>Mount Gilead Exempted Village SD</t>
  </si>
  <si>
    <t>New Richmond Exempted Village SD</t>
  </si>
  <si>
    <t>Newcomerstown Exempted Village SD</t>
  </si>
  <si>
    <t>Newton Falls Exempted Village SD</t>
  </si>
  <si>
    <t>Paulding Exempted Village SD (CASH)</t>
  </si>
  <si>
    <t>Perrysburg Exempted Village SD</t>
  </si>
  <si>
    <t>Rossford Exempted Village SD</t>
  </si>
  <si>
    <t>Tipp City Exempted Village SD</t>
  </si>
  <si>
    <t>Upper Sandusky Exempted Village SD (CASH)</t>
  </si>
  <si>
    <t>Wauseon Exempted Village SD</t>
  </si>
  <si>
    <t>Wellington Exempted Village SD</t>
  </si>
  <si>
    <t>Windham Exempted Village SD</t>
  </si>
  <si>
    <t>Yellow Springs Exempted Village SD</t>
  </si>
  <si>
    <t>Painesville Township Local SD - now RIVERSIDE LOCAL SCHOOL DISTRICT since 2007</t>
  </si>
  <si>
    <t>Pettisville Local SD</t>
  </si>
  <si>
    <t>Brecksville-Broadview Heights City SD</t>
  </si>
  <si>
    <t>St. Bernard-Elmwood Place City SD</t>
  </si>
  <si>
    <t>St. Clairsville-Richland City SD</t>
  </si>
  <si>
    <t>Adams County/Ohio Valley Local SD</t>
  </si>
  <si>
    <t>Sheffield-Sheffield Lake City SD</t>
  </si>
  <si>
    <t>Gorham Fayette Local SD - name changed to Fayette Local.  See above</t>
  </si>
  <si>
    <t>no report - but Cash for 2011</t>
  </si>
  <si>
    <t>Graham Local SD (CASH)</t>
  </si>
  <si>
    <t>2011 Cash</t>
  </si>
  <si>
    <t>still cash for 2010 and 2011</t>
  </si>
  <si>
    <t>Berne Union Local SD (CASH)</t>
  </si>
  <si>
    <t>Bright Local SD (CASH)</t>
  </si>
  <si>
    <t>officially a Community School in 2011</t>
  </si>
  <si>
    <t>Buckeye Online School for Success (now Community School)</t>
  </si>
  <si>
    <t>Indian Lake Local SD (CASH)</t>
  </si>
  <si>
    <t xml:space="preserve">Jennings Local SD (CASH) </t>
  </si>
  <si>
    <t>still cash for 2010 and 2011 (pulled 2011 from AOS)</t>
  </si>
  <si>
    <t>2010 Cash and 2011</t>
  </si>
  <si>
    <t>Lake Local SD (CASH)</t>
  </si>
  <si>
    <t>pulled balanced Balance Sheet from AOS</t>
  </si>
  <si>
    <t>Lakota Local SD (CASH)</t>
  </si>
  <si>
    <t>still cash for 2010 &amp; 2011 (pulled 2011 from AOS)</t>
  </si>
  <si>
    <t>added for 2010(CASH).  Still cash for 2011</t>
  </si>
  <si>
    <t>Lexington Local SD (CASH)</t>
  </si>
  <si>
    <t>Fund Balances not broken out for GASB 54</t>
  </si>
  <si>
    <t>Liberty Benton Local SD</t>
  </si>
  <si>
    <t>still cash for 2010 &amp; &amp; 2011 (pulled 2011 from AOS)</t>
  </si>
  <si>
    <t>Lockland Local SD (CASH)</t>
  </si>
  <si>
    <t>pulled final report from AOS</t>
  </si>
  <si>
    <t>Lucas Local SD</t>
  </si>
  <si>
    <t>Hamilton Local SD</t>
  </si>
  <si>
    <t>Wayne Trace Local SD (CASH)</t>
  </si>
  <si>
    <t>school website still has hyphen</t>
  </si>
  <si>
    <t>Anna Local SD</t>
  </si>
  <si>
    <t>2010 Cash and 2011 Cash on AOS - BUT gaap report in box</t>
  </si>
  <si>
    <t>Manchester Local SD (CASH)</t>
  </si>
  <si>
    <t>added for 2011 (CASH)</t>
  </si>
  <si>
    <t>McComb Local SD (CASH)</t>
  </si>
  <si>
    <t>pulled balanced report from AOS</t>
  </si>
  <si>
    <t>Miller City-New Cleveland Local (Two year Audit - CASH)</t>
  </si>
  <si>
    <t>Milton-Union Exempted Village SD (CASH)</t>
  </si>
  <si>
    <t>per note from Treasurer on report in box - pulled updated report from AOS</t>
  </si>
  <si>
    <t>Montpelier Exempted Village SD (CASH)</t>
  </si>
  <si>
    <t>added for 2010 - but Cash.  Still Cash for 2011</t>
  </si>
  <si>
    <t>New Lexington City SD (CASH)</t>
  </si>
  <si>
    <t>New Riegel Local SD (CASH)</t>
  </si>
  <si>
    <t>Newton Local SD (CASH)</t>
  </si>
  <si>
    <t>Middle Bass Local SD (Two year Audit - CASH)</t>
  </si>
  <si>
    <t>North Bass Local SD (Two year Audit - CASH)</t>
  </si>
  <si>
    <t>North Central Local SD (CASH)</t>
  </si>
  <si>
    <t>report in box not complete - pulled from AOS</t>
  </si>
  <si>
    <t>Northeastern Local SD (CASH)</t>
  </si>
  <si>
    <t>Northern Local SD (CASH)</t>
  </si>
  <si>
    <t>No Report in Box in 2010 and 2011 - pulled from AOS</t>
  </si>
  <si>
    <t>Report in Box not complete - pulled complete report from AOS</t>
  </si>
  <si>
    <t>Norwayne Local SD (CASH)</t>
  </si>
  <si>
    <t>Report in Box not balanced - pulled balanced report from AOS</t>
  </si>
  <si>
    <t>Orrville City SD (CASH)</t>
  </si>
  <si>
    <t>No report in box. Pulled from AOS - but still cash.  Still cash for 2010 &amp; 2011.</t>
  </si>
  <si>
    <t>No report in box.  Per Terri Scott - this school did not file in 2011 or 2012.  In 2009 and 2010, they were CASH and based on AOS, they appear to be a 2 year Audit.</t>
  </si>
  <si>
    <t>Ottoville Local SD (NO REPORT) (Two year Audit)</t>
  </si>
  <si>
    <t>Painesville City Local SD (CASH)</t>
  </si>
  <si>
    <t>No report in box. Pulled from AOS.</t>
  </si>
  <si>
    <t>Report not in box.  Terri Scott had copy - Cash.  Still cash for 2010 and 2011</t>
  </si>
  <si>
    <t>Still cash for 2010 and 2011</t>
  </si>
  <si>
    <t>Filed Gaap and Cash in 2010.   Only Cash in 2011.</t>
  </si>
  <si>
    <t>Pike-Delta-York Local SD (CASH)</t>
  </si>
  <si>
    <t>Port Clinton City SD (CASH)</t>
  </si>
  <si>
    <t>Put-in-Bay Local SD (CASH) (Two year Audit)</t>
  </si>
  <si>
    <t>added for 2011 - but Cash.</t>
  </si>
  <si>
    <t>Pymatuning Valley Local SD (CASH)</t>
  </si>
  <si>
    <t>Report in box is not correct.  Some totals are 2010 totals.  NO report on AOS yet.  No alternate report with Terri at 88.</t>
  </si>
  <si>
    <t>not a "Community School".  This is a 'regular' school who happens to have 'community' in its name.   See AOS website and School's website</t>
  </si>
  <si>
    <t>Reynoldsburg City SD (CASH)</t>
  </si>
  <si>
    <t>Ripley Union Lewis Huntington Local SD (CASH)</t>
  </si>
  <si>
    <t>Rittman Exempted Village SD (CASH)</t>
  </si>
  <si>
    <t>Riverdale Local SD (CASH)</t>
  </si>
  <si>
    <t>Report in box is not balanced.  NO report on AOS yet.</t>
  </si>
  <si>
    <t>Still cash for 2011</t>
  </si>
  <si>
    <t>Cash Basis  2011</t>
  </si>
  <si>
    <t>Southwest Licking Local SD  (CASH)</t>
  </si>
  <si>
    <t>Southwest Licking Local SD (CASH)</t>
  </si>
  <si>
    <t xml:space="preserve">Springboro Community City SD </t>
  </si>
  <si>
    <t>Van Wert City SD (CASH)</t>
  </si>
  <si>
    <t>CASH 2011</t>
  </si>
  <si>
    <t>.</t>
  </si>
  <si>
    <t>not in box</t>
  </si>
  <si>
    <t>Crestline Exempted Village SD (CASH)</t>
  </si>
  <si>
    <t>Genoa Area Local SD (CASH)</t>
  </si>
  <si>
    <t>2011 cash</t>
  </si>
  <si>
    <t>Sidney City SD (CASH)</t>
  </si>
  <si>
    <t>Sycamore Community SD</t>
  </si>
  <si>
    <t>Triway Local SD (CASH)</t>
  </si>
  <si>
    <t>Union Local SD (CASH)</t>
  </si>
  <si>
    <t>Liabilities (continued)</t>
  </si>
  <si>
    <t>General Revenues -</t>
  </si>
  <si>
    <t>Governmental Activities</t>
  </si>
  <si>
    <t>Governmental Activities (Continued)</t>
  </si>
  <si>
    <t>Adult/</t>
  </si>
  <si>
    <t>Continuing</t>
  </si>
  <si>
    <t>Support</t>
  </si>
  <si>
    <t>Support Services (continued)</t>
  </si>
  <si>
    <t>Decrease</t>
  </si>
  <si>
    <t>(Increase)/</t>
  </si>
  <si>
    <t>Fund Balances</t>
  </si>
  <si>
    <t>Springboro Community City SD</t>
  </si>
  <si>
    <t>Total Long-Term</t>
  </si>
  <si>
    <t xml:space="preserve"> Taxes</t>
  </si>
  <si>
    <t>Issued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</si>
</sst>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5" formatCode="&quot;$&quot;#,##0_);\(&quot;$&quot;#,##0\)"/>
    <numFmt numFmtId="164" formatCode="0_);\(0\)"/>
  </numFmts>
  <fonts count="18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b/>
      <sz val="9"/>
      <color indexed="9"/>
      <name val="Times New Roman"/>
      <family val="1"/>
    </font>
    <font>
      <i/>
      <sz val="9"/>
      <name val="Times New Roman"/>
      <family val="1"/>
    </font>
    <font>
      <sz val="9"/>
      <color indexed="10"/>
      <name val="Times New Roman"/>
      <family val="1"/>
    </font>
    <font>
      <sz val="9"/>
      <name val="MS Outlook"/>
      <charset val="2"/>
    </font>
    <font>
      <sz val="10"/>
      <name val="Arial"/>
      <family val="2"/>
    </font>
    <font>
      <sz val="9"/>
      <color rgb="FF00B0F0"/>
      <name val="Times New Roman"/>
      <family val="1"/>
    </font>
    <font>
      <sz val="9"/>
      <name val="Arial"/>
      <family val="2"/>
    </font>
    <font>
      <sz val="7.5"/>
      <name val="Times New Roman"/>
      <family val="1"/>
    </font>
    <font>
      <u/>
      <sz val="9"/>
      <name val="Arial"/>
      <family val="2"/>
    </font>
    <font>
      <b/>
      <sz val="9"/>
      <color rgb="FFFF0000"/>
      <name val="Times New Roman"/>
      <family val="1"/>
    </font>
    <font>
      <sz val="9"/>
      <color rgb="FFFFFF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0"/>
      </bottom>
      <diagonal/>
    </border>
  </borders>
  <cellStyleXfs count="11">
    <xf numFmtId="0" fontId="0" fillId="0" borderId="0">
      <alignment vertical="top"/>
    </xf>
    <xf numFmtId="4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5" fontId="11" fillId="0" borderId="0" applyFont="0" applyFill="0" applyBorder="0" applyAlignment="0" applyProtection="0"/>
    <xf numFmtId="14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0" fontId="1" fillId="0" borderId="0" applyNumberFormat="0" applyFont="0" applyFill="0" applyAlignment="0" applyProtection="0"/>
    <xf numFmtId="0" fontId="2" fillId="0" borderId="0" applyNumberFormat="0" applyFont="0" applyFill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10" fontId="11" fillId="0" borderId="0" applyFont="0" applyFill="0" applyBorder="0" applyAlignment="0" applyProtection="0"/>
    <xf numFmtId="0" fontId="11" fillId="0" borderId="1" applyNumberFormat="0" applyFont="0" applyBorder="0" applyAlignment="0" applyProtection="0"/>
  </cellStyleXfs>
  <cellXfs count="117">
    <xf numFmtId="0" fontId="0" fillId="0" borderId="0" xfId="0" applyAlignment="1"/>
    <xf numFmtId="37" fontId="6" fillId="0" borderId="3" xfId="0" applyNumberFormat="1" applyFont="1" applyFill="1" applyBorder="1" applyAlignment="1">
      <alignment horizontal="center"/>
    </xf>
    <xf numFmtId="37" fontId="6" fillId="0" borderId="0" xfId="0" applyNumberFormat="1" applyFont="1" applyFill="1" applyBorder="1" applyAlignment="1">
      <alignment horizontal="right"/>
    </xf>
    <xf numFmtId="3" fontId="6" fillId="0" borderId="0" xfId="0" applyNumberFormat="1" applyFont="1" applyFill="1" applyBorder="1" applyAlignment="1">
      <alignment horizontal="center"/>
    </xf>
    <xf numFmtId="37" fontId="6" fillId="0" borderId="0" xfId="0" applyNumberFormat="1" applyFont="1" applyFill="1" applyBorder="1" applyAlignment="1">
      <alignment horizontal="center"/>
    </xf>
    <xf numFmtId="3" fontId="6" fillId="0" borderId="2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Alignment="1"/>
    <xf numFmtId="37" fontId="6" fillId="0" borderId="0" xfId="0" applyNumberFormat="1" applyFont="1" applyFill="1" applyAlignment="1"/>
    <xf numFmtId="37" fontId="6" fillId="0" borderId="0" xfId="0" applyNumberFormat="1" applyFont="1" applyFill="1" applyAlignment="1">
      <alignment horizontal="right"/>
    </xf>
    <xf numFmtId="0" fontId="6" fillId="0" borderId="0" xfId="0" applyFont="1" applyFill="1" applyAlignment="1"/>
    <xf numFmtId="37" fontId="6" fillId="0" borderId="0" xfId="0" applyNumberFormat="1" applyFont="1" applyFill="1" applyBorder="1" applyAlignment="1"/>
    <xf numFmtId="0" fontId="6" fillId="0" borderId="0" xfId="0" applyFont="1" applyFill="1">
      <alignment vertical="top"/>
    </xf>
    <xf numFmtId="37" fontId="6" fillId="0" borderId="0" xfId="0" applyNumberFormat="1" applyFont="1" applyFill="1">
      <alignment vertical="top"/>
    </xf>
    <xf numFmtId="37" fontId="6" fillId="0" borderId="0" xfId="2" applyNumberFormat="1" applyFont="1" applyFill="1" applyBorder="1" applyAlignment="1">
      <alignment horizontal="right"/>
    </xf>
    <xf numFmtId="37" fontId="5" fillId="0" borderId="0" xfId="0" applyNumberFormat="1" applyFont="1" applyFill="1" applyAlignment="1"/>
    <xf numFmtId="37" fontId="6" fillId="0" borderId="0" xfId="0" applyNumberFormat="1" applyFont="1" applyFill="1" applyAlignment="1">
      <alignment horizontal="center"/>
    </xf>
    <xf numFmtId="37" fontId="5" fillId="0" borderId="0" xfId="0" applyNumberFormat="1" applyFont="1" applyFill="1" applyBorder="1" applyAlignment="1">
      <alignment horizontal="right"/>
    </xf>
    <xf numFmtId="37" fontId="6" fillId="0" borderId="2" xfId="0" applyNumberFormat="1" applyFont="1" applyFill="1" applyBorder="1" applyAlignment="1">
      <alignment horizontal="centerContinuous"/>
    </xf>
    <xf numFmtId="0" fontId="6" fillId="0" borderId="0" xfId="0" applyFont="1" applyFill="1" applyAlignment="1">
      <alignment horizontal="center"/>
    </xf>
    <xf numFmtId="37" fontId="6" fillId="0" borderId="0" xfId="2" applyNumberFormat="1" applyFont="1" applyFill="1" applyBorder="1"/>
    <xf numFmtId="37" fontId="7" fillId="0" borderId="0" xfId="0" applyNumberFormat="1" applyFont="1" applyFill="1" applyAlignment="1"/>
    <xf numFmtId="37" fontId="5" fillId="0" borderId="0" xfId="0" applyNumberFormat="1" applyFont="1" applyFill="1" applyBorder="1" applyAlignment="1">
      <alignment horizontal="centerContinuous"/>
    </xf>
    <xf numFmtId="37" fontId="6" fillId="0" borderId="0" xfId="0" applyNumberFormat="1" applyFont="1" applyFill="1" applyBorder="1" applyAlignment="1">
      <alignment horizontal="centerContinuous"/>
    </xf>
    <xf numFmtId="37" fontId="5" fillId="0" borderId="0" xfId="0" applyNumberFormat="1" applyFont="1" applyFill="1" applyAlignment="1">
      <alignment horizontal="right"/>
    </xf>
    <xf numFmtId="37" fontId="6" fillId="0" borderId="0" xfId="0" applyNumberFormat="1" applyFont="1" applyFill="1" applyAlignment="1">
      <alignment horizontal="right" vertical="justify"/>
    </xf>
    <xf numFmtId="37" fontId="5" fillId="0" borderId="0" xfId="0" applyNumberFormat="1" applyFont="1" applyFill="1" applyBorder="1" applyAlignment="1"/>
    <xf numFmtId="37" fontId="9" fillId="0" borderId="0" xfId="0" applyNumberFormat="1" applyFont="1" applyFill="1" applyAlignment="1"/>
    <xf numFmtId="37" fontId="6" fillId="0" borderId="0" xfId="0" applyNumberFormat="1" applyFont="1" applyFill="1" applyBorder="1" applyAlignment="1">
      <alignment horizontal="right" vertical="justify"/>
    </xf>
    <xf numFmtId="164" fontId="6" fillId="0" borderId="0" xfId="0" applyNumberFormat="1" applyFont="1" applyFill="1" applyAlignment="1"/>
    <xf numFmtId="164" fontId="6" fillId="0" borderId="0" xfId="0" applyNumberFormat="1" applyFont="1" applyFill="1">
      <alignment vertical="top"/>
    </xf>
    <xf numFmtId="37" fontId="5" fillId="0" borderId="0" xfId="0" applyNumberFormat="1" applyFont="1" applyFill="1" applyAlignment="1">
      <alignment vertical="top"/>
    </xf>
    <xf numFmtId="5" fontId="6" fillId="0" borderId="0" xfId="0" applyNumberFormat="1" applyFont="1" applyFill="1">
      <alignment vertical="top"/>
    </xf>
    <xf numFmtId="5" fontId="6" fillId="0" borderId="0" xfId="0" applyNumberFormat="1" applyFont="1" applyFill="1" applyAlignment="1"/>
    <xf numFmtId="0" fontId="5" fillId="0" borderId="0" xfId="0" applyFont="1" applyFill="1" applyAlignment="1"/>
    <xf numFmtId="5" fontId="6" fillId="0" borderId="0" xfId="0" applyNumberFormat="1" applyFont="1" applyFill="1" applyBorder="1" applyAlignment="1">
      <alignment horizontal="right"/>
    </xf>
    <xf numFmtId="5" fontId="6" fillId="0" borderId="0" xfId="0" applyNumberFormat="1" applyFont="1" applyFill="1" applyAlignment="1">
      <alignment horizontal="right" vertical="justify"/>
    </xf>
    <xf numFmtId="5" fontId="6" fillId="0" borderId="0" xfId="0" applyNumberFormat="1" applyFont="1" applyFill="1" applyAlignment="1">
      <alignment horizontal="right"/>
    </xf>
    <xf numFmtId="5" fontId="6" fillId="0" borderId="0" xfId="0" applyNumberFormat="1" applyFont="1" applyFill="1" applyBorder="1" applyAlignment="1"/>
    <xf numFmtId="37" fontId="6" fillId="0" borderId="0" xfId="0" applyNumberFormat="1" applyFont="1" applyFill="1" applyAlignment="1">
      <alignment horizontal="right" vertical="justify" wrapText="1"/>
    </xf>
    <xf numFmtId="37" fontId="5" fillId="0" borderId="0" xfId="0" applyNumberFormat="1" applyFont="1" applyFill="1" applyBorder="1" applyAlignment="1">
      <alignment horizontal="left"/>
    </xf>
    <xf numFmtId="37" fontId="6" fillId="0" borderId="0" xfId="0" applyNumberFormat="1" applyFont="1" applyFill="1" applyBorder="1" applyAlignment="1">
      <alignment horizontal="left"/>
    </xf>
    <xf numFmtId="164" fontId="6" fillId="0" borderId="0" xfId="0" applyNumberFormat="1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164" fontId="5" fillId="0" borderId="0" xfId="0" applyNumberFormat="1" applyFont="1" applyFill="1" applyAlignment="1"/>
    <xf numFmtId="37" fontId="6" fillId="0" borderId="0" xfId="2" applyNumberFormat="1" applyFont="1" applyFill="1" applyBorder="1" applyAlignment="1">
      <alignment horizontal="right" vertical="justify"/>
    </xf>
    <xf numFmtId="5" fontId="6" fillId="0" borderId="0" xfId="2" applyNumberFormat="1" applyFont="1" applyFill="1" applyBorder="1" applyAlignment="1">
      <alignment horizontal="right"/>
    </xf>
    <xf numFmtId="37" fontId="8" fillId="0" borderId="0" xfId="0" applyNumberFormat="1" applyFont="1" applyFill="1" applyAlignment="1"/>
    <xf numFmtId="0" fontId="6" fillId="0" borderId="2" xfId="0" applyFont="1" applyFill="1" applyBorder="1" applyAlignment="1">
      <alignment horizontal="center"/>
    </xf>
    <xf numFmtId="37" fontId="6" fillId="0" borderId="0" xfId="0" applyNumberFormat="1" applyFont="1" applyFill="1" applyAlignment="1">
      <alignment horizontal="centerContinuous"/>
    </xf>
    <xf numFmtId="37" fontId="5" fillId="0" borderId="0" xfId="0" applyNumberFormat="1" applyFont="1" applyFill="1">
      <alignment vertical="top"/>
    </xf>
    <xf numFmtId="37" fontId="5" fillId="0" borderId="0" xfId="0" applyNumberFormat="1" applyFont="1" applyFill="1" applyAlignment="1">
      <alignment horizontal="right" vertical="justify"/>
    </xf>
    <xf numFmtId="37" fontId="5" fillId="0" borderId="0" xfId="0" applyNumberFormat="1" applyFont="1" applyFill="1" applyAlignment="1">
      <alignment horizontal="right" vertical="justify" wrapText="1"/>
    </xf>
    <xf numFmtId="5" fontId="6" fillId="0" borderId="0" xfId="0" applyNumberFormat="1" applyFont="1" applyFill="1" applyBorder="1" applyAlignment="1">
      <alignment horizontal="right" vertical="justify"/>
    </xf>
    <xf numFmtId="5" fontId="6" fillId="0" borderId="0" xfId="0" applyNumberFormat="1" applyFont="1" applyFill="1" applyAlignment="1">
      <alignment horizontal="right" vertical="justify" wrapText="1"/>
    </xf>
    <xf numFmtId="37" fontId="6" fillId="0" borderId="0" xfId="0" applyNumberFormat="1" applyFont="1" applyFill="1" applyAlignment="1">
      <alignment vertical="top"/>
    </xf>
    <xf numFmtId="37" fontId="5" fillId="0" borderId="0" xfId="0" applyNumberFormat="1" applyFont="1" applyFill="1" applyAlignment="1">
      <alignment horizontal="center"/>
    </xf>
    <xf numFmtId="0" fontId="13" fillId="0" borderId="0" xfId="0" applyFont="1" applyFill="1" applyAlignment="1"/>
    <xf numFmtId="5" fontId="13" fillId="0" borderId="0" xfId="0" applyNumberFormat="1" applyFont="1" applyFill="1" applyAlignment="1"/>
    <xf numFmtId="37" fontId="13" fillId="0" borderId="0" xfId="0" applyNumberFormat="1" applyFont="1" applyFill="1" applyAlignment="1"/>
    <xf numFmtId="37" fontId="14" fillId="0" borderId="0" xfId="0" applyNumberFormat="1" applyFont="1" applyFill="1" applyAlignment="1"/>
    <xf numFmtId="37" fontId="6" fillId="2" borderId="0" xfId="0" applyNumberFormat="1" applyFont="1" applyFill="1" applyAlignment="1"/>
    <xf numFmtId="5" fontId="6" fillId="2" borderId="0" xfId="0" applyNumberFormat="1" applyFont="1" applyFill="1" applyAlignment="1"/>
    <xf numFmtId="0" fontId="6" fillId="3" borderId="0" xfId="0" applyFont="1" applyFill="1">
      <alignment vertical="top"/>
    </xf>
    <xf numFmtId="37" fontId="6" fillId="3" borderId="0" xfId="0" applyNumberFormat="1" applyFont="1" applyFill="1">
      <alignment vertical="top"/>
    </xf>
    <xf numFmtId="164" fontId="6" fillId="3" borderId="0" xfId="0" applyNumberFormat="1" applyFont="1" applyFill="1">
      <alignment vertical="top"/>
    </xf>
    <xf numFmtId="37" fontId="6" fillId="3" borderId="0" xfId="0" applyNumberFormat="1" applyFont="1" applyFill="1" applyAlignment="1"/>
    <xf numFmtId="5" fontId="6" fillId="3" borderId="0" xfId="0" applyNumberFormat="1" applyFont="1" applyFill="1" applyAlignment="1"/>
    <xf numFmtId="37" fontId="6" fillId="3" borderId="0" xfId="0" applyNumberFormat="1" applyFont="1" applyFill="1" applyBorder="1" applyAlignment="1"/>
    <xf numFmtId="37" fontId="16" fillId="0" borderId="0" xfId="0" applyNumberFormat="1" applyFont="1" applyFill="1" applyAlignment="1"/>
    <xf numFmtId="37" fontId="9" fillId="3" borderId="0" xfId="0" applyNumberFormat="1" applyFont="1" applyFill="1" applyAlignment="1"/>
    <xf numFmtId="37" fontId="6" fillId="3" borderId="0" xfId="0" applyNumberFormat="1" applyFont="1" applyFill="1" applyAlignment="1">
      <alignment vertical="top"/>
    </xf>
    <xf numFmtId="37" fontId="6" fillId="4" borderId="0" xfId="0" applyNumberFormat="1" applyFont="1" applyFill="1">
      <alignment vertical="top"/>
    </xf>
    <xf numFmtId="164" fontId="6" fillId="4" borderId="0" xfId="0" applyNumberFormat="1" applyFont="1" applyFill="1">
      <alignment vertical="top"/>
    </xf>
    <xf numFmtId="37" fontId="6" fillId="4" borderId="0" xfId="0" applyNumberFormat="1" applyFont="1" applyFill="1" applyAlignment="1"/>
    <xf numFmtId="5" fontId="6" fillId="4" borderId="0" xfId="0" applyNumberFormat="1" applyFont="1" applyFill="1" applyAlignment="1"/>
    <xf numFmtId="0" fontId="6" fillId="5" borderId="0" xfId="0" applyFont="1" applyFill="1">
      <alignment vertical="top"/>
    </xf>
    <xf numFmtId="164" fontId="6" fillId="5" borderId="0" xfId="0" applyNumberFormat="1" applyFont="1" applyFill="1">
      <alignment vertical="top"/>
    </xf>
    <xf numFmtId="37" fontId="6" fillId="5" borderId="0" xfId="0" applyNumberFormat="1" applyFont="1" applyFill="1" applyAlignment="1"/>
    <xf numFmtId="5" fontId="6" fillId="5" borderId="0" xfId="0" applyNumberFormat="1" applyFont="1" applyFill="1" applyAlignment="1"/>
    <xf numFmtId="37" fontId="5" fillId="0" borderId="0" xfId="0" applyNumberFormat="1" applyFont="1" applyFill="1" applyAlignment="1">
      <alignment horizontal="left"/>
    </xf>
    <xf numFmtId="37" fontId="6" fillId="0" borderId="2" xfId="0" applyNumberFormat="1" applyFont="1" applyFill="1" applyBorder="1" applyAlignment="1">
      <alignment horizontal="center"/>
    </xf>
    <xf numFmtId="37" fontId="5" fillId="0" borderId="0" xfId="0" applyNumberFormat="1" applyFont="1" applyFill="1" applyAlignment="1">
      <alignment horizontal="left"/>
    </xf>
    <xf numFmtId="37" fontId="6" fillId="0" borderId="2" xfId="0" applyNumberFormat="1" applyFont="1" applyFill="1" applyBorder="1" applyAlignment="1">
      <alignment horizontal="center"/>
    </xf>
    <xf numFmtId="37" fontId="6" fillId="0" borderId="0" xfId="0" applyNumberFormat="1" applyFont="1" applyFill="1" applyAlignment="1">
      <alignment horizontal="left"/>
    </xf>
    <xf numFmtId="49" fontId="6" fillId="0" borderId="0" xfId="0" applyNumberFormat="1" applyFont="1" applyFill="1" applyAlignment="1">
      <alignment horizontal="left"/>
    </xf>
    <xf numFmtId="0" fontId="13" fillId="0" borderId="0" xfId="0" applyFont="1" applyAlignment="1"/>
    <xf numFmtId="0" fontId="13" fillId="3" borderId="0" xfId="0" applyFont="1" applyFill="1" applyAlignment="1"/>
    <xf numFmtId="0" fontId="13" fillId="4" borderId="0" xfId="0" applyFont="1" applyFill="1" applyAlignment="1"/>
    <xf numFmtId="0" fontId="13" fillId="2" borderId="0" xfId="0" applyFont="1" applyFill="1" applyAlignment="1"/>
    <xf numFmtId="0" fontId="13" fillId="5" borderId="0" xfId="0" applyFont="1" applyFill="1" applyAlignment="1"/>
    <xf numFmtId="3" fontId="6" fillId="0" borderId="0" xfId="0" applyNumberFormat="1" applyFont="1" applyFill="1" applyAlignment="1"/>
    <xf numFmtId="3" fontId="6" fillId="0" borderId="0" xfId="1" applyNumberFormat="1" applyFont="1" applyFill="1"/>
    <xf numFmtId="37" fontId="10" fillId="0" borderId="0" xfId="0" applyNumberFormat="1" applyFont="1" applyFill="1" applyAlignment="1"/>
    <xf numFmtId="37" fontId="6" fillId="0" borderId="0" xfId="0" applyNumberFormat="1" applyFont="1" applyFill="1" applyBorder="1">
      <alignment vertical="top"/>
    </xf>
    <xf numFmtId="37" fontId="5" fillId="0" borderId="0" xfId="0" applyNumberFormat="1" applyFont="1" applyFill="1" applyAlignment="1">
      <alignment horizontal="left"/>
    </xf>
    <xf numFmtId="37" fontId="6" fillId="0" borderId="2" xfId="0" applyNumberFormat="1" applyFont="1" applyFill="1" applyBorder="1" applyAlignment="1">
      <alignment horizontal="center"/>
    </xf>
    <xf numFmtId="37" fontId="6" fillId="0" borderId="0" xfId="0" applyNumberFormat="1" applyFont="1" applyFill="1" applyBorder="1" applyAlignment="1">
      <alignment horizontal="center"/>
    </xf>
    <xf numFmtId="37" fontId="6" fillId="0" borderId="0" xfId="0" applyNumberFormat="1" applyFont="1" applyFill="1" applyAlignment="1">
      <alignment horizontal="left"/>
    </xf>
    <xf numFmtId="37" fontId="5" fillId="0" borderId="0" xfId="0" applyNumberFormat="1" applyFont="1" applyFill="1" applyAlignment="1">
      <alignment horizontal="left"/>
    </xf>
    <xf numFmtId="37" fontId="6" fillId="0" borderId="2" xfId="0" applyNumberFormat="1" applyFont="1" applyFill="1" applyBorder="1" applyAlignment="1">
      <alignment horizontal="center"/>
    </xf>
    <xf numFmtId="37" fontId="6" fillId="0" borderId="0" xfId="0" applyNumberFormat="1" applyFont="1" applyFill="1" applyBorder="1" applyAlignment="1">
      <alignment horizontal="center"/>
    </xf>
    <xf numFmtId="37" fontId="6" fillId="0" borderId="0" xfId="0" applyNumberFormat="1" applyFont="1" applyFill="1" applyAlignment="1">
      <alignment horizontal="left"/>
    </xf>
    <xf numFmtId="37" fontId="15" fillId="0" borderId="0" xfId="8" applyNumberFormat="1" applyFont="1" applyFill="1" applyAlignment="1" applyProtection="1"/>
    <xf numFmtId="37" fontId="17" fillId="0" borderId="0" xfId="0" applyNumberFormat="1" applyFont="1" applyFill="1" applyAlignment="1">
      <alignment horizontal="right"/>
    </xf>
    <xf numFmtId="37" fontId="6" fillId="0" borderId="0" xfId="9" applyNumberFormat="1" applyFont="1" applyFill="1" applyBorder="1" applyAlignment="1">
      <alignment horizontal="center"/>
    </xf>
    <xf numFmtId="37" fontId="6" fillId="0" borderId="0" xfId="0" applyNumberFormat="1" applyFont="1" applyFill="1" applyAlignment="1">
      <alignment horizontal="left" vertical="justify"/>
    </xf>
    <xf numFmtId="5" fontId="6" fillId="0" borderId="0" xfId="0" applyNumberFormat="1" applyFont="1" applyFill="1" applyAlignment="1">
      <alignment horizontal="left"/>
    </xf>
    <xf numFmtId="5" fontId="6" fillId="0" borderId="0" xfId="0" applyNumberFormat="1" applyFont="1" applyFill="1" applyAlignment="1">
      <alignment horizontal="right" vertical="top"/>
    </xf>
    <xf numFmtId="5" fontId="6" fillId="0" borderId="0" xfId="0" applyNumberFormat="1" applyFont="1" applyFill="1" applyAlignment="1">
      <alignment horizontal="left" vertical="top"/>
    </xf>
    <xf numFmtId="37" fontId="12" fillId="0" borderId="0" xfId="0" applyNumberFormat="1" applyFont="1" applyFill="1">
      <alignment vertical="top"/>
    </xf>
    <xf numFmtId="37" fontId="12" fillId="0" borderId="0" xfId="0" applyNumberFormat="1" applyFont="1" applyFill="1" applyAlignment="1"/>
    <xf numFmtId="37" fontId="12" fillId="0" borderId="0" xfId="0" applyNumberFormat="1" applyFont="1" applyFill="1" applyAlignment="1">
      <alignment horizontal="right"/>
    </xf>
    <xf numFmtId="37" fontId="5" fillId="0" borderId="0" xfId="0" applyNumberFormat="1" applyFont="1" applyFill="1" applyAlignment="1">
      <alignment horizontal="left"/>
    </xf>
    <xf numFmtId="37" fontId="6" fillId="0" borderId="2" xfId="0" applyNumberFormat="1" applyFont="1" applyFill="1" applyBorder="1" applyAlignment="1">
      <alignment horizontal="center"/>
    </xf>
    <xf numFmtId="37" fontId="6" fillId="0" borderId="0" xfId="0" applyNumberFormat="1" applyFont="1" applyFill="1" applyBorder="1" applyAlignment="1">
      <alignment horizontal="center"/>
    </xf>
    <xf numFmtId="37" fontId="6" fillId="0" borderId="0" xfId="0" applyNumberFormat="1" applyFont="1" applyFill="1" applyAlignment="1">
      <alignment horizontal="left"/>
    </xf>
    <xf numFmtId="37" fontId="13" fillId="0" borderId="0" xfId="0" applyNumberFormat="1" applyFont="1" applyAlignment="1"/>
  </cellXfs>
  <cellStyles count="11">
    <cellStyle name="Comma" xfId="1" builtinId="3"/>
    <cellStyle name="Comma0" xfId="2"/>
    <cellStyle name="Currency0" xfId="3"/>
    <cellStyle name="Date" xfId="4"/>
    <cellStyle name="Fixed" xfId="5"/>
    <cellStyle name="Heading 1" xfId="6" builtinId="16" customBuiltin="1"/>
    <cellStyle name="Heading 2" xfId="7" builtinId="17" customBuiltin="1"/>
    <cellStyle name="Hyperlink" xfId="8" builtinId="8"/>
    <cellStyle name="Normal" xfId="0" builtinId="0"/>
    <cellStyle name="Percent" xfId="9" builtinId="5"/>
    <cellStyle name="Total" xfId="10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99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626"/>
  <sheetViews>
    <sheetView view="pageBreakPreview" zoomScaleNormal="100" zoomScaleSheetLayoutView="100" workbookViewId="0">
      <pane xSplit="5" ySplit="9" topLeftCell="I251" activePane="bottomRight" state="frozen"/>
      <selection sqref="A1:IV65536"/>
      <selection pane="topRight" sqref="A1:IV65536"/>
      <selection pane="bottomLeft" sqref="A1:IV65536"/>
      <selection pane="bottomRight" activeCell="A266" sqref="A266:XFD266"/>
    </sheetView>
  </sheetViews>
  <sheetFormatPr defaultColWidth="9.140625" defaultRowHeight="12"/>
  <cols>
    <col min="1" max="1" width="32" style="7" customWidth="1"/>
    <col min="2" max="2" width="1.7109375" style="7" customWidth="1"/>
    <col min="3" max="3" width="11.7109375" style="7" customWidth="1"/>
    <col min="4" max="4" width="1.7109375" style="7" hidden="1" customWidth="1"/>
    <col min="5" max="5" width="11.7109375" style="28" hidden="1" customWidth="1"/>
    <col min="6" max="6" width="1.7109375" style="7" customWidth="1"/>
    <col min="7" max="7" width="11.7109375" style="7" customWidth="1"/>
    <col min="8" max="8" width="1.7109375" style="7" customWidth="1"/>
    <col min="9" max="9" width="11.7109375" style="7" customWidth="1"/>
    <col min="10" max="10" width="1.7109375" style="7" customWidth="1"/>
    <col min="11" max="11" width="12.5703125" style="7" customWidth="1"/>
    <col min="12" max="12" width="1.7109375" style="7" customWidth="1"/>
    <col min="13" max="13" width="11.7109375" style="7" customWidth="1"/>
    <col min="14" max="14" width="1.7109375" style="7" customWidth="1"/>
    <col min="15" max="15" width="11.7109375" style="7" customWidth="1"/>
    <col min="16" max="16" width="1.7109375" style="7" customWidth="1"/>
    <col min="17" max="17" width="11.7109375" style="7" customWidth="1"/>
    <col min="18" max="18" width="1.7109375" style="7" customWidth="1"/>
    <col min="19" max="19" width="12" style="7" customWidth="1"/>
    <col min="20" max="20" width="1.7109375" style="7" customWidth="1"/>
    <col min="21" max="21" width="11.7109375" style="7" customWidth="1"/>
    <col min="22" max="22" width="1.7109375" style="7" customWidth="1"/>
    <col min="23" max="23" width="11.7109375" style="7" customWidth="1"/>
    <col min="24" max="24" width="1.7109375" style="7" customWidth="1"/>
    <col min="25" max="25" width="11.7109375" style="7" customWidth="1"/>
    <col min="26" max="26" width="1.7109375" style="7" customWidth="1"/>
    <col min="27" max="28" width="11.7109375" style="7" customWidth="1"/>
    <col min="29" max="29" width="1.7109375" style="7" customWidth="1"/>
    <col min="30" max="32" width="11.7109375" style="7" customWidth="1"/>
    <col min="33" max="33" width="1.7109375" style="7" customWidth="1"/>
    <col min="34" max="34" width="26.140625" style="7" customWidth="1"/>
    <col min="35" max="35" width="25.42578125" style="7" customWidth="1"/>
    <col min="36" max="36" width="9.140625" style="7"/>
    <col min="37" max="37" width="9.28515625" style="7" bestFit="1" customWidth="1"/>
    <col min="38" max="43" width="9.140625" style="7"/>
    <col min="44" max="44" width="10.28515625" style="7" bestFit="1" customWidth="1"/>
    <col min="45" max="45" width="13.5703125" style="7" bestFit="1" customWidth="1"/>
    <col min="46" max="46" width="25.5703125" style="7" bestFit="1" customWidth="1"/>
    <col min="47" max="47" width="14.5703125" style="7" customWidth="1"/>
    <col min="48" max="48" width="9.140625" style="85"/>
    <col min="49" max="49" width="28.7109375" style="7" bestFit="1" customWidth="1"/>
    <col min="50" max="16384" width="9.140625" style="7"/>
  </cols>
  <sheetData>
    <row r="1" spans="1:49">
      <c r="A1" s="112" t="s">
        <v>125</v>
      </c>
      <c r="B1" s="112"/>
      <c r="C1" s="112"/>
      <c r="D1" s="112"/>
      <c r="E1" s="112"/>
      <c r="F1" s="112"/>
      <c r="G1" s="112"/>
      <c r="H1" s="112"/>
      <c r="I1" s="112"/>
    </row>
    <row r="2" spans="1:49">
      <c r="A2" s="14" t="s">
        <v>769</v>
      </c>
    </row>
    <row r="3" spans="1:49">
      <c r="A3" s="14" t="s">
        <v>622</v>
      </c>
      <c r="I3" s="56"/>
    </row>
    <row r="4" spans="1:49">
      <c r="A4" s="33" t="s">
        <v>169</v>
      </c>
      <c r="I4" s="56"/>
    </row>
    <row r="5" spans="1:49">
      <c r="A5" s="20"/>
    </row>
    <row r="6" spans="1:49" s="14" customFormat="1">
      <c r="A6" s="59" t="s">
        <v>767</v>
      </c>
      <c r="B6" s="7"/>
      <c r="C6" s="7"/>
      <c r="D6" s="7"/>
      <c r="E6" s="28"/>
      <c r="F6" s="7"/>
      <c r="G6" s="7"/>
      <c r="H6" s="7"/>
      <c r="I6" s="7"/>
      <c r="J6" s="7"/>
      <c r="K6" s="7"/>
      <c r="L6" s="79"/>
      <c r="M6" s="79"/>
      <c r="N6" s="79"/>
      <c r="O6" s="79"/>
      <c r="P6" s="79"/>
      <c r="Q6" s="79"/>
      <c r="R6" s="79"/>
      <c r="S6" s="79"/>
      <c r="AE6" s="54" t="s">
        <v>622</v>
      </c>
      <c r="AH6" s="30" t="s">
        <v>622</v>
      </c>
    </row>
    <row r="7" spans="1:49">
      <c r="G7" s="113" t="s">
        <v>87</v>
      </c>
      <c r="H7" s="113"/>
      <c r="I7" s="113"/>
      <c r="J7" s="113"/>
      <c r="K7" s="22"/>
      <c r="M7" s="82" t="s">
        <v>92</v>
      </c>
      <c r="N7" s="10"/>
      <c r="O7" s="113" t="s">
        <v>989</v>
      </c>
      <c r="P7" s="113"/>
      <c r="Q7" s="113"/>
      <c r="R7" s="22"/>
      <c r="S7" s="22"/>
      <c r="U7" s="113" t="s">
        <v>100</v>
      </c>
      <c r="V7" s="113"/>
      <c r="W7" s="113"/>
      <c r="X7" s="113"/>
      <c r="Y7" s="113"/>
      <c r="Z7" s="22"/>
      <c r="AA7" s="22"/>
      <c r="AB7" s="7" t="s">
        <v>133</v>
      </c>
      <c r="AD7" s="7" t="s">
        <v>133</v>
      </c>
    </row>
    <row r="8" spans="1:49">
      <c r="F8" s="4"/>
      <c r="G8" s="15" t="s">
        <v>99</v>
      </c>
      <c r="H8" s="15"/>
      <c r="I8" s="15" t="s">
        <v>73</v>
      </c>
      <c r="J8" s="15"/>
      <c r="K8" s="4" t="s">
        <v>3</v>
      </c>
      <c r="M8" s="15" t="s">
        <v>99</v>
      </c>
      <c r="N8" s="15"/>
      <c r="O8" s="48" t="s">
        <v>131</v>
      </c>
      <c r="P8" s="48"/>
      <c r="Q8" s="48"/>
      <c r="R8" s="4"/>
      <c r="S8" s="4" t="s">
        <v>3</v>
      </c>
      <c r="U8" s="4" t="s">
        <v>101</v>
      </c>
      <c r="V8" s="4"/>
      <c r="W8" s="4"/>
      <c r="X8" s="4"/>
      <c r="Y8" s="4"/>
      <c r="Z8" s="4"/>
      <c r="AA8" s="4" t="s">
        <v>3</v>
      </c>
      <c r="AB8" s="7" t="s">
        <v>134</v>
      </c>
      <c r="AD8" s="7" t="s">
        <v>134</v>
      </c>
    </row>
    <row r="9" spans="1:49">
      <c r="A9" s="80" t="s">
        <v>200</v>
      </c>
      <c r="B9" s="15"/>
      <c r="C9" s="80" t="s">
        <v>4</v>
      </c>
      <c r="D9" s="15"/>
      <c r="E9" s="42" t="s">
        <v>199</v>
      </c>
      <c r="F9" s="4"/>
      <c r="G9" s="80" t="s">
        <v>87</v>
      </c>
      <c r="H9" s="4"/>
      <c r="I9" s="80" t="s">
        <v>87</v>
      </c>
      <c r="J9" s="4"/>
      <c r="K9" s="80" t="s">
        <v>87</v>
      </c>
      <c r="L9" s="10"/>
      <c r="M9" s="80" t="s">
        <v>92</v>
      </c>
      <c r="N9" s="4"/>
      <c r="O9" s="80" t="s">
        <v>809</v>
      </c>
      <c r="P9" s="4"/>
      <c r="Q9" s="80" t="s">
        <v>132</v>
      </c>
      <c r="R9" s="4"/>
      <c r="S9" s="80" t="s">
        <v>92</v>
      </c>
      <c r="T9" s="10"/>
      <c r="U9" s="80" t="s">
        <v>121</v>
      </c>
      <c r="V9" s="4"/>
      <c r="W9" s="80" t="s">
        <v>102</v>
      </c>
      <c r="X9" s="4"/>
      <c r="Y9" s="80" t="s">
        <v>103</v>
      </c>
      <c r="Z9" s="4"/>
      <c r="AA9" s="80" t="s">
        <v>100</v>
      </c>
      <c r="AB9" s="7" t="s">
        <v>135</v>
      </c>
      <c r="AD9" s="7" t="s">
        <v>135</v>
      </c>
      <c r="AH9" s="7" t="s">
        <v>814</v>
      </c>
      <c r="AI9" s="7" t="s">
        <v>813</v>
      </c>
      <c r="AL9" s="7" t="s">
        <v>811</v>
      </c>
      <c r="AN9" s="7" t="s">
        <v>812</v>
      </c>
      <c r="AR9" s="7" t="s">
        <v>813</v>
      </c>
      <c r="AS9" s="7" t="s">
        <v>810</v>
      </c>
      <c r="AT9" s="7" t="s">
        <v>814</v>
      </c>
      <c r="AU9" s="7" t="s">
        <v>811</v>
      </c>
      <c r="AW9" s="7" t="s">
        <v>812</v>
      </c>
    </row>
    <row r="10" spans="1:49">
      <c r="A10" s="12"/>
      <c r="B10" s="12"/>
      <c r="C10" s="12"/>
      <c r="D10" s="12"/>
      <c r="E10" s="29"/>
      <c r="F10" s="4"/>
      <c r="G10" s="4"/>
      <c r="H10" s="4"/>
      <c r="I10" s="4"/>
      <c r="J10" s="4"/>
      <c r="K10" s="4"/>
      <c r="M10" s="4"/>
      <c r="N10" s="4"/>
      <c r="O10" s="4"/>
      <c r="P10" s="4"/>
      <c r="Q10" s="4"/>
      <c r="R10" s="4"/>
      <c r="S10" s="4"/>
      <c r="U10" s="4"/>
      <c r="V10" s="4"/>
      <c r="W10" s="4"/>
      <c r="X10" s="4"/>
      <c r="Y10" s="4"/>
      <c r="Z10" s="4"/>
      <c r="AA10" s="4"/>
      <c r="AR10" s="7" t="s">
        <v>815</v>
      </c>
      <c r="AS10" s="7" t="s">
        <v>815</v>
      </c>
      <c r="AU10" s="7" t="s">
        <v>815</v>
      </c>
    </row>
    <row r="11" spans="1:49" s="32" customFormat="1">
      <c r="A11" s="31" t="s">
        <v>898</v>
      </c>
      <c r="B11" s="31"/>
      <c r="C11" s="31" t="s">
        <v>201</v>
      </c>
      <c r="D11" s="31"/>
      <c r="E11" s="29">
        <v>61903</v>
      </c>
      <c r="F11" s="37"/>
      <c r="G11" s="32">
        <f>+K11-I11</f>
        <v>23034647</v>
      </c>
      <c r="I11" s="32">
        <f>1733417+99597087</f>
        <v>101330504</v>
      </c>
      <c r="K11" s="32">
        <v>124365151</v>
      </c>
      <c r="M11" s="32">
        <f>+S11-O11-Q11</f>
        <v>11000424</v>
      </c>
      <c r="O11" s="32">
        <v>1703863</v>
      </c>
      <c r="Q11" s="32">
        <v>33323348</v>
      </c>
      <c r="S11" s="32">
        <v>46027635</v>
      </c>
      <c r="U11" s="32">
        <v>68637619</v>
      </c>
      <c r="W11" s="32">
        <f>AA11-Y11-U11</f>
        <v>9782810</v>
      </c>
      <c r="Y11" s="32">
        <v>-82913</v>
      </c>
      <c r="AA11" s="32">
        <v>78337516</v>
      </c>
      <c r="AB11" s="32">
        <f t="shared" ref="AB11:AB44" si="0">+K11-S11-AA11</f>
        <v>0</v>
      </c>
      <c r="AD11" s="32">
        <f>+G11+I11+-M11-O11-U11-W11-Y11-Q11</f>
        <v>0</v>
      </c>
      <c r="AH11" s="32" t="str">
        <f>'St of Activites - GA Rev'!A11</f>
        <v>Adams County/Ohio Valley Local SD</v>
      </c>
      <c r="AI11" s="32" t="str">
        <f>A11</f>
        <v>Adams County/Ohio Valley Local SD</v>
      </c>
      <c r="AJ11" s="32" t="b">
        <f t="shared" ref="AJ11:AJ74" si="1">AH11=AI11</f>
        <v>1</v>
      </c>
      <c r="AL11" s="32" t="str">
        <f>'St of Activities - GA Exp'!A11</f>
        <v>Adams County/Ohio Valley Local SD</v>
      </c>
      <c r="AN11" s="32" t="b">
        <f>AH11=AL11</f>
        <v>1</v>
      </c>
      <c r="AR11" s="32" t="str">
        <f>C11</f>
        <v>Adams</v>
      </c>
      <c r="AS11" s="32" t="str">
        <f>'St of Activites - GA Rev'!C11</f>
        <v>Adams</v>
      </c>
      <c r="AT11" s="32" t="b">
        <f t="shared" ref="AT11:AT74" si="2">AR11=AS11</f>
        <v>1</v>
      </c>
      <c r="AU11" s="32" t="str">
        <f>'St of Activities - GA Exp'!C11</f>
        <v>Adams</v>
      </c>
      <c r="AW11" s="32" t="b">
        <f>AU11=AS11</f>
        <v>1</v>
      </c>
    </row>
    <row r="12" spans="1:49">
      <c r="A12" s="12" t="s">
        <v>607</v>
      </c>
      <c r="B12" s="12"/>
      <c r="C12" s="12" t="s">
        <v>58</v>
      </c>
      <c r="D12" s="12"/>
      <c r="E12" s="29">
        <v>49494</v>
      </c>
      <c r="G12" s="7">
        <f t="shared" ref="G12:G78" si="3">+K12-I12</f>
        <v>9520186</v>
      </c>
      <c r="I12" s="7">
        <f>1701637+17878304</f>
        <v>19579941</v>
      </c>
      <c r="K12" s="7">
        <v>29100127</v>
      </c>
      <c r="M12" s="7">
        <f t="shared" ref="M12:M78" si="4">+S12-O12-Q12</f>
        <v>3095069</v>
      </c>
      <c r="O12" s="7">
        <v>276214</v>
      </c>
      <c r="Q12" s="7">
        <v>3727622</v>
      </c>
      <c r="S12" s="7">
        <v>7098905</v>
      </c>
      <c r="U12" s="7">
        <v>16671757</v>
      </c>
      <c r="W12" s="7">
        <f t="shared" ref="W12:W78" si="5">AA12-Y12-U12</f>
        <v>1824085</v>
      </c>
      <c r="Y12" s="7">
        <v>3505380</v>
      </c>
      <c r="AA12" s="7">
        <v>22001222</v>
      </c>
      <c r="AB12" s="7">
        <f t="shared" si="0"/>
        <v>0</v>
      </c>
      <c r="AD12" s="32">
        <f>+G12+I12+-M12-O12-U12-W12-Y12-Q12</f>
        <v>0</v>
      </c>
      <c r="AF12" s="32"/>
      <c r="AH12" s="32" t="str">
        <f>'St of Activites - GA Rev'!A12</f>
        <v xml:space="preserve">Adena Local SD </v>
      </c>
      <c r="AI12" s="32" t="str">
        <f t="shared" ref="AI12:AI76" si="6">A12</f>
        <v xml:space="preserve">Adena Local SD </v>
      </c>
      <c r="AJ12" s="32" t="b">
        <f t="shared" si="1"/>
        <v>1</v>
      </c>
      <c r="AL12" s="32" t="str">
        <f>'St of Activities - GA Exp'!A12</f>
        <v xml:space="preserve">Adena Local SD </v>
      </c>
      <c r="AN12" s="32" t="b">
        <f t="shared" ref="AN12:AN75" si="7">AH12=AL12</f>
        <v>1</v>
      </c>
      <c r="AR12" s="32" t="str">
        <f t="shared" ref="AR12:AR75" si="8">C12</f>
        <v>Ross</v>
      </c>
      <c r="AS12" s="32" t="str">
        <f>'St of Activites - GA Rev'!C12</f>
        <v>Ross</v>
      </c>
      <c r="AT12" s="32" t="b">
        <f t="shared" si="2"/>
        <v>1</v>
      </c>
      <c r="AU12" s="32" t="str">
        <f>'St of Activities - GA Exp'!C12</f>
        <v>Ross</v>
      </c>
      <c r="AW12" s="32" t="b">
        <f t="shared" ref="AW12:AW75" si="9">AU12=AS12</f>
        <v>1</v>
      </c>
    </row>
    <row r="13" spans="1:49">
      <c r="A13" s="12" t="s">
        <v>522</v>
      </c>
      <c r="B13" s="12"/>
      <c r="C13" s="12" t="s">
        <v>63</v>
      </c>
      <c r="D13" s="12"/>
      <c r="E13" s="29">
        <v>43489</v>
      </c>
      <c r="G13" s="7">
        <f t="shared" si="3"/>
        <v>341045910</v>
      </c>
      <c r="I13" s="7">
        <f>29946557+195126975</f>
        <v>225073532</v>
      </c>
      <c r="K13" s="7">
        <v>566119442</v>
      </c>
      <c r="M13" s="7">
        <f t="shared" si="4"/>
        <v>221957475</v>
      </c>
      <c r="O13" s="7">
        <v>1606535</v>
      </c>
      <c r="Q13" s="7">
        <v>27008277</v>
      </c>
      <c r="S13" s="7">
        <v>250572287</v>
      </c>
      <c r="U13" s="7">
        <v>225073532</v>
      </c>
      <c r="W13" s="7">
        <f t="shared" si="5"/>
        <v>60104555</v>
      </c>
      <c r="Y13" s="7">
        <v>30369068</v>
      </c>
      <c r="AA13" s="7">
        <v>315547155</v>
      </c>
      <c r="AB13" s="7">
        <f t="shared" si="0"/>
        <v>0</v>
      </c>
      <c r="AD13" s="32">
        <f t="shared" ref="AD13:AD79" si="10">+G13+I13+-M13-O13-U13-W13-Y13-Q13</f>
        <v>0</v>
      </c>
      <c r="AF13" s="32"/>
      <c r="AH13" s="32" t="str">
        <f>'St of Activites - GA Rev'!A13</f>
        <v>Akron City SD</v>
      </c>
      <c r="AI13" s="32" t="str">
        <f t="shared" si="6"/>
        <v>Akron City SD</v>
      </c>
      <c r="AJ13" s="32" t="b">
        <f t="shared" si="1"/>
        <v>1</v>
      </c>
      <c r="AL13" s="32" t="str">
        <f>'St of Activities - GA Exp'!A13</f>
        <v>Akron City SD</v>
      </c>
      <c r="AN13" s="32" t="b">
        <f t="shared" si="7"/>
        <v>1</v>
      </c>
      <c r="AR13" s="32" t="str">
        <f t="shared" si="8"/>
        <v>Summit</v>
      </c>
      <c r="AS13" s="32" t="str">
        <f>'St of Activites - GA Rev'!C13</f>
        <v>Summit</v>
      </c>
      <c r="AT13" s="32" t="b">
        <f t="shared" si="2"/>
        <v>1</v>
      </c>
      <c r="AU13" s="32" t="str">
        <f>'St of Activities - GA Exp'!C13</f>
        <v>Summit</v>
      </c>
      <c r="AW13" s="32" t="b">
        <f t="shared" si="9"/>
        <v>1</v>
      </c>
    </row>
    <row r="14" spans="1:49" s="65" customFormat="1" hidden="1">
      <c r="A14" s="63" t="s">
        <v>643</v>
      </c>
      <c r="B14" s="63"/>
      <c r="C14" s="63" t="s">
        <v>13</v>
      </c>
      <c r="D14" s="63"/>
      <c r="E14" s="64">
        <v>45906</v>
      </c>
      <c r="F14" s="67"/>
      <c r="G14" s="65">
        <f t="shared" si="3"/>
        <v>0</v>
      </c>
      <c r="M14" s="65">
        <f t="shared" si="4"/>
        <v>0</v>
      </c>
      <c r="W14" s="65">
        <f t="shared" si="5"/>
        <v>0</v>
      </c>
      <c r="AB14" s="65">
        <f t="shared" si="0"/>
        <v>0</v>
      </c>
      <c r="AD14" s="66">
        <f t="shared" si="10"/>
        <v>0</v>
      </c>
      <c r="AE14" s="65" t="s">
        <v>778</v>
      </c>
      <c r="AF14" s="66"/>
      <c r="AH14" s="66" t="str">
        <f>'St of Activites - GA Rev'!A14</f>
        <v>Alexander Local SD (CASH)</v>
      </c>
      <c r="AI14" s="66" t="str">
        <f t="shared" si="6"/>
        <v>Alexander Local SD (CASH)</v>
      </c>
      <c r="AJ14" s="66" t="b">
        <f t="shared" si="1"/>
        <v>1</v>
      </c>
      <c r="AL14" s="66" t="str">
        <f>'St of Activities - GA Exp'!A14</f>
        <v>Alexander Local SD (CASH)</v>
      </c>
      <c r="AN14" s="66" t="b">
        <f t="shared" si="7"/>
        <v>1</v>
      </c>
      <c r="AR14" s="66" t="str">
        <f t="shared" si="8"/>
        <v>Athens</v>
      </c>
      <c r="AS14" s="66" t="str">
        <f>'St of Activites - GA Rev'!C14</f>
        <v>Athens</v>
      </c>
      <c r="AT14" s="66" t="b">
        <f t="shared" si="2"/>
        <v>1</v>
      </c>
      <c r="AU14" s="66" t="str">
        <f>'St of Activities - GA Exp'!C14</f>
        <v>Athens</v>
      </c>
      <c r="AV14" s="86"/>
      <c r="AW14" s="66" t="b">
        <f t="shared" si="9"/>
        <v>1</v>
      </c>
    </row>
    <row r="15" spans="1:49">
      <c r="A15" s="12" t="s">
        <v>508</v>
      </c>
      <c r="B15" s="12"/>
      <c r="C15" s="12" t="s">
        <v>62</v>
      </c>
      <c r="D15" s="12"/>
      <c r="E15" s="29">
        <v>43497</v>
      </c>
      <c r="G15" s="7">
        <f t="shared" si="3"/>
        <v>21096173</v>
      </c>
      <c r="I15" s="7">
        <f>2322643+44115847</f>
        <v>46438490</v>
      </c>
      <c r="K15" s="7">
        <v>67534663</v>
      </c>
      <c r="M15" s="7">
        <f t="shared" si="4"/>
        <v>10999100</v>
      </c>
      <c r="O15" s="7">
        <v>582041</v>
      </c>
      <c r="Q15" s="7">
        <v>13769876</v>
      </c>
      <c r="S15" s="7">
        <v>25351017</v>
      </c>
      <c r="U15" s="7">
        <v>38821937</v>
      </c>
      <c r="W15" s="7">
        <f t="shared" si="5"/>
        <v>5170141</v>
      </c>
      <c r="Y15" s="7">
        <v>-1808432</v>
      </c>
      <c r="AA15" s="7">
        <v>42183646</v>
      </c>
      <c r="AB15" s="7">
        <f t="shared" si="0"/>
        <v>0</v>
      </c>
      <c r="AD15" s="32">
        <f t="shared" si="10"/>
        <v>0</v>
      </c>
      <c r="AF15" s="32"/>
      <c r="AH15" s="32" t="str">
        <f>'St of Activites - GA Rev'!A15</f>
        <v>Alliance City SD</v>
      </c>
      <c r="AI15" s="32" t="str">
        <f t="shared" si="6"/>
        <v>Alliance City SD</v>
      </c>
      <c r="AJ15" s="32" t="b">
        <f t="shared" si="1"/>
        <v>1</v>
      </c>
      <c r="AL15" s="32" t="str">
        <f>'St of Activities - GA Exp'!A15</f>
        <v>Alliance City SD</v>
      </c>
      <c r="AN15" s="32" t="b">
        <f t="shared" si="7"/>
        <v>1</v>
      </c>
      <c r="AR15" s="32" t="str">
        <f t="shared" si="8"/>
        <v>Stark</v>
      </c>
      <c r="AS15" s="32" t="str">
        <f>'St of Activites - GA Rev'!C15</f>
        <v>Stark</v>
      </c>
      <c r="AT15" s="32" t="b">
        <f t="shared" si="2"/>
        <v>1</v>
      </c>
      <c r="AU15" s="32" t="str">
        <f>'St of Activities - GA Exp'!C15</f>
        <v>Stark</v>
      </c>
      <c r="AW15" s="32" t="b">
        <f t="shared" si="9"/>
        <v>1</v>
      </c>
    </row>
    <row r="16" spans="1:49">
      <c r="A16" s="12" t="s">
        <v>298</v>
      </c>
      <c r="B16" s="12"/>
      <c r="C16" s="12" t="s">
        <v>25</v>
      </c>
      <c r="D16" s="12"/>
      <c r="E16" s="29">
        <v>46847</v>
      </c>
      <c r="G16" s="7">
        <f t="shared" si="3"/>
        <v>8272659</v>
      </c>
      <c r="I16" s="7">
        <f>292457+28284294</f>
        <v>28576751</v>
      </c>
      <c r="K16" s="7">
        <v>36849410</v>
      </c>
      <c r="M16" s="7">
        <f t="shared" si="4"/>
        <v>4819403</v>
      </c>
      <c r="O16" s="7">
        <v>304593</v>
      </c>
      <c r="Q16" s="7">
        <v>3296031</v>
      </c>
      <c r="S16" s="7">
        <v>8420027</v>
      </c>
      <c r="U16" s="7">
        <v>25633108</v>
      </c>
      <c r="W16" s="7">
        <f t="shared" si="5"/>
        <v>1239884</v>
      </c>
      <c r="Y16" s="7">
        <v>1556391</v>
      </c>
      <c r="AA16" s="7">
        <v>28429383</v>
      </c>
      <c r="AB16" s="7">
        <f t="shared" si="0"/>
        <v>0</v>
      </c>
      <c r="AD16" s="32">
        <f t="shared" si="10"/>
        <v>0</v>
      </c>
      <c r="AF16" s="32"/>
      <c r="AH16" s="32" t="str">
        <f>'St of Activites - GA Rev'!A16</f>
        <v>Amanda-Clearcreek Local SD</v>
      </c>
      <c r="AI16" s="32" t="str">
        <f t="shared" si="6"/>
        <v>Amanda-Clearcreek Local SD</v>
      </c>
      <c r="AJ16" s="32" t="b">
        <f t="shared" si="1"/>
        <v>1</v>
      </c>
      <c r="AL16" s="32" t="str">
        <f>'St of Activities - GA Exp'!A16</f>
        <v>Amanda-Clearcreek Local SD</v>
      </c>
      <c r="AN16" s="32" t="b">
        <f t="shared" si="7"/>
        <v>1</v>
      </c>
      <c r="AR16" s="32" t="str">
        <f t="shared" si="8"/>
        <v>Fairfield</v>
      </c>
      <c r="AS16" s="32" t="str">
        <f>'St of Activites - GA Rev'!C16</f>
        <v>Fairfield</v>
      </c>
      <c r="AT16" s="32" t="b">
        <f t="shared" si="2"/>
        <v>1</v>
      </c>
      <c r="AU16" s="32" t="str">
        <f>'St of Activities - GA Exp'!C16</f>
        <v>Fairfield</v>
      </c>
      <c r="AW16" s="32" t="b">
        <f t="shared" si="9"/>
        <v>1</v>
      </c>
    </row>
    <row r="17" spans="1:49">
      <c r="A17" s="12" t="s">
        <v>858</v>
      </c>
      <c r="B17" s="12"/>
      <c r="C17" s="12" t="s">
        <v>44</v>
      </c>
      <c r="D17" s="12"/>
      <c r="E17" s="29">
        <v>45195</v>
      </c>
      <c r="F17" s="4"/>
      <c r="G17" s="7">
        <f>+K17-I17</f>
        <v>27375911</v>
      </c>
      <c r="I17" s="7">
        <f>1421676+25046321</f>
        <v>26467997</v>
      </c>
      <c r="K17" s="7">
        <v>53843908</v>
      </c>
      <c r="M17" s="7">
        <f>+S17-O17-Q17</f>
        <v>19955065</v>
      </c>
      <c r="O17" s="7">
        <v>1583331</v>
      </c>
      <c r="Q17" s="7">
        <v>21777546</v>
      </c>
      <c r="S17" s="7">
        <v>43315942</v>
      </c>
      <c r="U17" s="7">
        <v>8201008</v>
      </c>
      <c r="W17" s="7">
        <f>AA17-Y17-U17</f>
        <v>2970581</v>
      </c>
      <c r="Y17" s="7">
        <v>-643623</v>
      </c>
      <c r="AA17" s="7">
        <v>10527966</v>
      </c>
      <c r="AB17" s="7">
        <f t="shared" si="0"/>
        <v>0</v>
      </c>
      <c r="AD17" s="32">
        <f t="shared" si="10"/>
        <v>0</v>
      </c>
      <c r="AF17" s="32"/>
      <c r="AH17" s="32" t="str">
        <f>'St of Activites - GA Rev'!A17</f>
        <v xml:space="preserve">Amherst Exempted Village SD </v>
      </c>
      <c r="AI17" s="32" t="str">
        <f t="shared" si="6"/>
        <v xml:space="preserve">Amherst Exempted Village SD </v>
      </c>
      <c r="AJ17" s="32" t="b">
        <f t="shared" si="1"/>
        <v>1</v>
      </c>
      <c r="AL17" s="32" t="str">
        <f>'St of Activities - GA Exp'!A17</f>
        <v xml:space="preserve">Amherst Exempted Village SD </v>
      </c>
      <c r="AN17" s="32" t="b">
        <f t="shared" si="7"/>
        <v>1</v>
      </c>
      <c r="AR17" s="32" t="str">
        <f t="shared" si="8"/>
        <v>Lorain</v>
      </c>
      <c r="AS17" s="32" t="str">
        <f>'St of Activites - GA Rev'!C17</f>
        <v>Lorain</v>
      </c>
      <c r="AT17" s="32" t="b">
        <f t="shared" si="2"/>
        <v>1</v>
      </c>
      <c r="AU17" s="32" t="str">
        <f>'St of Activities - GA Exp'!C17</f>
        <v>Lorain</v>
      </c>
      <c r="AW17" s="32" t="b">
        <f t="shared" si="9"/>
        <v>1</v>
      </c>
    </row>
    <row r="18" spans="1:49">
      <c r="A18" s="12" t="s">
        <v>928</v>
      </c>
      <c r="B18" s="12"/>
      <c r="C18" s="12" t="s">
        <v>61</v>
      </c>
      <c r="D18" s="12"/>
      <c r="E18" s="29">
        <v>49759</v>
      </c>
      <c r="G18" s="7">
        <f t="shared" si="3"/>
        <v>9446460</v>
      </c>
      <c r="I18" s="7">
        <f>10109663+840933</f>
        <v>10950596</v>
      </c>
      <c r="K18" s="7">
        <v>20397056</v>
      </c>
      <c r="M18" s="7">
        <f t="shared" si="4"/>
        <v>3688271</v>
      </c>
      <c r="O18" s="7">
        <v>313370</v>
      </c>
      <c r="Q18" s="7">
        <v>4041917</v>
      </c>
      <c r="S18" s="7">
        <v>8043558</v>
      </c>
      <c r="U18" s="7">
        <v>7274729</v>
      </c>
      <c r="W18" s="7">
        <f t="shared" si="5"/>
        <v>3411289</v>
      </c>
      <c r="Y18" s="7">
        <v>1667480</v>
      </c>
      <c r="AA18" s="7">
        <v>12353498</v>
      </c>
      <c r="AB18" s="7">
        <f t="shared" si="0"/>
        <v>0</v>
      </c>
      <c r="AD18" s="32">
        <f t="shared" si="10"/>
        <v>0</v>
      </c>
      <c r="AE18" s="7" t="s">
        <v>929</v>
      </c>
      <c r="AF18" s="32"/>
      <c r="AH18" s="32" t="str">
        <f>'St of Activites - GA Rev'!A18</f>
        <v>Anna Local SD</v>
      </c>
      <c r="AI18" s="32" t="str">
        <f t="shared" si="6"/>
        <v>Anna Local SD</v>
      </c>
      <c r="AJ18" s="32" t="b">
        <f t="shared" si="1"/>
        <v>1</v>
      </c>
      <c r="AL18" s="32" t="str">
        <f>'St of Activities - GA Exp'!A18</f>
        <v>Anna Local SD</v>
      </c>
      <c r="AN18" s="32" t="b">
        <f t="shared" si="7"/>
        <v>1</v>
      </c>
      <c r="AR18" s="32" t="str">
        <f t="shared" si="8"/>
        <v>Shelby</v>
      </c>
      <c r="AS18" s="32" t="str">
        <f>'St of Activites - GA Rev'!C18</f>
        <v>Shelby</v>
      </c>
      <c r="AT18" s="32" t="b">
        <f t="shared" si="2"/>
        <v>1</v>
      </c>
      <c r="AU18" s="32" t="str">
        <f>'St of Activities - GA Exp'!C18</f>
        <v>Shelby</v>
      </c>
      <c r="AV18" s="56"/>
      <c r="AW18" s="32" t="b">
        <f t="shared" si="9"/>
        <v>1</v>
      </c>
    </row>
    <row r="19" spans="1:49" s="65" customFormat="1" hidden="1">
      <c r="A19" s="63" t="s">
        <v>727</v>
      </c>
      <c r="B19" s="63"/>
      <c r="C19" s="63" t="s">
        <v>628</v>
      </c>
      <c r="D19" s="63"/>
      <c r="E19" s="64"/>
      <c r="G19" s="65">
        <f t="shared" si="3"/>
        <v>0</v>
      </c>
      <c r="M19" s="65">
        <f t="shared" si="4"/>
        <v>0</v>
      </c>
      <c r="W19" s="65">
        <f t="shared" si="5"/>
        <v>0</v>
      </c>
      <c r="AB19" s="65">
        <f t="shared" si="0"/>
        <v>0</v>
      </c>
      <c r="AD19" s="66">
        <f t="shared" si="10"/>
        <v>0</v>
      </c>
      <c r="AE19" s="65" t="s">
        <v>778</v>
      </c>
      <c r="AF19" s="66"/>
      <c r="AH19" s="66" t="str">
        <f>'St of Activites - GA Rev'!A19</f>
        <v>Ansonia Local SD (CASH)</v>
      </c>
      <c r="AI19" s="66" t="str">
        <f t="shared" si="6"/>
        <v>Ansonia Local SD (CASH)</v>
      </c>
      <c r="AJ19" s="66" t="b">
        <f t="shared" si="1"/>
        <v>1</v>
      </c>
      <c r="AL19" s="66" t="str">
        <f>'St of Activities - GA Exp'!A19</f>
        <v>Ansonia Local SD (CASH)</v>
      </c>
      <c r="AN19" s="66" t="b">
        <f t="shared" si="7"/>
        <v>1</v>
      </c>
      <c r="AR19" s="66" t="str">
        <f t="shared" si="8"/>
        <v xml:space="preserve">Darke </v>
      </c>
      <c r="AS19" s="66" t="str">
        <f>'St of Activites - GA Rev'!C19</f>
        <v xml:space="preserve">Darke </v>
      </c>
      <c r="AT19" s="66" t="b">
        <f t="shared" si="2"/>
        <v>1</v>
      </c>
      <c r="AU19" s="66" t="str">
        <f>'St of Activities - GA Exp'!C19</f>
        <v xml:space="preserve">Darke </v>
      </c>
      <c r="AV19" s="86"/>
      <c r="AW19" s="66" t="b">
        <f t="shared" si="9"/>
        <v>1</v>
      </c>
    </row>
    <row r="20" spans="1:49">
      <c r="A20" s="12" t="s">
        <v>402</v>
      </c>
      <c r="B20" s="12"/>
      <c r="C20" s="12" t="s">
        <v>115</v>
      </c>
      <c r="D20" s="12"/>
      <c r="E20" s="29">
        <v>48207</v>
      </c>
      <c r="G20" s="7">
        <f t="shared" si="3"/>
        <v>39009839</v>
      </c>
      <c r="I20" s="7">
        <v>23938421</v>
      </c>
      <c r="K20" s="7">
        <v>62948260</v>
      </c>
      <c r="M20" s="7">
        <f t="shared" si="4"/>
        <v>28593797</v>
      </c>
      <c r="O20" s="7">
        <v>1512923</v>
      </c>
      <c r="Q20" s="7">
        <v>23447207</v>
      </c>
      <c r="S20" s="7">
        <v>53553927</v>
      </c>
      <c r="U20" s="7">
        <v>3905763</v>
      </c>
      <c r="W20" s="7">
        <f t="shared" si="5"/>
        <v>4035253</v>
      </c>
      <c r="Y20" s="7">
        <v>1453317</v>
      </c>
      <c r="AA20" s="7">
        <v>9394333</v>
      </c>
      <c r="AB20" s="7">
        <f t="shared" si="0"/>
        <v>0</v>
      </c>
      <c r="AD20" s="32">
        <f t="shared" si="10"/>
        <v>0</v>
      </c>
      <c r="AF20" s="32"/>
      <c r="AH20" s="32" t="str">
        <f>'St of Activites - GA Rev'!A20</f>
        <v>Anthony Wayne Local SD</v>
      </c>
      <c r="AI20" s="32" t="str">
        <f t="shared" si="6"/>
        <v>Anthony Wayne Local SD</v>
      </c>
      <c r="AJ20" s="32" t="b">
        <f t="shared" si="1"/>
        <v>1</v>
      </c>
      <c r="AL20" s="32" t="str">
        <f>'St of Activities - GA Exp'!A20</f>
        <v>Anthony Wayne Local SD</v>
      </c>
      <c r="AN20" s="32" t="b">
        <f t="shared" si="7"/>
        <v>1</v>
      </c>
      <c r="AR20" s="32" t="str">
        <f t="shared" si="8"/>
        <v>Lucas</v>
      </c>
      <c r="AS20" s="32" t="str">
        <f>'St of Activites - GA Rev'!C20</f>
        <v>Lucas</v>
      </c>
      <c r="AT20" s="32" t="b">
        <f t="shared" si="2"/>
        <v>1</v>
      </c>
      <c r="AU20" s="32" t="str">
        <f>'St of Activities - GA Exp'!C20</f>
        <v>Lucas</v>
      </c>
      <c r="AW20" s="32" t="b">
        <f t="shared" si="9"/>
        <v>1</v>
      </c>
    </row>
    <row r="21" spans="1:49">
      <c r="A21" s="12" t="s">
        <v>343</v>
      </c>
      <c r="B21" s="12"/>
      <c r="C21" s="12" t="s">
        <v>33</v>
      </c>
      <c r="D21" s="12"/>
      <c r="E21" s="29">
        <v>47415</v>
      </c>
      <c r="G21" s="7">
        <f t="shared" si="3"/>
        <v>6345692</v>
      </c>
      <c r="I21" s="7">
        <f>27410+1620089</f>
        <v>1647499</v>
      </c>
      <c r="K21" s="7">
        <v>7993191</v>
      </c>
      <c r="M21" s="7">
        <f t="shared" si="4"/>
        <v>2655893</v>
      </c>
      <c r="O21" s="7">
        <v>8565</v>
      </c>
      <c r="Q21" s="7">
        <v>359883</v>
      </c>
      <c r="S21" s="7">
        <v>3024341</v>
      </c>
      <c r="U21" s="7">
        <v>1647499</v>
      </c>
      <c r="W21" s="7">
        <f t="shared" si="5"/>
        <v>572228</v>
      </c>
      <c r="Y21" s="7">
        <v>2749123</v>
      </c>
      <c r="AA21" s="7">
        <v>4968850</v>
      </c>
      <c r="AB21" s="7">
        <f t="shared" si="0"/>
        <v>0</v>
      </c>
      <c r="AD21" s="32">
        <f t="shared" si="10"/>
        <v>0</v>
      </c>
      <c r="AF21" s="32"/>
      <c r="AH21" s="32" t="str">
        <f>'St of Activites - GA Rev'!A21</f>
        <v>Arcadia Local SD</v>
      </c>
      <c r="AI21" s="32" t="str">
        <f t="shared" si="6"/>
        <v>Arcadia Local SD</v>
      </c>
      <c r="AJ21" s="32" t="b">
        <f t="shared" si="1"/>
        <v>1</v>
      </c>
      <c r="AL21" s="32" t="str">
        <f>'St of Activities - GA Exp'!A21</f>
        <v>Arcadia Local SD</v>
      </c>
      <c r="AN21" s="32" t="b">
        <f t="shared" si="7"/>
        <v>1</v>
      </c>
      <c r="AR21" s="32" t="str">
        <f t="shared" si="8"/>
        <v>Hancock</v>
      </c>
      <c r="AS21" s="32" t="str">
        <f>'St of Activites - GA Rev'!C21</f>
        <v>Hancock</v>
      </c>
      <c r="AT21" s="32" t="b">
        <f t="shared" si="2"/>
        <v>1</v>
      </c>
      <c r="AU21" s="32" t="str">
        <f>'St of Activities - GA Exp'!C21</f>
        <v>Hancock</v>
      </c>
      <c r="AW21" s="32" t="b">
        <f t="shared" si="9"/>
        <v>1</v>
      </c>
    </row>
    <row r="22" spans="1:49" s="65" customFormat="1" hidden="1">
      <c r="A22" s="63" t="s">
        <v>702</v>
      </c>
      <c r="B22" s="63"/>
      <c r="C22" s="63" t="s">
        <v>21</v>
      </c>
      <c r="D22" s="63"/>
      <c r="E22" s="64">
        <v>46631</v>
      </c>
      <c r="G22" s="65">
        <f t="shared" si="3"/>
        <v>0</v>
      </c>
      <c r="M22" s="65">
        <f t="shared" si="4"/>
        <v>0</v>
      </c>
      <c r="W22" s="65">
        <f t="shared" si="5"/>
        <v>0</v>
      </c>
      <c r="AB22" s="65">
        <f t="shared" si="0"/>
        <v>0</v>
      </c>
      <c r="AD22" s="66">
        <f t="shared" si="10"/>
        <v>0</v>
      </c>
      <c r="AE22" s="65" t="s">
        <v>778</v>
      </c>
      <c r="AF22" s="66"/>
      <c r="AH22" s="66" t="str">
        <f>'St of Activites - GA Rev'!A22</f>
        <v>Arcanum Butler Local SD (CASH)</v>
      </c>
      <c r="AI22" s="66" t="str">
        <f t="shared" si="6"/>
        <v>Arcanum Butler Local SD (CASH)</v>
      </c>
      <c r="AJ22" s="66" t="b">
        <f t="shared" si="1"/>
        <v>1</v>
      </c>
      <c r="AL22" s="66" t="str">
        <f>'St of Activities - GA Exp'!A22</f>
        <v>Arcanum Butler Local SD (CASH)</v>
      </c>
      <c r="AN22" s="66" t="b">
        <f t="shared" si="7"/>
        <v>1</v>
      </c>
      <c r="AR22" s="66" t="str">
        <f t="shared" si="8"/>
        <v>Darke</v>
      </c>
      <c r="AS22" s="66" t="str">
        <f>'St of Activites - GA Rev'!C22</f>
        <v>Darke</v>
      </c>
      <c r="AT22" s="66" t="b">
        <f t="shared" si="2"/>
        <v>1</v>
      </c>
      <c r="AU22" s="66" t="str">
        <f>'St of Activities - GA Exp'!C22</f>
        <v>Darke</v>
      </c>
      <c r="AV22" s="86"/>
      <c r="AW22" s="66" t="b">
        <f t="shared" si="9"/>
        <v>1</v>
      </c>
    </row>
    <row r="23" spans="1:49">
      <c r="A23" s="12" t="s">
        <v>318</v>
      </c>
      <c r="B23" s="12"/>
      <c r="C23" s="12" t="s">
        <v>28</v>
      </c>
      <c r="D23" s="12"/>
      <c r="E23" s="29">
        <v>47043</v>
      </c>
      <c r="G23" s="7">
        <f t="shared" si="3"/>
        <v>16694206</v>
      </c>
      <c r="I23" s="7">
        <f>583053+15865078</f>
        <v>16448131</v>
      </c>
      <c r="K23" s="7">
        <v>33142337</v>
      </c>
      <c r="M23" s="7">
        <f t="shared" si="4"/>
        <v>7423488</v>
      </c>
      <c r="O23" s="7">
        <v>1346007</v>
      </c>
      <c r="Q23" s="7">
        <v>10470563</v>
      </c>
      <c r="S23" s="7">
        <v>19240058</v>
      </c>
      <c r="U23" s="7">
        <v>7197636</v>
      </c>
      <c r="W23" s="7">
        <f t="shared" si="5"/>
        <v>4254073</v>
      </c>
      <c r="Y23" s="7">
        <v>2450570</v>
      </c>
      <c r="AA23" s="7">
        <v>13902279</v>
      </c>
      <c r="AB23" s="7">
        <f t="shared" si="0"/>
        <v>0</v>
      </c>
      <c r="AD23" s="32">
        <f t="shared" si="10"/>
        <v>0</v>
      </c>
      <c r="AF23" s="32"/>
      <c r="AH23" s="32" t="str">
        <f>'St of Activites - GA Rev'!A23</f>
        <v>Archbold-Area Local SD</v>
      </c>
      <c r="AI23" s="32" t="str">
        <f t="shared" si="6"/>
        <v>Archbold-Area Local SD</v>
      </c>
      <c r="AJ23" s="32" t="b">
        <f t="shared" si="1"/>
        <v>1</v>
      </c>
      <c r="AL23" s="32" t="str">
        <f>'St of Activities - GA Exp'!A23</f>
        <v>Archbold-Area Local SD</v>
      </c>
      <c r="AN23" s="32" t="b">
        <f t="shared" si="7"/>
        <v>1</v>
      </c>
      <c r="AR23" s="32" t="str">
        <f t="shared" si="8"/>
        <v>Fulton</v>
      </c>
      <c r="AS23" s="32" t="str">
        <f>'St of Activites - GA Rev'!C23</f>
        <v>Fulton</v>
      </c>
      <c r="AT23" s="32" t="b">
        <f t="shared" si="2"/>
        <v>1</v>
      </c>
      <c r="AU23" s="32" t="str">
        <f>'St of Activities - GA Exp'!C23</f>
        <v>Fulton</v>
      </c>
      <c r="AW23" s="32" t="b">
        <f t="shared" si="9"/>
        <v>1</v>
      </c>
    </row>
    <row r="24" spans="1:49">
      <c r="A24" s="12" t="s">
        <v>344</v>
      </c>
      <c r="B24" s="12"/>
      <c r="C24" s="12" t="s">
        <v>33</v>
      </c>
      <c r="D24" s="12"/>
      <c r="E24" s="29">
        <v>47423</v>
      </c>
      <c r="G24" s="7">
        <f t="shared" si="3"/>
        <v>4557219</v>
      </c>
      <c r="I24" s="7">
        <f>309090+4452219</f>
        <v>4761309</v>
      </c>
      <c r="K24" s="7">
        <v>9318528</v>
      </c>
      <c r="M24" s="7">
        <f t="shared" si="4"/>
        <v>1999780</v>
      </c>
      <c r="O24" s="7">
        <v>154574</v>
      </c>
      <c r="Q24" s="7">
        <v>1264651</v>
      </c>
      <c r="S24" s="7">
        <v>3419005</v>
      </c>
      <c r="U24" s="7">
        <v>3881309</v>
      </c>
      <c r="W24" s="7">
        <f t="shared" si="5"/>
        <v>792014</v>
      </c>
      <c r="Y24" s="7">
        <v>1226200</v>
      </c>
      <c r="AA24" s="7">
        <v>5899523</v>
      </c>
      <c r="AB24" s="7">
        <f t="shared" si="0"/>
        <v>0</v>
      </c>
      <c r="AD24" s="32">
        <f t="shared" si="10"/>
        <v>0</v>
      </c>
      <c r="AF24" s="32"/>
      <c r="AH24" s="32" t="str">
        <f>'St of Activites - GA Rev'!A24</f>
        <v>Arlington Local SD</v>
      </c>
      <c r="AI24" s="32" t="str">
        <f t="shared" si="6"/>
        <v>Arlington Local SD</v>
      </c>
      <c r="AJ24" s="32" t="b">
        <f t="shared" si="1"/>
        <v>1</v>
      </c>
      <c r="AL24" s="32" t="str">
        <f>'St of Activities - GA Exp'!A24</f>
        <v>Arlington Local SD</v>
      </c>
      <c r="AN24" s="32" t="b">
        <f t="shared" si="7"/>
        <v>1</v>
      </c>
      <c r="AR24" s="32" t="str">
        <f t="shared" si="8"/>
        <v>Hancock</v>
      </c>
      <c r="AS24" s="32" t="str">
        <f>'St of Activites - GA Rev'!C24</f>
        <v>Hancock</v>
      </c>
      <c r="AT24" s="32" t="b">
        <f t="shared" si="2"/>
        <v>1</v>
      </c>
      <c r="AU24" s="32" t="str">
        <f>'St of Activities - GA Exp'!C24</f>
        <v>Hancock</v>
      </c>
      <c r="AW24" s="32" t="b">
        <f t="shared" si="9"/>
        <v>1</v>
      </c>
    </row>
    <row r="25" spans="1:49" ht="11.25" customHeight="1">
      <c r="A25" s="12" t="s">
        <v>204</v>
      </c>
      <c r="B25" s="12"/>
      <c r="C25" s="12" t="s">
        <v>11</v>
      </c>
      <c r="D25" s="12"/>
      <c r="E25" s="29">
        <v>43505</v>
      </c>
      <c r="F25" s="10"/>
      <c r="G25" s="7">
        <f t="shared" si="3"/>
        <v>26880690</v>
      </c>
      <c r="I25" s="7">
        <f>757979+10638472</f>
        <v>11396451</v>
      </c>
      <c r="K25" s="7">
        <v>38277141</v>
      </c>
      <c r="M25" s="7">
        <f t="shared" si="4"/>
        <v>16060734</v>
      </c>
      <c r="O25" s="7">
        <v>554089</v>
      </c>
      <c r="Q25" s="7">
        <v>5450084</v>
      </c>
      <c r="S25" s="7">
        <v>22064907</v>
      </c>
      <c r="U25" s="7">
        <v>7909496</v>
      </c>
      <c r="W25" s="7">
        <f t="shared" si="5"/>
        <v>883308</v>
      </c>
      <c r="Y25" s="7">
        <v>7419430</v>
      </c>
      <c r="AA25" s="7">
        <v>16212234</v>
      </c>
      <c r="AB25" s="7">
        <f t="shared" si="0"/>
        <v>0</v>
      </c>
      <c r="AD25" s="32">
        <f t="shared" si="10"/>
        <v>0</v>
      </c>
      <c r="AF25" s="32"/>
      <c r="AH25" s="32" t="str">
        <f>'St of Activites - GA Rev'!A25</f>
        <v>Ashland City SD</v>
      </c>
      <c r="AI25" s="32" t="str">
        <f t="shared" si="6"/>
        <v>Ashland City SD</v>
      </c>
      <c r="AJ25" s="32" t="b">
        <f t="shared" si="1"/>
        <v>1</v>
      </c>
      <c r="AL25" s="32" t="str">
        <f>'St of Activities - GA Exp'!A25</f>
        <v>Ashland City SD</v>
      </c>
      <c r="AN25" s="32" t="b">
        <f t="shared" si="7"/>
        <v>1</v>
      </c>
      <c r="AR25" s="32" t="str">
        <f t="shared" si="8"/>
        <v>Ashland</v>
      </c>
      <c r="AS25" s="32" t="str">
        <f>'St of Activites - GA Rev'!C25</f>
        <v>Ashland</v>
      </c>
      <c r="AT25" s="32" t="b">
        <f t="shared" si="2"/>
        <v>1</v>
      </c>
      <c r="AU25" s="32" t="str">
        <f>'St of Activities - GA Exp'!C25</f>
        <v>Ashland</v>
      </c>
      <c r="AW25" s="32" t="b">
        <f t="shared" si="9"/>
        <v>1</v>
      </c>
    </row>
    <row r="26" spans="1:49">
      <c r="A26" s="12" t="s">
        <v>701</v>
      </c>
      <c r="B26" s="12"/>
      <c r="C26" s="12" t="s">
        <v>12</v>
      </c>
      <c r="D26" s="12"/>
      <c r="E26" s="29">
        <v>43513</v>
      </c>
      <c r="F26" s="10"/>
      <c r="G26" s="7">
        <f t="shared" si="3"/>
        <v>45680850</v>
      </c>
      <c r="I26" s="7">
        <f>39453151+61831038</f>
        <v>101284189</v>
      </c>
      <c r="K26" s="7">
        <v>146965039</v>
      </c>
      <c r="M26" s="7">
        <f t="shared" si="4"/>
        <v>17305890</v>
      </c>
      <c r="O26" s="7">
        <v>2346449</v>
      </c>
      <c r="Q26" s="7">
        <v>36964387</v>
      </c>
      <c r="S26" s="7">
        <v>56616726</v>
      </c>
      <c r="U26" s="7">
        <v>65264297</v>
      </c>
      <c r="W26" s="7">
        <f t="shared" si="5"/>
        <v>20199429</v>
      </c>
      <c r="Y26" s="7">
        <v>4884587</v>
      </c>
      <c r="AA26" s="7">
        <v>90348313</v>
      </c>
      <c r="AB26" s="7">
        <f t="shared" si="0"/>
        <v>0</v>
      </c>
      <c r="AD26" s="32">
        <f t="shared" si="10"/>
        <v>0</v>
      </c>
      <c r="AF26" s="32"/>
      <c r="AH26" s="32" t="str">
        <f>'St of Activites - GA Rev'!A26</f>
        <v xml:space="preserve">Ashtabula Area City SD </v>
      </c>
      <c r="AI26" s="32" t="str">
        <f t="shared" si="6"/>
        <v xml:space="preserve">Ashtabula Area City SD </v>
      </c>
      <c r="AJ26" s="32" t="b">
        <f t="shared" si="1"/>
        <v>1</v>
      </c>
      <c r="AL26" s="32" t="str">
        <f>'St of Activities - GA Exp'!A26</f>
        <v xml:space="preserve">Ashtabula Area City SD </v>
      </c>
      <c r="AN26" s="32" t="b">
        <f t="shared" si="7"/>
        <v>1</v>
      </c>
      <c r="AR26" s="32" t="str">
        <f t="shared" si="8"/>
        <v>Ashtabula</v>
      </c>
      <c r="AS26" s="32" t="str">
        <f>'St of Activites - GA Rev'!C26</f>
        <v>Ashtabula</v>
      </c>
      <c r="AT26" s="32" t="b">
        <f t="shared" si="2"/>
        <v>1</v>
      </c>
      <c r="AU26" s="32" t="str">
        <f>'St of Activities - GA Exp'!C26</f>
        <v>Ashtabula</v>
      </c>
      <c r="AW26" s="32" t="b">
        <f t="shared" si="9"/>
        <v>1</v>
      </c>
    </row>
    <row r="27" spans="1:49">
      <c r="A27" s="12" t="s">
        <v>211</v>
      </c>
      <c r="B27" s="12"/>
      <c r="C27" s="12" t="s">
        <v>13</v>
      </c>
      <c r="D27" s="12"/>
      <c r="E27" s="29">
        <v>43521</v>
      </c>
      <c r="F27" s="10"/>
      <c r="G27" s="7">
        <f t="shared" si="3"/>
        <v>38725032</v>
      </c>
      <c r="I27" s="7">
        <f>2412021+18586697</f>
        <v>20998718</v>
      </c>
      <c r="K27" s="7">
        <v>59723750</v>
      </c>
      <c r="M27" s="7">
        <f t="shared" si="4"/>
        <v>20228151</v>
      </c>
      <c r="O27" s="7">
        <v>944322</v>
      </c>
      <c r="Q27" s="7">
        <v>13534500</v>
      </c>
      <c r="S27" s="7">
        <v>34706973</v>
      </c>
      <c r="U27" s="7">
        <v>9034279</v>
      </c>
      <c r="W27" s="7">
        <f t="shared" si="5"/>
        <v>6361391</v>
      </c>
      <c r="Y27" s="7">
        <v>9621107</v>
      </c>
      <c r="AA27" s="7">
        <v>25016777</v>
      </c>
      <c r="AB27" s="7">
        <f t="shared" si="0"/>
        <v>0</v>
      </c>
      <c r="AD27" s="32">
        <f t="shared" si="10"/>
        <v>0</v>
      </c>
      <c r="AF27" s="32"/>
      <c r="AH27" s="32" t="str">
        <f>'St of Activites - GA Rev'!A27</f>
        <v>Athens City SD</v>
      </c>
      <c r="AI27" s="32" t="str">
        <f t="shared" si="6"/>
        <v>Athens City SD</v>
      </c>
      <c r="AJ27" s="32" t="b">
        <f t="shared" si="1"/>
        <v>1</v>
      </c>
      <c r="AL27" s="32" t="str">
        <f>'St of Activities - GA Exp'!A27</f>
        <v>Athens City SD</v>
      </c>
      <c r="AN27" s="32" t="b">
        <f t="shared" si="7"/>
        <v>1</v>
      </c>
      <c r="AR27" s="32" t="str">
        <f t="shared" si="8"/>
        <v>Athens</v>
      </c>
      <c r="AS27" s="32" t="str">
        <f>'St of Activites - GA Rev'!C27</f>
        <v>Athens</v>
      </c>
      <c r="AT27" s="32" t="b">
        <f t="shared" si="2"/>
        <v>1</v>
      </c>
      <c r="AU27" s="32" t="str">
        <f>'St of Activities - GA Exp'!C27</f>
        <v>Athens</v>
      </c>
      <c r="AW27" s="32" t="b">
        <f t="shared" si="9"/>
        <v>1</v>
      </c>
    </row>
    <row r="28" spans="1:49">
      <c r="A28" s="12" t="s">
        <v>474</v>
      </c>
      <c r="B28" s="12"/>
      <c r="C28" s="12" t="s">
        <v>56</v>
      </c>
      <c r="D28" s="12"/>
      <c r="E28" s="29">
        <v>49171</v>
      </c>
      <c r="G28" s="7">
        <f t="shared" si="3"/>
        <v>31538919</v>
      </c>
      <c r="I28" s="7">
        <v>35126908</v>
      </c>
      <c r="K28" s="7">
        <v>66665827</v>
      </c>
      <c r="M28" s="7">
        <f t="shared" si="4"/>
        <v>25685496</v>
      </c>
      <c r="O28" s="7">
        <v>2177475</v>
      </c>
      <c r="Q28" s="7">
        <v>33573744</v>
      </c>
      <c r="S28" s="7">
        <v>61436715</v>
      </c>
      <c r="U28" s="7">
        <v>1736006</v>
      </c>
      <c r="W28" s="7">
        <f t="shared" si="5"/>
        <v>3645093</v>
      </c>
      <c r="Y28" s="7">
        <v>-151987</v>
      </c>
      <c r="AA28" s="7">
        <v>5229112</v>
      </c>
      <c r="AB28" s="7">
        <f t="shared" si="0"/>
        <v>0</v>
      </c>
      <c r="AD28" s="32">
        <f t="shared" si="10"/>
        <v>0</v>
      </c>
      <c r="AF28" s="32"/>
      <c r="AH28" s="32" t="str">
        <f>'St of Activites - GA Rev'!A28</f>
        <v>Aurora City SD</v>
      </c>
      <c r="AI28" s="32" t="str">
        <f t="shared" si="6"/>
        <v>Aurora City SD</v>
      </c>
      <c r="AJ28" s="32" t="b">
        <f t="shared" si="1"/>
        <v>1</v>
      </c>
      <c r="AL28" s="32" t="str">
        <f>'St of Activities - GA Exp'!A28</f>
        <v>Aurora City SD</v>
      </c>
      <c r="AN28" s="32" t="b">
        <f t="shared" si="7"/>
        <v>1</v>
      </c>
      <c r="AR28" s="32" t="str">
        <f t="shared" si="8"/>
        <v>Portage</v>
      </c>
      <c r="AS28" s="32" t="str">
        <f>'St of Activites - GA Rev'!C28</f>
        <v>Portage</v>
      </c>
      <c r="AT28" s="32" t="b">
        <f t="shared" si="2"/>
        <v>1</v>
      </c>
      <c r="AU28" s="32" t="str">
        <f>'St of Activities - GA Exp'!C28</f>
        <v>Portage</v>
      </c>
      <c r="AW28" s="32" t="b">
        <f t="shared" si="9"/>
        <v>1</v>
      </c>
    </row>
    <row r="29" spans="1:49">
      <c r="A29" s="12" t="s">
        <v>414</v>
      </c>
      <c r="B29" s="12"/>
      <c r="C29" s="12" t="s">
        <v>45</v>
      </c>
      <c r="D29" s="12"/>
      <c r="E29" s="29">
        <v>48298</v>
      </c>
      <c r="G29" s="7">
        <f t="shared" si="3"/>
        <v>82388198</v>
      </c>
      <c r="I29" s="7">
        <v>34699980</v>
      </c>
      <c r="K29" s="7">
        <v>117088178</v>
      </c>
      <c r="M29" s="7">
        <f t="shared" si="4"/>
        <v>24328181</v>
      </c>
      <c r="O29" s="7">
        <v>1751688</v>
      </c>
      <c r="Q29" s="7">
        <v>52532280</v>
      </c>
      <c r="S29" s="7">
        <v>78612149</v>
      </c>
      <c r="U29" s="7">
        <v>11061480</v>
      </c>
      <c r="W29" s="7">
        <f t="shared" si="5"/>
        <v>26787374</v>
      </c>
      <c r="Y29" s="7">
        <v>627175</v>
      </c>
      <c r="AA29" s="7">
        <v>38476029</v>
      </c>
      <c r="AB29" s="7">
        <f t="shared" si="0"/>
        <v>0</v>
      </c>
      <c r="AD29" s="32">
        <f t="shared" si="10"/>
        <v>0</v>
      </c>
      <c r="AF29" s="32"/>
      <c r="AH29" s="32" t="str">
        <f>'St of Activites - GA Rev'!A29</f>
        <v>Austintown Local SD</v>
      </c>
      <c r="AI29" s="32" t="str">
        <f t="shared" si="6"/>
        <v>Austintown Local SD</v>
      </c>
      <c r="AJ29" s="32" t="b">
        <f t="shared" si="1"/>
        <v>1</v>
      </c>
      <c r="AL29" s="32" t="str">
        <f>'St of Activities - GA Exp'!A29</f>
        <v>Austintown Local SD</v>
      </c>
      <c r="AN29" s="32" t="b">
        <f t="shared" si="7"/>
        <v>1</v>
      </c>
      <c r="AR29" s="32" t="str">
        <f t="shared" si="8"/>
        <v>Mahoning</v>
      </c>
      <c r="AS29" s="32" t="str">
        <f>'St of Activites - GA Rev'!C29</f>
        <v>Mahoning</v>
      </c>
      <c r="AT29" s="32" t="b">
        <f t="shared" si="2"/>
        <v>1</v>
      </c>
      <c r="AU29" s="32" t="str">
        <f>'St of Activities - GA Exp'!C29</f>
        <v>Mahoning</v>
      </c>
      <c r="AW29" s="32" t="b">
        <f t="shared" si="9"/>
        <v>1</v>
      </c>
    </row>
    <row r="30" spans="1:49">
      <c r="A30" s="12" t="s">
        <v>392</v>
      </c>
      <c r="B30" s="12"/>
      <c r="C30" s="12" t="s">
        <v>44</v>
      </c>
      <c r="D30" s="12"/>
      <c r="E30" s="29">
        <v>48124</v>
      </c>
      <c r="G30" s="7">
        <f t="shared" si="3"/>
        <v>63895034</v>
      </c>
      <c r="I30" s="7">
        <f>14522352+43718910</f>
        <v>58241262</v>
      </c>
      <c r="K30" s="7">
        <v>122136296</v>
      </c>
      <c r="M30" s="7">
        <f t="shared" si="4"/>
        <v>40184725</v>
      </c>
      <c r="O30" s="7">
        <v>2247711</v>
      </c>
      <c r="Q30" s="7">
        <v>59376197</v>
      </c>
      <c r="S30" s="7">
        <v>101808633</v>
      </c>
      <c r="U30" s="7">
        <v>10282563</v>
      </c>
      <c r="W30" s="7">
        <f t="shared" si="5"/>
        <v>4720978</v>
      </c>
      <c r="Y30" s="7">
        <v>5324122</v>
      </c>
      <c r="AA30" s="7">
        <v>20327663</v>
      </c>
      <c r="AB30" s="7">
        <f t="shared" si="0"/>
        <v>0</v>
      </c>
      <c r="AD30" s="32">
        <f t="shared" si="10"/>
        <v>0</v>
      </c>
      <c r="AF30" s="32"/>
      <c r="AH30" s="32" t="str">
        <f>'St of Activites - GA Rev'!A30</f>
        <v>Avon Lake City SD</v>
      </c>
      <c r="AI30" s="32" t="str">
        <f t="shared" si="6"/>
        <v>Avon Lake City SD</v>
      </c>
      <c r="AJ30" s="32" t="b">
        <f t="shared" si="1"/>
        <v>1</v>
      </c>
      <c r="AL30" s="32" t="str">
        <f>'St of Activities - GA Exp'!A30</f>
        <v>Avon Lake City SD</v>
      </c>
      <c r="AN30" s="32" t="b">
        <f t="shared" si="7"/>
        <v>1</v>
      </c>
      <c r="AR30" s="32" t="str">
        <f t="shared" si="8"/>
        <v>Lorain</v>
      </c>
      <c r="AS30" s="32" t="str">
        <f>'St of Activites - GA Rev'!C30</f>
        <v>Lorain</v>
      </c>
      <c r="AT30" s="32" t="b">
        <f t="shared" si="2"/>
        <v>1</v>
      </c>
      <c r="AU30" s="32" t="str">
        <f>'St of Activities - GA Exp'!C30</f>
        <v>Lorain</v>
      </c>
      <c r="AW30" s="32" t="b">
        <f t="shared" si="9"/>
        <v>1</v>
      </c>
    </row>
    <row r="31" spans="1:49">
      <c r="A31" s="12" t="s">
        <v>393</v>
      </c>
      <c r="B31" s="12"/>
      <c r="C31" s="12" t="s">
        <v>44</v>
      </c>
      <c r="D31" s="12"/>
      <c r="E31" s="29">
        <v>48116</v>
      </c>
      <c r="G31" s="7">
        <f t="shared" si="3"/>
        <v>45126160</v>
      </c>
      <c r="I31" s="7">
        <f>3700873+49735837</f>
        <v>53436710</v>
      </c>
      <c r="K31" s="7">
        <v>98562870</v>
      </c>
      <c r="M31" s="7">
        <f t="shared" si="4"/>
        <v>36535186</v>
      </c>
      <c r="O31" s="7">
        <v>2165870</v>
      </c>
      <c r="Q31" s="7">
        <v>35440816</v>
      </c>
      <c r="S31" s="7">
        <v>74141872</v>
      </c>
      <c r="U31" s="7">
        <v>18944714</v>
      </c>
      <c r="W31" s="7">
        <f t="shared" si="5"/>
        <v>5031278</v>
      </c>
      <c r="Y31" s="7">
        <v>445006</v>
      </c>
      <c r="AA31" s="7">
        <v>24420998</v>
      </c>
      <c r="AB31" s="7">
        <f t="shared" si="0"/>
        <v>0</v>
      </c>
      <c r="AD31" s="32">
        <f t="shared" si="10"/>
        <v>0</v>
      </c>
      <c r="AF31" s="32"/>
      <c r="AH31" s="32" t="str">
        <f>'St of Activites - GA Rev'!A31</f>
        <v>Avon Local SD</v>
      </c>
      <c r="AI31" s="32" t="str">
        <f t="shared" si="6"/>
        <v>Avon Local SD</v>
      </c>
      <c r="AJ31" s="32" t="b">
        <f t="shared" si="1"/>
        <v>1</v>
      </c>
      <c r="AL31" s="32" t="str">
        <f>'St of Activities - GA Exp'!A31</f>
        <v>Avon Local SD</v>
      </c>
      <c r="AN31" s="32" t="b">
        <f t="shared" si="7"/>
        <v>1</v>
      </c>
      <c r="AR31" s="32" t="str">
        <f t="shared" si="8"/>
        <v>Lorain</v>
      </c>
      <c r="AS31" s="32" t="str">
        <f>'St of Activites - GA Rev'!C31</f>
        <v>Lorain</v>
      </c>
      <c r="AT31" s="32" t="b">
        <f t="shared" si="2"/>
        <v>1</v>
      </c>
      <c r="AU31" s="32" t="str">
        <f>'St of Activities - GA Exp'!C31</f>
        <v>Lorain</v>
      </c>
      <c r="AW31" s="32" t="b">
        <f t="shared" si="9"/>
        <v>1</v>
      </c>
    </row>
    <row r="32" spans="1:49">
      <c r="A32" s="12" t="s">
        <v>289</v>
      </c>
      <c r="B32" s="12"/>
      <c r="C32" s="12" t="s">
        <v>22</v>
      </c>
      <c r="D32" s="12"/>
      <c r="E32" s="29">
        <v>46706</v>
      </c>
      <c r="G32" s="7">
        <f t="shared" si="3"/>
        <v>6936773</v>
      </c>
      <c r="I32" s="7">
        <v>2604465</v>
      </c>
      <c r="K32" s="7">
        <v>9541238</v>
      </c>
      <c r="M32" s="7">
        <f t="shared" si="4"/>
        <v>3023314</v>
      </c>
      <c r="O32" s="7">
        <v>172635</v>
      </c>
      <c r="Q32" s="7">
        <v>677910</v>
      </c>
      <c r="S32" s="7">
        <v>3873859</v>
      </c>
      <c r="U32" s="7">
        <v>2750683</v>
      </c>
      <c r="W32" s="7">
        <f t="shared" si="5"/>
        <v>396743</v>
      </c>
      <c r="Y32" s="7">
        <v>2519953</v>
      </c>
      <c r="AA32" s="7">
        <v>5667379</v>
      </c>
      <c r="AB32" s="7">
        <f t="shared" si="0"/>
        <v>0</v>
      </c>
      <c r="AD32" s="32">
        <f t="shared" si="10"/>
        <v>0</v>
      </c>
      <c r="AF32" s="32"/>
      <c r="AH32" s="32" t="str">
        <f>'St of Activites - GA Rev'!A32</f>
        <v>Ayersville Local SD</v>
      </c>
      <c r="AI32" s="32" t="str">
        <f t="shared" si="6"/>
        <v>Ayersville Local SD</v>
      </c>
      <c r="AJ32" s="32" t="b">
        <f t="shared" si="1"/>
        <v>1</v>
      </c>
      <c r="AL32" s="32" t="str">
        <f>'St of Activities - GA Exp'!A32</f>
        <v>Ayersville Local SD</v>
      </c>
      <c r="AN32" s="32" t="b">
        <f t="shared" si="7"/>
        <v>1</v>
      </c>
      <c r="AR32" s="32" t="str">
        <f t="shared" si="8"/>
        <v>Defiance</v>
      </c>
      <c r="AS32" s="32" t="str">
        <f>'St of Activites - GA Rev'!C32</f>
        <v>Defiance</v>
      </c>
      <c r="AT32" s="32" t="b">
        <f t="shared" si="2"/>
        <v>1</v>
      </c>
      <c r="AU32" s="32" t="str">
        <f>'St of Activities - GA Exp'!C32</f>
        <v>Defiance</v>
      </c>
      <c r="AW32" s="32" t="b">
        <f t="shared" si="9"/>
        <v>1</v>
      </c>
    </row>
    <row r="33" spans="1:49">
      <c r="A33" s="12" t="s">
        <v>523</v>
      </c>
      <c r="B33" s="12"/>
      <c r="C33" s="12" t="s">
        <v>63</v>
      </c>
      <c r="D33" s="12"/>
      <c r="E33" s="29">
        <v>43539</v>
      </c>
      <c r="G33" s="7">
        <f t="shared" si="3"/>
        <v>67944219</v>
      </c>
      <c r="I33" s="7">
        <v>96239690</v>
      </c>
      <c r="K33" s="7">
        <v>164183909</v>
      </c>
      <c r="M33" s="7">
        <f t="shared" si="4"/>
        <v>21865511</v>
      </c>
      <c r="O33" s="7">
        <v>2424320</v>
      </c>
      <c r="Q33" s="7">
        <v>54936872</v>
      </c>
      <c r="S33" s="7">
        <v>79226703</v>
      </c>
      <c r="U33" s="7">
        <v>68837863</v>
      </c>
      <c r="W33" s="7">
        <f t="shared" si="5"/>
        <v>13039646</v>
      </c>
      <c r="Y33" s="7">
        <v>3079697</v>
      </c>
      <c r="AA33" s="7">
        <v>84957206</v>
      </c>
      <c r="AB33" s="7">
        <f t="shared" si="0"/>
        <v>0</v>
      </c>
      <c r="AD33" s="32">
        <f t="shared" si="10"/>
        <v>0</v>
      </c>
      <c r="AF33" s="32"/>
      <c r="AH33" s="32" t="str">
        <f>'St of Activites - GA Rev'!A33</f>
        <v>Barberton City SD</v>
      </c>
      <c r="AI33" s="32" t="str">
        <f t="shared" si="6"/>
        <v>Barberton City SD</v>
      </c>
      <c r="AJ33" s="32" t="b">
        <f t="shared" si="1"/>
        <v>1</v>
      </c>
      <c r="AL33" s="32" t="str">
        <f>'St of Activities - GA Exp'!A33</f>
        <v>Barberton City SD</v>
      </c>
      <c r="AN33" s="32" t="b">
        <f t="shared" si="7"/>
        <v>1</v>
      </c>
      <c r="AR33" s="32" t="str">
        <f t="shared" si="8"/>
        <v>Summit</v>
      </c>
      <c r="AS33" s="32" t="str">
        <f>'St of Activites - GA Rev'!C33</f>
        <v>Summit</v>
      </c>
      <c r="AT33" s="32" t="b">
        <f t="shared" si="2"/>
        <v>1</v>
      </c>
      <c r="AU33" s="32" t="str">
        <f>'St of Activities - GA Exp'!C33</f>
        <v>Summit</v>
      </c>
      <c r="AW33" s="32" t="b">
        <f t="shared" si="9"/>
        <v>1</v>
      </c>
    </row>
    <row r="34" spans="1:49">
      <c r="A34" s="12" t="s">
        <v>859</v>
      </c>
      <c r="B34" s="12"/>
      <c r="C34" s="12" t="s">
        <v>15</v>
      </c>
      <c r="D34" s="12"/>
      <c r="E34" s="29"/>
      <c r="G34" s="7">
        <f t="shared" si="3"/>
        <v>7801535</v>
      </c>
      <c r="I34" s="7">
        <f>272950+15590916</f>
        <v>15863866</v>
      </c>
      <c r="K34" s="7">
        <v>23665401</v>
      </c>
      <c r="M34" s="7">
        <f t="shared" si="4"/>
        <v>4353071</v>
      </c>
      <c r="O34" s="7">
        <v>275741</v>
      </c>
      <c r="Q34" s="7">
        <v>3532631</v>
      </c>
      <c r="S34" s="7">
        <v>8161443</v>
      </c>
      <c r="U34" s="7">
        <v>12870237</v>
      </c>
      <c r="W34" s="7">
        <f t="shared" si="5"/>
        <v>1163966</v>
      </c>
      <c r="Y34" s="7">
        <v>1469755</v>
      </c>
      <c r="AA34" s="7">
        <v>15503958</v>
      </c>
      <c r="AB34" s="7">
        <f t="shared" si="0"/>
        <v>0</v>
      </c>
      <c r="AD34" s="32">
        <f t="shared" si="10"/>
        <v>0</v>
      </c>
      <c r="AF34" s="32"/>
      <c r="AH34" s="32" t="str">
        <f>'St of Activites - GA Rev'!A34</f>
        <v>Barnesville Exempted Village SD</v>
      </c>
      <c r="AI34" s="32" t="str">
        <f t="shared" si="6"/>
        <v>Barnesville Exempted Village SD</v>
      </c>
      <c r="AJ34" s="32" t="b">
        <f t="shared" si="1"/>
        <v>1</v>
      </c>
      <c r="AL34" s="32" t="str">
        <f>'St of Activities - GA Exp'!A34</f>
        <v>Barnesville Exempted Village SD</v>
      </c>
      <c r="AN34" s="32" t="b">
        <f t="shared" si="7"/>
        <v>1</v>
      </c>
      <c r="AR34" s="32" t="str">
        <f t="shared" si="8"/>
        <v>Belmont</v>
      </c>
      <c r="AS34" s="32" t="str">
        <f>'St of Activites - GA Rev'!C34</f>
        <v>Belmont</v>
      </c>
      <c r="AT34" s="32" t="b">
        <f t="shared" si="2"/>
        <v>1</v>
      </c>
      <c r="AU34" s="32" t="str">
        <f>'St of Activities - GA Exp'!C34</f>
        <v>Belmont</v>
      </c>
      <c r="AW34" s="32" t="b">
        <f t="shared" si="9"/>
        <v>1</v>
      </c>
    </row>
    <row r="35" spans="1:49">
      <c r="A35" s="12" t="s">
        <v>242</v>
      </c>
      <c r="B35" s="12"/>
      <c r="C35" s="12" t="s">
        <v>113</v>
      </c>
      <c r="D35" s="12"/>
      <c r="E35" s="29">
        <v>46300</v>
      </c>
      <c r="F35" s="10"/>
      <c r="G35" s="7">
        <f t="shared" si="3"/>
        <v>11403113</v>
      </c>
      <c r="I35" s="7">
        <f>1230447+8025524</f>
        <v>9255971</v>
      </c>
      <c r="K35" s="7">
        <v>20659084</v>
      </c>
      <c r="M35" s="7">
        <f t="shared" si="4"/>
        <v>8116520</v>
      </c>
      <c r="O35" s="7">
        <v>523886</v>
      </c>
      <c r="Q35" s="7">
        <v>6799261</v>
      </c>
      <c r="S35" s="7">
        <v>15439667</v>
      </c>
      <c r="U35" s="7">
        <v>3633740</v>
      </c>
      <c r="W35" s="7">
        <f t="shared" si="5"/>
        <v>2009659</v>
      </c>
      <c r="Y35" s="7">
        <v>-423982</v>
      </c>
      <c r="AA35" s="7">
        <v>5219417</v>
      </c>
      <c r="AB35" s="7">
        <f t="shared" si="0"/>
        <v>0</v>
      </c>
      <c r="AD35" s="32">
        <f t="shared" si="10"/>
        <v>0</v>
      </c>
      <c r="AF35" s="32"/>
      <c r="AH35" s="32" t="str">
        <f>'St of Activites - GA Rev'!A35</f>
        <v>Batavia Local SD</v>
      </c>
      <c r="AI35" s="32" t="str">
        <f t="shared" si="6"/>
        <v>Batavia Local SD</v>
      </c>
      <c r="AJ35" s="32" t="b">
        <f t="shared" si="1"/>
        <v>1</v>
      </c>
      <c r="AL35" s="32" t="str">
        <f>'St of Activities - GA Exp'!A35</f>
        <v>Batavia Local SD</v>
      </c>
      <c r="AN35" s="32" t="b">
        <f t="shared" si="7"/>
        <v>1</v>
      </c>
      <c r="AR35" s="32" t="str">
        <f t="shared" si="8"/>
        <v>Clermont</v>
      </c>
      <c r="AS35" s="32" t="str">
        <f>'St of Activites - GA Rev'!C35</f>
        <v>Clermont</v>
      </c>
      <c r="AT35" s="32" t="b">
        <f t="shared" si="2"/>
        <v>1</v>
      </c>
      <c r="AU35" s="32" t="str">
        <f>'St of Activities - GA Exp'!C35</f>
        <v>Clermont</v>
      </c>
      <c r="AW35" s="32" t="b">
        <f t="shared" si="9"/>
        <v>1</v>
      </c>
    </row>
    <row r="36" spans="1:49" s="65" customFormat="1" ht="12" hidden="1" customHeight="1">
      <c r="A36" s="63" t="s">
        <v>703</v>
      </c>
      <c r="B36" s="63"/>
      <c r="C36" s="63" t="s">
        <v>10</v>
      </c>
      <c r="D36" s="63"/>
      <c r="E36" s="64">
        <v>45765</v>
      </c>
      <c r="F36" s="67"/>
      <c r="G36" s="65">
        <f t="shared" si="3"/>
        <v>0</v>
      </c>
      <c r="M36" s="65">
        <f t="shared" si="4"/>
        <v>0</v>
      </c>
      <c r="W36" s="65">
        <f t="shared" si="5"/>
        <v>0</v>
      </c>
      <c r="AB36" s="65">
        <f t="shared" si="0"/>
        <v>0</v>
      </c>
      <c r="AD36" s="66">
        <f t="shared" si="10"/>
        <v>0</v>
      </c>
      <c r="AE36" s="65" t="s">
        <v>778</v>
      </c>
      <c r="AF36" s="66"/>
      <c r="AH36" s="66" t="str">
        <f>'St of Activites - GA Rev'!A36</f>
        <v>Bath Local SD (CASH)</v>
      </c>
      <c r="AI36" s="66" t="str">
        <f t="shared" si="6"/>
        <v>Bath Local SD (CASH)</v>
      </c>
      <c r="AJ36" s="66" t="b">
        <f t="shared" si="1"/>
        <v>1</v>
      </c>
      <c r="AL36" s="66" t="str">
        <f>'St of Activities - GA Exp'!A36</f>
        <v>Bath Local SD (CASH)</v>
      </c>
      <c r="AN36" s="66" t="b">
        <f t="shared" si="7"/>
        <v>1</v>
      </c>
      <c r="AR36" s="66" t="str">
        <f t="shared" si="8"/>
        <v>Allen</v>
      </c>
      <c r="AS36" s="66" t="str">
        <f>'St of Activites - GA Rev'!C36</f>
        <v>Allen</v>
      </c>
      <c r="AT36" s="66" t="b">
        <f t="shared" si="2"/>
        <v>1</v>
      </c>
      <c r="AU36" s="66" t="str">
        <f>'St of Activities - GA Exp'!C36</f>
        <v>Allen</v>
      </c>
      <c r="AV36" s="86"/>
      <c r="AW36" s="66" t="b">
        <f t="shared" si="9"/>
        <v>1</v>
      </c>
    </row>
    <row r="37" spans="1:49">
      <c r="A37" s="12" t="s">
        <v>661</v>
      </c>
      <c r="B37" s="12"/>
      <c r="C37" s="12" t="s">
        <v>20</v>
      </c>
      <c r="D37" s="12"/>
      <c r="E37" s="29">
        <v>43547</v>
      </c>
      <c r="G37" s="7">
        <f t="shared" si="3"/>
        <v>35519673</v>
      </c>
      <c r="I37" s="7">
        <f>617400+27429546</f>
        <v>28046946</v>
      </c>
      <c r="K37" s="7">
        <v>63566619</v>
      </c>
      <c r="M37" s="7">
        <f t="shared" si="4"/>
        <v>24223673</v>
      </c>
      <c r="O37" s="7">
        <v>1397811</v>
      </c>
      <c r="Q37" s="7">
        <v>18828074</v>
      </c>
      <c r="S37" s="7">
        <v>44449558</v>
      </c>
      <c r="U37" s="7">
        <v>11405006</v>
      </c>
      <c r="W37" s="7">
        <f t="shared" si="5"/>
        <v>4383574</v>
      </c>
      <c r="Y37" s="7">
        <v>3328481</v>
      </c>
      <c r="AA37" s="7">
        <v>19117061</v>
      </c>
      <c r="AB37" s="7">
        <f t="shared" si="0"/>
        <v>0</v>
      </c>
      <c r="AD37" s="32">
        <f t="shared" si="10"/>
        <v>0</v>
      </c>
      <c r="AF37" s="32"/>
      <c r="AH37" s="32" t="str">
        <f>'St of Activites - GA Rev'!A37</f>
        <v xml:space="preserve">Bay Village City SD </v>
      </c>
      <c r="AI37" s="32" t="str">
        <f t="shared" si="6"/>
        <v xml:space="preserve">Bay Village City SD </v>
      </c>
      <c r="AJ37" s="32" t="b">
        <f t="shared" si="1"/>
        <v>1</v>
      </c>
      <c r="AL37" s="32" t="str">
        <f>'St of Activities - GA Exp'!A37</f>
        <v xml:space="preserve">Bay Village City SD </v>
      </c>
      <c r="AN37" s="32" t="b">
        <f t="shared" si="7"/>
        <v>1</v>
      </c>
      <c r="AR37" s="32" t="str">
        <f t="shared" si="8"/>
        <v>Cuyahoga</v>
      </c>
      <c r="AS37" s="32" t="str">
        <f>'St of Activites - GA Rev'!C37</f>
        <v>Cuyahoga</v>
      </c>
      <c r="AT37" s="32" t="b">
        <f t="shared" si="2"/>
        <v>1</v>
      </c>
      <c r="AU37" s="32" t="str">
        <f>'St of Activities - GA Exp'!C37</f>
        <v>Cuyahoga</v>
      </c>
      <c r="AW37" s="32" t="b">
        <f t="shared" si="9"/>
        <v>1</v>
      </c>
    </row>
    <row r="38" spans="1:49">
      <c r="A38" s="12" t="s">
        <v>267</v>
      </c>
      <c r="B38" s="12"/>
      <c r="C38" s="12" t="s">
        <v>20</v>
      </c>
      <c r="D38" s="12"/>
      <c r="E38" s="29">
        <v>43554</v>
      </c>
      <c r="G38" s="7">
        <f t="shared" si="3"/>
        <v>84238330</v>
      </c>
      <c r="I38" s="7">
        <f>831499+26977184+2997072</f>
        <v>30805755</v>
      </c>
      <c r="K38" s="7">
        <v>115044085</v>
      </c>
      <c r="M38" s="7">
        <f t="shared" si="4"/>
        <v>26931071</v>
      </c>
      <c r="O38" s="7">
        <v>2528610</v>
      </c>
      <c r="Q38" s="7">
        <v>46872503</v>
      </c>
      <c r="S38" s="7">
        <v>76332184</v>
      </c>
      <c r="U38" s="7">
        <v>-15696181</v>
      </c>
      <c r="W38" s="7">
        <f t="shared" si="5"/>
        <v>36202341</v>
      </c>
      <c r="Y38" s="7">
        <v>18205741</v>
      </c>
      <c r="AA38" s="7">
        <v>38711901</v>
      </c>
      <c r="AB38" s="7">
        <f t="shared" si="0"/>
        <v>0</v>
      </c>
      <c r="AD38" s="32">
        <f t="shared" si="10"/>
        <v>0</v>
      </c>
      <c r="AF38" s="32"/>
      <c r="AH38" s="32" t="str">
        <f>'St of Activites - GA Rev'!A38</f>
        <v>Beachwood City SD</v>
      </c>
      <c r="AI38" s="32" t="str">
        <f t="shared" si="6"/>
        <v>Beachwood City SD</v>
      </c>
      <c r="AJ38" s="32" t="b">
        <f t="shared" si="1"/>
        <v>1</v>
      </c>
      <c r="AL38" s="32" t="str">
        <f>'St of Activities - GA Exp'!A38</f>
        <v>Beachwood City SD</v>
      </c>
      <c r="AN38" s="32" t="b">
        <f t="shared" si="7"/>
        <v>1</v>
      </c>
      <c r="AR38" s="32" t="str">
        <f t="shared" si="8"/>
        <v>Cuyahoga</v>
      </c>
      <c r="AS38" s="32" t="str">
        <f>'St of Activites - GA Rev'!C38</f>
        <v>Cuyahoga</v>
      </c>
      <c r="AT38" s="32" t="b">
        <f t="shared" si="2"/>
        <v>1</v>
      </c>
      <c r="AU38" s="32" t="str">
        <f>'St of Activities - GA Exp'!C38</f>
        <v>Cuyahoga</v>
      </c>
      <c r="AW38" s="32" t="b">
        <f t="shared" si="9"/>
        <v>1</v>
      </c>
    </row>
    <row r="39" spans="1:49">
      <c r="A39" s="12" t="s">
        <v>252</v>
      </c>
      <c r="B39" s="12"/>
      <c r="C39" s="12" t="s">
        <v>112</v>
      </c>
      <c r="D39" s="12"/>
      <c r="E39" s="29">
        <v>46425</v>
      </c>
      <c r="G39" s="7">
        <f t="shared" si="3"/>
        <v>7945019</v>
      </c>
      <c r="I39" s="7">
        <f>496847+3517593</f>
        <v>4014440</v>
      </c>
      <c r="K39" s="7">
        <v>11959459</v>
      </c>
      <c r="M39" s="7">
        <f t="shared" si="4"/>
        <v>8307714</v>
      </c>
      <c r="O39" s="7">
        <v>538822</v>
      </c>
      <c r="Q39" s="7">
        <v>1308719</v>
      </c>
      <c r="S39" s="7">
        <v>10155255</v>
      </c>
      <c r="U39" s="7">
        <v>3419571</v>
      </c>
      <c r="W39" s="7">
        <f>AA39-Y39-U39</f>
        <v>376889</v>
      </c>
      <c r="Y39" s="7">
        <v>-1992256</v>
      </c>
      <c r="AA39" s="7">
        <v>1804204</v>
      </c>
      <c r="AB39" s="7">
        <f t="shared" si="0"/>
        <v>0</v>
      </c>
      <c r="AD39" s="32">
        <f>+G39+I39+-M39-O39-U39-W39-Y39-Q39</f>
        <v>0</v>
      </c>
      <c r="AF39" s="32"/>
      <c r="AH39" s="32" t="str">
        <f>'St of Activites - GA Rev'!A39</f>
        <v>Beaver Local SD</v>
      </c>
      <c r="AI39" s="32" t="str">
        <f t="shared" si="6"/>
        <v>Beaver Local SD</v>
      </c>
      <c r="AJ39" s="32" t="b">
        <f t="shared" si="1"/>
        <v>1</v>
      </c>
      <c r="AL39" s="32" t="str">
        <f>'St of Activities - GA Exp'!A39</f>
        <v>Beaver Local SD</v>
      </c>
      <c r="AN39" s="32" t="b">
        <f t="shared" si="7"/>
        <v>1</v>
      </c>
      <c r="AR39" s="32" t="str">
        <f t="shared" si="8"/>
        <v>Columbiana</v>
      </c>
      <c r="AS39" s="32" t="str">
        <f>'St of Activites - GA Rev'!C39</f>
        <v>Columbiana</v>
      </c>
      <c r="AT39" s="32" t="b">
        <f t="shared" si="2"/>
        <v>1</v>
      </c>
      <c r="AU39" s="32" t="str">
        <f>'St of Activities - GA Exp'!C39</f>
        <v>Columbiana</v>
      </c>
      <c r="AW39" s="32" t="b">
        <f t="shared" si="9"/>
        <v>1</v>
      </c>
    </row>
    <row r="40" spans="1:49">
      <c r="A40" s="12" t="s">
        <v>325</v>
      </c>
      <c r="B40" s="12"/>
      <c r="C40" s="12" t="s">
        <v>114</v>
      </c>
      <c r="D40" s="12"/>
      <c r="E40" s="29">
        <v>47241</v>
      </c>
      <c r="G40" s="7">
        <f t="shared" si="3"/>
        <v>156475546</v>
      </c>
      <c r="I40" s="7">
        <f>27935701+21494062</f>
        <v>49429763</v>
      </c>
      <c r="K40" s="7">
        <v>205905309</v>
      </c>
      <c r="M40" s="7">
        <f t="shared" si="4"/>
        <v>60647881</v>
      </c>
      <c r="O40" s="7">
        <v>3731925</v>
      </c>
      <c r="Q40" s="7">
        <v>111200425</v>
      </c>
      <c r="S40" s="7">
        <v>175580231</v>
      </c>
      <c r="U40" s="7">
        <v>-1290495</v>
      </c>
      <c r="W40" s="7">
        <f t="shared" si="5"/>
        <v>12047767</v>
      </c>
      <c r="Y40" s="7">
        <v>19567806</v>
      </c>
      <c r="AA40" s="7">
        <v>30325078</v>
      </c>
      <c r="AB40" s="7">
        <f t="shared" si="0"/>
        <v>0</v>
      </c>
      <c r="AD40" s="32">
        <f t="shared" si="10"/>
        <v>0</v>
      </c>
      <c r="AF40" s="32"/>
      <c r="AH40" s="32" t="str">
        <f>'St of Activites - GA Rev'!A40</f>
        <v>Beavercreek City SD</v>
      </c>
      <c r="AI40" s="32" t="str">
        <f t="shared" si="6"/>
        <v>Beavercreek City SD</v>
      </c>
      <c r="AJ40" s="32" t="b">
        <f t="shared" si="1"/>
        <v>1</v>
      </c>
      <c r="AL40" s="32" t="str">
        <f>'St of Activities - GA Exp'!A40</f>
        <v>Beavercreek City SD</v>
      </c>
      <c r="AN40" s="32" t="b">
        <f t="shared" si="7"/>
        <v>1</v>
      </c>
      <c r="AR40" s="32" t="str">
        <f t="shared" si="8"/>
        <v>Greene</v>
      </c>
      <c r="AS40" s="32" t="str">
        <f>'St of Activites - GA Rev'!C40</f>
        <v>Greene</v>
      </c>
      <c r="AT40" s="32" t="b">
        <f t="shared" si="2"/>
        <v>1</v>
      </c>
      <c r="AU40" s="32" t="str">
        <f>'St of Activities - GA Exp'!C40</f>
        <v>Greene</v>
      </c>
      <c r="AW40" s="32" t="b">
        <f t="shared" si="9"/>
        <v>1</v>
      </c>
    </row>
    <row r="41" spans="1:49">
      <c r="A41" s="12" t="s">
        <v>268</v>
      </c>
      <c r="B41" s="12"/>
      <c r="C41" s="12" t="s">
        <v>20</v>
      </c>
      <c r="D41" s="12"/>
      <c r="E41" s="29">
        <v>43562</v>
      </c>
      <c r="G41" s="7">
        <f t="shared" si="3"/>
        <v>57582811</v>
      </c>
      <c r="I41" s="7">
        <f>144360+18718673</f>
        <v>18863033</v>
      </c>
      <c r="K41" s="7">
        <v>76445844</v>
      </c>
      <c r="M41" s="7">
        <f t="shared" si="4"/>
        <v>29850585</v>
      </c>
      <c r="O41" s="7">
        <v>2810335</v>
      </c>
      <c r="Q41" s="7">
        <v>6321716</v>
      </c>
      <c r="S41" s="7">
        <v>38982636</v>
      </c>
      <c r="U41" s="7">
        <v>15853913</v>
      </c>
      <c r="W41" s="7">
        <f t="shared" si="5"/>
        <v>2993423</v>
      </c>
      <c r="Y41" s="7">
        <v>18615872</v>
      </c>
      <c r="AA41" s="7">
        <v>37463208</v>
      </c>
      <c r="AB41" s="7">
        <f t="shared" si="0"/>
        <v>0</v>
      </c>
      <c r="AD41" s="32">
        <f t="shared" si="10"/>
        <v>0</v>
      </c>
      <c r="AF41" s="32"/>
      <c r="AH41" s="32" t="str">
        <f>'St of Activites - GA Rev'!A41</f>
        <v>Bedford City SD</v>
      </c>
      <c r="AI41" s="32" t="str">
        <f t="shared" si="6"/>
        <v>Bedford City SD</v>
      </c>
      <c r="AJ41" s="32" t="b">
        <f t="shared" si="1"/>
        <v>1</v>
      </c>
      <c r="AL41" s="32" t="str">
        <f>'St of Activities - GA Exp'!A41</f>
        <v>Bedford City SD</v>
      </c>
      <c r="AN41" s="32" t="b">
        <f t="shared" si="7"/>
        <v>1</v>
      </c>
      <c r="AR41" s="32" t="str">
        <f t="shared" si="8"/>
        <v>Cuyahoga</v>
      </c>
      <c r="AS41" s="32" t="str">
        <f>'St of Activites - GA Rev'!C41</f>
        <v>Cuyahoga</v>
      </c>
      <c r="AT41" s="32" t="b">
        <f t="shared" si="2"/>
        <v>1</v>
      </c>
      <c r="AU41" s="32" t="str">
        <f>'St of Activities - GA Exp'!C41</f>
        <v>Cuyahoga</v>
      </c>
      <c r="AW41" s="32" t="b">
        <f t="shared" si="9"/>
        <v>1</v>
      </c>
    </row>
    <row r="42" spans="1:49">
      <c r="A42" s="12" t="s">
        <v>216</v>
      </c>
      <c r="B42" s="12"/>
      <c r="C42" s="12" t="s">
        <v>15</v>
      </c>
      <c r="D42" s="12"/>
      <c r="E42" s="29">
        <v>43570</v>
      </c>
      <c r="F42" s="10"/>
      <c r="G42" s="7">
        <f t="shared" si="3"/>
        <v>7160642</v>
      </c>
      <c r="I42" s="7">
        <f>718812+19231490</f>
        <v>19950302</v>
      </c>
      <c r="K42" s="7">
        <v>27110944</v>
      </c>
      <c r="M42" s="7">
        <f t="shared" si="4"/>
        <v>7809125</v>
      </c>
      <c r="O42" s="7">
        <v>379457</v>
      </c>
      <c r="Q42" s="7">
        <v>3896462</v>
      </c>
      <c r="S42" s="7">
        <v>12085044</v>
      </c>
      <c r="U42" s="7">
        <v>17244772</v>
      </c>
      <c r="W42" s="7">
        <f t="shared" si="5"/>
        <v>2925317</v>
      </c>
      <c r="Y42" s="7">
        <v>-5144189</v>
      </c>
      <c r="AA42" s="7">
        <v>15025900</v>
      </c>
      <c r="AB42" s="7">
        <f t="shared" si="0"/>
        <v>0</v>
      </c>
      <c r="AD42" s="32">
        <f t="shared" si="10"/>
        <v>0</v>
      </c>
      <c r="AF42" s="32"/>
      <c r="AH42" s="32" t="str">
        <f>'St of Activites - GA Rev'!A42</f>
        <v>Bellaire Local SD</v>
      </c>
      <c r="AI42" s="32" t="str">
        <f t="shared" si="6"/>
        <v>Bellaire Local SD</v>
      </c>
      <c r="AJ42" s="32" t="b">
        <f t="shared" si="1"/>
        <v>1</v>
      </c>
      <c r="AL42" s="32" t="str">
        <f>'St of Activities - GA Exp'!A42</f>
        <v>Bellaire Local SD</v>
      </c>
      <c r="AN42" s="32" t="b">
        <f t="shared" si="7"/>
        <v>1</v>
      </c>
      <c r="AR42" s="32" t="str">
        <f t="shared" si="8"/>
        <v>Belmont</v>
      </c>
      <c r="AS42" s="32" t="str">
        <f>'St of Activites - GA Rev'!C42</f>
        <v>Belmont</v>
      </c>
      <c r="AT42" s="32" t="b">
        <f t="shared" si="2"/>
        <v>1</v>
      </c>
      <c r="AU42" s="32" t="str">
        <f>'St of Activities - GA Exp'!C42</f>
        <v>Belmont</v>
      </c>
      <c r="AW42" s="32" t="b">
        <f t="shared" si="9"/>
        <v>1</v>
      </c>
    </row>
    <row r="43" spans="1:49">
      <c r="A43" s="11" t="s">
        <v>796</v>
      </c>
      <c r="B43" s="11"/>
      <c r="C43" s="11" t="s">
        <v>114</v>
      </c>
      <c r="D43" s="12"/>
      <c r="E43" s="29"/>
      <c r="F43" s="10"/>
      <c r="G43" s="7">
        <f t="shared" ref="G43" si="11">+K43-I43</f>
        <v>22879528</v>
      </c>
      <c r="I43" s="7">
        <f>3432055+49311997</f>
        <v>52744052</v>
      </c>
      <c r="K43" s="7">
        <v>75623580</v>
      </c>
      <c r="M43" s="7">
        <f t="shared" ref="M43" si="12">+S43-O43-Q43</f>
        <v>20282734</v>
      </c>
      <c r="O43" s="7">
        <v>1884523</v>
      </c>
      <c r="Q43" s="7">
        <v>46382158</v>
      </c>
      <c r="S43" s="7">
        <v>68549415</v>
      </c>
      <c r="U43" s="7">
        <v>6942620</v>
      </c>
      <c r="W43" s="7">
        <f t="shared" ref="W43" si="13">AA43-Y43-U43</f>
        <v>491859</v>
      </c>
      <c r="Y43" s="7">
        <v>-360314</v>
      </c>
      <c r="AA43" s="7">
        <v>7074165</v>
      </c>
      <c r="AB43" s="7">
        <f t="shared" si="0"/>
        <v>0</v>
      </c>
      <c r="AD43" s="32">
        <f t="shared" si="10"/>
        <v>0</v>
      </c>
      <c r="AE43" s="7" t="s">
        <v>780</v>
      </c>
      <c r="AF43" s="32"/>
      <c r="AH43" s="32" t="str">
        <f>'St of Activites - GA Rev'!A43</f>
        <v>Bellbrook-Sugarcreek Local SD</v>
      </c>
      <c r="AI43" s="32" t="str">
        <f t="shared" ref="AI43" si="14">A43</f>
        <v>Bellbrook-Sugarcreek Local SD</v>
      </c>
      <c r="AJ43" s="32" t="b">
        <f t="shared" si="1"/>
        <v>1</v>
      </c>
      <c r="AL43" s="32" t="str">
        <f>'St of Activities - GA Exp'!A43</f>
        <v>Bellbrook-Sugarcreek Local SD</v>
      </c>
      <c r="AN43" s="32" t="b">
        <f t="shared" si="7"/>
        <v>1</v>
      </c>
      <c r="AR43" s="32" t="str">
        <f t="shared" si="8"/>
        <v>Greene</v>
      </c>
      <c r="AS43" s="32" t="str">
        <f>'St of Activites - GA Rev'!C43</f>
        <v>Greene</v>
      </c>
      <c r="AT43" s="32" t="b">
        <f t="shared" si="2"/>
        <v>1</v>
      </c>
      <c r="AU43" s="32" t="str">
        <f>'St of Activities - GA Exp'!C43</f>
        <v>Greene</v>
      </c>
      <c r="AW43" s="32" t="b">
        <f t="shared" si="9"/>
        <v>1</v>
      </c>
    </row>
    <row r="44" spans="1:49">
      <c r="A44" s="12" t="s">
        <v>365</v>
      </c>
      <c r="B44" s="12"/>
      <c r="C44" s="12" t="s">
        <v>37</v>
      </c>
      <c r="D44" s="12"/>
      <c r="E44" s="29">
        <v>43596</v>
      </c>
      <c r="G44" s="7">
        <f t="shared" si="3"/>
        <v>53580710</v>
      </c>
      <c r="I44" s="7">
        <v>10888262</v>
      </c>
      <c r="K44" s="7">
        <v>64468972</v>
      </c>
      <c r="M44" s="7">
        <f t="shared" si="4"/>
        <v>9666588</v>
      </c>
      <c r="O44" s="7">
        <v>989709</v>
      </c>
      <c r="Q44" s="7">
        <v>25768620</v>
      </c>
      <c r="S44" s="7">
        <v>36424917</v>
      </c>
      <c r="U44" s="7">
        <v>10276025</v>
      </c>
      <c r="W44" s="7">
        <f t="shared" si="5"/>
        <v>13574241</v>
      </c>
      <c r="Y44" s="7">
        <v>4193789</v>
      </c>
      <c r="AA44" s="7">
        <v>28044055</v>
      </c>
      <c r="AB44" s="7">
        <f t="shared" si="0"/>
        <v>0</v>
      </c>
      <c r="AD44" s="32">
        <f t="shared" si="10"/>
        <v>0</v>
      </c>
      <c r="AF44" s="32"/>
      <c r="AH44" s="32" t="str">
        <f>'St of Activites - GA Rev'!A44</f>
        <v>Bellevue City SD</v>
      </c>
      <c r="AI44" s="32" t="str">
        <f t="shared" si="6"/>
        <v>Bellevue City SD</v>
      </c>
      <c r="AJ44" s="32" t="b">
        <f t="shared" si="1"/>
        <v>1</v>
      </c>
      <c r="AL44" s="32" t="str">
        <f>'St of Activities - GA Exp'!A44</f>
        <v>Bellevue City SD</v>
      </c>
      <c r="AN44" s="32" t="b">
        <f t="shared" si="7"/>
        <v>1</v>
      </c>
      <c r="AR44" s="32" t="str">
        <f t="shared" si="8"/>
        <v>Huron</v>
      </c>
      <c r="AS44" s="32" t="str">
        <f>'St of Activites - GA Rev'!C44</f>
        <v>Huron</v>
      </c>
      <c r="AT44" s="32" t="b">
        <f t="shared" si="2"/>
        <v>1</v>
      </c>
      <c r="AU44" s="32" t="str">
        <f>'St of Activities - GA Exp'!C44</f>
        <v>Huron</v>
      </c>
      <c r="AW44" s="32" t="b">
        <f t="shared" si="9"/>
        <v>1</v>
      </c>
    </row>
    <row r="45" spans="1:49">
      <c r="A45" s="12" t="s">
        <v>564</v>
      </c>
      <c r="B45" s="12"/>
      <c r="C45" s="12" t="s">
        <v>70</v>
      </c>
      <c r="D45" s="12"/>
      <c r="E45" s="29">
        <v>43604</v>
      </c>
      <c r="G45" s="7">
        <f t="shared" si="3"/>
        <v>6264745</v>
      </c>
      <c r="I45" s="7">
        <v>6021723</v>
      </c>
      <c r="K45" s="7">
        <v>12286468</v>
      </c>
      <c r="M45" s="7">
        <f t="shared" si="4"/>
        <v>4964302</v>
      </c>
      <c r="O45" s="7">
        <v>46025</v>
      </c>
      <c r="Q45" s="7">
        <v>522706</v>
      </c>
      <c r="S45" s="7">
        <v>5533033</v>
      </c>
      <c r="U45" s="7">
        <v>6021723</v>
      </c>
      <c r="W45" s="7">
        <f t="shared" si="5"/>
        <v>510981</v>
      </c>
      <c r="Y45" s="7">
        <v>220731</v>
      </c>
      <c r="AA45" s="7">
        <v>6753435</v>
      </c>
      <c r="AB45" s="7">
        <f t="shared" ref="AB45:AB76" si="15">+K45-S45-AA45</f>
        <v>0</v>
      </c>
      <c r="AD45" s="32">
        <f t="shared" si="10"/>
        <v>0</v>
      </c>
      <c r="AF45" s="32"/>
      <c r="AH45" s="32" t="str">
        <f>'St of Activites - GA Rev'!A45</f>
        <v>Belpre City SD</v>
      </c>
      <c r="AI45" s="32" t="str">
        <f t="shared" si="6"/>
        <v>Belpre City SD</v>
      </c>
      <c r="AJ45" s="32" t="b">
        <f t="shared" si="1"/>
        <v>1</v>
      </c>
      <c r="AL45" s="32" t="str">
        <f>'St of Activities - GA Exp'!A45</f>
        <v>Belpre City SD</v>
      </c>
      <c r="AN45" s="32" t="b">
        <f t="shared" si="7"/>
        <v>1</v>
      </c>
      <c r="AR45" s="32" t="str">
        <f t="shared" si="8"/>
        <v>Washington</v>
      </c>
      <c r="AS45" s="32" t="str">
        <f>'St of Activites - GA Rev'!C45</f>
        <v>Washington</v>
      </c>
      <c r="AT45" s="32" t="b">
        <f t="shared" si="2"/>
        <v>1</v>
      </c>
      <c r="AU45" s="32" t="str">
        <f>'St of Activities - GA Exp'!C45</f>
        <v>Washington</v>
      </c>
      <c r="AW45" s="32" t="b">
        <f t="shared" si="9"/>
        <v>1</v>
      </c>
    </row>
    <row r="46" spans="1:49">
      <c r="A46" s="12" t="s">
        <v>463</v>
      </c>
      <c r="B46" s="12"/>
      <c r="C46" s="12" t="s">
        <v>53</v>
      </c>
      <c r="D46" s="12"/>
      <c r="E46" s="29">
        <v>48926</v>
      </c>
      <c r="G46" s="7">
        <f t="shared" si="3"/>
        <v>14631376</v>
      </c>
      <c r="I46" s="7">
        <v>10686125</v>
      </c>
      <c r="K46" s="7">
        <v>25317501</v>
      </c>
      <c r="M46" s="7">
        <f t="shared" si="4"/>
        <v>10014365</v>
      </c>
      <c r="O46" s="7">
        <v>132283</v>
      </c>
      <c r="Q46" s="7">
        <v>1605933</v>
      </c>
      <c r="S46" s="7">
        <v>11752581</v>
      </c>
      <c r="U46" s="7">
        <v>10686125</v>
      </c>
      <c r="W46" s="7">
        <f t="shared" si="5"/>
        <v>3075005</v>
      </c>
      <c r="Y46" s="7">
        <v>-196210</v>
      </c>
      <c r="AA46" s="7">
        <v>13564920</v>
      </c>
      <c r="AB46" s="7">
        <f t="shared" si="15"/>
        <v>0</v>
      </c>
      <c r="AD46" s="32">
        <f t="shared" si="10"/>
        <v>0</v>
      </c>
      <c r="AF46" s="32"/>
      <c r="AH46" s="32" t="str">
        <f>'St of Activites - GA Rev'!A46</f>
        <v>Benton Carroll Salem Local SD</v>
      </c>
      <c r="AI46" s="32" t="str">
        <f t="shared" si="6"/>
        <v>Benton Carroll Salem Local SD</v>
      </c>
      <c r="AJ46" s="32" t="b">
        <f t="shared" si="1"/>
        <v>1</v>
      </c>
      <c r="AL46" s="32" t="str">
        <f>'St of Activities - GA Exp'!A46</f>
        <v>Benton Carroll Salem Local SD</v>
      </c>
      <c r="AN46" s="32" t="b">
        <f t="shared" si="7"/>
        <v>1</v>
      </c>
      <c r="AR46" s="32" t="str">
        <f t="shared" si="8"/>
        <v>Ottawa</v>
      </c>
      <c r="AS46" s="32" t="str">
        <f>'St of Activites - GA Rev'!C46</f>
        <v>Ottawa</v>
      </c>
      <c r="AT46" s="32" t="b">
        <f t="shared" si="2"/>
        <v>1</v>
      </c>
      <c r="AU46" s="32" t="str">
        <f>'St of Activities - GA Exp'!C46</f>
        <v>Ottawa</v>
      </c>
      <c r="AW46" s="32" t="b">
        <f t="shared" si="9"/>
        <v>1</v>
      </c>
    </row>
    <row r="47" spans="1:49">
      <c r="A47" s="12" t="s">
        <v>269</v>
      </c>
      <c r="B47" s="12"/>
      <c r="C47" s="12" t="s">
        <v>20</v>
      </c>
      <c r="D47" s="12"/>
      <c r="E47" s="29">
        <v>43612</v>
      </c>
      <c r="G47" s="7">
        <f t="shared" si="3"/>
        <v>83610403</v>
      </c>
      <c r="I47" s="7">
        <f>24208069+25253337</f>
        <v>49461406</v>
      </c>
      <c r="K47" s="7">
        <v>133071809</v>
      </c>
      <c r="M47" s="7">
        <f t="shared" si="4"/>
        <v>56174611</v>
      </c>
      <c r="O47" s="7">
        <v>1996412</v>
      </c>
      <c r="Q47" s="7">
        <v>39870823</v>
      </c>
      <c r="S47" s="7">
        <v>98041846</v>
      </c>
      <c r="U47" s="7">
        <v>14236886</v>
      </c>
      <c r="W47" s="7">
        <f t="shared" si="5"/>
        <v>7530189</v>
      </c>
      <c r="Y47" s="7">
        <v>13262888</v>
      </c>
      <c r="AA47" s="7">
        <v>35029963</v>
      </c>
      <c r="AB47" s="7">
        <f t="shared" si="15"/>
        <v>0</v>
      </c>
      <c r="AD47" s="32">
        <f t="shared" si="10"/>
        <v>0</v>
      </c>
      <c r="AE47" s="9" t="s">
        <v>781</v>
      </c>
      <c r="AF47" s="32"/>
      <c r="AH47" s="32" t="str">
        <f>'St of Activites - GA Rev'!A47</f>
        <v>Berea City SD</v>
      </c>
      <c r="AI47" s="32" t="str">
        <f t="shared" si="6"/>
        <v>Berea City SD</v>
      </c>
      <c r="AJ47" s="32" t="b">
        <f t="shared" si="1"/>
        <v>1</v>
      </c>
      <c r="AL47" s="32" t="str">
        <f>'St of Activities - GA Exp'!A47</f>
        <v>Berea City SD</v>
      </c>
      <c r="AN47" s="32" t="b">
        <f t="shared" si="7"/>
        <v>1</v>
      </c>
      <c r="AR47" s="32" t="str">
        <f t="shared" si="8"/>
        <v>Cuyahoga</v>
      </c>
      <c r="AS47" s="32" t="str">
        <f>'St of Activites - GA Rev'!C47</f>
        <v>Cuyahoga</v>
      </c>
      <c r="AT47" s="32" t="b">
        <f t="shared" si="2"/>
        <v>1</v>
      </c>
      <c r="AU47" s="32" t="str">
        <f>'St of Activities - GA Exp'!C47</f>
        <v>Cuyahoga</v>
      </c>
      <c r="AW47" s="32" t="b">
        <f t="shared" si="9"/>
        <v>1</v>
      </c>
    </row>
    <row r="48" spans="1:49">
      <c r="A48" s="12" t="s">
        <v>668</v>
      </c>
      <c r="B48" s="12"/>
      <c r="C48" s="12" t="s">
        <v>30</v>
      </c>
      <c r="D48" s="12"/>
      <c r="E48" s="29">
        <v>47167</v>
      </c>
      <c r="G48" s="7">
        <f t="shared" si="3"/>
        <v>8278739</v>
      </c>
      <c r="I48" s="7">
        <f>13810+3390840</f>
        <v>3404650</v>
      </c>
      <c r="K48" s="7">
        <v>11683389</v>
      </c>
      <c r="M48" s="7">
        <f t="shared" si="4"/>
        <v>5694669</v>
      </c>
      <c r="O48" s="7">
        <v>279315</v>
      </c>
      <c r="Q48" s="7">
        <v>747741</v>
      </c>
      <c r="S48" s="7">
        <v>6721725</v>
      </c>
      <c r="U48" s="7">
        <v>3404650</v>
      </c>
      <c r="W48" s="7">
        <f t="shared" si="5"/>
        <v>273695</v>
      </c>
      <c r="Y48" s="7">
        <v>1283319</v>
      </c>
      <c r="AA48" s="7">
        <v>4961664</v>
      </c>
      <c r="AB48" s="7">
        <f t="shared" si="15"/>
        <v>0</v>
      </c>
      <c r="AD48" s="32">
        <f t="shared" si="10"/>
        <v>0</v>
      </c>
      <c r="AF48" s="32"/>
      <c r="AH48" s="32" t="str">
        <f>'St of Activites - GA Rev'!A48</f>
        <v xml:space="preserve">Berkshire Local SD </v>
      </c>
      <c r="AI48" s="32" t="str">
        <f t="shared" si="6"/>
        <v xml:space="preserve">Berkshire Local SD </v>
      </c>
      <c r="AJ48" s="32" t="b">
        <f t="shared" si="1"/>
        <v>1</v>
      </c>
      <c r="AL48" s="32" t="str">
        <f>'St of Activities - GA Exp'!A48</f>
        <v xml:space="preserve">Berkshire Local SD </v>
      </c>
      <c r="AN48" s="32" t="b">
        <f t="shared" si="7"/>
        <v>1</v>
      </c>
      <c r="AR48" s="32" t="str">
        <f t="shared" si="8"/>
        <v>Geauga</v>
      </c>
      <c r="AS48" s="32" t="str">
        <f>'St of Activites - GA Rev'!C48</f>
        <v>Geauga</v>
      </c>
      <c r="AT48" s="32" t="b">
        <f t="shared" si="2"/>
        <v>1</v>
      </c>
      <c r="AU48" s="32" t="str">
        <f>'St of Activities - GA Exp'!C48</f>
        <v>Geauga</v>
      </c>
      <c r="AW48" s="32" t="b">
        <f t="shared" si="9"/>
        <v>1</v>
      </c>
    </row>
    <row r="49" spans="1:49">
      <c r="A49" s="12" t="s">
        <v>291</v>
      </c>
      <c r="B49" s="12"/>
      <c r="C49" s="12" t="s">
        <v>24</v>
      </c>
      <c r="D49" s="12"/>
      <c r="E49" s="29">
        <v>46789</v>
      </c>
      <c r="G49" s="7">
        <f t="shared" si="3"/>
        <v>14149585</v>
      </c>
      <c r="I49" s="7">
        <v>3996660</v>
      </c>
      <c r="K49" s="7">
        <v>18146245</v>
      </c>
      <c r="M49" s="7">
        <f t="shared" si="4"/>
        <v>7699924</v>
      </c>
      <c r="O49" s="7">
        <v>46500</v>
      </c>
      <c r="Q49" s="7">
        <v>723435</v>
      </c>
      <c r="S49" s="7">
        <v>8469859</v>
      </c>
      <c r="U49" s="7">
        <v>3863827</v>
      </c>
      <c r="W49" s="7">
        <f t="shared" si="5"/>
        <v>2299608</v>
      </c>
      <c r="Y49" s="7">
        <v>3512951</v>
      </c>
      <c r="AA49" s="7">
        <v>9676386</v>
      </c>
      <c r="AB49" s="7">
        <f t="shared" si="15"/>
        <v>0</v>
      </c>
      <c r="AD49" s="32">
        <f t="shared" si="10"/>
        <v>0</v>
      </c>
      <c r="AF49" s="32"/>
      <c r="AH49" s="32" t="str">
        <f>'St of Activites - GA Rev'!A49</f>
        <v>Berlin-Milan Local SD</v>
      </c>
      <c r="AI49" s="32" t="str">
        <f t="shared" si="6"/>
        <v>Berlin-Milan Local SD</v>
      </c>
      <c r="AJ49" s="32" t="b">
        <f t="shared" si="1"/>
        <v>1</v>
      </c>
      <c r="AL49" s="32" t="str">
        <f>'St of Activities - GA Exp'!A49</f>
        <v>Berlin-Milan Local SD</v>
      </c>
      <c r="AN49" s="32" t="b">
        <f t="shared" si="7"/>
        <v>1</v>
      </c>
      <c r="AR49" s="32" t="str">
        <f t="shared" si="8"/>
        <v>Erie</v>
      </c>
      <c r="AS49" s="32" t="str">
        <f>'St of Activites - GA Rev'!C49</f>
        <v>Erie</v>
      </c>
      <c r="AT49" s="32" t="b">
        <f t="shared" si="2"/>
        <v>1</v>
      </c>
      <c r="AU49" s="32" t="str">
        <f>'St of Activities - GA Exp'!C49</f>
        <v>Erie</v>
      </c>
      <c r="AW49" s="32" t="b">
        <f t="shared" si="9"/>
        <v>1</v>
      </c>
    </row>
    <row r="50" spans="1:49" s="65" customFormat="1" hidden="1">
      <c r="A50" s="63" t="s">
        <v>905</v>
      </c>
      <c r="B50" s="63"/>
      <c r="C50" s="63" t="s">
        <v>25</v>
      </c>
      <c r="D50" s="63"/>
      <c r="E50" s="64">
        <v>46854</v>
      </c>
      <c r="G50" s="65">
        <f t="shared" si="3"/>
        <v>0</v>
      </c>
      <c r="M50" s="65">
        <f t="shared" si="4"/>
        <v>0</v>
      </c>
      <c r="W50" s="65">
        <f t="shared" si="5"/>
        <v>0</v>
      </c>
      <c r="AB50" s="65">
        <f t="shared" si="15"/>
        <v>0</v>
      </c>
      <c r="AD50" s="66">
        <f t="shared" si="10"/>
        <v>0</v>
      </c>
      <c r="AE50" s="65" t="s">
        <v>903</v>
      </c>
      <c r="AF50" s="66"/>
      <c r="AH50" s="66" t="str">
        <f>'St of Activites - GA Rev'!A50</f>
        <v>Berne Union Local SD (CASH)</v>
      </c>
      <c r="AI50" s="66" t="str">
        <f t="shared" si="6"/>
        <v>Berne Union Local SD (CASH)</v>
      </c>
      <c r="AJ50" s="66" t="b">
        <f t="shared" si="1"/>
        <v>1</v>
      </c>
      <c r="AL50" s="66" t="str">
        <f>'St of Activities - GA Exp'!A50</f>
        <v>Berne Union Local SD (CASH)</v>
      </c>
      <c r="AN50" s="66" t="b">
        <f t="shared" si="7"/>
        <v>1</v>
      </c>
      <c r="AR50" s="66" t="str">
        <f t="shared" si="8"/>
        <v>Fairfield</v>
      </c>
      <c r="AS50" s="66" t="str">
        <f>'St of Activites - GA Rev'!C50</f>
        <v>Fairfield</v>
      </c>
      <c r="AT50" s="66" t="b">
        <f t="shared" si="2"/>
        <v>1</v>
      </c>
      <c r="AU50" s="66" t="str">
        <f>'St of Activities - GA Exp'!C50</f>
        <v>Fairfield</v>
      </c>
      <c r="AV50" s="86"/>
      <c r="AW50" s="66" t="b">
        <f t="shared" si="9"/>
        <v>1</v>
      </c>
    </row>
    <row r="51" spans="1:49">
      <c r="A51" s="12" t="s">
        <v>436</v>
      </c>
      <c r="B51" s="12"/>
      <c r="C51" s="12" t="s">
        <v>48</v>
      </c>
      <c r="D51" s="12"/>
      <c r="E51" s="29">
        <v>48611</v>
      </c>
      <c r="G51" s="7">
        <f t="shared" si="3"/>
        <v>5261799</v>
      </c>
      <c r="I51" s="7">
        <f>1165600+3369564</f>
        <v>4535164</v>
      </c>
      <c r="K51" s="7">
        <v>9796963</v>
      </c>
      <c r="M51" s="7">
        <f t="shared" si="4"/>
        <v>3845553</v>
      </c>
      <c r="O51" s="7">
        <v>173350</v>
      </c>
      <c r="Q51" s="7">
        <v>1755525</v>
      </c>
      <c r="S51" s="7">
        <v>5774428</v>
      </c>
      <c r="U51" s="7">
        <v>3002072</v>
      </c>
      <c r="W51" s="7">
        <f t="shared" si="5"/>
        <v>969728</v>
      </c>
      <c r="Y51" s="7">
        <v>50735</v>
      </c>
      <c r="AA51" s="7">
        <v>4022535</v>
      </c>
      <c r="AB51" s="7">
        <f t="shared" si="15"/>
        <v>0</v>
      </c>
      <c r="AD51" s="32">
        <f t="shared" si="10"/>
        <v>0</v>
      </c>
      <c r="AF51" s="32"/>
      <c r="AH51" s="32" t="str">
        <f>'St of Activites - GA Rev'!A51</f>
        <v>Bethel Local SD</v>
      </c>
      <c r="AI51" s="32" t="str">
        <f t="shared" si="6"/>
        <v>Bethel Local SD</v>
      </c>
      <c r="AJ51" s="32" t="b">
        <f t="shared" si="1"/>
        <v>1</v>
      </c>
      <c r="AL51" s="32" t="str">
        <f>'St of Activities - GA Exp'!A51</f>
        <v>Bethel Local SD</v>
      </c>
      <c r="AN51" s="32" t="b">
        <f t="shared" si="7"/>
        <v>1</v>
      </c>
      <c r="AR51" s="32" t="str">
        <f t="shared" si="8"/>
        <v>Miami</v>
      </c>
      <c r="AS51" s="32" t="str">
        <f>'St of Activites - GA Rev'!C51</f>
        <v>Miami</v>
      </c>
      <c r="AT51" s="32" t="b">
        <f t="shared" si="2"/>
        <v>1</v>
      </c>
      <c r="AU51" s="32" t="str">
        <f>'St of Activities - GA Exp'!C51</f>
        <v>Miami</v>
      </c>
      <c r="AW51" s="32" t="b">
        <f t="shared" si="9"/>
        <v>1</v>
      </c>
    </row>
    <row r="52" spans="1:49">
      <c r="A52" s="12" t="s">
        <v>243</v>
      </c>
      <c r="B52" s="12"/>
      <c r="C52" s="12" t="s">
        <v>113</v>
      </c>
      <c r="D52" s="12"/>
      <c r="E52" s="29">
        <v>46318</v>
      </c>
      <c r="F52" s="10"/>
      <c r="G52" s="7">
        <f t="shared" si="3"/>
        <v>8834555</v>
      </c>
      <c r="I52" s="7">
        <f>1712185+23504850</f>
        <v>25217035</v>
      </c>
      <c r="K52" s="7">
        <v>34051590</v>
      </c>
      <c r="M52" s="7">
        <f t="shared" si="4"/>
        <v>4594514</v>
      </c>
      <c r="O52" s="7">
        <v>449419</v>
      </c>
      <c r="Q52" s="7">
        <v>7323752</v>
      </c>
      <c r="S52" s="7">
        <v>12367685</v>
      </c>
      <c r="U52" s="7">
        <v>18608855</v>
      </c>
      <c r="W52" s="7">
        <f t="shared" si="5"/>
        <v>2369095</v>
      </c>
      <c r="Y52" s="7">
        <v>705955</v>
      </c>
      <c r="AA52" s="7">
        <v>21683905</v>
      </c>
      <c r="AB52" s="7">
        <f t="shared" si="15"/>
        <v>0</v>
      </c>
      <c r="AD52" s="32">
        <f t="shared" si="10"/>
        <v>0</v>
      </c>
      <c r="AF52" s="32"/>
      <c r="AH52" s="32" t="str">
        <f>'St of Activites - GA Rev'!A52</f>
        <v>Bethel-Tate Local SD</v>
      </c>
      <c r="AI52" s="32" t="str">
        <f t="shared" si="6"/>
        <v>Bethel-Tate Local SD</v>
      </c>
      <c r="AJ52" s="32" t="b">
        <f t="shared" si="1"/>
        <v>1</v>
      </c>
      <c r="AL52" s="32" t="str">
        <f>'St of Activities - GA Exp'!A52</f>
        <v>Bethel-Tate Local SD</v>
      </c>
      <c r="AN52" s="32" t="b">
        <f t="shared" si="7"/>
        <v>1</v>
      </c>
      <c r="AR52" s="32" t="str">
        <f t="shared" si="8"/>
        <v>Clermont</v>
      </c>
      <c r="AS52" s="32" t="str">
        <f>'St of Activites - GA Rev'!C52</f>
        <v>Clermont</v>
      </c>
      <c r="AT52" s="32" t="b">
        <f t="shared" si="2"/>
        <v>1</v>
      </c>
      <c r="AU52" s="32" t="str">
        <f>'St of Activities - GA Exp'!C52</f>
        <v>Clermont</v>
      </c>
      <c r="AW52" s="32" t="b">
        <f t="shared" si="9"/>
        <v>1</v>
      </c>
    </row>
    <row r="53" spans="1:49" s="65" customFormat="1" ht="12.75" hidden="1" customHeight="1">
      <c r="A53" s="63" t="s">
        <v>705</v>
      </c>
      <c r="B53" s="63"/>
      <c r="C53" s="63" t="s">
        <v>60</v>
      </c>
      <c r="D53" s="63"/>
      <c r="E53" s="64">
        <v>49692</v>
      </c>
      <c r="G53" s="65">
        <f t="shared" si="3"/>
        <v>0</v>
      </c>
      <c r="M53" s="65">
        <f t="shared" si="4"/>
        <v>0</v>
      </c>
      <c r="W53" s="65">
        <f t="shared" si="5"/>
        <v>0</v>
      </c>
      <c r="AB53" s="65">
        <f t="shared" si="15"/>
        <v>0</v>
      </c>
      <c r="AD53" s="66">
        <f t="shared" si="10"/>
        <v>0</v>
      </c>
      <c r="AE53" s="65" t="s">
        <v>778</v>
      </c>
      <c r="AF53" s="66"/>
      <c r="AH53" s="66" t="str">
        <f>'St of Activites - GA Rev'!A53</f>
        <v>Bettsville Local SD (CASH)</v>
      </c>
      <c r="AI53" s="66" t="str">
        <f t="shared" si="6"/>
        <v>Bettsville Local SD (CASH)</v>
      </c>
      <c r="AJ53" s="66" t="b">
        <f t="shared" si="1"/>
        <v>1</v>
      </c>
      <c r="AL53" s="66" t="str">
        <f>'St of Activities - GA Exp'!A53</f>
        <v>Bettsville Local SD (CASH)</v>
      </c>
      <c r="AN53" s="66" t="b">
        <f t="shared" si="7"/>
        <v>1</v>
      </c>
      <c r="AR53" s="66" t="str">
        <f t="shared" si="8"/>
        <v>Seneca</v>
      </c>
      <c r="AS53" s="66" t="str">
        <f>'St of Activites - GA Rev'!C53</f>
        <v>Seneca</v>
      </c>
      <c r="AT53" s="66" t="b">
        <f t="shared" si="2"/>
        <v>1</v>
      </c>
      <c r="AU53" s="66" t="str">
        <f>'St of Activities - GA Exp'!C53</f>
        <v>Seneca</v>
      </c>
      <c r="AV53" s="86"/>
      <c r="AW53" s="66" t="b">
        <f t="shared" si="9"/>
        <v>1</v>
      </c>
    </row>
    <row r="54" spans="1:49">
      <c r="A54" s="12" t="s">
        <v>305</v>
      </c>
      <c r="B54" s="12"/>
      <c r="C54" s="12" t="s">
        <v>27</v>
      </c>
      <c r="D54" s="12"/>
      <c r="E54" s="29">
        <v>43620</v>
      </c>
      <c r="G54" s="7">
        <f t="shared" si="3"/>
        <v>44962961</v>
      </c>
      <c r="I54" s="7">
        <f>154150+35255384</f>
        <v>35409534</v>
      </c>
      <c r="K54" s="7">
        <v>80372495</v>
      </c>
      <c r="M54" s="7">
        <f t="shared" si="4"/>
        <v>16883600</v>
      </c>
      <c r="O54" s="7">
        <v>2290000</v>
      </c>
      <c r="Q54" s="7">
        <v>25529641</v>
      </c>
      <c r="S54" s="7">
        <v>44703241</v>
      </c>
      <c r="U54" s="7">
        <v>11165323</v>
      </c>
      <c r="W54" s="7">
        <f t="shared" si="5"/>
        <v>3514954</v>
      </c>
      <c r="Y54" s="7">
        <v>20988977</v>
      </c>
      <c r="AA54" s="7">
        <v>35669254</v>
      </c>
      <c r="AB54" s="7">
        <f t="shared" si="15"/>
        <v>0</v>
      </c>
      <c r="AD54" s="32">
        <f t="shared" si="10"/>
        <v>0</v>
      </c>
      <c r="AF54" s="32"/>
      <c r="AH54" s="32" t="str">
        <f>'St of Activites - GA Rev'!A54</f>
        <v>Bexley City SD</v>
      </c>
      <c r="AI54" s="32" t="str">
        <f t="shared" si="6"/>
        <v>Bexley City SD</v>
      </c>
      <c r="AJ54" s="32" t="b">
        <f t="shared" si="1"/>
        <v>1</v>
      </c>
      <c r="AL54" s="32" t="str">
        <f>'St of Activities - GA Exp'!A54</f>
        <v>Bexley City SD</v>
      </c>
      <c r="AN54" s="32" t="b">
        <f t="shared" si="7"/>
        <v>1</v>
      </c>
      <c r="AR54" s="32" t="str">
        <f t="shared" si="8"/>
        <v>Franklin</v>
      </c>
      <c r="AS54" s="32" t="str">
        <f>'St of Activites - GA Rev'!C54</f>
        <v>Franklin</v>
      </c>
      <c r="AT54" s="32" t="b">
        <f t="shared" si="2"/>
        <v>1</v>
      </c>
      <c r="AU54" s="32" t="str">
        <f>'St of Activities - GA Exp'!C54</f>
        <v>Franklin</v>
      </c>
      <c r="AW54" s="32" t="b">
        <f t="shared" si="9"/>
        <v>1</v>
      </c>
    </row>
    <row r="55" spans="1:49" ht="12.75" customHeight="1">
      <c r="A55" s="12" t="s">
        <v>664</v>
      </c>
      <c r="B55" s="12"/>
      <c r="C55" s="12" t="s">
        <v>23</v>
      </c>
      <c r="D55" s="12"/>
      <c r="E55" s="29">
        <v>46748</v>
      </c>
      <c r="G55" s="7">
        <f t="shared" si="3"/>
        <v>35529974</v>
      </c>
      <c r="I55" s="7">
        <f>16343564+31625808</f>
        <v>47969372</v>
      </c>
      <c r="K55" s="7">
        <v>83499346</v>
      </c>
      <c r="M55" s="7">
        <f t="shared" si="4"/>
        <v>21897709</v>
      </c>
      <c r="O55" s="7">
        <v>1033757</v>
      </c>
      <c r="Q55" s="7">
        <v>45943697</v>
      </c>
      <c r="S55" s="7">
        <v>68875163</v>
      </c>
      <c r="U55" s="7">
        <v>8765794</v>
      </c>
      <c r="W55" s="7">
        <f t="shared" si="5"/>
        <v>2488004</v>
      </c>
      <c r="Y55" s="7">
        <v>3370385</v>
      </c>
      <c r="AA55" s="7">
        <v>14624183</v>
      </c>
      <c r="AB55" s="7">
        <f t="shared" si="15"/>
        <v>0</v>
      </c>
      <c r="AD55" s="32">
        <f>+G55+I55+-M55-O55-U55-W55-Y55-Q55</f>
        <v>0</v>
      </c>
      <c r="AF55" s="32"/>
      <c r="AH55" s="32" t="str">
        <f>'St of Activites - GA Rev'!A55</f>
        <v xml:space="preserve">Big Walnut Local SD </v>
      </c>
      <c r="AI55" s="32" t="str">
        <f t="shared" si="6"/>
        <v xml:space="preserve">Big Walnut Local SD </v>
      </c>
      <c r="AJ55" s="32" t="b">
        <f t="shared" si="1"/>
        <v>1</v>
      </c>
      <c r="AL55" s="32" t="str">
        <f>'St of Activities - GA Exp'!A55</f>
        <v xml:space="preserve">Big Walnut Local SD </v>
      </c>
      <c r="AN55" s="32" t="b">
        <f t="shared" si="7"/>
        <v>1</v>
      </c>
      <c r="AR55" s="32" t="str">
        <f t="shared" si="8"/>
        <v>Delaware</v>
      </c>
      <c r="AS55" s="32" t="str">
        <f>'St of Activites - GA Rev'!C55</f>
        <v>Delaware</v>
      </c>
      <c r="AT55" s="32" t="b">
        <f t="shared" si="2"/>
        <v>1</v>
      </c>
      <c r="AU55" s="32" t="str">
        <f>'St of Activities - GA Exp'!C55</f>
        <v>Delaware</v>
      </c>
      <c r="AW55" s="32" t="b">
        <f t="shared" si="9"/>
        <v>1</v>
      </c>
    </row>
    <row r="56" spans="1:49">
      <c r="A56" s="12" t="s">
        <v>427</v>
      </c>
      <c r="B56" s="12"/>
      <c r="C56" s="12" t="s">
        <v>47</v>
      </c>
      <c r="D56" s="12"/>
      <c r="E56" s="29">
        <v>48462</v>
      </c>
      <c r="G56" s="7">
        <f t="shared" si="3"/>
        <v>5974891</v>
      </c>
      <c r="I56" s="7">
        <v>10039879</v>
      </c>
      <c r="K56" s="7">
        <v>16014770</v>
      </c>
      <c r="M56" s="7">
        <f t="shared" si="4"/>
        <v>5965377</v>
      </c>
      <c r="O56" s="7">
        <v>563588</v>
      </c>
      <c r="Q56" s="7">
        <v>3374555</v>
      </c>
      <c r="S56" s="7">
        <v>9903520</v>
      </c>
      <c r="U56" s="7">
        <v>6854749</v>
      </c>
      <c r="W56" s="7">
        <f t="shared" si="5"/>
        <v>1360185</v>
      </c>
      <c r="Y56" s="7">
        <v>-2103684</v>
      </c>
      <c r="AA56" s="7">
        <v>6111250</v>
      </c>
      <c r="AB56" s="7">
        <f t="shared" si="15"/>
        <v>0</v>
      </c>
      <c r="AD56" s="32">
        <f t="shared" si="10"/>
        <v>0</v>
      </c>
      <c r="AF56" s="32"/>
      <c r="AH56" s="32" t="str">
        <f>'St of Activites - GA Rev'!A56</f>
        <v>Black River Local SD</v>
      </c>
      <c r="AI56" s="32" t="str">
        <f t="shared" si="6"/>
        <v>Black River Local SD</v>
      </c>
      <c r="AJ56" s="32" t="b">
        <f t="shared" si="1"/>
        <v>1</v>
      </c>
      <c r="AL56" s="32" t="str">
        <f>'St of Activities - GA Exp'!A56</f>
        <v>Black River Local SD</v>
      </c>
      <c r="AN56" s="32" t="b">
        <f t="shared" si="7"/>
        <v>1</v>
      </c>
      <c r="AR56" s="32" t="str">
        <f t="shared" si="8"/>
        <v>Medina</v>
      </c>
      <c r="AS56" s="32" t="str">
        <f>'St of Activites - GA Rev'!C56</f>
        <v>Medina</v>
      </c>
      <c r="AT56" s="32" t="b">
        <f t="shared" si="2"/>
        <v>1</v>
      </c>
      <c r="AU56" s="32" t="str">
        <f>'St of Activities - GA Exp'!C56</f>
        <v>Medina</v>
      </c>
      <c r="AW56" s="32" t="b">
        <f t="shared" si="9"/>
        <v>1</v>
      </c>
    </row>
    <row r="57" spans="1:49">
      <c r="A57" s="12" t="s">
        <v>248</v>
      </c>
      <c r="B57" s="12"/>
      <c r="C57" s="12" t="s">
        <v>18</v>
      </c>
      <c r="D57" s="12"/>
      <c r="E57" s="29">
        <v>46383</v>
      </c>
      <c r="F57" s="10"/>
      <c r="G57" s="7">
        <f t="shared" si="3"/>
        <v>7788891</v>
      </c>
      <c r="I57" s="7">
        <f>474430+20764147</f>
        <v>21238577</v>
      </c>
      <c r="K57" s="7">
        <v>29027468</v>
      </c>
      <c r="M57" s="7">
        <f t="shared" si="4"/>
        <v>4789549</v>
      </c>
      <c r="O57" s="7">
        <v>307938</v>
      </c>
      <c r="Q57" s="7">
        <v>3102810</v>
      </c>
      <c r="S57" s="7">
        <v>8200297</v>
      </c>
      <c r="U57" s="7">
        <v>18391139</v>
      </c>
      <c r="W57" s="7">
        <f t="shared" si="5"/>
        <v>2143890</v>
      </c>
      <c r="Y57" s="7">
        <v>292142</v>
      </c>
      <c r="AA57" s="7">
        <v>20827171</v>
      </c>
      <c r="AB57" s="7">
        <f t="shared" si="15"/>
        <v>0</v>
      </c>
      <c r="AD57" s="32">
        <f t="shared" si="10"/>
        <v>0</v>
      </c>
      <c r="AF57" s="32"/>
      <c r="AH57" s="32" t="str">
        <f>'St of Activites - GA Rev'!A57</f>
        <v>Blanchester Local SD</v>
      </c>
      <c r="AI57" s="32" t="str">
        <f t="shared" si="6"/>
        <v>Blanchester Local SD</v>
      </c>
      <c r="AJ57" s="32" t="b">
        <f t="shared" si="1"/>
        <v>1</v>
      </c>
      <c r="AL57" s="32" t="str">
        <f>'St of Activities - GA Exp'!A57</f>
        <v>Blanchester Local SD</v>
      </c>
      <c r="AN57" s="32" t="b">
        <f t="shared" si="7"/>
        <v>1</v>
      </c>
      <c r="AR57" s="32" t="str">
        <f t="shared" si="8"/>
        <v>Clinton</v>
      </c>
      <c r="AS57" s="32" t="str">
        <f>'St of Activites - GA Rev'!C57</f>
        <v>Clinton</v>
      </c>
      <c r="AT57" s="32" t="b">
        <f t="shared" si="2"/>
        <v>1</v>
      </c>
      <c r="AU57" s="32" t="str">
        <f>'St of Activities - GA Exp'!C57</f>
        <v>Clinton</v>
      </c>
      <c r="AW57" s="32" t="b">
        <f t="shared" si="9"/>
        <v>1</v>
      </c>
    </row>
    <row r="58" spans="1:49">
      <c r="A58" s="12" t="s">
        <v>299</v>
      </c>
      <c r="B58" s="12"/>
      <c r="C58" s="12" t="s">
        <v>25</v>
      </c>
      <c r="D58" s="12"/>
      <c r="E58" s="29">
        <v>46862</v>
      </c>
      <c r="G58" s="7">
        <f t="shared" si="3"/>
        <v>37356372</v>
      </c>
      <c r="I58" s="7">
        <f>4532012+3262877</f>
        <v>7794889</v>
      </c>
      <c r="K58" s="7">
        <v>45151261</v>
      </c>
      <c r="M58" s="7">
        <f t="shared" si="4"/>
        <v>10276597</v>
      </c>
      <c r="O58" s="7">
        <v>884495</v>
      </c>
      <c r="Q58" s="7">
        <v>25460160</v>
      </c>
      <c r="S58" s="7">
        <v>36621252</v>
      </c>
      <c r="U58" s="7">
        <v>4069611</v>
      </c>
      <c r="W58" s="7">
        <f t="shared" si="5"/>
        <v>2512449</v>
      </c>
      <c r="Y58" s="7">
        <v>1947949</v>
      </c>
      <c r="AA58" s="7">
        <v>8530009</v>
      </c>
      <c r="AB58" s="7">
        <f t="shared" si="15"/>
        <v>0</v>
      </c>
      <c r="AD58" s="32">
        <f t="shared" si="10"/>
        <v>0</v>
      </c>
      <c r="AF58" s="32"/>
      <c r="AH58" s="32" t="str">
        <f>'St of Activites - GA Rev'!A58</f>
        <v>Bloom-Carroll Local SD</v>
      </c>
      <c r="AI58" s="32" t="str">
        <f t="shared" si="6"/>
        <v>Bloom-Carroll Local SD</v>
      </c>
      <c r="AJ58" s="32" t="b">
        <f t="shared" si="1"/>
        <v>1</v>
      </c>
      <c r="AL58" s="32" t="str">
        <f>'St of Activities - GA Exp'!A58</f>
        <v>Bloom-Carroll Local SD</v>
      </c>
      <c r="AN58" s="32" t="b">
        <f t="shared" si="7"/>
        <v>1</v>
      </c>
      <c r="AR58" s="32" t="str">
        <f t="shared" si="8"/>
        <v>Fairfield</v>
      </c>
      <c r="AS58" s="32" t="str">
        <f>'St of Activites - GA Rev'!C58</f>
        <v>Fairfield</v>
      </c>
      <c r="AT58" s="32" t="b">
        <f t="shared" si="2"/>
        <v>1</v>
      </c>
      <c r="AU58" s="32" t="str">
        <f>'St of Activities - GA Exp'!C58</f>
        <v>Fairfield</v>
      </c>
      <c r="AW58" s="32" t="b">
        <f t="shared" si="9"/>
        <v>1</v>
      </c>
    </row>
    <row r="59" spans="1:49" ht="12.75" customHeight="1">
      <c r="A59" s="12" t="s">
        <v>534</v>
      </c>
      <c r="B59" s="12"/>
      <c r="C59" s="12" t="s">
        <v>64</v>
      </c>
      <c r="D59" s="12"/>
      <c r="E59" s="29">
        <v>50096</v>
      </c>
      <c r="G59" s="7">
        <f t="shared" si="3"/>
        <v>2594092</v>
      </c>
      <c r="I59" s="7">
        <v>1005045</v>
      </c>
      <c r="K59" s="7">
        <v>3599137</v>
      </c>
      <c r="M59" s="7">
        <f t="shared" si="4"/>
        <v>1719763</v>
      </c>
      <c r="O59" s="7">
        <v>77764</v>
      </c>
      <c r="Q59" s="7">
        <v>393587</v>
      </c>
      <c r="S59" s="7">
        <v>2191114</v>
      </c>
      <c r="U59" s="7">
        <v>730023</v>
      </c>
      <c r="W59" s="7">
        <f t="shared" si="5"/>
        <v>408249</v>
      </c>
      <c r="Y59" s="7">
        <v>269751</v>
      </c>
      <c r="AA59" s="7">
        <v>1408023</v>
      </c>
      <c r="AB59" s="7">
        <f t="shared" si="15"/>
        <v>0</v>
      </c>
      <c r="AD59" s="32">
        <f t="shared" si="10"/>
        <v>0</v>
      </c>
      <c r="AF59" s="32"/>
      <c r="AH59" s="32" t="str">
        <f>'St of Activites - GA Rev'!A59</f>
        <v>Bloomfield-Mespo Local SD</v>
      </c>
      <c r="AI59" s="32" t="str">
        <f t="shared" si="6"/>
        <v>Bloomfield-Mespo Local SD</v>
      </c>
      <c r="AJ59" s="32" t="b">
        <f t="shared" si="1"/>
        <v>1</v>
      </c>
      <c r="AL59" s="32" t="str">
        <f>'St of Activities - GA Exp'!A59</f>
        <v>Bloomfield-Mespo Local SD</v>
      </c>
      <c r="AN59" s="32" t="b">
        <f t="shared" si="7"/>
        <v>1</v>
      </c>
      <c r="AR59" s="32" t="str">
        <f t="shared" si="8"/>
        <v>Trumbull</v>
      </c>
      <c r="AS59" s="32" t="str">
        <f>'St of Activites - GA Rev'!C59</f>
        <v>Trumbull</v>
      </c>
      <c r="AT59" s="32" t="b">
        <f t="shared" si="2"/>
        <v>1</v>
      </c>
      <c r="AU59" s="32" t="str">
        <f>'St of Activities - GA Exp'!C59</f>
        <v>Trumbull</v>
      </c>
      <c r="AW59" s="32" t="b">
        <f t="shared" si="9"/>
        <v>1</v>
      </c>
    </row>
    <row r="60" spans="1:49">
      <c r="A60" s="12" t="s">
        <v>494</v>
      </c>
      <c r="B60" s="12"/>
      <c r="C60" s="12" t="s">
        <v>59</v>
      </c>
      <c r="D60" s="12"/>
      <c r="E60" s="29">
        <v>49593</v>
      </c>
      <c r="F60" s="26"/>
      <c r="G60" s="7">
        <f>+K60-I60</f>
        <v>4101263</v>
      </c>
      <c r="I60" s="7">
        <f>358790+16636889</f>
        <v>16995679</v>
      </c>
      <c r="K60" s="7">
        <v>21096942</v>
      </c>
      <c r="M60" s="7">
        <f t="shared" si="4"/>
        <v>2137957</v>
      </c>
      <c r="O60" s="7">
        <v>177842</v>
      </c>
      <c r="Q60" s="7">
        <v>1565850</v>
      </c>
      <c r="S60" s="7">
        <v>3881649</v>
      </c>
      <c r="U60" s="7">
        <v>15922467</v>
      </c>
      <c r="W60" s="7">
        <f>AA60-Y60-U60</f>
        <v>1147348</v>
      </c>
      <c r="Y60" s="7">
        <v>145478</v>
      </c>
      <c r="AA60" s="7">
        <v>17215293</v>
      </c>
      <c r="AB60" s="7">
        <f t="shared" si="15"/>
        <v>0</v>
      </c>
      <c r="AD60" s="32">
        <f>+G60+I60+-M60-O60-U60-W60-Y60-Q60</f>
        <v>0</v>
      </c>
      <c r="AF60" s="32"/>
      <c r="AH60" s="32" t="str">
        <f>'St of Activites - GA Rev'!A60</f>
        <v>Bloom-Vernon Local SD</v>
      </c>
      <c r="AI60" s="32" t="str">
        <f t="shared" si="6"/>
        <v>Bloom-Vernon Local SD</v>
      </c>
      <c r="AJ60" s="32" t="b">
        <f t="shared" si="1"/>
        <v>1</v>
      </c>
      <c r="AL60" s="32" t="str">
        <f>'St of Activities - GA Exp'!A60</f>
        <v>Bloom-Vernon Local SD</v>
      </c>
      <c r="AN60" s="32" t="b">
        <f t="shared" si="7"/>
        <v>1</v>
      </c>
      <c r="AR60" s="32" t="str">
        <f t="shared" si="8"/>
        <v>Scioto</v>
      </c>
      <c r="AS60" s="32" t="str">
        <f>'St of Activites - GA Rev'!C60</f>
        <v>Scioto</v>
      </c>
      <c r="AT60" s="32" t="b">
        <f t="shared" si="2"/>
        <v>1</v>
      </c>
      <c r="AU60" s="32" t="str">
        <f>'St of Activities - GA Exp'!C60</f>
        <v>Scioto</v>
      </c>
      <c r="AW60" s="32" t="b">
        <f t="shared" si="9"/>
        <v>1</v>
      </c>
    </row>
    <row r="61" spans="1:49" s="65" customFormat="1" hidden="1">
      <c r="A61" s="63" t="s">
        <v>676</v>
      </c>
      <c r="B61" s="63"/>
      <c r="C61" s="63" t="s">
        <v>10</v>
      </c>
      <c r="D61" s="63"/>
      <c r="E61" s="64">
        <v>49593</v>
      </c>
      <c r="F61" s="69"/>
      <c r="G61" s="65">
        <f t="shared" si="3"/>
        <v>0</v>
      </c>
      <c r="M61" s="65">
        <f t="shared" si="4"/>
        <v>0</v>
      </c>
      <c r="W61" s="65">
        <f t="shared" si="5"/>
        <v>0</v>
      </c>
      <c r="AB61" s="65">
        <f t="shared" si="15"/>
        <v>0</v>
      </c>
      <c r="AD61" s="66">
        <f t="shared" si="10"/>
        <v>0</v>
      </c>
      <c r="AE61" s="65" t="s">
        <v>778</v>
      </c>
      <c r="AF61" s="66"/>
      <c r="AH61" s="66" t="str">
        <f>'St of Activites - GA Rev'!A61</f>
        <v>Bluffton Ex Vill SD (OCBOA)</v>
      </c>
      <c r="AI61" s="66" t="str">
        <f t="shared" si="6"/>
        <v>Bluffton Ex Vill SD (OCBOA)</v>
      </c>
      <c r="AJ61" s="66" t="b">
        <f t="shared" si="1"/>
        <v>1</v>
      </c>
      <c r="AL61" s="66" t="str">
        <f>'St of Activities - GA Exp'!A61</f>
        <v>Bluffton Ex Vill SD (OCBOA)</v>
      </c>
      <c r="AN61" s="66" t="b">
        <f t="shared" si="7"/>
        <v>1</v>
      </c>
      <c r="AR61" s="66" t="str">
        <f t="shared" si="8"/>
        <v>Allen</v>
      </c>
      <c r="AS61" s="66" t="str">
        <f>'St of Activites - GA Rev'!C61</f>
        <v>Allen</v>
      </c>
      <c r="AT61" s="66" t="b">
        <f t="shared" si="2"/>
        <v>1</v>
      </c>
      <c r="AU61" s="66" t="str">
        <f>'St of Activities - GA Exp'!C61</f>
        <v>Allen</v>
      </c>
      <c r="AV61" s="86"/>
      <c r="AW61" s="66" t="b">
        <f t="shared" si="9"/>
        <v>1</v>
      </c>
    </row>
    <row r="62" spans="1:49">
      <c r="A62" s="12" t="s">
        <v>415</v>
      </c>
      <c r="B62" s="12"/>
      <c r="C62" s="12" t="s">
        <v>45</v>
      </c>
      <c r="D62" s="12"/>
      <c r="E62" s="29">
        <v>48306</v>
      </c>
      <c r="G62" s="7">
        <f t="shared" si="3"/>
        <v>44080537</v>
      </c>
      <c r="I62" s="7">
        <f>3745329+21622000</f>
        <v>25367329</v>
      </c>
      <c r="K62" s="7">
        <v>69447866</v>
      </c>
      <c r="M62" s="7">
        <f t="shared" si="4"/>
        <v>32959939</v>
      </c>
      <c r="O62" s="7">
        <v>1341396</v>
      </c>
      <c r="Q62" s="7">
        <v>11814289</v>
      </c>
      <c r="S62" s="7">
        <v>46115624</v>
      </c>
      <c r="U62" s="7">
        <v>15713312</v>
      </c>
      <c r="W62" s="7">
        <f t="shared" si="5"/>
        <v>1433133</v>
      </c>
      <c r="Y62" s="7">
        <v>6185797</v>
      </c>
      <c r="AA62" s="7">
        <v>23332242</v>
      </c>
      <c r="AB62" s="7">
        <f t="shared" si="15"/>
        <v>0</v>
      </c>
      <c r="AD62" s="32">
        <f t="shared" si="10"/>
        <v>0</v>
      </c>
      <c r="AF62" s="32"/>
      <c r="AH62" s="32" t="str">
        <f>'St of Activites - GA Rev'!A62</f>
        <v>Boardman Local SD</v>
      </c>
      <c r="AI62" s="32" t="str">
        <f t="shared" si="6"/>
        <v>Boardman Local SD</v>
      </c>
      <c r="AJ62" s="32" t="b">
        <f t="shared" si="1"/>
        <v>1</v>
      </c>
      <c r="AL62" s="32" t="str">
        <f>'St of Activities - GA Exp'!A62</f>
        <v>Boardman Local SD</v>
      </c>
      <c r="AN62" s="32" t="b">
        <f t="shared" si="7"/>
        <v>1</v>
      </c>
      <c r="AR62" s="32" t="str">
        <f t="shared" si="8"/>
        <v>Mahoning</v>
      </c>
      <c r="AS62" s="32" t="str">
        <f>'St of Activites - GA Rev'!C62</f>
        <v>Mahoning</v>
      </c>
      <c r="AT62" s="32" t="b">
        <f t="shared" si="2"/>
        <v>1</v>
      </c>
      <c r="AU62" s="32" t="str">
        <f>'St of Activities - GA Exp'!C62</f>
        <v>Mahoning</v>
      </c>
      <c r="AW62" s="32" t="b">
        <f t="shared" si="9"/>
        <v>1</v>
      </c>
    </row>
    <row r="63" spans="1:49">
      <c r="A63" s="12" t="s">
        <v>504</v>
      </c>
      <c r="B63" s="12"/>
      <c r="C63" s="12" t="s">
        <v>61</v>
      </c>
      <c r="D63" s="12"/>
      <c r="E63" s="29">
        <v>49767</v>
      </c>
      <c r="G63" s="7">
        <f t="shared" si="3"/>
        <v>4265352</v>
      </c>
      <c r="I63" s="7">
        <f>4151193+56352</f>
        <v>4207545</v>
      </c>
      <c r="K63" s="7">
        <v>8472897</v>
      </c>
      <c r="M63" s="7">
        <f t="shared" si="4"/>
        <v>1390941</v>
      </c>
      <c r="O63" s="7">
        <v>53845</v>
      </c>
      <c r="Q63" s="7">
        <v>357344</v>
      </c>
      <c r="S63" s="7">
        <v>1802130</v>
      </c>
      <c r="U63" s="7">
        <v>3965624</v>
      </c>
      <c r="W63" s="7">
        <f t="shared" si="5"/>
        <v>1034930</v>
      </c>
      <c r="Y63" s="7">
        <v>1670213</v>
      </c>
      <c r="AA63" s="7">
        <v>6670767</v>
      </c>
      <c r="AB63" s="7">
        <f t="shared" si="15"/>
        <v>0</v>
      </c>
      <c r="AD63" s="32">
        <f t="shared" si="10"/>
        <v>0</v>
      </c>
      <c r="AF63" s="32"/>
      <c r="AH63" s="32" t="str">
        <f>'St of Activites - GA Rev'!A63</f>
        <v>Botkins Local SD</v>
      </c>
      <c r="AI63" s="32" t="str">
        <f t="shared" si="6"/>
        <v>Botkins Local SD</v>
      </c>
      <c r="AJ63" s="32" t="b">
        <f t="shared" si="1"/>
        <v>1</v>
      </c>
      <c r="AL63" s="32" t="str">
        <f>'St of Activities - GA Exp'!A63</f>
        <v>Botkins Local SD</v>
      </c>
      <c r="AN63" s="32" t="b">
        <f t="shared" si="7"/>
        <v>1</v>
      </c>
      <c r="AR63" s="32" t="str">
        <f t="shared" si="8"/>
        <v>Shelby</v>
      </c>
      <c r="AS63" s="32" t="str">
        <f>'St of Activites - GA Rev'!C63</f>
        <v>Shelby</v>
      </c>
      <c r="AT63" s="32" t="b">
        <f t="shared" si="2"/>
        <v>1</v>
      </c>
      <c r="AU63" s="32" t="str">
        <f>'St of Activities - GA Exp'!C63</f>
        <v>Shelby</v>
      </c>
      <c r="AW63" s="32" t="b">
        <f t="shared" si="9"/>
        <v>1</v>
      </c>
    </row>
    <row r="64" spans="1:49">
      <c r="A64" s="11" t="s">
        <v>572</v>
      </c>
      <c r="B64" s="12"/>
      <c r="C64" s="12" t="s">
        <v>72</v>
      </c>
      <c r="D64" s="12"/>
      <c r="E64" s="29">
        <v>43638</v>
      </c>
      <c r="G64" s="7">
        <f t="shared" si="3"/>
        <v>33215388</v>
      </c>
      <c r="I64" s="7">
        <f>373599+31794052</f>
        <v>32167651</v>
      </c>
      <c r="K64" s="7">
        <v>65383039</v>
      </c>
      <c r="M64" s="7">
        <f t="shared" si="4"/>
        <v>18072428</v>
      </c>
      <c r="O64" s="7">
        <v>746497</v>
      </c>
      <c r="Q64" s="7">
        <v>29275591</v>
      </c>
      <c r="S64" s="7">
        <v>48094516</v>
      </c>
      <c r="U64" s="7">
        <v>5322325</v>
      </c>
      <c r="W64" s="7">
        <f t="shared" si="5"/>
        <v>10096533</v>
      </c>
      <c r="Y64" s="7">
        <v>1869665</v>
      </c>
      <c r="AA64" s="7">
        <v>17288523</v>
      </c>
      <c r="AB64" s="7">
        <f t="shared" si="15"/>
        <v>0</v>
      </c>
      <c r="AD64" s="32">
        <f t="shared" si="10"/>
        <v>0</v>
      </c>
      <c r="AF64" s="32"/>
      <c r="AH64" s="32" t="str">
        <f>'St of Activites - GA Rev'!A64</f>
        <v>Bowling Green City SD</v>
      </c>
      <c r="AI64" s="32" t="str">
        <f t="shared" si="6"/>
        <v>Bowling Green City SD</v>
      </c>
      <c r="AJ64" s="32" t="b">
        <f t="shared" si="1"/>
        <v>1</v>
      </c>
      <c r="AL64" s="32" t="str">
        <f>'St of Activities - GA Exp'!A64</f>
        <v>Bowling Green City SD</v>
      </c>
      <c r="AN64" s="32" t="b">
        <f t="shared" si="7"/>
        <v>1</v>
      </c>
      <c r="AR64" s="32" t="str">
        <f t="shared" si="8"/>
        <v>Wood</v>
      </c>
      <c r="AS64" s="32" t="str">
        <f>'St of Activites - GA Rev'!C64</f>
        <v>Wood</v>
      </c>
      <c r="AT64" s="32" t="b">
        <f t="shared" si="2"/>
        <v>1</v>
      </c>
      <c r="AU64" s="32" t="str">
        <f>'St of Activities - GA Exp'!C64</f>
        <v>Wood</v>
      </c>
      <c r="AW64" s="32" t="b">
        <f t="shared" si="9"/>
        <v>1</v>
      </c>
    </row>
    <row r="65" spans="1:49" s="65" customFormat="1" hidden="1">
      <c r="A65" s="63" t="s">
        <v>710</v>
      </c>
      <c r="B65" s="63"/>
      <c r="C65" s="63" t="s">
        <v>48</v>
      </c>
      <c r="D65" s="63"/>
      <c r="E65" s="64">
        <v>43646</v>
      </c>
      <c r="G65" s="65">
        <f>+K65-I65</f>
        <v>0</v>
      </c>
      <c r="M65" s="65">
        <f t="shared" si="4"/>
        <v>0</v>
      </c>
      <c r="W65" s="65">
        <f>AA65-Y65-U65</f>
        <v>0</v>
      </c>
      <c r="AB65" s="65">
        <f t="shared" si="15"/>
        <v>0</v>
      </c>
      <c r="AD65" s="66">
        <f>+G65+I65+-M65-O65-U65-W65-Y65-Q65</f>
        <v>0</v>
      </c>
      <c r="AE65" s="65" t="s">
        <v>778</v>
      </c>
      <c r="AF65" s="66"/>
      <c r="AH65" s="66" t="str">
        <f>'St of Activites - GA Rev'!A65</f>
        <v>Bradford Ex Vill SD (cash) Two year audit</v>
      </c>
      <c r="AI65" s="66" t="str">
        <f t="shared" si="6"/>
        <v>Bradford Ex Vill SD (CASH) Two year audit</v>
      </c>
      <c r="AJ65" s="66" t="b">
        <f t="shared" si="1"/>
        <v>1</v>
      </c>
      <c r="AL65" s="66" t="str">
        <f>'St of Activities - GA Exp'!A65</f>
        <v>Bradford Ex Vill SD (cash) Two year audit</v>
      </c>
      <c r="AN65" s="66" t="b">
        <f t="shared" si="7"/>
        <v>1</v>
      </c>
      <c r="AR65" s="66" t="str">
        <f t="shared" si="8"/>
        <v>Miami</v>
      </c>
      <c r="AS65" s="66" t="str">
        <f>'St of Activites - GA Rev'!C65</f>
        <v>Miami</v>
      </c>
      <c r="AT65" s="66" t="b">
        <f t="shared" si="2"/>
        <v>1</v>
      </c>
      <c r="AU65" s="66" t="str">
        <f>'St of Activities - GA Exp'!C65</f>
        <v>Miami</v>
      </c>
      <c r="AV65" s="86"/>
      <c r="AW65" s="66" t="b">
        <f t="shared" si="9"/>
        <v>1</v>
      </c>
    </row>
    <row r="66" spans="1:49">
      <c r="A66" s="12" t="s">
        <v>895</v>
      </c>
      <c r="B66" s="12"/>
      <c r="C66" s="12" t="s">
        <v>20</v>
      </c>
      <c r="D66" s="12"/>
      <c r="E66" s="29">
        <v>43646</v>
      </c>
      <c r="G66" s="7">
        <f t="shared" si="3"/>
        <v>52053258</v>
      </c>
      <c r="I66" s="7">
        <f>3088833+32251195</f>
        <v>35340028</v>
      </c>
      <c r="K66" s="7">
        <v>87393286</v>
      </c>
      <c r="M66" s="7">
        <f t="shared" si="4"/>
        <v>35398097</v>
      </c>
      <c r="O66" s="7">
        <v>2128808</v>
      </c>
      <c r="Q66" s="7">
        <v>25069387</v>
      </c>
      <c r="S66" s="7">
        <v>62596292</v>
      </c>
      <c r="U66" s="7">
        <v>12183706</v>
      </c>
      <c r="W66" s="7">
        <f t="shared" si="5"/>
        <v>8938057</v>
      </c>
      <c r="Y66" s="7">
        <v>3675231</v>
      </c>
      <c r="AA66" s="7">
        <v>24796994</v>
      </c>
      <c r="AB66" s="7">
        <f t="shared" si="15"/>
        <v>0</v>
      </c>
      <c r="AD66" s="32">
        <f t="shared" si="10"/>
        <v>0</v>
      </c>
      <c r="AF66" s="32"/>
      <c r="AH66" s="32" t="str">
        <f>'St of Activites - GA Rev'!A66</f>
        <v>Brecksville-Broadview Heights City SD</v>
      </c>
      <c r="AI66" s="32" t="str">
        <f t="shared" si="6"/>
        <v>Brecksville-Broadview Heights City SD</v>
      </c>
      <c r="AJ66" s="32" t="b">
        <f t="shared" si="1"/>
        <v>1</v>
      </c>
      <c r="AL66" s="32" t="str">
        <f>'St of Activities - GA Exp'!A66</f>
        <v>Brecksville-Broadview Heights City SD</v>
      </c>
      <c r="AN66" s="32" t="b">
        <f t="shared" si="7"/>
        <v>1</v>
      </c>
      <c r="AR66" s="32" t="str">
        <f t="shared" si="8"/>
        <v>Cuyahoga</v>
      </c>
      <c r="AS66" s="32" t="str">
        <f>'St of Activites - GA Rev'!C66</f>
        <v>Cuyahoga</v>
      </c>
      <c r="AT66" s="32" t="b">
        <f t="shared" si="2"/>
        <v>1</v>
      </c>
      <c r="AU66" s="32" t="str">
        <f>'St of Activities - GA Exp'!C66</f>
        <v>Cuyahoga</v>
      </c>
      <c r="AW66" s="32" t="b">
        <f t="shared" si="9"/>
        <v>1</v>
      </c>
    </row>
    <row r="67" spans="1:49">
      <c r="A67" s="11" t="s">
        <v>860</v>
      </c>
      <c r="B67" s="11"/>
      <c r="C67" s="11" t="s">
        <v>15</v>
      </c>
      <c r="D67" s="11"/>
      <c r="E67" s="29">
        <v>45237</v>
      </c>
      <c r="G67" s="7">
        <f t="shared" si="3"/>
        <v>4530127</v>
      </c>
      <c r="I67" s="7">
        <v>18623442</v>
      </c>
      <c r="K67" s="7">
        <v>23153569</v>
      </c>
      <c r="M67" s="7">
        <f t="shared" si="4"/>
        <v>2515834</v>
      </c>
      <c r="O67" s="7">
        <v>177122</v>
      </c>
      <c r="Q67" s="7">
        <v>4557392</v>
      </c>
      <c r="S67" s="7">
        <v>7250348</v>
      </c>
      <c r="U67" s="7">
        <v>14159815</v>
      </c>
      <c r="W67" s="7">
        <f t="shared" si="5"/>
        <v>1107776</v>
      </c>
      <c r="Y67" s="7">
        <v>635630</v>
      </c>
      <c r="AA67" s="7">
        <v>15903221</v>
      </c>
      <c r="AB67" s="7">
        <f t="shared" si="15"/>
        <v>0</v>
      </c>
      <c r="AD67" s="32">
        <f t="shared" si="10"/>
        <v>0</v>
      </c>
      <c r="AF67" s="32"/>
      <c r="AH67" s="32" t="str">
        <f>'St of Activites - GA Rev'!A67</f>
        <v>Bridgeport Exempted Village SD</v>
      </c>
      <c r="AI67" s="32" t="str">
        <f t="shared" si="6"/>
        <v>Bridgeport Exempted Village SD</v>
      </c>
      <c r="AJ67" s="32" t="b">
        <f t="shared" si="1"/>
        <v>1</v>
      </c>
      <c r="AL67" s="32" t="str">
        <f>'St of Activities - GA Exp'!A67</f>
        <v>Bridgeport Exempted Village SD</v>
      </c>
      <c r="AN67" s="32" t="b">
        <f t="shared" si="7"/>
        <v>1</v>
      </c>
      <c r="AR67" s="32" t="str">
        <f t="shared" si="8"/>
        <v>Belmont</v>
      </c>
      <c r="AS67" s="32" t="str">
        <f>'St of Activites - GA Rev'!C67</f>
        <v>Belmont</v>
      </c>
      <c r="AT67" s="32" t="b">
        <f t="shared" si="2"/>
        <v>1</v>
      </c>
      <c r="AU67" s="32" t="str">
        <f>'St of Activities - GA Exp'!C67</f>
        <v>Belmont</v>
      </c>
      <c r="AW67" s="32" t="b">
        <f t="shared" si="9"/>
        <v>1</v>
      </c>
    </row>
    <row r="68" spans="1:49" s="65" customFormat="1" hidden="1">
      <c r="A68" s="63" t="s">
        <v>906</v>
      </c>
      <c r="B68" s="63"/>
      <c r="C68" s="63" t="s">
        <v>358</v>
      </c>
      <c r="D68" s="63"/>
      <c r="E68" s="64">
        <v>47613</v>
      </c>
      <c r="G68" s="65">
        <f t="shared" si="3"/>
        <v>0</v>
      </c>
      <c r="M68" s="65">
        <f t="shared" si="4"/>
        <v>0</v>
      </c>
      <c r="W68" s="65">
        <f t="shared" si="5"/>
        <v>0</v>
      </c>
      <c r="AB68" s="65">
        <f t="shared" si="15"/>
        <v>0</v>
      </c>
      <c r="AD68" s="66">
        <f t="shared" si="10"/>
        <v>0</v>
      </c>
      <c r="AE68" s="65" t="s">
        <v>903</v>
      </c>
      <c r="AF68" s="66"/>
      <c r="AH68" s="66" t="str">
        <f>'St of Activites - GA Rev'!A68</f>
        <v>Bright Local SD (CASH)</v>
      </c>
      <c r="AI68" s="66" t="str">
        <f t="shared" si="6"/>
        <v>Bright Local SD (CASH)</v>
      </c>
      <c r="AJ68" s="66" t="b">
        <f t="shared" si="1"/>
        <v>1</v>
      </c>
      <c r="AL68" s="66" t="str">
        <f>'St of Activities - GA Exp'!A68</f>
        <v>Bright Local SD (CASH)</v>
      </c>
      <c r="AN68" s="66" t="b">
        <f t="shared" si="7"/>
        <v>1</v>
      </c>
      <c r="AR68" s="66" t="str">
        <f t="shared" si="8"/>
        <v>Highland</v>
      </c>
      <c r="AS68" s="66" t="str">
        <f>'St of Activites - GA Rev'!C68</f>
        <v>Highland</v>
      </c>
      <c r="AT68" s="66" t="b">
        <f t="shared" si="2"/>
        <v>1</v>
      </c>
      <c r="AU68" s="66" t="str">
        <f>'St of Activities - GA Exp'!C68</f>
        <v>Highland</v>
      </c>
      <c r="AV68" s="86"/>
      <c r="AW68" s="66" t="b">
        <f t="shared" si="9"/>
        <v>1</v>
      </c>
    </row>
    <row r="69" spans="1:49">
      <c r="A69" s="12" t="s">
        <v>535</v>
      </c>
      <c r="B69" s="12"/>
      <c r="C69" s="12" t="s">
        <v>64</v>
      </c>
      <c r="D69" s="12"/>
      <c r="E69" s="29">
        <v>50112</v>
      </c>
      <c r="G69" s="7">
        <f t="shared" si="3"/>
        <v>6388579</v>
      </c>
      <c r="I69" s="7">
        <v>9102042</v>
      </c>
      <c r="K69" s="7">
        <v>15490621</v>
      </c>
      <c r="M69" s="7">
        <f t="shared" si="4"/>
        <v>3310582</v>
      </c>
      <c r="O69" s="7">
        <v>299665</v>
      </c>
      <c r="Q69" s="7">
        <v>1764707</v>
      </c>
      <c r="S69" s="7">
        <v>5374954</v>
      </c>
      <c r="U69" s="7">
        <v>7639285</v>
      </c>
      <c r="W69" s="7">
        <f t="shared" si="5"/>
        <v>902232</v>
      </c>
      <c r="Y69" s="7">
        <v>1574150</v>
      </c>
      <c r="AA69" s="7">
        <v>10115667</v>
      </c>
      <c r="AB69" s="7">
        <f t="shared" si="15"/>
        <v>0</v>
      </c>
      <c r="AD69" s="32">
        <f t="shared" si="10"/>
        <v>0</v>
      </c>
      <c r="AF69" s="32"/>
      <c r="AH69" s="32" t="str">
        <f>'St of Activites - GA Rev'!A69</f>
        <v>Bristol Local SD</v>
      </c>
      <c r="AI69" s="32" t="str">
        <f t="shared" si="6"/>
        <v>Bristol Local SD</v>
      </c>
      <c r="AJ69" s="32" t="b">
        <f t="shared" si="1"/>
        <v>1</v>
      </c>
      <c r="AL69" s="32" t="str">
        <f>'St of Activities - GA Exp'!A69</f>
        <v>Bristol Local SD</v>
      </c>
      <c r="AN69" s="32" t="b">
        <f t="shared" si="7"/>
        <v>1</v>
      </c>
      <c r="AR69" s="32" t="str">
        <f t="shared" si="8"/>
        <v>Trumbull</v>
      </c>
      <c r="AS69" s="32" t="str">
        <f>'St of Activites - GA Rev'!C69</f>
        <v>Trumbull</v>
      </c>
      <c r="AT69" s="32" t="b">
        <f t="shared" si="2"/>
        <v>1</v>
      </c>
      <c r="AU69" s="32" t="str">
        <f>'St of Activities - GA Exp'!C69</f>
        <v>Trumbull</v>
      </c>
      <c r="AW69" s="32" t="b">
        <f t="shared" si="9"/>
        <v>1</v>
      </c>
    </row>
    <row r="70" spans="1:49">
      <c r="A70" s="12" t="s">
        <v>706</v>
      </c>
      <c r="B70" s="12"/>
      <c r="C70" s="12" t="s">
        <v>64</v>
      </c>
      <c r="D70" s="12"/>
      <c r="E70" s="29">
        <v>50120</v>
      </c>
      <c r="G70" s="7">
        <f t="shared" si="3"/>
        <v>14703691</v>
      </c>
      <c r="I70" s="7">
        <v>29442827</v>
      </c>
      <c r="K70" s="7">
        <v>44146518</v>
      </c>
      <c r="M70" s="7">
        <f t="shared" si="4"/>
        <v>6181017</v>
      </c>
      <c r="O70" s="7">
        <v>567217</v>
      </c>
      <c r="Q70" s="7">
        <v>15143268</v>
      </c>
      <c r="S70" s="7">
        <v>21891502</v>
      </c>
      <c r="U70" s="7">
        <v>20077112</v>
      </c>
      <c r="W70" s="7">
        <f t="shared" si="5"/>
        <v>3691662</v>
      </c>
      <c r="Y70" s="7">
        <v>-1513758</v>
      </c>
      <c r="AA70" s="7">
        <v>22255016</v>
      </c>
      <c r="AB70" s="7">
        <f t="shared" si="15"/>
        <v>0</v>
      </c>
      <c r="AD70" s="32">
        <f t="shared" si="10"/>
        <v>0</v>
      </c>
      <c r="AF70" s="32"/>
      <c r="AH70" s="32" t="str">
        <f>'St of Activites - GA Rev'!A70</f>
        <v xml:space="preserve">Brookfield Local SD </v>
      </c>
      <c r="AI70" s="32" t="str">
        <f t="shared" si="6"/>
        <v xml:space="preserve">Brookfield Local SD </v>
      </c>
      <c r="AJ70" s="32" t="b">
        <f t="shared" si="1"/>
        <v>1</v>
      </c>
      <c r="AL70" s="32" t="str">
        <f>'St of Activities - GA Exp'!A70</f>
        <v xml:space="preserve">Brookfield Local SD </v>
      </c>
      <c r="AN70" s="32" t="b">
        <f t="shared" si="7"/>
        <v>1</v>
      </c>
      <c r="AR70" s="32" t="str">
        <f t="shared" si="8"/>
        <v>Trumbull</v>
      </c>
      <c r="AS70" s="32" t="str">
        <f>'St of Activites - GA Rev'!C70</f>
        <v>Trumbull</v>
      </c>
      <c r="AT70" s="32" t="b">
        <f t="shared" si="2"/>
        <v>1</v>
      </c>
      <c r="AU70" s="32" t="str">
        <f>'St of Activities - GA Exp'!C70</f>
        <v>Trumbull</v>
      </c>
      <c r="AW70" s="32" t="b">
        <f t="shared" si="9"/>
        <v>1</v>
      </c>
    </row>
    <row r="71" spans="1:49">
      <c r="A71" s="12" t="s">
        <v>270</v>
      </c>
      <c r="B71" s="12"/>
      <c r="C71" s="12" t="s">
        <v>20</v>
      </c>
      <c r="D71" s="12"/>
      <c r="E71" s="29">
        <v>43653</v>
      </c>
      <c r="G71" s="7">
        <f t="shared" si="3"/>
        <v>17930258</v>
      </c>
      <c r="I71" s="7">
        <f>33000+3318776</f>
        <v>3351776</v>
      </c>
      <c r="K71" s="7">
        <v>21282034</v>
      </c>
      <c r="M71" s="7">
        <f t="shared" si="4"/>
        <v>10097960</v>
      </c>
      <c r="O71" s="7">
        <v>208155</v>
      </c>
      <c r="Q71" s="7">
        <v>1007577</v>
      </c>
      <c r="S71" s="7">
        <v>11313692</v>
      </c>
      <c r="U71" s="7">
        <v>3351776</v>
      </c>
      <c r="W71" s="7">
        <f t="shared" si="5"/>
        <v>518723</v>
      </c>
      <c r="Y71" s="7">
        <v>6097843</v>
      </c>
      <c r="AA71" s="7">
        <v>9968342</v>
      </c>
      <c r="AB71" s="7">
        <f t="shared" si="15"/>
        <v>0</v>
      </c>
      <c r="AD71" s="32">
        <f t="shared" si="10"/>
        <v>0</v>
      </c>
      <c r="AF71" s="32"/>
      <c r="AH71" s="32" t="str">
        <f>'St of Activites - GA Rev'!A71</f>
        <v>Brooklyn City SD</v>
      </c>
      <c r="AI71" s="32" t="str">
        <f t="shared" si="6"/>
        <v>Brooklyn City SD</v>
      </c>
      <c r="AJ71" s="32" t="b">
        <f t="shared" si="1"/>
        <v>1</v>
      </c>
      <c r="AL71" s="32" t="str">
        <f>'St of Activities - GA Exp'!A71</f>
        <v>Brooklyn City SD</v>
      </c>
      <c r="AN71" s="32" t="b">
        <f t="shared" si="7"/>
        <v>1</v>
      </c>
      <c r="AR71" s="32" t="str">
        <f t="shared" si="8"/>
        <v>Cuyahoga</v>
      </c>
      <c r="AS71" s="32" t="str">
        <f>'St of Activites - GA Rev'!C71</f>
        <v>Cuyahoga</v>
      </c>
      <c r="AT71" s="32" t="b">
        <f t="shared" si="2"/>
        <v>1</v>
      </c>
      <c r="AU71" s="32" t="str">
        <f>'St of Activities - GA Exp'!C71</f>
        <v>Cuyahoga</v>
      </c>
      <c r="AW71" s="32" t="b">
        <f t="shared" si="9"/>
        <v>1</v>
      </c>
    </row>
    <row r="72" spans="1:49">
      <c r="A72" s="12" t="s">
        <v>441</v>
      </c>
      <c r="B72" s="12"/>
      <c r="C72" s="12" t="s">
        <v>50</v>
      </c>
      <c r="D72" s="12"/>
      <c r="E72" s="29">
        <v>48678</v>
      </c>
      <c r="G72" s="7">
        <f t="shared" si="3"/>
        <v>22287178</v>
      </c>
      <c r="I72" s="7">
        <f>11101489+23734670</f>
        <v>34836159</v>
      </c>
      <c r="K72" s="7">
        <v>57123337</v>
      </c>
      <c r="M72" s="7">
        <f t="shared" si="4"/>
        <v>9960296</v>
      </c>
      <c r="O72" s="7">
        <v>701962</v>
      </c>
      <c r="Q72" s="7">
        <v>21192420</v>
      </c>
      <c r="S72" s="7">
        <v>31854678</v>
      </c>
      <c r="U72" s="7">
        <v>14404243</v>
      </c>
      <c r="W72" s="7">
        <f t="shared" si="5"/>
        <v>9106053</v>
      </c>
      <c r="Y72" s="7">
        <v>1758363</v>
      </c>
      <c r="AA72" s="7">
        <v>25268659</v>
      </c>
      <c r="AB72" s="7">
        <f t="shared" si="15"/>
        <v>0</v>
      </c>
      <c r="AD72" s="32">
        <f t="shared" si="10"/>
        <v>0</v>
      </c>
      <c r="AF72" s="32"/>
      <c r="AH72" s="32" t="str">
        <f>'St of Activites - GA Rev'!A72</f>
        <v>Brookville Local SD</v>
      </c>
      <c r="AI72" s="32" t="str">
        <f t="shared" si="6"/>
        <v>Brookville Local SD</v>
      </c>
      <c r="AJ72" s="32" t="b">
        <f t="shared" si="1"/>
        <v>1</v>
      </c>
      <c r="AL72" s="32" t="str">
        <f>'St of Activities - GA Exp'!A72</f>
        <v>Brookville Local SD</v>
      </c>
      <c r="AN72" s="32" t="b">
        <f t="shared" si="7"/>
        <v>1</v>
      </c>
      <c r="AR72" s="32" t="str">
        <f t="shared" si="8"/>
        <v>Montgomery</v>
      </c>
      <c r="AS72" s="32" t="str">
        <f>'St of Activites - GA Rev'!C72</f>
        <v>Montgomery</v>
      </c>
      <c r="AT72" s="32" t="b">
        <f t="shared" si="2"/>
        <v>1</v>
      </c>
      <c r="AU72" s="32" t="str">
        <f>'St of Activities - GA Exp'!C72</f>
        <v>Montgomery</v>
      </c>
      <c r="AW72" s="32" t="b">
        <f t="shared" si="9"/>
        <v>1</v>
      </c>
    </row>
    <row r="73" spans="1:49">
      <c r="A73" s="11" t="s">
        <v>231</v>
      </c>
      <c r="B73" s="11"/>
      <c r="C73" s="11" t="s">
        <v>16</v>
      </c>
      <c r="D73" s="11"/>
      <c r="E73" s="29">
        <v>46177</v>
      </c>
      <c r="G73" s="7">
        <f t="shared" si="3"/>
        <v>7765369</v>
      </c>
      <c r="I73" s="7">
        <f>87317+1069851</f>
        <v>1157168</v>
      </c>
      <c r="K73" s="7">
        <v>8922537</v>
      </c>
      <c r="M73" s="7">
        <f t="shared" si="4"/>
        <v>2696858</v>
      </c>
      <c r="O73" s="7">
        <v>81159</v>
      </c>
      <c r="Q73" s="7">
        <v>319681</v>
      </c>
      <c r="S73" s="7">
        <v>3097698</v>
      </c>
      <c r="U73" s="7">
        <v>1119367</v>
      </c>
      <c r="W73" s="7">
        <f t="shared" si="5"/>
        <v>918452</v>
      </c>
      <c r="Y73" s="7">
        <v>3787020</v>
      </c>
      <c r="AA73" s="7">
        <v>5824839</v>
      </c>
      <c r="AB73" s="7">
        <f t="shared" si="15"/>
        <v>0</v>
      </c>
      <c r="AD73" s="32">
        <f t="shared" si="10"/>
        <v>0</v>
      </c>
      <c r="AF73" s="32"/>
      <c r="AH73" s="32" t="str">
        <f>'St of Activites - GA Rev'!A73</f>
        <v>Brown Local SD</v>
      </c>
      <c r="AI73" s="32" t="str">
        <f t="shared" si="6"/>
        <v>Brown Local SD</v>
      </c>
      <c r="AJ73" s="32" t="b">
        <f t="shared" si="1"/>
        <v>1</v>
      </c>
      <c r="AL73" s="32" t="str">
        <f>'St of Activities - GA Exp'!A73</f>
        <v>Brown Local SD</v>
      </c>
      <c r="AN73" s="32" t="b">
        <f t="shared" si="7"/>
        <v>1</v>
      </c>
      <c r="AR73" s="32" t="str">
        <f t="shared" si="8"/>
        <v>Carroll</v>
      </c>
      <c r="AS73" s="32" t="str">
        <f>'St of Activites - GA Rev'!C73</f>
        <v>Carroll</v>
      </c>
      <c r="AT73" s="32" t="b">
        <f t="shared" si="2"/>
        <v>1</v>
      </c>
      <c r="AU73" s="32" t="str">
        <f>'St of Activities - GA Exp'!C73</f>
        <v>Carroll</v>
      </c>
      <c r="AW73" s="32" t="b">
        <f t="shared" si="9"/>
        <v>1</v>
      </c>
    </row>
    <row r="74" spans="1:49">
      <c r="A74" s="12" t="s">
        <v>428</v>
      </c>
      <c r="B74" s="12"/>
      <c r="C74" s="12" t="s">
        <v>47</v>
      </c>
      <c r="D74" s="12"/>
      <c r="E74" s="29">
        <v>43661</v>
      </c>
      <c r="G74" s="7">
        <f t="shared" si="3"/>
        <v>72662263</v>
      </c>
      <c r="I74" s="7">
        <f>16145920+16627092</f>
        <v>32773012</v>
      </c>
      <c r="K74" s="7">
        <v>105435275</v>
      </c>
      <c r="M74" s="7">
        <f t="shared" si="4"/>
        <v>46017790</v>
      </c>
      <c r="O74" s="7">
        <v>2384635</v>
      </c>
      <c r="Q74" s="7">
        <v>43199244</v>
      </c>
      <c r="S74" s="7">
        <v>91601669</v>
      </c>
      <c r="U74" s="7">
        <v>4410959</v>
      </c>
      <c r="W74" s="7">
        <f t="shared" si="5"/>
        <v>7264146</v>
      </c>
      <c r="Y74" s="7">
        <v>2158501</v>
      </c>
      <c r="AA74" s="7">
        <v>13833606</v>
      </c>
      <c r="AB74" s="7">
        <f t="shared" si="15"/>
        <v>0</v>
      </c>
      <c r="AD74" s="32">
        <f t="shared" si="10"/>
        <v>0</v>
      </c>
      <c r="AF74" s="32"/>
      <c r="AH74" s="32" t="str">
        <f>'St of Activites - GA Rev'!A74</f>
        <v>Brunswick City SD</v>
      </c>
      <c r="AI74" s="32" t="str">
        <f t="shared" si="6"/>
        <v>Brunswick City SD</v>
      </c>
      <c r="AJ74" s="32" t="b">
        <f t="shared" si="1"/>
        <v>1</v>
      </c>
      <c r="AL74" s="32" t="str">
        <f>'St of Activities - GA Exp'!A74</f>
        <v>Brunswick City SD</v>
      </c>
      <c r="AN74" s="32" t="b">
        <f t="shared" si="7"/>
        <v>1</v>
      </c>
      <c r="AR74" s="32" t="str">
        <f t="shared" si="8"/>
        <v>Medina</v>
      </c>
      <c r="AS74" s="32" t="str">
        <f>'St of Activites - GA Rev'!C74</f>
        <v>Medina</v>
      </c>
      <c r="AT74" s="32" t="b">
        <f t="shared" si="2"/>
        <v>1</v>
      </c>
      <c r="AU74" s="32" t="str">
        <f>'St of Activities - GA Exp'!C74</f>
        <v>Medina</v>
      </c>
      <c r="AW74" s="32" t="b">
        <f t="shared" si="9"/>
        <v>1</v>
      </c>
    </row>
    <row r="75" spans="1:49" s="65" customFormat="1" hidden="1">
      <c r="A75" s="63" t="s">
        <v>707</v>
      </c>
      <c r="B75" s="63"/>
      <c r="C75" s="63" t="s">
        <v>570</v>
      </c>
      <c r="D75" s="63"/>
      <c r="E75" s="64">
        <v>43679</v>
      </c>
      <c r="G75" s="65">
        <f t="shared" si="3"/>
        <v>0</v>
      </c>
      <c r="M75" s="65">
        <f t="shared" si="4"/>
        <v>0</v>
      </c>
      <c r="W75" s="65">
        <f t="shared" si="5"/>
        <v>0</v>
      </c>
      <c r="AB75" s="65">
        <f t="shared" si="15"/>
        <v>0</v>
      </c>
      <c r="AD75" s="66">
        <f t="shared" si="10"/>
        <v>0</v>
      </c>
      <c r="AE75" s="65" t="s">
        <v>778</v>
      </c>
      <c r="AF75" s="66"/>
      <c r="AH75" s="66" t="str">
        <f>'St of Activites - GA Rev'!A75</f>
        <v>Bryan City SD (CASH)</v>
      </c>
      <c r="AI75" s="66" t="str">
        <f t="shared" si="6"/>
        <v>Bryan City SD (CASH)</v>
      </c>
      <c r="AJ75" s="66" t="b">
        <f t="shared" ref="AJ75:AJ138" si="16">AH75=AI75</f>
        <v>1</v>
      </c>
      <c r="AL75" s="66" t="str">
        <f>'St of Activities - GA Exp'!A75</f>
        <v>Bryan City SD (CASH)</v>
      </c>
      <c r="AN75" s="66" t="b">
        <f t="shared" si="7"/>
        <v>1</v>
      </c>
      <c r="AR75" s="66" t="str">
        <f t="shared" si="8"/>
        <v>Williams</v>
      </c>
      <c r="AS75" s="66" t="str">
        <f>'St of Activites - GA Rev'!C75</f>
        <v>Williams</v>
      </c>
      <c r="AT75" s="66" t="b">
        <f t="shared" ref="AT75:AT138" si="17">AR75=AS75</f>
        <v>1</v>
      </c>
      <c r="AU75" s="66" t="str">
        <f>'St of Activities - GA Exp'!C75</f>
        <v>Williams</v>
      </c>
      <c r="AV75" s="86"/>
      <c r="AW75" s="66" t="b">
        <f t="shared" si="9"/>
        <v>1</v>
      </c>
    </row>
    <row r="76" spans="1:49">
      <c r="A76" s="12" t="s">
        <v>262</v>
      </c>
      <c r="B76" s="12"/>
      <c r="C76" s="12" t="s">
        <v>111</v>
      </c>
      <c r="D76" s="12"/>
      <c r="E76" s="29">
        <v>46508</v>
      </c>
      <c r="G76" s="7">
        <f t="shared" si="3"/>
        <v>8709409</v>
      </c>
      <c r="I76" s="7">
        <v>22959082</v>
      </c>
      <c r="K76" s="7">
        <v>31668491</v>
      </c>
      <c r="M76" s="7">
        <f t="shared" si="4"/>
        <v>2575390</v>
      </c>
      <c r="O76" s="7">
        <v>298527</v>
      </c>
      <c r="Q76" s="7">
        <v>8825412</v>
      </c>
      <c r="S76" s="7">
        <v>11699329</v>
      </c>
      <c r="U76" s="7">
        <v>14883023</v>
      </c>
      <c r="W76" s="7">
        <f t="shared" si="5"/>
        <v>2766872</v>
      </c>
      <c r="Y76" s="7">
        <v>2319267</v>
      </c>
      <c r="AA76" s="7">
        <v>19969162</v>
      </c>
      <c r="AB76" s="7">
        <f t="shared" si="15"/>
        <v>0</v>
      </c>
      <c r="AD76" s="32">
        <f t="shared" si="10"/>
        <v>0</v>
      </c>
      <c r="AF76" s="32"/>
      <c r="AH76" s="32" t="str">
        <f>'St of Activites - GA Rev'!A76</f>
        <v>Buckeye Central Local SD</v>
      </c>
      <c r="AI76" s="32" t="str">
        <f t="shared" si="6"/>
        <v>Buckeye Central Local SD</v>
      </c>
      <c r="AJ76" s="32" t="b">
        <f t="shared" si="16"/>
        <v>1</v>
      </c>
      <c r="AL76" s="32" t="str">
        <f>'St of Activities - GA Exp'!A76</f>
        <v>Buckeye Central Local SD</v>
      </c>
      <c r="AN76" s="32" t="b">
        <f t="shared" ref="AN76:AN139" si="18">AH76=AL76</f>
        <v>1</v>
      </c>
      <c r="AR76" s="32" t="str">
        <f t="shared" ref="AR76:AR139" si="19">C76</f>
        <v>Crawford</v>
      </c>
      <c r="AS76" s="32" t="str">
        <f>'St of Activites - GA Rev'!C76</f>
        <v>Crawford</v>
      </c>
      <c r="AT76" s="32" t="b">
        <f t="shared" si="17"/>
        <v>1</v>
      </c>
      <c r="AU76" s="32" t="str">
        <f>'St of Activities - GA Exp'!C76</f>
        <v>Crawford</v>
      </c>
      <c r="AW76" s="32" t="b">
        <f t="shared" ref="AW76:AW139" si="20">AU76=AS76</f>
        <v>1</v>
      </c>
    </row>
    <row r="77" spans="1:49">
      <c r="A77" s="12" t="s">
        <v>207</v>
      </c>
      <c r="B77" s="12"/>
      <c r="C77" s="12" t="s">
        <v>12</v>
      </c>
      <c r="D77" s="12"/>
      <c r="E77" s="12">
        <v>45856</v>
      </c>
      <c r="F77" s="10"/>
      <c r="G77" s="7">
        <f t="shared" si="3"/>
        <v>13895093</v>
      </c>
      <c r="I77" s="7">
        <f>402305+1810274</f>
        <v>2212579</v>
      </c>
      <c r="K77" s="7">
        <v>16107672</v>
      </c>
      <c r="M77" s="7">
        <f t="shared" si="4"/>
        <v>6094256</v>
      </c>
      <c r="O77" s="7">
        <v>122945</v>
      </c>
      <c r="Q77" s="7">
        <v>997173</v>
      </c>
      <c r="S77" s="7">
        <v>7214374</v>
      </c>
      <c r="U77" s="7">
        <v>2083269</v>
      </c>
      <c r="W77" s="7">
        <f t="shared" si="5"/>
        <v>1109678</v>
      </c>
      <c r="Y77" s="7">
        <v>5700351</v>
      </c>
      <c r="AA77" s="8">
        <v>8893298</v>
      </c>
      <c r="AB77" s="7">
        <f t="shared" ref="AB77:AB82" si="21">+K77-S77-AA77</f>
        <v>0</v>
      </c>
      <c r="AD77" s="7">
        <f t="shared" si="10"/>
        <v>0</v>
      </c>
      <c r="AH77" s="7" t="str">
        <f>'St of Activites - GA Rev'!A77</f>
        <v>Buckeye Local SD</v>
      </c>
      <c r="AI77" s="7" t="str">
        <f t="shared" ref="AI77:AI140" si="22">A77</f>
        <v>Buckeye Local SD</v>
      </c>
      <c r="AJ77" s="7" t="b">
        <f t="shared" si="16"/>
        <v>1</v>
      </c>
      <c r="AL77" s="7" t="str">
        <f>'St of Activities - GA Exp'!A77</f>
        <v>Buckeye Local SD</v>
      </c>
      <c r="AN77" s="7" t="b">
        <f t="shared" si="18"/>
        <v>1</v>
      </c>
      <c r="AR77" s="7" t="str">
        <f t="shared" si="19"/>
        <v>Ashtabula</v>
      </c>
      <c r="AS77" s="7" t="str">
        <f>'St of Activites - GA Rev'!C77</f>
        <v>Ashtabula</v>
      </c>
      <c r="AT77" s="7" t="b">
        <f t="shared" si="17"/>
        <v>1</v>
      </c>
      <c r="AU77" s="7" t="str">
        <f>'St of Activities - GA Exp'!C77</f>
        <v>Ashtabula</v>
      </c>
      <c r="AV77" s="116"/>
      <c r="AW77" s="7" t="b">
        <f t="shared" si="20"/>
        <v>1</v>
      </c>
    </row>
    <row r="78" spans="1:49">
      <c r="A78" s="12" t="s">
        <v>207</v>
      </c>
      <c r="B78" s="12"/>
      <c r="C78" s="12" t="s">
        <v>39</v>
      </c>
      <c r="D78" s="12"/>
      <c r="E78" s="29"/>
      <c r="F78" s="10"/>
      <c r="G78" s="7">
        <f t="shared" si="3"/>
        <v>10345379</v>
      </c>
      <c r="I78" s="7">
        <f>597049+8978615</f>
        <v>9575664</v>
      </c>
      <c r="K78" s="7">
        <v>19921043</v>
      </c>
      <c r="M78" s="7">
        <f t="shared" si="4"/>
        <v>8870986</v>
      </c>
      <c r="O78" s="7">
        <v>866506</v>
      </c>
      <c r="Q78" s="7">
        <v>1225043</v>
      </c>
      <c r="S78" s="7">
        <v>10962535</v>
      </c>
      <c r="U78" s="7">
        <v>8830667</v>
      </c>
      <c r="W78" s="7">
        <f t="shared" si="5"/>
        <v>962396</v>
      </c>
      <c r="Y78" s="7">
        <v>-834555</v>
      </c>
      <c r="AA78" s="7">
        <v>8958508</v>
      </c>
      <c r="AB78" s="7">
        <f t="shared" si="21"/>
        <v>0</v>
      </c>
      <c r="AD78" s="32">
        <f t="shared" si="10"/>
        <v>0</v>
      </c>
      <c r="AF78" s="32"/>
      <c r="AH78" s="32" t="str">
        <f>'St of Activites - GA Rev'!A78</f>
        <v>Buckeye Local SD</v>
      </c>
      <c r="AI78" s="32" t="str">
        <f t="shared" si="22"/>
        <v>Buckeye Local SD</v>
      </c>
      <c r="AJ78" s="32" t="b">
        <f t="shared" si="16"/>
        <v>1</v>
      </c>
      <c r="AL78" s="32" t="str">
        <f>'St of Activities - GA Exp'!A78</f>
        <v>Buckeye Local SD</v>
      </c>
      <c r="AN78" s="32" t="b">
        <f t="shared" si="18"/>
        <v>1</v>
      </c>
      <c r="AR78" s="32" t="str">
        <f t="shared" si="19"/>
        <v>Jefferson</v>
      </c>
      <c r="AS78" s="32" t="str">
        <f>'St of Activites - GA Rev'!C78</f>
        <v>Jefferson</v>
      </c>
      <c r="AT78" s="32" t="b">
        <f t="shared" si="17"/>
        <v>1</v>
      </c>
      <c r="AU78" s="32" t="str">
        <f>'St of Activities - GA Exp'!C78</f>
        <v>Jefferson</v>
      </c>
      <c r="AW78" s="32" t="b">
        <f t="shared" si="20"/>
        <v>1</v>
      </c>
    </row>
    <row r="79" spans="1:49">
      <c r="A79" s="12" t="s">
        <v>708</v>
      </c>
      <c r="B79" s="12"/>
      <c r="C79" s="12" t="s">
        <v>47</v>
      </c>
      <c r="D79" s="12"/>
      <c r="E79" s="29">
        <v>47787</v>
      </c>
      <c r="G79" s="7">
        <f>+K79-I79</f>
        <v>15874425</v>
      </c>
      <c r="I79" s="7">
        <f>903985+27811722</f>
        <v>28715707</v>
      </c>
      <c r="K79" s="7">
        <v>44590132</v>
      </c>
      <c r="M79" s="7">
        <f t="shared" ref="M79:M142" si="23">+S79-O79-Q79</f>
        <v>11857303</v>
      </c>
      <c r="O79" s="7">
        <v>1325058</v>
      </c>
      <c r="Q79" s="7">
        <v>20674363</v>
      </c>
      <c r="S79" s="7">
        <v>33856724</v>
      </c>
      <c r="U79" s="7">
        <v>7463876</v>
      </c>
      <c r="W79" s="7">
        <f>AA79-Y79-U79</f>
        <v>3680355</v>
      </c>
      <c r="Y79" s="7">
        <v>-410823</v>
      </c>
      <c r="AA79" s="7">
        <v>10733408</v>
      </c>
      <c r="AB79" s="7">
        <f t="shared" si="21"/>
        <v>0</v>
      </c>
      <c r="AD79" s="32">
        <f t="shared" si="10"/>
        <v>0</v>
      </c>
      <c r="AF79" s="32"/>
      <c r="AH79" s="32" t="str">
        <f>'St of Activites - GA Rev'!A79</f>
        <v xml:space="preserve">Buckeye Local SD </v>
      </c>
      <c r="AI79" s="32" t="str">
        <f t="shared" si="22"/>
        <v xml:space="preserve">Buckeye Local SD </v>
      </c>
      <c r="AJ79" s="32" t="b">
        <f t="shared" si="16"/>
        <v>1</v>
      </c>
      <c r="AL79" s="32" t="str">
        <f>'St of Activities - GA Exp'!A79</f>
        <v xml:space="preserve">Buckeye Local SD </v>
      </c>
      <c r="AN79" s="32" t="b">
        <f t="shared" si="18"/>
        <v>1</v>
      </c>
      <c r="AR79" s="32" t="str">
        <f t="shared" si="19"/>
        <v>Medina</v>
      </c>
      <c r="AS79" s="32" t="str">
        <f>'St of Activites - GA Rev'!C79</f>
        <v>Medina</v>
      </c>
      <c r="AT79" s="32" t="b">
        <f t="shared" si="17"/>
        <v>1</v>
      </c>
      <c r="AU79" s="32" t="str">
        <f>'St of Activities - GA Exp'!C79</f>
        <v>Medina</v>
      </c>
      <c r="AW79" s="32" t="b">
        <f t="shared" si="20"/>
        <v>1</v>
      </c>
    </row>
    <row r="80" spans="1:49" s="65" customFormat="1" hidden="1">
      <c r="A80" s="70" t="s">
        <v>908</v>
      </c>
      <c r="C80" s="65" t="s">
        <v>112</v>
      </c>
      <c r="D80" s="63"/>
      <c r="E80" s="64">
        <v>48470</v>
      </c>
      <c r="G80" s="65">
        <f>+K80-I80</f>
        <v>0</v>
      </c>
      <c r="M80" s="65">
        <f t="shared" si="23"/>
        <v>0</v>
      </c>
      <c r="W80" s="65">
        <f>AA80-Y80-U80</f>
        <v>0</v>
      </c>
      <c r="AB80" s="65">
        <f t="shared" si="21"/>
        <v>0</v>
      </c>
      <c r="AD80" s="66">
        <f>+G80+I80+-M80-O80-U80-W80-Y80-Q80</f>
        <v>0</v>
      </c>
      <c r="AE80" s="65" t="s">
        <v>907</v>
      </c>
      <c r="AF80" s="66"/>
      <c r="AH80" s="66" t="str">
        <f>'St of Activites - GA Rev'!A80</f>
        <v>Buckeye Online School for Success (now Community School)</v>
      </c>
      <c r="AI80" s="66" t="str">
        <f t="shared" si="22"/>
        <v>Buckeye Online School for Success (now Community School)</v>
      </c>
      <c r="AJ80" s="66" t="b">
        <f t="shared" si="16"/>
        <v>1</v>
      </c>
      <c r="AL80" s="66" t="str">
        <f>'St of Activities - GA Exp'!A80</f>
        <v>Buckeye Online School for Success (now Community School)</v>
      </c>
      <c r="AN80" s="66" t="b">
        <f t="shared" si="18"/>
        <v>1</v>
      </c>
      <c r="AR80" s="66" t="str">
        <f t="shared" si="19"/>
        <v>Columbiana</v>
      </c>
      <c r="AS80" s="66" t="str">
        <f>'St of Activites - GA Rev'!C80</f>
        <v>Columbiana</v>
      </c>
      <c r="AT80" s="66" t="b">
        <f t="shared" si="17"/>
        <v>1</v>
      </c>
      <c r="AU80" s="66" t="str">
        <f>'St of Activities - GA Exp'!C80</f>
        <v>Columbiana</v>
      </c>
      <c r="AV80" s="86"/>
      <c r="AW80" s="66" t="b">
        <f t="shared" si="20"/>
        <v>1</v>
      </c>
    </row>
    <row r="81" spans="1:49">
      <c r="A81" s="12" t="s">
        <v>665</v>
      </c>
      <c r="B81" s="12"/>
      <c r="C81" s="12" t="s">
        <v>23</v>
      </c>
      <c r="D81" s="12"/>
      <c r="E81" s="29">
        <v>46755</v>
      </c>
      <c r="G81" s="7">
        <f>+K81-I81</f>
        <v>25824490</v>
      </c>
      <c r="I81" s="7">
        <v>27230842</v>
      </c>
      <c r="K81" s="7">
        <v>53055332</v>
      </c>
      <c r="M81" s="7">
        <f t="shared" si="23"/>
        <v>12620833</v>
      </c>
      <c r="O81" s="7">
        <v>1389316</v>
      </c>
      <c r="Q81" s="7">
        <v>23934528</v>
      </c>
      <c r="S81" s="7">
        <v>37944677</v>
      </c>
      <c r="U81" s="7">
        <v>10096906</v>
      </c>
      <c r="W81" s="7">
        <f>AA81-Y81-U81</f>
        <v>1968354</v>
      </c>
      <c r="Y81" s="7">
        <v>3045395</v>
      </c>
      <c r="AA81" s="7">
        <v>15110655</v>
      </c>
      <c r="AB81" s="7">
        <f t="shared" si="21"/>
        <v>0</v>
      </c>
      <c r="AD81" s="32">
        <f>+G81+I81+-M81-O81-U81-W81-Y81-Q81</f>
        <v>0</v>
      </c>
      <c r="AF81" s="32"/>
      <c r="AH81" s="32" t="str">
        <f>'St of Activites - GA Rev'!A81</f>
        <v xml:space="preserve">Buckeye Valley Local SD </v>
      </c>
      <c r="AI81" s="32" t="str">
        <f t="shared" si="22"/>
        <v xml:space="preserve">Buckeye Valley Local SD </v>
      </c>
      <c r="AJ81" s="32" t="b">
        <f t="shared" si="16"/>
        <v>1</v>
      </c>
      <c r="AL81" s="32" t="str">
        <f>'St of Activities - GA Exp'!A81</f>
        <v xml:space="preserve">Buckeye Valley Local SD </v>
      </c>
      <c r="AN81" s="32" t="b">
        <f t="shared" si="18"/>
        <v>1</v>
      </c>
      <c r="AR81" s="32" t="str">
        <f t="shared" si="19"/>
        <v>Delaware</v>
      </c>
      <c r="AS81" s="32" t="str">
        <f>'St of Activites - GA Rev'!C81</f>
        <v>Delaware</v>
      </c>
      <c r="AT81" s="32" t="b">
        <f t="shared" si="17"/>
        <v>1</v>
      </c>
      <c r="AU81" s="32" t="str">
        <f>'St of Activities - GA Exp'!C81</f>
        <v>Delaware</v>
      </c>
      <c r="AW81" s="32" t="b">
        <f t="shared" si="20"/>
        <v>1</v>
      </c>
    </row>
    <row r="82" spans="1:49">
      <c r="A82" s="12" t="s">
        <v>263</v>
      </c>
      <c r="B82" s="12"/>
      <c r="C82" s="12" t="s">
        <v>111</v>
      </c>
      <c r="D82" s="12"/>
      <c r="E82" s="29">
        <v>43687</v>
      </c>
      <c r="F82" s="26"/>
      <c r="G82" s="7">
        <f>+K82-I82</f>
        <v>15711075</v>
      </c>
      <c r="I82" s="7">
        <f>424160+36300785</f>
        <v>36724945</v>
      </c>
      <c r="K82" s="7">
        <v>52436020</v>
      </c>
      <c r="M82" s="7">
        <f t="shared" si="23"/>
        <v>5652956</v>
      </c>
      <c r="O82" s="7">
        <v>447159</v>
      </c>
      <c r="Q82" s="7">
        <v>13672869</v>
      </c>
      <c r="S82" s="7">
        <v>19772984</v>
      </c>
      <c r="U82" s="7">
        <v>24619778</v>
      </c>
      <c r="W82" s="7">
        <f>AA82-Y82-U82</f>
        <v>2950210</v>
      </c>
      <c r="Y82" s="7">
        <v>5093048</v>
      </c>
      <c r="AA82" s="7">
        <v>32663036</v>
      </c>
      <c r="AB82" s="7">
        <f t="shared" si="21"/>
        <v>0</v>
      </c>
      <c r="AD82" s="32">
        <f>+G82+I82+-M82-O82-U82-W82-Y82-Q82</f>
        <v>0</v>
      </c>
      <c r="AF82" s="32"/>
      <c r="AH82" s="32" t="str">
        <f>'St of Activites - GA Rev'!A82</f>
        <v>Bucyrus City SD</v>
      </c>
      <c r="AI82" s="32" t="str">
        <f t="shared" si="22"/>
        <v>Bucyrus City SD</v>
      </c>
      <c r="AJ82" s="32" t="b">
        <f t="shared" si="16"/>
        <v>1</v>
      </c>
      <c r="AL82" s="32" t="str">
        <f>'St of Activities - GA Exp'!A82</f>
        <v>Bucyrus City SD</v>
      </c>
      <c r="AN82" s="32" t="b">
        <f t="shared" si="18"/>
        <v>1</v>
      </c>
      <c r="AR82" s="32" t="str">
        <f t="shared" si="19"/>
        <v>Crawford</v>
      </c>
      <c r="AS82" s="32" t="str">
        <f>'St of Activites - GA Rev'!C82</f>
        <v>Crawford</v>
      </c>
      <c r="AT82" s="32" t="b">
        <f t="shared" si="17"/>
        <v>1</v>
      </c>
      <c r="AU82" s="32" t="str">
        <f>'St of Activities - GA Exp'!C82</f>
        <v>Crawford</v>
      </c>
      <c r="AW82" s="32" t="b">
        <f t="shared" si="20"/>
        <v>1</v>
      </c>
    </row>
    <row r="83" spans="1:49">
      <c r="A83" s="12" t="s">
        <v>861</v>
      </c>
      <c r="B83" s="12"/>
      <c r="C83" s="12" t="s">
        <v>52</v>
      </c>
      <c r="D83" s="12"/>
      <c r="E83" s="29">
        <v>45252</v>
      </c>
      <c r="G83" s="7">
        <f t="shared" ref="G83:G141" si="24">+K83-I83</f>
        <v>6404909</v>
      </c>
      <c r="I83" s="7">
        <f>381096+4090679</f>
        <v>4471775</v>
      </c>
      <c r="K83" s="7">
        <v>10876684</v>
      </c>
      <c r="M83" s="7">
        <f t="shared" si="23"/>
        <v>3321351</v>
      </c>
      <c r="O83" s="7">
        <v>9741</v>
      </c>
      <c r="Q83" s="7">
        <v>352697</v>
      </c>
      <c r="S83" s="7">
        <v>3683789</v>
      </c>
      <c r="U83" s="7">
        <v>4471775</v>
      </c>
      <c r="W83" s="7">
        <f t="shared" ref="W83:W146" si="25">AA83-Y83-U83</f>
        <v>389520</v>
      </c>
      <c r="Y83" s="7">
        <v>2331600</v>
      </c>
      <c r="AA83" s="7">
        <v>7192895</v>
      </c>
      <c r="AB83" s="7">
        <f t="shared" ref="AB83:AB149" si="26">+K83-S83-AA83</f>
        <v>0</v>
      </c>
      <c r="AD83" s="32">
        <f t="shared" ref="AD83:AD147" si="27">+G83+I83+-M83-O83-U83-W83-Y83-Q83</f>
        <v>0</v>
      </c>
      <c r="AF83" s="32"/>
      <c r="AH83" s="32" t="str">
        <f>'St of Activites - GA Rev'!A83</f>
        <v>Caldwell Exempted Village SD</v>
      </c>
      <c r="AI83" s="32" t="str">
        <f t="shared" si="22"/>
        <v>Caldwell Exempted Village SD</v>
      </c>
      <c r="AJ83" s="32" t="b">
        <f t="shared" si="16"/>
        <v>1</v>
      </c>
      <c r="AL83" s="32" t="str">
        <f>'St of Activities - GA Exp'!A83</f>
        <v>Caldwell Exempted Village SD</v>
      </c>
      <c r="AN83" s="32" t="b">
        <f t="shared" si="18"/>
        <v>1</v>
      </c>
      <c r="AR83" s="32" t="str">
        <f t="shared" si="19"/>
        <v>Noble</v>
      </c>
      <c r="AS83" s="32" t="str">
        <f>'St of Activites - GA Rev'!C83</f>
        <v>Noble</v>
      </c>
      <c r="AT83" s="32" t="b">
        <f t="shared" si="17"/>
        <v>1</v>
      </c>
      <c r="AU83" s="32" t="str">
        <f>'St of Activities - GA Exp'!C83</f>
        <v>Noble</v>
      </c>
      <c r="AW83" s="32" t="b">
        <f t="shared" si="20"/>
        <v>1</v>
      </c>
    </row>
    <row r="84" spans="1:49">
      <c r="A84" s="12" t="s">
        <v>327</v>
      </c>
      <c r="B84" s="12"/>
      <c r="C84" s="12" t="s">
        <v>31</v>
      </c>
      <c r="D84" s="12"/>
      <c r="E84" s="29">
        <v>43695</v>
      </c>
      <c r="G84" s="7">
        <f t="shared" si="24"/>
        <v>15967482</v>
      </c>
      <c r="I84" s="7">
        <f>5031339+34739953</f>
        <v>39771292</v>
      </c>
      <c r="K84" s="7">
        <v>55738774</v>
      </c>
      <c r="M84" s="7">
        <f t="shared" si="23"/>
        <v>7365621</v>
      </c>
      <c r="O84" s="7">
        <v>567314</v>
      </c>
      <c r="Q84" s="7">
        <v>6746317</v>
      </c>
      <c r="S84" s="7">
        <v>14679252</v>
      </c>
      <c r="U84" s="7">
        <v>34201140</v>
      </c>
      <c r="W84" s="7">
        <f t="shared" si="25"/>
        <v>5200093</v>
      </c>
      <c r="Y84" s="7">
        <v>1658289</v>
      </c>
      <c r="AA84" s="7">
        <v>41059522</v>
      </c>
      <c r="AB84" s="7">
        <f t="shared" si="26"/>
        <v>0</v>
      </c>
      <c r="AD84" s="32">
        <f t="shared" si="27"/>
        <v>0</v>
      </c>
      <c r="AF84" s="32"/>
      <c r="AH84" s="32" t="str">
        <f>'St of Activites - GA Rev'!A84</f>
        <v>Cambridge City SD</v>
      </c>
      <c r="AI84" s="32" t="str">
        <f t="shared" si="22"/>
        <v>Cambridge City SD</v>
      </c>
      <c r="AJ84" s="32" t="b">
        <f t="shared" si="16"/>
        <v>1</v>
      </c>
      <c r="AL84" s="32" t="str">
        <f>'St of Activities - GA Exp'!A84</f>
        <v>Cambridge City SD</v>
      </c>
      <c r="AN84" s="32" t="b">
        <f t="shared" si="18"/>
        <v>1</v>
      </c>
      <c r="AR84" s="32" t="str">
        <f t="shared" si="19"/>
        <v>Guernsey</v>
      </c>
      <c r="AS84" s="32" t="str">
        <f>'St of Activites - GA Rev'!C84</f>
        <v>Guernsey</v>
      </c>
      <c r="AT84" s="32" t="b">
        <f t="shared" si="17"/>
        <v>1</v>
      </c>
      <c r="AU84" s="32" t="str">
        <f>'St of Activities - GA Exp'!C84</f>
        <v>Guernsey</v>
      </c>
      <c r="AW84" s="32" t="b">
        <f t="shared" si="20"/>
        <v>1</v>
      </c>
    </row>
    <row r="85" spans="1:49">
      <c r="A85" s="12" t="s">
        <v>677</v>
      </c>
      <c r="B85" s="12"/>
      <c r="C85" s="12" t="s">
        <v>45</v>
      </c>
      <c r="D85" s="12"/>
      <c r="E85" s="29">
        <v>43703</v>
      </c>
      <c r="G85" s="7">
        <f t="shared" si="24"/>
        <v>5944887</v>
      </c>
      <c r="I85" s="7">
        <f>130245+33251940</f>
        <v>33382185</v>
      </c>
      <c r="K85" s="7">
        <v>39327072</v>
      </c>
      <c r="M85" s="7">
        <f t="shared" si="23"/>
        <v>4498936</v>
      </c>
      <c r="O85" s="7">
        <v>439597</v>
      </c>
      <c r="Q85" s="7">
        <v>4343968</v>
      </c>
      <c r="S85" s="7">
        <v>9282501</v>
      </c>
      <c r="U85" s="7">
        <v>29600183</v>
      </c>
      <c r="W85" s="7">
        <f t="shared" si="25"/>
        <v>1484587</v>
      </c>
      <c r="Y85" s="7">
        <v>-1040199</v>
      </c>
      <c r="AA85" s="7">
        <v>30044571</v>
      </c>
      <c r="AB85" s="7">
        <f t="shared" si="26"/>
        <v>0</v>
      </c>
      <c r="AD85" s="32">
        <f t="shared" si="27"/>
        <v>0</v>
      </c>
      <c r="AF85" s="32"/>
      <c r="AH85" s="32" t="str">
        <f>'St of Activites - GA Rev'!A85</f>
        <v xml:space="preserve">Campbell City SD </v>
      </c>
      <c r="AI85" s="32" t="str">
        <f t="shared" si="22"/>
        <v xml:space="preserve">Campbell City SD </v>
      </c>
      <c r="AJ85" s="32" t="b">
        <f t="shared" si="16"/>
        <v>1</v>
      </c>
      <c r="AL85" s="32" t="str">
        <f>'St of Activities - GA Exp'!A85</f>
        <v xml:space="preserve">Campbell City SD </v>
      </c>
      <c r="AN85" s="32" t="b">
        <f t="shared" si="18"/>
        <v>1</v>
      </c>
      <c r="AR85" s="32" t="str">
        <f t="shared" si="19"/>
        <v>Mahoning</v>
      </c>
      <c r="AS85" s="32" t="str">
        <f>'St of Activites - GA Rev'!C85</f>
        <v>Mahoning</v>
      </c>
      <c r="AT85" s="32" t="b">
        <f t="shared" si="17"/>
        <v>1</v>
      </c>
      <c r="AU85" s="32" t="str">
        <f>'St of Activities - GA Exp'!C85</f>
        <v>Mahoning</v>
      </c>
      <c r="AW85" s="32" t="b">
        <f t="shared" si="20"/>
        <v>1</v>
      </c>
    </row>
    <row r="86" spans="1:49">
      <c r="A86" s="12" t="s">
        <v>306</v>
      </c>
      <c r="B86" s="12"/>
      <c r="C86" s="12" t="s">
        <v>27</v>
      </c>
      <c r="D86" s="12"/>
      <c r="E86" s="29">
        <v>46946</v>
      </c>
      <c r="G86" s="7">
        <f t="shared" si="24"/>
        <v>36257436</v>
      </c>
      <c r="I86" s="7">
        <v>70371941</v>
      </c>
      <c r="K86" s="7">
        <v>106629377</v>
      </c>
      <c r="M86" s="7">
        <f t="shared" si="23"/>
        <v>19475266</v>
      </c>
      <c r="O86" s="7">
        <v>4147601</v>
      </c>
      <c r="Q86" s="7">
        <v>63676722</v>
      </c>
      <c r="S86" s="7">
        <v>87299589</v>
      </c>
      <c r="U86" s="7">
        <v>6214038</v>
      </c>
      <c r="W86" s="7">
        <f t="shared" si="25"/>
        <v>4511058</v>
      </c>
      <c r="Y86" s="7">
        <v>8604692</v>
      </c>
      <c r="AA86" s="7">
        <v>19329788</v>
      </c>
      <c r="AB86" s="7">
        <f t="shared" si="26"/>
        <v>0</v>
      </c>
      <c r="AD86" s="32">
        <f t="shared" si="27"/>
        <v>0</v>
      </c>
      <c r="AF86" s="32"/>
      <c r="AH86" s="32" t="str">
        <f>'St of Activites - GA Rev'!A86</f>
        <v>Canal Winchester Local SD</v>
      </c>
      <c r="AI86" s="32" t="str">
        <f t="shared" si="22"/>
        <v>Canal Winchester Local SD</v>
      </c>
      <c r="AJ86" s="32" t="b">
        <f t="shared" si="16"/>
        <v>1</v>
      </c>
      <c r="AL86" s="32" t="str">
        <f>'St of Activities - GA Exp'!A86</f>
        <v>Canal Winchester Local SD</v>
      </c>
      <c r="AN86" s="32" t="b">
        <f t="shared" si="18"/>
        <v>1</v>
      </c>
      <c r="AR86" s="32" t="str">
        <f t="shared" si="19"/>
        <v>Franklin</v>
      </c>
      <c r="AS86" s="32" t="str">
        <f>'St of Activites - GA Rev'!C86</f>
        <v>Franklin</v>
      </c>
      <c r="AT86" s="32" t="b">
        <f t="shared" si="17"/>
        <v>1</v>
      </c>
      <c r="AU86" s="32" t="str">
        <f>'St of Activities - GA Exp'!C86</f>
        <v>Franklin</v>
      </c>
      <c r="AW86" s="32" t="b">
        <f t="shared" si="20"/>
        <v>1</v>
      </c>
    </row>
    <row r="87" spans="1:49">
      <c r="A87" s="12" t="s">
        <v>416</v>
      </c>
      <c r="B87" s="12"/>
      <c r="C87" s="12" t="s">
        <v>45</v>
      </c>
      <c r="D87" s="12"/>
      <c r="E87" s="29">
        <v>48314</v>
      </c>
      <c r="G87" s="7">
        <f t="shared" si="24"/>
        <v>27850071</v>
      </c>
      <c r="I87" s="7">
        <f>441370+14040998</f>
        <v>14482368</v>
      </c>
      <c r="K87" s="7">
        <v>42332439</v>
      </c>
      <c r="M87" s="7">
        <f t="shared" si="23"/>
        <v>18943688</v>
      </c>
      <c r="O87" s="7">
        <v>251235</v>
      </c>
      <c r="Q87" s="7">
        <v>5343152</v>
      </c>
      <c r="S87" s="7">
        <v>24538075</v>
      </c>
      <c r="U87" s="7">
        <v>12022489</v>
      </c>
      <c r="W87" s="7">
        <f t="shared" si="25"/>
        <v>4433169</v>
      </c>
      <c r="Y87" s="7">
        <v>1338706</v>
      </c>
      <c r="AA87" s="7">
        <v>17794364</v>
      </c>
      <c r="AB87" s="7">
        <f t="shared" si="26"/>
        <v>0</v>
      </c>
      <c r="AD87" s="32">
        <f t="shared" si="27"/>
        <v>0</v>
      </c>
      <c r="AF87" s="32"/>
      <c r="AH87" s="32" t="str">
        <f>'St of Activites - GA Rev'!A87</f>
        <v>Canfield Local SD</v>
      </c>
      <c r="AI87" s="32" t="str">
        <f t="shared" si="22"/>
        <v>Canfield Local SD</v>
      </c>
      <c r="AJ87" s="32" t="b">
        <f t="shared" si="16"/>
        <v>1</v>
      </c>
      <c r="AL87" s="32" t="str">
        <f>'St of Activities - GA Exp'!A87</f>
        <v>Canfield Local SD</v>
      </c>
      <c r="AN87" s="32" t="b">
        <f t="shared" si="18"/>
        <v>1</v>
      </c>
      <c r="AR87" s="32" t="str">
        <f t="shared" si="19"/>
        <v>Mahoning</v>
      </c>
      <c r="AS87" s="32" t="str">
        <f>'St of Activites - GA Rev'!C87</f>
        <v>Mahoning</v>
      </c>
      <c r="AT87" s="32" t="b">
        <f t="shared" si="17"/>
        <v>1</v>
      </c>
      <c r="AU87" s="32" t="str">
        <f>'St of Activities - GA Exp'!C87</f>
        <v>Mahoning</v>
      </c>
      <c r="AW87" s="32" t="b">
        <f t="shared" si="20"/>
        <v>1</v>
      </c>
    </row>
    <row r="88" spans="1:49">
      <c r="A88" s="12" t="s">
        <v>509</v>
      </c>
      <c r="B88" s="12"/>
      <c r="C88" s="12" t="s">
        <v>62</v>
      </c>
      <c r="D88" s="12"/>
      <c r="E88" s="29">
        <v>49833</v>
      </c>
      <c r="G88" s="7">
        <f>+K88-I88</f>
        <v>12961466</v>
      </c>
      <c r="I88" s="7">
        <v>4613951</v>
      </c>
      <c r="K88" s="7">
        <v>17575417</v>
      </c>
      <c r="M88" s="7">
        <f>+S88-O88-Q88</f>
        <v>11615189</v>
      </c>
      <c r="O88" s="7">
        <v>438726</v>
      </c>
      <c r="Q88" s="7">
        <v>2704868</v>
      </c>
      <c r="S88" s="7">
        <v>14758783</v>
      </c>
      <c r="U88" s="7">
        <v>4500544</v>
      </c>
      <c r="W88" s="7">
        <f>AA88-Y88-U88</f>
        <v>1182903</v>
      </c>
      <c r="Y88" s="7">
        <v>-2866813</v>
      </c>
      <c r="AA88" s="7">
        <v>2816634</v>
      </c>
      <c r="AB88" s="7">
        <f>+K88-S88-AA88</f>
        <v>0</v>
      </c>
      <c r="AD88" s="32">
        <f>+G88+I88+-M88-O88-U88-W88-Y88-Q88</f>
        <v>0</v>
      </c>
      <c r="AE88" s="7" t="s">
        <v>782</v>
      </c>
      <c r="AF88" s="32"/>
      <c r="AH88" s="32" t="str">
        <f>'St of Activites - GA Rev'!A88</f>
        <v>Canton City SD</v>
      </c>
      <c r="AI88" s="32" t="str">
        <f>A88</f>
        <v>Canton City SD</v>
      </c>
      <c r="AJ88" s="32" t="b">
        <f>AH88=AI88</f>
        <v>1</v>
      </c>
      <c r="AL88" s="32" t="str">
        <f>'St of Activities - GA Exp'!A88</f>
        <v>Canton City SD</v>
      </c>
      <c r="AN88" s="32" t="b">
        <f>AH88=AL88</f>
        <v>1</v>
      </c>
      <c r="AR88" s="32" t="str">
        <f>C88</f>
        <v>Stark</v>
      </c>
      <c r="AS88" s="32" t="str">
        <f>'St of Activites - GA Rev'!C88</f>
        <v>Stark</v>
      </c>
      <c r="AT88" s="32" t="b">
        <f>AR88=AS88</f>
        <v>1</v>
      </c>
      <c r="AU88" s="32" t="str">
        <f>'St of Activities - GA Exp'!C88</f>
        <v>Stark</v>
      </c>
      <c r="AW88" s="32" t="b">
        <f>AU88=AS88</f>
        <v>1</v>
      </c>
    </row>
    <row r="89" spans="1:49">
      <c r="A89" s="12" t="s">
        <v>510</v>
      </c>
      <c r="B89" s="12"/>
      <c r="C89" s="12" t="s">
        <v>62</v>
      </c>
      <c r="D89" s="12"/>
      <c r="E89" s="29">
        <v>43711</v>
      </c>
      <c r="G89" s="7">
        <f>+K89-I89</f>
        <v>84612000</v>
      </c>
      <c r="I89" s="7">
        <v>187744000</v>
      </c>
      <c r="K89" s="7">
        <v>272356000</v>
      </c>
      <c r="M89" s="7">
        <f t="shared" si="23"/>
        <v>39146000</v>
      </c>
      <c r="O89" s="7">
        <v>3384000</v>
      </c>
      <c r="Q89" s="7">
        <v>60427000</v>
      </c>
      <c r="S89" s="7">
        <v>102957000</v>
      </c>
      <c r="U89" s="7">
        <v>137329000</v>
      </c>
      <c r="W89" s="7">
        <f>AA89-Y89-U89</f>
        <v>31815000</v>
      </c>
      <c r="Y89" s="7">
        <v>255000</v>
      </c>
      <c r="AA89" s="7">
        <v>169399000</v>
      </c>
      <c r="AB89" s="7">
        <f>+K89-S89-AA89</f>
        <v>0</v>
      </c>
      <c r="AD89" s="32">
        <f>+G89+I89+-M89-O89-U89-W89-Y89-Q89</f>
        <v>0</v>
      </c>
      <c r="AF89" s="32"/>
      <c r="AH89" s="32" t="str">
        <f>'St of Activites - GA Rev'!A89</f>
        <v>Canton Local SD</v>
      </c>
      <c r="AI89" s="32" t="str">
        <f t="shared" si="22"/>
        <v>Canton Local SD</v>
      </c>
      <c r="AJ89" s="32" t="b">
        <f t="shared" si="16"/>
        <v>1</v>
      </c>
      <c r="AL89" s="32" t="str">
        <f>'St of Activities - GA Exp'!A89</f>
        <v>Canton Local SD</v>
      </c>
      <c r="AN89" s="32" t="b">
        <f t="shared" si="18"/>
        <v>1</v>
      </c>
      <c r="AR89" s="32" t="str">
        <f t="shared" si="19"/>
        <v>Stark</v>
      </c>
      <c r="AS89" s="32" t="str">
        <f>'St of Activites - GA Rev'!C89</f>
        <v>Stark</v>
      </c>
      <c r="AT89" s="32" t="b">
        <f t="shared" si="17"/>
        <v>1</v>
      </c>
      <c r="AU89" s="32" t="str">
        <f>'St of Activities - GA Exp'!C89</f>
        <v>Stark</v>
      </c>
      <c r="AW89" s="32" t="b">
        <f t="shared" si="20"/>
        <v>1</v>
      </c>
    </row>
    <row r="90" spans="1:49">
      <c r="A90" s="12" t="s">
        <v>678</v>
      </c>
      <c r="B90" s="12"/>
      <c r="C90" s="12" t="s">
        <v>30</v>
      </c>
      <c r="D90" s="12"/>
      <c r="E90" s="29">
        <v>47175</v>
      </c>
      <c r="G90" s="7">
        <f t="shared" si="24"/>
        <v>11577340</v>
      </c>
      <c r="I90" s="7">
        <f>560094+10010382</f>
        <v>10570476</v>
      </c>
      <c r="K90" s="7">
        <v>22147816</v>
      </c>
      <c r="M90" s="7">
        <f t="shared" si="23"/>
        <v>8601607</v>
      </c>
      <c r="O90" s="7">
        <v>1126388</v>
      </c>
      <c r="Q90" s="7">
        <v>10540624</v>
      </c>
      <c r="S90" s="7">
        <v>20268619</v>
      </c>
      <c r="U90" s="7">
        <v>2641178</v>
      </c>
      <c r="W90" s="7">
        <f t="shared" si="25"/>
        <v>1664692</v>
      </c>
      <c r="Y90" s="7">
        <v>-2426673</v>
      </c>
      <c r="AA90" s="7">
        <v>1879197</v>
      </c>
      <c r="AB90" s="7">
        <f t="shared" si="26"/>
        <v>0</v>
      </c>
      <c r="AD90" s="32">
        <f t="shared" si="27"/>
        <v>0</v>
      </c>
      <c r="AF90" s="32"/>
      <c r="AH90" s="32" t="str">
        <f>'St of Activites - GA Rev'!A90</f>
        <v xml:space="preserve">Cardinal Local SD </v>
      </c>
      <c r="AI90" s="32" t="str">
        <f t="shared" si="22"/>
        <v xml:space="preserve">Cardinal Local SD </v>
      </c>
      <c r="AJ90" s="32" t="b">
        <f t="shared" si="16"/>
        <v>1</v>
      </c>
      <c r="AL90" s="32" t="str">
        <f>'St of Activities - GA Exp'!A90</f>
        <v xml:space="preserve">Cardinal Local SD </v>
      </c>
      <c r="AN90" s="32" t="b">
        <f t="shared" si="18"/>
        <v>1</v>
      </c>
      <c r="AR90" s="32" t="str">
        <f t="shared" si="19"/>
        <v>Geauga</v>
      </c>
      <c r="AS90" s="32" t="str">
        <f>'St of Activites - GA Rev'!C90</f>
        <v>Geauga</v>
      </c>
      <c r="AT90" s="32" t="b">
        <f t="shared" si="17"/>
        <v>1</v>
      </c>
      <c r="AU90" s="32" t="str">
        <f>'St of Activities - GA Exp'!C90</f>
        <v>Geauga</v>
      </c>
      <c r="AW90" s="32" t="b">
        <f t="shared" si="20"/>
        <v>1</v>
      </c>
    </row>
    <row r="91" spans="1:49" s="73" customFormat="1" hidden="1">
      <c r="A91" s="71" t="s">
        <v>454</v>
      </c>
      <c r="B91" s="71"/>
      <c r="C91" s="71" t="s">
        <v>78</v>
      </c>
      <c r="D91" s="71"/>
      <c r="E91" s="72">
        <v>48793</v>
      </c>
      <c r="G91" s="73">
        <f t="shared" si="24"/>
        <v>0</v>
      </c>
      <c r="I91" s="73">
        <v>0</v>
      </c>
      <c r="K91" s="73">
        <v>0</v>
      </c>
      <c r="M91" s="73">
        <f t="shared" si="23"/>
        <v>0</v>
      </c>
      <c r="O91" s="73">
        <v>0</v>
      </c>
      <c r="Q91" s="73">
        <v>0</v>
      </c>
      <c r="S91" s="73">
        <v>0</v>
      </c>
      <c r="U91" s="73">
        <v>0</v>
      </c>
      <c r="W91" s="73">
        <f t="shared" si="25"/>
        <v>0</v>
      </c>
      <c r="Y91" s="73">
        <v>0</v>
      </c>
      <c r="AA91" s="73">
        <v>0</v>
      </c>
      <c r="AB91" s="73">
        <f t="shared" si="26"/>
        <v>0</v>
      </c>
      <c r="AD91" s="74">
        <f t="shared" si="27"/>
        <v>0</v>
      </c>
      <c r="AE91" s="73" t="s">
        <v>981</v>
      </c>
      <c r="AF91" s="74"/>
      <c r="AH91" s="74" t="str">
        <f>'St of Activites - GA Rev'!A91</f>
        <v>Cardington-Lincoln Local SD</v>
      </c>
      <c r="AI91" s="74" t="str">
        <f t="shared" si="22"/>
        <v>Cardington-Lincoln Local SD</v>
      </c>
      <c r="AJ91" s="74" t="b">
        <f t="shared" si="16"/>
        <v>1</v>
      </c>
      <c r="AL91" s="74" t="str">
        <f>'St of Activities - GA Exp'!A91</f>
        <v>Cardington-Lincoln Local SD</v>
      </c>
      <c r="AN91" s="74" t="b">
        <f t="shared" si="18"/>
        <v>1</v>
      </c>
      <c r="AR91" s="74" t="str">
        <f t="shared" si="19"/>
        <v>Morrow</v>
      </c>
      <c r="AS91" s="74" t="str">
        <f>'St of Activites - GA Rev'!C91</f>
        <v>Morrow</v>
      </c>
      <c r="AT91" s="74" t="b">
        <f t="shared" si="17"/>
        <v>1</v>
      </c>
      <c r="AU91" s="74" t="str">
        <f>'St of Activities - GA Exp'!C91</f>
        <v>Morrow</v>
      </c>
      <c r="AV91" s="87"/>
      <c r="AW91" s="74" t="b">
        <f t="shared" si="20"/>
        <v>1</v>
      </c>
    </row>
    <row r="92" spans="1:49" s="65" customFormat="1" hidden="1">
      <c r="A92" s="63" t="s">
        <v>644</v>
      </c>
      <c r="B92" s="63"/>
      <c r="C92" s="63" t="s">
        <v>577</v>
      </c>
      <c r="D92" s="63"/>
      <c r="E92" s="64">
        <v>45260</v>
      </c>
      <c r="G92" s="65">
        <f t="shared" si="24"/>
        <v>0</v>
      </c>
      <c r="M92" s="65">
        <f t="shared" si="23"/>
        <v>0</v>
      </c>
      <c r="W92" s="65">
        <f t="shared" si="25"/>
        <v>0</v>
      </c>
      <c r="AB92" s="65">
        <f t="shared" si="26"/>
        <v>0</v>
      </c>
      <c r="AD92" s="66">
        <f t="shared" si="27"/>
        <v>0</v>
      </c>
      <c r="AE92" s="65" t="s">
        <v>778</v>
      </c>
      <c r="AF92" s="66"/>
      <c r="AH92" s="66" t="str">
        <f>'St of Activites - GA Rev'!A92</f>
        <v>Carey Ex Vill SD (CASH)</v>
      </c>
      <c r="AI92" s="66" t="str">
        <f t="shared" si="22"/>
        <v>Carey Ex Vill SD (CASH)</v>
      </c>
      <c r="AJ92" s="66" t="b">
        <f t="shared" si="16"/>
        <v>1</v>
      </c>
      <c r="AL92" s="66" t="str">
        <f>'St of Activities - GA Exp'!A92</f>
        <v>Carey Ex Vill SD (CASH)</v>
      </c>
      <c r="AN92" s="66" t="b">
        <f t="shared" si="18"/>
        <v>1</v>
      </c>
      <c r="AR92" s="66" t="str">
        <f t="shared" si="19"/>
        <v>Wyandot</v>
      </c>
      <c r="AS92" s="66" t="str">
        <f>'St of Activites - GA Rev'!C92</f>
        <v>Wyandot</v>
      </c>
      <c r="AT92" s="66" t="b">
        <f t="shared" si="17"/>
        <v>1</v>
      </c>
      <c r="AU92" s="66" t="str">
        <f>'St of Activities - GA Exp'!C92</f>
        <v>Wyandot</v>
      </c>
      <c r="AV92" s="86"/>
      <c r="AW92" s="66" t="b">
        <f t="shared" si="20"/>
        <v>1</v>
      </c>
    </row>
    <row r="93" spans="1:49">
      <c r="A93" s="12" t="s">
        <v>560</v>
      </c>
      <c r="B93" s="12"/>
      <c r="C93" s="12" t="s">
        <v>69</v>
      </c>
      <c r="D93" s="12"/>
      <c r="E93" s="29">
        <v>50419</v>
      </c>
      <c r="G93" s="32">
        <f t="shared" si="24"/>
        <v>6857172</v>
      </c>
      <c r="H93" s="32"/>
      <c r="I93" s="32">
        <f>325000+2038083</f>
        <v>2363083</v>
      </c>
      <c r="J93" s="32"/>
      <c r="K93" s="32">
        <v>9220255</v>
      </c>
      <c r="L93" s="32"/>
      <c r="M93" s="32">
        <f t="shared" si="23"/>
        <v>6346296</v>
      </c>
      <c r="N93" s="32"/>
      <c r="O93" s="32">
        <v>148397</v>
      </c>
      <c r="P93" s="32"/>
      <c r="Q93" s="32">
        <v>876522</v>
      </c>
      <c r="R93" s="32"/>
      <c r="S93" s="32">
        <v>7371215</v>
      </c>
      <c r="T93" s="32"/>
      <c r="U93" s="32">
        <v>2196436</v>
      </c>
      <c r="V93" s="32"/>
      <c r="W93" s="32">
        <f t="shared" si="25"/>
        <v>99718</v>
      </c>
      <c r="X93" s="32"/>
      <c r="Y93" s="32">
        <v>-447114</v>
      </c>
      <c r="Z93" s="32"/>
      <c r="AA93" s="32">
        <v>1849040</v>
      </c>
      <c r="AB93" s="7">
        <f t="shared" si="26"/>
        <v>0</v>
      </c>
      <c r="AD93" s="32">
        <f t="shared" si="27"/>
        <v>0</v>
      </c>
      <c r="AF93" s="32"/>
      <c r="AH93" s="32" t="str">
        <f>'St of Activites - GA Rev'!A93</f>
        <v>Carlisle Local SD</v>
      </c>
      <c r="AI93" s="32" t="str">
        <f t="shared" si="22"/>
        <v>Carlisle Local SD</v>
      </c>
      <c r="AJ93" s="32" t="b">
        <f t="shared" si="16"/>
        <v>1</v>
      </c>
      <c r="AL93" s="32" t="str">
        <f>'St of Activities - GA Exp'!A93</f>
        <v>Carlisle Local SD</v>
      </c>
      <c r="AN93" s="32" t="b">
        <f t="shared" si="18"/>
        <v>1</v>
      </c>
      <c r="AR93" s="32" t="str">
        <f t="shared" si="19"/>
        <v>Warren</v>
      </c>
      <c r="AS93" s="32" t="str">
        <f>'St of Activites - GA Rev'!C93</f>
        <v>Warren</v>
      </c>
      <c r="AT93" s="32" t="b">
        <f t="shared" si="17"/>
        <v>1</v>
      </c>
      <c r="AU93" s="32" t="str">
        <f>'St of Activities - GA Exp'!C93</f>
        <v>Warren</v>
      </c>
      <c r="AW93" s="32" t="b">
        <f t="shared" si="20"/>
        <v>1</v>
      </c>
    </row>
    <row r="94" spans="1:49">
      <c r="A94" s="12" t="s">
        <v>862</v>
      </c>
      <c r="B94" s="12"/>
      <c r="C94" s="12" t="s">
        <v>16</v>
      </c>
      <c r="D94" s="12"/>
      <c r="E94" s="29">
        <v>45278</v>
      </c>
      <c r="F94" s="10"/>
      <c r="G94" s="7">
        <f t="shared" si="24"/>
        <v>15783430</v>
      </c>
      <c r="I94" s="7">
        <f>101246+5730357</f>
        <v>5831603</v>
      </c>
      <c r="K94" s="7">
        <v>21615033</v>
      </c>
      <c r="M94" s="7">
        <f t="shared" si="23"/>
        <v>7601949</v>
      </c>
      <c r="O94" s="7">
        <v>52076</v>
      </c>
      <c r="Q94" s="7">
        <v>1307250</v>
      </c>
      <c r="S94" s="7">
        <v>8961275</v>
      </c>
      <c r="U94" s="7">
        <v>5831603</v>
      </c>
      <c r="W94" s="7">
        <f t="shared" si="25"/>
        <v>28498</v>
      </c>
      <c r="Y94" s="7">
        <v>6793657</v>
      </c>
      <c r="AA94" s="7">
        <v>12653758</v>
      </c>
      <c r="AB94" s="7">
        <f t="shared" si="26"/>
        <v>0</v>
      </c>
      <c r="AD94" s="32">
        <f t="shared" si="27"/>
        <v>0</v>
      </c>
      <c r="AF94" s="32"/>
      <c r="AH94" s="32" t="str">
        <f>'St of Activites - GA Rev'!A94</f>
        <v>Carrollton Exempted Village SD</v>
      </c>
      <c r="AI94" s="32" t="str">
        <f t="shared" si="22"/>
        <v>Carrollton Exempted Village SD</v>
      </c>
      <c r="AJ94" s="32" t="b">
        <f t="shared" si="16"/>
        <v>1</v>
      </c>
      <c r="AL94" s="32" t="str">
        <f>'St of Activities - GA Exp'!A94</f>
        <v>Carrollton Exempted Village SD</v>
      </c>
      <c r="AN94" s="32" t="b">
        <f t="shared" si="18"/>
        <v>1</v>
      </c>
      <c r="AR94" s="32" t="str">
        <f t="shared" si="19"/>
        <v>Carroll</v>
      </c>
      <c r="AS94" s="32" t="str">
        <f>'St of Activites - GA Rev'!C94</f>
        <v>Carroll</v>
      </c>
      <c r="AT94" s="32" t="b">
        <f t="shared" si="17"/>
        <v>1</v>
      </c>
      <c r="AU94" s="32" t="str">
        <f>'St of Activities - GA Exp'!C94</f>
        <v>Carroll</v>
      </c>
      <c r="AW94" s="32" t="b">
        <f t="shared" si="20"/>
        <v>1</v>
      </c>
    </row>
    <row r="95" spans="1:49">
      <c r="A95" s="12" t="s">
        <v>679</v>
      </c>
      <c r="B95" s="12"/>
      <c r="C95" s="12" t="s">
        <v>114</v>
      </c>
      <c r="D95" s="12"/>
      <c r="E95" s="29">
        <v>47258</v>
      </c>
      <c r="G95" s="7">
        <f t="shared" si="24"/>
        <v>29927974</v>
      </c>
      <c r="I95" s="7">
        <f>2503736+1007691</f>
        <v>3511427</v>
      </c>
      <c r="K95" s="7">
        <v>33439401</v>
      </c>
      <c r="M95" s="7">
        <f t="shared" si="23"/>
        <v>3869677</v>
      </c>
      <c r="O95" s="7">
        <v>70000</v>
      </c>
      <c r="Q95" s="7">
        <v>14032266</v>
      </c>
      <c r="S95" s="7">
        <v>17971943</v>
      </c>
      <c r="U95" s="7">
        <v>1264579</v>
      </c>
      <c r="W95" s="7">
        <f t="shared" si="25"/>
        <v>12476302</v>
      </c>
      <c r="Y95" s="7">
        <v>1726577</v>
      </c>
      <c r="AA95" s="7">
        <v>15467458</v>
      </c>
      <c r="AB95" s="7">
        <f>+K95-S95-AA95</f>
        <v>0</v>
      </c>
      <c r="AD95" s="32">
        <f t="shared" si="27"/>
        <v>0</v>
      </c>
      <c r="AE95" s="7" t="s">
        <v>783</v>
      </c>
      <c r="AF95" s="32"/>
      <c r="AH95" s="32" t="str">
        <f>'St of Activites - GA Rev'!A95</f>
        <v xml:space="preserve">Cedar Cliff Local SD </v>
      </c>
      <c r="AI95" s="32" t="str">
        <f t="shared" si="22"/>
        <v xml:space="preserve">Cedar Cliff Local SD </v>
      </c>
      <c r="AJ95" s="32" t="b">
        <f t="shared" si="16"/>
        <v>1</v>
      </c>
      <c r="AL95" s="32" t="str">
        <f>'St of Activities - GA Exp'!A95</f>
        <v xml:space="preserve">Cedar Cliff Local SD </v>
      </c>
      <c r="AN95" s="32" t="b">
        <f t="shared" si="18"/>
        <v>1</v>
      </c>
      <c r="AR95" s="32" t="str">
        <f t="shared" si="19"/>
        <v>Greene</v>
      </c>
      <c r="AS95" s="32" t="str">
        <f>'St of Activites - GA Rev'!C95</f>
        <v>Greene</v>
      </c>
      <c r="AT95" s="32" t="b">
        <f t="shared" si="17"/>
        <v>1</v>
      </c>
      <c r="AU95" s="32" t="str">
        <f>'St of Activities - GA Exp'!C95</f>
        <v>Greene</v>
      </c>
      <c r="AW95" s="32" t="b">
        <f t="shared" si="20"/>
        <v>1</v>
      </c>
    </row>
    <row r="96" spans="1:49" s="65" customFormat="1" hidden="1">
      <c r="A96" s="63" t="s">
        <v>645</v>
      </c>
      <c r="B96" s="63"/>
      <c r="C96" s="63" t="s">
        <v>435</v>
      </c>
      <c r="D96" s="63"/>
      <c r="E96" s="64">
        <v>43729</v>
      </c>
      <c r="G96" s="65">
        <f t="shared" si="24"/>
        <v>0</v>
      </c>
      <c r="M96" s="65">
        <f t="shared" si="23"/>
        <v>0</v>
      </c>
      <c r="W96" s="65">
        <f t="shared" si="25"/>
        <v>0</v>
      </c>
      <c r="AB96" s="65">
        <f t="shared" si="26"/>
        <v>0</v>
      </c>
      <c r="AD96" s="66">
        <f t="shared" si="27"/>
        <v>0</v>
      </c>
      <c r="AE96" s="65" t="s">
        <v>778</v>
      </c>
      <c r="AF96" s="66"/>
      <c r="AH96" s="66" t="str">
        <f>'St of Activites - GA Rev'!A96</f>
        <v>Celina City SD (CASH)</v>
      </c>
      <c r="AI96" s="66" t="str">
        <f t="shared" si="22"/>
        <v>Celina City SD (CASH)</v>
      </c>
      <c r="AJ96" s="66" t="b">
        <f t="shared" si="16"/>
        <v>1</v>
      </c>
      <c r="AL96" s="66" t="str">
        <f>'St of Activities - GA Exp'!A96</f>
        <v>Celina City SD (CASH)</v>
      </c>
      <c r="AN96" s="66" t="b">
        <f t="shared" si="18"/>
        <v>1</v>
      </c>
      <c r="AR96" s="66" t="str">
        <f t="shared" si="19"/>
        <v>Mercer</v>
      </c>
      <c r="AS96" s="66" t="str">
        <f>'St of Activites - GA Rev'!C96</f>
        <v>Mercer</v>
      </c>
      <c r="AT96" s="66" t="b">
        <f t="shared" si="17"/>
        <v>1</v>
      </c>
      <c r="AU96" s="66" t="str">
        <f>'St of Activities - GA Exp'!C96</f>
        <v>Mercer</v>
      </c>
      <c r="AV96" s="86"/>
      <c r="AW96" s="66" t="b">
        <f t="shared" si="20"/>
        <v>1</v>
      </c>
    </row>
    <row r="97" spans="1:49">
      <c r="A97" s="12" t="s">
        <v>680</v>
      </c>
      <c r="B97" s="12"/>
      <c r="C97" s="12" t="s">
        <v>40</v>
      </c>
      <c r="D97" s="12"/>
      <c r="E97" s="29">
        <v>47829</v>
      </c>
      <c r="G97" s="7">
        <f t="shared" si="24"/>
        <v>8869852</v>
      </c>
      <c r="I97" s="7">
        <f>387055+18549494</f>
        <v>18936549</v>
      </c>
      <c r="K97" s="7">
        <v>27806401</v>
      </c>
      <c r="M97" s="7">
        <f t="shared" si="23"/>
        <v>2904645</v>
      </c>
      <c r="O97" s="7">
        <v>338858</v>
      </c>
      <c r="Q97" s="7">
        <v>5141006</v>
      </c>
      <c r="S97" s="7">
        <v>8384509</v>
      </c>
      <c r="U97" s="7">
        <v>14349554</v>
      </c>
      <c r="W97" s="7">
        <f t="shared" si="25"/>
        <v>2549674</v>
      </c>
      <c r="Y97" s="7">
        <v>2522664</v>
      </c>
      <c r="AA97" s="7">
        <v>19421892</v>
      </c>
      <c r="AB97" s="7">
        <f t="shared" si="26"/>
        <v>0</v>
      </c>
      <c r="AD97" s="32">
        <f t="shared" si="27"/>
        <v>0</v>
      </c>
      <c r="AF97" s="32"/>
      <c r="AH97" s="32" t="str">
        <f>'St of Activites - GA Rev'!A97</f>
        <v xml:space="preserve">Centerburg Local SD </v>
      </c>
      <c r="AI97" s="32" t="str">
        <f t="shared" si="22"/>
        <v xml:space="preserve">Centerburg Local SD </v>
      </c>
      <c r="AJ97" s="32" t="b">
        <f t="shared" si="16"/>
        <v>1</v>
      </c>
      <c r="AL97" s="32" t="str">
        <f>'St of Activities - GA Exp'!A97</f>
        <v xml:space="preserve">Centerburg Local SD </v>
      </c>
      <c r="AN97" s="32" t="b">
        <f t="shared" si="18"/>
        <v>1</v>
      </c>
      <c r="AR97" s="32" t="str">
        <f t="shared" si="19"/>
        <v>Knox</v>
      </c>
      <c r="AS97" s="32" t="str">
        <f>'St of Activites - GA Rev'!C97</f>
        <v>Knox</v>
      </c>
      <c r="AT97" s="32" t="b">
        <f t="shared" si="17"/>
        <v>1</v>
      </c>
      <c r="AU97" s="32" t="str">
        <f>'St of Activities - GA Exp'!C97</f>
        <v>Knox</v>
      </c>
      <c r="AW97" s="32" t="b">
        <f t="shared" si="20"/>
        <v>1</v>
      </c>
    </row>
    <row r="98" spans="1:49" s="32" customFormat="1">
      <c r="A98" s="31" t="s">
        <v>681</v>
      </c>
      <c r="B98" s="31"/>
      <c r="C98" s="31" t="s">
        <v>50</v>
      </c>
      <c r="D98" s="31"/>
      <c r="E98" s="29">
        <v>43737</v>
      </c>
      <c r="G98" s="7">
        <f t="shared" si="24"/>
        <v>100438433</v>
      </c>
      <c r="H98" s="7"/>
      <c r="I98" s="7">
        <f>2403814+80404390</f>
        <v>82808204</v>
      </c>
      <c r="J98" s="7"/>
      <c r="K98" s="7">
        <v>183246637</v>
      </c>
      <c r="L98" s="7"/>
      <c r="M98" s="7">
        <f t="shared" si="23"/>
        <v>66846349</v>
      </c>
      <c r="N98" s="7"/>
      <c r="O98" s="7">
        <v>4679199</v>
      </c>
      <c r="P98" s="7"/>
      <c r="Q98" s="7">
        <v>62234075</v>
      </c>
      <c r="R98" s="7"/>
      <c r="S98" s="7">
        <v>133759623</v>
      </c>
      <c r="T98" s="7"/>
      <c r="U98" s="7">
        <v>19609926</v>
      </c>
      <c r="V98" s="7"/>
      <c r="W98" s="7">
        <f t="shared" si="25"/>
        <v>15063531</v>
      </c>
      <c r="X98" s="7"/>
      <c r="Y98" s="7">
        <v>14813557</v>
      </c>
      <c r="Z98" s="7"/>
      <c r="AA98" s="7">
        <v>49487014</v>
      </c>
      <c r="AB98" s="32">
        <f t="shared" si="26"/>
        <v>0</v>
      </c>
      <c r="AD98" s="32">
        <f t="shared" si="27"/>
        <v>0</v>
      </c>
      <c r="AH98" s="32" t="str">
        <f>'St of Activites - GA Rev'!A98</f>
        <v xml:space="preserve">Centerville City SD </v>
      </c>
      <c r="AI98" s="32" t="str">
        <f t="shared" si="22"/>
        <v xml:space="preserve">Centerville City SD </v>
      </c>
      <c r="AJ98" s="32" t="b">
        <f t="shared" si="16"/>
        <v>1</v>
      </c>
      <c r="AL98" s="32" t="str">
        <f>'St of Activities - GA Exp'!A98</f>
        <v xml:space="preserve">Centerville City SD </v>
      </c>
      <c r="AN98" s="32" t="b">
        <f t="shared" si="18"/>
        <v>1</v>
      </c>
      <c r="AR98" s="32" t="str">
        <f t="shared" si="19"/>
        <v>Montgomery</v>
      </c>
      <c r="AS98" s="32" t="str">
        <f>'St of Activites - GA Rev'!C98</f>
        <v>Montgomery</v>
      </c>
      <c r="AT98" s="32" t="b">
        <f t="shared" si="17"/>
        <v>1</v>
      </c>
      <c r="AU98" s="32" t="str">
        <f>'St of Activities - GA Exp'!C98</f>
        <v>Montgomery</v>
      </c>
      <c r="AW98" s="32" t="b">
        <f t="shared" si="20"/>
        <v>1</v>
      </c>
    </row>
    <row r="99" spans="1:49" s="65" customFormat="1" hidden="1">
      <c r="A99" s="63" t="s">
        <v>797</v>
      </c>
      <c r="B99" s="63"/>
      <c r="C99" s="63" t="s">
        <v>22</v>
      </c>
      <c r="D99" s="63"/>
      <c r="E99" s="64">
        <v>46714</v>
      </c>
      <c r="G99" s="65">
        <f t="shared" si="24"/>
        <v>0</v>
      </c>
      <c r="M99" s="65">
        <f t="shared" si="23"/>
        <v>0</v>
      </c>
      <c r="W99" s="65">
        <f t="shared" si="25"/>
        <v>0</v>
      </c>
      <c r="AB99" s="65">
        <f t="shared" si="26"/>
        <v>0</v>
      </c>
      <c r="AD99" s="66">
        <f t="shared" si="27"/>
        <v>0</v>
      </c>
      <c r="AE99" s="65" t="s">
        <v>779</v>
      </c>
      <c r="AF99" s="66"/>
      <c r="AH99" s="66" t="str">
        <f>'St of Activites - GA Rev'!A99</f>
        <v>Central Local SD (CASH)</v>
      </c>
      <c r="AI99" s="66" t="str">
        <f t="shared" si="22"/>
        <v>Central Local SD (CASH)</v>
      </c>
      <c r="AJ99" s="66" t="b">
        <f t="shared" si="16"/>
        <v>1</v>
      </c>
      <c r="AL99" s="66" t="str">
        <f>'St of Activities - GA Exp'!A99</f>
        <v>Central Local SD (CASH)</v>
      </c>
      <c r="AN99" s="66" t="b">
        <f t="shared" si="18"/>
        <v>1</v>
      </c>
      <c r="AR99" s="66" t="str">
        <f t="shared" si="19"/>
        <v>Defiance</v>
      </c>
      <c r="AS99" s="66" t="str">
        <f>'St of Activites - GA Rev'!C99</f>
        <v>Defiance</v>
      </c>
      <c r="AT99" s="66" t="b">
        <f t="shared" si="17"/>
        <v>1</v>
      </c>
      <c r="AU99" s="66" t="str">
        <f>'St of Activities - GA Exp'!C99</f>
        <v>Defiance</v>
      </c>
      <c r="AV99" s="86"/>
      <c r="AW99" s="66" t="b">
        <f t="shared" si="20"/>
        <v>1</v>
      </c>
    </row>
    <row r="100" spans="1:49">
      <c r="A100" s="12" t="s">
        <v>863</v>
      </c>
      <c r="B100" s="12"/>
      <c r="C100" s="12" t="s">
        <v>20</v>
      </c>
      <c r="D100" s="12"/>
      <c r="E100" s="29">
        <v>45286</v>
      </c>
      <c r="G100" s="7">
        <f t="shared" si="24"/>
        <v>32567760</v>
      </c>
      <c r="I100" s="7">
        <f>1386635+27195249</f>
        <v>28581884</v>
      </c>
      <c r="K100" s="7">
        <v>61149644</v>
      </c>
      <c r="M100" s="7">
        <f t="shared" si="23"/>
        <v>20276476</v>
      </c>
      <c r="O100" s="7">
        <v>1362045</v>
      </c>
      <c r="Q100" s="7">
        <v>26957686</v>
      </c>
      <c r="S100" s="7">
        <v>48596207</v>
      </c>
      <c r="U100" s="7">
        <v>4657558</v>
      </c>
      <c r="W100" s="7">
        <f t="shared" si="25"/>
        <v>5107765</v>
      </c>
      <c r="Y100" s="7">
        <v>2788114</v>
      </c>
      <c r="AA100" s="7">
        <v>12553437</v>
      </c>
      <c r="AB100" s="7">
        <f t="shared" si="26"/>
        <v>0</v>
      </c>
      <c r="AD100" s="32">
        <f t="shared" si="27"/>
        <v>0</v>
      </c>
      <c r="AF100" s="32"/>
      <c r="AH100" s="32" t="str">
        <f>'St of Activites - GA Rev'!A100</f>
        <v>Chagrin Falls Exempted Village SD</v>
      </c>
      <c r="AI100" s="32" t="str">
        <f t="shared" si="22"/>
        <v>Chagrin Falls Exempted Village SD</v>
      </c>
      <c r="AJ100" s="32" t="b">
        <f t="shared" si="16"/>
        <v>1</v>
      </c>
      <c r="AL100" s="32" t="str">
        <f>'St of Activities - GA Exp'!A100</f>
        <v>Chagrin Falls Exempted Village SD</v>
      </c>
      <c r="AN100" s="32" t="b">
        <f t="shared" si="18"/>
        <v>1</v>
      </c>
      <c r="AR100" s="32" t="str">
        <f t="shared" si="19"/>
        <v>Cuyahoga</v>
      </c>
      <c r="AS100" s="32" t="str">
        <f>'St of Activites - GA Rev'!C100</f>
        <v>Cuyahoga</v>
      </c>
      <c r="AT100" s="32" t="b">
        <f t="shared" si="17"/>
        <v>1</v>
      </c>
      <c r="AU100" s="32" t="str">
        <f>'St of Activities - GA Exp'!C100</f>
        <v>Cuyahoga</v>
      </c>
      <c r="AW100" s="32" t="b">
        <f t="shared" si="20"/>
        <v>1</v>
      </c>
    </row>
    <row r="101" spans="1:49">
      <c r="A101" s="12" t="s">
        <v>536</v>
      </c>
      <c r="B101" s="12"/>
      <c r="C101" s="12" t="s">
        <v>64</v>
      </c>
      <c r="D101" s="12"/>
      <c r="E101" s="29">
        <v>50138</v>
      </c>
      <c r="G101" s="7">
        <f t="shared" si="24"/>
        <v>8576672</v>
      </c>
      <c r="I101" s="7">
        <v>2163545</v>
      </c>
      <c r="K101" s="7">
        <v>10740217</v>
      </c>
      <c r="M101" s="7">
        <f t="shared" si="23"/>
        <v>7201785</v>
      </c>
      <c r="O101" s="7">
        <v>471959</v>
      </c>
      <c r="Q101" s="7">
        <v>2837655</v>
      </c>
      <c r="S101" s="7">
        <v>10511399</v>
      </c>
      <c r="U101" s="7">
        <v>1206755</v>
      </c>
      <c r="W101" s="7">
        <f t="shared" si="25"/>
        <v>964096</v>
      </c>
      <c r="Y101" s="7">
        <v>-1942033</v>
      </c>
      <c r="AA101" s="7">
        <v>228818</v>
      </c>
      <c r="AB101" s="7">
        <f t="shared" si="26"/>
        <v>0</v>
      </c>
      <c r="AD101" s="32">
        <f t="shared" si="27"/>
        <v>0</v>
      </c>
      <c r="AF101" s="32"/>
      <c r="AH101" s="32" t="str">
        <f>'St of Activites - GA Rev'!A101</f>
        <v>Champion Local SD</v>
      </c>
      <c r="AI101" s="32" t="str">
        <f t="shared" si="22"/>
        <v>Champion Local SD</v>
      </c>
      <c r="AJ101" s="32" t="b">
        <f t="shared" si="16"/>
        <v>1</v>
      </c>
      <c r="AL101" s="32" t="str">
        <f>'St of Activities - GA Exp'!A101</f>
        <v>Champion Local SD</v>
      </c>
      <c r="AN101" s="32" t="b">
        <f t="shared" si="18"/>
        <v>1</v>
      </c>
      <c r="AR101" s="32" t="str">
        <f t="shared" si="19"/>
        <v>Trumbull</v>
      </c>
      <c r="AS101" s="32" t="str">
        <f>'St of Activites - GA Rev'!C101</f>
        <v>Trumbull</v>
      </c>
      <c r="AT101" s="32" t="b">
        <f t="shared" si="17"/>
        <v>1</v>
      </c>
      <c r="AU101" s="32" t="str">
        <f>'St of Activities - GA Exp'!C101</f>
        <v>Trumbull</v>
      </c>
      <c r="AW101" s="32" t="b">
        <f t="shared" si="20"/>
        <v>1</v>
      </c>
    </row>
    <row r="102" spans="1:49" s="65" customFormat="1" hidden="1">
      <c r="A102" s="63" t="s">
        <v>798</v>
      </c>
      <c r="B102" s="63"/>
      <c r="C102" s="63" t="s">
        <v>30</v>
      </c>
      <c r="D102" s="63"/>
      <c r="E102" s="64">
        <v>47183</v>
      </c>
      <c r="G102" s="65">
        <f t="shared" si="24"/>
        <v>0</v>
      </c>
      <c r="M102" s="65">
        <f t="shared" si="23"/>
        <v>0</v>
      </c>
      <c r="W102" s="65">
        <f t="shared" si="25"/>
        <v>0</v>
      </c>
      <c r="AB102" s="65">
        <f t="shared" si="26"/>
        <v>0</v>
      </c>
      <c r="AD102" s="66">
        <f t="shared" si="27"/>
        <v>0</v>
      </c>
      <c r="AE102" s="65" t="s">
        <v>779</v>
      </c>
      <c r="AF102" s="66"/>
      <c r="AH102" s="66" t="str">
        <f>'St of Activites - GA Rev'!A102</f>
        <v>Chardon Local SD (CASH)</v>
      </c>
      <c r="AI102" s="66" t="str">
        <f t="shared" si="22"/>
        <v>Chardon Local SD (CASH)</v>
      </c>
      <c r="AJ102" s="66" t="b">
        <f t="shared" si="16"/>
        <v>1</v>
      </c>
      <c r="AL102" s="66" t="str">
        <f>'St of Activities - GA Exp'!A102</f>
        <v>Chardon Local SD (CASH)</v>
      </c>
      <c r="AN102" s="66" t="b">
        <f t="shared" si="18"/>
        <v>1</v>
      </c>
      <c r="AR102" s="66" t="str">
        <f t="shared" si="19"/>
        <v>Geauga</v>
      </c>
      <c r="AS102" s="66" t="str">
        <f>'St of Activites - GA Rev'!C102</f>
        <v>Geauga</v>
      </c>
      <c r="AT102" s="66" t="b">
        <f t="shared" si="17"/>
        <v>1</v>
      </c>
      <c r="AU102" s="66" t="str">
        <f>'St of Activities - GA Exp'!C102</f>
        <v>Geauga</v>
      </c>
      <c r="AV102" s="86"/>
      <c r="AW102" s="66" t="b">
        <f t="shared" si="20"/>
        <v>1</v>
      </c>
    </row>
    <row r="103" spans="1:49">
      <c r="A103" s="12" t="s">
        <v>864</v>
      </c>
      <c r="B103" s="12"/>
      <c r="C103" s="12" t="s">
        <v>377</v>
      </c>
      <c r="D103" s="12"/>
      <c r="E103" s="29">
        <v>45294</v>
      </c>
      <c r="F103" s="32"/>
      <c r="G103" s="7">
        <f t="shared" si="24"/>
        <v>5962723</v>
      </c>
      <c r="I103" s="7">
        <f>257668+19031521</f>
        <v>19289189</v>
      </c>
      <c r="K103" s="7">
        <v>25251912</v>
      </c>
      <c r="M103" s="7">
        <f t="shared" si="23"/>
        <v>3540256</v>
      </c>
      <c r="O103" s="7">
        <v>333762</v>
      </c>
      <c r="Q103" s="7">
        <v>2302112</v>
      </c>
      <c r="S103" s="7">
        <v>6176130</v>
      </c>
      <c r="U103" s="7">
        <v>17791820</v>
      </c>
      <c r="W103" s="7">
        <f t="shared" si="25"/>
        <v>2790307</v>
      </c>
      <c r="Y103" s="7">
        <v>-1506345</v>
      </c>
      <c r="AA103" s="7">
        <v>19075782</v>
      </c>
      <c r="AB103" s="7">
        <f t="shared" si="26"/>
        <v>0</v>
      </c>
      <c r="AD103" s="32">
        <f t="shared" si="27"/>
        <v>0</v>
      </c>
      <c r="AF103" s="32"/>
      <c r="AH103" s="32" t="str">
        <f>'St of Activites - GA Rev'!A103</f>
        <v>Chesapeake Union Exempted Village SD</v>
      </c>
      <c r="AI103" s="32" t="str">
        <f t="shared" si="22"/>
        <v>Chesapeake Union Exempted Village SD</v>
      </c>
      <c r="AJ103" s="32" t="b">
        <f t="shared" si="16"/>
        <v>1</v>
      </c>
      <c r="AL103" s="32" t="str">
        <f>'St of Activities - GA Exp'!A103</f>
        <v>Chesapeake Union Exempted Village SD</v>
      </c>
      <c r="AN103" s="32" t="b">
        <f t="shared" si="18"/>
        <v>1</v>
      </c>
      <c r="AR103" s="32" t="str">
        <f t="shared" si="19"/>
        <v>Lawrence</v>
      </c>
      <c r="AS103" s="32" t="str">
        <f>'St of Activites - GA Rev'!C103</f>
        <v>Lawrence</v>
      </c>
      <c r="AT103" s="32" t="b">
        <f t="shared" si="17"/>
        <v>1</v>
      </c>
      <c r="AU103" s="32" t="str">
        <f>'St of Activities - GA Exp'!C103</f>
        <v>Lawrence</v>
      </c>
      <c r="AW103" s="32" t="b">
        <f t="shared" si="20"/>
        <v>1</v>
      </c>
    </row>
    <row r="104" spans="1:49">
      <c r="A104" s="12" t="s">
        <v>488</v>
      </c>
      <c r="B104" s="12"/>
      <c r="C104" s="12" t="s">
        <v>58</v>
      </c>
      <c r="D104" s="12"/>
      <c r="E104" s="29">
        <v>43745</v>
      </c>
      <c r="G104" s="7">
        <f t="shared" si="24"/>
        <v>20835761</v>
      </c>
      <c r="I104" s="7">
        <f>744974+35354884</f>
        <v>36099858</v>
      </c>
      <c r="K104" s="7">
        <v>56935619</v>
      </c>
      <c r="M104" s="7">
        <f t="shared" si="23"/>
        <v>12631155</v>
      </c>
      <c r="O104" s="7">
        <v>1246459</v>
      </c>
      <c r="Q104" s="7">
        <v>34451062</v>
      </c>
      <c r="S104" s="7">
        <v>48328676</v>
      </c>
      <c r="U104" s="7">
        <v>4060746</v>
      </c>
      <c r="W104" s="7">
        <f t="shared" si="25"/>
        <v>4179525</v>
      </c>
      <c r="Y104" s="7">
        <v>366672</v>
      </c>
      <c r="AA104" s="7">
        <v>8606943</v>
      </c>
      <c r="AB104" s="7">
        <f t="shared" si="26"/>
        <v>0</v>
      </c>
      <c r="AD104" s="32">
        <f t="shared" si="27"/>
        <v>0</v>
      </c>
      <c r="AF104" s="32"/>
      <c r="AH104" s="32" t="str">
        <f>'St of Activites - GA Rev'!A104</f>
        <v>Chillicothe City SD</v>
      </c>
      <c r="AI104" s="32" t="str">
        <f t="shared" si="22"/>
        <v>Chillicothe City SD</v>
      </c>
      <c r="AJ104" s="32" t="b">
        <f t="shared" si="16"/>
        <v>1</v>
      </c>
      <c r="AL104" s="32" t="str">
        <f>'St of Activities - GA Exp'!A104</f>
        <v>Chillicothe City SD</v>
      </c>
      <c r="AN104" s="32" t="b">
        <f t="shared" si="18"/>
        <v>1</v>
      </c>
      <c r="AR104" s="32" t="str">
        <f t="shared" si="19"/>
        <v>Ross</v>
      </c>
      <c r="AS104" s="32" t="str">
        <f>'St of Activites - GA Rev'!C104</f>
        <v>Ross</v>
      </c>
      <c r="AT104" s="32" t="b">
        <f t="shared" si="17"/>
        <v>1</v>
      </c>
      <c r="AU104" s="32" t="str">
        <f>'St of Activities - GA Exp'!C104</f>
        <v>Ross</v>
      </c>
      <c r="AW104" s="32" t="b">
        <f t="shared" si="20"/>
        <v>1</v>
      </c>
    </row>
    <row r="105" spans="1:49">
      <c r="A105" s="12" t="s">
        <v>568</v>
      </c>
      <c r="B105" s="12"/>
      <c r="C105" s="12" t="s">
        <v>71</v>
      </c>
      <c r="D105" s="12"/>
      <c r="E105" s="29">
        <v>50534</v>
      </c>
      <c r="G105" s="7">
        <f t="shared" si="24"/>
        <v>13218786</v>
      </c>
      <c r="I105" s="7">
        <v>2856768</v>
      </c>
      <c r="K105" s="7">
        <v>16075554</v>
      </c>
      <c r="M105" s="7">
        <f t="shared" si="23"/>
        <v>4871569</v>
      </c>
      <c r="O105" s="7">
        <v>103271</v>
      </c>
      <c r="Q105" s="7">
        <v>494524</v>
      </c>
      <c r="S105" s="7">
        <v>5469364</v>
      </c>
      <c r="U105" s="7">
        <v>2856768</v>
      </c>
      <c r="W105" s="7">
        <f t="shared" si="25"/>
        <v>763446</v>
      </c>
      <c r="Y105" s="7">
        <v>6985976</v>
      </c>
      <c r="AA105" s="7">
        <v>10606190</v>
      </c>
      <c r="AB105" s="7">
        <f t="shared" si="26"/>
        <v>0</v>
      </c>
      <c r="AD105" s="32">
        <f t="shared" si="27"/>
        <v>0</v>
      </c>
      <c r="AF105" s="32"/>
      <c r="AH105" s="32" t="str">
        <f>'St of Activites - GA Rev'!A105</f>
        <v>Chippewa Local SD</v>
      </c>
      <c r="AI105" s="32" t="str">
        <f t="shared" si="22"/>
        <v>Chippewa Local SD</v>
      </c>
      <c r="AJ105" s="32" t="b">
        <f t="shared" si="16"/>
        <v>1</v>
      </c>
      <c r="AL105" s="32" t="str">
        <f>'St of Activities - GA Exp'!A105</f>
        <v>Chippewa Local SD</v>
      </c>
      <c r="AN105" s="32" t="b">
        <f t="shared" si="18"/>
        <v>1</v>
      </c>
      <c r="AR105" s="32" t="str">
        <f t="shared" si="19"/>
        <v>Wayne</v>
      </c>
      <c r="AS105" s="32" t="str">
        <f>'St of Activites - GA Rev'!C105</f>
        <v>Wayne</v>
      </c>
      <c r="AT105" s="32" t="b">
        <f t="shared" si="17"/>
        <v>1</v>
      </c>
      <c r="AU105" s="32" t="str">
        <f>'St of Activities - GA Exp'!C105</f>
        <v>Wayne</v>
      </c>
      <c r="AW105" s="32" t="b">
        <f t="shared" si="20"/>
        <v>1</v>
      </c>
    </row>
    <row r="106" spans="1:49">
      <c r="A106" s="12" t="s">
        <v>683</v>
      </c>
      <c r="B106" s="12"/>
      <c r="C106" s="12" t="s">
        <v>32</v>
      </c>
      <c r="D106" s="12"/>
      <c r="E106" s="29">
        <v>43752</v>
      </c>
      <c r="G106" s="7">
        <f t="shared" si="24"/>
        <v>819947362</v>
      </c>
      <c r="I106" s="7">
        <f>215839372+678727700</f>
        <v>894567072</v>
      </c>
      <c r="K106" s="7">
        <v>1714514434</v>
      </c>
      <c r="M106" s="7">
        <f t="shared" si="23"/>
        <v>304277045</v>
      </c>
      <c r="O106" s="7">
        <v>28866880</v>
      </c>
      <c r="Q106" s="7">
        <v>765443129</v>
      </c>
      <c r="S106" s="7">
        <v>1098587054</v>
      </c>
      <c r="U106" s="7">
        <v>407388120</v>
      </c>
      <c r="W106" s="7">
        <f t="shared" si="25"/>
        <v>25332905</v>
      </c>
      <c r="Y106" s="7">
        <v>183206355</v>
      </c>
      <c r="AA106" s="7">
        <v>615927380</v>
      </c>
      <c r="AB106" s="7">
        <f t="shared" si="26"/>
        <v>0</v>
      </c>
      <c r="AD106" s="32">
        <f t="shared" si="27"/>
        <v>0</v>
      </c>
      <c r="AF106" s="32"/>
      <c r="AH106" s="32" t="str">
        <f>'St of Activites - GA Rev'!A106</f>
        <v>Cincinnati City SD/Cincinnati Public SD</v>
      </c>
      <c r="AI106" s="32" t="str">
        <f t="shared" si="22"/>
        <v>Cincinnati City SD/Cincinnati Public SD</v>
      </c>
      <c r="AJ106" s="32" t="b">
        <f t="shared" si="16"/>
        <v>1</v>
      </c>
      <c r="AL106" s="32" t="str">
        <f>'St of Activities - GA Exp'!A106</f>
        <v>Cincinnati City SD/Cincinnati Public SD</v>
      </c>
      <c r="AN106" s="32" t="b">
        <f t="shared" si="18"/>
        <v>1</v>
      </c>
      <c r="AR106" s="32" t="str">
        <f t="shared" si="19"/>
        <v>Hamilton</v>
      </c>
      <c r="AS106" s="32" t="str">
        <f>'St of Activites - GA Rev'!C106</f>
        <v>Hamilton</v>
      </c>
      <c r="AT106" s="32" t="b">
        <f t="shared" si="17"/>
        <v>1</v>
      </c>
      <c r="AU106" s="32" t="str">
        <f>'St of Activities - GA Exp'!C106</f>
        <v>Hamilton</v>
      </c>
      <c r="AV106" s="56"/>
      <c r="AW106" s="32" t="b">
        <f t="shared" si="20"/>
        <v>1</v>
      </c>
    </row>
    <row r="107" spans="1:49">
      <c r="A107" s="12" t="s">
        <v>467</v>
      </c>
      <c r="B107" s="12"/>
      <c r="C107" s="12" t="s">
        <v>54</v>
      </c>
      <c r="D107" s="12"/>
      <c r="E107" s="29">
        <v>43760</v>
      </c>
      <c r="G107" s="7">
        <f t="shared" si="24"/>
        <v>101816153</v>
      </c>
      <c r="I107" s="7">
        <v>6652715</v>
      </c>
      <c r="K107" s="7">
        <v>108468868</v>
      </c>
      <c r="M107" s="7">
        <f t="shared" si="23"/>
        <v>10661855</v>
      </c>
      <c r="O107" s="7">
        <v>528458</v>
      </c>
      <c r="Q107" s="7">
        <v>47713247</v>
      </c>
      <c r="S107" s="7">
        <v>58903560</v>
      </c>
      <c r="U107" s="7">
        <v>5788196</v>
      </c>
      <c r="W107" s="7">
        <f t="shared" si="25"/>
        <v>135509601</v>
      </c>
      <c r="Y107" s="7">
        <v>-91732489</v>
      </c>
      <c r="AA107" s="7">
        <v>49565308</v>
      </c>
      <c r="AB107" s="7">
        <f t="shared" si="26"/>
        <v>0</v>
      </c>
      <c r="AD107" s="32">
        <f t="shared" si="27"/>
        <v>0</v>
      </c>
      <c r="AF107" s="32"/>
      <c r="AH107" s="32" t="str">
        <f>'St of Activites - GA Rev'!A107</f>
        <v>Circleville City SD</v>
      </c>
      <c r="AI107" s="32" t="str">
        <f t="shared" si="22"/>
        <v>Circleville City SD</v>
      </c>
      <c r="AJ107" s="32" t="b">
        <f t="shared" si="16"/>
        <v>1</v>
      </c>
      <c r="AL107" s="32" t="str">
        <f>'St of Activities - GA Exp'!A107</f>
        <v>Circleville City SD</v>
      </c>
      <c r="AN107" s="32" t="b">
        <f t="shared" si="18"/>
        <v>1</v>
      </c>
      <c r="AR107" s="32" t="str">
        <f t="shared" si="19"/>
        <v>Pickaway</v>
      </c>
      <c r="AS107" s="32" t="str">
        <f>'St of Activites - GA Rev'!C107</f>
        <v>Pickaway</v>
      </c>
      <c r="AT107" s="32" t="b">
        <f t="shared" si="17"/>
        <v>1</v>
      </c>
      <c r="AU107" s="32" t="str">
        <f>'St of Activities - GA Exp'!C107</f>
        <v>Pickaway</v>
      </c>
      <c r="AV107" s="56"/>
      <c r="AW107" s="32" t="b">
        <f t="shared" si="20"/>
        <v>1</v>
      </c>
    </row>
    <row r="108" spans="1:49">
      <c r="A108" s="12" t="s">
        <v>236</v>
      </c>
      <c r="B108" s="12"/>
      <c r="C108" s="12" t="s">
        <v>17</v>
      </c>
      <c r="D108" s="12"/>
      <c r="E108" s="29">
        <v>46284</v>
      </c>
      <c r="F108" s="10"/>
      <c r="G108" s="7">
        <f t="shared" si="24"/>
        <v>17031562</v>
      </c>
      <c r="I108" s="7">
        <f>12718603+641103</f>
        <v>13359706</v>
      </c>
      <c r="K108" s="7">
        <v>30391268</v>
      </c>
      <c r="M108" s="7">
        <f t="shared" si="23"/>
        <v>11535620</v>
      </c>
      <c r="O108" s="7">
        <v>182028</v>
      </c>
      <c r="Q108" s="7">
        <v>1129047</v>
      </c>
      <c r="S108" s="7">
        <v>12846695</v>
      </c>
      <c r="U108" s="7">
        <v>13341755</v>
      </c>
      <c r="W108" s="7">
        <f t="shared" si="25"/>
        <v>767599</v>
      </c>
      <c r="Y108" s="7">
        <v>3435219</v>
      </c>
      <c r="AA108" s="7">
        <v>17544573</v>
      </c>
      <c r="AB108" s="7">
        <f t="shared" si="26"/>
        <v>0</v>
      </c>
      <c r="AD108" s="32">
        <f t="shared" si="27"/>
        <v>0</v>
      </c>
      <c r="AF108" s="32"/>
      <c r="AH108" s="32" t="str">
        <f>'St of Activites - GA Rev'!A108</f>
        <v>Clark-Shawnee Local SD</v>
      </c>
      <c r="AI108" s="32" t="str">
        <f t="shared" si="22"/>
        <v>Clark-Shawnee Local SD</v>
      </c>
      <c r="AJ108" s="32" t="b">
        <f t="shared" si="16"/>
        <v>1</v>
      </c>
      <c r="AL108" s="32" t="str">
        <f>'St of Activities - GA Exp'!A108</f>
        <v>Clark-Shawnee Local SD</v>
      </c>
      <c r="AN108" s="32" t="b">
        <f t="shared" si="18"/>
        <v>1</v>
      </c>
      <c r="AR108" s="32" t="str">
        <f t="shared" si="19"/>
        <v>Clark</v>
      </c>
      <c r="AS108" s="32" t="str">
        <f>'St of Activites - GA Rev'!C108</f>
        <v>Clark</v>
      </c>
      <c r="AT108" s="32" t="b">
        <f t="shared" si="17"/>
        <v>1</v>
      </c>
      <c r="AU108" s="32" t="str">
        <f>'St of Activities - GA Exp'!C108</f>
        <v>Clark</v>
      </c>
      <c r="AV108" s="56"/>
      <c r="AW108" s="32" t="b">
        <f t="shared" si="20"/>
        <v>1</v>
      </c>
    </row>
    <row r="109" spans="1:49">
      <c r="A109" s="12" t="s">
        <v>495</v>
      </c>
      <c r="B109" s="12"/>
      <c r="C109" s="12" t="s">
        <v>59</v>
      </c>
      <c r="D109" s="12"/>
      <c r="E109" s="29">
        <v>49601</v>
      </c>
      <c r="G109" s="7">
        <f t="shared" si="24"/>
        <v>11647264</v>
      </c>
      <c r="I109" s="7">
        <f>36900+19355327+1189252</f>
        <v>20581479</v>
      </c>
      <c r="K109" s="7">
        <v>32228743</v>
      </c>
      <c r="M109" s="7">
        <f t="shared" si="23"/>
        <v>5543930</v>
      </c>
      <c r="O109" s="7">
        <v>146659</v>
      </c>
      <c r="Q109" s="7">
        <v>5804660</v>
      </c>
      <c r="S109" s="7">
        <v>11495249</v>
      </c>
      <c r="U109" s="7">
        <v>16744266</v>
      </c>
      <c r="W109" s="7">
        <f t="shared" si="25"/>
        <v>4232743</v>
      </c>
      <c r="Y109" s="7">
        <v>-243515</v>
      </c>
      <c r="AA109" s="7">
        <v>20733494</v>
      </c>
      <c r="AB109" s="7">
        <f t="shared" si="26"/>
        <v>0</v>
      </c>
      <c r="AD109" s="32">
        <f t="shared" si="27"/>
        <v>0</v>
      </c>
      <c r="AF109" s="32"/>
      <c r="AH109" s="32" t="str">
        <f>'St of Activites - GA Rev'!A109</f>
        <v>Clay Local SD</v>
      </c>
      <c r="AI109" s="32" t="str">
        <f t="shared" si="22"/>
        <v>Clay Local SD</v>
      </c>
      <c r="AJ109" s="32" t="b">
        <f t="shared" si="16"/>
        <v>1</v>
      </c>
      <c r="AL109" s="32" t="str">
        <f>'St of Activities - GA Exp'!A109</f>
        <v>Clay Local SD</v>
      </c>
      <c r="AN109" s="32" t="b">
        <f t="shared" si="18"/>
        <v>1</v>
      </c>
      <c r="AR109" s="32" t="str">
        <f t="shared" si="19"/>
        <v>Scioto</v>
      </c>
      <c r="AS109" s="32" t="str">
        <f>'St of Activites - GA Rev'!C109</f>
        <v>Scioto</v>
      </c>
      <c r="AT109" s="32" t="b">
        <f t="shared" si="17"/>
        <v>1</v>
      </c>
      <c r="AU109" s="32" t="str">
        <f>'St of Activities - GA Exp'!C109</f>
        <v>Scioto</v>
      </c>
      <c r="AV109" s="56"/>
      <c r="AW109" s="32" t="b">
        <f t="shared" si="20"/>
        <v>1</v>
      </c>
    </row>
    <row r="110" spans="1:49">
      <c r="A110" s="12" t="s">
        <v>549</v>
      </c>
      <c r="B110" s="12"/>
      <c r="C110" s="12" t="s">
        <v>65</v>
      </c>
      <c r="D110" s="12"/>
      <c r="E110" s="29">
        <v>43778</v>
      </c>
      <c r="G110" s="7">
        <f t="shared" si="24"/>
        <v>9563891</v>
      </c>
      <c r="I110" s="7">
        <v>20809103</v>
      </c>
      <c r="K110" s="7">
        <v>30372994</v>
      </c>
      <c r="M110" s="7">
        <f t="shared" si="23"/>
        <v>5546994</v>
      </c>
      <c r="O110" s="7">
        <v>526916</v>
      </c>
      <c r="Q110" s="7">
        <v>4041510</v>
      </c>
      <c r="S110" s="7">
        <v>10115420</v>
      </c>
      <c r="U110" s="7">
        <v>17732941</v>
      </c>
      <c r="W110" s="7">
        <f t="shared" si="25"/>
        <v>2014939</v>
      </c>
      <c r="Y110" s="7">
        <v>509694</v>
      </c>
      <c r="AA110" s="7">
        <v>20257574</v>
      </c>
      <c r="AB110" s="7">
        <f t="shared" si="26"/>
        <v>0</v>
      </c>
      <c r="AD110" s="32">
        <f t="shared" si="27"/>
        <v>0</v>
      </c>
      <c r="AF110" s="32"/>
      <c r="AH110" s="32" t="str">
        <f>'St of Activites - GA Rev'!A110</f>
        <v>Claymont City SD</v>
      </c>
      <c r="AI110" s="32" t="str">
        <f t="shared" si="22"/>
        <v>Claymont City SD</v>
      </c>
      <c r="AJ110" s="32" t="b">
        <f t="shared" si="16"/>
        <v>1</v>
      </c>
      <c r="AL110" s="32" t="str">
        <f>'St of Activities - GA Exp'!A110</f>
        <v>Claymont City SD</v>
      </c>
      <c r="AN110" s="32" t="b">
        <f t="shared" si="18"/>
        <v>1</v>
      </c>
      <c r="AR110" s="32" t="str">
        <f t="shared" si="19"/>
        <v>Tuscarawas</v>
      </c>
      <c r="AS110" s="32" t="str">
        <f>'St of Activites - GA Rev'!C110</f>
        <v>Tuscarawas</v>
      </c>
      <c r="AT110" s="32" t="b">
        <f t="shared" si="17"/>
        <v>1</v>
      </c>
      <c r="AU110" s="32" t="str">
        <f>'St of Activities - GA Exp'!C110</f>
        <v>Tuscarawas</v>
      </c>
      <c r="AV110" s="56"/>
      <c r="AW110" s="32" t="b">
        <f t="shared" si="20"/>
        <v>1</v>
      </c>
    </row>
    <row r="111" spans="1:49">
      <c r="A111" s="12" t="s">
        <v>483</v>
      </c>
      <c r="B111" s="12"/>
      <c r="C111" s="12" t="s">
        <v>110</v>
      </c>
      <c r="D111" s="12"/>
      <c r="E111" s="29">
        <v>49411</v>
      </c>
      <c r="G111" s="7">
        <f t="shared" si="24"/>
        <v>13737897</v>
      </c>
      <c r="I111" s="7">
        <v>8676522</v>
      </c>
      <c r="K111" s="7">
        <v>22414419</v>
      </c>
      <c r="M111" s="7">
        <f t="shared" si="23"/>
        <v>4941426</v>
      </c>
      <c r="O111" s="7">
        <v>474182</v>
      </c>
      <c r="Q111" s="7">
        <v>6855387</v>
      </c>
      <c r="S111" s="7">
        <v>12270995</v>
      </c>
      <c r="U111" s="7">
        <v>2901522</v>
      </c>
      <c r="W111" s="7">
        <f t="shared" si="25"/>
        <v>1275516</v>
      </c>
      <c r="Y111" s="7">
        <v>5966386</v>
      </c>
      <c r="AA111" s="7">
        <v>10143424</v>
      </c>
      <c r="AB111" s="7">
        <f t="shared" si="26"/>
        <v>0</v>
      </c>
      <c r="AD111" s="32">
        <f t="shared" si="27"/>
        <v>0</v>
      </c>
      <c r="AF111" s="32"/>
      <c r="AH111" s="32" t="str">
        <f>'St of Activites - GA Rev'!A111</f>
        <v>Clear Fork Valley Local SD</v>
      </c>
      <c r="AI111" s="32" t="str">
        <f t="shared" si="22"/>
        <v>Clear Fork Valley Local SD</v>
      </c>
      <c r="AJ111" s="32" t="b">
        <f t="shared" si="16"/>
        <v>1</v>
      </c>
      <c r="AL111" s="32" t="str">
        <f>'St of Activities - GA Exp'!A111</f>
        <v>Clear Fork Valley Local SD</v>
      </c>
      <c r="AN111" s="32" t="b">
        <f t="shared" si="18"/>
        <v>1</v>
      </c>
      <c r="AR111" s="32" t="str">
        <f t="shared" si="19"/>
        <v>Richland</v>
      </c>
      <c r="AS111" s="32" t="str">
        <f>'St of Activites - GA Rev'!C111</f>
        <v>Richland</v>
      </c>
      <c r="AT111" s="32" t="b">
        <f t="shared" si="17"/>
        <v>1</v>
      </c>
      <c r="AU111" s="32" t="str">
        <f>'St of Activities - GA Exp'!C111</f>
        <v>Richland</v>
      </c>
      <c r="AV111" s="56"/>
      <c r="AW111" s="32" t="b">
        <f t="shared" si="20"/>
        <v>1</v>
      </c>
    </row>
    <row r="112" spans="1:49">
      <c r="A112" s="12" t="s">
        <v>394</v>
      </c>
      <c r="B112" s="12"/>
      <c r="C112" s="12" t="s">
        <v>44</v>
      </c>
      <c r="D112" s="12"/>
      <c r="E112" s="29">
        <v>48132</v>
      </c>
      <c r="G112" s="7">
        <f t="shared" si="24"/>
        <v>6451773</v>
      </c>
      <c r="I112" s="7">
        <f>47080+18336184</f>
        <v>18383264</v>
      </c>
      <c r="K112" s="7">
        <v>24835037</v>
      </c>
      <c r="M112" s="7">
        <f t="shared" si="23"/>
        <v>5230505</v>
      </c>
      <c r="O112" s="7">
        <v>404853</v>
      </c>
      <c r="Q112" s="7">
        <v>5357254</v>
      </c>
      <c r="S112" s="7">
        <v>10992612</v>
      </c>
      <c r="U112" s="7">
        <v>13835277</v>
      </c>
      <c r="W112" s="7">
        <f t="shared" si="25"/>
        <v>805932</v>
      </c>
      <c r="Y112" s="7">
        <v>-798784</v>
      </c>
      <c r="AA112" s="7">
        <v>13842425</v>
      </c>
      <c r="AB112" s="7">
        <f t="shared" si="26"/>
        <v>0</v>
      </c>
      <c r="AD112" s="32">
        <f t="shared" si="27"/>
        <v>0</v>
      </c>
      <c r="AF112" s="32"/>
      <c r="AH112" s="32" t="str">
        <f>'St of Activites - GA Rev'!A112</f>
        <v>Clearview Local SD</v>
      </c>
      <c r="AI112" s="32" t="str">
        <f t="shared" si="22"/>
        <v>Clearview Local SD</v>
      </c>
      <c r="AJ112" s="32" t="b">
        <f t="shared" si="16"/>
        <v>1</v>
      </c>
      <c r="AL112" s="32" t="str">
        <f>'St of Activities - GA Exp'!A112</f>
        <v>Clearview Local SD</v>
      </c>
      <c r="AN112" s="32" t="b">
        <f t="shared" si="18"/>
        <v>1</v>
      </c>
      <c r="AR112" s="32" t="str">
        <f t="shared" si="19"/>
        <v>Lorain</v>
      </c>
      <c r="AS112" s="32" t="str">
        <f>'St of Activites - GA Rev'!C112</f>
        <v>Lorain</v>
      </c>
      <c r="AT112" s="32" t="b">
        <f t="shared" si="17"/>
        <v>1</v>
      </c>
      <c r="AU112" s="32" t="str">
        <f>'St of Activities - GA Exp'!C112</f>
        <v>Lorain</v>
      </c>
      <c r="AV112" s="56"/>
      <c r="AW112" s="32" t="b">
        <f t="shared" si="20"/>
        <v>1</v>
      </c>
    </row>
    <row r="113" spans="1:49">
      <c r="A113" s="12" t="s">
        <v>684</v>
      </c>
      <c r="B113" s="12"/>
      <c r="C113" s="12" t="s">
        <v>113</v>
      </c>
      <c r="D113" s="12"/>
      <c r="E113" s="29"/>
      <c r="G113" s="7">
        <f t="shared" si="24"/>
        <v>10523618</v>
      </c>
      <c r="I113" s="7">
        <f>2024809+2908105</f>
        <v>4932914</v>
      </c>
      <c r="K113" s="7">
        <v>15456532</v>
      </c>
      <c r="M113" s="7">
        <f t="shared" si="23"/>
        <v>6755309</v>
      </c>
      <c r="O113" s="7">
        <v>384001</v>
      </c>
      <c r="Q113" s="7">
        <v>1354491</v>
      </c>
      <c r="S113" s="7">
        <v>8493801</v>
      </c>
      <c r="U113" s="7">
        <v>4232914</v>
      </c>
      <c r="W113" s="7">
        <f t="shared" si="25"/>
        <v>1560089</v>
      </c>
      <c r="Y113" s="7">
        <v>1169728</v>
      </c>
      <c r="AA113" s="7">
        <v>6962731</v>
      </c>
      <c r="AB113" s="7">
        <f t="shared" si="26"/>
        <v>0</v>
      </c>
      <c r="AD113" s="32">
        <f t="shared" si="27"/>
        <v>0</v>
      </c>
      <c r="AF113" s="32"/>
      <c r="AH113" s="32" t="str">
        <f>'St of Activites - GA Rev'!A113</f>
        <v>Clermont Northeastern Local SD</v>
      </c>
      <c r="AI113" s="32" t="str">
        <f t="shared" si="22"/>
        <v>Clermont Northeastern Local SD</v>
      </c>
      <c r="AJ113" s="32" t="b">
        <f t="shared" si="16"/>
        <v>1</v>
      </c>
      <c r="AL113" s="32" t="str">
        <f>'St of Activities - GA Exp'!A113</f>
        <v>Clermont Northeastern Local SD</v>
      </c>
      <c r="AN113" s="32" t="b">
        <f t="shared" si="18"/>
        <v>1</v>
      </c>
      <c r="AR113" s="32" t="str">
        <f t="shared" si="19"/>
        <v>Clermont</v>
      </c>
      <c r="AS113" s="32" t="str">
        <f>'St of Activites - GA Rev'!C113</f>
        <v>Clermont</v>
      </c>
      <c r="AT113" s="32" t="b">
        <f t="shared" si="17"/>
        <v>1</v>
      </c>
      <c r="AU113" s="32" t="str">
        <f>'St of Activities - GA Exp'!C113</f>
        <v>Clermont</v>
      </c>
      <c r="AV113" s="56"/>
      <c r="AW113" s="32" t="b">
        <f t="shared" si="20"/>
        <v>1</v>
      </c>
    </row>
    <row r="114" spans="1:49">
      <c r="A114" s="12" t="s">
        <v>682</v>
      </c>
      <c r="B114" s="12"/>
      <c r="C114" s="12" t="s">
        <v>20</v>
      </c>
      <c r="D114" s="12"/>
      <c r="E114" s="29">
        <v>43794</v>
      </c>
      <c r="G114" s="7">
        <f t="shared" si="24"/>
        <v>130120352</v>
      </c>
      <c r="I114" s="7">
        <f>3298900+29508020</f>
        <v>32806920</v>
      </c>
      <c r="K114" s="7">
        <v>162927272</v>
      </c>
      <c r="M114" s="7">
        <f t="shared" si="23"/>
        <v>57743507</v>
      </c>
      <c r="O114" s="7">
        <v>2101453</v>
      </c>
      <c r="Q114" s="7">
        <v>21229948</v>
      </c>
      <c r="S114" s="7">
        <v>81074908</v>
      </c>
      <c r="U114" s="7">
        <v>23852092</v>
      </c>
      <c r="W114" s="7">
        <f t="shared" si="25"/>
        <v>7770679</v>
      </c>
      <c r="Y114" s="7">
        <v>50229593</v>
      </c>
      <c r="AA114" s="7">
        <v>81852364</v>
      </c>
      <c r="AB114" s="7">
        <f t="shared" si="26"/>
        <v>0</v>
      </c>
      <c r="AD114" s="32">
        <f t="shared" si="27"/>
        <v>0</v>
      </c>
      <c r="AF114" s="32"/>
      <c r="AH114" s="32" t="str">
        <f>'St of Activites - GA Rev'!A114</f>
        <v>Cleveland Heights-University Heights City SD</v>
      </c>
      <c r="AI114" s="32" t="str">
        <f t="shared" si="22"/>
        <v>Cleveland Heights-University Heights City SD</v>
      </c>
      <c r="AJ114" s="32" t="b">
        <f t="shared" si="16"/>
        <v>1</v>
      </c>
      <c r="AL114" s="32" t="str">
        <f>'St of Activities - GA Exp'!A114</f>
        <v>Cleveland Heights-University Heights City SD</v>
      </c>
      <c r="AN114" s="32" t="b">
        <f t="shared" si="18"/>
        <v>1</v>
      </c>
      <c r="AR114" s="32" t="str">
        <f t="shared" si="19"/>
        <v>Cuyahoga</v>
      </c>
      <c r="AS114" s="32" t="str">
        <f>'St of Activites - GA Rev'!C114</f>
        <v>Cuyahoga</v>
      </c>
      <c r="AT114" s="32" t="b">
        <f t="shared" si="17"/>
        <v>1</v>
      </c>
      <c r="AU114" s="32" t="str">
        <f>'St of Activities - GA Exp'!C114</f>
        <v>Cuyahoga</v>
      </c>
      <c r="AV114" s="56"/>
      <c r="AW114" s="32" t="b">
        <f t="shared" si="20"/>
        <v>1</v>
      </c>
    </row>
    <row r="115" spans="1:49">
      <c r="A115" s="12" t="s">
        <v>271</v>
      </c>
      <c r="B115" s="12"/>
      <c r="C115" s="12" t="s">
        <v>20</v>
      </c>
      <c r="D115" s="12"/>
      <c r="E115" s="29">
        <v>43786</v>
      </c>
      <c r="G115" s="7">
        <f t="shared" si="24"/>
        <v>741329333</v>
      </c>
      <c r="I115" s="7">
        <f>93403156+620289356</f>
        <v>713692512</v>
      </c>
      <c r="K115" s="7">
        <v>1455021845</v>
      </c>
      <c r="M115" s="7">
        <f t="shared" si="23"/>
        <v>239918946</v>
      </c>
      <c r="O115" s="7">
        <v>16567030</v>
      </c>
      <c r="Q115" s="7">
        <v>249344648</v>
      </c>
      <c r="S115" s="7">
        <v>505830624</v>
      </c>
      <c r="U115" s="7">
        <v>0</v>
      </c>
      <c r="W115" s="7">
        <f t="shared" si="25"/>
        <v>890476216</v>
      </c>
      <c r="Y115" s="7">
        <v>58715005</v>
      </c>
      <c r="AA115" s="7">
        <v>949191221</v>
      </c>
      <c r="AB115" s="7">
        <f t="shared" si="26"/>
        <v>0</v>
      </c>
      <c r="AD115" s="32">
        <f t="shared" si="27"/>
        <v>0</v>
      </c>
      <c r="AE115" s="7" t="s">
        <v>784</v>
      </c>
      <c r="AF115" s="32"/>
      <c r="AH115" s="32" t="str">
        <f>'St of Activites - GA Rev'!A115</f>
        <v>Cleveland Municipal SD</v>
      </c>
      <c r="AI115" s="32" t="str">
        <f t="shared" si="22"/>
        <v>Cleveland Municipal SD</v>
      </c>
      <c r="AJ115" s="32" t="b">
        <f t="shared" si="16"/>
        <v>1</v>
      </c>
      <c r="AL115" s="32" t="str">
        <f>'St of Activities - GA Exp'!A115</f>
        <v>Cleveland Municipal SD</v>
      </c>
      <c r="AN115" s="32" t="b">
        <f t="shared" si="18"/>
        <v>1</v>
      </c>
      <c r="AR115" s="32" t="str">
        <f t="shared" si="19"/>
        <v>Cuyahoga</v>
      </c>
      <c r="AS115" s="32" t="str">
        <f>'St of Activites - GA Rev'!C115</f>
        <v>Cuyahoga</v>
      </c>
      <c r="AT115" s="32" t="b">
        <f t="shared" si="17"/>
        <v>1</v>
      </c>
      <c r="AU115" s="32" t="str">
        <f>'St of Activities - GA Exp'!C115</f>
        <v>Cuyahoga</v>
      </c>
      <c r="AV115" s="56"/>
      <c r="AW115" s="32" t="b">
        <f t="shared" si="20"/>
        <v>1</v>
      </c>
    </row>
    <row r="116" spans="1:49">
      <c r="A116" s="11" t="s">
        <v>249</v>
      </c>
      <c r="B116" s="11"/>
      <c r="C116" s="11" t="s">
        <v>18</v>
      </c>
      <c r="D116" s="11"/>
      <c r="E116" s="29">
        <v>46391</v>
      </c>
      <c r="G116" s="7">
        <f t="shared" si="24"/>
        <v>12023908</v>
      </c>
      <c r="I116" s="7">
        <f>462953+44744953</f>
        <v>45207906</v>
      </c>
      <c r="K116" s="7">
        <v>57231814</v>
      </c>
      <c r="M116" s="7">
        <f t="shared" si="23"/>
        <v>6521372</v>
      </c>
      <c r="O116" s="7">
        <v>691497</v>
      </c>
      <c r="Q116" s="7">
        <v>8449100</v>
      </c>
      <c r="S116" s="7">
        <v>15661969</v>
      </c>
      <c r="U116" s="7">
        <v>36821637</v>
      </c>
      <c r="W116" s="7">
        <f t="shared" si="25"/>
        <v>2842208</v>
      </c>
      <c r="Y116" s="7">
        <v>1906000</v>
      </c>
      <c r="AA116" s="7">
        <v>41569845</v>
      </c>
      <c r="AB116" s="7">
        <f t="shared" si="26"/>
        <v>0</v>
      </c>
      <c r="AD116" s="32">
        <f t="shared" si="27"/>
        <v>0</v>
      </c>
      <c r="AF116" s="32"/>
      <c r="AH116" s="32" t="str">
        <f>'St of Activites - GA Rev'!A116</f>
        <v>Clinton-Massie Local SD</v>
      </c>
      <c r="AI116" s="32" t="str">
        <f t="shared" si="22"/>
        <v>Clinton-Massie Local SD</v>
      </c>
      <c r="AJ116" s="32" t="b">
        <f t="shared" si="16"/>
        <v>1</v>
      </c>
      <c r="AL116" s="32" t="str">
        <f>'St of Activities - GA Exp'!A116</f>
        <v>Clinton-Massie Local SD</v>
      </c>
      <c r="AN116" s="32" t="b">
        <f t="shared" si="18"/>
        <v>1</v>
      </c>
      <c r="AR116" s="32" t="str">
        <f t="shared" si="19"/>
        <v>Clinton</v>
      </c>
      <c r="AS116" s="32" t="str">
        <f>'St of Activites - GA Rev'!C116</f>
        <v>Clinton</v>
      </c>
      <c r="AT116" s="32" t="b">
        <f t="shared" si="17"/>
        <v>1</v>
      </c>
      <c r="AU116" s="32" t="str">
        <f>'St of Activities - GA Exp'!C116</f>
        <v>Clinton</v>
      </c>
      <c r="AV116" s="56"/>
      <c r="AW116" s="32" t="b">
        <f t="shared" si="20"/>
        <v>1</v>
      </c>
    </row>
    <row r="117" spans="1:49">
      <c r="A117" s="12" t="s">
        <v>429</v>
      </c>
      <c r="B117" s="12"/>
      <c r="C117" s="12" t="s">
        <v>47</v>
      </c>
      <c r="D117" s="12"/>
      <c r="E117" s="29">
        <v>48488</v>
      </c>
      <c r="G117" s="7">
        <f t="shared" si="24"/>
        <v>30154841</v>
      </c>
      <c r="I117" s="7">
        <v>25974878</v>
      </c>
      <c r="K117" s="7">
        <v>56129719</v>
      </c>
      <c r="M117" s="7">
        <f t="shared" si="23"/>
        <v>17427018</v>
      </c>
      <c r="O117" s="7">
        <v>282544</v>
      </c>
      <c r="Q117" s="7">
        <v>27118581</v>
      </c>
      <c r="S117" s="7">
        <v>44828143</v>
      </c>
      <c r="U117" s="7">
        <v>11389016</v>
      </c>
      <c r="W117" s="7">
        <f t="shared" si="25"/>
        <v>13030799</v>
      </c>
      <c r="Y117" s="7">
        <v>-13118239</v>
      </c>
      <c r="AA117" s="7">
        <v>11301576</v>
      </c>
      <c r="AB117" s="7">
        <f t="shared" si="26"/>
        <v>0</v>
      </c>
      <c r="AD117" s="32">
        <f t="shared" si="27"/>
        <v>0</v>
      </c>
      <c r="AF117" s="32"/>
      <c r="AH117" s="32" t="str">
        <f>'St of Activites - GA Rev'!A117</f>
        <v>Cloverleaf Local SD</v>
      </c>
      <c r="AI117" s="32" t="str">
        <f t="shared" si="22"/>
        <v>Cloverleaf Local SD</v>
      </c>
      <c r="AJ117" s="32" t="b">
        <f t="shared" si="16"/>
        <v>1</v>
      </c>
      <c r="AL117" s="32" t="str">
        <f>'St of Activities - GA Exp'!A117</f>
        <v>Cloverleaf Local SD</v>
      </c>
      <c r="AN117" s="32" t="b">
        <f t="shared" si="18"/>
        <v>1</v>
      </c>
      <c r="AR117" s="32" t="str">
        <f t="shared" si="19"/>
        <v>Medina</v>
      </c>
      <c r="AS117" s="32" t="str">
        <f>'St of Activites - GA Rev'!C117</f>
        <v>Medina</v>
      </c>
      <c r="AT117" s="32" t="b">
        <f t="shared" si="17"/>
        <v>1</v>
      </c>
      <c r="AU117" s="32" t="str">
        <f>'St of Activities - GA Exp'!C117</f>
        <v>Medina</v>
      </c>
      <c r="AV117" s="56"/>
      <c r="AW117" s="32" t="b">
        <f t="shared" si="20"/>
        <v>1</v>
      </c>
    </row>
    <row r="118" spans="1:49">
      <c r="A118" s="12" t="s">
        <v>865</v>
      </c>
      <c r="B118" s="12"/>
      <c r="C118" s="12" t="s">
        <v>79</v>
      </c>
      <c r="D118" s="12"/>
      <c r="E118" s="29">
        <v>45302</v>
      </c>
      <c r="G118" s="7">
        <f t="shared" si="24"/>
        <v>22523675</v>
      </c>
      <c r="I118" s="7">
        <v>46770892</v>
      </c>
      <c r="K118" s="7">
        <v>69294567</v>
      </c>
      <c r="M118" s="7">
        <f t="shared" si="23"/>
        <v>7542155</v>
      </c>
      <c r="O118" s="7">
        <v>1456058</v>
      </c>
      <c r="Q118" s="7">
        <v>28599232</v>
      </c>
      <c r="S118" s="7">
        <v>37597445</v>
      </c>
      <c r="U118" s="7">
        <v>27539662</v>
      </c>
      <c r="W118" s="7">
        <f t="shared" si="25"/>
        <v>4366203</v>
      </c>
      <c r="Y118" s="7">
        <v>-208743</v>
      </c>
      <c r="AA118" s="7">
        <v>31697122</v>
      </c>
      <c r="AB118" s="7">
        <f t="shared" si="26"/>
        <v>0</v>
      </c>
      <c r="AD118" s="32">
        <f t="shared" si="27"/>
        <v>0</v>
      </c>
      <c r="AF118" s="32"/>
      <c r="AH118" s="32" t="str">
        <f>'St of Activites - GA Rev'!A118</f>
        <v>Clyde-Green Springs Exempted Village SD</v>
      </c>
      <c r="AI118" s="32" t="str">
        <f t="shared" si="22"/>
        <v>Clyde-Green Springs Exempted Village SD</v>
      </c>
      <c r="AJ118" s="32" t="b">
        <f t="shared" si="16"/>
        <v>1</v>
      </c>
      <c r="AL118" s="32" t="str">
        <f>'St of Activities - GA Exp'!A118</f>
        <v>Clyde-Green Springs Exempted Village SD</v>
      </c>
      <c r="AN118" s="32" t="b">
        <f t="shared" si="18"/>
        <v>1</v>
      </c>
      <c r="AR118" s="32" t="str">
        <f t="shared" si="19"/>
        <v>Sandusky</v>
      </c>
      <c r="AS118" s="32" t="str">
        <f>'St of Activites - GA Rev'!C118</f>
        <v>Sandusky</v>
      </c>
      <c r="AT118" s="32" t="b">
        <f t="shared" si="17"/>
        <v>1</v>
      </c>
      <c r="AU118" s="32" t="str">
        <f>'St of Activities - GA Exp'!C118</f>
        <v>Sandusky</v>
      </c>
      <c r="AV118" s="56"/>
      <c r="AW118" s="32" t="b">
        <f t="shared" si="20"/>
        <v>1</v>
      </c>
    </row>
    <row r="119" spans="1:49" s="65" customFormat="1" hidden="1">
      <c r="A119" s="63" t="s">
        <v>685</v>
      </c>
      <c r="B119" s="63"/>
      <c r="C119" s="63" t="s">
        <v>435</v>
      </c>
      <c r="D119" s="63"/>
      <c r="E119" s="64"/>
      <c r="G119" s="65">
        <f t="shared" si="24"/>
        <v>0</v>
      </c>
      <c r="M119" s="65">
        <f t="shared" si="23"/>
        <v>0</v>
      </c>
      <c r="W119" s="65">
        <f t="shared" si="25"/>
        <v>0</v>
      </c>
      <c r="AB119" s="65">
        <f t="shared" si="26"/>
        <v>0</v>
      </c>
      <c r="AD119" s="66">
        <f t="shared" si="27"/>
        <v>0</v>
      </c>
      <c r="AE119" s="65" t="s">
        <v>778</v>
      </c>
      <c r="AF119" s="66"/>
      <c r="AH119" s="66" t="str">
        <f>'St of Activites - GA Rev'!A119</f>
        <v>Coldwater Exempted Village SD (CASH)</v>
      </c>
      <c r="AI119" s="66" t="str">
        <f t="shared" si="22"/>
        <v>Coldwater Exempted Village SD (CASH)</v>
      </c>
      <c r="AJ119" s="66" t="b">
        <f t="shared" si="16"/>
        <v>1</v>
      </c>
      <c r="AL119" s="66" t="str">
        <f>'St of Activities - GA Exp'!A119</f>
        <v>Coldwater Exempted Village SD (CASH)</v>
      </c>
      <c r="AN119" s="66" t="b">
        <f t="shared" si="18"/>
        <v>1</v>
      </c>
      <c r="AR119" s="66" t="str">
        <f t="shared" si="19"/>
        <v>Mercer</v>
      </c>
      <c r="AS119" s="66" t="str">
        <f>'St of Activites - GA Rev'!C119</f>
        <v>Mercer</v>
      </c>
      <c r="AT119" s="66" t="b">
        <f t="shared" si="17"/>
        <v>1</v>
      </c>
      <c r="AU119" s="66" t="str">
        <f>'St of Activities - GA Exp'!C119</f>
        <v>Mercer</v>
      </c>
      <c r="AV119" s="86"/>
      <c r="AW119" s="66" t="b">
        <f t="shared" si="20"/>
        <v>1</v>
      </c>
    </row>
    <row r="120" spans="1:49" s="65" customFormat="1" hidden="1">
      <c r="A120" s="63" t="s">
        <v>636</v>
      </c>
      <c r="B120" s="63"/>
      <c r="C120" s="63" t="s">
        <v>57</v>
      </c>
      <c r="D120" s="63"/>
      <c r="E120" s="64">
        <v>64964</v>
      </c>
      <c r="G120" s="65">
        <f t="shared" si="24"/>
        <v>0</v>
      </c>
      <c r="M120" s="65">
        <f t="shared" si="23"/>
        <v>0</v>
      </c>
      <c r="W120" s="65">
        <f t="shared" si="25"/>
        <v>0</v>
      </c>
      <c r="AB120" s="65">
        <f t="shared" si="26"/>
        <v>0</v>
      </c>
      <c r="AD120" s="66">
        <f t="shared" si="27"/>
        <v>0</v>
      </c>
      <c r="AE120" s="65" t="s">
        <v>778</v>
      </c>
      <c r="AF120" s="66"/>
      <c r="AH120" s="66" t="str">
        <f>'St of Activites - GA Rev'!A120</f>
        <v>College Corner Local SD (CASH)</v>
      </c>
      <c r="AI120" s="66" t="str">
        <f t="shared" si="22"/>
        <v>College Corner Local SD (CASH)</v>
      </c>
      <c r="AJ120" s="66" t="b">
        <f t="shared" si="16"/>
        <v>1</v>
      </c>
      <c r="AL120" s="66" t="str">
        <f>'St of Activities - GA Exp'!A120</f>
        <v>College Corner Local SD (CASH)</v>
      </c>
      <c r="AN120" s="66" t="b">
        <f t="shared" si="18"/>
        <v>1</v>
      </c>
      <c r="AR120" s="66" t="str">
        <f t="shared" si="19"/>
        <v>Preble</v>
      </c>
      <c r="AS120" s="66" t="str">
        <f>'St of Activites - GA Rev'!C120</f>
        <v>Preble</v>
      </c>
      <c r="AT120" s="66" t="b">
        <f t="shared" si="17"/>
        <v>1</v>
      </c>
      <c r="AU120" s="66" t="str">
        <f>'St of Activities - GA Exp'!C120</f>
        <v>Preble</v>
      </c>
      <c r="AV120" s="86"/>
      <c r="AW120" s="66" t="b">
        <f t="shared" si="20"/>
        <v>1</v>
      </c>
    </row>
    <row r="121" spans="1:49">
      <c r="A121" s="12" t="s">
        <v>264</v>
      </c>
      <c r="B121" s="12"/>
      <c r="C121" s="12" t="s">
        <v>111</v>
      </c>
      <c r="D121" s="12"/>
      <c r="E121" s="29">
        <v>46516</v>
      </c>
      <c r="G121" s="7">
        <f t="shared" si="24"/>
        <v>6607736</v>
      </c>
      <c r="I121" s="7">
        <v>15722162</v>
      </c>
      <c r="K121" s="7">
        <v>22329898</v>
      </c>
      <c r="M121" s="7">
        <f t="shared" si="23"/>
        <v>2925381</v>
      </c>
      <c r="O121" s="7">
        <v>453978</v>
      </c>
      <c r="Q121" s="7">
        <v>13752203</v>
      </c>
      <c r="S121" s="7">
        <v>17131562</v>
      </c>
      <c r="U121" s="7">
        <v>3027004</v>
      </c>
      <c r="W121" s="7">
        <f t="shared" si="25"/>
        <v>1000976</v>
      </c>
      <c r="Y121" s="7">
        <v>1170356</v>
      </c>
      <c r="AA121" s="7">
        <v>5198336</v>
      </c>
      <c r="AB121" s="7">
        <f t="shared" si="26"/>
        <v>0</v>
      </c>
      <c r="AD121" s="32">
        <f t="shared" si="27"/>
        <v>0</v>
      </c>
      <c r="AF121" s="32"/>
      <c r="AH121" s="32" t="str">
        <f>'St of Activites - GA Rev'!A121</f>
        <v>Colonel Crawford Local SD</v>
      </c>
      <c r="AI121" s="32" t="str">
        <f t="shared" si="22"/>
        <v>Colonel Crawford Local SD</v>
      </c>
      <c r="AJ121" s="32" t="b">
        <f t="shared" si="16"/>
        <v>1</v>
      </c>
      <c r="AL121" s="32" t="str">
        <f>'St of Activities - GA Exp'!A121</f>
        <v>Colonel Crawford Local SD</v>
      </c>
      <c r="AN121" s="32" t="b">
        <f t="shared" si="18"/>
        <v>1</v>
      </c>
      <c r="AR121" s="32" t="str">
        <f t="shared" si="19"/>
        <v>Crawford</v>
      </c>
      <c r="AS121" s="32" t="str">
        <f>'St of Activites - GA Rev'!C121</f>
        <v>Crawford</v>
      </c>
      <c r="AT121" s="32" t="b">
        <f t="shared" si="17"/>
        <v>1</v>
      </c>
      <c r="AU121" s="32" t="str">
        <f>'St of Activities - GA Exp'!C121</f>
        <v>Crawford</v>
      </c>
      <c r="AV121" s="56"/>
      <c r="AW121" s="32" t="b">
        <f t="shared" si="20"/>
        <v>1</v>
      </c>
    </row>
    <row r="122" spans="1:49">
      <c r="A122" s="12" t="s">
        <v>395</v>
      </c>
      <c r="B122" s="12"/>
      <c r="C122" s="12" t="s">
        <v>44</v>
      </c>
      <c r="D122" s="12"/>
      <c r="E122" s="29">
        <v>48140</v>
      </c>
      <c r="G122" s="7">
        <f t="shared" si="24"/>
        <v>14193344</v>
      </c>
      <c r="I122" s="7">
        <v>2636461</v>
      </c>
      <c r="K122" s="7">
        <v>16829805</v>
      </c>
      <c r="M122" s="7">
        <f t="shared" si="23"/>
        <v>13311343</v>
      </c>
      <c r="O122" s="7">
        <v>145530</v>
      </c>
      <c r="Q122" s="7">
        <v>806193</v>
      </c>
      <c r="S122" s="7">
        <v>14263066</v>
      </c>
      <c r="U122" s="7">
        <v>2571366</v>
      </c>
      <c r="W122" s="7">
        <f t="shared" si="25"/>
        <v>28390</v>
      </c>
      <c r="Y122" s="7">
        <v>-33017</v>
      </c>
      <c r="AA122" s="7">
        <v>2566739</v>
      </c>
      <c r="AB122" s="7">
        <f t="shared" si="26"/>
        <v>0</v>
      </c>
      <c r="AD122" s="32">
        <f t="shared" si="27"/>
        <v>0</v>
      </c>
      <c r="AF122" s="32"/>
      <c r="AH122" s="32" t="str">
        <f>'St of Activites - GA Rev'!A122</f>
        <v>Columbia Local SD</v>
      </c>
      <c r="AI122" s="32" t="str">
        <f t="shared" si="22"/>
        <v>Columbia Local SD</v>
      </c>
      <c r="AJ122" s="32" t="b">
        <f t="shared" si="16"/>
        <v>1</v>
      </c>
      <c r="AL122" s="32" t="str">
        <f>'St of Activities - GA Exp'!A122</f>
        <v>Columbia Local SD</v>
      </c>
      <c r="AN122" s="32" t="b">
        <f t="shared" si="18"/>
        <v>1</v>
      </c>
      <c r="AR122" s="32" t="str">
        <f t="shared" si="19"/>
        <v>Lorain</v>
      </c>
      <c r="AS122" s="32" t="str">
        <f>'St of Activites - GA Rev'!C122</f>
        <v>Lorain</v>
      </c>
      <c r="AT122" s="32" t="b">
        <f t="shared" si="17"/>
        <v>1</v>
      </c>
      <c r="AU122" s="32" t="str">
        <f>'St of Activities - GA Exp'!C122</f>
        <v>Lorain</v>
      </c>
      <c r="AV122" s="56"/>
      <c r="AW122" s="32" t="b">
        <f t="shared" si="20"/>
        <v>1</v>
      </c>
    </row>
    <row r="123" spans="1:49">
      <c r="A123" s="12" t="s">
        <v>866</v>
      </c>
      <c r="B123" s="12"/>
      <c r="C123" s="12" t="s">
        <v>112</v>
      </c>
      <c r="D123" s="12"/>
      <c r="E123" s="29">
        <v>45328</v>
      </c>
      <c r="G123" s="7">
        <f t="shared" si="24"/>
        <v>11897746</v>
      </c>
      <c r="I123" s="7">
        <f>3863666+7520505</f>
        <v>11384171</v>
      </c>
      <c r="K123" s="7">
        <v>23281917</v>
      </c>
      <c r="M123" s="7">
        <f t="shared" si="23"/>
        <v>5835848</v>
      </c>
      <c r="O123" s="7">
        <v>327663</v>
      </c>
      <c r="Q123" s="7">
        <v>15156564</v>
      </c>
      <c r="S123" s="7">
        <v>21320075</v>
      </c>
      <c r="U123" s="7">
        <v>1381305</v>
      </c>
      <c r="W123" s="7">
        <f t="shared" si="25"/>
        <v>142434</v>
      </c>
      <c r="Y123" s="7">
        <v>438103</v>
      </c>
      <c r="AA123" s="7">
        <v>1961842</v>
      </c>
      <c r="AB123" s="7">
        <f t="shared" si="26"/>
        <v>0</v>
      </c>
      <c r="AD123" s="32">
        <f t="shared" si="27"/>
        <v>0</v>
      </c>
      <c r="AF123" s="32"/>
      <c r="AH123" s="32" t="str">
        <f>'St of Activites - GA Rev'!A123</f>
        <v>Columbiana Exempted Village SD</v>
      </c>
      <c r="AI123" s="32" t="str">
        <f t="shared" si="22"/>
        <v>Columbiana Exempted Village SD</v>
      </c>
      <c r="AJ123" s="32" t="b">
        <f t="shared" si="16"/>
        <v>1</v>
      </c>
      <c r="AL123" s="32" t="str">
        <f>'St of Activities - GA Exp'!A123</f>
        <v>Columbiana Exempted Village SD</v>
      </c>
      <c r="AN123" s="32" t="b">
        <f t="shared" si="18"/>
        <v>1</v>
      </c>
      <c r="AR123" s="32" t="str">
        <f t="shared" si="19"/>
        <v>Columbiana</v>
      </c>
      <c r="AS123" s="32" t="str">
        <f>'St of Activites - GA Rev'!C123</f>
        <v>Columbiana</v>
      </c>
      <c r="AT123" s="32" t="b">
        <f t="shared" si="17"/>
        <v>1</v>
      </c>
      <c r="AU123" s="32" t="str">
        <f>'St of Activities - GA Exp'!C123</f>
        <v>Columbiana</v>
      </c>
      <c r="AV123" s="56"/>
      <c r="AW123" s="32" t="b">
        <f t="shared" si="20"/>
        <v>1</v>
      </c>
    </row>
    <row r="124" spans="1:49">
      <c r="A124" s="12" t="s">
        <v>307</v>
      </c>
      <c r="B124" s="12"/>
      <c r="C124" s="12" t="s">
        <v>27</v>
      </c>
      <c r="D124" s="12"/>
      <c r="E124" s="29">
        <v>43802</v>
      </c>
      <c r="G124" s="7">
        <f t="shared" si="24"/>
        <v>1008311181</v>
      </c>
      <c r="I124" s="7">
        <f>31033918+67066422+475507089</f>
        <v>573607429</v>
      </c>
      <c r="K124" s="7">
        <v>1581918610</v>
      </c>
      <c r="M124" s="7">
        <f t="shared" si="23"/>
        <v>377470873</v>
      </c>
      <c r="O124" s="7">
        <v>27491083</v>
      </c>
      <c r="Q124" s="7">
        <v>585105313</v>
      </c>
      <c r="S124" s="7">
        <v>990067269</v>
      </c>
      <c r="U124" s="7">
        <v>183809747</v>
      </c>
      <c r="W124" s="7">
        <f t="shared" si="25"/>
        <v>182770345</v>
      </c>
      <c r="Y124" s="7">
        <v>225271249</v>
      </c>
      <c r="AA124" s="7">
        <v>591851341</v>
      </c>
      <c r="AB124" s="7">
        <f t="shared" si="26"/>
        <v>0</v>
      </c>
      <c r="AD124" s="32">
        <f t="shared" si="27"/>
        <v>0</v>
      </c>
      <c r="AF124" s="32"/>
      <c r="AH124" s="32" t="str">
        <f>'St of Activites - GA Rev'!A124</f>
        <v>Columbus City SD</v>
      </c>
      <c r="AI124" s="32" t="str">
        <f t="shared" si="22"/>
        <v>Columbus City SD</v>
      </c>
      <c r="AJ124" s="32" t="b">
        <f t="shared" si="16"/>
        <v>1</v>
      </c>
      <c r="AL124" s="32" t="str">
        <f>'St of Activities - GA Exp'!A124</f>
        <v>Columbus City SD</v>
      </c>
      <c r="AN124" s="32" t="b">
        <f t="shared" si="18"/>
        <v>1</v>
      </c>
      <c r="AR124" s="32" t="str">
        <f t="shared" si="19"/>
        <v>Franklin</v>
      </c>
      <c r="AS124" s="32" t="str">
        <f>'St of Activites - GA Rev'!C124</f>
        <v>Franklin</v>
      </c>
      <c r="AT124" s="32" t="b">
        <f t="shared" si="17"/>
        <v>1</v>
      </c>
      <c r="AU124" s="32" t="str">
        <f>'St of Activities - GA Exp'!C124</f>
        <v>Franklin</v>
      </c>
      <c r="AV124" s="56"/>
      <c r="AW124" s="32" t="b">
        <f t="shared" si="20"/>
        <v>1</v>
      </c>
    </row>
    <row r="125" spans="1:49" s="65" customFormat="1" hidden="1">
      <c r="A125" s="63" t="s">
        <v>637</v>
      </c>
      <c r="B125" s="63"/>
      <c r="C125" s="63" t="s">
        <v>482</v>
      </c>
      <c r="D125" s="63"/>
      <c r="E125" s="64">
        <v>49312</v>
      </c>
      <c r="G125" s="65">
        <f t="shared" si="24"/>
        <v>0</v>
      </c>
      <c r="M125" s="65">
        <f t="shared" si="23"/>
        <v>0</v>
      </c>
      <c r="W125" s="65">
        <f t="shared" si="25"/>
        <v>0</v>
      </c>
      <c r="AB125" s="65">
        <f>+K125-S125-AA125</f>
        <v>0</v>
      </c>
      <c r="AD125" s="66">
        <f t="shared" si="27"/>
        <v>0</v>
      </c>
      <c r="AE125" s="65" t="s">
        <v>778</v>
      </c>
      <c r="AF125" s="66"/>
      <c r="AH125" s="66" t="str">
        <f>'St of Activites - GA Rev'!A125</f>
        <v>Columbus Grove Local SD (CASH)</v>
      </c>
      <c r="AI125" s="66" t="str">
        <f t="shared" si="22"/>
        <v>Columbus Grove Local SD (CASH)</v>
      </c>
      <c r="AJ125" s="66" t="b">
        <f t="shared" si="16"/>
        <v>1</v>
      </c>
      <c r="AL125" s="66" t="str">
        <f>'St of Activities - GA Exp'!A125</f>
        <v>Columbus Grove Local SD (CASH)</v>
      </c>
      <c r="AN125" s="66" t="b">
        <f t="shared" si="18"/>
        <v>1</v>
      </c>
      <c r="AR125" s="66" t="str">
        <f t="shared" si="19"/>
        <v>Putnam</v>
      </c>
      <c r="AS125" s="66" t="str">
        <f>'St of Activites - GA Rev'!C125</f>
        <v>Putnam</v>
      </c>
      <c r="AT125" s="66" t="b">
        <f t="shared" si="17"/>
        <v>1</v>
      </c>
      <c r="AU125" s="66" t="str">
        <f>'St of Activities - GA Exp'!C125</f>
        <v>Putnam</v>
      </c>
      <c r="AV125" s="86"/>
      <c r="AW125" s="66" t="b">
        <f t="shared" si="20"/>
        <v>1</v>
      </c>
    </row>
    <row r="126" spans="1:49">
      <c r="A126" s="11" t="s">
        <v>208</v>
      </c>
      <c r="B126" s="11"/>
      <c r="C126" s="11" t="s">
        <v>12</v>
      </c>
      <c r="D126" s="11"/>
      <c r="E126" s="29">
        <v>43810</v>
      </c>
      <c r="G126" s="7">
        <f t="shared" si="24"/>
        <v>14703359</v>
      </c>
      <c r="I126" s="7">
        <f>2576361+36259624</f>
        <v>38835985</v>
      </c>
      <c r="K126" s="7">
        <v>53539344</v>
      </c>
      <c r="M126" s="7">
        <f t="shared" si="23"/>
        <v>4147176</v>
      </c>
      <c r="O126" s="7">
        <v>485000</v>
      </c>
      <c r="Q126" s="7">
        <v>7013754</v>
      </c>
      <c r="S126" s="7">
        <v>11645930</v>
      </c>
      <c r="U126" s="7">
        <v>32556031</v>
      </c>
      <c r="W126" s="7">
        <f t="shared" si="25"/>
        <v>6569657</v>
      </c>
      <c r="Y126" s="7">
        <v>2767726</v>
      </c>
      <c r="AA126" s="7">
        <v>41893414</v>
      </c>
      <c r="AB126" s="7">
        <f>+K126-S126-AA126</f>
        <v>0</v>
      </c>
      <c r="AD126" s="32">
        <f t="shared" si="27"/>
        <v>0</v>
      </c>
      <c r="AF126" s="32"/>
      <c r="AH126" s="32" t="str">
        <f>'St of Activites - GA Rev'!A126</f>
        <v>Conneaut Area City SD</v>
      </c>
      <c r="AI126" s="32" t="str">
        <f t="shared" si="22"/>
        <v>Conneaut Area City SD</v>
      </c>
      <c r="AJ126" s="32" t="b">
        <f t="shared" si="16"/>
        <v>1</v>
      </c>
      <c r="AL126" s="32" t="str">
        <f>'St of Activities - GA Exp'!A126</f>
        <v>Conneaut Area City SD</v>
      </c>
      <c r="AN126" s="32" t="b">
        <f t="shared" si="18"/>
        <v>1</v>
      </c>
      <c r="AR126" s="32" t="str">
        <f t="shared" si="19"/>
        <v>Ashtabula</v>
      </c>
      <c r="AS126" s="32" t="str">
        <f>'St of Activites - GA Rev'!C126</f>
        <v>Ashtabula</v>
      </c>
      <c r="AT126" s="32" t="b">
        <f t="shared" si="17"/>
        <v>1</v>
      </c>
      <c r="AU126" s="32" t="str">
        <f>'St of Activities - GA Exp'!C126</f>
        <v>Ashtabula</v>
      </c>
      <c r="AV126" s="56"/>
      <c r="AW126" s="32" t="b">
        <f t="shared" si="20"/>
        <v>1</v>
      </c>
    </row>
    <row r="127" spans="1:49">
      <c r="A127" s="12" t="s">
        <v>351</v>
      </c>
      <c r="B127" s="12"/>
      <c r="C127" s="12" t="s">
        <v>352</v>
      </c>
      <c r="D127" s="12"/>
      <c r="E127" s="29">
        <v>47548</v>
      </c>
      <c r="G127" s="7">
        <f t="shared" si="24"/>
        <v>3407027</v>
      </c>
      <c r="I127" s="7">
        <v>526146</v>
      </c>
      <c r="K127" s="7">
        <v>3933173</v>
      </c>
      <c r="M127" s="7">
        <f t="shared" si="23"/>
        <v>2355668</v>
      </c>
      <c r="O127" s="7">
        <v>19110</v>
      </c>
      <c r="Q127" s="7">
        <v>186555</v>
      </c>
      <c r="S127" s="7">
        <v>2561333</v>
      </c>
      <c r="U127" s="7">
        <v>526146</v>
      </c>
      <c r="W127" s="7">
        <f t="shared" si="25"/>
        <v>300685</v>
      </c>
      <c r="Y127" s="7">
        <v>545009</v>
      </c>
      <c r="AA127" s="7">
        <v>1371840</v>
      </c>
      <c r="AB127" s="7">
        <f t="shared" si="26"/>
        <v>0</v>
      </c>
      <c r="AD127" s="32">
        <f t="shared" si="27"/>
        <v>0</v>
      </c>
      <c r="AF127" s="32"/>
      <c r="AH127" s="32" t="str">
        <f>'St of Activites - GA Rev'!A127</f>
        <v>Conotton Valley Union Local SD</v>
      </c>
      <c r="AI127" s="32" t="str">
        <f t="shared" si="22"/>
        <v>Conotton Valley Union Local SD</v>
      </c>
      <c r="AJ127" s="32" t="b">
        <f t="shared" si="16"/>
        <v>1</v>
      </c>
      <c r="AL127" s="32" t="str">
        <f>'St of Activities - GA Exp'!A127</f>
        <v>Conotton Valley Union Local SD</v>
      </c>
      <c r="AN127" s="32" t="b">
        <f t="shared" si="18"/>
        <v>1</v>
      </c>
      <c r="AR127" s="32" t="str">
        <f t="shared" si="19"/>
        <v>Harrison</v>
      </c>
      <c r="AS127" s="32" t="str">
        <f>'St of Activites - GA Rev'!C127</f>
        <v>Harrison</v>
      </c>
      <c r="AT127" s="32" t="b">
        <f t="shared" si="17"/>
        <v>1</v>
      </c>
      <c r="AU127" s="32" t="str">
        <f>'St of Activities - GA Exp'!C127</f>
        <v>Harrison</v>
      </c>
      <c r="AV127" s="56"/>
      <c r="AW127" s="32" t="b">
        <f t="shared" si="20"/>
        <v>1</v>
      </c>
    </row>
    <row r="128" spans="1:49" s="65" customFormat="1" hidden="1">
      <c r="A128" s="63" t="s">
        <v>709</v>
      </c>
      <c r="B128" s="63"/>
      <c r="C128" s="63" t="s">
        <v>482</v>
      </c>
      <c r="D128" s="63"/>
      <c r="E128" s="64">
        <v>49320</v>
      </c>
      <c r="G128" s="65">
        <f t="shared" si="24"/>
        <v>0</v>
      </c>
      <c r="M128" s="65">
        <f t="shared" si="23"/>
        <v>0</v>
      </c>
      <c r="W128" s="65">
        <f t="shared" si="25"/>
        <v>0</v>
      </c>
      <c r="AB128" s="65">
        <f>+K128-S128-AA128</f>
        <v>0</v>
      </c>
      <c r="AD128" s="66">
        <f t="shared" si="27"/>
        <v>0</v>
      </c>
      <c r="AE128" s="65" t="s">
        <v>778</v>
      </c>
      <c r="AF128" s="66"/>
      <c r="AH128" s="66" t="str">
        <f>'St of Activites - GA Rev'!A128</f>
        <v>Continental Local SD (CASH) Two year Audit</v>
      </c>
      <c r="AI128" s="66" t="str">
        <f t="shared" si="22"/>
        <v>Continental Local SD (CASH) Two year Audit</v>
      </c>
      <c r="AJ128" s="66" t="b">
        <f t="shared" si="16"/>
        <v>1</v>
      </c>
      <c r="AL128" s="66" t="str">
        <f>'St of Activities - GA Exp'!A128</f>
        <v>Continental Local SD (CASH) Two year Audit</v>
      </c>
      <c r="AN128" s="66" t="b">
        <f t="shared" si="18"/>
        <v>1</v>
      </c>
      <c r="AR128" s="66" t="str">
        <f t="shared" si="19"/>
        <v>Putnam</v>
      </c>
      <c r="AS128" s="66" t="str">
        <f>'St of Activites - GA Rev'!C128</f>
        <v>Putnam</v>
      </c>
      <c r="AT128" s="66" t="b">
        <f t="shared" si="17"/>
        <v>1</v>
      </c>
      <c r="AU128" s="66" t="str">
        <f>'St of Activities - GA Exp'!C128</f>
        <v>Putnam</v>
      </c>
      <c r="AV128" s="86"/>
      <c r="AW128" s="66" t="b">
        <f t="shared" si="20"/>
        <v>1</v>
      </c>
    </row>
    <row r="129" spans="1:49">
      <c r="A129" s="12" t="s">
        <v>524</v>
      </c>
      <c r="B129" s="12"/>
      <c r="C129" s="12" t="s">
        <v>63</v>
      </c>
      <c r="D129" s="12"/>
      <c r="E129" s="29">
        <v>49981</v>
      </c>
      <c r="G129" s="7">
        <f t="shared" si="24"/>
        <v>40201402</v>
      </c>
      <c r="I129" s="7">
        <v>18963927</v>
      </c>
      <c r="K129" s="7">
        <v>59165329</v>
      </c>
      <c r="M129" s="7">
        <f t="shared" si="23"/>
        <v>28040842</v>
      </c>
      <c r="O129" s="7">
        <v>1780026</v>
      </c>
      <c r="Q129" s="7">
        <v>4294734</v>
      </c>
      <c r="S129" s="7">
        <v>34115602</v>
      </c>
      <c r="U129" s="7">
        <v>14692758</v>
      </c>
      <c r="W129" s="7">
        <f t="shared" si="25"/>
        <v>2590276</v>
      </c>
      <c r="Y129" s="7">
        <v>7766693</v>
      </c>
      <c r="AA129" s="7">
        <v>25049727</v>
      </c>
      <c r="AB129" s="7">
        <f t="shared" si="26"/>
        <v>0</v>
      </c>
      <c r="AD129" s="32">
        <f t="shared" si="27"/>
        <v>0</v>
      </c>
      <c r="AF129" s="32"/>
      <c r="AH129" s="32" t="str">
        <f>'St of Activites - GA Rev'!A129</f>
        <v>Copley-Fairlawn City SD</v>
      </c>
      <c r="AI129" s="32" t="str">
        <f t="shared" si="22"/>
        <v>Copley-Fairlawn City SD</v>
      </c>
      <c r="AJ129" s="32" t="b">
        <f t="shared" si="16"/>
        <v>1</v>
      </c>
      <c r="AL129" s="32" t="str">
        <f>'St of Activities - GA Exp'!A129</f>
        <v>Copley-Fairlawn City SD</v>
      </c>
      <c r="AN129" s="32" t="b">
        <f t="shared" si="18"/>
        <v>1</v>
      </c>
      <c r="AR129" s="32" t="str">
        <f t="shared" si="19"/>
        <v>Summit</v>
      </c>
      <c r="AS129" s="32" t="str">
        <f>'St of Activites - GA Rev'!C129</f>
        <v>Summit</v>
      </c>
      <c r="AT129" s="32" t="b">
        <f t="shared" si="17"/>
        <v>1</v>
      </c>
      <c r="AU129" s="32" t="str">
        <f>'St of Activities - GA Exp'!C129</f>
        <v>Summit</v>
      </c>
      <c r="AV129" s="56"/>
      <c r="AW129" s="32" t="b">
        <f t="shared" si="20"/>
        <v>1</v>
      </c>
    </row>
    <row r="130" spans="1:49">
      <c r="A130" s="12" t="s">
        <v>345</v>
      </c>
      <c r="B130" s="12"/>
      <c r="C130" s="12" t="s">
        <v>33</v>
      </c>
      <c r="D130" s="12"/>
      <c r="E130" s="29">
        <v>47431</v>
      </c>
      <c r="G130" s="7">
        <f t="shared" si="24"/>
        <v>16284237</v>
      </c>
      <c r="I130" s="7">
        <f>982710+2175367</f>
        <v>3158077</v>
      </c>
      <c r="K130" s="7">
        <v>19442314</v>
      </c>
      <c r="M130" s="7">
        <f t="shared" si="23"/>
        <v>3082808</v>
      </c>
      <c r="O130" s="7">
        <v>175728</v>
      </c>
      <c r="Q130" s="7">
        <v>6712534</v>
      </c>
      <c r="S130" s="7">
        <v>9971070</v>
      </c>
      <c r="U130" s="7">
        <v>2898367</v>
      </c>
      <c r="W130" s="7">
        <f t="shared" si="25"/>
        <v>6934407</v>
      </c>
      <c r="Y130" s="7">
        <v>-361530</v>
      </c>
      <c r="AA130" s="7">
        <v>9471244</v>
      </c>
      <c r="AB130" s="7">
        <f>+K130-S130-AA130</f>
        <v>0</v>
      </c>
      <c r="AD130" s="32">
        <f t="shared" si="27"/>
        <v>0</v>
      </c>
      <c r="AF130" s="32"/>
      <c r="AH130" s="32" t="str">
        <f>'St of Activites - GA Rev'!A130</f>
        <v>Cory-Rawson Local SD</v>
      </c>
      <c r="AI130" s="32" t="str">
        <f t="shared" si="22"/>
        <v>Cory-Rawson Local SD</v>
      </c>
      <c r="AJ130" s="32" t="b">
        <f t="shared" si="16"/>
        <v>1</v>
      </c>
      <c r="AL130" s="32" t="str">
        <f>'St of Activities - GA Exp'!A130</f>
        <v>Cory-Rawson Local SD</v>
      </c>
      <c r="AN130" s="32" t="b">
        <f t="shared" si="18"/>
        <v>1</v>
      </c>
      <c r="AR130" s="32" t="str">
        <f t="shared" si="19"/>
        <v>Hancock</v>
      </c>
      <c r="AS130" s="32" t="str">
        <f>'St of Activites - GA Rev'!C130</f>
        <v>Hancock</v>
      </c>
      <c r="AT130" s="32" t="b">
        <f t="shared" si="17"/>
        <v>1</v>
      </c>
      <c r="AU130" s="32" t="str">
        <f>'St of Activities - GA Exp'!C130</f>
        <v>Hancock</v>
      </c>
      <c r="AV130" s="56"/>
      <c r="AW130" s="32" t="b">
        <f t="shared" si="20"/>
        <v>1</v>
      </c>
    </row>
    <row r="131" spans="1:49">
      <c r="A131" s="12" t="s">
        <v>259</v>
      </c>
      <c r="B131" s="12"/>
      <c r="C131" s="12" t="s">
        <v>19</v>
      </c>
      <c r="D131" s="12"/>
      <c r="E131" s="29">
        <v>43828</v>
      </c>
      <c r="G131" s="7">
        <f t="shared" si="24"/>
        <v>37657849</v>
      </c>
      <c r="I131" s="7">
        <f>1660535+4020457</f>
        <v>5680992</v>
      </c>
      <c r="K131" s="7">
        <v>43338841</v>
      </c>
      <c r="M131" s="7">
        <f t="shared" si="23"/>
        <v>7751089</v>
      </c>
      <c r="O131" s="7">
        <v>336125</v>
      </c>
      <c r="Q131" s="7">
        <v>10939911</v>
      </c>
      <c r="S131" s="7">
        <v>19027125</v>
      </c>
      <c r="U131" s="7">
        <v>5543934</v>
      </c>
      <c r="W131" s="7">
        <f t="shared" si="25"/>
        <v>14269409</v>
      </c>
      <c r="Y131" s="7">
        <v>4498373</v>
      </c>
      <c r="AA131" s="7">
        <v>24311716</v>
      </c>
      <c r="AB131" s="7">
        <f t="shared" si="26"/>
        <v>0</v>
      </c>
      <c r="AD131" s="32">
        <f t="shared" si="27"/>
        <v>0</v>
      </c>
      <c r="AF131" s="32"/>
      <c r="AH131" s="32" t="str">
        <f>'St of Activites - GA Rev'!A131</f>
        <v>Coshocton City SD</v>
      </c>
      <c r="AI131" s="32" t="str">
        <f t="shared" si="22"/>
        <v>Coshocton City SD</v>
      </c>
      <c r="AJ131" s="32" t="b">
        <f t="shared" si="16"/>
        <v>1</v>
      </c>
      <c r="AL131" s="32" t="str">
        <f>'St of Activities - GA Exp'!A131</f>
        <v>Coshocton City SD</v>
      </c>
      <c r="AN131" s="32" t="b">
        <f t="shared" si="18"/>
        <v>1</v>
      </c>
      <c r="AR131" s="32" t="str">
        <f t="shared" si="19"/>
        <v>Coshocton</v>
      </c>
      <c r="AS131" s="32" t="str">
        <f>'St of Activites - GA Rev'!C131</f>
        <v>Coshocton</v>
      </c>
      <c r="AT131" s="32" t="b">
        <f t="shared" si="17"/>
        <v>1</v>
      </c>
      <c r="AU131" s="32" t="str">
        <f>'St of Activities - GA Exp'!C131</f>
        <v>Coshocton</v>
      </c>
      <c r="AV131" s="56"/>
      <c r="AW131" s="32" t="b">
        <f t="shared" si="20"/>
        <v>1</v>
      </c>
    </row>
    <row r="132" spans="1:49">
      <c r="A132" s="12" t="s">
        <v>629</v>
      </c>
      <c r="B132" s="12"/>
      <c r="C132" s="12" t="s">
        <v>63</v>
      </c>
      <c r="D132" s="12"/>
      <c r="E132" s="29"/>
      <c r="G132" s="7">
        <f t="shared" si="24"/>
        <v>12097828</v>
      </c>
      <c r="I132" s="7">
        <f>1186594+3577073</f>
        <v>4763667</v>
      </c>
      <c r="K132" s="7">
        <v>16861495</v>
      </c>
      <c r="M132" s="7">
        <f t="shared" si="23"/>
        <v>13931376</v>
      </c>
      <c r="O132" s="7">
        <v>828797</v>
      </c>
      <c r="Q132" s="7">
        <v>5388368</v>
      </c>
      <c r="S132" s="7">
        <v>20148541</v>
      </c>
      <c r="U132" s="7">
        <v>2588695</v>
      </c>
      <c r="W132" s="7">
        <f t="shared" si="25"/>
        <v>233586</v>
      </c>
      <c r="Y132" s="7">
        <v>-6109327</v>
      </c>
      <c r="AA132" s="7">
        <v>-3287046</v>
      </c>
      <c r="AB132" s="7">
        <f>+K132-S132-AA132</f>
        <v>0</v>
      </c>
      <c r="AD132" s="32">
        <f t="shared" si="27"/>
        <v>0</v>
      </c>
      <c r="AF132" s="32"/>
      <c r="AH132" s="32" t="str">
        <f>'St of Activites - GA Rev'!A132</f>
        <v>Coventry Local SD</v>
      </c>
      <c r="AI132" s="32" t="str">
        <f t="shared" si="22"/>
        <v>Coventry Local SD</v>
      </c>
      <c r="AJ132" s="32" t="b">
        <f t="shared" si="16"/>
        <v>1</v>
      </c>
      <c r="AL132" s="32" t="str">
        <f>'St of Activities - GA Exp'!A132</f>
        <v>Coventry Local SD</v>
      </c>
      <c r="AN132" s="32" t="b">
        <f t="shared" si="18"/>
        <v>1</v>
      </c>
      <c r="AR132" s="32" t="str">
        <f t="shared" si="19"/>
        <v>Summit</v>
      </c>
      <c r="AS132" s="32" t="str">
        <f>'St of Activites - GA Rev'!C132</f>
        <v>Summit</v>
      </c>
      <c r="AT132" s="32" t="b">
        <f t="shared" si="17"/>
        <v>1</v>
      </c>
      <c r="AU132" s="32" t="str">
        <f>'St of Activities - GA Exp'!C132</f>
        <v>Summit</v>
      </c>
      <c r="AV132" s="56"/>
      <c r="AW132" s="32" t="b">
        <f t="shared" si="20"/>
        <v>1</v>
      </c>
    </row>
    <row r="133" spans="1:49">
      <c r="A133" s="12" t="s">
        <v>867</v>
      </c>
      <c r="B133" s="12"/>
      <c r="C133" s="12" t="s">
        <v>48</v>
      </c>
      <c r="D133" s="12"/>
      <c r="E133" s="29">
        <v>45336</v>
      </c>
      <c r="G133" s="7">
        <f t="shared" si="24"/>
        <v>4194420</v>
      </c>
      <c r="I133" s="7">
        <v>1534430</v>
      </c>
      <c r="K133" s="7">
        <v>5728850</v>
      </c>
      <c r="M133" s="7">
        <f t="shared" si="23"/>
        <v>2296961</v>
      </c>
      <c r="O133" s="7">
        <v>105333</v>
      </c>
      <c r="Q133" s="7">
        <v>719114</v>
      </c>
      <c r="S133" s="7">
        <v>3121408</v>
      </c>
      <c r="U133" s="7">
        <v>1423040</v>
      </c>
      <c r="W133" s="7">
        <f t="shared" si="25"/>
        <v>393661</v>
      </c>
      <c r="Y133" s="7">
        <v>790741</v>
      </c>
      <c r="AA133" s="7">
        <v>2607442</v>
      </c>
      <c r="AB133" s="7">
        <f t="shared" si="26"/>
        <v>0</v>
      </c>
      <c r="AD133" s="32">
        <f t="shared" si="27"/>
        <v>0</v>
      </c>
      <c r="AF133" s="32"/>
      <c r="AH133" s="32" t="str">
        <f>'St of Activites - GA Rev'!A133</f>
        <v>Covington Exempted Village SD</v>
      </c>
      <c r="AI133" s="32" t="str">
        <f t="shared" si="22"/>
        <v>Covington Exempted Village SD</v>
      </c>
      <c r="AJ133" s="32" t="b">
        <f t="shared" si="16"/>
        <v>1</v>
      </c>
      <c r="AL133" s="32" t="str">
        <f>'St of Activities - GA Exp'!A133</f>
        <v>Covington Exempted Village SD</v>
      </c>
      <c r="AN133" s="32" t="b">
        <f t="shared" si="18"/>
        <v>1</v>
      </c>
      <c r="AR133" s="32" t="str">
        <f t="shared" si="19"/>
        <v>Miami</v>
      </c>
      <c r="AS133" s="32" t="str">
        <f>'St of Activites - GA Rev'!C133</f>
        <v>Miami</v>
      </c>
      <c r="AT133" s="32" t="b">
        <f t="shared" si="17"/>
        <v>1</v>
      </c>
      <c r="AU133" s="32" t="str">
        <f>'St of Activities - GA Exp'!C133</f>
        <v>Miami</v>
      </c>
      <c r="AV133" s="56"/>
      <c r="AW133" s="32" t="b">
        <f t="shared" si="20"/>
        <v>1</v>
      </c>
    </row>
    <row r="134" spans="1:49" s="65" customFormat="1" hidden="1">
      <c r="A134" s="63" t="s">
        <v>982</v>
      </c>
      <c r="B134" s="63"/>
      <c r="C134" s="63" t="s">
        <v>111</v>
      </c>
      <c r="D134" s="63"/>
      <c r="E134" s="64">
        <v>45344</v>
      </c>
      <c r="G134" s="65">
        <f t="shared" si="24"/>
        <v>0</v>
      </c>
      <c r="M134" s="65">
        <f t="shared" si="23"/>
        <v>0</v>
      </c>
      <c r="W134" s="65">
        <f t="shared" si="25"/>
        <v>0</v>
      </c>
      <c r="AB134" s="65">
        <f t="shared" si="26"/>
        <v>0</v>
      </c>
      <c r="AD134" s="66">
        <f t="shared" si="27"/>
        <v>0</v>
      </c>
      <c r="AE134" s="65" t="s">
        <v>903</v>
      </c>
      <c r="AF134" s="66"/>
      <c r="AH134" s="66" t="str">
        <f>'St of Activites - GA Rev'!A134</f>
        <v>Crestline Exempted Village SD (CASH)</v>
      </c>
      <c r="AI134" s="66" t="str">
        <f t="shared" si="22"/>
        <v>Crestline Exempted Village SD (CASH)</v>
      </c>
      <c r="AJ134" s="66" t="b">
        <f t="shared" si="16"/>
        <v>1</v>
      </c>
      <c r="AL134" s="66" t="str">
        <f>'St of Activities - GA Exp'!A134</f>
        <v>Crestline Exempted Village SD (CASH)</v>
      </c>
      <c r="AN134" s="66" t="b">
        <f t="shared" si="18"/>
        <v>1</v>
      </c>
      <c r="AR134" s="66" t="str">
        <f t="shared" si="19"/>
        <v>Crawford</v>
      </c>
      <c r="AS134" s="66" t="str">
        <f>'St of Activites - GA Rev'!C134</f>
        <v>Crawford</v>
      </c>
      <c r="AT134" s="66" t="b">
        <f t="shared" si="17"/>
        <v>1</v>
      </c>
      <c r="AU134" s="66" t="str">
        <f>'St of Activities - GA Exp'!C134</f>
        <v>Crawford</v>
      </c>
      <c r="AV134" s="86"/>
      <c r="AW134" s="66" t="b">
        <f t="shared" si="20"/>
        <v>1</v>
      </c>
    </row>
    <row r="135" spans="1:49">
      <c r="A135" s="12" t="s">
        <v>253</v>
      </c>
      <c r="B135" s="12"/>
      <c r="C135" s="12" t="s">
        <v>112</v>
      </c>
      <c r="D135" s="12"/>
      <c r="E135" s="29">
        <v>46433</v>
      </c>
      <c r="G135" s="7">
        <f t="shared" si="24"/>
        <v>8568924</v>
      </c>
      <c r="I135" s="7">
        <f>2863081+11532290</f>
        <v>14395371</v>
      </c>
      <c r="K135" s="7">
        <v>22964295</v>
      </c>
      <c r="M135" s="7">
        <f t="shared" si="23"/>
        <v>4302375</v>
      </c>
      <c r="O135" s="7">
        <v>603725</v>
      </c>
      <c r="Q135" s="7">
        <v>5756579</v>
      </c>
      <c r="S135" s="7">
        <v>10662679</v>
      </c>
      <c r="U135" s="7">
        <v>10813293</v>
      </c>
      <c r="W135" s="7">
        <f t="shared" si="25"/>
        <v>711407</v>
      </c>
      <c r="Y135" s="7">
        <v>776916</v>
      </c>
      <c r="AA135" s="7">
        <v>12301616</v>
      </c>
      <c r="AB135" s="7">
        <f t="shared" si="26"/>
        <v>0</v>
      </c>
      <c r="AD135" s="32">
        <f t="shared" si="27"/>
        <v>0</v>
      </c>
      <c r="AF135" s="32"/>
      <c r="AH135" s="32" t="str">
        <f>'St of Activites - GA Rev'!A135</f>
        <v>Crestview Local SD</v>
      </c>
      <c r="AI135" s="32" t="str">
        <f t="shared" si="22"/>
        <v>Crestview Local SD</v>
      </c>
      <c r="AJ135" s="32" t="b">
        <f t="shared" si="16"/>
        <v>1</v>
      </c>
      <c r="AL135" s="32" t="str">
        <f>'St of Activities - GA Exp'!A135</f>
        <v>Crestview Local SD</v>
      </c>
      <c r="AN135" s="32" t="b">
        <f t="shared" si="18"/>
        <v>1</v>
      </c>
      <c r="AR135" s="32" t="str">
        <f t="shared" si="19"/>
        <v>Columbiana</v>
      </c>
      <c r="AS135" s="32" t="str">
        <f>'St of Activites - GA Rev'!C135</f>
        <v>Columbiana</v>
      </c>
      <c r="AT135" s="32" t="b">
        <f t="shared" si="17"/>
        <v>1</v>
      </c>
      <c r="AU135" s="32" t="str">
        <f>'St of Activities - GA Exp'!C135</f>
        <v>Columbiana</v>
      </c>
      <c r="AV135" s="56"/>
      <c r="AW135" s="32" t="b">
        <f t="shared" si="20"/>
        <v>1</v>
      </c>
    </row>
    <row r="136" spans="1:49">
      <c r="A136" s="12" t="s">
        <v>253</v>
      </c>
      <c r="B136" s="12"/>
      <c r="C136" s="12" t="s">
        <v>110</v>
      </c>
      <c r="D136" s="12"/>
      <c r="E136" s="29">
        <v>49429</v>
      </c>
      <c r="G136" s="7">
        <f t="shared" si="24"/>
        <v>11190615</v>
      </c>
      <c r="I136" s="7">
        <v>23267595</v>
      </c>
      <c r="K136" s="7">
        <v>34458210</v>
      </c>
      <c r="M136" s="7">
        <f t="shared" si="23"/>
        <v>3276507</v>
      </c>
      <c r="O136" s="7">
        <v>345893</v>
      </c>
      <c r="Q136" s="7">
        <v>3666853</v>
      </c>
      <c r="S136" s="7">
        <v>7289253</v>
      </c>
      <c r="U136" s="7">
        <v>20222977</v>
      </c>
      <c r="W136" s="7">
        <f t="shared" si="25"/>
        <v>1638413</v>
      </c>
      <c r="Y136" s="7">
        <v>5307567</v>
      </c>
      <c r="AA136" s="7">
        <v>27168957</v>
      </c>
      <c r="AB136" s="7">
        <f t="shared" si="26"/>
        <v>0</v>
      </c>
      <c r="AD136" s="32">
        <f t="shared" si="27"/>
        <v>0</v>
      </c>
      <c r="AF136" s="32"/>
      <c r="AH136" s="32" t="str">
        <f>'St of Activites - GA Rev'!A136</f>
        <v>Crestview Local SD</v>
      </c>
      <c r="AI136" s="32" t="str">
        <f t="shared" si="22"/>
        <v>Crestview Local SD</v>
      </c>
      <c r="AJ136" s="32" t="b">
        <f t="shared" si="16"/>
        <v>1</v>
      </c>
      <c r="AL136" s="32" t="str">
        <f>'St of Activities - GA Exp'!A136</f>
        <v>Crestview Local SD</v>
      </c>
      <c r="AN136" s="32" t="b">
        <f t="shared" si="18"/>
        <v>1</v>
      </c>
      <c r="AR136" s="32" t="str">
        <f t="shared" si="19"/>
        <v>Richland</v>
      </c>
      <c r="AS136" s="32" t="str">
        <f>'St of Activites - GA Rev'!C136</f>
        <v>Richland</v>
      </c>
      <c r="AT136" s="32" t="b">
        <f t="shared" si="17"/>
        <v>1</v>
      </c>
      <c r="AU136" s="32" t="str">
        <f>'St of Activities - GA Exp'!C136</f>
        <v>Richland</v>
      </c>
      <c r="AV136" s="56"/>
      <c r="AW136" s="32" t="b">
        <f t="shared" si="20"/>
        <v>1</v>
      </c>
    </row>
    <row r="137" spans="1:49" s="65" customFormat="1" hidden="1">
      <c r="A137" s="63" t="s">
        <v>686</v>
      </c>
      <c r="B137" s="63"/>
      <c r="C137" s="63" t="s">
        <v>67</v>
      </c>
      <c r="D137" s="63"/>
      <c r="E137" s="64"/>
      <c r="G137" s="65">
        <f t="shared" si="24"/>
        <v>0</v>
      </c>
      <c r="M137" s="65">
        <f t="shared" si="23"/>
        <v>0</v>
      </c>
      <c r="W137" s="65">
        <f t="shared" si="25"/>
        <v>0</v>
      </c>
      <c r="AB137" s="65">
        <f t="shared" si="26"/>
        <v>0</v>
      </c>
      <c r="AD137" s="66">
        <f t="shared" si="27"/>
        <v>0</v>
      </c>
      <c r="AE137" s="65" t="s">
        <v>778</v>
      </c>
      <c r="AF137" s="66"/>
      <c r="AH137" s="66" t="str">
        <f>'St of Activites - GA Rev'!A137</f>
        <v>Crestview Local SD (CASH)</v>
      </c>
      <c r="AI137" s="66" t="str">
        <f t="shared" si="22"/>
        <v>Crestview Local SD (CASH)</v>
      </c>
      <c r="AJ137" s="66" t="b">
        <f t="shared" si="16"/>
        <v>1</v>
      </c>
      <c r="AL137" s="66" t="str">
        <f>'St of Activities - GA Exp'!A137</f>
        <v>Crestview Local SD (CASH)</v>
      </c>
      <c r="AN137" s="66" t="b">
        <f t="shared" si="18"/>
        <v>1</v>
      </c>
      <c r="AR137" s="66" t="str">
        <f t="shared" si="19"/>
        <v>Van Wert</v>
      </c>
      <c r="AS137" s="66" t="str">
        <f>'St of Activites - GA Rev'!C137</f>
        <v>Van Wert</v>
      </c>
      <c r="AT137" s="66" t="b">
        <f t="shared" si="17"/>
        <v>1</v>
      </c>
      <c r="AU137" s="66" t="str">
        <f>'St of Activities - GA Exp'!C137</f>
        <v>Van Wert</v>
      </c>
      <c r="AV137" s="86"/>
      <c r="AW137" s="66" t="b">
        <f t="shared" si="20"/>
        <v>1</v>
      </c>
    </row>
    <row r="138" spans="1:49">
      <c r="A138" s="12" t="s">
        <v>758</v>
      </c>
      <c r="B138" s="12"/>
      <c r="C138" s="12" t="s">
        <v>56</v>
      </c>
      <c r="D138" s="12"/>
      <c r="E138" s="29">
        <v>49189</v>
      </c>
      <c r="G138" s="7">
        <f t="shared" si="24"/>
        <v>16164308</v>
      </c>
      <c r="I138" s="7">
        <f>1546347+21917447</f>
        <v>23463794</v>
      </c>
      <c r="K138" s="7">
        <v>39628102</v>
      </c>
      <c r="M138" s="7">
        <f t="shared" si="23"/>
        <v>9485397</v>
      </c>
      <c r="O138" s="7">
        <v>702904</v>
      </c>
      <c r="Q138" s="7">
        <v>7829290</v>
      </c>
      <c r="S138" s="7">
        <v>18017591</v>
      </c>
      <c r="U138" s="7">
        <v>17294989</v>
      </c>
      <c r="W138" s="7">
        <f t="shared" si="25"/>
        <v>4249200</v>
      </c>
      <c r="Y138" s="7">
        <v>66322</v>
      </c>
      <c r="AA138" s="7">
        <v>21610511</v>
      </c>
      <c r="AB138" s="7">
        <f t="shared" si="26"/>
        <v>0</v>
      </c>
      <c r="AD138" s="32">
        <f t="shared" si="27"/>
        <v>0</v>
      </c>
      <c r="AF138" s="32"/>
      <c r="AH138" s="32" t="str">
        <f>'St of Activites - GA Rev'!A138</f>
        <v xml:space="preserve">Crestwood Local SD </v>
      </c>
      <c r="AI138" s="32" t="str">
        <f t="shared" si="22"/>
        <v xml:space="preserve">Crestwood Local SD </v>
      </c>
      <c r="AJ138" s="32" t="b">
        <f t="shared" si="16"/>
        <v>1</v>
      </c>
      <c r="AL138" s="32" t="str">
        <f>'St of Activities - GA Exp'!A138</f>
        <v xml:space="preserve">Crestwood Local SD </v>
      </c>
      <c r="AN138" s="32" t="b">
        <f t="shared" si="18"/>
        <v>1</v>
      </c>
      <c r="AR138" s="32" t="str">
        <f t="shared" si="19"/>
        <v>Portage</v>
      </c>
      <c r="AS138" s="32" t="str">
        <f>'St of Activites - GA Rev'!C138</f>
        <v>Portage</v>
      </c>
      <c r="AT138" s="32" t="b">
        <f t="shared" si="17"/>
        <v>1</v>
      </c>
      <c r="AU138" s="32" t="str">
        <f>'St of Activities - GA Exp'!C138</f>
        <v>Portage</v>
      </c>
      <c r="AV138" s="56"/>
      <c r="AW138" s="32" t="b">
        <f t="shared" si="20"/>
        <v>1</v>
      </c>
    </row>
    <row r="139" spans="1:49">
      <c r="A139" s="12" t="s">
        <v>868</v>
      </c>
      <c r="B139" s="12"/>
      <c r="C139" s="12" t="s">
        <v>466</v>
      </c>
      <c r="D139" s="12"/>
      <c r="E139" s="29"/>
      <c r="G139" s="7">
        <f t="shared" si="24"/>
        <v>4700469</v>
      </c>
      <c r="I139" s="7">
        <f>9451107+98680</f>
        <v>9549787</v>
      </c>
      <c r="K139" s="7">
        <v>14250256</v>
      </c>
      <c r="M139" s="7">
        <f t="shared" si="23"/>
        <v>3196578</v>
      </c>
      <c r="O139" s="7">
        <v>195957</v>
      </c>
      <c r="Q139" s="7">
        <v>1308910</v>
      </c>
      <c r="S139" s="7">
        <v>4701445</v>
      </c>
      <c r="U139" s="7">
        <v>8569277</v>
      </c>
      <c r="W139" s="7">
        <f t="shared" si="25"/>
        <v>669052</v>
      </c>
      <c r="Y139" s="7">
        <v>310482</v>
      </c>
      <c r="AA139" s="7">
        <v>9548811</v>
      </c>
      <c r="AB139" s="7">
        <f>+K139-S139-AA139</f>
        <v>0</v>
      </c>
      <c r="AD139" s="32">
        <f t="shared" si="27"/>
        <v>0</v>
      </c>
      <c r="AF139" s="32"/>
      <c r="AH139" s="32" t="str">
        <f>'St of Activites - GA Rev'!A139</f>
        <v>Crooksville Exempted Village SD</v>
      </c>
      <c r="AI139" s="32" t="str">
        <f t="shared" si="22"/>
        <v>Crooksville Exempted Village SD</v>
      </c>
      <c r="AJ139" s="32" t="b">
        <f t="shared" ref="AJ139:AJ202" si="28">AH139=AI139</f>
        <v>1</v>
      </c>
      <c r="AL139" s="32" t="str">
        <f>'St of Activities - GA Exp'!A139</f>
        <v>Crooksville Exempted Village SD</v>
      </c>
      <c r="AN139" s="32" t="b">
        <f t="shared" si="18"/>
        <v>1</v>
      </c>
      <c r="AR139" s="32" t="str">
        <f t="shared" si="19"/>
        <v>Perry</v>
      </c>
      <c r="AS139" s="32" t="str">
        <f>'St of Activites - GA Rev'!C139</f>
        <v>Perry</v>
      </c>
      <c r="AT139" s="32" t="b">
        <f t="shared" ref="AT139:AT202" si="29">AR139=AS139</f>
        <v>1</v>
      </c>
      <c r="AU139" s="32" t="str">
        <f>'St of Activities - GA Exp'!C139</f>
        <v>Perry</v>
      </c>
      <c r="AV139" s="56"/>
      <c r="AW139" s="32" t="b">
        <f t="shared" si="20"/>
        <v>1</v>
      </c>
    </row>
    <row r="140" spans="1:49">
      <c r="A140" s="12" t="s">
        <v>687</v>
      </c>
      <c r="B140" s="12"/>
      <c r="C140" s="12" t="s">
        <v>63</v>
      </c>
      <c r="D140" s="12"/>
      <c r="E140" s="29">
        <v>43836</v>
      </c>
      <c r="G140" s="7">
        <f t="shared" si="24"/>
        <v>36597456</v>
      </c>
      <c r="I140" s="7">
        <v>9276840</v>
      </c>
      <c r="K140" s="7">
        <v>45874296</v>
      </c>
      <c r="M140" s="7">
        <f t="shared" si="23"/>
        <v>29377892</v>
      </c>
      <c r="O140" s="7">
        <v>879609</v>
      </c>
      <c r="Q140" s="7">
        <v>5837950</v>
      </c>
      <c r="S140" s="7">
        <v>36095451</v>
      </c>
      <c r="U140" s="7">
        <v>5005562</v>
      </c>
      <c r="W140" s="7">
        <f t="shared" si="25"/>
        <v>1819007</v>
      </c>
      <c r="Y140" s="7">
        <v>2954276</v>
      </c>
      <c r="AA140" s="7">
        <v>9778845</v>
      </c>
      <c r="AB140" s="7">
        <f t="shared" si="26"/>
        <v>0</v>
      </c>
      <c r="AD140" s="32">
        <f t="shared" si="27"/>
        <v>0</v>
      </c>
      <c r="AF140" s="32"/>
      <c r="AH140" s="32" t="str">
        <f>'St of Activites - GA Rev'!A140</f>
        <v xml:space="preserve">Cuyahoga Falls City SD </v>
      </c>
      <c r="AI140" s="32" t="str">
        <f t="shared" si="22"/>
        <v xml:space="preserve">Cuyahoga Falls City SD </v>
      </c>
      <c r="AJ140" s="32" t="b">
        <f t="shared" si="28"/>
        <v>1</v>
      </c>
      <c r="AL140" s="32" t="str">
        <f>'St of Activities - GA Exp'!A140</f>
        <v xml:space="preserve">Cuyahoga Falls City SD </v>
      </c>
      <c r="AN140" s="32" t="b">
        <f t="shared" ref="AN140:AN203" si="30">AH140=AL140</f>
        <v>1</v>
      </c>
      <c r="AR140" s="32" t="str">
        <f t="shared" ref="AR140:AR203" si="31">C140</f>
        <v>Summit</v>
      </c>
      <c r="AS140" s="32" t="str">
        <f>'St of Activites - GA Rev'!C140</f>
        <v>Summit</v>
      </c>
      <c r="AT140" s="32" t="b">
        <f t="shared" si="29"/>
        <v>1</v>
      </c>
      <c r="AU140" s="32" t="str">
        <f>'St of Activities - GA Exp'!C140</f>
        <v>Summit</v>
      </c>
      <c r="AV140" s="56"/>
      <c r="AW140" s="32" t="b">
        <f t="shared" ref="AW140:AW203" si="32">AU140=AS140</f>
        <v>1</v>
      </c>
    </row>
    <row r="141" spans="1:49">
      <c r="A141" s="12" t="s">
        <v>759</v>
      </c>
      <c r="B141" s="12"/>
      <c r="C141" s="12" t="s">
        <v>20</v>
      </c>
      <c r="D141" s="12"/>
      <c r="E141" s="29">
        <v>46557</v>
      </c>
      <c r="G141" s="7">
        <f t="shared" si="24"/>
        <v>12051817</v>
      </c>
      <c r="I141" s="7">
        <f>798600+5451118</f>
        <v>6249718</v>
      </c>
      <c r="K141" s="7">
        <v>18301535</v>
      </c>
      <c r="M141" s="7">
        <f t="shared" si="23"/>
        <v>8618365</v>
      </c>
      <c r="O141" s="7">
        <v>796068</v>
      </c>
      <c r="Q141" s="7">
        <v>2869960</v>
      </c>
      <c r="S141" s="7">
        <v>12284393</v>
      </c>
      <c r="U141" s="7">
        <v>3992576</v>
      </c>
      <c r="W141" s="7">
        <f t="shared" si="25"/>
        <v>1235320</v>
      </c>
      <c r="Y141" s="7">
        <v>789246</v>
      </c>
      <c r="AA141" s="7">
        <v>6017142</v>
      </c>
      <c r="AB141" s="7">
        <f t="shared" si="26"/>
        <v>0</v>
      </c>
      <c r="AD141" s="32">
        <f t="shared" si="27"/>
        <v>0</v>
      </c>
      <c r="AF141" s="32"/>
      <c r="AH141" s="32" t="str">
        <f>'St of Activites - GA Rev'!A141</f>
        <v xml:space="preserve">Cuyahoga Heights Local SD </v>
      </c>
      <c r="AI141" s="32" t="str">
        <f t="shared" ref="AI141:AI201" si="33">A141</f>
        <v xml:space="preserve">Cuyahoga Heights Local SD </v>
      </c>
      <c r="AJ141" s="32" t="b">
        <f t="shared" si="28"/>
        <v>1</v>
      </c>
      <c r="AL141" s="32" t="str">
        <f>'St of Activities - GA Exp'!A141</f>
        <v xml:space="preserve">Cuyahoga Heights Local SD </v>
      </c>
      <c r="AN141" s="32" t="b">
        <f t="shared" si="30"/>
        <v>1</v>
      </c>
      <c r="AR141" s="32" t="str">
        <f t="shared" si="31"/>
        <v>Cuyahoga</v>
      </c>
      <c r="AS141" s="32" t="str">
        <f>'St of Activites - GA Rev'!C141</f>
        <v>Cuyahoga</v>
      </c>
      <c r="AT141" s="32" t="b">
        <f t="shared" si="29"/>
        <v>1</v>
      </c>
      <c r="AU141" s="32" t="str">
        <f>'St of Activities - GA Exp'!C141</f>
        <v>Cuyahoga</v>
      </c>
      <c r="AV141" s="56"/>
      <c r="AW141" s="32" t="b">
        <f t="shared" si="32"/>
        <v>1</v>
      </c>
    </row>
    <row r="142" spans="1:49">
      <c r="A142" s="12" t="s">
        <v>635</v>
      </c>
      <c r="B142" s="12"/>
      <c r="C142" s="12" t="s">
        <v>71</v>
      </c>
      <c r="D142" s="12"/>
      <c r="E142" s="29">
        <v>48934</v>
      </c>
      <c r="G142" s="7">
        <f t="shared" ref="G142:G149" si="34">+K142-I142</f>
        <v>4048699</v>
      </c>
      <c r="I142" s="7">
        <v>2789839</v>
      </c>
      <c r="K142" s="7">
        <v>6838538</v>
      </c>
      <c r="M142" s="7">
        <f t="shared" si="23"/>
        <v>3319946</v>
      </c>
      <c r="O142" s="7">
        <v>98837</v>
      </c>
      <c r="Q142" s="7">
        <f>774836-98837</f>
        <v>675999</v>
      </c>
      <c r="S142" s="7">
        <v>4094782</v>
      </c>
      <c r="U142" s="7">
        <v>2766409</v>
      </c>
      <c r="W142" s="7">
        <f t="shared" si="25"/>
        <v>492392</v>
      </c>
      <c r="Y142" s="7">
        <v>-515045</v>
      </c>
      <c r="AA142" s="7">
        <v>2743756</v>
      </c>
      <c r="AB142" s="7">
        <f>+K142-S142-AA142</f>
        <v>0</v>
      </c>
      <c r="AD142" s="32">
        <f>+G142+I142+-M142-O142-U142-W142-Y142-Q142</f>
        <v>0</v>
      </c>
      <c r="AF142" s="32"/>
      <c r="AH142" s="32" t="str">
        <f>'St of Activites - GA Rev'!A142</f>
        <v>Dalton Local SD</v>
      </c>
      <c r="AI142" s="32" t="str">
        <f t="shared" si="33"/>
        <v>Dalton Local SD</v>
      </c>
      <c r="AJ142" s="32" t="b">
        <f t="shared" si="28"/>
        <v>1</v>
      </c>
      <c r="AL142" s="32" t="str">
        <f>'St of Activities - GA Exp'!A142</f>
        <v>Dalton Local SD</v>
      </c>
      <c r="AN142" s="32" t="b">
        <f t="shared" si="30"/>
        <v>1</v>
      </c>
      <c r="AR142" s="32" t="str">
        <f t="shared" si="31"/>
        <v>Wayne</v>
      </c>
      <c r="AS142" s="32" t="str">
        <f>'St of Activites - GA Rev'!C142</f>
        <v>Wayne</v>
      </c>
      <c r="AT142" s="32" t="b">
        <f t="shared" si="29"/>
        <v>1</v>
      </c>
      <c r="AU142" s="32" t="str">
        <f>'St of Activities - GA Exp'!C142</f>
        <v>Wayne</v>
      </c>
      <c r="AV142" s="56"/>
      <c r="AW142" s="32" t="b">
        <f t="shared" si="32"/>
        <v>1</v>
      </c>
    </row>
    <row r="143" spans="1:49" s="65" customFormat="1" hidden="1">
      <c r="A143" s="62" t="s">
        <v>838</v>
      </c>
      <c r="B143" s="63"/>
      <c r="C143" s="63" t="s">
        <v>53</v>
      </c>
      <c r="D143" s="63"/>
      <c r="E143" s="64">
        <v>48934</v>
      </c>
      <c r="G143" s="66">
        <f t="shared" si="34"/>
        <v>0</v>
      </c>
      <c r="H143" s="66"/>
      <c r="I143" s="66"/>
      <c r="J143" s="66"/>
      <c r="K143" s="66"/>
      <c r="L143" s="66"/>
      <c r="M143" s="65">
        <f t="shared" ref="M143:M206" si="35">+S143-O143-Q143</f>
        <v>0</v>
      </c>
      <c r="N143" s="66"/>
      <c r="O143" s="66"/>
      <c r="P143" s="66"/>
      <c r="Q143" s="66"/>
      <c r="R143" s="66"/>
      <c r="S143" s="66"/>
      <c r="T143" s="66"/>
      <c r="U143" s="66"/>
      <c r="V143" s="66"/>
      <c r="W143" s="66">
        <f t="shared" si="25"/>
        <v>0</v>
      </c>
      <c r="X143" s="66"/>
      <c r="Y143" s="66"/>
      <c r="Z143" s="66"/>
      <c r="AA143" s="66"/>
      <c r="AB143" s="65">
        <f>+K143-S143-AA143</f>
        <v>0</v>
      </c>
      <c r="AD143" s="66">
        <f t="shared" si="27"/>
        <v>0</v>
      </c>
      <c r="AE143" s="65" t="s">
        <v>837</v>
      </c>
      <c r="AF143" s="66"/>
      <c r="AH143" s="66" t="str">
        <f>'St of Activites - GA Rev'!A143</f>
        <v>Danbury Local SD (CASH)</v>
      </c>
      <c r="AI143" s="66" t="str">
        <f t="shared" si="33"/>
        <v>Danbury Local SD (CASH)</v>
      </c>
      <c r="AJ143" s="66" t="b">
        <f t="shared" si="28"/>
        <v>1</v>
      </c>
      <c r="AL143" s="66" t="str">
        <f>'St of Activities - GA Exp'!A143</f>
        <v>Danbury Local SD (CASH)</v>
      </c>
      <c r="AN143" s="66" t="b">
        <f t="shared" si="30"/>
        <v>1</v>
      </c>
      <c r="AR143" s="66" t="str">
        <f t="shared" si="31"/>
        <v>Ottawa</v>
      </c>
      <c r="AS143" s="66" t="str">
        <f>'St of Activites - GA Rev'!C143</f>
        <v>Ottawa</v>
      </c>
      <c r="AT143" s="66" t="b">
        <f t="shared" si="29"/>
        <v>1</v>
      </c>
      <c r="AU143" s="66" t="str">
        <f>'St of Activities - GA Exp'!C143</f>
        <v>Ottawa</v>
      </c>
      <c r="AV143" s="86"/>
      <c r="AW143" s="66" t="b">
        <f t="shared" si="32"/>
        <v>1</v>
      </c>
    </row>
    <row r="144" spans="1:49" s="65" customFormat="1" hidden="1">
      <c r="A144" s="63" t="s">
        <v>688</v>
      </c>
      <c r="B144" s="63"/>
      <c r="C144" s="63" t="s">
        <v>40</v>
      </c>
      <c r="D144" s="63"/>
      <c r="E144" s="64">
        <v>47837</v>
      </c>
      <c r="G144" s="65">
        <f t="shared" si="34"/>
        <v>0</v>
      </c>
      <c r="M144" s="65">
        <f t="shared" si="35"/>
        <v>0</v>
      </c>
      <c r="W144" s="65">
        <f t="shared" si="25"/>
        <v>0</v>
      </c>
      <c r="AB144" s="65">
        <f t="shared" si="26"/>
        <v>0</v>
      </c>
      <c r="AD144" s="66">
        <f t="shared" si="27"/>
        <v>0</v>
      </c>
      <c r="AE144" s="65" t="s">
        <v>839</v>
      </c>
      <c r="AF144" s="66"/>
      <c r="AH144" s="66" t="str">
        <f>'St of Activites - GA Rev'!A144</f>
        <v>Danville Local SD (CASH)</v>
      </c>
      <c r="AI144" s="66" t="str">
        <f t="shared" si="33"/>
        <v>Danville Local SD (CASH)</v>
      </c>
      <c r="AJ144" s="66" t="b">
        <f t="shared" si="28"/>
        <v>1</v>
      </c>
      <c r="AL144" s="66" t="str">
        <f>'St of Activities - GA Exp'!A144</f>
        <v>Danville Local SD (CASH)</v>
      </c>
      <c r="AN144" s="66" t="b">
        <f t="shared" si="30"/>
        <v>1</v>
      </c>
      <c r="AR144" s="66" t="str">
        <f t="shared" si="31"/>
        <v>Knox</v>
      </c>
      <c r="AS144" s="66" t="str">
        <f>'St of Activites - GA Rev'!C144</f>
        <v>Knox</v>
      </c>
      <c r="AT144" s="66" t="b">
        <f t="shared" si="29"/>
        <v>1</v>
      </c>
      <c r="AU144" s="66" t="str">
        <f>'St of Activities - GA Exp'!C144</f>
        <v>Knox</v>
      </c>
      <c r="AV144" s="86"/>
      <c r="AW144" s="66" t="b">
        <f t="shared" si="32"/>
        <v>1</v>
      </c>
    </row>
    <row r="145" spans="1:49">
      <c r="A145" s="12" t="s">
        <v>378</v>
      </c>
      <c r="B145" s="12"/>
      <c r="C145" s="12" t="s">
        <v>377</v>
      </c>
      <c r="D145" s="12"/>
      <c r="E145" s="29">
        <v>47928</v>
      </c>
      <c r="F145" s="32"/>
      <c r="G145" s="7">
        <f t="shared" si="34"/>
        <v>9205462</v>
      </c>
      <c r="I145" s="7">
        <v>30488064</v>
      </c>
      <c r="K145" s="7">
        <v>39693526</v>
      </c>
      <c r="M145" s="7">
        <f t="shared" si="35"/>
        <v>3087825</v>
      </c>
      <c r="O145" s="7">
        <v>252467</v>
      </c>
      <c r="Q145" s="7">
        <f>3152273-252467</f>
        <v>2899806</v>
      </c>
      <c r="S145" s="7">
        <v>6240098</v>
      </c>
      <c r="U145" s="7">
        <v>28643681</v>
      </c>
      <c r="W145" s="7">
        <f t="shared" si="25"/>
        <v>2027255</v>
      </c>
      <c r="Y145" s="7">
        <v>2782492</v>
      </c>
      <c r="AA145" s="7">
        <v>33453428</v>
      </c>
      <c r="AB145" s="7">
        <f t="shared" si="26"/>
        <v>0</v>
      </c>
      <c r="AD145" s="32">
        <f t="shared" si="27"/>
        <v>0</v>
      </c>
      <c r="AF145" s="32"/>
      <c r="AH145" s="32" t="str">
        <f>'St of Activites - GA Rev'!A145</f>
        <v>Dawson-Bryant Local SD</v>
      </c>
      <c r="AI145" s="32" t="str">
        <f t="shared" si="33"/>
        <v>Dawson-Bryant Local SD</v>
      </c>
      <c r="AJ145" s="32" t="b">
        <f t="shared" si="28"/>
        <v>1</v>
      </c>
      <c r="AL145" s="32" t="str">
        <f>'St of Activities - GA Exp'!A145</f>
        <v>Dawson-Bryant Local SD</v>
      </c>
      <c r="AN145" s="32" t="b">
        <f t="shared" si="30"/>
        <v>1</v>
      </c>
      <c r="AR145" s="32" t="str">
        <f t="shared" si="31"/>
        <v>Lawrence</v>
      </c>
      <c r="AS145" s="32" t="str">
        <f>'St of Activites - GA Rev'!C145</f>
        <v>Lawrence</v>
      </c>
      <c r="AT145" s="32" t="b">
        <f t="shared" si="29"/>
        <v>1</v>
      </c>
      <c r="AU145" s="32" t="str">
        <f>'St of Activities - GA Exp'!C145</f>
        <v>Lawrence</v>
      </c>
      <c r="AV145" s="56"/>
      <c r="AW145" s="32" t="b">
        <f t="shared" si="32"/>
        <v>1</v>
      </c>
    </row>
    <row r="146" spans="1:49">
      <c r="A146" s="12" t="s">
        <v>442</v>
      </c>
      <c r="B146" s="12"/>
      <c r="C146" s="12" t="s">
        <v>50</v>
      </c>
      <c r="D146" s="12"/>
      <c r="E146" s="29">
        <v>43844</v>
      </c>
      <c r="G146" s="7">
        <f t="shared" si="34"/>
        <v>262378221</v>
      </c>
      <c r="I146" s="7">
        <f>116148939+369048894</f>
        <v>485197833</v>
      </c>
      <c r="K146" s="7">
        <v>747576054</v>
      </c>
      <c r="M146" s="7">
        <f t="shared" si="35"/>
        <v>87222008</v>
      </c>
      <c r="O146" s="7">
        <v>11685982</v>
      </c>
      <c r="Q146" s="7">
        <f>266300893-11685982</f>
        <v>254614911</v>
      </c>
      <c r="S146" s="7">
        <v>353522901</v>
      </c>
      <c r="U146" s="7">
        <v>239262065</v>
      </c>
      <c r="W146" s="7">
        <f t="shared" si="25"/>
        <v>106882904</v>
      </c>
      <c r="Y146" s="7">
        <v>47908184</v>
      </c>
      <c r="AA146" s="7">
        <v>394053153</v>
      </c>
      <c r="AB146" s="7">
        <f t="shared" si="26"/>
        <v>0</v>
      </c>
      <c r="AD146" s="32">
        <f t="shared" si="27"/>
        <v>0</v>
      </c>
      <c r="AE146" s="9" t="s">
        <v>844</v>
      </c>
      <c r="AF146" s="32"/>
      <c r="AH146" s="32" t="str">
        <f>'St of Activites - GA Rev'!A146</f>
        <v>Dayton City SD</v>
      </c>
      <c r="AI146" s="32" t="str">
        <f t="shared" si="33"/>
        <v>Dayton City SD</v>
      </c>
      <c r="AJ146" s="32" t="b">
        <f t="shared" si="28"/>
        <v>1</v>
      </c>
      <c r="AL146" s="32" t="str">
        <f>'St of Activities - GA Exp'!A146</f>
        <v>Dayton City SD</v>
      </c>
      <c r="AN146" s="32" t="b">
        <f t="shared" si="30"/>
        <v>1</v>
      </c>
      <c r="AR146" s="32" t="str">
        <f t="shared" si="31"/>
        <v>Montgomery</v>
      </c>
      <c r="AS146" s="32" t="str">
        <f>'St of Activites - GA Rev'!C146</f>
        <v>Montgomery</v>
      </c>
      <c r="AT146" s="32" t="b">
        <f t="shared" si="29"/>
        <v>1</v>
      </c>
      <c r="AU146" s="32" t="str">
        <f>'St of Activities - GA Exp'!C146</f>
        <v>Montgomery</v>
      </c>
      <c r="AV146" s="56"/>
      <c r="AW146" s="32" t="b">
        <f t="shared" si="32"/>
        <v>1</v>
      </c>
    </row>
    <row r="147" spans="1:49" ht="12.75" customHeight="1">
      <c r="A147" s="12" t="s">
        <v>689</v>
      </c>
      <c r="B147" s="12"/>
      <c r="C147" s="12" t="s">
        <v>32</v>
      </c>
      <c r="D147" s="12"/>
      <c r="E147" s="29">
        <v>43851</v>
      </c>
      <c r="G147" s="7">
        <f t="shared" si="34"/>
        <v>16124712</v>
      </c>
      <c r="I147" s="7">
        <v>3290051</v>
      </c>
      <c r="K147" s="7">
        <v>19414763</v>
      </c>
      <c r="M147" s="7">
        <f t="shared" si="35"/>
        <v>6950175</v>
      </c>
      <c r="O147" s="7">
        <v>462540</v>
      </c>
      <c r="Q147" s="7">
        <f>1375024-462540</f>
        <v>912484</v>
      </c>
      <c r="S147" s="7">
        <v>8325199</v>
      </c>
      <c r="U147" s="7">
        <v>2876344</v>
      </c>
      <c r="W147" s="7">
        <f>AA147-Y147-U147</f>
        <v>1113970</v>
      </c>
      <c r="Y147" s="7">
        <v>7099250</v>
      </c>
      <c r="AA147" s="7">
        <v>11089564</v>
      </c>
      <c r="AB147" s="7">
        <f t="shared" si="26"/>
        <v>0</v>
      </c>
      <c r="AD147" s="32">
        <f t="shared" si="27"/>
        <v>0</v>
      </c>
      <c r="AF147" s="32"/>
      <c r="AH147" s="32" t="str">
        <f>'St of Activites - GA Rev'!A147</f>
        <v>Deer Park City SD</v>
      </c>
      <c r="AI147" s="32" t="str">
        <f t="shared" si="33"/>
        <v>Deer Park City SD</v>
      </c>
      <c r="AJ147" s="32" t="b">
        <f t="shared" si="28"/>
        <v>1</v>
      </c>
      <c r="AL147" s="32" t="str">
        <f>'St of Activities - GA Exp'!A147</f>
        <v>Deer Park City SD</v>
      </c>
      <c r="AN147" s="32" t="b">
        <f t="shared" si="30"/>
        <v>1</v>
      </c>
      <c r="AR147" s="32" t="str">
        <f t="shared" si="31"/>
        <v>Hamilton</v>
      </c>
      <c r="AS147" s="32" t="str">
        <f>'St of Activites - GA Rev'!C147</f>
        <v>Hamilton</v>
      </c>
      <c r="AT147" s="32" t="b">
        <f t="shared" si="29"/>
        <v>1</v>
      </c>
      <c r="AU147" s="32" t="str">
        <f>'St of Activities - GA Exp'!C147</f>
        <v>Hamilton</v>
      </c>
      <c r="AV147" s="56"/>
      <c r="AW147" s="32" t="b">
        <f t="shared" si="32"/>
        <v>1</v>
      </c>
    </row>
    <row r="148" spans="1:49" s="65" customFormat="1" hidden="1">
      <c r="A148" s="63" t="s">
        <v>690</v>
      </c>
      <c r="B148" s="63"/>
      <c r="C148" s="63" t="s">
        <v>22</v>
      </c>
      <c r="D148" s="63"/>
      <c r="E148" s="64">
        <v>43869</v>
      </c>
      <c r="G148" s="65">
        <f t="shared" si="34"/>
        <v>0</v>
      </c>
      <c r="M148" s="65">
        <f t="shared" si="35"/>
        <v>0</v>
      </c>
      <c r="W148" s="65">
        <f>AA148-Y148-U148</f>
        <v>0</v>
      </c>
      <c r="AB148" s="65">
        <f t="shared" si="26"/>
        <v>0</v>
      </c>
      <c r="AD148" s="66">
        <f t="shared" ref="AD148:AD217" si="36">+G148+I148+-M148-O148-U148-W148-Y148-Q148</f>
        <v>0</v>
      </c>
      <c r="AE148" s="65" t="s">
        <v>839</v>
      </c>
      <c r="AF148" s="66"/>
      <c r="AH148" s="66" t="str">
        <f>'St of Activites - GA Rev'!A148</f>
        <v>Defiance City SD (CASH)</v>
      </c>
      <c r="AI148" s="66" t="str">
        <f t="shared" si="33"/>
        <v>Defiance City SD (CASH)</v>
      </c>
      <c r="AJ148" s="66" t="b">
        <f t="shared" si="28"/>
        <v>1</v>
      </c>
      <c r="AL148" s="66" t="str">
        <f>'St of Activities - GA Exp'!A148</f>
        <v>Defiance City SD (CASH)</v>
      </c>
      <c r="AN148" s="66" t="b">
        <f t="shared" si="30"/>
        <v>1</v>
      </c>
      <c r="AR148" s="66" t="str">
        <f t="shared" si="31"/>
        <v>Defiance</v>
      </c>
      <c r="AS148" s="66" t="str">
        <f>'St of Activites - GA Rev'!C148</f>
        <v>Defiance</v>
      </c>
      <c r="AT148" s="66" t="b">
        <f t="shared" si="29"/>
        <v>1</v>
      </c>
      <c r="AU148" s="66" t="str">
        <f>'St of Activities - GA Exp'!C148</f>
        <v>Defiance</v>
      </c>
      <c r="AV148" s="86"/>
      <c r="AW148" s="66" t="b">
        <f t="shared" si="32"/>
        <v>1</v>
      </c>
    </row>
    <row r="149" spans="1:49">
      <c r="A149" s="12" t="s">
        <v>840</v>
      </c>
      <c r="B149" s="12"/>
      <c r="C149" s="12" t="s">
        <v>23</v>
      </c>
      <c r="D149" s="12"/>
      <c r="E149" s="29"/>
      <c r="G149" s="7">
        <f t="shared" si="34"/>
        <v>39414418</v>
      </c>
      <c r="I149" s="7">
        <v>37051192</v>
      </c>
      <c r="K149" s="7">
        <v>76465610</v>
      </c>
      <c r="M149" s="7">
        <f t="shared" si="35"/>
        <v>30617413</v>
      </c>
      <c r="O149" s="7">
        <v>2682197</v>
      </c>
      <c r="Q149" s="7">
        <f>32826200-2682197</f>
        <v>30144003</v>
      </c>
      <c r="S149" s="7">
        <v>63443613</v>
      </c>
      <c r="U149" s="7">
        <v>8255663</v>
      </c>
      <c r="W149" s="7">
        <f>AA149-Y149-U149</f>
        <v>3316649</v>
      </c>
      <c r="Y149" s="7">
        <v>1449685</v>
      </c>
      <c r="AA149" s="7">
        <v>13021997</v>
      </c>
      <c r="AB149" s="7">
        <f t="shared" si="26"/>
        <v>0</v>
      </c>
      <c r="AD149" s="32">
        <f t="shared" si="36"/>
        <v>0</v>
      </c>
      <c r="AF149" s="32"/>
      <c r="AH149" s="32" t="str">
        <f>'St of Activites - GA Rev'!A149</f>
        <v>Delaware City SD</v>
      </c>
      <c r="AI149" s="32" t="str">
        <f t="shared" si="33"/>
        <v>Delaware City SD</v>
      </c>
      <c r="AJ149" s="32" t="b">
        <f t="shared" si="28"/>
        <v>1</v>
      </c>
      <c r="AL149" s="32" t="str">
        <f>'St of Activities - GA Exp'!A149</f>
        <v>Delaware City SD</v>
      </c>
      <c r="AN149" s="32" t="b">
        <f t="shared" si="30"/>
        <v>1</v>
      </c>
      <c r="AR149" s="32" t="str">
        <f t="shared" si="31"/>
        <v>Delaware</v>
      </c>
      <c r="AS149" s="32" t="str">
        <f>'St of Activites - GA Rev'!C149</f>
        <v>Delaware</v>
      </c>
      <c r="AT149" s="32" t="b">
        <f t="shared" si="29"/>
        <v>1</v>
      </c>
      <c r="AU149" s="32" t="str">
        <f>'St of Activities - GA Exp'!C149</f>
        <v>Delaware</v>
      </c>
      <c r="AV149" s="56"/>
      <c r="AW149" s="32" t="b">
        <f t="shared" si="32"/>
        <v>1</v>
      </c>
    </row>
    <row r="150" spans="1:49">
      <c r="A150" s="12" t="s">
        <v>202</v>
      </c>
      <c r="B150" s="12"/>
      <c r="C150" s="12" t="s">
        <v>10</v>
      </c>
      <c r="D150" s="12"/>
      <c r="E150" s="29">
        <v>43885</v>
      </c>
      <c r="F150" s="10"/>
      <c r="G150" s="7">
        <f t="shared" ref="G150:G213" si="37">+K150-I150</f>
        <v>5587766</v>
      </c>
      <c r="I150" s="7">
        <v>4105121</v>
      </c>
      <c r="K150" s="7">
        <v>9692887</v>
      </c>
      <c r="M150" s="7">
        <f t="shared" si="35"/>
        <v>5003692</v>
      </c>
      <c r="O150" s="7">
        <v>14412</v>
      </c>
      <c r="Q150" s="7">
        <f>515257-14412</f>
        <v>500845</v>
      </c>
      <c r="S150" s="7">
        <v>5518949</v>
      </c>
      <c r="U150" s="7">
        <v>4105121</v>
      </c>
      <c r="W150" s="7">
        <f t="shared" ref="W150:W220" si="38">AA150-Y150-U150</f>
        <v>935571</v>
      </c>
      <c r="Y150" s="7">
        <v>-866754</v>
      </c>
      <c r="AA150" s="7">
        <v>4173938</v>
      </c>
      <c r="AB150" s="7">
        <f t="shared" ref="AB150:AB219" si="39">+K150-S150-AA150</f>
        <v>0</v>
      </c>
      <c r="AD150" s="7">
        <f t="shared" si="36"/>
        <v>0</v>
      </c>
      <c r="AH150" s="32" t="str">
        <f>'St of Activites - GA Rev'!A150</f>
        <v>Delphos City SD</v>
      </c>
      <c r="AI150" s="32" t="str">
        <f t="shared" si="33"/>
        <v>Delphos City SD</v>
      </c>
      <c r="AJ150" s="32" t="b">
        <f t="shared" si="28"/>
        <v>1</v>
      </c>
      <c r="AL150" s="32" t="str">
        <f>'St of Activities - GA Exp'!A150</f>
        <v>Delphos City SD</v>
      </c>
      <c r="AN150" s="32" t="b">
        <f t="shared" si="30"/>
        <v>1</v>
      </c>
      <c r="AR150" s="32" t="str">
        <f t="shared" si="31"/>
        <v>Allen</v>
      </c>
      <c r="AS150" s="32" t="str">
        <f>'St of Activites - GA Rev'!C150</f>
        <v>Allen</v>
      </c>
      <c r="AT150" s="32" t="b">
        <f t="shared" si="29"/>
        <v>1</v>
      </c>
      <c r="AU150" s="32" t="str">
        <f>'St of Activities - GA Exp'!C150</f>
        <v>Allen</v>
      </c>
      <c r="AV150" s="56"/>
      <c r="AW150" s="32" t="b">
        <f t="shared" si="32"/>
        <v>1</v>
      </c>
    </row>
    <row r="151" spans="1:49">
      <c r="A151" s="12" t="s">
        <v>550</v>
      </c>
      <c r="B151" s="12"/>
      <c r="C151" s="12" t="s">
        <v>65</v>
      </c>
      <c r="D151" s="12"/>
      <c r="E151" s="29">
        <v>43893</v>
      </c>
      <c r="G151" s="7">
        <f t="shared" si="37"/>
        <v>22540840</v>
      </c>
      <c r="I151" s="7">
        <v>8876698</v>
      </c>
      <c r="K151" s="7">
        <v>31417538</v>
      </c>
      <c r="M151" s="7">
        <f t="shared" si="35"/>
        <v>13425050</v>
      </c>
      <c r="O151" s="7">
        <v>737341</v>
      </c>
      <c r="Q151" s="7">
        <f>5502087-737341</f>
        <v>4764746</v>
      </c>
      <c r="S151" s="7">
        <v>18927137</v>
      </c>
      <c r="U151" s="7">
        <v>5695093</v>
      </c>
      <c r="W151" s="7">
        <f t="shared" si="38"/>
        <v>1813353</v>
      </c>
      <c r="Y151" s="7">
        <v>4981955</v>
      </c>
      <c r="AA151" s="7">
        <v>12490401</v>
      </c>
      <c r="AB151" s="7">
        <f t="shared" si="39"/>
        <v>0</v>
      </c>
      <c r="AD151" s="32">
        <f t="shared" si="36"/>
        <v>0</v>
      </c>
      <c r="AF151" s="32"/>
      <c r="AH151" s="32" t="str">
        <f>'St of Activites - GA Rev'!A151</f>
        <v>Dover City SD</v>
      </c>
      <c r="AI151" s="32" t="str">
        <f t="shared" si="33"/>
        <v>Dover City SD</v>
      </c>
      <c r="AJ151" s="32" t="b">
        <f t="shared" si="28"/>
        <v>1</v>
      </c>
      <c r="AL151" s="32" t="str">
        <f>'St of Activities - GA Exp'!A151</f>
        <v>Dover City SD</v>
      </c>
      <c r="AN151" s="32" t="b">
        <f t="shared" si="30"/>
        <v>1</v>
      </c>
      <c r="AR151" s="32" t="str">
        <f t="shared" si="31"/>
        <v>Tuscarawas</v>
      </c>
      <c r="AS151" s="32" t="str">
        <f>'St of Activites - GA Rev'!C151</f>
        <v>Tuscarawas</v>
      </c>
      <c r="AT151" s="32" t="b">
        <f t="shared" si="29"/>
        <v>1</v>
      </c>
      <c r="AU151" s="32" t="str">
        <f>'St of Activities - GA Exp'!C151</f>
        <v>Tuscarawas</v>
      </c>
      <c r="AV151" s="56"/>
      <c r="AW151" s="32" t="b">
        <f t="shared" si="32"/>
        <v>1</v>
      </c>
    </row>
    <row r="152" spans="1:49">
      <c r="A152" s="12" t="s">
        <v>308</v>
      </c>
      <c r="B152" s="12"/>
      <c r="C152" s="12" t="s">
        <v>27</v>
      </c>
      <c r="D152" s="12"/>
      <c r="E152" s="29">
        <v>47027</v>
      </c>
      <c r="G152" s="7">
        <f t="shared" si="37"/>
        <v>311994144</v>
      </c>
      <c r="I152" s="7">
        <v>180385000</v>
      </c>
      <c r="K152" s="7">
        <v>492379144</v>
      </c>
      <c r="M152" s="7">
        <f t="shared" si="35"/>
        <v>196944355</v>
      </c>
      <c r="O152" s="7">
        <v>23753182</v>
      </c>
      <c r="Q152" s="7">
        <f>223796594+77489-23753182</f>
        <v>200120901</v>
      </c>
      <c r="S152" s="7">
        <v>420818438</v>
      </c>
      <c r="U152" s="7">
        <v>4871170</v>
      </c>
      <c r="W152" s="7">
        <f t="shared" si="38"/>
        <v>63370826</v>
      </c>
      <c r="Y152" s="7">
        <v>3318710</v>
      </c>
      <c r="AA152" s="7">
        <v>71560706</v>
      </c>
      <c r="AB152" s="7">
        <f t="shared" si="39"/>
        <v>0</v>
      </c>
      <c r="AD152" s="32">
        <f t="shared" si="36"/>
        <v>0</v>
      </c>
      <c r="AF152" s="32"/>
      <c r="AH152" s="32" t="str">
        <f>'St of Activites - GA Rev'!A152</f>
        <v>Dublin City SD</v>
      </c>
      <c r="AI152" s="32" t="str">
        <f t="shared" si="33"/>
        <v>Dublin City SD</v>
      </c>
      <c r="AJ152" s="32" t="b">
        <f t="shared" si="28"/>
        <v>1</v>
      </c>
      <c r="AL152" s="32" t="str">
        <f>'St of Activities - GA Exp'!A152</f>
        <v>Dublin City SD</v>
      </c>
      <c r="AN152" s="32" t="b">
        <f t="shared" si="30"/>
        <v>1</v>
      </c>
      <c r="AR152" s="32" t="str">
        <f t="shared" si="31"/>
        <v>Franklin</v>
      </c>
      <c r="AS152" s="32" t="str">
        <f>'St of Activites - GA Rev'!C152</f>
        <v>Franklin</v>
      </c>
      <c r="AT152" s="32" t="b">
        <f t="shared" si="29"/>
        <v>1</v>
      </c>
      <c r="AU152" s="32" t="str">
        <f>'St of Activities - GA Exp'!C152</f>
        <v>Franklin</v>
      </c>
      <c r="AV152" s="56"/>
      <c r="AW152" s="32" t="b">
        <f t="shared" si="32"/>
        <v>1</v>
      </c>
    </row>
    <row r="153" spans="1:49">
      <c r="A153" s="12" t="s">
        <v>272</v>
      </c>
      <c r="B153" s="12"/>
      <c r="C153" s="12" t="s">
        <v>20</v>
      </c>
      <c r="D153" s="12"/>
      <c r="E153" s="29">
        <v>43901</v>
      </c>
      <c r="G153" s="7">
        <f t="shared" si="37"/>
        <v>60976924</v>
      </c>
      <c r="I153" s="7">
        <f>2389900+81153115</f>
        <v>83543015</v>
      </c>
      <c r="K153" s="7">
        <v>144519939</v>
      </c>
      <c r="M153" s="7">
        <f t="shared" si="35"/>
        <v>11793897</v>
      </c>
      <c r="O153" s="7">
        <v>1744425</v>
      </c>
      <c r="Q153" s="7">
        <f>11842596-1744425</f>
        <v>10098171</v>
      </c>
      <c r="S153" s="7">
        <v>23636493</v>
      </c>
      <c r="U153" s="7">
        <v>77747620</v>
      </c>
      <c r="W153" s="7">
        <f t="shared" si="38"/>
        <v>7033724</v>
      </c>
      <c r="Y153" s="7">
        <v>36102102</v>
      </c>
      <c r="AA153" s="7">
        <v>120883446</v>
      </c>
      <c r="AB153" s="7">
        <f t="shared" si="39"/>
        <v>0</v>
      </c>
      <c r="AD153" s="32">
        <f t="shared" si="36"/>
        <v>0</v>
      </c>
      <c r="AE153" s="7" t="s">
        <v>843</v>
      </c>
      <c r="AF153" s="32"/>
      <c r="AH153" s="32" t="str">
        <f>'St of Activites - GA Rev'!A153</f>
        <v>East Cleveland City SD</v>
      </c>
      <c r="AI153" s="32" t="str">
        <f t="shared" si="33"/>
        <v>East Cleveland City SD</v>
      </c>
      <c r="AJ153" s="32" t="b">
        <f t="shared" si="28"/>
        <v>1</v>
      </c>
      <c r="AL153" s="32" t="str">
        <f>'St of Activities - GA Exp'!A153</f>
        <v>East Cleveland City SD</v>
      </c>
      <c r="AN153" s="32" t="b">
        <f t="shared" si="30"/>
        <v>1</v>
      </c>
      <c r="AR153" s="32" t="str">
        <f t="shared" si="31"/>
        <v>Cuyahoga</v>
      </c>
      <c r="AS153" s="32" t="str">
        <f>'St of Activites - GA Rev'!C153</f>
        <v>Cuyahoga</v>
      </c>
      <c r="AT153" s="32" t="b">
        <f t="shared" si="29"/>
        <v>1</v>
      </c>
      <c r="AU153" s="32" t="str">
        <f>'St of Activities - GA Exp'!C153</f>
        <v>Cuyahoga</v>
      </c>
      <c r="AV153" s="56"/>
      <c r="AW153" s="32" t="b">
        <f t="shared" si="32"/>
        <v>1</v>
      </c>
    </row>
    <row r="154" spans="1:49">
      <c r="A154" s="12" t="s">
        <v>250</v>
      </c>
      <c r="B154" s="12"/>
      <c r="C154" s="12" t="s">
        <v>18</v>
      </c>
      <c r="D154" s="12"/>
      <c r="E154" s="29">
        <v>46409</v>
      </c>
      <c r="F154" s="10"/>
      <c r="G154" s="7">
        <f t="shared" si="37"/>
        <v>7848785</v>
      </c>
      <c r="I154" s="7">
        <f>426976+14795863</f>
        <v>15222839</v>
      </c>
      <c r="K154" s="7">
        <v>23071624</v>
      </c>
      <c r="M154" s="7">
        <f t="shared" si="35"/>
        <v>4365587</v>
      </c>
      <c r="O154" s="7">
        <v>331425</v>
      </c>
      <c r="Q154" s="7">
        <f>2579678-331425</f>
        <v>2248253</v>
      </c>
      <c r="S154" s="7">
        <v>6945265</v>
      </c>
      <c r="U154" s="7">
        <v>13447492</v>
      </c>
      <c r="W154" s="7">
        <f t="shared" si="38"/>
        <v>2141499</v>
      </c>
      <c r="Y154" s="7">
        <v>537368</v>
      </c>
      <c r="AA154" s="7">
        <v>16126359</v>
      </c>
      <c r="AB154" s="7">
        <f t="shared" si="39"/>
        <v>0</v>
      </c>
      <c r="AD154" s="32">
        <f t="shared" si="36"/>
        <v>0</v>
      </c>
      <c r="AF154" s="32"/>
      <c r="AH154" s="32" t="str">
        <f>'St of Activites - GA Rev'!A154</f>
        <v>East Clinton Local SD</v>
      </c>
      <c r="AI154" s="32" t="str">
        <f t="shared" si="33"/>
        <v>East Clinton Local SD</v>
      </c>
      <c r="AJ154" s="32" t="b">
        <f t="shared" si="28"/>
        <v>1</v>
      </c>
      <c r="AL154" s="32" t="str">
        <f>'St of Activities - GA Exp'!A154</f>
        <v>East Clinton Local SD</v>
      </c>
      <c r="AN154" s="32" t="b">
        <f t="shared" si="30"/>
        <v>1</v>
      </c>
      <c r="AR154" s="32" t="str">
        <f t="shared" si="31"/>
        <v>Clinton</v>
      </c>
      <c r="AS154" s="32" t="str">
        <f>'St of Activites - GA Rev'!C154</f>
        <v>Clinton</v>
      </c>
      <c r="AT154" s="32" t="b">
        <f t="shared" si="29"/>
        <v>1</v>
      </c>
      <c r="AU154" s="32" t="str">
        <f>'St of Activities - GA Exp'!C154</f>
        <v>Clinton</v>
      </c>
      <c r="AV154" s="56"/>
      <c r="AW154" s="32" t="b">
        <f t="shared" si="32"/>
        <v>1</v>
      </c>
    </row>
    <row r="155" spans="1:49">
      <c r="A155" s="12" t="s">
        <v>328</v>
      </c>
      <c r="B155" s="12"/>
      <c r="C155" s="12" t="s">
        <v>31</v>
      </c>
      <c r="D155" s="12"/>
      <c r="E155" s="29">
        <v>69682</v>
      </c>
      <c r="G155" s="7">
        <f t="shared" si="37"/>
        <v>8876947</v>
      </c>
      <c r="I155" s="7">
        <f>161329+22053894</f>
        <v>22215223</v>
      </c>
      <c r="K155" s="7">
        <v>31092170</v>
      </c>
      <c r="M155" s="7">
        <f t="shared" si="35"/>
        <v>3282393</v>
      </c>
      <c r="O155" s="7">
        <v>363907</v>
      </c>
      <c r="Q155" s="7">
        <f>3434384-363907</f>
        <v>3070477</v>
      </c>
      <c r="S155" s="7">
        <v>6716777</v>
      </c>
      <c r="U155" s="7">
        <v>19535616</v>
      </c>
      <c r="W155" s="7">
        <f t="shared" si="38"/>
        <v>1907857</v>
      </c>
      <c r="Y155" s="7">
        <v>2931920</v>
      </c>
      <c r="AA155" s="7">
        <v>24375393</v>
      </c>
      <c r="AB155" s="7">
        <f t="shared" si="39"/>
        <v>0</v>
      </c>
      <c r="AD155" s="32">
        <f t="shared" si="36"/>
        <v>0</v>
      </c>
      <c r="AF155" s="32"/>
      <c r="AH155" s="32" t="str">
        <f>'St of Activites - GA Rev'!A155</f>
        <v>East Guernsey Local SD</v>
      </c>
      <c r="AI155" s="32" t="str">
        <f t="shared" si="33"/>
        <v>East Guernsey Local SD</v>
      </c>
      <c r="AJ155" s="32" t="b">
        <f t="shared" si="28"/>
        <v>1</v>
      </c>
      <c r="AL155" s="32" t="str">
        <f>'St of Activities - GA Exp'!A155</f>
        <v>East Guernsey Local SD</v>
      </c>
      <c r="AN155" s="32" t="b">
        <f t="shared" si="30"/>
        <v>1</v>
      </c>
      <c r="AR155" s="32" t="str">
        <f t="shared" si="31"/>
        <v>Guernsey</v>
      </c>
      <c r="AS155" s="32" t="str">
        <f>'St of Activites - GA Rev'!C155</f>
        <v>Guernsey</v>
      </c>
      <c r="AT155" s="32" t="b">
        <f t="shared" si="29"/>
        <v>1</v>
      </c>
      <c r="AU155" s="32" t="str">
        <f>'St of Activities - GA Exp'!C155</f>
        <v>Guernsey</v>
      </c>
      <c r="AV155" s="56"/>
      <c r="AW155" s="32" t="b">
        <f t="shared" si="32"/>
        <v>1</v>
      </c>
    </row>
    <row r="156" spans="1:49">
      <c r="A156" s="12" t="s">
        <v>363</v>
      </c>
      <c r="B156" s="12"/>
      <c r="C156" s="12" t="s">
        <v>36</v>
      </c>
      <c r="D156" s="12"/>
      <c r="E156" s="29">
        <v>47688</v>
      </c>
      <c r="G156" s="7">
        <f t="shared" si="37"/>
        <v>16480567</v>
      </c>
      <c r="I156" s="7">
        <f>1067816+9613081</f>
        <v>10680897</v>
      </c>
      <c r="K156" s="7">
        <v>27161464</v>
      </c>
      <c r="M156" s="7">
        <f t="shared" si="35"/>
        <v>10116381</v>
      </c>
      <c r="O156" s="7">
        <v>286745</v>
      </c>
      <c r="Q156" s="7">
        <f>3222296-286745</f>
        <v>2935551</v>
      </c>
      <c r="S156" s="7">
        <v>13338677</v>
      </c>
      <c r="U156" s="7">
        <v>8909175</v>
      </c>
      <c r="W156" s="7">
        <f t="shared" si="38"/>
        <v>2309975</v>
      </c>
      <c r="Y156" s="7">
        <v>2603637</v>
      </c>
      <c r="AA156" s="7">
        <v>13822787</v>
      </c>
      <c r="AB156" s="7">
        <f t="shared" si="39"/>
        <v>0</v>
      </c>
      <c r="AD156" s="32">
        <f t="shared" si="36"/>
        <v>0</v>
      </c>
      <c r="AE156" s="7" t="s">
        <v>843</v>
      </c>
      <c r="AF156" s="32"/>
      <c r="AH156" s="32" t="str">
        <f>'St of Activites - GA Rev'!A156</f>
        <v>East Holmes Local SD</v>
      </c>
      <c r="AI156" s="32" t="str">
        <f t="shared" si="33"/>
        <v>East Holmes Local SD</v>
      </c>
      <c r="AJ156" s="32" t="b">
        <f t="shared" si="28"/>
        <v>1</v>
      </c>
      <c r="AL156" s="32" t="str">
        <f>'St of Activities - GA Exp'!A156</f>
        <v>East Holmes Local SD</v>
      </c>
      <c r="AN156" s="32" t="b">
        <f t="shared" si="30"/>
        <v>1</v>
      </c>
      <c r="AR156" s="32" t="str">
        <f t="shared" si="31"/>
        <v>Holmes</v>
      </c>
      <c r="AS156" s="32" t="str">
        <f>'St of Activites - GA Rev'!C156</f>
        <v>Holmes</v>
      </c>
      <c r="AT156" s="32" t="b">
        <f t="shared" si="29"/>
        <v>1</v>
      </c>
      <c r="AU156" s="32" t="str">
        <f>'St of Activities - GA Exp'!C156</f>
        <v>Holmes</v>
      </c>
      <c r="AV156" s="56"/>
      <c r="AW156" s="32" t="b">
        <f t="shared" si="32"/>
        <v>1</v>
      </c>
    </row>
    <row r="157" spans="1:49" s="65" customFormat="1" hidden="1">
      <c r="A157" s="63" t="s">
        <v>691</v>
      </c>
      <c r="B157" s="63"/>
      <c r="C157" s="63" t="s">
        <v>40</v>
      </c>
      <c r="D157" s="63"/>
      <c r="E157" s="64"/>
      <c r="G157" s="65">
        <f t="shared" si="37"/>
        <v>0</v>
      </c>
      <c r="M157" s="65">
        <f t="shared" si="35"/>
        <v>0</v>
      </c>
      <c r="W157" s="65">
        <f t="shared" si="38"/>
        <v>0</v>
      </c>
      <c r="AB157" s="65">
        <f t="shared" si="39"/>
        <v>0</v>
      </c>
      <c r="AD157" s="66">
        <f t="shared" si="36"/>
        <v>0</v>
      </c>
      <c r="AE157" s="65" t="s">
        <v>839</v>
      </c>
      <c r="AF157" s="66"/>
      <c r="AH157" s="66" t="str">
        <f>'St of Activites - GA Rev'!A157</f>
        <v>East Knox Local SD (CASH)</v>
      </c>
      <c r="AI157" s="66" t="str">
        <f t="shared" si="33"/>
        <v>East Knox Local SD (CASH)</v>
      </c>
      <c r="AJ157" s="66" t="b">
        <f t="shared" si="28"/>
        <v>1</v>
      </c>
      <c r="AL157" s="66" t="str">
        <f>'St of Activities - GA Exp'!A157</f>
        <v>East Knox Local SD (CASH)</v>
      </c>
      <c r="AN157" s="66" t="b">
        <f t="shared" si="30"/>
        <v>1</v>
      </c>
      <c r="AR157" s="66" t="str">
        <f t="shared" si="31"/>
        <v>Knox</v>
      </c>
      <c r="AS157" s="66" t="str">
        <f>'St of Activites - GA Rev'!C157</f>
        <v>Knox</v>
      </c>
      <c r="AT157" s="66" t="b">
        <f t="shared" si="29"/>
        <v>1</v>
      </c>
      <c r="AU157" s="66" t="str">
        <f>'St of Activities - GA Exp'!C157</f>
        <v>Knox</v>
      </c>
      <c r="AV157" s="86"/>
      <c r="AW157" s="66" t="b">
        <f t="shared" si="32"/>
        <v>1</v>
      </c>
    </row>
    <row r="158" spans="1:49">
      <c r="A158" s="12" t="s">
        <v>254</v>
      </c>
      <c r="B158" s="12"/>
      <c r="C158" s="12" t="s">
        <v>112</v>
      </c>
      <c r="D158" s="12"/>
      <c r="E158" s="29">
        <v>43919</v>
      </c>
      <c r="G158" s="7">
        <f t="shared" si="37"/>
        <v>24535853</v>
      </c>
      <c r="I158" s="7">
        <f>880841+44969264</f>
        <v>45850105</v>
      </c>
      <c r="K158" s="7">
        <v>70385958</v>
      </c>
      <c r="M158" s="7">
        <f t="shared" si="35"/>
        <v>7521302</v>
      </c>
      <c r="O158" s="7">
        <v>722730</v>
      </c>
      <c r="Q158" s="7">
        <f>11984206-722730</f>
        <v>11261476</v>
      </c>
      <c r="S158" s="7">
        <v>19505508</v>
      </c>
      <c r="U158" s="7">
        <v>33841672</v>
      </c>
      <c r="W158" s="7">
        <f t="shared" si="38"/>
        <v>10600843</v>
      </c>
      <c r="Y158" s="7">
        <v>6437935</v>
      </c>
      <c r="AA158" s="7">
        <v>50880450</v>
      </c>
      <c r="AB158" s="7">
        <f t="shared" si="39"/>
        <v>0</v>
      </c>
      <c r="AD158" s="32">
        <f t="shared" si="36"/>
        <v>0</v>
      </c>
      <c r="AF158" s="32"/>
      <c r="AH158" s="32" t="str">
        <f>'St of Activites - GA Rev'!A158</f>
        <v>East Liverpool City SD</v>
      </c>
      <c r="AI158" s="32" t="str">
        <f t="shared" si="33"/>
        <v>East Liverpool City SD</v>
      </c>
      <c r="AJ158" s="32" t="b">
        <f t="shared" si="28"/>
        <v>1</v>
      </c>
      <c r="AL158" s="32" t="str">
        <f>'St of Activities - GA Exp'!A158</f>
        <v>East Liverpool City SD</v>
      </c>
      <c r="AN158" s="32" t="b">
        <f t="shared" si="30"/>
        <v>1</v>
      </c>
      <c r="AR158" s="32" t="str">
        <f t="shared" si="31"/>
        <v>Columbiana</v>
      </c>
      <c r="AS158" s="32" t="str">
        <f>'St of Activites - GA Rev'!C158</f>
        <v>Columbiana</v>
      </c>
      <c r="AT158" s="32" t="b">
        <f t="shared" si="29"/>
        <v>1</v>
      </c>
      <c r="AU158" s="32" t="str">
        <f>'St of Activities - GA Exp'!C158</f>
        <v>Columbiana</v>
      </c>
      <c r="AV158" s="56"/>
      <c r="AW158" s="32" t="b">
        <f t="shared" si="32"/>
        <v>1</v>
      </c>
    </row>
    <row r="159" spans="1:49">
      <c r="A159" s="12" t="s">
        <v>456</v>
      </c>
      <c r="B159" s="12"/>
      <c r="C159" s="12" t="s">
        <v>51</v>
      </c>
      <c r="D159" s="12"/>
      <c r="E159" s="29">
        <v>48835</v>
      </c>
      <c r="G159" s="7">
        <f t="shared" si="37"/>
        <v>17778192</v>
      </c>
      <c r="I159" s="7">
        <f>150965+26458175</f>
        <v>26609140</v>
      </c>
      <c r="K159" s="7">
        <v>44387332</v>
      </c>
      <c r="M159" s="7">
        <f t="shared" si="35"/>
        <v>9743598</v>
      </c>
      <c r="O159" s="7">
        <v>539809</v>
      </c>
      <c r="Q159" s="7">
        <f>7128881-539809</f>
        <v>6589072</v>
      </c>
      <c r="S159" s="7">
        <v>16872479</v>
      </c>
      <c r="U159" s="7">
        <v>20886639</v>
      </c>
      <c r="W159" s="7">
        <f t="shared" si="38"/>
        <v>2610764</v>
      </c>
      <c r="Y159" s="7">
        <v>4017450</v>
      </c>
      <c r="AA159" s="7">
        <v>27514853</v>
      </c>
      <c r="AB159" s="7">
        <f>+K159-S159-AA159</f>
        <v>0</v>
      </c>
      <c r="AD159" s="32">
        <f>+G159+I159+-M159-O159-U159-W159-Y159-Q159</f>
        <v>0</v>
      </c>
      <c r="AF159" s="32"/>
      <c r="AH159" s="32" t="str">
        <f>'St of Activites - GA Rev'!A159</f>
        <v>East Muskingum Local SD</v>
      </c>
      <c r="AI159" s="32" t="str">
        <f t="shared" si="33"/>
        <v>East Muskingum Local SD</v>
      </c>
      <c r="AJ159" s="32" t="b">
        <f t="shared" si="28"/>
        <v>1</v>
      </c>
      <c r="AL159" s="32" t="str">
        <f>'St of Activities - GA Exp'!A159</f>
        <v>East Muskingum Local SD</v>
      </c>
      <c r="AN159" s="32" t="b">
        <f t="shared" si="30"/>
        <v>1</v>
      </c>
      <c r="AR159" s="32" t="str">
        <f t="shared" si="31"/>
        <v>Muskingum</v>
      </c>
      <c r="AS159" s="32" t="str">
        <f>'St of Activites - GA Rev'!C159</f>
        <v>Muskingum</v>
      </c>
      <c r="AT159" s="32" t="b">
        <f t="shared" si="29"/>
        <v>1</v>
      </c>
      <c r="AU159" s="32" t="str">
        <f>'St of Activities - GA Exp'!C159</f>
        <v>Muskingum</v>
      </c>
      <c r="AV159" s="56"/>
      <c r="AW159" s="32" t="b">
        <f t="shared" si="32"/>
        <v>1</v>
      </c>
    </row>
    <row r="160" spans="1:49">
      <c r="A160" s="12" t="s">
        <v>255</v>
      </c>
      <c r="B160" s="12"/>
      <c r="C160" s="12" t="s">
        <v>112</v>
      </c>
      <c r="D160" s="12"/>
      <c r="E160" s="29">
        <v>43927</v>
      </c>
      <c r="G160" s="7">
        <f t="shared" si="37"/>
        <v>5498677</v>
      </c>
      <c r="I160" s="7">
        <f>475814+22928924</f>
        <v>23404738</v>
      </c>
      <c r="K160" s="7">
        <v>28903415</v>
      </c>
      <c r="M160" s="7">
        <f t="shared" si="35"/>
        <v>3728110</v>
      </c>
      <c r="O160" s="7">
        <v>330056</v>
      </c>
      <c r="Q160" s="7">
        <f>2298879-330056</f>
        <v>1968823</v>
      </c>
      <c r="S160" s="7">
        <v>6026989</v>
      </c>
      <c r="U160" s="7">
        <v>21594340</v>
      </c>
      <c r="W160" s="7">
        <f t="shared" si="38"/>
        <v>1587930</v>
      </c>
      <c r="Y160" s="7">
        <v>-305844</v>
      </c>
      <c r="AA160" s="7">
        <v>22876426</v>
      </c>
      <c r="AB160" s="7">
        <f t="shared" si="39"/>
        <v>0</v>
      </c>
      <c r="AD160" s="32">
        <f t="shared" si="36"/>
        <v>0</v>
      </c>
      <c r="AF160" s="32"/>
      <c r="AH160" s="32" t="str">
        <f>'St of Activites - GA Rev'!A160</f>
        <v>East Palestine City SD</v>
      </c>
      <c r="AI160" s="32" t="str">
        <f t="shared" si="33"/>
        <v>East Palestine City SD</v>
      </c>
      <c r="AJ160" s="32" t="b">
        <f t="shared" si="28"/>
        <v>1</v>
      </c>
      <c r="AL160" s="32" t="str">
        <f>'St of Activities - GA Exp'!A160</f>
        <v>East Palestine City SD</v>
      </c>
      <c r="AN160" s="32" t="b">
        <f t="shared" si="30"/>
        <v>1</v>
      </c>
      <c r="AR160" s="32" t="str">
        <f t="shared" si="31"/>
        <v>Columbiana</v>
      </c>
      <c r="AS160" s="32" t="str">
        <f>'St of Activites - GA Rev'!C160</f>
        <v>Columbiana</v>
      </c>
      <c r="AT160" s="32" t="b">
        <f t="shared" si="29"/>
        <v>1</v>
      </c>
      <c r="AU160" s="32" t="str">
        <f>'St of Activities - GA Exp'!C160</f>
        <v>Columbiana</v>
      </c>
      <c r="AV160" s="56"/>
      <c r="AW160" s="32" t="b">
        <f t="shared" si="32"/>
        <v>1</v>
      </c>
    </row>
    <row r="161" spans="1:49">
      <c r="A161" s="11" t="s">
        <v>220</v>
      </c>
      <c r="B161" s="11"/>
      <c r="C161" s="11" t="s">
        <v>77</v>
      </c>
      <c r="D161" s="11"/>
      <c r="E161" s="29">
        <v>46037</v>
      </c>
      <c r="G161" s="7">
        <f t="shared" si="37"/>
        <v>12116645</v>
      </c>
      <c r="I161" s="7">
        <f>10129701+36299396</f>
        <v>46429097</v>
      </c>
      <c r="K161" s="7">
        <v>58545742</v>
      </c>
      <c r="M161" s="7">
        <f t="shared" si="35"/>
        <v>4663837</v>
      </c>
      <c r="O161" s="7">
        <v>552800</v>
      </c>
      <c r="Q161" s="7">
        <f>9262727-552800</f>
        <v>8709927</v>
      </c>
      <c r="S161" s="7">
        <v>13926564</v>
      </c>
      <c r="U161" s="7">
        <v>38144097</v>
      </c>
      <c r="W161" s="7">
        <f t="shared" si="38"/>
        <v>6196562</v>
      </c>
      <c r="Y161" s="7">
        <v>278519</v>
      </c>
      <c r="AA161" s="7">
        <v>44619178</v>
      </c>
      <c r="AB161" s="7">
        <f t="shared" si="39"/>
        <v>0</v>
      </c>
      <c r="AD161" s="32">
        <f t="shared" si="36"/>
        <v>0</v>
      </c>
      <c r="AF161" s="32"/>
      <c r="AH161" s="32" t="str">
        <f>'St of Activites - GA Rev'!A161</f>
        <v>Eastern Local SD</v>
      </c>
      <c r="AI161" s="32" t="str">
        <f t="shared" si="33"/>
        <v>Eastern Local SD</v>
      </c>
      <c r="AJ161" s="32" t="b">
        <f t="shared" si="28"/>
        <v>1</v>
      </c>
      <c r="AL161" s="32" t="str">
        <f>'St of Activities - GA Exp'!A161</f>
        <v>Eastern Local SD</v>
      </c>
      <c r="AN161" s="32" t="b">
        <f t="shared" si="30"/>
        <v>1</v>
      </c>
      <c r="AR161" s="32" t="str">
        <f t="shared" si="31"/>
        <v>Brown</v>
      </c>
      <c r="AS161" s="32" t="str">
        <f>'St of Activites - GA Rev'!C161</f>
        <v>Brown</v>
      </c>
      <c r="AT161" s="32" t="b">
        <f t="shared" si="29"/>
        <v>1</v>
      </c>
      <c r="AU161" s="32" t="str">
        <f>'St of Activities - GA Exp'!C161</f>
        <v>Brown</v>
      </c>
      <c r="AV161" s="56"/>
      <c r="AW161" s="32" t="b">
        <f t="shared" si="32"/>
        <v>1</v>
      </c>
    </row>
    <row r="162" spans="1:49">
      <c r="A162" s="11" t="s">
        <v>220</v>
      </c>
      <c r="B162" s="11"/>
      <c r="C162" s="11" t="s">
        <v>433</v>
      </c>
      <c r="D162" s="11"/>
      <c r="E162" s="29">
        <v>48512</v>
      </c>
      <c r="G162" s="7">
        <f t="shared" si="37"/>
        <v>3712467</v>
      </c>
      <c r="I162" s="7">
        <f>23487+7861674</f>
        <v>7885161</v>
      </c>
      <c r="K162" s="7">
        <v>11597628</v>
      </c>
      <c r="M162" s="7">
        <f t="shared" si="35"/>
        <v>1964074</v>
      </c>
      <c r="O162" s="7">
        <v>100474</v>
      </c>
      <c r="Q162" s="7">
        <f>1109683-100474</f>
        <v>1009209</v>
      </c>
      <c r="S162" s="7">
        <v>3073757</v>
      </c>
      <c r="U162" s="7">
        <v>7013743</v>
      </c>
      <c r="W162" s="7">
        <f t="shared" si="38"/>
        <v>840834</v>
      </c>
      <c r="Y162" s="7">
        <v>669294</v>
      </c>
      <c r="AA162" s="7">
        <v>8523871</v>
      </c>
      <c r="AB162" s="7">
        <f t="shared" si="39"/>
        <v>0</v>
      </c>
      <c r="AD162" s="32">
        <f t="shared" si="36"/>
        <v>0</v>
      </c>
      <c r="AF162" s="32"/>
      <c r="AH162" s="32" t="str">
        <f>'St of Activites - GA Rev'!A162</f>
        <v>Eastern Local SD</v>
      </c>
      <c r="AI162" s="32" t="str">
        <f t="shared" si="33"/>
        <v>Eastern Local SD</v>
      </c>
      <c r="AJ162" s="32" t="b">
        <f t="shared" si="28"/>
        <v>1</v>
      </c>
      <c r="AL162" s="32" t="str">
        <f>'St of Activities - GA Exp'!A162</f>
        <v>Eastern Local SD</v>
      </c>
      <c r="AN162" s="32" t="b">
        <f t="shared" si="30"/>
        <v>1</v>
      </c>
      <c r="AR162" s="32" t="str">
        <f t="shared" si="31"/>
        <v>Meigs</v>
      </c>
      <c r="AS162" s="32" t="str">
        <f>'St of Activites - GA Rev'!C162</f>
        <v>Meigs</v>
      </c>
      <c r="AT162" s="32" t="b">
        <f t="shared" si="29"/>
        <v>1</v>
      </c>
      <c r="AU162" s="32" t="str">
        <f>'St of Activities - GA Exp'!C162</f>
        <v>Meigs</v>
      </c>
      <c r="AV162" s="56"/>
      <c r="AW162" s="32" t="b">
        <f t="shared" si="32"/>
        <v>1</v>
      </c>
    </row>
    <row r="163" spans="1:49" s="65" customFormat="1" hidden="1">
      <c r="A163" s="63" t="s">
        <v>692</v>
      </c>
      <c r="B163" s="63"/>
      <c r="C163" s="63" t="s">
        <v>55</v>
      </c>
      <c r="D163" s="63"/>
      <c r="E163" s="64">
        <v>49122</v>
      </c>
      <c r="G163" s="65">
        <f t="shared" si="37"/>
        <v>0</v>
      </c>
      <c r="M163" s="65">
        <f t="shared" si="35"/>
        <v>0</v>
      </c>
      <c r="W163" s="65">
        <f t="shared" si="38"/>
        <v>0</v>
      </c>
      <c r="AB163" s="65">
        <f t="shared" si="39"/>
        <v>0</v>
      </c>
      <c r="AD163" s="66">
        <f t="shared" si="36"/>
        <v>0</v>
      </c>
      <c r="AE163" s="65" t="s">
        <v>839</v>
      </c>
      <c r="AF163" s="66"/>
      <c r="AH163" s="66" t="str">
        <f>'St of Activites - GA Rev'!A163</f>
        <v>Eastern Local SD (CASH)</v>
      </c>
      <c r="AI163" s="66" t="str">
        <f t="shared" si="33"/>
        <v>Eastern Local SD (CASH)</v>
      </c>
      <c r="AJ163" s="66" t="b">
        <f t="shared" si="28"/>
        <v>1</v>
      </c>
      <c r="AL163" s="66" t="str">
        <f>'St of Activities - GA Exp'!A163</f>
        <v>Eastern Local SD (CASH)</v>
      </c>
      <c r="AN163" s="66" t="b">
        <f t="shared" si="30"/>
        <v>1</v>
      </c>
      <c r="AR163" s="66" t="str">
        <f t="shared" si="31"/>
        <v>Pike</v>
      </c>
      <c r="AS163" s="66" t="str">
        <f>'St of Activites - GA Rev'!C163</f>
        <v>Pike</v>
      </c>
      <c r="AT163" s="66" t="b">
        <f t="shared" si="29"/>
        <v>1</v>
      </c>
      <c r="AU163" s="66" t="str">
        <f>'St of Activities - GA Exp'!C163</f>
        <v>Pike</v>
      </c>
      <c r="AV163" s="86"/>
      <c r="AW163" s="66" t="b">
        <f t="shared" si="32"/>
        <v>1</v>
      </c>
    </row>
    <row r="164" spans="1:49">
      <c r="A164" s="11" t="s">
        <v>573</v>
      </c>
      <c r="B164" s="11"/>
      <c r="C164" s="11" t="s">
        <v>72</v>
      </c>
      <c r="D164" s="11"/>
      <c r="E164" s="29">
        <v>50674</v>
      </c>
      <c r="G164" s="7">
        <f t="shared" si="37"/>
        <v>14837239</v>
      </c>
      <c r="I164" s="7">
        <f>261067+4732106</f>
        <v>4993173</v>
      </c>
      <c r="K164" s="7">
        <v>19830412</v>
      </c>
      <c r="M164" s="7">
        <f t="shared" si="35"/>
        <v>6021293</v>
      </c>
      <c r="O164" s="7">
        <v>293279</v>
      </c>
      <c r="Q164" s="7">
        <f>4568111-293279</f>
        <v>4274832</v>
      </c>
      <c r="S164" s="7">
        <v>10589404</v>
      </c>
      <c r="U164" s="7">
        <v>1680988</v>
      </c>
      <c r="W164" s="7">
        <f t="shared" si="38"/>
        <v>1374707</v>
      </c>
      <c r="Y164" s="7">
        <v>6185313</v>
      </c>
      <c r="AA164" s="7">
        <v>9241008</v>
      </c>
      <c r="AB164" s="7">
        <f t="shared" si="39"/>
        <v>0</v>
      </c>
      <c r="AD164" s="32">
        <f t="shared" si="36"/>
        <v>0</v>
      </c>
      <c r="AE164" s="7" t="s">
        <v>845</v>
      </c>
      <c r="AF164" s="32"/>
      <c r="AH164" s="32" t="str">
        <f>'St of Activites - GA Rev'!A164</f>
        <v>Eastwood Local SD</v>
      </c>
      <c r="AI164" s="32" t="str">
        <f t="shared" si="33"/>
        <v>Eastwood Local SD</v>
      </c>
      <c r="AJ164" s="32" t="b">
        <f t="shared" si="28"/>
        <v>1</v>
      </c>
      <c r="AL164" s="32" t="str">
        <f>'St of Activities - GA Exp'!A164</f>
        <v>Eastwood Local SD</v>
      </c>
      <c r="AN164" s="32" t="b">
        <f t="shared" si="30"/>
        <v>1</v>
      </c>
      <c r="AR164" s="32" t="str">
        <f t="shared" si="31"/>
        <v>Wood</v>
      </c>
      <c r="AS164" s="32" t="str">
        <f>'St of Activites - GA Rev'!C164</f>
        <v>Wood</v>
      </c>
      <c r="AT164" s="32" t="b">
        <f t="shared" si="29"/>
        <v>1</v>
      </c>
      <c r="AU164" s="32" t="str">
        <f>'St of Activities - GA Exp'!C164</f>
        <v>Wood</v>
      </c>
      <c r="AV164" s="56"/>
      <c r="AW164" s="32" t="b">
        <f t="shared" si="32"/>
        <v>1</v>
      </c>
    </row>
    <row r="165" spans="1:49">
      <c r="A165" s="11" t="s">
        <v>712</v>
      </c>
      <c r="B165" s="11"/>
      <c r="C165" s="11" t="s">
        <v>57</v>
      </c>
      <c r="D165" s="11"/>
      <c r="E165" s="29">
        <v>43935</v>
      </c>
      <c r="G165" s="7">
        <f t="shared" si="37"/>
        <v>52982104</v>
      </c>
      <c r="I165" s="7">
        <f>3380850+29897178</f>
        <v>33278028</v>
      </c>
      <c r="K165" s="7">
        <v>86260132</v>
      </c>
      <c r="M165" s="7">
        <f t="shared" si="35"/>
        <v>8488735</v>
      </c>
      <c r="O165" s="7">
        <v>875560</v>
      </c>
      <c r="Q165" s="7">
        <f>38508087+50686-875560</f>
        <v>37683213</v>
      </c>
      <c r="S165" s="7">
        <v>47047508</v>
      </c>
      <c r="U165" s="7">
        <v>5603081</v>
      </c>
      <c r="W165" s="7">
        <f t="shared" si="38"/>
        <v>25314774</v>
      </c>
      <c r="Y165" s="7">
        <v>8294769</v>
      </c>
      <c r="AA165" s="7">
        <v>39212624</v>
      </c>
      <c r="AB165" s="7">
        <f t="shared" si="39"/>
        <v>0</v>
      </c>
      <c r="AD165" s="32">
        <f t="shared" si="36"/>
        <v>0</v>
      </c>
      <c r="AE165" s="7" t="s">
        <v>846</v>
      </c>
      <c r="AF165" s="32"/>
      <c r="AH165" s="32" t="str">
        <f>'St of Activites - GA Rev'!A165</f>
        <v>Eaton Community SD</v>
      </c>
      <c r="AI165" s="32" t="str">
        <f t="shared" si="33"/>
        <v>Eaton Community SD</v>
      </c>
      <c r="AJ165" s="32" t="b">
        <f t="shared" si="28"/>
        <v>1</v>
      </c>
      <c r="AL165" s="32" t="str">
        <f>'St of Activities - GA Exp'!A165</f>
        <v>Eaton Community SD</v>
      </c>
      <c r="AN165" s="32" t="b">
        <f t="shared" si="30"/>
        <v>1</v>
      </c>
      <c r="AR165" s="32" t="str">
        <f t="shared" si="31"/>
        <v>Preble</v>
      </c>
      <c r="AS165" s="32" t="str">
        <f>'St of Activites - GA Rev'!C165</f>
        <v>Preble</v>
      </c>
      <c r="AT165" s="32" t="b">
        <f t="shared" si="29"/>
        <v>1</v>
      </c>
      <c r="AU165" s="32" t="str">
        <f>'St of Activities - GA Exp'!C165</f>
        <v>Preble</v>
      </c>
      <c r="AV165" s="56"/>
      <c r="AW165" s="32" t="b">
        <f t="shared" si="32"/>
        <v>1</v>
      </c>
    </row>
    <row r="166" spans="1:49" s="65" customFormat="1" hidden="1">
      <c r="A166" s="62" t="s">
        <v>693</v>
      </c>
      <c r="B166" s="62"/>
      <c r="C166" s="62" t="s">
        <v>570</v>
      </c>
      <c r="D166" s="62"/>
      <c r="E166" s="64">
        <v>50617</v>
      </c>
      <c r="G166" s="65">
        <f t="shared" si="37"/>
        <v>0</v>
      </c>
      <c r="M166" s="65">
        <f t="shared" si="35"/>
        <v>0</v>
      </c>
      <c r="W166" s="65">
        <f t="shared" si="38"/>
        <v>0</v>
      </c>
      <c r="AB166" s="65">
        <f t="shared" si="39"/>
        <v>0</v>
      </c>
      <c r="AD166" s="66">
        <f t="shared" si="36"/>
        <v>0</v>
      </c>
      <c r="AE166" s="65" t="s">
        <v>839</v>
      </c>
      <c r="AF166" s="66"/>
      <c r="AH166" s="66" t="str">
        <f>'St of Activites - GA Rev'!A166</f>
        <v>Edgerton Local SD (CASH)</v>
      </c>
      <c r="AI166" s="66" t="str">
        <f t="shared" si="33"/>
        <v>Edgerton Local SD (CASH)</v>
      </c>
      <c r="AJ166" s="66" t="b">
        <f t="shared" si="28"/>
        <v>1</v>
      </c>
      <c r="AL166" s="66" t="str">
        <f>'St of Activities - GA Exp'!A166</f>
        <v>Edgerton Local SD (CASH)</v>
      </c>
      <c r="AN166" s="66" t="b">
        <f t="shared" si="30"/>
        <v>1</v>
      </c>
      <c r="AR166" s="66" t="str">
        <f t="shared" si="31"/>
        <v>Williams</v>
      </c>
      <c r="AS166" s="66" t="str">
        <f>'St of Activites - GA Rev'!C166</f>
        <v>Williams</v>
      </c>
      <c r="AT166" s="66" t="b">
        <f t="shared" si="29"/>
        <v>1</v>
      </c>
      <c r="AU166" s="66" t="str">
        <f>'St of Activities - GA Exp'!C166</f>
        <v>Williams</v>
      </c>
      <c r="AV166" s="86"/>
      <c r="AW166" s="66" t="b">
        <f t="shared" si="32"/>
        <v>1</v>
      </c>
    </row>
    <row r="167" spans="1:49">
      <c r="A167" s="11" t="s">
        <v>694</v>
      </c>
      <c r="B167" s="11"/>
      <c r="C167" s="11" t="s">
        <v>223</v>
      </c>
      <c r="D167" s="11"/>
      <c r="E167" s="29">
        <v>46094</v>
      </c>
      <c r="G167" s="7">
        <f t="shared" si="37"/>
        <v>50895765</v>
      </c>
      <c r="I167" s="7">
        <v>44391939</v>
      </c>
      <c r="K167" s="7">
        <v>95287704</v>
      </c>
      <c r="M167" s="7">
        <f t="shared" si="35"/>
        <v>20547629</v>
      </c>
      <c r="O167" s="7">
        <v>4817349</v>
      </c>
      <c r="Q167" s="7">
        <f>44069063-4817349</f>
        <v>39251714</v>
      </c>
      <c r="S167" s="7">
        <v>64616692</v>
      </c>
      <c r="U167" s="7">
        <v>26363078</v>
      </c>
      <c r="W167" s="7">
        <f t="shared" si="38"/>
        <v>7736351</v>
      </c>
      <c r="Y167" s="7">
        <v>-3428417</v>
      </c>
      <c r="AA167" s="7">
        <v>30671012</v>
      </c>
      <c r="AB167" s="7">
        <f t="shared" si="39"/>
        <v>0</v>
      </c>
      <c r="AD167" s="32">
        <f t="shared" si="36"/>
        <v>0</v>
      </c>
      <c r="AF167" s="32"/>
      <c r="AH167" s="32" t="str">
        <f>'St of Activites - GA Rev'!A167</f>
        <v xml:space="preserve">Edgewood City SD </v>
      </c>
      <c r="AI167" s="32" t="str">
        <f t="shared" si="33"/>
        <v xml:space="preserve">Edgewood City SD </v>
      </c>
      <c r="AJ167" s="32" t="b">
        <f t="shared" si="28"/>
        <v>1</v>
      </c>
      <c r="AL167" s="32" t="str">
        <f>'St of Activities - GA Exp'!A167</f>
        <v xml:space="preserve">Edgewood City SD </v>
      </c>
      <c r="AN167" s="32" t="b">
        <f t="shared" si="30"/>
        <v>1</v>
      </c>
      <c r="AR167" s="32" t="str">
        <f t="shared" si="31"/>
        <v>Butler</v>
      </c>
      <c r="AS167" s="32" t="str">
        <f>'St of Activites - GA Rev'!C167</f>
        <v>Butler</v>
      </c>
      <c r="AT167" s="32" t="b">
        <f t="shared" si="29"/>
        <v>1</v>
      </c>
      <c r="AU167" s="32" t="str">
        <f>'St of Activities - GA Exp'!C167</f>
        <v>Butler</v>
      </c>
      <c r="AV167" s="56"/>
      <c r="AW167" s="32" t="b">
        <f t="shared" si="32"/>
        <v>1</v>
      </c>
    </row>
    <row r="168" spans="1:49">
      <c r="A168" s="11" t="s">
        <v>372</v>
      </c>
      <c r="B168" s="11"/>
      <c r="C168" s="11" t="s">
        <v>39</v>
      </c>
      <c r="D168" s="11"/>
      <c r="E168" s="29">
        <v>47795</v>
      </c>
      <c r="G168" s="7">
        <f t="shared" si="37"/>
        <v>9921466</v>
      </c>
      <c r="I168" s="7">
        <f>121734+4480972</f>
        <v>4602706</v>
      </c>
      <c r="K168" s="7">
        <v>14524172</v>
      </c>
      <c r="M168" s="7">
        <f t="shared" si="35"/>
        <v>8885432</v>
      </c>
      <c r="O168" s="7">
        <v>358836</v>
      </c>
      <c r="Q168" s="7">
        <f>1654230-358836</f>
        <v>1295394</v>
      </c>
      <c r="S168" s="7">
        <v>10539662</v>
      </c>
      <c r="U168" s="7">
        <v>4417845</v>
      </c>
      <c r="W168" s="7">
        <f t="shared" si="38"/>
        <v>164845</v>
      </c>
      <c r="Y168" s="7">
        <v>-598180</v>
      </c>
      <c r="AA168" s="7">
        <v>3984510</v>
      </c>
      <c r="AB168" s="7">
        <f t="shared" si="39"/>
        <v>0</v>
      </c>
      <c r="AD168" s="32">
        <f t="shared" si="36"/>
        <v>0</v>
      </c>
      <c r="AF168" s="32"/>
      <c r="AH168" s="32" t="str">
        <f>'St of Activites - GA Rev'!A168</f>
        <v>Edison Local SD</v>
      </c>
      <c r="AI168" s="32" t="str">
        <f t="shared" si="33"/>
        <v>Edison Local SD</v>
      </c>
      <c r="AJ168" s="32" t="b">
        <f t="shared" si="28"/>
        <v>1</v>
      </c>
      <c r="AL168" s="32" t="str">
        <f>'St of Activities - GA Exp'!A168</f>
        <v>Edison Local SD</v>
      </c>
      <c r="AN168" s="32" t="b">
        <f t="shared" si="30"/>
        <v>1</v>
      </c>
      <c r="AR168" s="32" t="str">
        <f t="shared" si="31"/>
        <v>Jefferson</v>
      </c>
      <c r="AS168" s="32" t="str">
        <f>'St of Activites - GA Rev'!C168</f>
        <v>Jefferson</v>
      </c>
      <c r="AT168" s="32" t="b">
        <f t="shared" si="29"/>
        <v>1</v>
      </c>
      <c r="AU168" s="32" t="str">
        <f>'St of Activities - GA Exp'!C168</f>
        <v>Jefferson</v>
      </c>
      <c r="AV168" s="56"/>
      <c r="AW168" s="32" t="b">
        <f t="shared" si="32"/>
        <v>1</v>
      </c>
    </row>
    <row r="169" spans="1:49" s="65" customFormat="1" hidden="1">
      <c r="A169" s="62" t="s">
        <v>847</v>
      </c>
      <c r="B169" s="62"/>
      <c r="C169" s="62" t="s">
        <v>570</v>
      </c>
      <c r="D169" s="62"/>
      <c r="E169" s="64">
        <v>50625</v>
      </c>
      <c r="G169" s="65">
        <f t="shared" si="37"/>
        <v>0</v>
      </c>
      <c r="M169" s="65">
        <f t="shared" si="35"/>
        <v>0</v>
      </c>
      <c r="W169" s="65">
        <f t="shared" si="38"/>
        <v>0</v>
      </c>
      <c r="AB169" s="65">
        <f t="shared" si="39"/>
        <v>0</v>
      </c>
      <c r="AD169" s="66">
        <f t="shared" si="36"/>
        <v>0</v>
      </c>
      <c r="AE169" s="65" t="s">
        <v>837</v>
      </c>
      <c r="AF169" s="66"/>
      <c r="AH169" s="66" t="str">
        <f>'St of Activites - GA Rev'!A169</f>
        <v>Edon-Northwest Local SD (CASH)</v>
      </c>
      <c r="AI169" s="66" t="str">
        <f t="shared" si="33"/>
        <v>Edon-Northwest Local SD (CASH)</v>
      </c>
      <c r="AJ169" s="66" t="b">
        <f t="shared" si="28"/>
        <v>1</v>
      </c>
      <c r="AL169" s="66" t="str">
        <f>'St of Activities - GA Exp'!A169</f>
        <v>Edon-Northwest Local SD (CASH)</v>
      </c>
      <c r="AN169" s="66" t="b">
        <f t="shared" si="30"/>
        <v>1</v>
      </c>
      <c r="AR169" s="66" t="str">
        <f t="shared" si="31"/>
        <v>Williams</v>
      </c>
      <c r="AS169" s="66" t="str">
        <f>'St of Activites - GA Rev'!C169</f>
        <v>Williams</v>
      </c>
      <c r="AT169" s="66" t="b">
        <f t="shared" si="29"/>
        <v>1</v>
      </c>
      <c r="AU169" s="66" t="str">
        <f>'St of Activities - GA Exp'!C169</f>
        <v>Williams</v>
      </c>
      <c r="AV169" s="86"/>
      <c r="AW169" s="66" t="b">
        <f t="shared" si="32"/>
        <v>1</v>
      </c>
    </row>
    <row r="170" spans="1:49" s="65" customFormat="1" hidden="1">
      <c r="A170" s="63" t="s">
        <v>695</v>
      </c>
      <c r="B170" s="63"/>
      <c r="C170" s="63" t="s">
        <v>10</v>
      </c>
      <c r="D170" s="62"/>
      <c r="E170" s="64"/>
      <c r="G170" s="65">
        <f t="shared" si="37"/>
        <v>0</v>
      </c>
      <c r="M170" s="65">
        <f t="shared" si="35"/>
        <v>0</v>
      </c>
      <c r="W170" s="65">
        <f t="shared" si="38"/>
        <v>0</v>
      </c>
      <c r="AB170" s="65">
        <f t="shared" si="39"/>
        <v>0</v>
      </c>
      <c r="AD170" s="66">
        <f t="shared" si="36"/>
        <v>0</v>
      </c>
      <c r="AE170" s="65" t="s">
        <v>839</v>
      </c>
      <c r="AF170" s="66"/>
      <c r="AH170" s="66" t="str">
        <f>'St of Activites - GA Rev'!A170</f>
        <v>Elida Local SD (CASH)</v>
      </c>
      <c r="AI170" s="66" t="str">
        <f t="shared" si="33"/>
        <v>Elida Local SD (CASH)</v>
      </c>
      <c r="AJ170" s="66" t="b">
        <f t="shared" si="28"/>
        <v>1</v>
      </c>
      <c r="AL170" s="66" t="str">
        <f>'St of Activities - GA Exp'!A170</f>
        <v>Elida Local SD (CASH)</v>
      </c>
      <c r="AN170" s="66" t="b">
        <f t="shared" si="30"/>
        <v>1</v>
      </c>
      <c r="AR170" s="66" t="str">
        <f t="shared" si="31"/>
        <v>Allen</v>
      </c>
      <c r="AS170" s="66" t="str">
        <f>'St of Activites - GA Rev'!C170</f>
        <v>Allen</v>
      </c>
      <c r="AT170" s="66" t="b">
        <f t="shared" si="29"/>
        <v>1</v>
      </c>
      <c r="AU170" s="66" t="str">
        <f>'St of Activities - GA Exp'!C170</f>
        <v>Allen</v>
      </c>
      <c r="AV170" s="86"/>
      <c r="AW170" s="66" t="b">
        <f t="shared" si="32"/>
        <v>1</v>
      </c>
    </row>
    <row r="171" spans="1:49">
      <c r="A171" s="11" t="s">
        <v>713</v>
      </c>
      <c r="B171" s="11"/>
      <c r="C171" s="11" t="s">
        <v>46</v>
      </c>
      <c r="D171" s="11"/>
      <c r="E171" s="29">
        <v>48413</v>
      </c>
      <c r="F171" s="10"/>
      <c r="G171" s="7">
        <f t="shared" si="37"/>
        <v>44475054</v>
      </c>
      <c r="I171" s="7">
        <f>2122910+2363246</f>
        <v>4486156</v>
      </c>
      <c r="K171" s="7">
        <v>48961210</v>
      </c>
      <c r="M171" s="7">
        <f t="shared" si="35"/>
        <v>4341642</v>
      </c>
      <c r="O171" s="7">
        <v>787744</v>
      </c>
      <c r="Q171" s="7">
        <f>17343746-787744</f>
        <v>16556002</v>
      </c>
      <c r="S171" s="7">
        <v>21685388</v>
      </c>
      <c r="U171" s="7">
        <v>4900068</v>
      </c>
      <c r="W171" s="7">
        <f t="shared" si="38"/>
        <v>19571186</v>
      </c>
      <c r="Y171" s="7">
        <v>2804568</v>
      </c>
      <c r="AA171" s="7">
        <v>27275822</v>
      </c>
      <c r="AB171" s="7">
        <f t="shared" si="39"/>
        <v>0</v>
      </c>
      <c r="AD171" s="32">
        <f t="shared" si="36"/>
        <v>0</v>
      </c>
      <c r="AF171" s="32"/>
      <c r="AH171" s="32" t="str">
        <f>'St of Activites - GA Rev'!A171</f>
        <v xml:space="preserve">Elgin Local SD </v>
      </c>
      <c r="AI171" s="32" t="str">
        <f t="shared" si="33"/>
        <v xml:space="preserve">Elgin Local SD </v>
      </c>
      <c r="AJ171" s="32" t="b">
        <f t="shared" si="28"/>
        <v>1</v>
      </c>
      <c r="AL171" s="32" t="str">
        <f>'St of Activities - GA Exp'!A171</f>
        <v xml:space="preserve">Elgin Local SD </v>
      </c>
      <c r="AN171" s="32" t="b">
        <f t="shared" si="30"/>
        <v>1</v>
      </c>
      <c r="AR171" s="32" t="str">
        <f t="shared" si="31"/>
        <v>Marion</v>
      </c>
      <c r="AS171" s="32" t="str">
        <f>'St of Activites - GA Rev'!C171</f>
        <v>Marion</v>
      </c>
      <c r="AT171" s="32" t="b">
        <f t="shared" si="29"/>
        <v>1</v>
      </c>
      <c r="AU171" s="32" t="str">
        <f>'St of Activities - GA Exp'!C171</f>
        <v>Marion</v>
      </c>
      <c r="AV171" s="56"/>
      <c r="AW171" s="32" t="b">
        <f t="shared" si="32"/>
        <v>1</v>
      </c>
    </row>
    <row r="172" spans="1:49" s="65" customFormat="1" hidden="1">
      <c r="A172" s="62" t="s">
        <v>728</v>
      </c>
      <c r="B172" s="62"/>
      <c r="C172" s="62" t="s">
        <v>72</v>
      </c>
      <c r="D172" s="62"/>
      <c r="E172" s="64"/>
      <c r="F172" s="67"/>
      <c r="G172" s="65">
        <f t="shared" si="37"/>
        <v>0</v>
      </c>
      <c r="M172" s="65">
        <f t="shared" si="35"/>
        <v>0</v>
      </c>
      <c r="W172" s="65">
        <f t="shared" si="38"/>
        <v>0</v>
      </c>
      <c r="AB172" s="65">
        <f t="shared" si="39"/>
        <v>0</v>
      </c>
      <c r="AD172" s="66">
        <f t="shared" si="36"/>
        <v>0</v>
      </c>
      <c r="AE172" s="65" t="s">
        <v>839</v>
      </c>
      <c r="AF172" s="66"/>
      <c r="AH172" s="66" t="str">
        <f>'St of Activites - GA Rev'!A172</f>
        <v>Elmwood Local SD (CASH)</v>
      </c>
      <c r="AI172" s="66" t="str">
        <f t="shared" si="33"/>
        <v>Elmwood Local SD (CASH)</v>
      </c>
      <c r="AJ172" s="66" t="b">
        <f t="shared" si="28"/>
        <v>1</v>
      </c>
      <c r="AL172" s="66" t="str">
        <f>'St of Activities - GA Exp'!A172</f>
        <v>Elmwood Local SD (CASH)</v>
      </c>
      <c r="AN172" s="66" t="b">
        <f t="shared" si="30"/>
        <v>1</v>
      </c>
      <c r="AR172" s="66" t="str">
        <f t="shared" si="31"/>
        <v>Wood</v>
      </c>
      <c r="AS172" s="66" t="str">
        <f>'St of Activites - GA Rev'!C172</f>
        <v>Wood</v>
      </c>
      <c r="AT172" s="66" t="b">
        <f t="shared" si="29"/>
        <v>1</v>
      </c>
      <c r="AU172" s="66" t="str">
        <f>'St of Activities - GA Exp'!C172</f>
        <v>Wood</v>
      </c>
      <c r="AV172" s="86"/>
      <c r="AW172" s="66" t="b">
        <f t="shared" si="32"/>
        <v>1</v>
      </c>
    </row>
    <row r="173" spans="1:49">
      <c r="A173" s="11" t="s">
        <v>396</v>
      </c>
      <c r="B173" s="11"/>
      <c r="C173" s="11" t="s">
        <v>44</v>
      </c>
      <c r="D173" s="11"/>
      <c r="E173" s="29">
        <v>43943</v>
      </c>
      <c r="G173" s="7">
        <f t="shared" si="37"/>
        <v>62882371</v>
      </c>
      <c r="I173" s="7">
        <f>70026375+5254785</f>
        <v>75281160</v>
      </c>
      <c r="K173" s="7">
        <v>138163531</v>
      </c>
      <c r="M173" s="7">
        <f t="shared" si="35"/>
        <v>43843917</v>
      </c>
      <c r="O173" s="7">
        <v>2422635</v>
      </c>
      <c r="Q173" s="7">
        <f>55931901-2422635</f>
        <v>53509266</v>
      </c>
      <c r="S173" s="7">
        <v>99775818</v>
      </c>
      <c r="U173" s="7">
        <v>29932289</v>
      </c>
      <c r="W173" s="7">
        <f t="shared" si="38"/>
        <v>9160296</v>
      </c>
      <c r="Y173" s="7">
        <v>-704872</v>
      </c>
      <c r="AA173" s="7">
        <v>38387713</v>
      </c>
      <c r="AB173" s="7">
        <f t="shared" si="39"/>
        <v>0</v>
      </c>
      <c r="AD173" s="32">
        <f t="shared" si="36"/>
        <v>0</v>
      </c>
      <c r="AF173" s="32"/>
      <c r="AH173" s="32" t="str">
        <f>'St of Activites - GA Rev'!A173</f>
        <v>Elyria City SD</v>
      </c>
      <c r="AI173" s="32" t="str">
        <f t="shared" si="33"/>
        <v>Elyria City SD</v>
      </c>
      <c r="AJ173" s="32" t="b">
        <f t="shared" si="28"/>
        <v>1</v>
      </c>
      <c r="AL173" s="32" t="str">
        <f>'St of Activities - GA Exp'!A173</f>
        <v>Elyria City SD</v>
      </c>
      <c r="AN173" s="32" t="b">
        <f t="shared" si="30"/>
        <v>1</v>
      </c>
      <c r="AR173" s="32" t="str">
        <f t="shared" si="31"/>
        <v>Lorain</v>
      </c>
      <c r="AS173" s="32" t="str">
        <f>'St of Activites - GA Rev'!C173</f>
        <v>Lorain</v>
      </c>
      <c r="AT173" s="32" t="b">
        <f t="shared" si="29"/>
        <v>1</v>
      </c>
      <c r="AU173" s="32" t="str">
        <f>'St of Activities - GA Exp'!C173</f>
        <v>Lorain</v>
      </c>
      <c r="AV173" s="56"/>
      <c r="AW173" s="32" t="b">
        <f t="shared" si="32"/>
        <v>1</v>
      </c>
    </row>
    <row r="174" spans="1:49">
      <c r="A174" s="11" t="s">
        <v>273</v>
      </c>
      <c r="B174" s="11"/>
      <c r="C174" s="11" t="s">
        <v>20</v>
      </c>
      <c r="D174" s="11"/>
      <c r="E174" s="29">
        <v>43950</v>
      </c>
      <c r="G174" s="7">
        <f t="shared" si="37"/>
        <v>129043353</v>
      </c>
      <c r="I174" s="7">
        <f>8625286+21698136</f>
        <v>30323422</v>
      </c>
      <c r="K174" s="7">
        <v>159366775</v>
      </c>
      <c r="M174" s="7">
        <f t="shared" si="35"/>
        <v>42436681</v>
      </c>
      <c r="O174" s="7">
        <v>6030479</v>
      </c>
      <c r="Q174" s="7">
        <f>52723432-6030479</f>
        <v>46692953</v>
      </c>
      <c r="S174" s="7">
        <v>95160113</v>
      </c>
      <c r="U174" s="7">
        <v>15581829</v>
      </c>
      <c r="W174" s="7">
        <f t="shared" si="38"/>
        <v>35884347</v>
      </c>
      <c r="Y174" s="7">
        <v>12740486</v>
      </c>
      <c r="AA174" s="7">
        <v>64206662</v>
      </c>
      <c r="AB174" s="7">
        <f t="shared" si="39"/>
        <v>0</v>
      </c>
      <c r="AD174" s="32">
        <f t="shared" si="36"/>
        <v>0</v>
      </c>
      <c r="AF174" s="32"/>
      <c r="AH174" s="32" t="str">
        <f>'St of Activites - GA Rev'!A174</f>
        <v>Euclid City SD</v>
      </c>
      <c r="AI174" s="32" t="str">
        <f t="shared" si="33"/>
        <v>Euclid City SD</v>
      </c>
      <c r="AJ174" s="32" t="b">
        <f t="shared" si="28"/>
        <v>1</v>
      </c>
      <c r="AL174" s="32" t="str">
        <f>'St of Activities - GA Exp'!A174</f>
        <v>Euclid City SD</v>
      </c>
      <c r="AN174" s="32" t="b">
        <f t="shared" si="30"/>
        <v>1</v>
      </c>
      <c r="AR174" s="32" t="str">
        <f t="shared" si="31"/>
        <v>Cuyahoga</v>
      </c>
      <c r="AS174" s="32" t="str">
        <f>'St of Activites - GA Rev'!C174</f>
        <v>Cuyahoga</v>
      </c>
      <c r="AT174" s="32" t="b">
        <f t="shared" si="29"/>
        <v>1</v>
      </c>
      <c r="AU174" s="32" t="str">
        <f>'St of Activities - GA Exp'!C174</f>
        <v>Cuyahoga</v>
      </c>
      <c r="AV174" s="56"/>
      <c r="AW174" s="32" t="b">
        <f t="shared" si="32"/>
        <v>1</v>
      </c>
    </row>
    <row r="175" spans="1:49" s="65" customFormat="1" hidden="1">
      <c r="A175" s="63" t="s">
        <v>646</v>
      </c>
      <c r="B175" s="62"/>
      <c r="C175" s="62" t="s">
        <v>28</v>
      </c>
      <c r="D175" s="62"/>
      <c r="E175" s="64">
        <v>47050</v>
      </c>
      <c r="G175" s="65">
        <f t="shared" si="37"/>
        <v>0</v>
      </c>
      <c r="M175" s="65">
        <f t="shared" si="35"/>
        <v>0</v>
      </c>
      <c r="W175" s="65">
        <f t="shared" si="38"/>
        <v>0</v>
      </c>
      <c r="AB175" s="65">
        <f>+K175-S175-AA175</f>
        <v>0</v>
      </c>
      <c r="AD175" s="66">
        <f t="shared" si="36"/>
        <v>0</v>
      </c>
      <c r="AE175" s="65" t="s">
        <v>839</v>
      </c>
      <c r="AF175" s="66"/>
      <c r="AH175" s="66" t="str">
        <f>'St of Activites - GA Rev'!A175</f>
        <v>Evergreen Local SD (CASH)</v>
      </c>
      <c r="AI175" s="66" t="str">
        <f t="shared" si="33"/>
        <v>Evergreen Local SD (CASH)</v>
      </c>
      <c r="AJ175" s="66" t="b">
        <f t="shared" si="28"/>
        <v>1</v>
      </c>
      <c r="AL175" s="66" t="str">
        <f>'St of Activities - GA Exp'!A175</f>
        <v>Evergreen Local SD (CASH)</v>
      </c>
      <c r="AN175" s="66" t="b">
        <f t="shared" si="30"/>
        <v>1</v>
      </c>
      <c r="AR175" s="66" t="str">
        <f t="shared" si="31"/>
        <v>Fulton</v>
      </c>
      <c r="AS175" s="66" t="str">
        <f>'St of Activites - GA Rev'!C175</f>
        <v>Fulton</v>
      </c>
      <c r="AT175" s="66" t="b">
        <f t="shared" si="29"/>
        <v>1</v>
      </c>
      <c r="AU175" s="66" t="str">
        <f>'St of Activities - GA Exp'!C175</f>
        <v>Fulton</v>
      </c>
      <c r="AV175" s="86"/>
      <c r="AW175" s="66" t="b">
        <f t="shared" si="32"/>
        <v>1</v>
      </c>
    </row>
    <row r="176" spans="1:49">
      <c r="A176" s="11" t="s">
        <v>555</v>
      </c>
      <c r="B176" s="11"/>
      <c r="C176" s="11" t="s">
        <v>66</v>
      </c>
      <c r="D176" s="11"/>
      <c r="E176" s="29">
        <v>50328</v>
      </c>
      <c r="G176" s="7">
        <f t="shared" si="37"/>
        <v>9297749</v>
      </c>
      <c r="I176" s="7">
        <f>87149+16107509</f>
        <v>16194658</v>
      </c>
      <c r="K176" s="7">
        <v>25492407</v>
      </c>
      <c r="M176" s="7">
        <f t="shared" si="35"/>
        <v>6077877</v>
      </c>
      <c r="O176" s="7">
        <v>717795</v>
      </c>
      <c r="Q176" s="7">
        <f>11595503-717795</f>
        <v>10877708</v>
      </c>
      <c r="S176" s="7">
        <v>17673380</v>
      </c>
      <c r="U176" s="7">
        <v>4975080</v>
      </c>
      <c r="W176" s="7">
        <f t="shared" si="38"/>
        <v>1180701</v>
      </c>
      <c r="Y176" s="7">
        <v>1663246</v>
      </c>
      <c r="AA176" s="7">
        <v>7819027</v>
      </c>
      <c r="AB176" s="7">
        <f t="shared" si="39"/>
        <v>0</v>
      </c>
      <c r="AD176" s="32">
        <f t="shared" si="36"/>
        <v>0</v>
      </c>
      <c r="AF176" s="32"/>
      <c r="AH176" s="32" t="str">
        <f>'St of Activites - GA Rev'!A176</f>
        <v>Fairbanks Local SD</v>
      </c>
      <c r="AI176" s="32" t="str">
        <f t="shared" si="33"/>
        <v>Fairbanks Local SD</v>
      </c>
      <c r="AJ176" s="32" t="b">
        <f t="shared" si="28"/>
        <v>1</v>
      </c>
      <c r="AL176" s="32" t="str">
        <f>'St of Activities - GA Exp'!A176</f>
        <v>Fairbanks Local SD</v>
      </c>
      <c r="AN176" s="32" t="b">
        <f t="shared" si="30"/>
        <v>1</v>
      </c>
      <c r="AR176" s="32" t="str">
        <f t="shared" si="31"/>
        <v>Union</v>
      </c>
      <c r="AS176" s="32" t="str">
        <f>'St of Activites - GA Rev'!C176</f>
        <v>Union</v>
      </c>
      <c r="AT176" s="32" t="b">
        <f t="shared" si="29"/>
        <v>1</v>
      </c>
      <c r="AU176" s="32" t="str">
        <f>'St of Activities - GA Exp'!C176</f>
        <v>Union</v>
      </c>
      <c r="AV176" s="56"/>
      <c r="AW176" s="32" t="b">
        <f t="shared" si="32"/>
        <v>1</v>
      </c>
    </row>
    <row r="177" spans="1:49" s="32" customFormat="1">
      <c r="A177" s="31" t="s">
        <v>653</v>
      </c>
      <c r="B177" s="31"/>
      <c r="C177" s="31" t="s">
        <v>114</v>
      </c>
      <c r="D177" s="31"/>
      <c r="E177" s="29">
        <v>46102</v>
      </c>
      <c r="G177" s="7">
        <f>+K177-I177</f>
        <v>28705003</v>
      </c>
      <c r="H177" s="7"/>
      <c r="I177" s="7">
        <f>299675+12736717</f>
        <v>13036392</v>
      </c>
      <c r="J177" s="7"/>
      <c r="K177" s="7">
        <v>41741395</v>
      </c>
      <c r="L177" s="7"/>
      <c r="M177" s="7">
        <f t="shared" si="35"/>
        <v>21021594</v>
      </c>
      <c r="N177" s="7"/>
      <c r="O177" s="7">
        <v>1551398</v>
      </c>
      <c r="P177" s="7"/>
      <c r="Q177" s="7">
        <f>20405729-1551398</f>
        <v>18854331</v>
      </c>
      <c r="R177" s="7"/>
      <c r="S177" s="7">
        <v>41427323</v>
      </c>
      <c r="T177" s="7"/>
      <c r="U177" s="7">
        <v>-3350609</v>
      </c>
      <c r="V177" s="7"/>
      <c r="W177" s="7">
        <f>AA177-Y177-U177</f>
        <v>3523017</v>
      </c>
      <c r="X177" s="7"/>
      <c r="Y177" s="7">
        <v>141664</v>
      </c>
      <c r="Z177" s="7"/>
      <c r="AA177" s="7">
        <v>314072</v>
      </c>
      <c r="AB177" s="32">
        <f>+K177-S177-AA177</f>
        <v>0</v>
      </c>
      <c r="AD177" s="32">
        <f>+G177+I177+-M177-O177-U177-W177-Y177-Q177</f>
        <v>0</v>
      </c>
      <c r="AE177" s="7"/>
      <c r="AH177" s="32" t="str">
        <f>'St of Activites - GA Rev'!A177</f>
        <v>Fairborn City SD</v>
      </c>
      <c r="AI177" s="32" t="str">
        <f t="shared" si="33"/>
        <v>Fairborn City SD</v>
      </c>
      <c r="AJ177" s="32" t="b">
        <f t="shared" si="28"/>
        <v>1</v>
      </c>
      <c r="AL177" s="32" t="str">
        <f>'St of Activities - GA Exp'!A177</f>
        <v>Fairborn City SD</v>
      </c>
      <c r="AN177" s="32" t="b">
        <f t="shared" si="30"/>
        <v>1</v>
      </c>
      <c r="AR177" s="32" t="str">
        <f t="shared" si="31"/>
        <v>Greene</v>
      </c>
      <c r="AS177" s="32" t="str">
        <f>'St of Activites - GA Rev'!C177</f>
        <v>Greene</v>
      </c>
      <c r="AT177" s="32" t="b">
        <f t="shared" si="29"/>
        <v>1</v>
      </c>
      <c r="AU177" s="32" t="str">
        <f>'St of Activities - GA Exp'!C177</f>
        <v>Greene</v>
      </c>
      <c r="AW177" s="32" t="b">
        <f t="shared" si="32"/>
        <v>1</v>
      </c>
    </row>
    <row r="178" spans="1:49">
      <c r="A178" s="11" t="s">
        <v>224</v>
      </c>
      <c r="B178" s="11"/>
      <c r="C178" s="11" t="s">
        <v>223</v>
      </c>
      <c r="D178" s="11"/>
      <c r="E178" s="29">
        <v>46102</v>
      </c>
      <c r="G178" s="7">
        <f t="shared" si="37"/>
        <v>68505520</v>
      </c>
      <c r="I178" s="7">
        <f>5702946+55330371</f>
        <v>61033317</v>
      </c>
      <c r="K178" s="7">
        <v>129538837</v>
      </c>
      <c r="M178" s="7">
        <f t="shared" si="35"/>
        <v>58586017</v>
      </c>
      <c r="O178" s="7">
        <v>1582586</v>
      </c>
      <c r="Q178" s="7">
        <f>37639755-1582586</f>
        <v>36057169</v>
      </c>
      <c r="S178" s="7">
        <v>96225772</v>
      </c>
      <c r="U178" s="7">
        <v>33694985</v>
      </c>
      <c r="W178" s="7">
        <f t="shared" si="38"/>
        <v>2464469</v>
      </c>
      <c r="Y178" s="7">
        <v>-2846389</v>
      </c>
      <c r="AA178" s="7">
        <v>33313065</v>
      </c>
      <c r="AB178" s="7">
        <f t="shared" si="39"/>
        <v>0</v>
      </c>
      <c r="AD178" s="32">
        <f t="shared" si="36"/>
        <v>0</v>
      </c>
      <c r="AF178" s="32"/>
      <c r="AH178" s="32" t="str">
        <f>'St of Activites - GA Rev'!A178</f>
        <v>Fairfield City SD</v>
      </c>
      <c r="AI178" s="32" t="str">
        <f t="shared" si="33"/>
        <v>Fairfield City SD</v>
      </c>
      <c r="AJ178" s="32" t="b">
        <f t="shared" si="28"/>
        <v>1</v>
      </c>
      <c r="AL178" s="32" t="str">
        <f>'St of Activities - GA Exp'!A178</f>
        <v>Fairfield City SD</v>
      </c>
      <c r="AN178" s="32" t="b">
        <f t="shared" si="30"/>
        <v>1</v>
      </c>
      <c r="AR178" s="32" t="str">
        <f t="shared" si="31"/>
        <v>Butler</v>
      </c>
      <c r="AS178" s="32" t="str">
        <f>'St of Activites - GA Rev'!C178</f>
        <v>Butler</v>
      </c>
      <c r="AT178" s="32" t="b">
        <f t="shared" si="29"/>
        <v>1</v>
      </c>
      <c r="AU178" s="32" t="str">
        <f>'St of Activities - GA Exp'!C178</f>
        <v>Butler</v>
      </c>
      <c r="AV178" s="56"/>
      <c r="AW178" s="32" t="b">
        <f t="shared" si="32"/>
        <v>1</v>
      </c>
    </row>
    <row r="179" spans="1:49">
      <c r="A179" s="11" t="s">
        <v>359</v>
      </c>
      <c r="B179" s="11"/>
      <c r="C179" s="11" t="s">
        <v>358</v>
      </c>
      <c r="D179" s="11"/>
      <c r="E179" s="29">
        <v>47621</v>
      </c>
      <c r="G179" s="7">
        <f t="shared" si="37"/>
        <v>4576807</v>
      </c>
      <c r="I179" s="7">
        <f>399200+14466619</f>
        <v>14865819</v>
      </c>
      <c r="K179" s="7">
        <v>19442626</v>
      </c>
      <c r="M179" s="7">
        <f t="shared" si="35"/>
        <v>2215706</v>
      </c>
      <c r="O179" s="7">
        <v>179057</v>
      </c>
      <c r="Q179" s="7">
        <f>2314508-179057</f>
        <v>2135451</v>
      </c>
      <c r="S179" s="7">
        <v>4530214</v>
      </c>
      <c r="U179" s="7">
        <v>13200549</v>
      </c>
      <c r="W179" s="7">
        <f t="shared" si="38"/>
        <v>1015930</v>
      </c>
      <c r="Y179" s="7">
        <v>695933</v>
      </c>
      <c r="AA179" s="7">
        <v>14912412</v>
      </c>
      <c r="AB179" s="7">
        <f t="shared" si="39"/>
        <v>0</v>
      </c>
      <c r="AD179" s="32">
        <f t="shared" si="36"/>
        <v>0</v>
      </c>
      <c r="AF179" s="32"/>
      <c r="AH179" s="32" t="str">
        <f>'St of Activites - GA Rev'!A179</f>
        <v>Fairfield Local SD</v>
      </c>
      <c r="AI179" s="32" t="str">
        <f t="shared" si="33"/>
        <v>Fairfield Local SD</v>
      </c>
      <c r="AJ179" s="32" t="b">
        <f t="shared" si="28"/>
        <v>1</v>
      </c>
      <c r="AL179" s="32" t="str">
        <f>'St of Activities - GA Exp'!A179</f>
        <v>Fairfield Local SD</v>
      </c>
      <c r="AN179" s="32" t="b">
        <f t="shared" si="30"/>
        <v>1</v>
      </c>
      <c r="AR179" s="32" t="str">
        <f t="shared" si="31"/>
        <v>Highland</v>
      </c>
      <c r="AS179" s="32" t="str">
        <f>'St of Activites - GA Rev'!C179</f>
        <v>Highland</v>
      </c>
      <c r="AT179" s="32" t="b">
        <f t="shared" si="29"/>
        <v>1</v>
      </c>
      <c r="AU179" s="32" t="str">
        <f>'St of Activities - GA Exp'!C179</f>
        <v>Highland</v>
      </c>
      <c r="AV179" s="56"/>
      <c r="AW179" s="32" t="b">
        <f t="shared" si="32"/>
        <v>1</v>
      </c>
    </row>
    <row r="180" spans="1:49">
      <c r="A180" s="11" t="s">
        <v>300</v>
      </c>
      <c r="B180" s="11"/>
      <c r="C180" s="11" t="s">
        <v>25</v>
      </c>
      <c r="D180" s="11"/>
      <c r="E180" s="29">
        <v>46870</v>
      </c>
      <c r="G180" s="7">
        <f t="shared" si="37"/>
        <v>72895205</v>
      </c>
      <c r="I180" s="7">
        <f>15898330+4695055</f>
        <v>20593385</v>
      </c>
      <c r="K180" s="7">
        <v>93488590</v>
      </c>
      <c r="M180" s="7">
        <f t="shared" si="35"/>
        <v>7778800</v>
      </c>
      <c r="O180" s="7">
        <v>852298</v>
      </c>
      <c r="Q180" s="7">
        <f>27595520-852298</f>
        <v>26743222</v>
      </c>
      <c r="S180" s="7">
        <v>35374320</v>
      </c>
      <c r="U180" s="7">
        <v>36235228</v>
      </c>
      <c r="W180" s="7">
        <f t="shared" si="38"/>
        <v>15379397</v>
      </c>
      <c r="Y180" s="7">
        <v>6499645</v>
      </c>
      <c r="AA180" s="7">
        <v>58114270</v>
      </c>
      <c r="AB180" s="7">
        <f>+K180-S180-AA180</f>
        <v>0</v>
      </c>
      <c r="AD180" s="32">
        <f>+G180+I180+-M180-O180-U180-W180-Y180-Q180</f>
        <v>0</v>
      </c>
      <c r="AF180" s="32"/>
      <c r="AH180" s="32" t="str">
        <f>'St of Activites - GA Rev'!A180</f>
        <v>Fairfield Union Local SD</v>
      </c>
      <c r="AI180" s="32" t="str">
        <f t="shared" si="33"/>
        <v>Fairfield Union Local SD</v>
      </c>
      <c r="AJ180" s="32" t="b">
        <f t="shared" si="28"/>
        <v>1</v>
      </c>
      <c r="AL180" s="32" t="str">
        <f>'St of Activities - GA Exp'!A180</f>
        <v>Fairfield Union Local SD</v>
      </c>
      <c r="AN180" s="32" t="b">
        <f t="shared" si="30"/>
        <v>1</v>
      </c>
      <c r="AR180" s="32" t="str">
        <f t="shared" si="31"/>
        <v>Fairfield</v>
      </c>
      <c r="AS180" s="32" t="str">
        <f>'St of Activites - GA Rev'!C180</f>
        <v>Fairfield</v>
      </c>
      <c r="AT180" s="32" t="b">
        <f t="shared" si="29"/>
        <v>1</v>
      </c>
      <c r="AU180" s="32" t="str">
        <f>'St of Activities - GA Exp'!C180</f>
        <v>Fairfield</v>
      </c>
      <c r="AV180" s="56"/>
      <c r="AW180" s="32" t="b">
        <f t="shared" si="32"/>
        <v>1</v>
      </c>
    </row>
    <row r="181" spans="1:49">
      <c r="A181" s="11" t="s">
        <v>379</v>
      </c>
      <c r="B181" s="11"/>
      <c r="C181" s="11" t="s">
        <v>377</v>
      </c>
      <c r="D181" s="11"/>
      <c r="E181" s="29">
        <v>47936</v>
      </c>
      <c r="G181" s="32">
        <f t="shared" si="37"/>
        <v>11158448</v>
      </c>
      <c r="H181" s="32"/>
      <c r="I181" s="32">
        <f>198591+29453628</f>
        <v>29652219</v>
      </c>
      <c r="J181" s="32"/>
      <c r="K181" s="32">
        <v>40810667</v>
      </c>
      <c r="L181" s="32"/>
      <c r="M181" s="32">
        <f t="shared" si="35"/>
        <v>5020376</v>
      </c>
      <c r="N181" s="32"/>
      <c r="O181" s="32">
        <v>271582</v>
      </c>
      <c r="P181" s="32"/>
      <c r="Q181" s="32">
        <f>3644636-271582</f>
        <v>3373054</v>
      </c>
      <c r="R181" s="32"/>
      <c r="S181" s="32">
        <v>8665012</v>
      </c>
      <c r="T181" s="32"/>
      <c r="U181" s="32">
        <v>27192219</v>
      </c>
      <c r="V181" s="32"/>
      <c r="W181" s="32">
        <f t="shared" si="38"/>
        <v>2720570</v>
      </c>
      <c r="X181" s="32"/>
      <c r="Y181" s="32">
        <v>2232866</v>
      </c>
      <c r="Z181" s="32"/>
      <c r="AA181" s="32">
        <v>32145655</v>
      </c>
      <c r="AB181" s="7">
        <f>+K181-S181-AA181</f>
        <v>0</v>
      </c>
      <c r="AD181" s="32">
        <f>+G181+I181+-M181-O181-U181-W181-Y181-Q181</f>
        <v>0</v>
      </c>
      <c r="AF181" s="32"/>
      <c r="AH181" s="32" t="str">
        <f>'St of Activites - GA Rev'!A181</f>
        <v>Fairland Local SD</v>
      </c>
      <c r="AI181" s="32" t="str">
        <f t="shared" si="33"/>
        <v>Fairland Local SD</v>
      </c>
      <c r="AJ181" s="32" t="b">
        <f t="shared" si="28"/>
        <v>1</v>
      </c>
      <c r="AL181" s="32" t="str">
        <f>'St of Activities - GA Exp'!A181</f>
        <v>Fairland Local SD</v>
      </c>
      <c r="AN181" s="32" t="b">
        <f t="shared" si="30"/>
        <v>1</v>
      </c>
      <c r="AR181" s="32" t="str">
        <f t="shared" si="31"/>
        <v>Lawrence</v>
      </c>
      <c r="AS181" s="32" t="str">
        <f>'St of Activites - GA Rev'!C181</f>
        <v>Lawrence</v>
      </c>
      <c r="AT181" s="32" t="b">
        <f t="shared" si="29"/>
        <v>1</v>
      </c>
      <c r="AU181" s="32" t="str">
        <f>'St of Activities - GA Exp'!C181</f>
        <v>Lawrence</v>
      </c>
      <c r="AV181" s="56"/>
      <c r="AW181" s="32" t="b">
        <f t="shared" si="32"/>
        <v>1</v>
      </c>
    </row>
    <row r="182" spans="1:49" s="65" customFormat="1" hidden="1">
      <c r="A182" s="62" t="s">
        <v>647</v>
      </c>
      <c r="B182" s="62"/>
      <c r="C182" s="62" t="s">
        <v>61</v>
      </c>
      <c r="D182" s="62"/>
      <c r="E182" s="64">
        <v>49775</v>
      </c>
      <c r="G182" s="65">
        <f t="shared" si="37"/>
        <v>0</v>
      </c>
      <c r="M182" s="65">
        <f t="shared" si="35"/>
        <v>0</v>
      </c>
      <c r="W182" s="65">
        <f t="shared" si="38"/>
        <v>0</v>
      </c>
      <c r="AB182" s="65">
        <f>+K182-S182-AA182</f>
        <v>0</v>
      </c>
      <c r="AD182" s="66">
        <f t="shared" si="36"/>
        <v>0</v>
      </c>
      <c r="AE182" s="65" t="s">
        <v>839</v>
      </c>
      <c r="AF182" s="66"/>
      <c r="AH182" s="66" t="str">
        <f>'St of Activites - GA Rev'!A182</f>
        <v>Fairlawn Local SD (CASH)</v>
      </c>
      <c r="AI182" s="66" t="str">
        <f t="shared" si="33"/>
        <v>Fairlawn Local SD (CASH)</v>
      </c>
      <c r="AJ182" s="66" t="b">
        <f t="shared" si="28"/>
        <v>1</v>
      </c>
      <c r="AL182" s="66" t="str">
        <f>'St of Activities - GA Exp'!A182</f>
        <v>Fairlawn Local SD (CASH)</v>
      </c>
      <c r="AN182" s="66" t="b">
        <f t="shared" si="30"/>
        <v>1</v>
      </c>
      <c r="AR182" s="66" t="str">
        <f t="shared" si="31"/>
        <v>Shelby</v>
      </c>
      <c r="AS182" s="66" t="str">
        <f>'St of Activites - GA Rev'!C182</f>
        <v>Shelby</v>
      </c>
      <c r="AT182" s="66" t="b">
        <f t="shared" si="29"/>
        <v>1</v>
      </c>
      <c r="AU182" s="66" t="str">
        <f>'St of Activities - GA Exp'!C182</f>
        <v>Shelby</v>
      </c>
      <c r="AV182" s="86"/>
      <c r="AW182" s="66" t="b">
        <f t="shared" si="32"/>
        <v>1</v>
      </c>
    </row>
    <row r="183" spans="1:49">
      <c r="A183" s="11" t="s">
        <v>511</v>
      </c>
      <c r="B183" s="11"/>
      <c r="C183" s="11" t="s">
        <v>62</v>
      </c>
      <c r="D183" s="11"/>
      <c r="E183" s="29">
        <v>49841</v>
      </c>
      <c r="G183" s="7">
        <f t="shared" si="37"/>
        <v>11749428</v>
      </c>
      <c r="I183" s="7">
        <f>165570+27772170</f>
        <v>27937740</v>
      </c>
      <c r="K183" s="7">
        <v>39687168</v>
      </c>
      <c r="M183" s="7">
        <f t="shared" si="35"/>
        <v>7167162</v>
      </c>
      <c r="O183" s="7">
        <v>458223</v>
      </c>
      <c r="Q183" s="7">
        <f>13135065-458223</f>
        <v>12676842</v>
      </c>
      <c r="S183" s="7">
        <v>20302227</v>
      </c>
      <c r="U183" s="7">
        <v>15245604</v>
      </c>
      <c r="W183" s="7">
        <f t="shared" si="38"/>
        <v>1728273</v>
      </c>
      <c r="Y183" s="7">
        <v>2411064</v>
      </c>
      <c r="AA183" s="7">
        <v>19384941</v>
      </c>
      <c r="AB183" s="7">
        <f>+K183-S183-AA183</f>
        <v>0</v>
      </c>
      <c r="AD183" s="32">
        <f>+G183+I183+-M183-O183-U183-W183-Y183-Q183</f>
        <v>0</v>
      </c>
      <c r="AF183" s="32"/>
      <c r="AH183" s="32" t="str">
        <f>'St of Activites - GA Rev'!A183</f>
        <v>Fairless Local SD</v>
      </c>
      <c r="AI183" s="32" t="str">
        <f t="shared" si="33"/>
        <v>Fairless Local SD</v>
      </c>
      <c r="AJ183" s="32" t="b">
        <f t="shared" si="28"/>
        <v>1</v>
      </c>
      <c r="AL183" s="32" t="str">
        <f>'St of Activities - GA Exp'!A183</f>
        <v>Fairless Local SD</v>
      </c>
      <c r="AN183" s="32" t="b">
        <f t="shared" si="30"/>
        <v>1</v>
      </c>
      <c r="AR183" s="32" t="str">
        <f t="shared" si="31"/>
        <v>Stark</v>
      </c>
      <c r="AS183" s="32" t="str">
        <f>'St of Activites - GA Rev'!C183</f>
        <v>Stark</v>
      </c>
      <c r="AT183" s="32" t="b">
        <f t="shared" si="29"/>
        <v>1</v>
      </c>
      <c r="AU183" s="32" t="str">
        <f>'St of Activities - GA Exp'!C183</f>
        <v>Stark</v>
      </c>
      <c r="AV183" s="56"/>
      <c r="AW183" s="32" t="b">
        <f t="shared" si="32"/>
        <v>1</v>
      </c>
    </row>
    <row r="184" spans="1:49" s="65" customFormat="1" hidden="1">
      <c r="A184" s="62" t="s">
        <v>711</v>
      </c>
      <c r="B184" s="62"/>
      <c r="C184" s="62" t="s">
        <v>41</v>
      </c>
      <c r="D184" s="62"/>
      <c r="E184" s="64">
        <v>45369</v>
      </c>
      <c r="F184" s="67"/>
      <c r="G184" s="65">
        <f t="shared" si="37"/>
        <v>0</v>
      </c>
      <c r="M184" s="65">
        <f t="shared" si="35"/>
        <v>0</v>
      </c>
      <c r="W184" s="65">
        <f t="shared" si="38"/>
        <v>0</v>
      </c>
      <c r="AB184" s="65">
        <f t="shared" si="39"/>
        <v>0</v>
      </c>
      <c r="AD184" s="66">
        <f t="shared" si="36"/>
        <v>0</v>
      </c>
      <c r="AE184" s="65" t="s">
        <v>848</v>
      </c>
      <c r="AF184" s="66"/>
      <c r="AH184" s="66" t="str">
        <f>'St of Activites - GA Rev'!A184</f>
        <v>Fairport Harbor Ex Vill SD - Two Year Audit</v>
      </c>
      <c r="AI184" s="66" t="str">
        <f t="shared" si="33"/>
        <v>Fairport Harbor Ex Vill SD - Two Year Audit</v>
      </c>
      <c r="AJ184" s="66" t="b">
        <f t="shared" si="28"/>
        <v>1</v>
      </c>
      <c r="AL184" s="66" t="str">
        <f>'St of Activities - GA Exp'!A184</f>
        <v>Fairport Harbor Ex Vill SD - Two Year Audit</v>
      </c>
      <c r="AN184" s="66" t="b">
        <f t="shared" si="30"/>
        <v>1</v>
      </c>
      <c r="AR184" s="66" t="str">
        <f t="shared" si="31"/>
        <v>Lake</v>
      </c>
      <c r="AS184" s="66" t="str">
        <f>'St of Activites - GA Rev'!C184</f>
        <v>Lake</v>
      </c>
      <c r="AT184" s="66" t="b">
        <f t="shared" si="29"/>
        <v>1</v>
      </c>
      <c r="AU184" s="66" t="str">
        <f>'St of Activities - GA Exp'!C184</f>
        <v>Lake</v>
      </c>
      <c r="AV184" s="86"/>
      <c r="AW184" s="66" t="b">
        <f t="shared" si="32"/>
        <v>1</v>
      </c>
    </row>
    <row r="185" spans="1:49">
      <c r="A185" s="11" t="s">
        <v>274</v>
      </c>
      <c r="B185" s="11"/>
      <c r="C185" s="11" t="s">
        <v>20</v>
      </c>
      <c r="D185" s="11"/>
      <c r="E185" s="29">
        <v>43976</v>
      </c>
      <c r="G185" s="7">
        <f t="shared" si="37"/>
        <v>34303428</v>
      </c>
      <c r="I185" s="7">
        <f>226660+35272672</f>
        <v>35499332</v>
      </c>
      <c r="K185" s="7">
        <v>69802760</v>
      </c>
      <c r="M185" s="7">
        <f t="shared" si="35"/>
        <v>17886010</v>
      </c>
      <c r="O185" s="7">
        <v>1484808</v>
      </c>
      <c r="Q185" s="7">
        <f>30069841-1484808</f>
        <v>28585033</v>
      </c>
      <c r="S185" s="7">
        <v>47955851</v>
      </c>
      <c r="U185" s="7">
        <v>8948196</v>
      </c>
      <c r="W185" s="7">
        <f t="shared" si="38"/>
        <v>2790289</v>
      </c>
      <c r="Y185" s="7">
        <v>10108424</v>
      </c>
      <c r="AA185" s="7">
        <v>21846909</v>
      </c>
      <c r="AB185" s="7">
        <f t="shared" si="39"/>
        <v>0</v>
      </c>
      <c r="AD185" s="32">
        <f t="shared" si="36"/>
        <v>0</v>
      </c>
      <c r="AF185" s="32"/>
      <c r="AH185" s="32" t="str">
        <f>'St of Activites - GA Rev'!A185</f>
        <v>Fairview Park City SD</v>
      </c>
      <c r="AI185" s="32" t="str">
        <f t="shared" si="33"/>
        <v>Fairview Park City SD</v>
      </c>
      <c r="AJ185" s="32" t="b">
        <f t="shared" si="28"/>
        <v>1</v>
      </c>
      <c r="AL185" s="32" t="str">
        <f>'St of Activities - GA Exp'!A185</f>
        <v>Fairview Park City SD</v>
      </c>
      <c r="AN185" s="32" t="b">
        <f t="shared" si="30"/>
        <v>1</v>
      </c>
      <c r="AR185" s="32" t="str">
        <f t="shared" si="31"/>
        <v>Cuyahoga</v>
      </c>
      <c r="AS185" s="32" t="str">
        <f>'St of Activites - GA Rev'!C185</f>
        <v>Cuyahoga</v>
      </c>
      <c r="AT185" s="32" t="b">
        <f t="shared" si="29"/>
        <v>1</v>
      </c>
      <c r="AU185" s="32" t="str">
        <f>'St of Activities - GA Exp'!C185</f>
        <v>Cuyahoga</v>
      </c>
      <c r="AV185" s="56"/>
      <c r="AW185" s="32" t="b">
        <f t="shared" si="32"/>
        <v>1</v>
      </c>
    </row>
    <row r="186" spans="1:49" s="65" customFormat="1" hidden="1">
      <c r="A186" s="62" t="s">
        <v>849</v>
      </c>
      <c r="B186" s="62"/>
      <c r="C186" s="62" t="s">
        <v>28</v>
      </c>
      <c r="D186" s="62"/>
      <c r="E186" s="64">
        <v>47068</v>
      </c>
      <c r="G186" s="65">
        <f t="shared" si="37"/>
        <v>0</v>
      </c>
      <c r="M186" s="65">
        <f t="shared" si="35"/>
        <v>0</v>
      </c>
      <c r="W186" s="65">
        <f t="shared" si="38"/>
        <v>0</v>
      </c>
      <c r="AB186" s="65">
        <f t="shared" si="39"/>
        <v>0</v>
      </c>
      <c r="AD186" s="66">
        <f t="shared" si="36"/>
        <v>0</v>
      </c>
      <c r="AE186" s="65" t="s">
        <v>837</v>
      </c>
      <c r="AF186" s="66"/>
      <c r="AH186" s="66" t="str">
        <f>'St of Activites - GA Rev'!A186</f>
        <v>Fayette Local SD (CASH)</v>
      </c>
      <c r="AI186" s="66" t="str">
        <f t="shared" si="33"/>
        <v>Fayette Local SD (CASH)</v>
      </c>
      <c r="AJ186" s="66" t="b">
        <f t="shared" si="28"/>
        <v>1</v>
      </c>
      <c r="AL186" s="66" t="str">
        <f>'St of Activities - GA Exp'!A186</f>
        <v>Fayette Local SD (CASH)</v>
      </c>
      <c r="AN186" s="66" t="b">
        <f t="shared" si="30"/>
        <v>1</v>
      </c>
      <c r="AR186" s="66" t="str">
        <f t="shared" si="31"/>
        <v>Fulton</v>
      </c>
      <c r="AS186" s="66" t="str">
        <f>'St of Activites - GA Rev'!C186</f>
        <v>Fulton</v>
      </c>
      <c r="AT186" s="66" t="b">
        <f t="shared" si="29"/>
        <v>1</v>
      </c>
      <c r="AU186" s="66" t="str">
        <f>'St of Activities - GA Exp'!C186</f>
        <v>Fulton</v>
      </c>
      <c r="AV186" s="86"/>
      <c r="AW186" s="66" t="b">
        <f t="shared" si="32"/>
        <v>1</v>
      </c>
    </row>
    <row r="187" spans="1:49">
      <c r="A187" s="11" t="s">
        <v>221</v>
      </c>
      <c r="B187" s="11"/>
      <c r="C187" s="11" t="s">
        <v>77</v>
      </c>
      <c r="D187" s="11"/>
      <c r="E187" s="29">
        <v>46045</v>
      </c>
      <c r="G187" s="7">
        <f t="shared" si="37"/>
        <v>6433698</v>
      </c>
      <c r="I187" s="7">
        <f>89380+1007720+27149755</f>
        <v>28246855</v>
      </c>
      <c r="K187" s="7">
        <v>34680553</v>
      </c>
      <c r="M187" s="7">
        <f t="shared" si="35"/>
        <v>2739751</v>
      </c>
      <c r="O187" s="7">
        <v>393594</v>
      </c>
      <c r="Q187" s="7">
        <f>8195145-393594</f>
        <v>7801551</v>
      </c>
      <c r="S187" s="7">
        <v>10934896</v>
      </c>
      <c r="U187" s="7">
        <v>20562012</v>
      </c>
      <c r="W187" s="7">
        <f t="shared" si="38"/>
        <v>2736233</v>
      </c>
      <c r="Y187" s="7">
        <v>447412</v>
      </c>
      <c r="AA187" s="7">
        <v>23745657</v>
      </c>
      <c r="AB187" s="7">
        <f t="shared" si="39"/>
        <v>0</v>
      </c>
      <c r="AD187" s="32">
        <f t="shared" si="36"/>
        <v>0</v>
      </c>
      <c r="AE187" s="7" t="s">
        <v>850</v>
      </c>
      <c r="AF187" s="32"/>
      <c r="AH187" s="32" t="str">
        <f>'St of Activites - GA Rev'!A187</f>
        <v>Fayetteville-Perry Local SD</v>
      </c>
      <c r="AI187" s="32" t="str">
        <f t="shared" si="33"/>
        <v>Fayetteville-Perry Local SD</v>
      </c>
      <c r="AJ187" s="32" t="b">
        <f t="shared" si="28"/>
        <v>1</v>
      </c>
      <c r="AL187" s="32" t="str">
        <f>'St of Activities - GA Exp'!A187</f>
        <v>Fayetteville-Perry Local SD</v>
      </c>
      <c r="AN187" s="32" t="b">
        <f t="shared" si="30"/>
        <v>1</v>
      </c>
      <c r="AR187" s="32" t="str">
        <f t="shared" si="31"/>
        <v>Brown</v>
      </c>
      <c r="AS187" s="32" t="str">
        <f>'St of Activites - GA Rev'!C187</f>
        <v>Brown</v>
      </c>
      <c r="AT187" s="32" t="b">
        <f t="shared" si="29"/>
        <v>1</v>
      </c>
      <c r="AU187" s="32" t="str">
        <f>'St of Activities - GA Exp'!C187</f>
        <v>Brown</v>
      </c>
      <c r="AV187" s="56"/>
      <c r="AW187" s="32" t="b">
        <f t="shared" si="32"/>
        <v>1</v>
      </c>
    </row>
    <row r="188" spans="1:49">
      <c r="A188" s="12" t="s">
        <v>841</v>
      </c>
      <c r="B188" s="12"/>
      <c r="C188" s="12" t="s">
        <v>13</v>
      </c>
      <c r="D188" s="11"/>
      <c r="E188" s="29"/>
      <c r="G188" s="7">
        <f t="shared" si="37"/>
        <v>7848024</v>
      </c>
      <c r="I188" s="7">
        <f>44623+8799520</f>
        <v>8844143</v>
      </c>
      <c r="K188" s="7">
        <v>16692167</v>
      </c>
      <c r="M188" s="7">
        <f t="shared" si="35"/>
        <v>4293784</v>
      </c>
      <c r="O188" s="7">
        <v>163652</v>
      </c>
      <c r="Q188" s="7">
        <f>1124539-163652</f>
        <v>960887</v>
      </c>
      <c r="S188" s="7">
        <v>5418323</v>
      </c>
      <c r="U188" s="7">
        <v>8324139</v>
      </c>
      <c r="W188" s="7">
        <f t="shared" si="38"/>
        <v>1382783</v>
      </c>
      <c r="Y188" s="7">
        <v>1566922</v>
      </c>
      <c r="AA188" s="7">
        <v>11273844</v>
      </c>
      <c r="AB188" s="7">
        <f t="shared" si="39"/>
        <v>0</v>
      </c>
      <c r="AD188" s="32">
        <f t="shared" si="36"/>
        <v>0</v>
      </c>
      <c r="AF188" s="32"/>
      <c r="AH188" s="32" t="str">
        <f>'St of Activites - GA Rev'!A188</f>
        <v>Federal Hocking Local SD</v>
      </c>
      <c r="AI188" s="32" t="str">
        <f t="shared" si="33"/>
        <v>Federal Hocking Local SD</v>
      </c>
      <c r="AJ188" s="32" t="b">
        <f t="shared" si="28"/>
        <v>1</v>
      </c>
      <c r="AL188" s="32" t="str">
        <f>'St of Activities - GA Exp'!A188</f>
        <v>Federal Hocking Local SD</v>
      </c>
      <c r="AN188" s="32" t="b">
        <f t="shared" si="30"/>
        <v>1</v>
      </c>
      <c r="AR188" s="32" t="str">
        <f t="shared" si="31"/>
        <v>Athens</v>
      </c>
      <c r="AS188" s="32" t="str">
        <f>'St of Activites - GA Rev'!C188</f>
        <v>Athens</v>
      </c>
      <c r="AT188" s="32" t="b">
        <f t="shared" si="29"/>
        <v>1</v>
      </c>
      <c r="AU188" s="32" t="str">
        <f>'St of Activities - GA Exp'!C188</f>
        <v>Athens</v>
      </c>
      <c r="AV188" s="56"/>
      <c r="AW188" s="32" t="b">
        <f t="shared" si="32"/>
        <v>1</v>
      </c>
    </row>
    <row r="189" spans="1:49">
      <c r="A189" s="11" t="s">
        <v>244</v>
      </c>
      <c r="B189" s="11"/>
      <c r="C189" s="11" t="s">
        <v>113</v>
      </c>
      <c r="D189" s="11"/>
      <c r="E189" s="29">
        <v>46334</v>
      </c>
      <c r="G189" s="7">
        <f t="shared" si="37"/>
        <v>4903867</v>
      </c>
      <c r="I189" s="7">
        <f>65450+18005398</f>
        <v>18070848</v>
      </c>
      <c r="K189" s="7">
        <v>22974715</v>
      </c>
      <c r="M189" s="7">
        <f t="shared" si="35"/>
        <v>2385666</v>
      </c>
      <c r="O189" s="7">
        <v>292924</v>
      </c>
      <c r="Q189" s="7">
        <f>2580087-292924</f>
        <v>2287163</v>
      </c>
      <c r="S189" s="7">
        <v>4965753</v>
      </c>
      <c r="U189" s="7">
        <v>15963475</v>
      </c>
      <c r="W189" s="7">
        <f t="shared" si="38"/>
        <v>1506479</v>
      </c>
      <c r="Y189" s="7">
        <v>539008</v>
      </c>
      <c r="AA189" s="7">
        <v>18008962</v>
      </c>
      <c r="AB189" s="7">
        <f t="shared" si="39"/>
        <v>0</v>
      </c>
      <c r="AD189" s="32">
        <f t="shared" si="36"/>
        <v>0</v>
      </c>
      <c r="AF189" s="32"/>
      <c r="AH189" s="32" t="str">
        <f>'St of Activites - GA Rev'!A189</f>
        <v>Felicity-Franklin Local SD</v>
      </c>
      <c r="AI189" s="32" t="str">
        <f t="shared" si="33"/>
        <v>Felicity-Franklin Local SD</v>
      </c>
      <c r="AJ189" s="32" t="b">
        <f t="shared" si="28"/>
        <v>1</v>
      </c>
      <c r="AL189" s="32" t="str">
        <f>'St of Activities - GA Exp'!A189</f>
        <v>Felicity-Franklin Local SD</v>
      </c>
      <c r="AN189" s="32" t="b">
        <f t="shared" si="30"/>
        <v>1</v>
      </c>
      <c r="AR189" s="32" t="str">
        <f t="shared" si="31"/>
        <v>Clermont</v>
      </c>
      <c r="AS189" s="32" t="str">
        <f>'St of Activites - GA Rev'!C189</f>
        <v>Clermont</v>
      </c>
      <c r="AT189" s="32" t="b">
        <f t="shared" si="29"/>
        <v>1</v>
      </c>
      <c r="AU189" s="32" t="str">
        <f>'St of Activities - GA Exp'!C189</f>
        <v>Clermont</v>
      </c>
      <c r="AV189" s="56"/>
      <c r="AW189" s="32" t="b">
        <f t="shared" si="32"/>
        <v>1</v>
      </c>
    </row>
    <row r="190" spans="1:49">
      <c r="A190" s="11" t="s">
        <v>760</v>
      </c>
      <c r="B190" s="11"/>
      <c r="C190" s="11" t="s">
        <v>56</v>
      </c>
      <c r="D190" s="11"/>
      <c r="E190" s="29">
        <v>49197</v>
      </c>
      <c r="G190" s="7">
        <f t="shared" si="37"/>
        <v>12914225</v>
      </c>
      <c r="I190" s="7">
        <f>597678+340028+27552494</f>
        <v>28490200</v>
      </c>
      <c r="K190" s="7">
        <v>41404425</v>
      </c>
      <c r="M190" s="7">
        <f t="shared" si="35"/>
        <v>10903342</v>
      </c>
      <c r="O190" s="7">
        <v>618612</v>
      </c>
      <c r="Q190" s="7">
        <f>26472690-618612</f>
        <v>25854078</v>
      </c>
      <c r="S190" s="7">
        <v>37376032</v>
      </c>
      <c r="U190" s="7">
        <v>3469785</v>
      </c>
      <c r="W190" s="7">
        <f t="shared" si="38"/>
        <v>1376858</v>
      </c>
      <c r="Y190" s="7">
        <v>-818250</v>
      </c>
      <c r="AA190" s="7">
        <v>4028393</v>
      </c>
      <c r="AB190" s="7">
        <f t="shared" si="39"/>
        <v>0</v>
      </c>
      <c r="AD190" s="32">
        <f t="shared" si="36"/>
        <v>0</v>
      </c>
      <c r="AE190" s="7" t="s">
        <v>850</v>
      </c>
      <c r="AF190" s="32"/>
      <c r="AH190" s="32" t="str">
        <f>'St of Activites - GA Rev'!A190</f>
        <v xml:space="preserve">Field Local SD </v>
      </c>
      <c r="AI190" s="32" t="str">
        <f t="shared" si="33"/>
        <v xml:space="preserve">Field Local SD </v>
      </c>
      <c r="AJ190" s="32" t="b">
        <f t="shared" si="28"/>
        <v>1</v>
      </c>
      <c r="AL190" s="32" t="str">
        <f>'St of Activities - GA Exp'!A190</f>
        <v xml:space="preserve">Field Local SD </v>
      </c>
      <c r="AN190" s="32" t="b">
        <f t="shared" si="30"/>
        <v>1</v>
      </c>
      <c r="AR190" s="32" t="str">
        <f t="shared" si="31"/>
        <v>Portage</v>
      </c>
      <c r="AS190" s="32" t="str">
        <f>'St of Activites - GA Rev'!C190</f>
        <v>Portage</v>
      </c>
      <c r="AT190" s="32" t="b">
        <f t="shared" si="29"/>
        <v>1</v>
      </c>
      <c r="AU190" s="32" t="str">
        <f>'St of Activities - GA Exp'!C190</f>
        <v>Portage</v>
      </c>
      <c r="AV190" s="56"/>
      <c r="AW190" s="32" t="b">
        <f t="shared" si="32"/>
        <v>1</v>
      </c>
    </row>
    <row r="191" spans="1:49">
      <c r="A191" s="11" t="s">
        <v>346</v>
      </c>
      <c r="B191" s="11"/>
      <c r="C191" s="11" t="s">
        <v>33</v>
      </c>
      <c r="D191" s="11"/>
      <c r="E191" s="29">
        <v>43984</v>
      </c>
      <c r="G191" s="7">
        <f t="shared" si="37"/>
        <v>122224749</v>
      </c>
      <c r="I191" s="7">
        <f>5296171+15695077</f>
        <v>20991248</v>
      </c>
      <c r="K191" s="7">
        <v>143215997</v>
      </c>
      <c r="M191" s="7">
        <f t="shared" si="35"/>
        <v>35740168</v>
      </c>
      <c r="O191" s="7">
        <v>2421832</v>
      </c>
      <c r="Q191" s="7">
        <f>58769486-2421832</f>
        <v>56347654</v>
      </c>
      <c r="S191" s="7">
        <v>94509654</v>
      </c>
      <c r="U191" s="7">
        <v>17194091</v>
      </c>
      <c r="W191" s="7">
        <f t="shared" si="38"/>
        <v>24592513</v>
      </c>
      <c r="Y191" s="7">
        <v>6919739</v>
      </c>
      <c r="AA191" s="7">
        <v>48706343</v>
      </c>
      <c r="AB191" s="7">
        <f t="shared" si="39"/>
        <v>0</v>
      </c>
      <c r="AD191" s="32">
        <f t="shared" si="36"/>
        <v>0</v>
      </c>
      <c r="AF191" s="32"/>
      <c r="AH191" s="32" t="str">
        <f>'St of Activites - GA Rev'!A191</f>
        <v>Findlay City SD</v>
      </c>
      <c r="AI191" s="32" t="str">
        <f t="shared" si="33"/>
        <v>Findlay City SD</v>
      </c>
      <c r="AJ191" s="32" t="b">
        <f t="shared" si="28"/>
        <v>1</v>
      </c>
      <c r="AL191" s="32" t="str">
        <f>'St of Activities - GA Exp'!A191</f>
        <v>Findlay City SD</v>
      </c>
      <c r="AN191" s="32" t="b">
        <f t="shared" si="30"/>
        <v>1</v>
      </c>
      <c r="AR191" s="32" t="str">
        <f t="shared" si="31"/>
        <v>Hancock</v>
      </c>
      <c r="AS191" s="32" t="str">
        <f>'St of Activites - GA Rev'!C191</f>
        <v>Hancock</v>
      </c>
      <c r="AT191" s="32" t="b">
        <f t="shared" si="29"/>
        <v>1</v>
      </c>
      <c r="AU191" s="32" t="str">
        <f>'St of Activities - GA Exp'!C191</f>
        <v>Hancock</v>
      </c>
      <c r="AV191" s="56"/>
      <c r="AW191" s="32" t="b">
        <f t="shared" si="32"/>
        <v>1</v>
      </c>
    </row>
    <row r="192" spans="1:49">
      <c r="A192" s="11" t="s">
        <v>330</v>
      </c>
      <c r="B192" s="11"/>
      <c r="C192" s="11" t="s">
        <v>32</v>
      </c>
      <c r="D192" s="11"/>
      <c r="E192" s="29">
        <v>47332</v>
      </c>
      <c r="G192" s="7">
        <f t="shared" si="37"/>
        <v>15423491</v>
      </c>
      <c r="I192" s="7">
        <f>1154812+6312119</f>
        <v>7466931</v>
      </c>
      <c r="K192" s="7">
        <v>22890422</v>
      </c>
      <c r="M192" s="7">
        <f t="shared" si="35"/>
        <v>9625340</v>
      </c>
      <c r="O192" s="7">
        <v>649271</v>
      </c>
      <c r="Q192" s="7">
        <f>7963554-649271</f>
        <v>7314283</v>
      </c>
      <c r="S192" s="7">
        <v>17588894</v>
      </c>
      <c r="U192" s="7">
        <v>814137</v>
      </c>
      <c r="W192" s="7">
        <f t="shared" si="38"/>
        <v>1675223</v>
      </c>
      <c r="Y192" s="7">
        <v>2812168</v>
      </c>
      <c r="AA192" s="7">
        <v>5301528</v>
      </c>
      <c r="AB192" s="7">
        <f t="shared" si="39"/>
        <v>0</v>
      </c>
      <c r="AD192" s="32">
        <f t="shared" si="36"/>
        <v>0</v>
      </c>
      <c r="AE192" s="7" t="s">
        <v>850</v>
      </c>
      <c r="AF192" s="32"/>
      <c r="AH192" s="32" t="str">
        <f>'St of Activites - GA Rev'!A192</f>
        <v>Finneytown Local SD</v>
      </c>
      <c r="AI192" s="32" t="str">
        <f t="shared" si="33"/>
        <v>Finneytown Local SD</v>
      </c>
      <c r="AJ192" s="32" t="b">
        <f t="shared" si="28"/>
        <v>1</v>
      </c>
      <c r="AL192" s="32" t="str">
        <f>'St of Activities - GA Exp'!A192</f>
        <v>Finneytown Local SD</v>
      </c>
      <c r="AN192" s="32" t="b">
        <f t="shared" si="30"/>
        <v>1</v>
      </c>
      <c r="AR192" s="32" t="str">
        <f t="shared" si="31"/>
        <v>Hamilton</v>
      </c>
      <c r="AS192" s="32" t="str">
        <f>'St of Activites - GA Rev'!C192</f>
        <v>Hamilton</v>
      </c>
      <c r="AT192" s="32" t="b">
        <f t="shared" si="29"/>
        <v>1</v>
      </c>
      <c r="AU192" s="32" t="str">
        <f>'St of Activities - GA Exp'!C192</f>
        <v>Hamilton</v>
      </c>
      <c r="AV192" s="56"/>
      <c r="AW192" s="32" t="b">
        <f t="shared" si="32"/>
        <v>1</v>
      </c>
    </row>
    <row r="193" spans="1:49">
      <c r="A193" s="11" t="s">
        <v>397</v>
      </c>
      <c r="B193" s="11"/>
      <c r="C193" s="11" t="s">
        <v>44</v>
      </c>
      <c r="D193" s="11"/>
      <c r="E193" s="29">
        <v>48157</v>
      </c>
      <c r="G193" s="7">
        <f t="shared" si="37"/>
        <v>11394699</v>
      </c>
      <c r="I193" s="7">
        <f>1044498+4264070</f>
        <v>5308568</v>
      </c>
      <c r="K193" s="7">
        <v>16703267</v>
      </c>
      <c r="M193" s="7">
        <f t="shared" si="35"/>
        <v>9160967</v>
      </c>
      <c r="O193" s="7">
        <v>296919</v>
      </c>
      <c r="Q193" s="7">
        <f>2172065-296919</f>
        <v>1875146</v>
      </c>
      <c r="S193" s="7">
        <v>11333032</v>
      </c>
      <c r="U193" s="7">
        <v>4203080</v>
      </c>
      <c r="W193" s="7">
        <f t="shared" si="38"/>
        <v>1312640</v>
      </c>
      <c r="Y193" s="7">
        <v>-145485</v>
      </c>
      <c r="AA193" s="7">
        <v>5370235</v>
      </c>
      <c r="AB193" s="7">
        <f t="shared" si="39"/>
        <v>0</v>
      </c>
      <c r="AD193" s="32">
        <f t="shared" si="36"/>
        <v>0</v>
      </c>
      <c r="AF193" s="32"/>
      <c r="AH193" s="32" t="str">
        <f>'St of Activites - GA Rev'!A193</f>
        <v>Firelands Local SD</v>
      </c>
      <c r="AI193" s="32" t="str">
        <f t="shared" si="33"/>
        <v>Firelands Local SD</v>
      </c>
      <c r="AJ193" s="32" t="b">
        <f t="shared" si="28"/>
        <v>1</v>
      </c>
      <c r="AL193" s="32" t="str">
        <f>'St of Activities - GA Exp'!A193</f>
        <v>Firelands Local SD</v>
      </c>
      <c r="AN193" s="32" t="b">
        <f t="shared" si="30"/>
        <v>1</v>
      </c>
      <c r="AR193" s="32" t="str">
        <f t="shared" si="31"/>
        <v>Lorain</v>
      </c>
      <c r="AS193" s="32" t="str">
        <f>'St of Activites - GA Rev'!C193</f>
        <v>Lorain</v>
      </c>
      <c r="AT193" s="32" t="b">
        <f t="shared" si="29"/>
        <v>1</v>
      </c>
      <c r="AU193" s="32" t="str">
        <f>'St of Activities - GA Exp'!C193</f>
        <v>Lorain</v>
      </c>
      <c r="AV193" s="56"/>
      <c r="AW193" s="32" t="b">
        <f t="shared" si="32"/>
        <v>1</v>
      </c>
    </row>
    <row r="194" spans="1:49">
      <c r="A194" s="11" t="s">
        <v>331</v>
      </c>
      <c r="B194" s="11"/>
      <c r="C194" s="11" t="s">
        <v>32</v>
      </c>
      <c r="D194" s="11"/>
      <c r="E194" s="29">
        <v>47340</v>
      </c>
      <c r="G194" s="7">
        <f t="shared" si="37"/>
        <v>67248283</v>
      </c>
      <c r="I194" s="7">
        <f>1015235+25519984</f>
        <v>26535219</v>
      </c>
      <c r="K194" s="7">
        <v>93783502</v>
      </c>
      <c r="M194" s="7">
        <f t="shared" si="35"/>
        <v>38520388</v>
      </c>
      <c r="O194" s="7">
        <v>3033743</v>
      </c>
      <c r="Q194" s="7">
        <f>13851121-3033743</f>
        <v>10817378</v>
      </c>
      <c r="S194" s="7">
        <v>52371509</v>
      </c>
      <c r="U194" s="7">
        <v>15437825</v>
      </c>
      <c r="W194" s="7">
        <f t="shared" si="38"/>
        <v>7988567</v>
      </c>
      <c r="Y194" s="7">
        <v>17985601</v>
      </c>
      <c r="AA194" s="7">
        <v>41411993</v>
      </c>
      <c r="AB194" s="7">
        <f t="shared" si="39"/>
        <v>0</v>
      </c>
      <c r="AD194" s="32">
        <f t="shared" si="36"/>
        <v>0</v>
      </c>
      <c r="AE194" s="7" t="s">
        <v>852</v>
      </c>
      <c r="AF194" s="32"/>
      <c r="AH194" s="32" t="str">
        <f>'St of Activites - GA Rev'!A194</f>
        <v>Forest Hills Local SD</v>
      </c>
      <c r="AI194" s="32" t="str">
        <f t="shared" si="33"/>
        <v>Forest Hills Local SD</v>
      </c>
      <c r="AJ194" s="32" t="b">
        <f t="shared" si="28"/>
        <v>1</v>
      </c>
      <c r="AL194" s="32" t="str">
        <f>'St of Activities - GA Exp'!A194</f>
        <v>Forest Hills Local SD</v>
      </c>
      <c r="AN194" s="32" t="b">
        <f t="shared" si="30"/>
        <v>1</v>
      </c>
      <c r="AR194" s="32" t="str">
        <f t="shared" si="31"/>
        <v>Hamilton</v>
      </c>
      <c r="AS194" s="32" t="str">
        <f>'St of Activites - GA Rev'!C194</f>
        <v>Hamilton</v>
      </c>
      <c r="AT194" s="32" t="b">
        <f t="shared" si="29"/>
        <v>1</v>
      </c>
      <c r="AU194" s="32" t="str">
        <f>'St of Activities - GA Exp'!C194</f>
        <v>Hamilton</v>
      </c>
      <c r="AV194" s="56"/>
      <c r="AW194" s="32" t="b">
        <f t="shared" si="32"/>
        <v>1</v>
      </c>
    </row>
    <row r="195" spans="1:49" s="65" customFormat="1" hidden="1">
      <c r="A195" s="62" t="s">
        <v>642</v>
      </c>
      <c r="B195" s="62"/>
      <c r="C195" s="62" t="s">
        <v>70</v>
      </c>
      <c r="D195" s="62"/>
      <c r="E195" s="64">
        <v>50484</v>
      </c>
      <c r="G195" s="65">
        <f t="shared" si="37"/>
        <v>0</v>
      </c>
      <c r="M195" s="65">
        <f t="shared" si="35"/>
        <v>0</v>
      </c>
      <c r="W195" s="65">
        <f t="shared" si="38"/>
        <v>0</v>
      </c>
      <c r="AB195" s="65">
        <f t="shared" si="39"/>
        <v>0</v>
      </c>
      <c r="AD195" s="66">
        <f t="shared" si="36"/>
        <v>0</v>
      </c>
      <c r="AE195" s="65" t="s">
        <v>839</v>
      </c>
      <c r="AF195" s="66"/>
      <c r="AH195" s="66" t="str">
        <f>'St of Activites - GA Rev'!A195</f>
        <v>Fort Frye Local SD (CASH)</v>
      </c>
      <c r="AI195" s="66" t="str">
        <f t="shared" si="33"/>
        <v>Fort Frye Local SD (CASH)</v>
      </c>
      <c r="AJ195" s="66" t="b">
        <f t="shared" si="28"/>
        <v>1</v>
      </c>
      <c r="AL195" s="66" t="str">
        <f>'St of Activities - GA Exp'!A195</f>
        <v>Fort Frye Local SD (CASH)</v>
      </c>
      <c r="AN195" s="66" t="b">
        <f t="shared" si="30"/>
        <v>1</v>
      </c>
      <c r="AR195" s="66" t="str">
        <f t="shared" si="31"/>
        <v>Washington</v>
      </c>
      <c r="AS195" s="66" t="str">
        <f>'St of Activites - GA Rev'!C195</f>
        <v>Washington</v>
      </c>
      <c r="AT195" s="66" t="b">
        <f t="shared" si="29"/>
        <v>1</v>
      </c>
      <c r="AU195" s="66" t="str">
        <f>'St of Activities - GA Exp'!C195</f>
        <v>Washington</v>
      </c>
      <c r="AV195" s="86"/>
      <c r="AW195" s="66" t="b">
        <f t="shared" si="32"/>
        <v>1</v>
      </c>
    </row>
    <row r="196" spans="1:49">
      <c r="A196" s="11" t="s">
        <v>505</v>
      </c>
      <c r="B196" s="11"/>
      <c r="C196" s="11" t="s">
        <v>61</v>
      </c>
      <c r="D196" s="11"/>
      <c r="E196" s="29">
        <v>49783</v>
      </c>
      <c r="G196" s="7">
        <f t="shared" si="37"/>
        <v>7547506</v>
      </c>
      <c r="I196" s="7">
        <f>23555705+140200</f>
        <v>23695905</v>
      </c>
      <c r="K196" s="7">
        <v>31243411</v>
      </c>
      <c r="M196" s="7">
        <f t="shared" si="35"/>
        <v>2941406</v>
      </c>
      <c r="O196" s="7">
        <v>482356</v>
      </c>
      <c r="Q196" s="7">
        <f>11393390-482356</f>
        <v>10911034</v>
      </c>
      <c r="S196" s="7">
        <v>14334796</v>
      </c>
      <c r="U196" s="7">
        <v>13191204</v>
      </c>
      <c r="W196" s="7">
        <f t="shared" si="38"/>
        <v>1579162</v>
      </c>
      <c r="Y196" s="7">
        <v>2138249</v>
      </c>
      <c r="AA196" s="7">
        <v>16908615</v>
      </c>
      <c r="AB196" s="7">
        <f t="shared" si="39"/>
        <v>0</v>
      </c>
      <c r="AD196" s="32">
        <f t="shared" si="36"/>
        <v>0</v>
      </c>
      <c r="AE196" s="7" t="s">
        <v>853</v>
      </c>
      <c r="AF196" s="32"/>
      <c r="AH196" s="32" t="str">
        <f>'St of Activites - GA Rev'!A196</f>
        <v>Fort Loramie Local SD</v>
      </c>
      <c r="AI196" s="32" t="str">
        <f t="shared" si="33"/>
        <v>Fort Loramie Local SD</v>
      </c>
      <c r="AJ196" s="32" t="b">
        <f t="shared" si="28"/>
        <v>1</v>
      </c>
      <c r="AL196" s="32" t="str">
        <f>'St of Activities - GA Exp'!A196</f>
        <v>Fort Loramie Local SD</v>
      </c>
      <c r="AN196" s="32" t="b">
        <f t="shared" si="30"/>
        <v>1</v>
      </c>
      <c r="AR196" s="32" t="str">
        <f t="shared" si="31"/>
        <v>Shelby</v>
      </c>
      <c r="AS196" s="32" t="str">
        <f>'St of Activites - GA Rev'!C196</f>
        <v>Shelby</v>
      </c>
      <c r="AT196" s="32" t="b">
        <f t="shared" si="29"/>
        <v>1</v>
      </c>
      <c r="AU196" s="32" t="str">
        <f>'St of Activities - GA Exp'!C196</f>
        <v>Shelby</v>
      </c>
      <c r="AV196" s="56"/>
      <c r="AW196" s="32" t="b">
        <f t="shared" si="32"/>
        <v>1</v>
      </c>
    </row>
    <row r="197" spans="1:49" s="65" customFormat="1" hidden="1">
      <c r="A197" s="63" t="s">
        <v>873</v>
      </c>
      <c r="B197" s="63"/>
      <c r="C197" s="63" t="s">
        <v>435</v>
      </c>
      <c r="D197" s="62"/>
      <c r="E197" s="64"/>
      <c r="G197" s="65">
        <f t="shared" si="37"/>
        <v>0</v>
      </c>
      <c r="M197" s="65">
        <f t="shared" si="35"/>
        <v>0</v>
      </c>
      <c r="W197" s="65">
        <f t="shared" si="38"/>
        <v>0</v>
      </c>
      <c r="AB197" s="65">
        <f t="shared" si="39"/>
        <v>0</v>
      </c>
      <c r="AD197" s="66">
        <f t="shared" si="36"/>
        <v>0</v>
      </c>
      <c r="AE197" s="65" t="s">
        <v>839</v>
      </c>
      <c r="AF197" s="66"/>
      <c r="AH197" s="66" t="str">
        <f>'St of Activites - GA Rev'!A197</f>
        <v>Fort Recovery Local SD (CASH)</v>
      </c>
      <c r="AI197" s="66" t="str">
        <f t="shared" si="33"/>
        <v>Fort Recovery Local SD (CASH)</v>
      </c>
      <c r="AJ197" s="66" t="b">
        <f t="shared" si="28"/>
        <v>1</v>
      </c>
      <c r="AL197" s="66" t="str">
        <f>'St of Activities - GA Exp'!A197</f>
        <v>Fort Recovery Local SD (CASH)</v>
      </c>
      <c r="AN197" s="66" t="b">
        <f t="shared" si="30"/>
        <v>1</v>
      </c>
      <c r="AR197" s="66" t="str">
        <f t="shared" si="31"/>
        <v>Mercer</v>
      </c>
      <c r="AS197" s="66" t="str">
        <f>'St of Activites - GA Rev'!C197</f>
        <v>Mercer</v>
      </c>
      <c r="AT197" s="66" t="b">
        <f t="shared" si="29"/>
        <v>1</v>
      </c>
      <c r="AU197" s="66" t="str">
        <f>'St of Activities - GA Exp'!C197</f>
        <v>Mercer</v>
      </c>
      <c r="AV197" s="86"/>
      <c r="AW197" s="66" t="b">
        <f t="shared" si="32"/>
        <v>1</v>
      </c>
    </row>
    <row r="198" spans="1:49" s="65" customFormat="1" hidden="1">
      <c r="A198" s="62" t="s">
        <v>854</v>
      </c>
      <c r="B198" s="62"/>
      <c r="C198" s="62" t="s">
        <v>60</v>
      </c>
      <c r="D198" s="62"/>
      <c r="E198" s="64">
        <v>43992</v>
      </c>
      <c r="G198" s="65">
        <f t="shared" si="37"/>
        <v>0</v>
      </c>
      <c r="M198" s="65">
        <f t="shared" si="35"/>
        <v>0</v>
      </c>
      <c r="W198" s="65">
        <f t="shared" si="38"/>
        <v>0</v>
      </c>
      <c r="AB198" s="65">
        <f t="shared" si="39"/>
        <v>0</v>
      </c>
      <c r="AD198" s="66">
        <f t="shared" si="36"/>
        <v>0</v>
      </c>
      <c r="AE198" s="65" t="s">
        <v>855</v>
      </c>
      <c r="AF198" s="66"/>
      <c r="AH198" s="66" t="str">
        <f>'St of Activites - GA Rev'!A198</f>
        <v>Fostoria City SD (CASH)</v>
      </c>
      <c r="AI198" s="66" t="str">
        <f t="shared" si="33"/>
        <v>Fostoria City SD (CASH)</v>
      </c>
      <c r="AJ198" s="66" t="b">
        <f t="shared" si="28"/>
        <v>1</v>
      </c>
      <c r="AL198" s="66" t="str">
        <f>'St of Activities - GA Exp'!A198</f>
        <v>Fostoria City SD (CASH)</v>
      </c>
      <c r="AN198" s="66" t="b">
        <f t="shared" si="30"/>
        <v>1</v>
      </c>
      <c r="AR198" s="66" t="str">
        <f t="shared" si="31"/>
        <v>Seneca</v>
      </c>
      <c r="AS198" s="66" t="str">
        <f>'St of Activites - GA Rev'!C198</f>
        <v>Seneca</v>
      </c>
      <c r="AT198" s="66" t="b">
        <f t="shared" si="29"/>
        <v>1</v>
      </c>
      <c r="AU198" s="66" t="str">
        <f>'St of Activities - GA Exp'!C198</f>
        <v>Seneca</v>
      </c>
      <c r="AV198" s="86"/>
      <c r="AW198" s="66" t="b">
        <f t="shared" si="32"/>
        <v>1</v>
      </c>
    </row>
    <row r="199" spans="1:49">
      <c r="A199" s="11" t="s">
        <v>561</v>
      </c>
      <c r="B199" s="11"/>
      <c r="C199" s="11" t="s">
        <v>69</v>
      </c>
      <c r="D199" s="11"/>
      <c r="E199" s="29">
        <v>44008</v>
      </c>
      <c r="G199" s="7">
        <f t="shared" si="37"/>
        <v>25579742</v>
      </c>
      <c r="I199" s="7">
        <f>15553194+409574</f>
        <v>15962768</v>
      </c>
      <c r="K199" s="7">
        <v>41542510</v>
      </c>
      <c r="M199" s="7">
        <f t="shared" si="35"/>
        <v>14311349</v>
      </c>
      <c r="O199" s="7">
        <v>495650</v>
      </c>
      <c r="Q199" s="7">
        <f>5683978-495650</f>
        <v>5188328</v>
      </c>
      <c r="S199" s="7">
        <v>19995327</v>
      </c>
      <c r="U199" s="7">
        <v>14779344</v>
      </c>
      <c r="W199" s="7">
        <f t="shared" si="38"/>
        <v>2720471</v>
      </c>
      <c r="Y199" s="7">
        <v>4047368</v>
      </c>
      <c r="AA199" s="7">
        <v>21547183</v>
      </c>
      <c r="AB199" s="7">
        <f t="shared" si="39"/>
        <v>0</v>
      </c>
      <c r="AD199" s="32">
        <f t="shared" si="36"/>
        <v>0</v>
      </c>
      <c r="AF199" s="32"/>
      <c r="AH199" s="32" t="str">
        <f>'St of Activites - GA Rev'!A199</f>
        <v>Franklin City SD</v>
      </c>
      <c r="AI199" s="32" t="str">
        <f t="shared" si="33"/>
        <v>Franklin City SD</v>
      </c>
      <c r="AJ199" s="32" t="b">
        <f t="shared" si="28"/>
        <v>1</v>
      </c>
      <c r="AL199" s="32" t="str">
        <f>'St of Activities - GA Exp'!A199</f>
        <v>Franklin City SD</v>
      </c>
      <c r="AN199" s="32" t="b">
        <f t="shared" si="30"/>
        <v>1</v>
      </c>
      <c r="AR199" s="32" t="str">
        <f t="shared" si="31"/>
        <v>Warren</v>
      </c>
      <c r="AS199" s="32" t="str">
        <f>'St of Activites - GA Rev'!C199</f>
        <v>Warren</v>
      </c>
      <c r="AT199" s="32" t="b">
        <f t="shared" si="29"/>
        <v>1</v>
      </c>
      <c r="AU199" s="32" t="str">
        <f>'St of Activities - GA Exp'!C199</f>
        <v>Warren</v>
      </c>
      <c r="AV199" s="56"/>
      <c r="AW199" s="32" t="b">
        <f t="shared" si="32"/>
        <v>1</v>
      </c>
    </row>
    <row r="200" spans="1:49">
      <c r="A200" s="11" t="s">
        <v>457</v>
      </c>
      <c r="B200" s="11"/>
      <c r="C200" s="11" t="s">
        <v>51</v>
      </c>
      <c r="D200" s="11"/>
      <c r="E200" s="29">
        <v>48843</v>
      </c>
      <c r="G200" s="7">
        <f t="shared" si="37"/>
        <v>18616684</v>
      </c>
      <c r="I200" s="7">
        <f>1140909+36730115</f>
        <v>37871024</v>
      </c>
      <c r="K200" s="7">
        <v>56487708</v>
      </c>
      <c r="M200" s="7">
        <f t="shared" si="35"/>
        <v>9687569</v>
      </c>
      <c r="O200" s="7">
        <v>542593</v>
      </c>
      <c r="Q200" s="7">
        <f>7477810-542593</f>
        <v>6935217</v>
      </c>
      <c r="S200" s="7">
        <v>17165379</v>
      </c>
      <c r="U200" s="7">
        <v>32330173</v>
      </c>
      <c r="W200" s="7">
        <f t="shared" si="38"/>
        <v>2791327</v>
      </c>
      <c r="Y200" s="7">
        <v>4200829</v>
      </c>
      <c r="AA200" s="7">
        <v>39322329</v>
      </c>
      <c r="AB200" s="7">
        <f t="shared" si="39"/>
        <v>0</v>
      </c>
      <c r="AD200" s="32">
        <f t="shared" si="36"/>
        <v>0</v>
      </c>
      <c r="AF200" s="32"/>
      <c r="AH200" s="32" t="str">
        <f>'St of Activites - GA Rev'!A200</f>
        <v>Franklin Local SD</v>
      </c>
      <c r="AI200" s="32" t="str">
        <f t="shared" si="33"/>
        <v>Franklin Local SD</v>
      </c>
      <c r="AJ200" s="32" t="b">
        <f t="shared" si="28"/>
        <v>1</v>
      </c>
      <c r="AL200" s="32" t="str">
        <f>'St of Activities - GA Exp'!A200</f>
        <v>Franklin Local SD</v>
      </c>
      <c r="AN200" s="32" t="b">
        <f t="shared" si="30"/>
        <v>1</v>
      </c>
      <c r="AR200" s="32" t="str">
        <f t="shared" si="31"/>
        <v>Muskingum</v>
      </c>
      <c r="AS200" s="32" t="str">
        <f>'St of Activites - GA Rev'!C200</f>
        <v>Muskingum</v>
      </c>
      <c r="AT200" s="32" t="b">
        <f t="shared" si="29"/>
        <v>1</v>
      </c>
      <c r="AU200" s="32" t="str">
        <f>'St of Activities - GA Exp'!C200</f>
        <v>Muskingum</v>
      </c>
      <c r="AV200" s="56"/>
      <c r="AW200" s="32" t="b">
        <f t="shared" si="32"/>
        <v>1</v>
      </c>
    </row>
    <row r="201" spans="1:49" s="65" customFormat="1" hidden="1">
      <c r="A201" s="62" t="s">
        <v>641</v>
      </c>
      <c r="B201" s="62"/>
      <c r="C201" s="62" t="s">
        <v>21</v>
      </c>
      <c r="D201" s="62"/>
      <c r="E201" s="64">
        <v>46649</v>
      </c>
      <c r="G201" s="65">
        <f t="shared" si="37"/>
        <v>0</v>
      </c>
      <c r="M201" s="65">
        <f t="shared" si="35"/>
        <v>0</v>
      </c>
      <c r="W201" s="65">
        <f t="shared" si="38"/>
        <v>0</v>
      </c>
      <c r="AB201" s="65">
        <f>+K201-S201-AA201</f>
        <v>0</v>
      </c>
      <c r="AD201" s="66">
        <f t="shared" si="36"/>
        <v>0</v>
      </c>
      <c r="AE201" s="65" t="s">
        <v>839</v>
      </c>
      <c r="AF201" s="66"/>
      <c r="AH201" s="66" t="str">
        <f>'St of Activites - GA Rev'!A201</f>
        <v>Franklin Monroe Local SD (CASH)</v>
      </c>
      <c r="AI201" s="66" t="str">
        <f t="shared" si="33"/>
        <v>Franklin Monroe Local SD (CASH)</v>
      </c>
      <c r="AJ201" s="66" t="b">
        <f t="shared" si="28"/>
        <v>1</v>
      </c>
      <c r="AL201" s="66" t="str">
        <f>'St of Activities - GA Exp'!A201</f>
        <v>Franklin Monroe Local SD (CASH)</v>
      </c>
      <c r="AN201" s="66" t="b">
        <f t="shared" si="30"/>
        <v>1</v>
      </c>
      <c r="AR201" s="66" t="str">
        <f t="shared" si="31"/>
        <v>Darke</v>
      </c>
      <c r="AS201" s="66" t="str">
        <f>'St of Activites - GA Rev'!C201</f>
        <v>Darke</v>
      </c>
      <c r="AT201" s="66" t="b">
        <f t="shared" si="29"/>
        <v>1</v>
      </c>
      <c r="AU201" s="66" t="str">
        <f>'St of Activities - GA Exp'!C201</f>
        <v>Darke</v>
      </c>
      <c r="AV201" s="86"/>
      <c r="AW201" s="66" t="b">
        <f t="shared" si="32"/>
        <v>1</v>
      </c>
    </row>
    <row r="202" spans="1:49" s="65" customFormat="1" hidden="1">
      <c r="A202" s="62" t="s">
        <v>696</v>
      </c>
      <c r="B202" s="62"/>
      <c r="C202" s="62" t="s">
        <v>40</v>
      </c>
      <c r="D202" s="62"/>
      <c r="E202" s="64">
        <v>47852</v>
      </c>
      <c r="G202" s="65">
        <f t="shared" si="37"/>
        <v>0</v>
      </c>
      <c r="M202" s="65">
        <f t="shared" si="35"/>
        <v>0</v>
      </c>
      <c r="W202" s="65">
        <f t="shared" si="38"/>
        <v>0</v>
      </c>
      <c r="AB202" s="65">
        <f t="shared" si="39"/>
        <v>0</v>
      </c>
      <c r="AD202" s="66">
        <f t="shared" si="36"/>
        <v>0</v>
      </c>
      <c r="AE202" s="65" t="s">
        <v>839</v>
      </c>
      <c r="AF202" s="66"/>
      <c r="AH202" s="66" t="str">
        <f>'St of Activites - GA Rev'!A202</f>
        <v>Fredericktown Local SD (CASH)</v>
      </c>
      <c r="AI202" s="66" t="str">
        <f t="shared" ref="AI202:AI262" si="40">A202</f>
        <v>Fredericktown Local SD (CASH)</v>
      </c>
      <c r="AJ202" s="66" t="b">
        <f t="shared" si="28"/>
        <v>1</v>
      </c>
      <c r="AL202" s="66" t="str">
        <f>'St of Activities - GA Exp'!A202</f>
        <v>Fredericktown Local SD (CASH)</v>
      </c>
      <c r="AN202" s="66" t="b">
        <f t="shared" si="30"/>
        <v>1</v>
      </c>
      <c r="AR202" s="66" t="str">
        <f t="shared" si="31"/>
        <v>Knox</v>
      </c>
      <c r="AS202" s="66" t="str">
        <f>'St of Activites - GA Rev'!C202</f>
        <v>Knox</v>
      </c>
      <c r="AT202" s="66" t="b">
        <f t="shared" si="29"/>
        <v>1</v>
      </c>
      <c r="AU202" s="66" t="str">
        <f>'St of Activities - GA Exp'!C202</f>
        <v>Knox</v>
      </c>
      <c r="AV202" s="86"/>
      <c r="AW202" s="66" t="b">
        <f t="shared" si="32"/>
        <v>1</v>
      </c>
    </row>
    <row r="203" spans="1:49">
      <c r="A203" s="11" t="s">
        <v>673</v>
      </c>
      <c r="B203" s="11"/>
      <c r="C203" s="11" t="s">
        <v>79</v>
      </c>
      <c r="D203" s="11"/>
      <c r="E203" s="29">
        <v>44016</v>
      </c>
      <c r="G203" s="7">
        <f t="shared" si="37"/>
        <v>56980576</v>
      </c>
      <c r="I203" s="7">
        <f>1960311+13831193</f>
        <v>15791504</v>
      </c>
      <c r="K203" s="7">
        <v>72772080</v>
      </c>
      <c r="M203" s="7">
        <f t="shared" si="35"/>
        <v>15380567</v>
      </c>
      <c r="O203" s="7">
        <v>446106</v>
      </c>
      <c r="Q203" s="7">
        <f>21408005-446106</f>
        <v>20961899</v>
      </c>
      <c r="S203" s="7">
        <v>36788572</v>
      </c>
      <c r="U203" s="7">
        <v>15349064</v>
      </c>
      <c r="W203" s="7">
        <f t="shared" si="38"/>
        <v>14310496</v>
      </c>
      <c r="Y203" s="7">
        <v>6323948</v>
      </c>
      <c r="AA203" s="7">
        <v>35983508</v>
      </c>
      <c r="AB203" s="7">
        <f t="shared" si="39"/>
        <v>0</v>
      </c>
      <c r="AD203" s="32">
        <f t="shared" si="36"/>
        <v>0</v>
      </c>
      <c r="AF203" s="32"/>
      <c r="AH203" s="32" t="str">
        <f>'St of Activites - GA Rev'!A203</f>
        <v xml:space="preserve">Fremont City SD </v>
      </c>
      <c r="AI203" s="32" t="str">
        <f t="shared" si="40"/>
        <v xml:space="preserve">Fremont City SD </v>
      </c>
      <c r="AJ203" s="32" t="b">
        <f t="shared" ref="AJ203:AJ266" si="41">AH203=AI203</f>
        <v>1</v>
      </c>
      <c r="AL203" s="32" t="str">
        <f>'St of Activities - GA Exp'!A203</f>
        <v xml:space="preserve">Fremont City SD </v>
      </c>
      <c r="AN203" s="32" t="b">
        <f t="shared" si="30"/>
        <v>1</v>
      </c>
      <c r="AR203" s="32" t="str">
        <f t="shared" si="31"/>
        <v>Sandusky</v>
      </c>
      <c r="AS203" s="32" t="str">
        <f>'St of Activites - GA Rev'!C203</f>
        <v>Sandusky</v>
      </c>
      <c r="AT203" s="32" t="b">
        <f t="shared" ref="AT203:AT266" si="42">AR203=AS203</f>
        <v>1</v>
      </c>
      <c r="AU203" s="32" t="str">
        <f>'St of Activities - GA Exp'!C203</f>
        <v>Sandusky</v>
      </c>
      <c r="AV203" s="56"/>
      <c r="AW203" s="32" t="b">
        <f t="shared" si="32"/>
        <v>1</v>
      </c>
    </row>
    <row r="204" spans="1:49">
      <c r="A204" s="11" t="s">
        <v>565</v>
      </c>
      <c r="B204" s="11"/>
      <c r="C204" s="11" t="s">
        <v>70</v>
      </c>
      <c r="D204" s="11"/>
      <c r="E204" s="29">
        <v>50492</v>
      </c>
      <c r="G204" s="7">
        <f t="shared" si="37"/>
        <v>5198211</v>
      </c>
      <c r="I204" s="7">
        <f>169230+18988247</f>
        <v>19157477</v>
      </c>
      <c r="K204" s="7">
        <v>24355688</v>
      </c>
      <c r="M204" s="7">
        <f t="shared" si="35"/>
        <v>2412604</v>
      </c>
      <c r="O204" s="7">
        <v>191088</v>
      </c>
      <c r="Q204" s="7">
        <f>2530623-191088</f>
        <v>2339535</v>
      </c>
      <c r="S204" s="7">
        <v>4943227</v>
      </c>
      <c r="U204" s="7">
        <v>17459681</v>
      </c>
      <c r="W204" s="7">
        <f t="shared" si="38"/>
        <v>1709767</v>
      </c>
      <c r="Y204" s="7">
        <v>243013</v>
      </c>
      <c r="AA204" s="7">
        <v>19412461</v>
      </c>
      <c r="AB204" s="7">
        <f t="shared" si="39"/>
        <v>0</v>
      </c>
      <c r="AD204" s="32">
        <f t="shared" si="36"/>
        <v>0</v>
      </c>
      <c r="AF204" s="32"/>
      <c r="AH204" s="32" t="str">
        <f>'St of Activites - GA Rev'!A204</f>
        <v>Frontier Local SD</v>
      </c>
      <c r="AI204" s="32" t="str">
        <f t="shared" si="40"/>
        <v>Frontier Local SD</v>
      </c>
      <c r="AJ204" s="32" t="b">
        <f t="shared" si="41"/>
        <v>1</v>
      </c>
      <c r="AL204" s="32" t="str">
        <f>'St of Activities - GA Exp'!A204</f>
        <v>Frontier Local SD</v>
      </c>
      <c r="AN204" s="32" t="b">
        <f t="shared" ref="AN204:AN267" si="43">AH204=AL204</f>
        <v>1</v>
      </c>
      <c r="AR204" s="32" t="str">
        <f t="shared" ref="AR204:AR267" si="44">C204</f>
        <v>Washington</v>
      </c>
      <c r="AS204" s="32" t="str">
        <f>'St of Activites - GA Rev'!C204</f>
        <v>Washington</v>
      </c>
      <c r="AT204" s="32" t="b">
        <f t="shared" si="42"/>
        <v>1</v>
      </c>
      <c r="AU204" s="32" t="str">
        <f>'St of Activities - GA Exp'!C204</f>
        <v>Washington</v>
      </c>
      <c r="AV204" s="56"/>
      <c r="AW204" s="32" t="b">
        <f t="shared" ref="AW204:AW267" si="45">AU204=AS204</f>
        <v>1</v>
      </c>
    </row>
    <row r="205" spans="1:49">
      <c r="A205" s="11" t="s">
        <v>670</v>
      </c>
      <c r="B205" s="11"/>
      <c r="C205" s="11" t="s">
        <v>27</v>
      </c>
      <c r="D205" s="11"/>
      <c r="E205" s="29">
        <v>46961</v>
      </c>
      <c r="G205" s="7">
        <f t="shared" si="37"/>
        <v>109478422</v>
      </c>
      <c r="I205" s="7">
        <f>19543636+26610844</f>
        <v>46154480</v>
      </c>
      <c r="K205" s="7">
        <v>155632902</v>
      </c>
      <c r="M205" s="7">
        <f t="shared" si="35"/>
        <v>76813790</v>
      </c>
      <c r="O205" s="7">
        <v>4466189</v>
      </c>
      <c r="Q205" s="7">
        <f>45673598-4466189</f>
        <v>41207409</v>
      </c>
      <c r="S205" s="7">
        <v>122487388</v>
      </c>
      <c r="U205" s="7">
        <v>12814693</v>
      </c>
      <c r="W205" s="7">
        <f t="shared" si="38"/>
        <v>3342003</v>
      </c>
      <c r="Y205" s="7">
        <v>16988818</v>
      </c>
      <c r="AA205" s="7">
        <v>33145514</v>
      </c>
      <c r="AB205" s="7">
        <f t="shared" si="39"/>
        <v>0</v>
      </c>
      <c r="AD205" s="32">
        <f t="shared" si="36"/>
        <v>0</v>
      </c>
      <c r="AF205" s="32"/>
      <c r="AH205" s="32" t="str">
        <f>'St of Activites - GA Rev'!A205</f>
        <v xml:space="preserve">Gahanna-Jefferson City SD </v>
      </c>
      <c r="AI205" s="32" t="str">
        <f t="shared" si="40"/>
        <v xml:space="preserve">Gahanna-Jefferson City SD </v>
      </c>
      <c r="AJ205" s="32" t="b">
        <f t="shared" si="41"/>
        <v>1</v>
      </c>
      <c r="AL205" s="32" t="str">
        <f>'St of Activities - GA Exp'!A205</f>
        <v xml:space="preserve">Gahanna-Jefferson City SD </v>
      </c>
      <c r="AN205" s="32" t="b">
        <f t="shared" si="43"/>
        <v>1</v>
      </c>
      <c r="AR205" s="32" t="str">
        <f t="shared" si="44"/>
        <v>Franklin</v>
      </c>
      <c r="AS205" s="32" t="str">
        <f>'St of Activites - GA Rev'!C205</f>
        <v>Franklin</v>
      </c>
      <c r="AT205" s="32" t="b">
        <f t="shared" si="42"/>
        <v>1</v>
      </c>
      <c r="AU205" s="32" t="str">
        <f>'St of Activities - GA Exp'!C205</f>
        <v>Franklin</v>
      </c>
      <c r="AV205" s="56"/>
      <c r="AW205" s="32" t="b">
        <f t="shared" si="45"/>
        <v>1</v>
      </c>
    </row>
    <row r="206" spans="1:49">
      <c r="A206" s="11" t="s">
        <v>265</v>
      </c>
      <c r="B206" s="11"/>
      <c r="C206" s="11" t="s">
        <v>111</v>
      </c>
      <c r="D206" s="11"/>
      <c r="E206" s="29">
        <v>44024</v>
      </c>
      <c r="G206" s="7">
        <f t="shared" si="37"/>
        <v>11840374</v>
      </c>
      <c r="I206" s="7">
        <f>1356307+54519195</f>
        <v>55875502</v>
      </c>
      <c r="K206" s="7">
        <v>67715876</v>
      </c>
      <c r="M206" s="7">
        <f t="shared" si="35"/>
        <v>5887598</v>
      </c>
      <c r="O206" s="7">
        <v>537407</v>
      </c>
      <c r="Q206" s="7">
        <f>19563229-537407</f>
        <v>19025822</v>
      </c>
      <c r="S206" s="7">
        <v>25450827</v>
      </c>
      <c r="U206" s="7">
        <v>38508718</v>
      </c>
      <c r="W206" s="7">
        <f t="shared" si="38"/>
        <v>3289733</v>
      </c>
      <c r="Y206" s="7">
        <v>466598</v>
      </c>
      <c r="AA206" s="7">
        <v>42265049</v>
      </c>
      <c r="AB206" s="7">
        <f t="shared" si="39"/>
        <v>0</v>
      </c>
      <c r="AD206" s="32">
        <f t="shared" si="36"/>
        <v>0</v>
      </c>
      <c r="AF206" s="32"/>
      <c r="AH206" s="32" t="str">
        <f>'St of Activites - GA Rev'!A206</f>
        <v>Galion City SD</v>
      </c>
      <c r="AI206" s="32" t="str">
        <f t="shared" si="40"/>
        <v>Galion City SD</v>
      </c>
      <c r="AJ206" s="32" t="b">
        <f t="shared" si="41"/>
        <v>1</v>
      </c>
      <c r="AL206" s="32" t="str">
        <f>'St of Activities - GA Exp'!A206</f>
        <v>Galion City SD</v>
      </c>
      <c r="AN206" s="32" t="b">
        <f t="shared" si="43"/>
        <v>1</v>
      </c>
      <c r="AR206" s="32" t="str">
        <f t="shared" si="44"/>
        <v>Crawford</v>
      </c>
      <c r="AS206" s="32" t="str">
        <f>'St of Activites - GA Rev'!C206</f>
        <v>Crawford</v>
      </c>
      <c r="AT206" s="32" t="b">
        <f t="shared" si="42"/>
        <v>1</v>
      </c>
      <c r="AU206" s="32" t="str">
        <f>'St of Activities - GA Exp'!C206</f>
        <v>Crawford</v>
      </c>
      <c r="AV206" s="56"/>
      <c r="AW206" s="32" t="b">
        <f t="shared" si="45"/>
        <v>1</v>
      </c>
    </row>
    <row r="207" spans="1:49" s="65" customFormat="1" hidden="1">
      <c r="A207" s="62" t="s">
        <v>671</v>
      </c>
      <c r="B207" s="62"/>
      <c r="C207" s="62" t="s">
        <v>29</v>
      </c>
      <c r="D207" s="62"/>
      <c r="E207" s="64">
        <v>65680</v>
      </c>
      <c r="G207" s="65">
        <f t="shared" si="37"/>
        <v>0</v>
      </c>
      <c r="M207" s="65">
        <f t="shared" ref="M207:M270" si="46">+S207-O207-Q207</f>
        <v>0</v>
      </c>
      <c r="W207" s="65">
        <f t="shared" si="38"/>
        <v>0</v>
      </c>
      <c r="AB207" s="65">
        <f t="shared" si="39"/>
        <v>0</v>
      </c>
      <c r="AD207" s="66">
        <f t="shared" si="36"/>
        <v>0</v>
      </c>
      <c r="AE207" s="65" t="s">
        <v>856</v>
      </c>
      <c r="AF207" s="66"/>
      <c r="AH207" s="66" t="str">
        <f>'St of Activites - GA Rev'!A207</f>
        <v xml:space="preserve">Gallia County Local SD </v>
      </c>
      <c r="AI207" s="66" t="str">
        <f t="shared" si="40"/>
        <v xml:space="preserve">Gallia County Local SD </v>
      </c>
      <c r="AJ207" s="66" t="b">
        <f t="shared" si="41"/>
        <v>1</v>
      </c>
      <c r="AL207" s="66" t="str">
        <f>'St of Activities - GA Exp'!A207</f>
        <v xml:space="preserve">Gallia County Local SD </v>
      </c>
      <c r="AN207" s="66" t="b">
        <f t="shared" si="43"/>
        <v>1</v>
      </c>
      <c r="AR207" s="66" t="str">
        <f t="shared" si="44"/>
        <v>Gallia</v>
      </c>
      <c r="AS207" s="66" t="str">
        <f>'St of Activites - GA Rev'!C207</f>
        <v>Gallia</v>
      </c>
      <c r="AT207" s="66" t="b">
        <f t="shared" si="42"/>
        <v>1</v>
      </c>
      <c r="AU207" s="66" t="str">
        <f>'St of Activities - GA Exp'!C207</f>
        <v>Gallia</v>
      </c>
      <c r="AV207" s="86"/>
      <c r="AW207" s="66" t="b">
        <f t="shared" si="45"/>
        <v>1</v>
      </c>
    </row>
    <row r="208" spans="1:49">
      <c r="A208" s="11" t="s">
        <v>320</v>
      </c>
      <c r="B208" s="11"/>
      <c r="C208" s="11" t="s">
        <v>29</v>
      </c>
      <c r="D208" s="11"/>
      <c r="E208" s="29">
        <v>44032</v>
      </c>
      <c r="G208" s="7">
        <f t="shared" si="37"/>
        <v>20410739</v>
      </c>
      <c r="I208" s="7">
        <f>69767177</f>
        <v>69767177</v>
      </c>
      <c r="K208" s="7">
        <v>90177916</v>
      </c>
      <c r="M208" s="7">
        <f t="shared" si="46"/>
        <v>9932939</v>
      </c>
      <c r="O208" s="7">
        <v>739460</v>
      </c>
      <c r="Q208" s="7">
        <f>24493054-739460</f>
        <v>23753594</v>
      </c>
      <c r="S208" s="7">
        <v>34425993</v>
      </c>
      <c r="U208" s="7">
        <v>46859438</v>
      </c>
      <c r="W208" s="7">
        <f t="shared" si="38"/>
        <v>10414454</v>
      </c>
      <c r="Y208" s="7">
        <v>-1521969</v>
      </c>
      <c r="AA208" s="7">
        <v>55751923</v>
      </c>
      <c r="AB208" s="7">
        <f t="shared" si="39"/>
        <v>0</v>
      </c>
      <c r="AD208" s="32">
        <f t="shared" si="36"/>
        <v>0</v>
      </c>
      <c r="AF208" s="32"/>
      <c r="AH208" s="32" t="str">
        <f>'St of Activites - GA Rev'!A208</f>
        <v>Gallipolis City SD</v>
      </c>
      <c r="AI208" s="32" t="str">
        <f t="shared" si="40"/>
        <v>Gallipolis City SD</v>
      </c>
      <c r="AJ208" s="32" t="b">
        <f t="shared" si="41"/>
        <v>1</v>
      </c>
      <c r="AL208" s="32" t="str">
        <f>'St of Activities - GA Exp'!A208</f>
        <v>Gallipolis City SD</v>
      </c>
      <c r="AN208" s="32" t="b">
        <f t="shared" si="43"/>
        <v>1</v>
      </c>
      <c r="AR208" s="32" t="str">
        <f t="shared" si="44"/>
        <v>Gallia</v>
      </c>
      <c r="AS208" s="32" t="str">
        <f>'St of Activites - GA Rev'!C208</f>
        <v>Gallia</v>
      </c>
      <c r="AT208" s="32" t="b">
        <f t="shared" si="42"/>
        <v>1</v>
      </c>
      <c r="AU208" s="32" t="str">
        <f>'St of Activities - GA Exp'!C208</f>
        <v>Gallia</v>
      </c>
      <c r="AV208" s="56"/>
      <c r="AW208" s="32" t="b">
        <f t="shared" si="45"/>
        <v>1</v>
      </c>
    </row>
    <row r="209" spans="1:49">
      <c r="A209" s="11" t="s">
        <v>551</v>
      </c>
      <c r="B209" s="11"/>
      <c r="C209" s="11" t="s">
        <v>65</v>
      </c>
      <c r="D209" s="11"/>
      <c r="E209" s="29">
        <v>50278</v>
      </c>
      <c r="F209" s="32"/>
      <c r="G209" s="7">
        <f t="shared" si="37"/>
        <v>10109711</v>
      </c>
      <c r="I209" s="7">
        <v>2977267</v>
      </c>
      <c r="K209" s="7">
        <v>13086978</v>
      </c>
      <c r="M209" s="7">
        <f t="shared" si="46"/>
        <v>6527577</v>
      </c>
      <c r="O209" s="7">
        <v>239251</v>
      </c>
      <c r="Q209" s="7">
        <f>1735559-239251</f>
        <v>1496308</v>
      </c>
      <c r="S209" s="7">
        <v>8263136</v>
      </c>
      <c r="U209" s="7">
        <v>2198644</v>
      </c>
      <c r="W209" s="7">
        <f t="shared" si="38"/>
        <v>929457</v>
      </c>
      <c r="Y209" s="7">
        <v>1695741</v>
      </c>
      <c r="AA209" s="7">
        <v>4823842</v>
      </c>
      <c r="AB209" s="7">
        <f t="shared" si="39"/>
        <v>0</v>
      </c>
      <c r="AD209" s="32">
        <f t="shared" si="36"/>
        <v>0</v>
      </c>
      <c r="AF209" s="32"/>
      <c r="AH209" s="32" t="str">
        <f>'St of Activites - GA Rev'!A209</f>
        <v>Garaway Local SD</v>
      </c>
      <c r="AI209" s="32" t="str">
        <f t="shared" si="40"/>
        <v>Garaway Local SD</v>
      </c>
      <c r="AJ209" s="32" t="b">
        <f t="shared" si="41"/>
        <v>1</v>
      </c>
      <c r="AL209" s="32" t="str">
        <f>'St of Activities - GA Exp'!A209</f>
        <v>Garaway Local SD</v>
      </c>
      <c r="AN209" s="32" t="b">
        <f t="shared" si="43"/>
        <v>1</v>
      </c>
      <c r="AR209" s="32" t="str">
        <f t="shared" si="44"/>
        <v>Tuscarawas</v>
      </c>
      <c r="AS209" s="32" t="str">
        <f>'St of Activites - GA Rev'!C209</f>
        <v>Tuscarawas</v>
      </c>
      <c r="AT209" s="32" t="b">
        <f t="shared" si="42"/>
        <v>1</v>
      </c>
      <c r="AU209" s="32" t="str">
        <f>'St of Activities - GA Exp'!C209</f>
        <v>Tuscarawas</v>
      </c>
      <c r="AV209" s="56"/>
      <c r="AW209" s="32" t="b">
        <f t="shared" si="45"/>
        <v>1</v>
      </c>
    </row>
    <row r="210" spans="1:49">
      <c r="A210" s="11" t="s">
        <v>714</v>
      </c>
      <c r="B210" s="11"/>
      <c r="C210" s="11" t="s">
        <v>20</v>
      </c>
      <c r="D210" s="11"/>
      <c r="E210" s="29">
        <v>44040</v>
      </c>
      <c r="G210" s="7">
        <f t="shared" si="37"/>
        <v>39814283</v>
      </c>
      <c r="I210" s="7">
        <f>9038036+47728485</f>
        <v>56766521</v>
      </c>
      <c r="K210" s="7">
        <v>96580804</v>
      </c>
      <c r="M210" s="7">
        <f t="shared" si="46"/>
        <v>18961498</v>
      </c>
      <c r="O210" s="7">
        <v>2675407</v>
      </c>
      <c r="Q210" s="7">
        <f>54452980-2675407</f>
        <v>51777573</v>
      </c>
      <c r="S210" s="7">
        <v>73414478</v>
      </c>
      <c r="U210" s="7">
        <v>9273632</v>
      </c>
      <c r="W210" s="7">
        <f t="shared" si="38"/>
        <v>15360096</v>
      </c>
      <c r="Y210" s="7">
        <v>-1467402</v>
      </c>
      <c r="AA210" s="7">
        <v>23166326</v>
      </c>
      <c r="AB210" s="7">
        <f t="shared" si="39"/>
        <v>0</v>
      </c>
      <c r="AD210" s="32">
        <f t="shared" si="36"/>
        <v>0</v>
      </c>
      <c r="AE210" s="7" t="s">
        <v>850</v>
      </c>
      <c r="AF210" s="32"/>
      <c r="AH210" s="32" t="str">
        <f>'St of Activites - GA Rev'!A210</f>
        <v xml:space="preserve">Garfield Heights City SD </v>
      </c>
      <c r="AI210" s="32" t="str">
        <f t="shared" si="40"/>
        <v xml:space="preserve">Garfield Heights City SD </v>
      </c>
      <c r="AJ210" s="32" t="b">
        <f t="shared" si="41"/>
        <v>1</v>
      </c>
      <c r="AL210" s="32" t="str">
        <f>'St of Activities - GA Exp'!A210</f>
        <v xml:space="preserve">Garfield Heights City SD </v>
      </c>
      <c r="AN210" s="32" t="b">
        <f t="shared" si="43"/>
        <v>1</v>
      </c>
      <c r="AR210" s="32" t="str">
        <f t="shared" si="44"/>
        <v>Cuyahoga</v>
      </c>
      <c r="AS210" s="32" t="str">
        <f>'St of Activites - GA Rev'!C210</f>
        <v>Cuyahoga</v>
      </c>
      <c r="AT210" s="32" t="b">
        <f t="shared" si="42"/>
        <v>1</v>
      </c>
      <c r="AU210" s="32" t="str">
        <f>'St of Activities - GA Exp'!C210</f>
        <v>Cuyahoga</v>
      </c>
      <c r="AV210" s="56"/>
      <c r="AW210" s="32" t="b">
        <f t="shared" si="45"/>
        <v>1</v>
      </c>
    </row>
    <row r="211" spans="1:49">
      <c r="A211" s="11" t="s">
        <v>672</v>
      </c>
      <c r="B211" s="11"/>
      <c r="C211" s="11" t="s">
        <v>12</v>
      </c>
      <c r="D211" s="11"/>
      <c r="E211" s="29">
        <v>44057</v>
      </c>
      <c r="F211" s="10"/>
      <c r="G211" s="7">
        <f t="shared" si="37"/>
        <v>31058309</v>
      </c>
      <c r="I211" s="7">
        <v>49366300</v>
      </c>
      <c r="K211" s="7">
        <v>80424609</v>
      </c>
      <c r="M211" s="7">
        <f t="shared" si="46"/>
        <v>11790061</v>
      </c>
      <c r="O211" s="7">
        <v>1531212</v>
      </c>
      <c r="Q211" s="7">
        <f>20444480-1531212</f>
        <v>18913268</v>
      </c>
      <c r="S211" s="7">
        <v>32234541</v>
      </c>
      <c r="U211" s="7">
        <v>30801310</v>
      </c>
      <c r="W211" s="7">
        <f t="shared" si="38"/>
        <v>17340068</v>
      </c>
      <c r="Y211" s="7">
        <v>48690</v>
      </c>
      <c r="AA211" s="7">
        <v>48190068</v>
      </c>
      <c r="AB211" s="7">
        <f t="shared" si="39"/>
        <v>0</v>
      </c>
      <c r="AD211" s="32">
        <f t="shared" si="36"/>
        <v>0</v>
      </c>
      <c r="AF211" s="32"/>
      <c r="AH211" s="32" t="str">
        <f>'St of Activites - GA Rev'!A211</f>
        <v>Geneva Area City SD</v>
      </c>
      <c r="AI211" s="32" t="str">
        <f t="shared" si="40"/>
        <v>Geneva Area City SD</v>
      </c>
      <c r="AJ211" s="32" t="b">
        <f t="shared" si="41"/>
        <v>1</v>
      </c>
      <c r="AL211" s="32" t="str">
        <f>'St of Activities - GA Exp'!A211</f>
        <v>Geneva Area City SD</v>
      </c>
      <c r="AN211" s="32" t="b">
        <f t="shared" si="43"/>
        <v>1</v>
      </c>
      <c r="AR211" s="32" t="str">
        <f t="shared" si="44"/>
        <v>Ashtabula</v>
      </c>
      <c r="AS211" s="32" t="str">
        <f>'St of Activites - GA Rev'!C211</f>
        <v>Ashtabula</v>
      </c>
      <c r="AT211" s="32" t="b">
        <f t="shared" si="42"/>
        <v>1</v>
      </c>
      <c r="AU211" s="32" t="str">
        <f>'St of Activities - GA Exp'!C211</f>
        <v>Ashtabula</v>
      </c>
      <c r="AV211" s="56"/>
      <c r="AW211" s="32" t="b">
        <f t="shared" si="45"/>
        <v>1</v>
      </c>
    </row>
    <row r="212" spans="1:49" s="65" customFormat="1" hidden="1">
      <c r="A212" s="62" t="s">
        <v>983</v>
      </c>
      <c r="B212" s="62"/>
      <c r="C212" s="62" t="s">
        <v>53</v>
      </c>
      <c r="D212" s="62"/>
      <c r="E212" s="64">
        <v>48942</v>
      </c>
      <c r="G212" s="65">
        <f>+K212-I212</f>
        <v>0</v>
      </c>
      <c r="M212" s="65">
        <f t="shared" si="46"/>
        <v>0</v>
      </c>
      <c r="W212" s="65">
        <f>AA212-Y212-U212</f>
        <v>0</v>
      </c>
      <c r="AB212" s="65">
        <f>+K212-S212-AA212</f>
        <v>0</v>
      </c>
      <c r="AD212" s="66">
        <f>+G212+I212+-M212-O212-U212-W212-Y212-Q212</f>
        <v>0</v>
      </c>
      <c r="AE212" s="65" t="s">
        <v>984</v>
      </c>
      <c r="AF212" s="66"/>
      <c r="AH212" s="66" t="str">
        <f>'St of Activites - GA Rev'!A212</f>
        <v>Genoa Area Local SD (CASH)</v>
      </c>
      <c r="AI212" s="66" t="str">
        <f t="shared" si="40"/>
        <v>Genoa Area Local SD (CASH)</v>
      </c>
      <c r="AJ212" s="66" t="b">
        <f t="shared" si="41"/>
        <v>1</v>
      </c>
      <c r="AL212" s="66" t="str">
        <f>'St of Activities - GA Exp'!A212</f>
        <v>Genoa Area Local SD (CASH)</v>
      </c>
      <c r="AN212" s="66" t="b">
        <f t="shared" si="43"/>
        <v>1</v>
      </c>
      <c r="AR212" s="66" t="str">
        <f t="shared" si="44"/>
        <v>Ottawa</v>
      </c>
      <c r="AS212" s="66" t="str">
        <f>'St of Activites - GA Rev'!C212</f>
        <v>Ottawa</v>
      </c>
      <c r="AT212" s="66" t="b">
        <f t="shared" si="42"/>
        <v>1</v>
      </c>
      <c r="AU212" s="66" t="str">
        <f>'St of Activities - GA Exp'!C212</f>
        <v>Ottawa</v>
      </c>
      <c r="AV212" s="86"/>
      <c r="AW212" s="66" t="b">
        <f t="shared" si="45"/>
        <v>1</v>
      </c>
    </row>
    <row r="213" spans="1:49" s="65" customFormat="1" hidden="1">
      <c r="A213" s="62" t="s">
        <v>697</v>
      </c>
      <c r="B213" s="62"/>
      <c r="C213" s="62" t="s">
        <v>77</v>
      </c>
      <c r="D213" s="62"/>
      <c r="E213" s="64">
        <v>45377</v>
      </c>
      <c r="G213" s="65">
        <f t="shared" si="37"/>
        <v>0</v>
      </c>
      <c r="M213" s="65">
        <f t="shared" si="46"/>
        <v>0</v>
      </c>
      <c r="W213" s="65">
        <f t="shared" si="38"/>
        <v>0</v>
      </c>
      <c r="AB213" s="65">
        <f t="shared" si="39"/>
        <v>0</v>
      </c>
      <c r="AD213" s="66">
        <f t="shared" si="36"/>
        <v>0</v>
      </c>
      <c r="AE213" s="65" t="s">
        <v>839</v>
      </c>
      <c r="AF213" s="66"/>
      <c r="AH213" s="66" t="str">
        <f>'St of Activites - GA Rev'!A213</f>
        <v>Georgetown Exempted Village SD (CASH)</v>
      </c>
      <c r="AI213" s="66" t="str">
        <f t="shared" si="40"/>
        <v>Georgetown Exempted Village SD (CASH)</v>
      </c>
      <c r="AJ213" s="66" t="b">
        <f t="shared" si="41"/>
        <v>1</v>
      </c>
      <c r="AL213" s="66" t="str">
        <f>'St of Activities - GA Exp'!A213</f>
        <v>Georgetown Exempted Village SD (CASH)</v>
      </c>
      <c r="AN213" s="66" t="b">
        <f t="shared" si="43"/>
        <v>1</v>
      </c>
      <c r="AR213" s="66" t="str">
        <f t="shared" si="44"/>
        <v>Brown</v>
      </c>
      <c r="AS213" s="66" t="str">
        <f>'St of Activites - GA Rev'!C213</f>
        <v>Brown</v>
      </c>
      <c r="AT213" s="66" t="b">
        <f t="shared" si="42"/>
        <v>1</v>
      </c>
      <c r="AU213" s="66" t="str">
        <f>'St of Activities - GA Exp'!C213</f>
        <v>Brown</v>
      </c>
      <c r="AV213" s="86"/>
      <c r="AW213" s="66" t="b">
        <f t="shared" si="45"/>
        <v>1</v>
      </c>
    </row>
    <row r="214" spans="1:49">
      <c r="A214" s="11" t="s">
        <v>857</v>
      </c>
      <c r="B214" s="11"/>
      <c r="C214" s="11" t="s">
        <v>79</v>
      </c>
      <c r="D214" s="11"/>
      <c r="E214" s="29">
        <v>45385</v>
      </c>
      <c r="G214" s="7">
        <f t="shared" ref="G214:G225" si="47">+K214-I214</f>
        <v>7259079</v>
      </c>
      <c r="I214" s="7">
        <v>21764741</v>
      </c>
      <c r="K214" s="7">
        <v>29023820</v>
      </c>
      <c r="M214" s="7">
        <f t="shared" si="46"/>
        <v>3550513</v>
      </c>
      <c r="O214" s="7">
        <v>384423</v>
      </c>
      <c r="Q214" s="7">
        <f>4589455-384423</f>
        <v>4205032</v>
      </c>
      <c r="S214" s="7">
        <v>8139968</v>
      </c>
      <c r="U214" s="7">
        <v>17953425</v>
      </c>
      <c r="W214" s="7">
        <f t="shared" si="38"/>
        <v>1744022</v>
      </c>
      <c r="Y214" s="7">
        <v>1186405</v>
      </c>
      <c r="AA214" s="7">
        <v>20883852</v>
      </c>
      <c r="AB214" s="7">
        <f t="shared" si="39"/>
        <v>0</v>
      </c>
      <c r="AD214" s="32">
        <f t="shared" si="36"/>
        <v>0</v>
      </c>
      <c r="AF214" s="32"/>
      <c r="AH214" s="32" t="str">
        <f>'St of Activites - GA Rev'!A214</f>
        <v>Gibsonburg Exempted Village SD</v>
      </c>
      <c r="AI214" s="32" t="str">
        <f t="shared" si="40"/>
        <v>Gibsonburg Exempted Village SD</v>
      </c>
      <c r="AJ214" s="32" t="b">
        <f t="shared" si="41"/>
        <v>1</v>
      </c>
      <c r="AL214" s="32" t="str">
        <f>'St of Activities - GA Exp'!A214</f>
        <v>Gibsonburg Exempted Village SD</v>
      </c>
      <c r="AN214" s="32" t="b">
        <f t="shared" si="43"/>
        <v>1</v>
      </c>
      <c r="AR214" s="32" t="str">
        <f t="shared" si="44"/>
        <v>Sandusky</v>
      </c>
      <c r="AS214" s="32" t="str">
        <f>'St of Activites - GA Rev'!C214</f>
        <v>Sandusky</v>
      </c>
      <c r="AT214" s="32" t="b">
        <f t="shared" si="42"/>
        <v>1</v>
      </c>
      <c r="AU214" s="32" t="str">
        <f>'St of Activities - GA Exp'!C214</f>
        <v>Sandusky</v>
      </c>
      <c r="AV214" s="56"/>
      <c r="AW214" s="32" t="b">
        <f t="shared" si="45"/>
        <v>1</v>
      </c>
    </row>
    <row r="215" spans="1:49">
      <c r="A215" s="11" t="s">
        <v>537</v>
      </c>
      <c r="B215" s="11"/>
      <c r="C215" s="11" t="s">
        <v>64</v>
      </c>
      <c r="D215" s="11"/>
      <c r="E215" s="29">
        <v>44065</v>
      </c>
      <c r="G215" s="7">
        <f t="shared" si="47"/>
        <v>19879524</v>
      </c>
      <c r="I215" s="7">
        <v>35469138</v>
      </c>
      <c r="K215" s="7">
        <v>55348662</v>
      </c>
      <c r="M215" s="7">
        <f t="shared" si="46"/>
        <v>6633623</v>
      </c>
      <c r="O215" s="7">
        <v>812078</v>
      </c>
      <c r="Q215" s="7">
        <f>13243586-812078</f>
        <v>12431508</v>
      </c>
      <c r="S215" s="7">
        <v>19877209</v>
      </c>
      <c r="U215" s="7">
        <v>25019789</v>
      </c>
      <c r="W215" s="7">
        <f t="shared" si="38"/>
        <v>4918939</v>
      </c>
      <c r="Y215" s="7">
        <v>5532725</v>
      </c>
      <c r="AA215" s="7">
        <v>35471453</v>
      </c>
      <c r="AB215" s="7">
        <f t="shared" si="39"/>
        <v>0</v>
      </c>
      <c r="AD215" s="32">
        <f t="shared" si="36"/>
        <v>0</v>
      </c>
      <c r="AF215" s="32"/>
      <c r="AH215" s="32" t="str">
        <f>'St of Activites - GA Rev'!A215</f>
        <v>Girard City SD</v>
      </c>
      <c r="AI215" s="32" t="str">
        <f t="shared" si="40"/>
        <v>Girard City SD</v>
      </c>
      <c r="AJ215" s="32" t="b">
        <f t="shared" si="41"/>
        <v>1</v>
      </c>
      <c r="AL215" s="32" t="str">
        <f>'St of Activities - GA Exp'!A215</f>
        <v>Girard City SD</v>
      </c>
      <c r="AN215" s="32" t="b">
        <f t="shared" si="43"/>
        <v>1</v>
      </c>
      <c r="AR215" s="32" t="str">
        <f t="shared" si="44"/>
        <v>Trumbull</v>
      </c>
      <c r="AS215" s="32" t="str">
        <f>'St of Activites - GA Rev'!C215</f>
        <v>Trumbull</v>
      </c>
      <c r="AT215" s="32" t="b">
        <f t="shared" si="42"/>
        <v>1</v>
      </c>
      <c r="AU215" s="32" t="str">
        <f>'St of Activities - GA Exp'!C215</f>
        <v>Trumbull</v>
      </c>
      <c r="AV215" s="56"/>
      <c r="AW215" s="32" t="b">
        <f t="shared" si="45"/>
        <v>1</v>
      </c>
    </row>
    <row r="216" spans="1:49" s="65" customFormat="1" hidden="1">
      <c r="A216" s="62" t="s">
        <v>735</v>
      </c>
      <c r="B216" s="62"/>
      <c r="C216" s="62" t="s">
        <v>28</v>
      </c>
      <c r="D216" s="62"/>
      <c r="E216" s="64">
        <v>47068</v>
      </c>
      <c r="G216" s="65">
        <f>+K216-I216</f>
        <v>0</v>
      </c>
      <c r="M216" s="65">
        <f t="shared" si="46"/>
        <v>0</v>
      </c>
      <c r="W216" s="65">
        <f>AA216-Y216-U216</f>
        <v>0</v>
      </c>
      <c r="AB216" s="65">
        <f>+K216-S216-AA216</f>
        <v>0</v>
      </c>
      <c r="AD216" s="66">
        <f>+G216+I216+-M216-O216-U216-W216-Y216-Q216</f>
        <v>0</v>
      </c>
      <c r="AE216" s="65" t="s">
        <v>787</v>
      </c>
      <c r="AF216" s="66"/>
      <c r="AH216" s="66" t="str">
        <f>'St of Activites - GA Rev'!A216</f>
        <v>Gorham Fayette Local SD - name changed to Fayette Local.  See below</v>
      </c>
      <c r="AI216" s="66" t="str">
        <f t="shared" si="40"/>
        <v>Gorham Fayette Local SD - name changed to Fayette Local.  See below</v>
      </c>
      <c r="AJ216" s="66" t="b">
        <f t="shared" si="41"/>
        <v>1</v>
      </c>
      <c r="AL216" s="66" t="str">
        <f>'St of Activities - GA Exp'!A216</f>
        <v>Gorham Fayette Local SD - name changed to Fayette Local.  See below</v>
      </c>
      <c r="AN216" s="66" t="b">
        <f t="shared" si="43"/>
        <v>1</v>
      </c>
      <c r="AR216" s="66" t="str">
        <f t="shared" si="44"/>
        <v>Fulton</v>
      </c>
      <c r="AS216" s="66" t="str">
        <f>'St of Activites - GA Rev'!C216</f>
        <v>Fulton</v>
      </c>
      <c r="AT216" s="66" t="b">
        <f t="shared" si="42"/>
        <v>1</v>
      </c>
      <c r="AU216" s="66" t="str">
        <f>'St of Activities - GA Exp'!C216</f>
        <v>Fulton</v>
      </c>
      <c r="AV216" s="86"/>
      <c r="AW216" s="66" t="b">
        <f t="shared" si="45"/>
        <v>1</v>
      </c>
    </row>
    <row r="217" spans="1:49">
      <c r="A217" s="11" t="s">
        <v>245</v>
      </c>
      <c r="B217" s="11"/>
      <c r="C217" s="11" t="s">
        <v>113</v>
      </c>
      <c r="D217" s="11"/>
      <c r="E217" s="29">
        <v>46342</v>
      </c>
      <c r="G217" s="7">
        <f>+K217-I217</f>
        <v>14049240</v>
      </c>
      <c r="I217" s="7">
        <f>855205+34018673</f>
        <v>34873878</v>
      </c>
      <c r="K217" s="7">
        <v>48923118</v>
      </c>
      <c r="M217" s="7">
        <f t="shared" si="46"/>
        <v>7826563</v>
      </c>
      <c r="O217" s="7">
        <v>648515</v>
      </c>
      <c r="Q217" s="7">
        <f>10937148-648515</f>
        <v>10288633</v>
      </c>
      <c r="S217" s="7">
        <v>18763711</v>
      </c>
      <c r="U217" s="7">
        <v>26011343</v>
      </c>
      <c r="W217" s="7">
        <f>AA217-Y217-U217</f>
        <v>2826757</v>
      </c>
      <c r="Y217" s="7">
        <v>1321307</v>
      </c>
      <c r="AA217" s="7">
        <v>30159407</v>
      </c>
      <c r="AB217" s="7">
        <f t="shared" si="39"/>
        <v>0</v>
      </c>
      <c r="AD217" s="32">
        <f t="shared" si="36"/>
        <v>0</v>
      </c>
      <c r="AF217" s="32"/>
      <c r="AH217" s="32" t="str">
        <f>'St of Activites - GA Rev'!A217</f>
        <v>Goshen Local SD</v>
      </c>
      <c r="AI217" s="32" t="str">
        <f t="shared" si="40"/>
        <v>Goshen Local SD</v>
      </c>
      <c r="AJ217" s="32" t="b">
        <f t="shared" si="41"/>
        <v>1</v>
      </c>
      <c r="AL217" s="32" t="str">
        <f>'St of Activities - GA Exp'!A217</f>
        <v>Goshen Local SD</v>
      </c>
      <c r="AN217" s="32" t="b">
        <f t="shared" si="43"/>
        <v>1</v>
      </c>
      <c r="AR217" s="32" t="str">
        <f t="shared" si="44"/>
        <v>Clermont</v>
      </c>
      <c r="AS217" s="32" t="str">
        <f>'St of Activites - GA Rev'!C217</f>
        <v>Clermont</v>
      </c>
      <c r="AT217" s="32" t="b">
        <f t="shared" si="42"/>
        <v>1</v>
      </c>
      <c r="AU217" s="32" t="str">
        <f>'St of Activities - GA Exp'!C217</f>
        <v>Clermont</v>
      </c>
      <c r="AV217" s="56"/>
      <c r="AW217" s="32" t="b">
        <f t="shared" si="45"/>
        <v>1</v>
      </c>
    </row>
    <row r="218" spans="1:49" s="65" customFormat="1" hidden="1">
      <c r="A218" s="62" t="s">
        <v>902</v>
      </c>
      <c r="B218" s="62"/>
      <c r="C218" s="62" t="s">
        <v>232</v>
      </c>
      <c r="D218" s="62"/>
      <c r="E218" s="64">
        <v>46193</v>
      </c>
      <c r="G218" s="65">
        <f t="shared" si="47"/>
        <v>0</v>
      </c>
      <c r="M218" s="65">
        <f t="shared" si="46"/>
        <v>0</v>
      </c>
      <c r="W218" s="65">
        <f t="shared" si="38"/>
        <v>0</v>
      </c>
      <c r="AB218" s="65">
        <f t="shared" si="39"/>
        <v>0</v>
      </c>
      <c r="AD218" s="66">
        <f t="shared" ref="AD218:AD282" si="48">+G218+I218+-M218-O218-U218-W218-Y218-Q218</f>
        <v>0</v>
      </c>
      <c r="AE218" s="65" t="s">
        <v>901</v>
      </c>
      <c r="AF218" s="66"/>
      <c r="AH218" s="66" t="str">
        <f>'St of Activites - GA Rev'!A218</f>
        <v>Graham Local SD (CASH)</v>
      </c>
      <c r="AI218" s="66" t="str">
        <f t="shared" si="40"/>
        <v>Graham Local SD (CASH)</v>
      </c>
      <c r="AJ218" s="66" t="b">
        <f t="shared" si="41"/>
        <v>1</v>
      </c>
      <c r="AL218" s="66" t="str">
        <f>'St of Activities - GA Exp'!A218</f>
        <v>Graham Local SD (CASH)</v>
      </c>
      <c r="AN218" s="66" t="b">
        <f t="shared" si="43"/>
        <v>1</v>
      </c>
      <c r="AR218" s="66" t="str">
        <f t="shared" si="44"/>
        <v>Champaign</v>
      </c>
      <c r="AS218" s="66" t="str">
        <f>'St of Activites - GA Rev'!C218</f>
        <v>Champaign</v>
      </c>
      <c r="AT218" s="66" t="b">
        <f t="shared" si="42"/>
        <v>1</v>
      </c>
      <c r="AU218" s="66" t="str">
        <f>'St of Activities - GA Exp'!C218</f>
        <v>Champaign</v>
      </c>
      <c r="AV218" s="86"/>
      <c r="AW218" s="66" t="b">
        <f t="shared" si="45"/>
        <v>1</v>
      </c>
    </row>
    <row r="219" spans="1:49">
      <c r="A219" s="11" t="s">
        <v>209</v>
      </c>
      <c r="B219" s="11"/>
      <c r="C219" s="11" t="s">
        <v>12</v>
      </c>
      <c r="D219" s="11"/>
      <c r="E219" s="29">
        <v>45864</v>
      </c>
      <c r="G219" s="7">
        <f t="shared" si="47"/>
        <v>15125286</v>
      </c>
      <c r="I219" s="7">
        <f>845993+27610802</f>
        <v>28456795</v>
      </c>
      <c r="K219" s="7">
        <v>43582081</v>
      </c>
      <c r="M219" s="7">
        <f t="shared" si="46"/>
        <v>4295303</v>
      </c>
      <c r="O219" s="7">
        <v>699008</v>
      </c>
      <c r="Q219" s="7">
        <f>11522419-699008</f>
        <v>10823411</v>
      </c>
      <c r="S219" s="7">
        <v>15817722</v>
      </c>
      <c r="U219" s="7">
        <v>17528795</v>
      </c>
      <c r="W219" s="7">
        <f t="shared" si="38"/>
        <v>9026129</v>
      </c>
      <c r="Y219" s="7">
        <v>1209435</v>
      </c>
      <c r="AA219" s="7">
        <v>27764359</v>
      </c>
      <c r="AB219" s="7">
        <f t="shared" si="39"/>
        <v>0</v>
      </c>
      <c r="AD219" s="32">
        <f t="shared" si="48"/>
        <v>0</v>
      </c>
      <c r="AF219" s="32"/>
      <c r="AH219" s="32" t="str">
        <f>'St of Activites - GA Rev'!A219</f>
        <v>Grand Valley Local SD</v>
      </c>
      <c r="AI219" s="32" t="str">
        <f t="shared" si="40"/>
        <v>Grand Valley Local SD</v>
      </c>
      <c r="AJ219" s="32" t="b">
        <f t="shared" si="41"/>
        <v>1</v>
      </c>
      <c r="AL219" s="32" t="str">
        <f>'St of Activities - GA Exp'!A219</f>
        <v>Grand Valley Local SD</v>
      </c>
      <c r="AN219" s="32" t="b">
        <f t="shared" si="43"/>
        <v>1</v>
      </c>
      <c r="AR219" s="32" t="str">
        <f t="shared" si="44"/>
        <v>Ashtabula</v>
      </c>
      <c r="AS219" s="32" t="str">
        <f>'St of Activites - GA Rev'!C219</f>
        <v>Ashtabula</v>
      </c>
      <c r="AT219" s="32" t="b">
        <f t="shared" si="42"/>
        <v>1</v>
      </c>
      <c r="AU219" s="32" t="str">
        <f>'St of Activities - GA Exp'!C219</f>
        <v>Ashtabula</v>
      </c>
      <c r="AV219" s="56"/>
      <c r="AW219" s="32" t="b">
        <f t="shared" si="45"/>
        <v>1</v>
      </c>
    </row>
    <row r="220" spans="1:49">
      <c r="A220" s="11" t="s">
        <v>309</v>
      </c>
      <c r="B220" s="11"/>
      <c r="C220" s="11" t="s">
        <v>27</v>
      </c>
      <c r="D220" s="11"/>
      <c r="E220" s="29">
        <v>44073</v>
      </c>
      <c r="G220" s="7">
        <f t="shared" si="47"/>
        <v>20729051</v>
      </c>
      <c r="I220" s="7">
        <v>12165502</v>
      </c>
      <c r="K220" s="7">
        <v>32894553</v>
      </c>
      <c r="M220" s="7">
        <f t="shared" si="46"/>
        <v>10487634</v>
      </c>
      <c r="O220" s="7">
        <v>968094</v>
      </c>
      <c r="Q220" s="7">
        <f>6422540-968094</f>
        <v>5454446</v>
      </c>
      <c r="S220" s="7">
        <v>16910174</v>
      </c>
      <c r="U220" s="7">
        <v>6899205</v>
      </c>
      <c r="W220" s="7">
        <f t="shared" si="38"/>
        <v>1878226</v>
      </c>
      <c r="Y220" s="7">
        <v>7206948</v>
      </c>
      <c r="AA220" s="7">
        <v>15984379</v>
      </c>
      <c r="AB220" s="7">
        <f t="shared" ref="AB220:AB287" si="49">+K220-S220-AA220</f>
        <v>0</v>
      </c>
      <c r="AD220" s="32">
        <f t="shared" si="48"/>
        <v>0</v>
      </c>
      <c r="AF220" s="32"/>
      <c r="AH220" s="32" t="str">
        <f>'St of Activites - GA Rev'!A220</f>
        <v>Grandview Heights City SD</v>
      </c>
      <c r="AI220" s="32" t="str">
        <f t="shared" si="40"/>
        <v>Grandview Heights City SD</v>
      </c>
      <c r="AJ220" s="32" t="b">
        <f t="shared" si="41"/>
        <v>1</v>
      </c>
      <c r="AL220" s="32" t="str">
        <f>'St of Activities - GA Exp'!A220</f>
        <v>Grandview Heights City SD</v>
      </c>
      <c r="AN220" s="32" t="b">
        <f t="shared" si="43"/>
        <v>1</v>
      </c>
      <c r="AR220" s="32" t="str">
        <f t="shared" si="44"/>
        <v>Franklin</v>
      </c>
      <c r="AS220" s="32" t="str">
        <f>'St of Activites - GA Rev'!C220</f>
        <v>Franklin</v>
      </c>
      <c r="AT220" s="32" t="b">
        <f t="shared" si="42"/>
        <v>1</v>
      </c>
      <c r="AU220" s="32" t="str">
        <f>'St of Activities - GA Exp'!C220</f>
        <v>Franklin</v>
      </c>
      <c r="AV220" s="56"/>
      <c r="AW220" s="32" t="b">
        <f t="shared" si="45"/>
        <v>1</v>
      </c>
    </row>
    <row r="221" spans="1:49">
      <c r="A221" s="11" t="s">
        <v>698</v>
      </c>
      <c r="B221" s="11"/>
      <c r="C221" s="11" t="s">
        <v>42</v>
      </c>
      <c r="D221" s="11"/>
      <c r="E221" s="29">
        <v>45393</v>
      </c>
      <c r="G221" s="7">
        <f t="shared" si="47"/>
        <v>25818226</v>
      </c>
      <c r="I221" s="7">
        <f>1473269+34644415</f>
        <v>36117684</v>
      </c>
      <c r="K221" s="7">
        <v>61935910</v>
      </c>
      <c r="M221" s="7">
        <f t="shared" si="46"/>
        <v>20028044</v>
      </c>
      <c r="O221" s="7">
        <v>1021185</v>
      </c>
      <c r="Q221" s="7">
        <f>34677578-1021185</f>
        <v>33656393</v>
      </c>
      <c r="S221" s="7">
        <v>54705622</v>
      </c>
      <c r="U221" s="7">
        <v>10307937</v>
      </c>
      <c r="W221" s="7">
        <f t="shared" ref="W221:W225" si="50">AA221-Y221-U221</f>
        <v>313492</v>
      </c>
      <c r="Y221" s="7">
        <v>-3391141</v>
      </c>
      <c r="AA221" s="7">
        <v>7230288</v>
      </c>
      <c r="AB221" s="7">
        <f t="shared" si="49"/>
        <v>0</v>
      </c>
      <c r="AD221" s="32">
        <f t="shared" si="48"/>
        <v>0</v>
      </c>
      <c r="AF221" s="32"/>
      <c r="AH221" s="32" t="str">
        <f>'St of Activites - GA Rev'!A221</f>
        <v>Granville Exempted Village SD</v>
      </c>
      <c r="AI221" s="32" t="str">
        <f t="shared" si="40"/>
        <v>Granville Exempted Village SD</v>
      </c>
      <c r="AJ221" s="32" t="b">
        <f t="shared" si="41"/>
        <v>1</v>
      </c>
      <c r="AL221" s="32" t="str">
        <f>'St of Activities - GA Exp'!A221</f>
        <v>Granville Exempted Village SD</v>
      </c>
      <c r="AN221" s="32" t="b">
        <f t="shared" si="43"/>
        <v>1</v>
      </c>
      <c r="AR221" s="32" t="str">
        <f t="shared" si="44"/>
        <v>Licking</v>
      </c>
      <c r="AS221" s="32" t="str">
        <f>'St of Activites - GA Rev'!C221</f>
        <v>Licking</v>
      </c>
      <c r="AT221" s="32" t="b">
        <f t="shared" si="42"/>
        <v>1</v>
      </c>
      <c r="AU221" s="32" t="str">
        <f>'St of Activities - GA Exp'!C221</f>
        <v>Licking</v>
      </c>
      <c r="AV221" s="56"/>
      <c r="AW221" s="32" t="b">
        <f t="shared" si="45"/>
        <v>1</v>
      </c>
    </row>
    <row r="222" spans="1:49">
      <c r="A222" s="11" t="s">
        <v>496</v>
      </c>
      <c r="B222" s="11"/>
      <c r="C222" s="11" t="s">
        <v>59</v>
      </c>
      <c r="D222" s="11"/>
      <c r="E222" s="29">
        <v>49619</v>
      </c>
      <c r="G222" s="7">
        <f t="shared" si="47"/>
        <v>2773965</v>
      </c>
      <c r="I222" s="7">
        <f>72079+2518227</f>
        <v>2590306</v>
      </c>
      <c r="K222" s="7">
        <v>5364271</v>
      </c>
      <c r="M222" s="7">
        <f t="shared" si="46"/>
        <v>1819311</v>
      </c>
      <c r="O222" s="7">
        <v>88656</v>
      </c>
      <c r="Q222" s="7">
        <f>703046-88656</f>
        <v>614390</v>
      </c>
      <c r="S222" s="7">
        <v>2522357</v>
      </c>
      <c r="U222" s="7">
        <v>2302033</v>
      </c>
      <c r="W222" s="7">
        <f t="shared" si="50"/>
        <v>401732</v>
      </c>
      <c r="Y222" s="7">
        <v>138149</v>
      </c>
      <c r="AA222" s="7">
        <v>2841914</v>
      </c>
      <c r="AB222" s="7">
        <f t="shared" si="49"/>
        <v>0</v>
      </c>
      <c r="AD222" s="32">
        <f t="shared" si="48"/>
        <v>0</v>
      </c>
      <c r="AF222" s="32"/>
      <c r="AH222" s="32" t="str">
        <f>'St of Activites - GA Rev'!A222</f>
        <v>Green Local SD</v>
      </c>
      <c r="AI222" s="32" t="str">
        <f t="shared" si="40"/>
        <v>Green Local SD</v>
      </c>
      <c r="AJ222" s="32" t="b">
        <f t="shared" si="41"/>
        <v>1</v>
      </c>
      <c r="AL222" s="32" t="str">
        <f>'St of Activities - GA Exp'!A222</f>
        <v>Green Local SD</v>
      </c>
      <c r="AN222" s="32" t="b">
        <f t="shared" si="43"/>
        <v>1</v>
      </c>
      <c r="AR222" s="32" t="str">
        <f t="shared" si="44"/>
        <v>Scioto</v>
      </c>
      <c r="AS222" s="32" t="str">
        <f>'St of Activites - GA Rev'!C222</f>
        <v>Scioto</v>
      </c>
      <c r="AT222" s="32" t="b">
        <f t="shared" si="42"/>
        <v>1</v>
      </c>
      <c r="AU222" s="32" t="str">
        <f>'St of Activities - GA Exp'!C222</f>
        <v>Scioto</v>
      </c>
      <c r="AV222" s="56"/>
      <c r="AW222" s="32" t="b">
        <f t="shared" si="45"/>
        <v>1</v>
      </c>
    </row>
    <row r="223" spans="1:49">
      <c r="A223" s="11" t="s">
        <v>496</v>
      </c>
      <c r="B223" s="11"/>
      <c r="C223" s="11" t="s">
        <v>63</v>
      </c>
      <c r="D223" s="11"/>
      <c r="E223" s="29">
        <v>50013</v>
      </c>
      <c r="G223" s="7">
        <f t="shared" si="47"/>
        <v>29655642</v>
      </c>
      <c r="I223" s="7">
        <v>40082416</v>
      </c>
      <c r="K223" s="7">
        <v>69738058</v>
      </c>
      <c r="M223" s="7">
        <f t="shared" si="46"/>
        <v>30852661</v>
      </c>
      <c r="O223" s="7">
        <v>2602178</v>
      </c>
      <c r="Q223" s="7">
        <f>36478567-2602178</f>
        <v>33876389</v>
      </c>
      <c r="S223" s="7">
        <v>67331228</v>
      </c>
      <c r="U223" s="7">
        <v>19421351</v>
      </c>
      <c r="W223" s="7">
        <f t="shared" si="50"/>
        <v>1444184</v>
      </c>
      <c r="Y223" s="7">
        <v>-18458705</v>
      </c>
      <c r="AA223" s="7">
        <v>2406830</v>
      </c>
      <c r="AB223" s="7">
        <f t="shared" si="49"/>
        <v>0</v>
      </c>
      <c r="AD223" s="32">
        <f t="shared" si="48"/>
        <v>0</v>
      </c>
      <c r="AF223" s="32"/>
      <c r="AH223" s="32" t="str">
        <f>'St of Activites - GA Rev'!A223</f>
        <v>Green Local SD</v>
      </c>
      <c r="AI223" s="32" t="str">
        <f t="shared" si="40"/>
        <v>Green Local SD</v>
      </c>
      <c r="AJ223" s="32" t="b">
        <f t="shared" si="41"/>
        <v>1</v>
      </c>
      <c r="AL223" s="32" t="str">
        <f>'St of Activities - GA Exp'!A223</f>
        <v>Green Local SD</v>
      </c>
      <c r="AN223" s="32" t="b">
        <f t="shared" si="43"/>
        <v>1</v>
      </c>
      <c r="AR223" s="32" t="str">
        <f t="shared" si="44"/>
        <v>Summit</v>
      </c>
      <c r="AS223" s="32" t="str">
        <f>'St of Activites - GA Rev'!C223</f>
        <v>Summit</v>
      </c>
      <c r="AT223" s="32" t="b">
        <f t="shared" si="42"/>
        <v>1</v>
      </c>
      <c r="AU223" s="32" t="str">
        <f>'St of Activities - GA Exp'!C223</f>
        <v>Summit</v>
      </c>
      <c r="AV223" s="56"/>
      <c r="AW223" s="32" t="b">
        <f t="shared" si="45"/>
        <v>1</v>
      </c>
    </row>
    <row r="224" spans="1:49" s="65" customFormat="1" hidden="1">
      <c r="A224" s="62" t="s">
        <v>496</v>
      </c>
      <c r="B224" s="62"/>
      <c r="C224" s="62" t="s">
        <v>71</v>
      </c>
      <c r="D224" s="62"/>
      <c r="E224" s="64">
        <v>50559</v>
      </c>
      <c r="G224" s="65">
        <f t="shared" si="47"/>
        <v>0</v>
      </c>
      <c r="M224" s="65">
        <f t="shared" si="46"/>
        <v>0</v>
      </c>
      <c r="W224" s="65">
        <f t="shared" si="50"/>
        <v>0</v>
      </c>
      <c r="AB224" s="65">
        <f>+K224-S224-AA224</f>
        <v>0</v>
      </c>
      <c r="AD224" s="66">
        <f>+G224+I224+-M224-O224-U224-W224-Y224-Q224</f>
        <v>0</v>
      </c>
      <c r="AE224" s="65" t="s">
        <v>839</v>
      </c>
      <c r="AF224" s="66"/>
      <c r="AH224" s="66" t="str">
        <f>'St of Activites - GA Rev'!A224</f>
        <v>Green Local SD</v>
      </c>
      <c r="AI224" s="66" t="str">
        <f t="shared" si="40"/>
        <v>Green Local SD</v>
      </c>
      <c r="AJ224" s="66" t="b">
        <f t="shared" si="41"/>
        <v>1</v>
      </c>
      <c r="AL224" s="66" t="str">
        <f>'St of Activities - GA Exp'!A224</f>
        <v>Green Local SD</v>
      </c>
      <c r="AN224" s="66" t="b">
        <f t="shared" si="43"/>
        <v>1</v>
      </c>
      <c r="AR224" s="66" t="str">
        <f t="shared" si="44"/>
        <v>Wayne</v>
      </c>
      <c r="AS224" s="66" t="str">
        <f>'St of Activites - GA Rev'!C224</f>
        <v>Wayne</v>
      </c>
      <c r="AT224" s="66" t="b">
        <f t="shared" si="42"/>
        <v>1</v>
      </c>
      <c r="AU224" s="66" t="str">
        <f>'St of Activities - GA Exp'!C224</f>
        <v>Wayne</v>
      </c>
      <c r="AV224" s="86"/>
      <c r="AW224" s="66" t="b">
        <f t="shared" si="45"/>
        <v>1</v>
      </c>
    </row>
    <row r="225" spans="1:49">
      <c r="A225" s="11" t="s">
        <v>326</v>
      </c>
      <c r="B225" s="11"/>
      <c r="C225" s="11" t="s">
        <v>114</v>
      </c>
      <c r="D225" s="11"/>
      <c r="E225" s="29">
        <v>47266</v>
      </c>
      <c r="G225" s="7">
        <f t="shared" si="47"/>
        <v>22470968</v>
      </c>
      <c r="I225" s="7">
        <v>12016480</v>
      </c>
      <c r="K225" s="7">
        <v>34487448</v>
      </c>
      <c r="M225" s="7">
        <f t="shared" si="46"/>
        <v>4470349</v>
      </c>
      <c r="O225" s="7">
        <v>472928</v>
      </c>
      <c r="Q225" s="7">
        <f>7560408-472928</f>
        <v>7087480</v>
      </c>
      <c r="S225" s="7">
        <v>12030757</v>
      </c>
      <c r="U225" s="7">
        <v>5165494</v>
      </c>
      <c r="W225" s="7">
        <f t="shared" si="50"/>
        <v>11543517</v>
      </c>
      <c r="Y225" s="7">
        <v>5747680</v>
      </c>
      <c r="AA225" s="7">
        <v>22456691</v>
      </c>
      <c r="AB225" s="7">
        <f t="shared" si="49"/>
        <v>0</v>
      </c>
      <c r="AD225" s="32">
        <f t="shared" si="48"/>
        <v>0</v>
      </c>
      <c r="AF225" s="32"/>
      <c r="AH225" s="32" t="str">
        <f>'St of Activites - GA Rev'!A225</f>
        <v>Greeneview Local SD</v>
      </c>
      <c r="AI225" s="32" t="str">
        <f t="shared" si="40"/>
        <v>Greeneview Local SD</v>
      </c>
      <c r="AJ225" s="32" t="b">
        <f t="shared" si="41"/>
        <v>1</v>
      </c>
      <c r="AL225" s="32" t="str">
        <f>'St of Activities - GA Exp'!A225</f>
        <v>Greeneview Local SD</v>
      </c>
      <c r="AN225" s="32" t="b">
        <f t="shared" si="43"/>
        <v>1</v>
      </c>
      <c r="AR225" s="32" t="str">
        <f t="shared" si="44"/>
        <v>Greene</v>
      </c>
      <c r="AS225" s="32" t="str">
        <f>'St of Activites - GA Rev'!C225</f>
        <v>Greene</v>
      </c>
      <c r="AT225" s="32" t="b">
        <f t="shared" si="42"/>
        <v>1</v>
      </c>
      <c r="AU225" s="32" t="str">
        <f>'St of Activities - GA Exp'!C225</f>
        <v>Greene</v>
      </c>
      <c r="AV225" s="56"/>
      <c r="AW225" s="32" t="b">
        <f t="shared" si="45"/>
        <v>1</v>
      </c>
    </row>
    <row r="226" spans="1:49">
      <c r="A226" s="12" t="s">
        <v>869</v>
      </c>
      <c r="B226" s="12"/>
      <c r="C226" s="12" t="s">
        <v>358</v>
      </c>
      <c r="D226" s="12"/>
      <c r="E226" s="29">
        <v>45401</v>
      </c>
      <c r="G226" s="7">
        <f t="shared" ref="G226:G285" si="51">+K226-I226</f>
        <v>16318088</v>
      </c>
      <c r="I226" s="7">
        <v>23433370</v>
      </c>
      <c r="K226" s="7">
        <v>39751458</v>
      </c>
      <c r="M226" s="7">
        <f t="shared" si="46"/>
        <v>5034474</v>
      </c>
      <c r="O226" s="7">
        <v>308942</v>
      </c>
      <c r="Q226" s="7">
        <f>4020663-208942</f>
        <v>3811721</v>
      </c>
      <c r="S226" s="7">
        <v>9155137</v>
      </c>
      <c r="U226" s="7">
        <v>21148512</v>
      </c>
      <c r="W226" s="7">
        <f t="shared" ref="W226:W292" si="52">AA226-Y226-U226</f>
        <v>2767906</v>
      </c>
      <c r="Y226" s="7">
        <v>6679903</v>
      </c>
      <c r="AA226" s="7">
        <v>30596321</v>
      </c>
      <c r="AB226" s="7">
        <f t="shared" si="49"/>
        <v>0</v>
      </c>
      <c r="AD226" s="32">
        <f t="shared" si="48"/>
        <v>0</v>
      </c>
      <c r="AF226" s="32"/>
      <c r="AH226" s="32" t="str">
        <f>'St of Activites - GA Rev'!A226</f>
        <v>Greenfield Exempted Village SD</v>
      </c>
      <c r="AI226" s="32" t="str">
        <f t="shared" si="40"/>
        <v>Greenfield Exempted Village SD</v>
      </c>
      <c r="AJ226" s="32" t="b">
        <f t="shared" si="41"/>
        <v>1</v>
      </c>
      <c r="AL226" s="32" t="str">
        <f>'St of Activities - GA Exp'!A226</f>
        <v>Greenfield Exempted Village SD</v>
      </c>
      <c r="AN226" s="32" t="b">
        <f t="shared" si="43"/>
        <v>1</v>
      </c>
      <c r="AR226" s="32" t="str">
        <f t="shared" si="44"/>
        <v>Highland</v>
      </c>
      <c r="AS226" s="32" t="str">
        <f>'St of Activites - GA Rev'!C226</f>
        <v>Highland</v>
      </c>
      <c r="AT226" s="32" t="b">
        <f t="shared" si="42"/>
        <v>1</v>
      </c>
      <c r="AU226" s="32" t="str">
        <f>'St of Activities - GA Exp'!C226</f>
        <v>Highland</v>
      </c>
      <c r="AV226" s="56"/>
      <c r="AW226" s="32" t="b">
        <f t="shared" si="45"/>
        <v>1</v>
      </c>
    </row>
    <row r="227" spans="1:49">
      <c r="A227" s="12" t="s">
        <v>237</v>
      </c>
      <c r="B227" s="12"/>
      <c r="C227" s="12" t="s">
        <v>17</v>
      </c>
      <c r="D227" s="12"/>
      <c r="E227" s="29">
        <v>46235</v>
      </c>
      <c r="G227" s="7">
        <f t="shared" si="51"/>
        <v>12028210</v>
      </c>
      <c r="I227" s="7">
        <f>84740+6569144</f>
        <v>6653884</v>
      </c>
      <c r="K227" s="7">
        <v>18682094</v>
      </c>
      <c r="M227" s="7">
        <f t="shared" si="46"/>
        <v>7866693</v>
      </c>
      <c r="O227" s="7">
        <v>143132</v>
      </c>
      <c r="Q227" s="7">
        <f>1216237-143132</f>
        <v>1073105</v>
      </c>
      <c r="S227" s="7">
        <v>9082930</v>
      </c>
      <c r="U227" s="7">
        <v>6653884</v>
      </c>
      <c r="W227" s="7">
        <f t="shared" si="52"/>
        <v>1744362</v>
      </c>
      <c r="Y227" s="7">
        <v>1200918</v>
      </c>
      <c r="AA227" s="7">
        <v>9599164</v>
      </c>
      <c r="AB227" s="7">
        <f t="shared" si="49"/>
        <v>0</v>
      </c>
      <c r="AD227" s="32">
        <f t="shared" si="48"/>
        <v>0</v>
      </c>
      <c r="AF227" s="32"/>
      <c r="AH227" s="32" t="str">
        <f>'St of Activites - GA Rev'!A227</f>
        <v>Greenon Local SD</v>
      </c>
      <c r="AI227" s="32" t="str">
        <f t="shared" si="40"/>
        <v>Greenon Local SD</v>
      </c>
      <c r="AJ227" s="32" t="b">
        <f t="shared" si="41"/>
        <v>1</v>
      </c>
      <c r="AL227" s="32" t="str">
        <f>'St of Activities - GA Exp'!A227</f>
        <v>Greenon Local SD</v>
      </c>
      <c r="AN227" s="32" t="b">
        <f t="shared" si="43"/>
        <v>1</v>
      </c>
      <c r="AR227" s="32" t="str">
        <f t="shared" si="44"/>
        <v>Clark</v>
      </c>
      <c r="AS227" s="32" t="str">
        <f>'St of Activites - GA Rev'!C227</f>
        <v>Clark</v>
      </c>
      <c r="AT227" s="32" t="b">
        <f t="shared" si="42"/>
        <v>1</v>
      </c>
      <c r="AU227" s="32" t="str">
        <f>'St of Activities - GA Exp'!C227</f>
        <v>Clark</v>
      </c>
      <c r="AV227" s="56"/>
      <c r="AW227" s="32" t="b">
        <f t="shared" si="45"/>
        <v>1</v>
      </c>
    </row>
    <row r="228" spans="1:49">
      <c r="A228" s="11" t="s">
        <v>288</v>
      </c>
      <c r="B228" s="11"/>
      <c r="C228" s="11" t="s">
        <v>21</v>
      </c>
      <c r="D228" s="11"/>
      <c r="E228" s="29">
        <v>44099</v>
      </c>
      <c r="G228" s="7">
        <f t="shared" si="51"/>
        <v>24403885</v>
      </c>
      <c r="I228" s="7">
        <f>1258479+7232298</f>
        <v>8490777</v>
      </c>
      <c r="K228" s="7">
        <v>32894662</v>
      </c>
      <c r="M228" s="7">
        <f t="shared" si="46"/>
        <v>11586702</v>
      </c>
      <c r="O228" s="7">
        <v>165105</v>
      </c>
      <c r="Q228" s="7">
        <f>1143577-165105</f>
        <v>978472</v>
      </c>
      <c r="S228" s="7">
        <v>12730279</v>
      </c>
      <c r="U228" s="7">
        <v>8490777</v>
      </c>
      <c r="W228" s="7">
        <f t="shared" si="52"/>
        <v>4220815</v>
      </c>
      <c r="Y228" s="7">
        <v>7452791</v>
      </c>
      <c r="AA228" s="7">
        <v>20164383</v>
      </c>
      <c r="AB228" s="7">
        <f>+K228-S228-AA228</f>
        <v>0</v>
      </c>
      <c r="AD228" s="32">
        <f>+G228+I228+-M228-O228-U228-W228-Y228-Q228</f>
        <v>0</v>
      </c>
      <c r="AF228" s="32"/>
      <c r="AH228" s="32" t="str">
        <f>'St of Activites - GA Rev'!A228</f>
        <v>Greenville City SD</v>
      </c>
      <c r="AI228" s="32" t="str">
        <f t="shared" si="40"/>
        <v>Greenville City SD</v>
      </c>
      <c r="AJ228" s="32" t="b">
        <f t="shared" si="41"/>
        <v>1</v>
      </c>
      <c r="AL228" s="32" t="str">
        <f>'St of Activities - GA Exp'!A228</f>
        <v>Greenville City SD</v>
      </c>
      <c r="AN228" s="32" t="b">
        <f t="shared" si="43"/>
        <v>1</v>
      </c>
      <c r="AR228" s="32" t="str">
        <f t="shared" si="44"/>
        <v>Darke</v>
      </c>
      <c r="AS228" s="32" t="str">
        <f>'St of Activites - GA Rev'!C228</f>
        <v>Darke</v>
      </c>
      <c r="AT228" s="32" t="b">
        <f t="shared" si="42"/>
        <v>1</v>
      </c>
      <c r="AU228" s="32" t="str">
        <f>'St of Activities - GA Exp'!C228</f>
        <v>Darke</v>
      </c>
      <c r="AV228" s="56"/>
      <c r="AW228" s="32" t="b">
        <f t="shared" si="45"/>
        <v>1</v>
      </c>
    </row>
    <row r="229" spans="1:49">
      <c r="A229" s="11" t="s">
        <v>310</v>
      </c>
      <c r="B229" s="11"/>
      <c r="C229" s="11" t="s">
        <v>27</v>
      </c>
      <c r="D229" s="11"/>
      <c r="E229" s="29">
        <v>46979</v>
      </c>
      <c r="G229" s="7">
        <f t="shared" si="51"/>
        <v>31874285</v>
      </c>
      <c r="I229" s="7">
        <f>1521786+8683317</f>
        <v>10205103</v>
      </c>
      <c r="K229" s="7">
        <v>42079388</v>
      </c>
      <c r="M229" s="7">
        <f t="shared" si="46"/>
        <v>19759302</v>
      </c>
      <c r="O229" s="7">
        <v>1027835</v>
      </c>
      <c r="Q229" s="7">
        <f>3375663-1027835</f>
        <v>2347828</v>
      </c>
      <c r="S229" s="7">
        <v>23134965</v>
      </c>
      <c r="U229" s="7">
        <v>10045103</v>
      </c>
      <c r="W229" s="7">
        <f t="shared" si="52"/>
        <v>6134202</v>
      </c>
      <c r="Y229" s="7">
        <v>2765118</v>
      </c>
      <c r="AA229" s="7">
        <v>18944423</v>
      </c>
      <c r="AB229" s="7">
        <f t="shared" si="49"/>
        <v>0</v>
      </c>
      <c r="AD229" s="32">
        <f t="shared" si="48"/>
        <v>0</v>
      </c>
      <c r="AF229" s="32"/>
      <c r="AH229" s="32" t="str">
        <f>'St of Activites - GA Rev'!A229</f>
        <v>Groveport Madison Local SD</v>
      </c>
      <c r="AI229" s="32" t="str">
        <f t="shared" si="40"/>
        <v>Groveport Madison Local SD</v>
      </c>
      <c r="AJ229" s="32" t="b">
        <f t="shared" si="41"/>
        <v>1</v>
      </c>
      <c r="AL229" s="32" t="str">
        <f>'St of Activities - GA Exp'!A229</f>
        <v>Groveport Madison Local SD</v>
      </c>
      <c r="AN229" s="32" t="b">
        <f t="shared" si="43"/>
        <v>1</v>
      </c>
      <c r="AR229" s="32" t="str">
        <f t="shared" si="44"/>
        <v>Franklin</v>
      </c>
      <c r="AS229" s="32" t="str">
        <f>'St of Activites - GA Rev'!C229</f>
        <v>Franklin</v>
      </c>
      <c r="AT229" s="32" t="b">
        <f t="shared" si="42"/>
        <v>1</v>
      </c>
      <c r="AU229" s="32" t="str">
        <f>'St of Activities - GA Exp'!C229</f>
        <v>Franklin</v>
      </c>
      <c r="AV229" s="56"/>
      <c r="AW229" s="32" t="b">
        <f t="shared" si="45"/>
        <v>1</v>
      </c>
    </row>
    <row r="230" spans="1:49" s="65" customFormat="1" hidden="1">
      <c r="A230" s="62" t="s">
        <v>225</v>
      </c>
      <c r="B230" s="62"/>
      <c r="C230" s="62" t="s">
        <v>223</v>
      </c>
      <c r="D230" s="62"/>
      <c r="E230" s="64">
        <v>44107</v>
      </c>
      <c r="G230" s="65">
        <f t="shared" si="51"/>
        <v>0</v>
      </c>
      <c r="M230" s="65">
        <f t="shared" si="46"/>
        <v>0</v>
      </c>
      <c r="W230" s="65">
        <f t="shared" si="52"/>
        <v>0</v>
      </c>
      <c r="AB230" s="65">
        <f t="shared" si="49"/>
        <v>0</v>
      </c>
      <c r="AD230" s="66">
        <f t="shared" si="48"/>
        <v>0</v>
      </c>
      <c r="AE230" s="65" t="s">
        <v>903</v>
      </c>
      <c r="AF230" s="66"/>
      <c r="AH230" s="66" t="str">
        <f>'St of Activites - GA Rev'!A230</f>
        <v>Hamilton City SD</v>
      </c>
      <c r="AI230" s="66" t="str">
        <f t="shared" si="40"/>
        <v>Hamilton City SD</v>
      </c>
      <c r="AJ230" s="66" t="b">
        <f t="shared" si="41"/>
        <v>1</v>
      </c>
      <c r="AL230" s="66" t="str">
        <f>'St of Activities - GA Exp'!A230</f>
        <v>Hamilton City SD</v>
      </c>
      <c r="AN230" s="66" t="b">
        <f t="shared" si="43"/>
        <v>1</v>
      </c>
      <c r="AR230" s="66" t="str">
        <f t="shared" si="44"/>
        <v>Butler</v>
      </c>
      <c r="AS230" s="66" t="str">
        <f>'St of Activites - GA Rev'!C230</f>
        <v>Butler</v>
      </c>
      <c r="AT230" s="66" t="b">
        <f t="shared" si="42"/>
        <v>1</v>
      </c>
      <c r="AU230" s="66" t="str">
        <f>'St of Activities - GA Exp'!C230</f>
        <v>Butler</v>
      </c>
      <c r="AV230" s="86"/>
      <c r="AW230" s="66" t="b">
        <f t="shared" si="45"/>
        <v>1</v>
      </c>
    </row>
    <row r="231" spans="1:49">
      <c r="A231" s="11" t="s">
        <v>925</v>
      </c>
      <c r="B231" s="11"/>
      <c r="C231" s="11" t="s">
        <v>27</v>
      </c>
      <c r="D231" s="11"/>
      <c r="E231" s="29">
        <v>46953</v>
      </c>
      <c r="F231" s="10"/>
      <c r="G231" s="7">
        <f t="shared" si="51"/>
        <v>20130894</v>
      </c>
      <c r="I231" s="7">
        <f>806378+70623173</f>
        <v>71429551</v>
      </c>
      <c r="K231" s="7">
        <v>91560445</v>
      </c>
      <c r="M231" s="7">
        <f t="shared" si="46"/>
        <v>7540778</v>
      </c>
      <c r="O231" s="7">
        <v>1060693</v>
      </c>
      <c r="Q231" s="7">
        <f>25918222-1060693</f>
        <v>24857529</v>
      </c>
      <c r="S231" s="7">
        <v>33459000</v>
      </c>
      <c r="U231" s="7">
        <v>47514521</v>
      </c>
      <c r="W231" s="7">
        <f t="shared" si="52"/>
        <v>4394093</v>
      </c>
      <c r="Y231" s="7">
        <v>6192831</v>
      </c>
      <c r="AA231" s="7">
        <v>58101445</v>
      </c>
      <c r="AB231" s="7">
        <f t="shared" si="49"/>
        <v>0</v>
      </c>
      <c r="AD231" s="32">
        <f t="shared" si="48"/>
        <v>0</v>
      </c>
      <c r="AF231" s="32"/>
      <c r="AH231" s="32" t="str">
        <f>'St of Activites - GA Rev'!A231</f>
        <v>Hamilton Local SD</v>
      </c>
      <c r="AI231" s="32" t="str">
        <f t="shared" si="40"/>
        <v>Hamilton Local SD</v>
      </c>
      <c r="AJ231" s="32" t="b">
        <f t="shared" si="41"/>
        <v>1</v>
      </c>
      <c r="AL231" s="32" t="str">
        <f>'St of Activities - GA Exp'!A231</f>
        <v>Hamilton Local SD</v>
      </c>
      <c r="AN231" s="32" t="b">
        <f t="shared" si="43"/>
        <v>1</v>
      </c>
      <c r="AR231" s="32" t="str">
        <f t="shared" si="44"/>
        <v>Franklin</v>
      </c>
      <c r="AS231" s="32" t="str">
        <f>'St of Activites - GA Rev'!C231</f>
        <v>Franklin</v>
      </c>
      <c r="AT231" s="32" t="b">
        <f t="shared" si="42"/>
        <v>1</v>
      </c>
      <c r="AU231" s="32" t="str">
        <f>'St of Activities - GA Exp'!C231</f>
        <v>Franklin</v>
      </c>
      <c r="AV231" s="56"/>
      <c r="AW231" s="32" t="b">
        <f t="shared" si="45"/>
        <v>1</v>
      </c>
    </row>
    <row r="232" spans="1:49">
      <c r="A232" s="11" t="s">
        <v>349</v>
      </c>
      <c r="B232" s="11"/>
      <c r="C232" s="11" t="s">
        <v>348</v>
      </c>
      <c r="D232" s="11"/>
      <c r="E232" s="29">
        <v>47498</v>
      </c>
      <c r="G232" s="7">
        <f t="shared" si="51"/>
        <v>5026885</v>
      </c>
      <c r="I232" s="7">
        <v>14516926</v>
      </c>
      <c r="K232" s="7">
        <v>19543811</v>
      </c>
      <c r="M232" s="7">
        <f t="shared" si="46"/>
        <v>1386890</v>
      </c>
      <c r="O232" s="7">
        <v>102385</v>
      </c>
      <c r="Q232" s="7">
        <f>4418693-102385</f>
        <v>4316308</v>
      </c>
      <c r="S232" s="7">
        <v>5805583</v>
      </c>
      <c r="U232" s="7">
        <v>11200998</v>
      </c>
      <c r="W232" s="7">
        <f t="shared" si="52"/>
        <v>531352</v>
      </c>
      <c r="Y232" s="7">
        <v>2005878</v>
      </c>
      <c r="AA232" s="7">
        <v>13738228</v>
      </c>
      <c r="AB232" s="7">
        <f t="shared" si="49"/>
        <v>0</v>
      </c>
      <c r="AD232" s="32">
        <f t="shared" si="48"/>
        <v>0</v>
      </c>
      <c r="AF232" s="32"/>
      <c r="AH232" s="32" t="str">
        <f>'St of Activites - GA Rev'!A232</f>
        <v>Hardin Northern Local SD</v>
      </c>
      <c r="AI232" s="32" t="str">
        <f t="shared" si="40"/>
        <v>Hardin Northern Local SD</v>
      </c>
      <c r="AJ232" s="32" t="b">
        <f t="shared" si="41"/>
        <v>1</v>
      </c>
      <c r="AL232" s="32" t="str">
        <f>'St of Activities - GA Exp'!A232</f>
        <v>Hardin Northern Local SD</v>
      </c>
      <c r="AN232" s="32" t="b">
        <f t="shared" si="43"/>
        <v>1</v>
      </c>
      <c r="AR232" s="32" t="str">
        <f t="shared" si="44"/>
        <v>Hardin</v>
      </c>
      <c r="AS232" s="32" t="str">
        <f>'St of Activites - GA Rev'!C232</f>
        <v>Hardin</v>
      </c>
      <c r="AT232" s="32" t="b">
        <f t="shared" si="42"/>
        <v>1</v>
      </c>
      <c r="AU232" s="32" t="str">
        <f>'St of Activities - GA Exp'!C232</f>
        <v>Hardin</v>
      </c>
      <c r="AV232" s="56"/>
      <c r="AW232" s="32" t="b">
        <f t="shared" si="45"/>
        <v>1</v>
      </c>
    </row>
    <row r="233" spans="1:49">
      <c r="A233" s="11" t="s">
        <v>506</v>
      </c>
      <c r="B233" s="11"/>
      <c r="C233" s="11" t="s">
        <v>61</v>
      </c>
      <c r="D233" s="11"/>
      <c r="E233" s="29">
        <v>49791</v>
      </c>
      <c r="G233" s="7">
        <f t="shared" si="51"/>
        <v>10538858</v>
      </c>
      <c r="I233" s="7">
        <f>2588456+19218649+313452</f>
        <v>22120557</v>
      </c>
      <c r="K233" s="7">
        <v>32659415</v>
      </c>
      <c r="M233" s="7">
        <f t="shared" si="46"/>
        <v>3674735</v>
      </c>
      <c r="O233" s="7">
        <v>314514</v>
      </c>
      <c r="Q233" s="7">
        <f>9796350-314514</f>
        <v>9481836</v>
      </c>
      <c r="S233" s="7">
        <v>13471085</v>
      </c>
      <c r="U233" s="7">
        <v>17188611</v>
      </c>
      <c r="W233" s="7">
        <f t="shared" si="52"/>
        <v>1190844</v>
      </c>
      <c r="Y233" s="7">
        <v>808875</v>
      </c>
      <c r="AA233" s="7">
        <v>19188330</v>
      </c>
      <c r="AB233" s="7">
        <f t="shared" si="49"/>
        <v>0</v>
      </c>
      <c r="AD233" s="32">
        <f t="shared" si="48"/>
        <v>0</v>
      </c>
      <c r="AF233" s="32"/>
      <c r="AH233" s="32" t="str">
        <f>'St of Activites - GA Rev'!A233</f>
        <v>Hardin-Houston Local SD</v>
      </c>
      <c r="AI233" s="32" t="str">
        <f t="shared" si="40"/>
        <v>Hardin-Houston Local SD</v>
      </c>
      <c r="AJ233" s="32" t="b">
        <f t="shared" si="41"/>
        <v>1</v>
      </c>
      <c r="AL233" s="32" t="str">
        <f>'St of Activities - GA Exp'!A233</f>
        <v>Hardin-Houston Local SD</v>
      </c>
      <c r="AN233" s="32" t="b">
        <f t="shared" si="43"/>
        <v>1</v>
      </c>
      <c r="AR233" s="32" t="str">
        <f t="shared" si="44"/>
        <v>Shelby</v>
      </c>
      <c r="AS233" s="32" t="str">
        <f>'St of Activites - GA Rev'!C233</f>
        <v>Shelby</v>
      </c>
      <c r="AT233" s="32" t="b">
        <f t="shared" si="42"/>
        <v>1</v>
      </c>
      <c r="AU233" s="32" t="str">
        <f>'St of Activities - GA Exp'!C233</f>
        <v>Shelby</v>
      </c>
      <c r="AV233" s="56"/>
      <c r="AW233" s="32" t="b">
        <f t="shared" si="45"/>
        <v>1</v>
      </c>
    </row>
    <row r="234" spans="1:49" s="65" customFormat="1" hidden="1">
      <c r="A234" s="62" t="s">
        <v>353</v>
      </c>
      <c r="B234" s="62"/>
      <c r="C234" s="62" t="s">
        <v>352</v>
      </c>
      <c r="D234" s="62"/>
      <c r="E234" s="64">
        <v>45245</v>
      </c>
      <c r="G234" s="65">
        <f t="shared" si="51"/>
        <v>0</v>
      </c>
      <c r="M234" s="65">
        <f t="shared" si="46"/>
        <v>0</v>
      </c>
      <c r="W234" s="65">
        <f t="shared" si="52"/>
        <v>0</v>
      </c>
      <c r="AB234" s="65">
        <f t="shared" si="49"/>
        <v>0</v>
      </c>
      <c r="AD234" s="66">
        <f t="shared" si="48"/>
        <v>0</v>
      </c>
      <c r="AE234" s="65" t="s">
        <v>903</v>
      </c>
      <c r="AF234" s="66"/>
      <c r="AH234" s="66" t="str">
        <f>'St of Activites - GA Rev'!A234</f>
        <v>Harrison Hills City SD</v>
      </c>
      <c r="AI234" s="66" t="str">
        <f t="shared" si="40"/>
        <v>Harrison Hills City SD</v>
      </c>
      <c r="AJ234" s="66" t="b">
        <f t="shared" si="41"/>
        <v>1</v>
      </c>
      <c r="AL234" s="66" t="str">
        <f>'St of Activities - GA Exp'!A234</f>
        <v>Harrison Hills City SD</v>
      </c>
      <c r="AN234" s="66" t="b">
        <f t="shared" si="43"/>
        <v>1</v>
      </c>
      <c r="AR234" s="66" t="str">
        <f t="shared" si="44"/>
        <v>Harrison</v>
      </c>
      <c r="AS234" s="66" t="str">
        <f>'St of Activites - GA Rev'!C234</f>
        <v>Harrison</v>
      </c>
      <c r="AT234" s="66" t="b">
        <f t="shared" si="42"/>
        <v>1</v>
      </c>
      <c r="AU234" s="66" t="str">
        <f>'St of Activities - GA Exp'!C234</f>
        <v>Harrison</v>
      </c>
      <c r="AV234" s="86"/>
      <c r="AW234" s="66" t="b">
        <f t="shared" si="45"/>
        <v>1</v>
      </c>
    </row>
    <row r="235" spans="1:49">
      <c r="A235" s="11" t="s">
        <v>384</v>
      </c>
      <c r="B235" s="11"/>
      <c r="C235" s="11" t="s">
        <v>42</v>
      </c>
      <c r="D235" s="11"/>
      <c r="E235" s="29">
        <v>44115</v>
      </c>
      <c r="G235" s="7">
        <f t="shared" si="51"/>
        <v>15405966</v>
      </c>
      <c r="I235" s="7">
        <v>15740620</v>
      </c>
      <c r="K235" s="7">
        <v>31146586</v>
      </c>
      <c r="M235" s="7">
        <f t="shared" si="46"/>
        <v>10049177</v>
      </c>
      <c r="O235" s="7">
        <v>1053835</v>
      </c>
      <c r="Q235" s="7">
        <f>16651586-1053835</f>
        <v>15597751</v>
      </c>
      <c r="S235" s="7">
        <v>26700763</v>
      </c>
      <c r="U235" s="7">
        <v>2630860</v>
      </c>
      <c r="W235" s="7">
        <f t="shared" si="52"/>
        <v>3008636</v>
      </c>
      <c r="Y235" s="7">
        <v>-1193673</v>
      </c>
      <c r="AA235" s="7">
        <v>4445823</v>
      </c>
      <c r="AB235" s="7">
        <f t="shared" si="49"/>
        <v>0</v>
      </c>
      <c r="AD235" s="32">
        <f t="shared" si="48"/>
        <v>0</v>
      </c>
      <c r="AF235" s="32"/>
      <c r="AH235" s="32" t="str">
        <f>'St of Activites - GA Rev'!A235</f>
        <v>Heath City SD</v>
      </c>
      <c r="AI235" s="32" t="str">
        <f t="shared" si="40"/>
        <v>Heath City SD</v>
      </c>
      <c r="AJ235" s="32" t="b">
        <f t="shared" si="41"/>
        <v>1</v>
      </c>
      <c r="AL235" s="32" t="str">
        <f>'St of Activities - GA Exp'!A235</f>
        <v>Heath City SD</v>
      </c>
      <c r="AN235" s="32" t="b">
        <f t="shared" si="43"/>
        <v>1</v>
      </c>
      <c r="AR235" s="32" t="str">
        <f t="shared" si="44"/>
        <v>Licking</v>
      </c>
      <c r="AS235" s="32" t="str">
        <f>'St of Activites - GA Rev'!C235</f>
        <v>Licking</v>
      </c>
      <c r="AT235" s="32" t="b">
        <f t="shared" si="42"/>
        <v>1</v>
      </c>
      <c r="AU235" s="32" t="str">
        <f>'St of Activities - GA Exp'!C235</f>
        <v>Licking</v>
      </c>
      <c r="AV235" s="56"/>
      <c r="AW235" s="32" t="b">
        <f t="shared" si="45"/>
        <v>1</v>
      </c>
    </row>
    <row r="236" spans="1:49" s="65" customFormat="1" hidden="1">
      <c r="A236" s="62" t="s">
        <v>699</v>
      </c>
      <c r="B236" s="62"/>
      <c r="C236" s="62" t="s">
        <v>22</v>
      </c>
      <c r="D236" s="62"/>
      <c r="E236" s="64">
        <v>45419</v>
      </c>
      <c r="G236" s="65">
        <f t="shared" si="51"/>
        <v>0</v>
      </c>
      <c r="M236" s="65">
        <f t="shared" si="46"/>
        <v>0</v>
      </c>
      <c r="W236" s="65">
        <f t="shared" si="52"/>
        <v>0</v>
      </c>
      <c r="AB236" s="65">
        <f t="shared" si="49"/>
        <v>0</v>
      </c>
      <c r="AD236" s="66">
        <f t="shared" si="48"/>
        <v>0</v>
      </c>
      <c r="AE236" s="65" t="s">
        <v>904</v>
      </c>
      <c r="AF236" s="66"/>
      <c r="AH236" s="66" t="str">
        <f>'St of Activites - GA Rev'!A236</f>
        <v>Hicksville Ex Vill SD  (CASH)</v>
      </c>
      <c r="AI236" s="66" t="str">
        <f t="shared" si="40"/>
        <v>Hicksville Ex Vill SD  (CASH)</v>
      </c>
      <c r="AJ236" s="66" t="b">
        <f t="shared" si="41"/>
        <v>1</v>
      </c>
      <c r="AL236" s="66" t="str">
        <f>'St of Activities - GA Exp'!A236</f>
        <v>Hicksville Ex Vill SD  (CASH)</v>
      </c>
      <c r="AN236" s="66" t="b">
        <f t="shared" si="43"/>
        <v>1</v>
      </c>
      <c r="AR236" s="66" t="str">
        <f t="shared" si="44"/>
        <v>Defiance</v>
      </c>
      <c r="AS236" s="66" t="str">
        <f>'St of Activites - GA Rev'!C236</f>
        <v>Defiance</v>
      </c>
      <c r="AT236" s="66" t="b">
        <f t="shared" si="42"/>
        <v>1</v>
      </c>
      <c r="AU236" s="66" t="str">
        <f>'St of Activities - GA Exp'!C236</f>
        <v>Defiance</v>
      </c>
      <c r="AV236" s="86"/>
      <c r="AW236" s="66" t="b">
        <f t="shared" si="45"/>
        <v>1</v>
      </c>
    </row>
    <row r="237" spans="1:49">
      <c r="A237" s="11" t="s">
        <v>430</v>
      </c>
      <c r="B237" s="11"/>
      <c r="C237" s="11" t="s">
        <v>47</v>
      </c>
      <c r="D237" s="11"/>
      <c r="E237" s="29">
        <v>48496</v>
      </c>
      <c r="G237" s="7">
        <f t="shared" si="51"/>
        <v>30931823</v>
      </c>
      <c r="I237" s="7">
        <f>1415011+39022620</f>
        <v>40437631</v>
      </c>
      <c r="K237" s="7">
        <v>71369454</v>
      </c>
      <c r="M237" s="7">
        <f t="shared" si="46"/>
        <v>19753544</v>
      </c>
      <c r="O237" s="7">
        <v>2288896</v>
      </c>
      <c r="Q237" s="7">
        <f>33390875-2288896</f>
        <v>31101979</v>
      </c>
      <c r="S237" s="7">
        <v>53144419</v>
      </c>
      <c r="U237" s="7">
        <v>9669207</v>
      </c>
      <c r="W237" s="7">
        <f t="shared" si="52"/>
        <v>5980017</v>
      </c>
      <c r="Y237" s="7">
        <v>2575811</v>
      </c>
      <c r="AA237" s="7">
        <v>18225035</v>
      </c>
      <c r="AB237" s="7">
        <f>+K237-S237-AA237</f>
        <v>0</v>
      </c>
      <c r="AD237" s="32">
        <f>+G237+I237+-M237-O237-U237-W237-Y237-Q237</f>
        <v>0</v>
      </c>
      <c r="AF237" s="32"/>
      <c r="AH237" s="32" t="str">
        <f>'St of Activites - GA Rev'!A237</f>
        <v>Highland Local SD</v>
      </c>
      <c r="AI237" s="32" t="str">
        <f t="shared" si="40"/>
        <v>Highland Local SD</v>
      </c>
      <c r="AJ237" s="32" t="b">
        <f t="shared" si="41"/>
        <v>1</v>
      </c>
      <c r="AL237" s="32" t="str">
        <f>'St of Activities - GA Exp'!A237</f>
        <v>Highland Local SD</v>
      </c>
      <c r="AN237" s="32" t="b">
        <f t="shared" si="43"/>
        <v>1</v>
      </c>
      <c r="AR237" s="32" t="str">
        <f t="shared" si="44"/>
        <v>Medina</v>
      </c>
      <c r="AS237" s="32" t="str">
        <f>'St of Activites - GA Rev'!C237</f>
        <v>Medina</v>
      </c>
      <c r="AT237" s="32" t="b">
        <f t="shared" si="42"/>
        <v>1</v>
      </c>
      <c r="AU237" s="32" t="str">
        <f>'St of Activities - GA Exp'!C237</f>
        <v>Medina</v>
      </c>
      <c r="AV237" s="56"/>
      <c r="AW237" s="32" t="b">
        <f t="shared" si="45"/>
        <v>1</v>
      </c>
    </row>
    <row r="238" spans="1:49">
      <c r="A238" s="11" t="s">
        <v>430</v>
      </c>
      <c r="B238" s="11"/>
      <c r="C238" s="11" t="s">
        <v>78</v>
      </c>
      <c r="D238" s="11"/>
      <c r="E238" s="29">
        <v>48801</v>
      </c>
      <c r="G238" s="7">
        <f t="shared" si="51"/>
        <v>23695173</v>
      </c>
      <c r="I238" s="7">
        <f>43543502+12120490</f>
        <v>55663992</v>
      </c>
      <c r="K238" s="7">
        <v>79359165</v>
      </c>
      <c r="M238" s="7">
        <f t="shared" si="46"/>
        <v>9560647</v>
      </c>
      <c r="O238" s="7">
        <v>262751</v>
      </c>
      <c r="Q238" s="7">
        <f>16307184-262751</f>
        <v>16044433</v>
      </c>
      <c r="S238" s="7">
        <v>25867831</v>
      </c>
      <c r="U238" s="7">
        <v>46815244</v>
      </c>
      <c r="W238" s="7">
        <f t="shared" si="52"/>
        <v>5925539</v>
      </c>
      <c r="Y238" s="7">
        <v>750551</v>
      </c>
      <c r="AA238" s="7">
        <v>53491334</v>
      </c>
      <c r="AB238" s="7">
        <f>+K238-S238-AA238</f>
        <v>0</v>
      </c>
      <c r="AD238" s="32">
        <f>+G238+I238+-M238-O238-U238-W238-Y238-Q238</f>
        <v>0</v>
      </c>
      <c r="AF238" s="32"/>
      <c r="AH238" s="32" t="str">
        <f>'St of Activites - GA Rev'!A238</f>
        <v>Highland Local SD</v>
      </c>
      <c r="AI238" s="32" t="str">
        <f t="shared" si="40"/>
        <v>Highland Local SD</v>
      </c>
      <c r="AJ238" s="32" t="b">
        <f t="shared" si="41"/>
        <v>1</v>
      </c>
      <c r="AL238" s="32" t="str">
        <f>'St of Activities - GA Exp'!A238</f>
        <v>Highland Local SD</v>
      </c>
      <c r="AN238" s="32" t="b">
        <f t="shared" si="43"/>
        <v>1</v>
      </c>
      <c r="AR238" s="32" t="str">
        <f t="shared" si="44"/>
        <v>Morrow</v>
      </c>
      <c r="AS238" s="32" t="str">
        <f>'St of Activites - GA Rev'!C238</f>
        <v>Morrow</v>
      </c>
      <c r="AT238" s="32" t="b">
        <f t="shared" si="42"/>
        <v>1</v>
      </c>
      <c r="AU238" s="32" t="str">
        <f>'St of Activities - GA Exp'!C238</f>
        <v>Morrow</v>
      </c>
      <c r="AV238" s="56"/>
      <c r="AW238" s="32" t="b">
        <f t="shared" si="45"/>
        <v>1</v>
      </c>
    </row>
    <row r="239" spans="1:49">
      <c r="A239" s="11" t="s">
        <v>311</v>
      </c>
      <c r="B239" s="11"/>
      <c r="C239" s="11" t="s">
        <v>27</v>
      </c>
      <c r="D239" s="11"/>
      <c r="E239" s="29">
        <v>47019</v>
      </c>
      <c r="G239" s="7">
        <f t="shared" si="51"/>
        <v>165978763</v>
      </c>
      <c r="I239" s="7">
        <f>19106375+2600868+157336757</f>
        <v>179044000</v>
      </c>
      <c r="K239" s="7">
        <v>345022763</v>
      </c>
      <c r="M239" s="7">
        <f t="shared" si="46"/>
        <v>92645372</v>
      </c>
      <c r="O239" s="7">
        <v>13360942</v>
      </c>
      <c r="Q239" s="7">
        <f>201544744-13360942</f>
        <v>188183802</v>
      </c>
      <c r="S239" s="7">
        <v>294190116</v>
      </c>
      <c r="U239" s="7">
        <v>-5565570</v>
      </c>
      <c r="W239" s="7">
        <f t="shared" si="52"/>
        <v>28151321</v>
      </c>
      <c r="Y239" s="7">
        <v>28246896</v>
      </c>
      <c r="AA239" s="7">
        <v>50832647</v>
      </c>
      <c r="AB239" s="7">
        <f t="shared" si="49"/>
        <v>0</v>
      </c>
      <c r="AD239" s="32">
        <f t="shared" si="48"/>
        <v>0</v>
      </c>
      <c r="AF239" s="32"/>
      <c r="AH239" s="32" t="str">
        <f>'St of Activites - GA Rev'!A239</f>
        <v>Hilliard City SD</v>
      </c>
      <c r="AI239" s="32" t="str">
        <f t="shared" si="40"/>
        <v>Hilliard City SD</v>
      </c>
      <c r="AJ239" s="32" t="b">
        <f t="shared" si="41"/>
        <v>1</v>
      </c>
      <c r="AL239" s="32" t="str">
        <f>'St of Activities - GA Exp'!A239</f>
        <v>Hilliard City SD</v>
      </c>
      <c r="AN239" s="32" t="b">
        <f t="shared" si="43"/>
        <v>1</v>
      </c>
      <c r="AR239" s="32" t="str">
        <f t="shared" si="44"/>
        <v>Franklin</v>
      </c>
      <c r="AS239" s="32" t="str">
        <f>'St of Activites - GA Rev'!C239</f>
        <v>Franklin</v>
      </c>
      <c r="AT239" s="32" t="b">
        <f t="shared" si="42"/>
        <v>1</v>
      </c>
      <c r="AU239" s="32" t="str">
        <f>'St of Activities - GA Exp'!C239</f>
        <v>Franklin</v>
      </c>
      <c r="AV239" s="56"/>
      <c r="AW239" s="32" t="b">
        <f t="shared" si="45"/>
        <v>1</v>
      </c>
    </row>
    <row r="240" spans="1:49">
      <c r="A240" s="11" t="s">
        <v>360</v>
      </c>
      <c r="B240" s="11"/>
      <c r="C240" s="11" t="s">
        <v>358</v>
      </c>
      <c r="D240" s="11"/>
      <c r="E240" s="29">
        <v>44123</v>
      </c>
      <c r="G240" s="7">
        <f t="shared" si="51"/>
        <v>17733183</v>
      </c>
      <c r="I240" s="7">
        <f>574464+26329+59383900</f>
        <v>59984693</v>
      </c>
      <c r="K240" s="7">
        <v>77717876</v>
      </c>
      <c r="M240" s="7">
        <f t="shared" si="46"/>
        <v>8830953</v>
      </c>
      <c r="O240" s="7">
        <v>582420</v>
      </c>
      <c r="Q240" s="7">
        <f>12789137-582420</f>
        <v>12206717</v>
      </c>
      <c r="S240" s="7">
        <v>21620090</v>
      </c>
      <c r="U240" s="7">
        <v>48531647</v>
      </c>
      <c r="W240" s="7">
        <f t="shared" si="52"/>
        <v>4949656</v>
      </c>
      <c r="Y240" s="7">
        <v>2616483</v>
      </c>
      <c r="AA240" s="7">
        <v>56097786</v>
      </c>
      <c r="AB240" s="7">
        <f t="shared" si="49"/>
        <v>0</v>
      </c>
      <c r="AD240" s="32">
        <f t="shared" si="48"/>
        <v>0</v>
      </c>
      <c r="AF240" s="32"/>
      <c r="AH240" s="32" t="str">
        <f>'St of Activites - GA Rev'!A240</f>
        <v>Hillsboro City SD</v>
      </c>
      <c r="AI240" s="32" t="str">
        <f t="shared" si="40"/>
        <v>Hillsboro City SD</v>
      </c>
      <c r="AJ240" s="32" t="b">
        <f t="shared" si="41"/>
        <v>1</v>
      </c>
      <c r="AL240" s="32" t="str">
        <f>'St of Activities - GA Exp'!A240</f>
        <v>Hillsboro City SD</v>
      </c>
      <c r="AN240" s="32" t="b">
        <f t="shared" si="43"/>
        <v>1</v>
      </c>
      <c r="AR240" s="32" t="str">
        <f t="shared" si="44"/>
        <v>Highland</v>
      </c>
      <c r="AS240" s="32" t="str">
        <f>'St of Activites - GA Rev'!C240</f>
        <v>Highland</v>
      </c>
      <c r="AT240" s="32" t="b">
        <f t="shared" si="42"/>
        <v>1</v>
      </c>
      <c r="AU240" s="32" t="str">
        <f>'St of Activities - GA Exp'!C240</f>
        <v>Highland</v>
      </c>
      <c r="AV240" s="56"/>
      <c r="AW240" s="32" t="b">
        <f t="shared" si="45"/>
        <v>1</v>
      </c>
    </row>
    <row r="241" spans="1:49">
      <c r="A241" s="11" t="s">
        <v>205</v>
      </c>
      <c r="B241" s="11"/>
      <c r="C241" s="11" t="s">
        <v>11</v>
      </c>
      <c r="D241" s="11"/>
      <c r="E241" s="29">
        <v>45823</v>
      </c>
      <c r="G241" s="7">
        <f t="shared" si="51"/>
        <v>7414647</v>
      </c>
      <c r="I241" s="7">
        <f>107492+1695274</f>
        <v>1802766</v>
      </c>
      <c r="K241" s="7">
        <v>9217413</v>
      </c>
      <c r="M241" s="7">
        <f t="shared" si="46"/>
        <v>4208376</v>
      </c>
      <c r="O241" s="7">
        <v>456659</v>
      </c>
      <c r="Q241" s="7">
        <f>1429948-456659</f>
        <v>973289</v>
      </c>
      <c r="S241" s="7">
        <v>5638324</v>
      </c>
      <c r="U241" s="7">
        <v>1697416</v>
      </c>
      <c r="W241" s="7">
        <f t="shared" si="52"/>
        <v>355519</v>
      </c>
      <c r="Y241" s="7">
        <v>1526154</v>
      </c>
      <c r="AA241" s="7">
        <v>3579089</v>
      </c>
      <c r="AB241" s="7">
        <f t="shared" si="49"/>
        <v>0</v>
      </c>
      <c r="AD241" s="32">
        <f t="shared" si="48"/>
        <v>0</v>
      </c>
      <c r="AF241" s="32"/>
      <c r="AH241" s="32" t="str">
        <f>'St of Activites - GA Rev'!A241</f>
        <v>Hillsdale Local SD</v>
      </c>
      <c r="AI241" s="32" t="str">
        <f t="shared" si="40"/>
        <v>Hillsdale Local SD</v>
      </c>
      <c r="AJ241" s="32" t="b">
        <f t="shared" si="41"/>
        <v>1</v>
      </c>
      <c r="AL241" s="32" t="str">
        <f>'St of Activities - GA Exp'!A241</f>
        <v>Hillsdale Local SD</v>
      </c>
      <c r="AN241" s="32" t="b">
        <f t="shared" si="43"/>
        <v>1</v>
      </c>
      <c r="AR241" s="32" t="str">
        <f t="shared" si="44"/>
        <v>Ashland</v>
      </c>
      <c r="AS241" s="32" t="str">
        <f>'St of Activites - GA Rev'!C241</f>
        <v>Ashland</v>
      </c>
      <c r="AT241" s="32" t="b">
        <f t="shared" si="42"/>
        <v>1</v>
      </c>
      <c r="AU241" s="32" t="str">
        <f>'St of Activities - GA Exp'!C241</f>
        <v>Ashland</v>
      </c>
      <c r="AV241" s="56"/>
      <c r="AW241" s="32" t="b">
        <f t="shared" si="45"/>
        <v>1</v>
      </c>
    </row>
    <row r="242" spans="1:49">
      <c r="A242" s="11" t="s">
        <v>354</v>
      </c>
      <c r="B242" s="11"/>
      <c r="C242" s="11" t="s">
        <v>34</v>
      </c>
      <c r="D242" s="11"/>
      <c r="E242" s="29">
        <v>47571</v>
      </c>
      <c r="G242" s="7">
        <f t="shared" si="51"/>
        <v>4996819</v>
      </c>
      <c r="I242" s="7">
        <f>628618+20508957</f>
        <v>21137575</v>
      </c>
      <c r="K242" s="7">
        <v>26134394</v>
      </c>
      <c r="M242" s="7">
        <f t="shared" si="46"/>
        <v>1838184</v>
      </c>
      <c r="O242" s="7">
        <v>157062</v>
      </c>
      <c r="Q242" s="7">
        <f>4481884-157062</f>
        <v>4324822</v>
      </c>
      <c r="S242" s="7">
        <v>6320068</v>
      </c>
      <c r="U242" s="7">
        <v>17041458</v>
      </c>
      <c r="W242" s="7">
        <f t="shared" si="52"/>
        <v>1079260</v>
      </c>
      <c r="Y242" s="7">
        <v>1693608</v>
      </c>
      <c r="AA242" s="7">
        <v>19814326</v>
      </c>
      <c r="AB242" s="7">
        <f t="shared" si="49"/>
        <v>0</v>
      </c>
      <c r="AD242" s="32">
        <f t="shared" si="48"/>
        <v>0</v>
      </c>
      <c r="AF242" s="32"/>
      <c r="AH242" s="32" t="str">
        <f>'St of Activites - GA Rev'!A242</f>
        <v>Holgate Local SD</v>
      </c>
      <c r="AI242" s="32" t="str">
        <f t="shared" si="40"/>
        <v>Holgate Local SD</v>
      </c>
      <c r="AJ242" s="32" t="b">
        <f t="shared" si="41"/>
        <v>1</v>
      </c>
      <c r="AL242" s="32" t="str">
        <f>'St of Activities - GA Exp'!A242</f>
        <v>Holgate Local SD</v>
      </c>
      <c r="AN242" s="32" t="b">
        <f t="shared" si="43"/>
        <v>1</v>
      </c>
      <c r="AR242" s="32" t="str">
        <f t="shared" si="44"/>
        <v>Henry</v>
      </c>
      <c r="AS242" s="32" t="str">
        <f>'St of Activites - GA Rev'!C242</f>
        <v>Henry</v>
      </c>
      <c r="AT242" s="32" t="b">
        <f t="shared" si="42"/>
        <v>1</v>
      </c>
      <c r="AU242" s="32" t="str">
        <f>'St of Activities - GA Exp'!C242</f>
        <v>Henry</v>
      </c>
      <c r="AV242" s="56"/>
      <c r="AW242" s="32" t="b">
        <f t="shared" si="45"/>
        <v>1</v>
      </c>
    </row>
    <row r="243" spans="1:49">
      <c r="A243" s="11" t="s">
        <v>538</v>
      </c>
      <c r="B243" s="11"/>
      <c r="C243" s="11" t="s">
        <v>64</v>
      </c>
      <c r="D243" s="11"/>
      <c r="E243" s="29">
        <v>50161</v>
      </c>
      <c r="G243" s="7">
        <f t="shared" si="51"/>
        <v>26438435</v>
      </c>
      <c r="I243" s="7">
        <f>777270+2985039</f>
        <v>3762309</v>
      </c>
      <c r="K243" s="7">
        <v>30200744</v>
      </c>
      <c r="M243" s="7">
        <f t="shared" si="46"/>
        <v>21475456</v>
      </c>
      <c r="O243" s="7">
        <v>543009</v>
      </c>
      <c r="Q243" s="7">
        <f>4626086-543009</f>
        <v>4083077</v>
      </c>
      <c r="S243" s="7">
        <v>26101542</v>
      </c>
      <c r="U243" s="7">
        <v>3762309</v>
      </c>
      <c r="W243" s="7">
        <f t="shared" si="52"/>
        <v>897267</v>
      </c>
      <c r="Y243" s="7">
        <v>-560374</v>
      </c>
      <c r="AA243" s="7">
        <v>4099202</v>
      </c>
      <c r="AB243" s="7">
        <f t="shared" si="49"/>
        <v>0</v>
      </c>
      <c r="AD243" s="32">
        <f t="shared" si="48"/>
        <v>0</v>
      </c>
      <c r="AF243" s="32"/>
      <c r="AH243" s="32" t="str">
        <f>'St of Activites - GA Rev'!A243</f>
        <v>Howland Local SD</v>
      </c>
      <c r="AI243" s="32" t="str">
        <f t="shared" si="40"/>
        <v>Howland Local SD</v>
      </c>
      <c r="AJ243" s="32" t="b">
        <f t="shared" si="41"/>
        <v>1</v>
      </c>
      <c r="AL243" s="32" t="str">
        <f>'St of Activities - GA Exp'!A243</f>
        <v>Howland Local SD</v>
      </c>
      <c r="AN243" s="32" t="b">
        <f t="shared" si="43"/>
        <v>1</v>
      </c>
      <c r="AR243" s="32" t="str">
        <f t="shared" si="44"/>
        <v>Trumbull</v>
      </c>
      <c r="AS243" s="32" t="str">
        <f>'St of Activites - GA Rev'!C243</f>
        <v>Trumbull</v>
      </c>
      <c r="AT243" s="32" t="b">
        <f t="shared" si="42"/>
        <v>1</v>
      </c>
      <c r="AU243" s="32" t="str">
        <f>'St of Activities - GA Exp'!C243</f>
        <v>Trumbull</v>
      </c>
      <c r="AV243" s="56"/>
      <c r="AW243" s="32" t="b">
        <f t="shared" si="45"/>
        <v>1</v>
      </c>
    </row>
    <row r="244" spans="1:49">
      <c r="A244" s="11" t="s">
        <v>870</v>
      </c>
      <c r="B244" s="11"/>
      <c r="C244" s="11" t="s">
        <v>64</v>
      </c>
      <c r="D244" s="11"/>
      <c r="E244" s="29">
        <v>45427</v>
      </c>
      <c r="G244" s="7">
        <f t="shared" si="51"/>
        <v>33792181</v>
      </c>
      <c r="I244" s="7">
        <f>41490994+2739011</f>
        <v>44230005</v>
      </c>
      <c r="K244" s="7">
        <v>78022186</v>
      </c>
      <c r="M244" s="7">
        <f t="shared" si="46"/>
        <v>11141180</v>
      </c>
      <c r="O244" s="7">
        <v>650541</v>
      </c>
      <c r="Q244" s="7">
        <f>18702819-650541</f>
        <v>18052278</v>
      </c>
      <c r="S244" s="7">
        <v>29843999</v>
      </c>
      <c r="U244" s="7">
        <v>27166472</v>
      </c>
      <c r="W244" s="7">
        <f t="shared" si="52"/>
        <v>18625703</v>
      </c>
      <c r="Y244" s="7">
        <v>2386012</v>
      </c>
      <c r="AA244" s="7">
        <v>48178187</v>
      </c>
      <c r="AB244" s="7">
        <f t="shared" si="49"/>
        <v>0</v>
      </c>
      <c r="AD244" s="32">
        <f t="shared" si="48"/>
        <v>0</v>
      </c>
      <c r="AF244" s="32"/>
      <c r="AH244" s="32" t="str">
        <f>'St of Activites - GA Rev'!A244</f>
        <v>Hubbard Exempted Village SD</v>
      </c>
      <c r="AI244" s="32" t="str">
        <f t="shared" si="40"/>
        <v>Hubbard Exempted Village SD</v>
      </c>
      <c r="AJ244" s="32" t="b">
        <f t="shared" si="41"/>
        <v>1</v>
      </c>
      <c r="AL244" s="32" t="str">
        <f>'St of Activities - GA Exp'!A244</f>
        <v>Hubbard Exempted Village SD</v>
      </c>
      <c r="AN244" s="32" t="b">
        <f t="shared" si="43"/>
        <v>1</v>
      </c>
      <c r="AR244" s="32" t="str">
        <f t="shared" si="44"/>
        <v>Trumbull</v>
      </c>
      <c r="AS244" s="32" t="str">
        <f>'St of Activites - GA Rev'!C244</f>
        <v>Trumbull</v>
      </c>
      <c r="AT244" s="32" t="b">
        <f t="shared" si="42"/>
        <v>1</v>
      </c>
      <c r="AU244" s="32" t="str">
        <f>'St of Activities - GA Exp'!C244</f>
        <v>Trumbull</v>
      </c>
      <c r="AV244" s="56"/>
      <c r="AW244" s="32" t="b">
        <f t="shared" si="45"/>
        <v>1</v>
      </c>
    </row>
    <row r="245" spans="1:49">
      <c r="A245" s="11" t="s">
        <v>443</v>
      </c>
      <c r="B245" s="11"/>
      <c r="C245" s="11" t="s">
        <v>50</v>
      </c>
      <c r="D245" s="11"/>
      <c r="E245" s="29">
        <v>48751</v>
      </c>
      <c r="G245" s="7">
        <f t="shared" si="51"/>
        <v>152088249</v>
      </c>
      <c r="I245" s="7">
        <f>75001723+16101148</f>
        <v>91102871</v>
      </c>
      <c r="K245" s="7">
        <v>243191120</v>
      </c>
      <c r="M245" s="7">
        <f t="shared" si="46"/>
        <v>42166333</v>
      </c>
      <c r="O245" s="7">
        <v>1831189</v>
      </c>
      <c r="Q245" s="7">
        <f>84160485-1831189</f>
        <v>82329296</v>
      </c>
      <c r="S245" s="7">
        <v>126326818</v>
      </c>
      <c r="U245" s="7">
        <v>89112311</v>
      </c>
      <c r="W245" s="7">
        <f t="shared" si="52"/>
        <v>17219773</v>
      </c>
      <c r="Y245" s="7">
        <v>10532218</v>
      </c>
      <c r="AA245" s="7">
        <v>116864302</v>
      </c>
      <c r="AB245" s="7">
        <f t="shared" si="49"/>
        <v>0</v>
      </c>
      <c r="AD245" s="32">
        <f t="shared" si="48"/>
        <v>0</v>
      </c>
      <c r="AF245" s="32"/>
      <c r="AH245" s="32" t="str">
        <f>'St of Activites - GA Rev'!A245</f>
        <v>Huber Heights City SD</v>
      </c>
      <c r="AI245" s="32" t="str">
        <f t="shared" si="40"/>
        <v>Huber Heights City SD</v>
      </c>
      <c r="AJ245" s="32" t="b">
        <f t="shared" si="41"/>
        <v>1</v>
      </c>
      <c r="AL245" s="32" t="str">
        <f>'St of Activities - GA Exp'!A245</f>
        <v>Huber Heights City SD</v>
      </c>
      <c r="AN245" s="32" t="b">
        <f t="shared" si="43"/>
        <v>1</v>
      </c>
      <c r="AR245" s="32" t="str">
        <f t="shared" si="44"/>
        <v>Montgomery</v>
      </c>
      <c r="AS245" s="32" t="str">
        <f>'St of Activites - GA Rev'!C245</f>
        <v>Montgomery</v>
      </c>
      <c r="AT245" s="32" t="b">
        <f t="shared" si="42"/>
        <v>1</v>
      </c>
      <c r="AU245" s="32" t="str">
        <f>'St of Activities - GA Exp'!C245</f>
        <v>Montgomery</v>
      </c>
      <c r="AV245" s="56"/>
      <c r="AW245" s="32" t="b">
        <f t="shared" si="45"/>
        <v>1</v>
      </c>
    </row>
    <row r="246" spans="1:49">
      <c r="A246" s="11" t="s">
        <v>525</v>
      </c>
      <c r="B246" s="11"/>
      <c r="C246" s="11" t="s">
        <v>63</v>
      </c>
      <c r="D246" s="11"/>
      <c r="E246" s="29">
        <v>50021</v>
      </c>
      <c r="G246" s="7">
        <f t="shared" si="51"/>
        <v>68643724</v>
      </c>
      <c r="I246" s="7">
        <v>50537646</v>
      </c>
      <c r="K246" s="7">
        <v>119181370</v>
      </c>
      <c r="M246" s="7">
        <f t="shared" si="46"/>
        <v>46582718</v>
      </c>
      <c r="O246" s="7">
        <v>3470184</v>
      </c>
      <c r="Q246" s="7">
        <f>35337410-3470184</f>
        <v>31867226</v>
      </c>
      <c r="S246" s="7">
        <v>81920128</v>
      </c>
      <c r="U246" s="7">
        <v>21464755</v>
      </c>
      <c r="W246" s="7">
        <f t="shared" si="52"/>
        <v>6330508</v>
      </c>
      <c r="Y246" s="7">
        <v>9465979</v>
      </c>
      <c r="AA246" s="7">
        <v>37261242</v>
      </c>
      <c r="AB246" s="7">
        <f t="shared" si="49"/>
        <v>0</v>
      </c>
      <c r="AD246" s="32">
        <f t="shared" si="48"/>
        <v>0</v>
      </c>
      <c r="AF246" s="32"/>
      <c r="AH246" s="32" t="str">
        <f>'St of Activites - GA Rev'!A246</f>
        <v>Hudson City SD</v>
      </c>
      <c r="AI246" s="32" t="str">
        <f t="shared" si="40"/>
        <v>Hudson City SD</v>
      </c>
      <c r="AJ246" s="32" t="b">
        <f t="shared" si="41"/>
        <v>1</v>
      </c>
      <c r="AL246" s="32" t="str">
        <f>'St of Activities - GA Exp'!A246</f>
        <v>Hudson City SD</v>
      </c>
      <c r="AN246" s="32" t="b">
        <f t="shared" si="43"/>
        <v>1</v>
      </c>
      <c r="AR246" s="32" t="str">
        <f t="shared" si="44"/>
        <v>Summit</v>
      </c>
      <c r="AS246" s="32" t="str">
        <f>'St of Activites - GA Rev'!C246</f>
        <v>Summit</v>
      </c>
      <c r="AT246" s="32" t="b">
        <f t="shared" si="42"/>
        <v>1</v>
      </c>
      <c r="AU246" s="32" t="str">
        <f>'St of Activities - GA Exp'!C246</f>
        <v>Summit</v>
      </c>
      <c r="AV246" s="56"/>
      <c r="AW246" s="32" t="b">
        <f t="shared" si="45"/>
        <v>1</v>
      </c>
    </row>
    <row r="247" spans="1:49">
      <c r="A247" s="11" t="s">
        <v>489</v>
      </c>
      <c r="B247" s="11"/>
      <c r="C247" s="11" t="s">
        <v>58</v>
      </c>
      <c r="D247" s="11"/>
      <c r="E247" s="29">
        <v>49502</v>
      </c>
      <c r="G247" s="7">
        <f t="shared" si="51"/>
        <v>7391889</v>
      </c>
      <c r="I247" s="7">
        <f>769307+11110992</f>
        <v>11880299</v>
      </c>
      <c r="K247" s="7">
        <v>19272188</v>
      </c>
      <c r="M247" s="7">
        <f t="shared" si="46"/>
        <v>2876474</v>
      </c>
      <c r="O247" s="7">
        <v>197109</v>
      </c>
      <c r="Q247" s="7">
        <f>1456609-197109</f>
        <v>1259500</v>
      </c>
      <c r="S247" s="7">
        <v>4333083</v>
      </c>
      <c r="U247" s="7">
        <v>11141048</v>
      </c>
      <c r="W247" s="7">
        <f t="shared" si="52"/>
        <v>1303424</v>
      </c>
      <c r="Y247" s="7">
        <v>2494633</v>
      </c>
      <c r="AA247" s="7">
        <v>14939105</v>
      </c>
      <c r="AB247" s="7">
        <f t="shared" si="49"/>
        <v>0</v>
      </c>
      <c r="AD247" s="32">
        <f t="shared" si="48"/>
        <v>0</v>
      </c>
      <c r="AF247" s="32"/>
      <c r="AH247" s="32" t="str">
        <f>'St of Activites - GA Rev'!A247</f>
        <v>Huntington Local SD</v>
      </c>
      <c r="AI247" s="32" t="str">
        <f t="shared" si="40"/>
        <v>Huntington Local SD</v>
      </c>
      <c r="AJ247" s="32" t="b">
        <f t="shared" si="41"/>
        <v>1</v>
      </c>
      <c r="AL247" s="32" t="str">
        <f>'St of Activities - GA Exp'!A247</f>
        <v>Huntington Local SD</v>
      </c>
      <c r="AN247" s="32" t="b">
        <f t="shared" si="43"/>
        <v>1</v>
      </c>
      <c r="AR247" s="32" t="str">
        <f t="shared" si="44"/>
        <v>Ross</v>
      </c>
      <c r="AS247" s="32" t="str">
        <f>'St of Activites - GA Rev'!C247</f>
        <v>Ross</v>
      </c>
      <c r="AT247" s="32" t="b">
        <f t="shared" si="42"/>
        <v>1</v>
      </c>
      <c r="AU247" s="32" t="str">
        <f>'St of Activities - GA Exp'!C247</f>
        <v>Ross</v>
      </c>
      <c r="AV247" s="56"/>
      <c r="AW247" s="32" t="b">
        <f t="shared" si="45"/>
        <v>1</v>
      </c>
    </row>
    <row r="248" spans="1:49">
      <c r="A248" s="11" t="s">
        <v>292</v>
      </c>
      <c r="B248" s="11"/>
      <c r="C248" s="11" t="s">
        <v>24</v>
      </c>
      <c r="D248" s="11"/>
      <c r="E248" s="29">
        <v>44131</v>
      </c>
      <c r="G248" s="7">
        <f t="shared" si="51"/>
        <v>20035277</v>
      </c>
      <c r="I248" s="7">
        <v>8389042</v>
      </c>
      <c r="K248" s="7">
        <v>28424319</v>
      </c>
      <c r="M248" s="7">
        <f t="shared" si="46"/>
        <v>10292230</v>
      </c>
      <c r="O248" s="7">
        <v>1001237</v>
      </c>
      <c r="Q248" s="7">
        <f>9515829-1001237</f>
        <v>8514592</v>
      </c>
      <c r="S248" s="7">
        <v>19808059</v>
      </c>
      <c r="U248" s="7">
        <v>3396713</v>
      </c>
      <c r="W248" s="7">
        <f t="shared" si="52"/>
        <v>700000</v>
      </c>
      <c r="Y248" s="7">
        <v>4519547</v>
      </c>
      <c r="AA248" s="7">
        <v>8616260</v>
      </c>
      <c r="AB248" s="7">
        <f t="shared" si="49"/>
        <v>0</v>
      </c>
      <c r="AD248" s="32">
        <f t="shared" si="48"/>
        <v>0</v>
      </c>
      <c r="AF248" s="32"/>
      <c r="AH248" s="32" t="str">
        <f>'St of Activites - GA Rev'!A248</f>
        <v>Huron City SD</v>
      </c>
      <c r="AI248" s="32" t="str">
        <f t="shared" si="40"/>
        <v>Huron City SD</v>
      </c>
      <c r="AJ248" s="32" t="b">
        <f t="shared" si="41"/>
        <v>1</v>
      </c>
      <c r="AL248" s="32" t="str">
        <f>'St of Activities - GA Exp'!A248</f>
        <v>Huron City SD</v>
      </c>
      <c r="AN248" s="32" t="b">
        <f t="shared" si="43"/>
        <v>1</v>
      </c>
      <c r="AR248" s="32" t="str">
        <f t="shared" si="44"/>
        <v>Erie</v>
      </c>
      <c r="AS248" s="32" t="str">
        <f>'St of Activites - GA Rev'!C248</f>
        <v>Erie</v>
      </c>
      <c r="AT248" s="32" t="b">
        <f t="shared" si="42"/>
        <v>1</v>
      </c>
      <c r="AU248" s="32" t="str">
        <f>'St of Activities - GA Exp'!C248</f>
        <v>Erie</v>
      </c>
      <c r="AV248" s="56"/>
      <c r="AW248" s="32" t="b">
        <f t="shared" si="45"/>
        <v>1</v>
      </c>
    </row>
    <row r="249" spans="1:49">
      <c r="A249" s="11" t="s">
        <v>275</v>
      </c>
      <c r="B249" s="11"/>
      <c r="C249" s="11" t="s">
        <v>20</v>
      </c>
      <c r="D249" s="11"/>
      <c r="E249" s="29">
        <v>46565</v>
      </c>
      <c r="G249" s="7">
        <f t="shared" si="51"/>
        <v>22245138</v>
      </c>
      <c r="I249" s="7">
        <f>147099+23966787</f>
        <v>24113886</v>
      </c>
      <c r="K249" s="7">
        <v>46359024</v>
      </c>
      <c r="M249" s="7">
        <f t="shared" si="46"/>
        <v>13601392</v>
      </c>
      <c r="O249" s="7">
        <v>226912</v>
      </c>
      <c r="Q249" s="7">
        <f>15995309-226912</f>
        <v>15768397</v>
      </c>
      <c r="S249" s="7">
        <v>29596701</v>
      </c>
      <c r="U249" s="7">
        <v>9857886</v>
      </c>
      <c r="W249" s="7">
        <f t="shared" si="52"/>
        <v>3326407</v>
      </c>
      <c r="Y249" s="7">
        <v>3578030</v>
      </c>
      <c r="AA249" s="7">
        <v>16762323</v>
      </c>
      <c r="AB249" s="7">
        <f t="shared" si="49"/>
        <v>0</v>
      </c>
      <c r="AD249" s="32">
        <f t="shared" si="48"/>
        <v>0</v>
      </c>
      <c r="AF249" s="32"/>
      <c r="AH249" s="32" t="str">
        <f>'St of Activites - GA Rev'!A249</f>
        <v>Independence Local SD</v>
      </c>
      <c r="AI249" s="32" t="str">
        <f t="shared" si="40"/>
        <v>Independence Local SD</v>
      </c>
      <c r="AJ249" s="32" t="b">
        <f t="shared" si="41"/>
        <v>1</v>
      </c>
      <c r="AL249" s="32" t="str">
        <f>'St of Activities - GA Exp'!A249</f>
        <v>Independence Local SD</v>
      </c>
      <c r="AN249" s="32" t="b">
        <f t="shared" si="43"/>
        <v>1</v>
      </c>
      <c r="AR249" s="32" t="str">
        <f t="shared" si="44"/>
        <v>Cuyahoga</v>
      </c>
      <c r="AS249" s="32" t="str">
        <f>'St of Activites - GA Rev'!C249</f>
        <v>Cuyahoga</v>
      </c>
      <c r="AT249" s="32" t="b">
        <f t="shared" si="42"/>
        <v>1</v>
      </c>
      <c r="AU249" s="32" t="str">
        <f>'St of Activities - GA Exp'!C249</f>
        <v>Cuyahoga</v>
      </c>
      <c r="AV249" s="56"/>
      <c r="AW249" s="32" t="b">
        <f t="shared" si="45"/>
        <v>1</v>
      </c>
    </row>
    <row r="250" spans="1:49">
      <c r="A250" s="11" t="s">
        <v>373</v>
      </c>
      <c r="B250" s="11"/>
      <c r="C250" s="11" t="s">
        <v>39</v>
      </c>
      <c r="D250" s="11"/>
      <c r="E250" s="29">
        <v>47803</v>
      </c>
      <c r="F250" s="10"/>
      <c r="G250" s="7">
        <f t="shared" si="51"/>
        <v>28116352</v>
      </c>
      <c r="I250" s="7">
        <f>2528760+4520280</f>
        <v>7049040</v>
      </c>
      <c r="K250" s="7">
        <v>35165392</v>
      </c>
      <c r="M250" s="7">
        <f t="shared" si="46"/>
        <v>11354918</v>
      </c>
      <c r="O250" s="7">
        <v>709330</v>
      </c>
      <c r="Q250" s="7">
        <f>13165354-709330</f>
        <v>12456024</v>
      </c>
      <c r="S250" s="7">
        <v>24520272</v>
      </c>
      <c r="U250" s="7">
        <v>3234343</v>
      </c>
      <c r="W250" s="7">
        <f t="shared" si="52"/>
        <v>6924644</v>
      </c>
      <c r="Y250" s="7">
        <v>486133</v>
      </c>
      <c r="AA250" s="7">
        <v>10645120</v>
      </c>
      <c r="AB250" s="7">
        <f t="shared" si="49"/>
        <v>0</v>
      </c>
      <c r="AD250" s="32">
        <f t="shared" si="48"/>
        <v>0</v>
      </c>
      <c r="AF250" s="32"/>
      <c r="AH250" s="32" t="str">
        <f>'St of Activites - GA Rev'!A250</f>
        <v>Indian Creek Local SD</v>
      </c>
      <c r="AI250" s="32" t="str">
        <f t="shared" si="40"/>
        <v>Indian Creek Local SD</v>
      </c>
      <c r="AJ250" s="32" t="b">
        <f t="shared" si="41"/>
        <v>1</v>
      </c>
      <c r="AL250" s="32" t="str">
        <f>'St of Activities - GA Exp'!A250</f>
        <v>Indian Creek Local SD</v>
      </c>
      <c r="AN250" s="32" t="b">
        <f t="shared" si="43"/>
        <v>1</v>
      </c>
      <c r="AR250" s="32" t="str">
        <f t="shared" si="44"/>
        <v>Jefferson</v>
      </c>
      <c r="AS250" s="32" t="str">
        <f>'St of Activites - GA Rev'!C250</f>
        <v>Jefferson</v>
      </c>
      <c r="AT250" s="32" t="b">
        <f t="shared" si="42"/>
        <v>1</v>
      </c>
      <c r="AU250" s="32" t="str">
        <f>'St of Activities - GA Exp'!C250</f>
        <v>Jefferson</v>
      </c>
      <c r="AV250" s="56"/>
      <c r="AW250" s="32" t="b">
        <f t="shared" si="45"/>
        <v>1</v>
      </c>
    </row>
    <row r="251" spans="1:49">
      <c r="A251" s="11" t="s">
        <v>871</v>
      </c>
      <c r="B251" s="11"/>
      <c r="C251" s="11" t="s">
        <v>32</v>
      </c>
      <c r="D251" s="11"/>
      <c r="E251" s="29">
        <v>45435</v>
      </c>
      <c r="G251" s="7">
        <f t="shared" si="51"/>
        <v>64317257</v>
      </c>
      <c r="I251" s="7">
        <v>43943822</v>
      </c>
      <c r="K251" s="7">
        <v>108261079</v>
      </c>
      <c r="M251" s="7">
        <f t="shared" si="46"/>
        <v>22899086</v>
      </c>
      <c r="O251" s="7">
        <v>2707895</v>
      </c>
      <c r="Q251" s="7">
        <f>37447771-2707895</f>
        <v>34739876</v>
      </c>
      <c r="S251" s="7">
        <v>60346857</v>
      </c>
      <c r="U251" s="7">
        <v>9361102</v>
      </c>
      <c r="W251" s="7">
        <f t="shared" si="52"/>
        <v>4236789</v>
      </c>
      <c r="Y251" s="7">
        <v>34316331</v>
      </c>
      <c r="AA251" s="7">
        <v>47914222</v>
      </c>
      <c r="AB251" s="7">
        <f t="shared" si="49"/>
        <v>0</v>
      </c>
      <c r="AD251" s="32">
        <f t="shared" si="48"/>
        <v>0</v>
      </c>
      <c r="AF251" s="32"/>
      <c r="AH251" s="32" t="str">
        <f>'St of Activites - GA Rev'!A251</f>
        <v>Indian Hill Exempted Village SD</v>
      </c>
      <c r="AI251" s="32" t="str">
        <f t="shared" si="40"/>
        <v>Indian Hill Exempted Village SD</v>
      </c>
      <c r="AJ251" s="32" t="b">
        <f t="shared" si="41"/>
        <v>1</v>
      </c>
      <c r="AL251" s="32" t="str">
        <f>'St of Activities - GA Exp'!A251</f>
        <v>Indian Hill Exempted Village SD</v>
      </c>
      <c r="AN251" s="32" t="b">
        <f t="shared" si="43"/>
        <v>1</v>
      </c>
      <c r="AR251" s="32" t="str">
        <f t="shared" si="44"/>
        <v>Hamilton</v>
      </c>
      <c r="AS251" s="32" t="str">
        <f>'St of Activites - GA Rev'!C251</f>
        <v>Hamilton</v>
      </c>
      <c r="AT251" s="32" t="b">
        <f t="shared" si="42"/>
        <v>1</v>
      </c>
      <c r="AU251" s="32" t="str">
        <f>'St of Activities - GA Exp'!C251</f>
        <v>Hamilton</v>
      </c>
      <c r="AV251" s="56"/>
      <c r="AW251" s="32" t="b">
        <f t="shared" si="45"/>
        <v>1</v>
      </c>
    </row>
    <row r="252" spans="1:49" s="65" customFormat="1" hidden="1">
      <c r="A252" s="62" t="s">
        <v>909</v>
      </c>
      <c r="B252" s="62"/>
      <c r="C252" s="62" t="s">
        <v>43</v>
      </c>
      <c r="D252" s="62"/>
      <c r="E252" s="64"/>
      <c r="G252" s="65">
        <f t="shared" si="51"/>
        <v>0</v>
      </c>
      <c r="M252" s="65">
        <f t="shared" si="46"/>
        <v>0</v>
      </c>
      <c r="W252" s="65">
        <f t="shared" si="52"/>
        <v>0</v>
      </c>
      <c r="AB252" s="65">
        <f t="shared" si="49"/>
        <v>0</v>
      </c>
      <c r="AD252" s="66">
        <f t="shared" si="48"/>
        <v>0</v>
      </c>
      <c r="AE252" s="65" t="s">
        <v>904</v>
      </c>
      <c r="AF252" s="66"/>
      <c r="AH252" s="66" t="str">
        <f>'St of Activites - GA Rev'!A252</f>
        <v>Indian Lake Local SD (CASH)</v>
      </c>
      <c r="AI252" s="66" t="str">
        <f t="shared" si="40"/>
        <v>Indian Lake Local SD (CASH)</v>
      </c>
      <c r="AJ252" s="66" t="b">
        <f t="shared" si="41"/>
        <v>1</v>
      </c>
      <c r="AL252" s="66" t="str">
        <f>'St of Activities - GA Exp'!A252</f>
        <v>Indian Lake Local SD (CASH)</v>
      </c>
      <c r="AN252" s="66" t="b">
        <f t="shared" si="43"/>
        <v>1</v>
      </c>
      <c r="AR252" s="66" t="str">
        <f t="shared" si="44"/>
        <v>Logan</v>
      </c>
      <c r="AS252" s="66" t="str">
        <f>'St of Activites - GA Rev'!C252</f>
        <v>Logan</v>
      </c>
      <c r="AT252" s="66" t="b">
        <f t="shared" si="42"/>
        <v>1</v>
      </c>
      <c r="AU252" s="66" t="str">
        <f>'St of Activities - GA Exp'!C252</f>
        <v>Logan</v>
      </c>
      <c r="AV252" s="86"/>
      <c r="AW252" s="66" t="b">
        <f t="shared" si="45"/>
        <v>1</v>
      </c>
    </row>
    <row r="253" spans="1:49">
      <c r="A253" s="11" t="s">
        <v>552</v>
      </c>
      <c r="B253" s="11"/>
      <c r="C253" s="11" t="s">
        <v>65</v>
      </c>
      <c r="D253" s="11"/>
      <c r="E253" s="29">
        <v>50286</v>
      </c>
      <c r="G253" s="7">
        <f t="shared" si="51"/>
        <v>11688114</v>
      </c>
      <c r="I253" s="7">
        <f>91144+43374128</f>
        <v>43465272</v>
      </c>
      <c r="K253" s="7">
        <v>55153386</v>
      </c>
      <c r="M253" s="7">
        <f t="shared" si="46"/>
        <v>6828044</v>
      </c>
      <c r="O253" s="7">
        <v>812218</v>
      </c>
      <c r="Q253" s="7">
        <v>12686251</v>
      </c>
      <c r="S253" s="7">
        <v>20326513</v>
      </c>
      <c r="U253" s="7">
        <v>32174313</v>
      </c>
      <c r="W253" s="7">
        <f t="shared" si="52"/>
        <v>2579108</v>
      </c>
      <c r="Y253" s="7">
        <v>73452</v>
      </c>
      <c r="AA253" s="7">
        <v>34826873</v>
      </c>
      <c r="AB253" s="7">
        <f t="shared" si="49"/>
        <v>0</v>
      </c>
      <c r="AD253" s="32">
        <f t="shared" si="48"/>
        <v>0</v>
      </c>
      <c r="AF253" s="32"/>
      <c r="AH253" s="32" t="str">
        <f>'St of Activites - GA Rev'!A253</f>
        <v>Indian Valley Local SD</v>
      </c>
      <c r="AI253" s="32" t="str">
        <f t="shared" si="40"/>
        <v>Indian Valley Local SD</v>
      </c>
      <c r="AJ253" s="32" t="b">
        <f t="shared" si="41"/>
        <v>1</v>
      </c>
      <c r="AL253" s="32" t="str">
        <f>'St of Activities - GA Exp'!A253</f>
        <v>Indian Valley Local SD</v>
      </c>
      <c r="AN253" s="32" t="b">
        <f t="shared" si="43"/>
        <v>1</v>
      </c>
      <c r="AR253" s="32" t="str">
        <f t="shared" si="44"/>
        <v>Tuscarawas</v>
      </c>
      <c r="AS253" s="32" t="str">
        <f>'St of Activites - GA Rev'!C253</f>
        <v>Tuscarawas</v>
      </c>
      <c r="AT253" s="32" t="b">
        <f t="shared" si="42"/>
        <v>1</v>
      </c>
      <c r="AU253" s="32" t="str">
        <f>'St of Activities - GA Exp'!C253</f>
        <v>Tuscarawas</v>
      </c>
      <c r="AV253" s="56"/>
      <c r="AW253" s="32" t="b">
        <f t="shared" si="45"/>
        <v>1</v>
      </c>
    </row>
    <row r="254" spans="1:49">
      <c r="A254" s="11" t="s">
        <v>380</v>
      </c>
      <c r="B254" s="11"/>
      <c r="C254" s="11" t="s">
        <v>377</v>
      </c>
      <c r="D254" s="11"/>
      <c r="E254" s="29">
        <v>44149</v>
      </c>
      <c r="G254" s="7">
        <f t="shared" si="51"/>
        <v>12079244</v>
      </c>
      <c r="I254" s="7">
        <f>477791+48254992</f>
        <v>48732783</v>
      </c>
      <c r="K254" s="7">
        <v>60812027</v>
      </c>
      <c r="M254" s="7">
        <f t="shared" si="46"/>
        <v>5244941</v>
      </c>
      <c r="O254" s="7">
        <v>329922</v>
      </c>
      <c r="Q254" s="7">
        <v>18240584</v>
      </c>
      <c r="S254" s="7">
        <v>23815447</v>
      </c>
      <c r="U254" s="7">
        <v>31649072</v>
      </c>
      <c r="W254" s="7">
        <f t="shared" si="52"/>
        <v>5544188</v>
      </c>
      <c r="Y254" s="7">
        <v>-196680</v>
      </c>
      <c r="AA254" s="7">
        <v>36996580</v>
      </c>
      <c r="AB254" s="7">
        <f t="shared" si="49"/>
        <v>0</v>
      </c>
      <c r="AD254" s="32">
        <f t="shared" si="48"/>
        <v>0</v>
      </c>
      <c r="AF254" s="32"/>
      <c r="AH254" s="32" t="str">
        <f>'St of Activites - GA Rev'!A254</f>
        <v>Ironton City SD</v>
      </c>
      <c r="AI254" s="32" t="str">
        <f t="shared" si="40"/>
        <v>Ironton City SD</v>
      </c>
      <c r="AJ254" s="32" t="b">
        <f t="shared" si="41"/>
        <v>1</v>
      </c>
      <c r="AL254" s="32" t="str">
        <f>'St of Activities - GA Exp'!A254</f>
        <v>Ironton City SD</v>
      </c>
      <c r="AN254" s="32" t="b">
        <f t="shared" si="43"/>
        <v>1</v>
      </c>
      <c r="AR254" s="32" t="str">
        <f t="shared" si="44"/>
        <v>Lawrence</v>
      </c>
      <c r="AS254" s="32" t="str">
        <f>'St of Activites - GA Rev'!C254</f>
        <v>Lawrence</v>
      </c>
      <c r="AT254" s="32" t="b">
        <f t="shared" si="42"/>
        <v>1</v>
      </c>
      <c r="AU254" s="32" t="str">
        <f>'St of Activities - GA Exp'!C254</f>
        <v>Lawrence</v>
      </c>
      <c r="AV254" s="56"/>
      <c r="AW254" s="32" t="b">
        <f t="shared" si="45"/>
        <v>1</v>
      </c>
    </row>
    <row r="255" spans="1:49" s="65" customFormat="1" hidden="1">
      <c r="A255" s="62" t="s">
        <v>700</v>
      </c>
      <c r="B255" s="62"/>
      <c r="C255" s="62" t="s">
        <v>61</v>
      </c>
      <c r="D255" s="62"/>
      <c r="E255" s="64">
        <v>49809</v>
      </c>
      <c r="G255" s="65">
        <f t="shared" si="51"/>
        <v>0</v>
      </c>
      <c r="M255" s="65">
        <f t="shared" si="46"/>
        <v>0</v>
      </c>
      <c r="W255" s="65">
        <f t="shared" si="52"/>
        <v>0</v>
      </c>
      <c r="AB255" s="65">
        <f t="shared" si="49"/>
        <v>0</v>
      </c>
      <c r="AD255" s="66">
        <f t="shared" si="48"/>
        <v>0</v>
      </c>
      <c r="AE255" s="65" t="s">
        <v>904</v>
      </c>
      <c r="AF255" s="66"/>
      <c r="AH255" s="66" t="str">
        <f>'St of Activites - GA Rev'!A255</f>
        <v>Jackson Center Local SD (CASH)</v>
      </c>
      <c r="AI255" s="66" t="str">
        <f t="shared" si="40"/>
        <v>Jackson Center Local SD (CASH)</v>
      </c>
      <c r="AJ255" s="66" t="b">
        <f t="shared" si="41"/>
        <v>1</v>
      </c>
      <c r="AL255" s="66" t="str">
        <f>'St of Activities - GA Exp'!A255</f>
        <v>Jackson Center Local SD (CASH)</v>
      </c>
      <c r="AN255" s="66" t="b">
        <f t="shared" si="43"/>
        <v>1</v>
      </c>
      <c r="AR255" s="66" t="str">
        <f t="shared" si="44"/>
        <v>Shelby</v>
      </c>
      <c r="AS255" s="66" t="str">
        <f>'St of Activites - GA Rev'!C255</f>
        <v>Shelby</v>
      </c>
      <c r="AT255" s="66" t="b">
        <f t="shared" si="42"/>
        <v>1</v>
      </c>
      <c r="AU255" s="66" t="str">
        <f>'St of Activities - GA Exp'!C255</f>
        <v>Shelby</v>
      </c>
      <c r="AV255" s="86"/>
      <c r="AW255" s="66" t="b">
        <f t="shared" si="45"/>
        <v>1</v>
      </c>
    </row>
    <row r="256" spans="1:49" s="65" customFormat="1" hidden="1">
      <c r="A256" s="62" t="s">
        <v>715</v>
      </c>
      <c r="B256" s="62"/>
      <c r="C256" s="62" t="s">
        <v>38</v>
      </c>
      <c r="D256" s="62"/>
      <c r="E256" s="64"/>
      <c r="G256" s="65">
        <f t="shared" si="51"/>
        <v>0</v>
      </c>
      <c r="M256" s="65">
        <f t="shared" si="46"/>
        <v>0</v>
      </c>
      <c r="W256" s="65">
        <f t="shared" si="52"/>
        <v>0</v>
      </c>
      <c r="AB256" s="65">
        <f>+K256-S256-AA256</f>
        <v>0</v>
      </c>
      <c r="AD256" s="66">
        <f t="shared" si="48"/>
        <v>0</v>
      </c>
      <c r="AE256" s="65" t="s">
        <v>904</v>
      </c>
      <c r="AF256" s="66"/>
      <c r="AH256" s="66" t="str">
        <f>'St of Activites - GA Rev'!A256</f>
        <v>Jackson City SD (CASH)</v>
      </c>
      <c r="AI256" s="66" t="str">
        <f t="shared" si="40"/>
        <v>Jackson City SD (CASH)</v>
      </c>
      <c r="AJ256" s="66" t="b">
        <f t="shared" si="41"/>
        <v>1</v>
      </c>
      <c r="AL256" s="66" t="str">
        <f>'St of Activities - GA Exp'!A256</f>
        <v>Jackson City SD (CASH)</v>
      </c>
      <c r="AN256" s="66" t="b">
        <f t="shared" si="43"/>
        <v>1</v>
      </c>
      <c r="AR256" s="66" t="str">
        <f t="shared" si="44"/>
        <v>Jackson</v>
      </c>
      <c r="AS256" s="66" t="str">
        <f>'St of Activites - GA Rev'!C256</f>
        <v>Jackson</v>
      </c>
      <c r="AT256" s="66" t="b">
        <f t="shared" si="42"/>
        <v>1</v>
      </c>
      <c r="AU256" s="66" t="str">
        <f>'St of Activities - GA Exp'!C256</f>
        <v>Jackson</v>
      </c>
      <c r="AV256" s="86"/>
      <c r="AW256" s="66" t="b">
        <f t="shared" si="45"/>
        <v>1</v>
      </c>
    </row>
    <row r="257" spans="1:49">
      <c r="A257" s="11" t="s">
        <v>512</v>
      </c>
      <c r="B257" s="11"/>
      <c r="C257" s="11" t="s">
        <v>62</v>
      </c>
      <c r="D257" s="11"/>
      <c r="E257" s="29">
        <v>49858</v>
      </c>
      <c r="G257" s="7">
        <f t="shared" si="51"/>
        <v>72285557</v>
      </c>
      <c r="I257" s="7">
        <v>88924740</v>
      </c>
      <c r="K257" s="7">
        <v>161210297</v>
      </c>
      <c r="M257" s="7">
        <f t="shared" si="46"/>
        <v>49012543</v>
      </c>
      <c r="O257" s="7">
        <v>5141371</v>
      </c>
      <c r="Q257" s="7">
        <f>71350516-5141371</f>
        <v>66209145</v>
      </c>
      <c r="S257" s="7">
        <v>120363059</v>
      </c>
      <c r="U257" s="7">
        <v>25182568</v>
      </c>
      <c r="W257" s="7">
        <f t="shared" si="52"/>
        <v>7053073</v>
      </c>
      <c r="Y257" s="7">
        <v>8611597</v>
      </c>
      <c r="AA257" s="7">
        <v>40847238</v>
      </c>
      <c r="AB257" s="7">
        <f t="shared" si="49"/>
        <v>0</v>
      </c>
      <c r="AD257" s="32">
        <f t="shared" si="48"/>
        <v>0</v>
      </c>
      <c r="AF257" s="32"/>
      <c r="AH257" s="32" t="str">
        <f>'St of Activites - GA Rev'!A257</f>
        <v>Jackson Local SD</v>
      </c>
      <c r="AI257" s="32" t="str">
        <f t="shared" si="40"/>
        <v>Jackson Local SD</v>
      </c>
      <c r="AJ257" s="32" t="b">
        <f t="shared" si="41"/>
        <v>1</v>
      </c>
      <c r="AL257" s="32" t="str">
        <f>'St of Activities - GA Exp'!A257</f>
        <v>Jackson Local SD</v>
      </c>
      <c r="AN257" s="32" t="b">
        <f t="shared" si="43"/>
        <v>1</v>
      </c>
      <c r="AR257" s="32" t="str">
        <f t="shared" si="44"/>
        <v>Stark</v>
      </c>
      <c r="AS257" s="32" t="str">
        <f>'St of Activites - GA Rev'!C257</f>
        <v>Stark</v>
      </c>
      <c r="AT257" s="32" t="b">
        <f t="shared" si="42"/>
        <v>1</v>
      </c>
      <c r="AU257" s="32" t="str">
        <f>'St of Activities - GA Exp'!C257</f>
        <v>Stark</v>
      </c>
      <c r="AV257" s="56"/>
      <c r="AW257" s="32" t="b">
        <f t="shared" si="45"/>
        <v>1</v>
      </c>
    </row>
    <row r="258" spans="1:49">
      <c r="A258" s="11" t="s">
        <v>417</v>
      </c>
      <c r="B258" s="11"/>
      <c r="C258" s="11" t="s">
        <v>45</v>
      </c>
      <c r="D258" s="11"/>
      <c r="E258" s="29">
        <v>48322</v>
      </c>
      <c r="G258" s="7">
        <f t="shared" si="51"/>
        <v>10465938</v>
      </c>
      <c r="I258" s="7">
        <v>17799243</v>
      </c>
      <c r="K258" s="7">
        <v>28265181</v>
      </c>
      <c r="M258" s="7">
        <f t="shared" si="46"/>
        <v>6922824</v>
      </c>
      <c r="O258" s="7">
        <v>455414</v>
      </c>
      <c r="Q258" s="7">
        <f>15454895-455414</f>
        <v>14999481</v>
      </c>
      <c r="S258" s="7">
        <v>22377719</v>
      </c>
      <c r="U258" s="7">
        <v>2992286</v>
      </c>
      <c r="W258" s="7">
        <f t="shared" si="52"/>
        <v>1090872</v>
      </c>
      <c r="Y258" s="7">
        <v>1804304</v>
      </c>
      <c r="AA258" s="7">
        <v>5887462</v>
      </c>
      <c r="AB258" s="7">
        <f t="shared" si="49"/>
        <v>0</v>
      </c>
      <c r="AD258" s="32">
        <f t="shared" si="48"/>
        <v>0</v>
      </c>
      <c r="AF258" s="32"/>
      <c r="AH258" s="32" t="str">
        <f>'St of Activites - GA Rev'!A258</f>
        <v>Jackson-Milton Local SD</v>
      </c>
      <c r="AI258" s="32" t="str">
        <f t="shared" si="40"/>
        <v>Jackson-Milton Local SD</v>
      </c>
      <c r="AJ258" s="32" t="b">
        <f t="shared" si="41"/>
        <v>1</v>
      </c>
      <c r="AL258" s="32" t="str">
        <f>'St of Activities - GA Exp'!A258</f>
        <v>Jackson-Milton Local SD</v>
      </c>
      <c r="AN258" s="32" t="b">
        <f t="shared" si="43"/>
        <v>1</v>
      </c>
      <c r="AR258" s="32" t="str">
        <f t="shared" si="44"/>
        <v>Mahoning</v>
      </c>
      <c r="AS258" s="32" t="str">
        <f>'St of Activites - GA Rev'!C258</f>
        <v>Mahoning</v>
      </c>
      <c r="AT258" s="32" t="b">
        <f t="shared" si="42"/>
        <v>1</v>
      </c>
      <c r="AU258" s="32" t="str">
        <f>'St of Activities - GA Exp'!C258</f>
        <v>Mahoning</v>
      </c>
      <c r="AV258" s="56"/>
      <c r="AW258" s="32" t="b">
        <f t="shared" si="45"/>
        <v>1</v>
      </c>
    </row>
    <row r="259" spans="1:49">
      <c r="A259" s="11" t="s">
        <v>475</v>
      </c>
      <c r="B259" s="11"/>
      <c r="C259" s="11" t="s">
        <v>56</v>
      </c>
      <c r="D259" s="11"/>
      <c r="E259" s="29">
        <v>49205</v>
      </c>
      <c r="G259" s="7">
        <f t="shared" si="51"/>
        <v>9143267</v>
      </c>
      <c r="I259" s="7">
        <v>7311787</v>
      </c>
      <c r="K259" s="7">
        <v>16455054</v>
      </c>
      <c r="M259" s="7">
        <f t="shared" si="46"/>
        <v>5820120</v>
      </c>
      <c r="O259" s="7">
        <v>352681</v>
      </c>
      <c r="Q259" s="7">
        <f>5870131-352681</f>
        <v>5517450</v>
      </c>
      <c r="S259" s="7">
        <v>11690251</v>
      </c>
      <c r="U259" s="7">
        <v>2410097</v>
      </c>
      <c r="W259" s="7">
        <f t="shared" si="52"/>
        <v>801417</v>
      </c>
      <c r="Y259" s="7">
        <v>1553289</v>
      </c>
      <c r="AA259" s="7">
        <v>4764803</v>
      </c>
      <c r="AB259" s="7">
        <f t="shared" si="49"/>
        <v>0</v>
      </c>
      <c r="AD259" s="32">
        <f t="shared" si="48"/>
        <v>0</v>
      </c>
      <c r="AF259" s="32"/>
      <c r="AH259" s="32" t="str">
        <f>'St of Activites - GA Rev'!A259</f>
        <v>James A Garfield Local SD</v>
      </c>
      <c r="AI259" s="32" t="str">
        <f t="shared" si="40"/>
        <v>James A Garfield Local SD</v>
      </c>
      <c r="AJ259" s="32" t="b">
        <f t="shared" si="41"/>
        <v>1</v>
      </c>
      <c r="AL259" s="32" t="str">
        <f>'St of Activities - GA Exp'!A259</f>
        <v>James A Garfield Local SD</v>
      </c>
      <c r="AN259" s="32" t="b">
        <f t="shared" si="43"/>
        <v>1</v>
      </c>
      <c r="AR259" s="32" t="str">
        <f t="shared" si="44"/>
        <v>Portage</v>
      </c>
      <c r="AS259" s="32" t="str">
        <f>'St of Activites - GA Rev'!C259</f>
        <v>Portage</v>
      </c>
      <c r="AT259" s="32" t="b">
        <f t="shared" si="42"/>
        <v>1</v>
      </c>
      <c r="AU259" s="32" t="str">
        <f>'St of Activities - GA Exp'!C259</f>
        <v>Portage</v>
      </c>
      <c r="AV259" s="56"/>
      <c r="AW259" s="32" t="b">
        <f t="shared" si="45"/>
        <v>1</v>
      </c>
    </row>
    <row r="260" spans="1:49">
      <c r="A260" s="11" t="s">
        <v>210</v>
      </c>
      <c r="B260" s="11"/>
      <c r="C260" s="11" t="s">
        <v>12</v>
      </c>
      <c r="D260" s="11"/>
      <c r="E260" s="29">
        <v>45872</v>
      </c>
      <c r="G260" s="7">
        <f t="shared" si="51"/>
        <v>16068730</v>
      </c>
      <c r="I260" s="7">
        <f>2608463+50633527</f>
        <v>53241990</v>
      </c>
      <c r="K260" s="7">
        <v>69310720</v>
      </c>
      <c r="M260" s="7">
        <f t="shared" si="46"/>
        <v>6492942</v>
      </c>
      <c r="O260" s="7">
        <v>608652</v>
      </c>
      <c r="Q260" s="7">
        <f>20628868-608652</f>
        <v>20020216</v>
      </c>
      <c r="S260" s="7">
        <v>27121810</v>
      </c>
      <c r="U260" s="7">
        <v>34841543</v>
      </c>
      <c r="W260" s="7">
        <f t="shared" si="52"/>
        <v>6534912</v>
      </c>
      <c r="Y260" s="7">
        <v>812455</v>
      </c>
      <c r="AA260" s="7">
        <v>42188910</v>
      </c>
      <c r="AB260" s="7">
        <f t="shared" si="49"/>
        <v>0</v>
      </c>
      <c r="AD260" s="32">
        <f t="shared" si="48"/>
        <v>0</v>
      </c>
      <c r="AF260" s="32"/>
      <c r="AH260" s="32" t="str">
        <f>'St of Activites - GA Rev'!A260</f>
        <v>Jefferson Area Local SD</v>
      </c>
      <c r="AI260" s="32" t="str">
        <f t="shared" si="40"/>
        <v>Jefferson Area Local SD</v>
      </c>
      <c r="AJ260" s="32" t="b">
        <f t="shared" si="41"/>
        <v>1</v>
      </c>
      <c r="AL260" s="32" t="str">
        <f>'St of Activities - GA Exp'!A260</f>
        <v>Jefferson Area Local SD</v>
      </c>
      <c r="AN260" s="32" t="b">
        <f t="shared" si="43"/>
        <v>1</v>
      </c>
      <c r="AR260" s="32" t="str">
        <f t="shared" si="44"/>
        <v>Ashtabula</v>
      </c>
      <c r="AS260" s="32" t="str">
        <f>'St of Activites - GA Rev'!C260</f>
        <v>Ashtabula</v>
      </c>
      <c r="AT260" s="32" t="b">
        <f t="shared" si="42"/>
        <v>1</v>
      </c>
      <c r="AU260" s="32" t="str">
        <f>'St of Activities - GA Exp'!C260</f>
        <v>Ashtabula</v>
      </c>
      <c r="AV260" s="56"/>
      <c r="AW260" s="32" t="b">
        <f t="shared" si="45"/>
        <v>1</v>
      </c>
    </row>
    <row r="261" spans="1:49">
      <c r="A261" s="11" t="s">
        <v>410</v>
      </c>
      <c r="B261" s="11"/>
      <c r="C261" s="11" t="s">
        <v>411</v>
      </c>
      <c r="D261" s="11"/>
      <c r="E261" s="29">
        <v>48256</v>
      </c>
      <c r="G261" s="7">
        <f t="shared" si="51"/>
        <v>13450874</v>
      </c>
      <c r="I261" s="7">
        <v>29768985</v>
      </c>
      <c r="K261" s="7">
        <v>43219859</v>
      </c>
      <c r="M261" s="7">
        <f t="shared" si="46"/>
        <v>4611124</v>
      </c>
      <c r="O261" s="7">
        <v>1521931</v>
      </c>
      <c r="Q261" s="7">
        <f>15048548-1521931</f>
        <v>13526617</v>
      </c>
      <c r="S261" s="7">
        <v>19659672</v>
      </c>
      <c r="U261" s="7">
        <v>15801277</v>
      </c>
      <c r="W261" s="7">
        <f t="shared" si="52"/>
        <v>2190292</v>
      </c>
      <c r="Y261" s="7">
        <v>5568618</v>
      </c>
      <c r="AA261" s="7">
        <v>23560187</v>
      </c>
      <c r="AB261" s="7">
        <f t="shared" si="49"/>
        <v>0</v>
      </c>
      <c r="AD261" s="32">
        <f t="shared" si="48"/>
        <v>0</v>
      </c>
      <c r="AF261" s="32"/>
      <c r="AH261" s="32" t="str">
        <f>'St of Activites - GA Rev'!A261</f>
        <v>Jefferson Local SD</v>
      </c>
      <c r="AI261" s="32" t="str">
        <f t="shared" si="40"/>
        <v>Jefferson Local SD</v>
      </c>
      <c r="AJ261" s="32" t="b">
        <f t="shared" si="41"/>
        <v>1</v>
      </c>
      <c r="AL261" s="32" t="str">
        <f>'St of Activities - GA Exp'!A261</f>
        <v>Jefferson Local SD</v>
      </c>
      <c r="AN261" s="32" t="b">
        <f t="shared" si="43"/>
        <v>1</v>
      </c>
      <c r="AR261" s="32" t="str">
        <f t="shared" si="44"/>
        <v>Madison</v>
      </c>
      <c r="AS261" s="32" t="str">
        <f>'St of Activites - GA Rev'!C261</f>
        <v>Madison</v>
      </c>
      <c r="AT261" s="32" t="b">
        <f t="shared" si="42"/>
        <v>1</v>
      </c>
      <c r="AU261" s="32" t="str">
        <f>'St of Activities - GA Exp'!C261</f>
        <v>Madison</v>
      </c>
      <c r="AV261" s="56"/>
      <c r="AW261" s="32" t="b">
        <f t="shared" si="45"/>
        <v>1</v>
      </c>
    </row>
    <row r="262" spans="1:49">
      <c r="A262" s="11" t="s">
        <v>716</v>
      </c>
      <c r="B262" s="11"/>
      <c r="C262" s="11" t="s">
        <v>50</v>
      </c>
      <c r="D262" s="11"/>
      <c r="E262" s="29">
        <v>48686</v>
      </c>
      <c r="G262" s="7">
        <f t="shared" si="51"/>
        <v>5929639</v>
      </c>
      <c r="I262" s="7">
        <v>1488116</v>
      </c>
      <c r="K262" s="7">
        <v>7417755</v>
      </c>
      <c r="M262" s="7">
        <f t="shared" si="46"/>
        <v>3118495</v>
      </c>
      <c r="O262" s="7">
        <v>63781</v>
      </c>
      <c r="Q262" s="7">
        <f>830343-63781</f>
        <v>766562</v>
      </c>
      <c r="S262" s="7">
        <v>3948838</v>
      </c>
      <c r="U262" s="7">
        <v>884116</v>
      </c>
      <c r="W262" s="7">
        <f t="shared" si="52"/>
        <v>267364</v>
      </c>
      <c r="Y262" s="7">
        <v>2317437</v>
      </c>
      <c r="AA262" s="7">
        <v>3468917</v>
      </c>
      <c r="AB262" s="7">
        <f t="shared" si="49"/>
        <v>0</v>
      </c>
      <c r="AD262" s="32">
        <f t="shared" si="48"/>
        <v>0</v>
      </c>
      <c r="AF262" s="32"/>
      <c r="AH262" s="32" t="str">
        <f>'St of Activites - GA Rev'!A262</f>
        <v xml:space="preserve">Jefferson Township Local SD </v>
      </c>
      <c r="AI262" s="32" t="str">
        <f t="shared" si="40"/>
        <v xml:space="preserve">Jefferson Township Local SD </v>
      </c>
      <c r="AJ262" s="32" t="b">
        <f t="shared" si="41"/>
        <v>1</v>
      </c>
      <c r="AL262" s="32" t="str">
        <f>'St of Activities - GA Exp'!A262</f>
        <v xml:space="preserve">Jefferson Township Local SD </v>
      </c>
      <c r="AN262" s="32" t="b">
        <f t="shared" si="43"/>
        <v>1</v>
      </c>
      <c r="AR262" s="32" t="str">
        <f t="shared" si="44"/>
        <v>Montgomery</v>
      </c>
      <c r="AS262" s="32" t="str">
        <f>'St of Activites - GA Rev'!C262</f>
        <v>Montgomery</v>
      </c>
      <c r="AT262" s="32" t="b">
        <f t="shared" si="42"/>
        <v>1</v>
      </c>
      <c r="AU262" s="32" t="str">
        <f>'St of Activities - GA Exp'!C262</f>
        <v>Montgomery</v>
      </c>
      <c r="AV262" s="56"/>
      <c r="AW262" s="32" t="b">
        <f t="shared" si="45"/>
        <v>1</v>
      </c>
    </row>
    <row r="263" spans="1:49" s="65" customFormat="1" hidden="1">
      <c r="A263" s="62" t="s">
        <v>910</v>
      </c>
      <c r="B263" s="62"/>
      <c r="C263" s="62" t="s">
        <v>482</v>
      </c>
      <c r="D263" s="62"/>
      <c r="E263" s="64"/>
      <c r="G263" s="65">
        <f t="shared" si="51"/>
        <v>0</v>
      </c>
      <c r="M263" s="65">
        <f t="shared" si="46"/>
        <v>0</v>
      </c>
      <c r="W263" s="65">
        <f t="shared" si="52"/>
        <v>0</v>
      </c>
      <c r="AB263" s="65">
        <f t="shared" si="49"/>
        <v>0</v>
      </c>
      <c r="AD263" s="66">
        <f t="shared" si="48"/>
        <v>0</v>
      </c>
      <c r="AE263" s="65" t="s">
        <v>904</v>
      </c>
      <c r="AF263" s="66"/>
      <c r="AH263" s="66" t="str">
        <f>'St of Activites - GA Rev'!A263</f>
        <v xml:space="preserve">Jennings Local SD (CASH) </v>
      </c>
      <c r="AI263" s="66" t="str">
        <f t="shared" ref="AI263:AI325" si="53">A263</f>
        <v xml:space="preserve">Jennings Local SD (CASH) </v>
      </c>
      <c r="AJ263" s="66" t="b">
        <f t="shared" si="41"/>
        <v>1</v>
      </c>
      <c r="AL263" s="66" t="str">
        <f>'St of Activities - GA Exp'!A263</f>
        <v xml:space="preserve">Jennings Local SD (CASH) </v>
      </c>
      <c r="AN263" s="66" t="b">
        <f t="shared" si="43"/>
        <v>1</v>
      </c>
      <c r="AR263" s="66" t="str">
        <f t="shared" si="44"/>
        <v>Putnam</v>
      </c>
      <c r="AS263" s="66" t="str">
        <f>'St of Activites - GA Rev'!C263</f>
        <v>Putnam</v>
      </c>
      <c r="AT263" s="66" t="b">
        <f t="shared" si="42"/>
        <v>1</v>
      </c>
      <c r="AU263" s="66" t="str">
        <f>'St of Activities - GA Exp'!C263</f>
        <v>Putnam</v>
      </c>
      <c r="AV263" s="86"/>
      <c r="AW263" s="66" t="b">
        <f t="shared" si="45"/>
        <v>1</v>
      </c>
    </row>
    <row r="264" spans="1:49">
      <c r="A264" s="11" t="s">
        <v>385</v>
      </c>
      <c r="B264" s="11"/>
      <c r="C264" s="11" t="s">
        <v>42</v>
      </c>
      <c r="D264" s="11"/>
      <c r="E264" s="29">
        <v>47985</v>
      </c>
      <c r="G264" s="7">
        <f t="shared" si="51"/>
        <v>17351971</v>
      </c>
      <c r="I264" s="7">
        <v>2643017</v>
      </c>
      <c r="K264" s="7">
        <v>19994988</v>
      </c>
      <c r="M264" s="7">
        <f t="shared" si="46"/>
        <v>7115097</v>
      </c>
      <c r="O264" s="7">
        <v>186052</v>
      </c>
      <c r="Q264" s="7">
        <f>926785-186052</f>
        <v>740733</v>
      </c>
      <c r="S264" s="7">
        <v>8041882</v>
      </c>
      <c r="U264" s="7">
        <v>2207359</v>
      </c>
      <c r="W264" s="7">
        <f t="shared" si="52"/>
        <v>458367</v>
      </c>
      <c r="Y264" s="7">
        <v>9287380</v>
      </c>
      <c r="AA264" s="7">
        <v>11953106</v>
      </c>
      <c r="AB264" s="7">
        <f t="shared" si="49"/>
        <v>0</v>
      </c>
      <c r="AD264" s="32">
        <f t="shared" si="48"/>
        <v>0</v>
      </c>
      <c r="AF264" s="32"/>
      <c r="AH264" s="32" t="str">
        <f>'St of Activites - GA Rev'!A264</f>
        <v>Johnstown-Monroe Local SD</v>
      </c>
      <c r="AI264" s="32" t="str">
        <f t="shared" si="53"/>
        <v>Johnstown-Monroe Local SD</v>
      </c>
      <c r="AJ264" s="32" t="b">
        <f t="shared" si="41"/>
        <v>1</v>
      </c>
      <c r="AL264" s="32" t="str">
        <f>'St of Activities - GA Exp'!A264</f>
        <v>Johnstown-Monroe Local SD</v>
      </c>
      <c r="AN264" s="32" t="b">
        <f t="shared" si="43"/>
        <v>1</v>
      </c>
      <c r="AR264" s="32" t="str">
        <f t="shared" si="44"/>
        <v>Licking</v>
      </c>
      <c r="AS264" s="32" t="str">
        <f>'St of Activites - GA Rev'!C264</f>
        <v>Licking</v>
      </c>
      <c r="AT264" s="32" t="b">
        <f t="shared" si="42"/>
        <v>1</v>
      </c>
      <c r="AU264" s="32" t="str">
        <f>'St of Activities - GA Exp'!C264</f>
        <v>Licking</v>
      </c>
      <c r="AV264" s="56"/>
      <c r="AW264" s="32" t="b">
        <f t="shared" si="45"/>
        <v>1</v>
      </c>
    </row>
    <row r="265" spans="1:49">
      <c r="A265" s="11" t="s">
        <v>412</v>
      </c>
      <c r="B265" s="11"/>
      <c r="C265" s="11" t="s">
        <v>411</v>
      </c>
      <c r="D265" s="11"/>
      <c r="E265" s="29">
        <v>48264</v>
      </c>
      <c r="G265" s="7">
        <f t="shared" si="51"/>
        <v>23034888</v>
      </c>
      <c r="I265" s="7">
        <v>44539250</v>
      </c>
      <c r="K265" s="7">
        <v>67574138</v>
      </c>
      <c r="M265" s="7">
        <f t="shared" si="46"/>
        <v>8154419</v>
      </c>
      <c r="O265" s="7">
        <v>1046106</v>
      </c>
      <c r="Q265" s="7">
        <f>22937412-1046106</f>
        <v>21891306</v>
      </c>
      <c r="S265" s="7">
        <v>31091831</v>
      </c>
      <c r="U265" s="7">
        <v>22704985</v>
      </c>
      <c r="W265" s="7">
        <f t="shared" si="52"/>
        <v>10049610</v>
      </c>
      <c r="Y265" s="7">
        <v>3727712</v>
      </c>
      <c r="AA265" s="7">
        <v>36482307</v>
      </c>
      <c r="AB265" s="7">
        <f t="shared" si="49"/>
        <v>0</v>
      </c>
      <c r="AD265" s="32">
        <f t="shared" si="48"/>
        <v>0</v>
      </c>
      <c r="AF265" s="32"/>
      <c r="AH265" s="32" t="str">
        <f>'St of Activites - GA Rev'!A265</f>
        <v>Jonathan Alder Local SD</v>
      </c>
      <c r="AI265" s="32" t="str">
        <f t="shared" si="53"/>
        <v>Jonathan Alder Local SD</v>
      </c>
      <c r="AJ265" s="32" t="b">
        <f t="shared" si="41"/>
        <v>1</v>
      </c>
      <c r="AL265" s="32" t="str">
        <f>'St of Activities - GA Exp'!A265</f>
        <v>Jonathan Alder Local SD</v>
      </c>
      <c r="AN265" s="32" t="b">
        <f t="shared" si="43"/>
        <v>1</v>
      </c>
      <c r="AR265" s="32" t="str">
        <f t="shared" si="44"/>
        <v>Madison</v>
      </c>
      <c r="AS265" s="32" t="str">
        <f>'St of Activites - GA Rev'!C265</f>
        <v>Madison</v>
      </c>
      <c r="AT265" s="32" t="b">
        <f t="shared" si="42"/>
        <v>1</v>
      </c>
      <c r="AU265" s="32" t="str">
        <f>'St of Activities - GA Exp'!C265</f>
        <v>Madison</v>
      </c>
      <c r="AV265" s="56"/>
      <c r="AW265" s="32" t="b">
        <f t="shared" si="45"/>
        <v>1</v>
      </c>
    </row>
    <row r="266" spans="1:49">
      <c r="A266" s="12" t="s">
        <v>539</v>
      </c>
      <c r="B266" s="12"/>
      <c r="C266" s="12" t="s">
        <v>64</v>
      </c>
      <c r="D266" s="12"/>
      <c r="E266" s="12">
        <v>50179</v>
      </c>
      <c r="G266" s="7">
        <f t="shared" si="51"/>
        <v>7540679</v>
      </c>
      <c r="I266" s="7">
        <f>528682+25330186</f>
        <v>25858868</v>
      </c>
      <c r="K266" s="7">
        <v>33399547</v>
      </c>
      <c r="M266" s="7">
        <f t="shared" si="46"/>
        <v>4485084</v>
      </c>
      <c r="O266" s="7">
        <v>656092</v>
      </c>
      <c r="Q266" s="7">
        <f>8922596-656092</f>
        <v>8266504</v>
      </c>
      <c r="S266" s="7">
        <v>13407680</v>
      </c>
      <c r="U266" s="7">
        <v>18007736</v>
      </c>
      <c r="W266" s="7">
        <f t="shared" si="52"/>
        <v>846054</v>
      </c>
      <c r="Y266" s="7">
        <v>1138077</v>
      </c>
      <c r="AA266" s="7">
        <v>19991867</v>
      </c>
      <c r="AB266" s="7">
        <f t="shared" si="49"/>
        <v>0</v>
      </c>
      <c r="AD266" s="7">
        <f t="shared" si="48"/>
        <v>0</v>
      </c>
      <c r="AH266" s="7" t="str">
        <f>'St of Activites - GA Rev'!A266</f>
        <v>Joseph Badger Local SD</v>
      </c>
      <c r="AI266" s="7" t="str">
        <f t="shared" si="53"/>
        <v>Joseph Badger Local SD</v>
      </c>
      <c r="AJ266" s="7" t="b">
        <f t="shared" si="41"/>
        <v>1</v>
      </c>
      <c r="AL266" s="7" t="str">
        <f>'St of Activities - GA Exp'!A266</f>
        <v>Joseph Badger Local SD</v>
      </c>
      <c r="AN266" s="7" t="b">
        <f t="shared" si="43"/>
        <v>1</v>
      </c>
      <c r="AR266" s="7" t="str">
        <f t="shared" si="44"/>
        <v>Trumbull</v>
      </c>
      <c r="AS266" s="7" t="str">
        <f>'St of Activites - GA Rev'!C266</f>
        <v>Trumbull</v>
      </c>
      <c r="AT266" s="7" t="b">
        <f t="shared" si="42"/>
        <v>1</v>
      </c>
      <c r="AU266" s="7" t="str">
        <f>'St of Activities - GA Exp'!C266</f>
        <v>Trumbull</v>
      </c>
      <c r="AV266" s="7"/>
      <c r="AW266" s="7" t="b">
        <f t="shared" si="45"/>
        <v>1</v>
      </c>
    </row>
    <row r="267" spans="1:49">
      <c r="A267" s="11" t="s">
        <v>293</v>
      </c>
      <c r="B267" s="11"/>
      <c r="C267" s="11" t="s">
        <v>24</v>
      </c>
      <c r="D267" s="11"/>
      <c r="E267" s="29">
        <v>46797</v>
      </c>
      <c r="G267" s="7">
        <f t="shared" si="51"/>
        <v>1887798</v>
      </c>
      <c r="I267" s="7">
        <v>1805057</v>
      </c>
      <c r="K267" s="7">
        <v>3692855</v>
      </c>
      <c r="M267" s="7">
        <f t="shared" si="46"/>
        <v>764204</v>
      </c>
      <c r="O267" s="7">
        <v>0</v>
      </c>
      <c r="Q267" s="7">
        <v>9731</v>
      </c>
      <c r="S267" s="7">
        <v>773935</v>
      </c>
      <c r="U267" s="7">
        <v>1805057</v>
      </c>
      <c r="W267" s="7">
        <f t="shared" si="52"/>
        <v>38528</v>
      </c>
      <c r="Y267" s="7">
        <v>1075335</v>
      </c>
      <c r="AA267" s="7">
        <v>2918920</v>
      </c>
      <c r="AB267" s="7">
        <f t="shared" si="49"/>
        <v>0</v>
      </c>
      <c r="AD267" s="32">
        <f t="shared" si="48"/>
        <v>0</v>
      </c>
      <c r="AF267" s="32"/>
      <c r="AH267" s="32" t="str">
        <f>'St of Activites - GA Rev'!A267</f>
        <v>Kelleys Island Local SD</v>
      </c>
      <c r="AI267" s="32" t="str">
        <f t="shared" si="53"/>
        <v>Kelleys Island Local SD</v>
      </c>
      <c r="AJ267" s="32" t="b">
        <f t="shared" ref="AJ267:AJ331" si="54">AH267=AI267</f>
        <v>1</v>
      </c>
      <c r="AL267" s="32" t="str">
        <f>'St of Activities - GA Exp'!A267</f>
        <v>Kelleys Island Local SD</v>
      </c>
      <c r="AN267" s="32" t="b">
        <f t="shared" si="43"/>
        <v>1</v>
      </c>
      <c r="AR267" s="32" t="str">
        <f t="shared" si="44"/>
        <v>Erie</v>
      </c>
      <c r="AS267" s="32" t="str">
        <f>'St of Activites - GA Rev'!C267</f>
        <v>Erie</v>
      </c>
      <c r="AT267" s="32" t="b">
        <f t="shared" ref="AT267:AT331" si="55">AR267=AS267</f>
        <v>1</v>
      </c>
      <c r="AU267" s="32" t="str">
        <f>'St of Activities - GA Exp'!C267</f>
        <v>Erie</v>
      </c>
      <c r="AV267" s="56"/>
      <c r="AW267" s="32" t="b">
        <f t="shared" si="45"/>
        <v>1</v>
      </c>
    </row>
    <row r="268" spans="1:49">
      <c r="A268" s="11" t="s">
        <v>321</v>
      </c>
      <c r="B268" s="11"/>
      <c r="C268" s="11" t="s">
        <v>30</v>
      </c>
      <c r="D268" s="11"/>
      <c r="E268" s="29">
        <v>47191</v>
      </c>
      <c r="G268" s="7">
        <f t="shared" si="51"/>
        <v>47740312</v>
      </c>
      <c r="I268" s="7">
        <f>2393835+51787546</f>
        <v>54181381</v>
      </c>
      <c r="K268" s="7">
        <v>101921693</v>
      </c>
      <c r="M268" s="7">
        <f t="shared" si="46"/>
        <v>28946794</v>
      </c>
      <c r="O268" s="7">
        <v>2626086</v>
      </c>
      <c r="Q268" s="7">
        <f>46830931-2626086</f>
        <v>44204845</v>
      </c>
      <c r="S268" s="7">
        <v>75777725</v>
      </c>
      <c r="U268" s="7">
        <v>10616271</v>
      </c>
      <c r="W268" s="7">
        <f t="shared" si="52"/>
        <v>4981601</v>
      </c>
      <c r="Y268" s="7">
        <v>10546096</v>
      </c>
      <c r="AA268" s="7">
        <v>26143968</v>
      </c>
      <c r="AB268" s="7">
        <f t="shared" si="49"/>
        <v>0</v>
      </c>
      <c r="AD268" s="32">
        <f t="shared" si="48"/>
        <v>0</v>
      </c>
      <c r="AF268" s="32"/>
      <c r="AH268" s="32" t="str">
        <f>'St of Activites - GA Rev'!A268</f>
        <v>Kenston Local SD</v>
      </c>
      <c r="AI268" s="32" t="str">
        <f t="shared" si="53"/>
        <v>Kenston Local SD</v>
      </c>
      <c r="AJ268" s="32" t="b">
        <f t="shared" si="54"/>
        <v>1</v>
      </c>
      <c r="AL268" s="32" t="str">
        <f>'St of Activities - GA Exp'!A268</f>
        <v>Kenston Local SD</v>
      </c>
      <c r="AN268" s="32" t="b">
        <f t="shared" ref="AN268:AN332" si="56">AH268=AL268</f>
        <v>1</v>
      </c>
      <c r="AR268" s="32" t="str">
        <f t="shared" ref="AR268:AR332" si="57">C268</f>
        <v>Geauga</v>
      </c>
      <c r="AS268" s="32" t="str">
        <f>'St of Activites - GA Rev'!C268</f>
        <v>Geauga</v>
      </c>
      <c r="AT268" s="32" t="b">
        <f t="shared" si="55"/>
        <v>1</v>
      </c>
      <c r="AU268" s="32" t="str">
        <f>'St of Activities - GA Exp'!C268</f>
        <v>Geauga</v>
      </c>
      <c r="AV268" s="56"/>
      <c r="AW268" s="32" t="b">
        <f t="shared" ref="AW268:AW332" si="58">AU268=AS268</f>
        <v>1</v>
      </c>
    </row>
    <row r="269" spans="1:49">
      <c r="A269" s="11" t="s">
        <v>476</v>
      </c>
      <c r="B269" s="11"/>
      <c r="C269" s="11" t="s">
        <v>56</v>
      </c>
      <c r="D269" s="11"/>
      <c r="E269" s="29">
        <v>44164</v>
      </c>
      <c r="G269" s="7">
        <f t="shared" si="51"/>
        <v>46523831</v>
      </c>
      <c r="I269" s="7">
        <v>26859909</v>
      </c>
      <c r="K269" s="7">
        <v>73383740</v>
      </c>
      <c r="M269" s="7">
        <f t="shared" si="46"/>
        <v>26815322</v>
      </c>
      <c r="O269" s="7">
        <v>2371021</v>
      </c>
      <c r="Q269" s="7">
        <f>28398912-2371021</f>
        <v>26027891</v>
      </c>
      <c r="S269" s="7">
        <v>55214234</v>
      </c>
      <c r="U269" s="7">
        <v>12851588</v>
      </c>
      <c r="W269" s="7">
        <f t="shared" si="52"/>
        <v>1823166</v>
      </c>
      <c r="Y269" s="7">
        <v>3494752</v>
      </c>
      <c r="AA269" s="7">
        <v>18169506</v>
      </c>
      <c r="AB269" s="7">
        <f t="shared" si="49"/>
        <v>0</v>
      </c>
      <c r="AD269" s="32">
        <f t="shared" si="48"/>
        <v>0</v>
      </c>
      <c r="AF269" s="32"/>
      <c r="AH269" s="32" t="str">
        <f>'St of Activites - GA Rev'!A269</f>
        <v>Kent City SD</v>
      </c>
      <c r="AI269" s="32" t="str">
        <f t="shared" si="53"/>
        <v>Kent City SD</v>
      </c>
      <c r="AJ269" s="32" t="b">
        <f t="shared" si="54"/>
        <v>1</v>
      </c>
      <c r="AL269" s="32" t="str">
        <f>'St of Activities - GA Exp'!A269</f>
        <v>Kent City SD</v>
      </c>
      <c r="AN269" s="32" t="b">
        <f t="shared" si="56"/>
        <v>1</v>
      </c>
      <c r="AR269" s="32" t="str">
        <f t="shared" si="57"/>
        <v>Portage</v>
      </c>
      <c r="AS269" s="32" t="str">
        <f>'St of Activites - GA Rev'!C269</f>
        <v>Portage</v>
      </c>
      <c r="AT269" s="32" t="b">
        <f t="shared" si="55"/>
        <v>1</v>
      </c>
      <c r="AU269" s="32" t="str">
        <f>'St of Activities - GA Exp'!C269</f>
        <v>Portage</v>
      </c>
      <c r="AV269" s="56"/>
      <c r="AW269" s="32" t="b">
        <f t="shared" si="58"/>
        <v>1</v>
      </c>
    </row>
    <row r="270" spans="1:49">
      <c r="A270" s="11" t="s">
        <v>350</v>
      </c>
      <c r="B270" s="11"/>
      <c r="C270" s="11" t="s">
        <v>348</v>
      </c>
      <c r="D270" s="11"/>
      <c r="E270" s="29">
        <v>44172</v>
      </c>
      <c r="G270" s="7">
        <f t="shared" si="51"/>
        <v>8345387</v>
      </c>
      <c r="I270" s="7">
        <f>638639+2216972</f>
        <v>2855611</v>
      </c>
      <c r="K270" s="7">
        <v>11200998</v>
      </c>
      <c r="M270" s="7">
        <f t="shared" si="46"/>
        <v>5370998</v>
      </c>
      <c r="O270" s="7">
        <v>109314</v>
      </c>
      <c r="Q270" s="7">
        <f>1137308-109314</f>
        <v>1027994</v>
      </c>
      <c r="S270" s="7">
        <v>6508306</v>
      </c>
      <c r="U270" s="7">
        <v>2787754</v>
      </c>
      <c r="W270" s="7">
        <f t="shared" si="52"/>
        <v>940600</v>
      </c>
      <c r="Y270" s="7">
        <v>964338</v>
      </c>
      <c r="AA270" s="7">
        <v>4692692</v>
      </c>
      <c r="AB270" s="7">
        <f t="shared" si="49"/>
        <v>0</v>
      </c>
      <c r="AD270" s="32">
        <f t="shared" si="48"/>
        <v>0</v>
      </c>
      <c r="AF270" s="32"/>
      <c r="AH270" s="32" t="str">
        <f>'St of Activites - GA Rev'!A270</f>
        <v>Kenton City SD</v>
      </c>
      <c r="AI270" s="32" t="str">
        <f t="shared" si="53"/>
        <v>Kenton City SD</v>
      </c>
      <c r="AJ270" s="32" t="b">
        <f t="shared" si="54"/>
        <v>1</v>
      </c>
      <c r="AL270" s="32" t="str">
        <f>'St of Activities - GA Exp'!A270</f>
        <v>Kenton City SD</v>
      </c>
      <c r="AN270" s="32" t="b">
        <f t="shared" si="56"/>
        <v>1</v>
      </c>
      <c r="AR270" s="32" t="str">
        <f t="shared" si="57"/>
        <v>Hardin</v>
      </c>
      <c r="AS270" s="32" t="str">
        <f>'St of Activites - GA Rev'!C270</f>
        <v>Hardin</v>
      </c>
      <c r="AT270" s="32" t="b">
        <f t="shared" si="55"/>
        <v>1</v>
      </c>
      <c r="AU270" s="32" t="str">
        <f>'St of Activities - GA Exp'!C270</f>
        <v>Hardin</v>
      </c>
      <c r="AV270" s="56"/>
      <c r="AW270" s="32" t="b">
        <f t="shared" si="58"/>
        <v>1</v>
      </c>
    </row>
    <row r="271" spans="1:49">
      <c r="A271" s="11" t="s">
        <v>444</v>
      </c>
      <c r="B271" s="11"/>
      <c r="C271" s="11" t="s">
        <v>50</v>
      </c>
      <c r="D271" s="11"/>
      <c r="E271" s="29">
        <v>44180</v>
      </c>
      <c r="F271" s="10"/>
      <c r="G271" s="32">
        <f t="shared" si="51"/>
        <v>85067403</v>
      </c>
      <c r="H271" s="32"/>
      <c r="I271" s="32">
        <f>466616+112020394</f>
        <v>112487010</v>
      </c>
      <c r="J271" s="32"/>
      <c r="K271" s="32">
        <v>197554413</v>
      </c>
      <c r="L271" s="32"/>
      <c r="M271" s="32">
        <f t="shared" ref="M271:M336" si="59">+S271-O271-Q271</f>
        <v>66267989</v>
      </c>
      <c r="N271" s="32"/>
      <c r="O271" s="32">
        <v>3930427</v>
      </c>
      <c r="P271" s="32"/>
      <c r="Q271" s="32">
        <f>103912869-3930427</f>
        <v>99982442</v>
      </c>
      <c r="R271" s="32"/>
      <c r="S271" s="32">
        <v>170180858</v>
      </c>
      <c r="T271" s="32"/>
      <c r="U271" s="32">
        <v>18472838</v>
      </c>
      <c r="V271" s="32"/>
      <c r="W271" s="32">
        <f t="shared" si="52"/>
        <v>4180135</v>
      </c>
      <c r="X271" s="32"/>
      <c r="Y271" s="32">
        <v>4720582</v>
      </c>
      <c r="Z271" s="32"/>
      <c r="AA271" s="32">
        <v>27373555</v>
      </c>
      <c r="AB271" s="7">
        <f t="shared" si="49"/>
        <v>0</v>
      </c>
      <c r="AD271" s="32">
        <f t="shared" si="48"/>
        <v>0</v>
      </c>
      <c r="AF271" s="32"/>
      <c r="AH271" s="32" t="str">
        <f>'St of Activites - GA Rev'!A271</f>
        <v>Kettering City SD</v>
      </c>
      <c r="AI271" s="32" t="str">
        <f t="shared" si="53"/>
        <v>Kettering City SD</v>
      </c>
      <c r="AJ271" s="32" t="b">
        <f t="shared" si="54"/>
        <v>1</v>
      </c>
      <c r="AL271" s="32" t="str">
        <f>'St of Activities - GA Exp'!A271</f>
        <v>Kettering City SD</v>
      </c>
      <c r="AN271" s="32" t="b">
        <f t="shared" si="56"/>
        <v>1</v>
      </c>
      <c r="AR271" s="32" t="str">
        <f t="shared" si="57"/>
        <v>Montgomery</v>
      </c>
      <c r="AS271" s="32" t="str">
        <f>'St of Activites - GA Rev'!C271</f>
        <v>Montgomery</v>
      </c>
      <c r="AT271" s="32" t="b">
        <f t="shared" si="55"/>
        <v>1</v>
      </c>
      <c r="AU271" s="32" t="str">
        <f>'St of Activities - GA Exp'!C271</f>
        <v>Montgomery</v>
      </c>
      <c r="AV271" s="56"/>
      <c r="AW271" s="32" t="b">
        <f t="shared" si="58"/>
        <v>1</v>
      </c>
    </row>
    <row r="272" spans="1:49">
      <c r="A272" s="11" t="s">
        <v>666</v>
      </c>
      <c r="B272" s="11"/>
      <c r="C272" s="11" t="s">
        <v>44</v>
      </c>
      <c r="D272" s="11"/>
      <c r="E272" s="29">
        <v>48165</v>
      </c>
      <c r="G272" s="7">
        <f t="shared" si="51"/>
        <v>26018832</v>
      </c>
      <c r="I272" s="7">
        <v>19179663</v>
      </c>
      <c r="K272" s="7">
        <v>45198495</v>
      </c>
      <c r="M272" s="7">
        <f t="shared" si="59"/>
        <v>7520915</v>
      </c>
      <c r="O272" s="7">
        <v>490931</v>
      </c>
      <c r="Q272" s="7">
        <f>27352083-490931</f>
        <v>26861152</v>
      </c>
      <c r="S272" s="7">
        <v>34872998</v>
      </c>
      <c r="U272" s="7">
        <v>3636413</v>
      </c>
      <c r="W272" s="7">
        <f t="shared" si="52"/>
        <v>2733109</v>
      </c>
      <c r="Y272" s="7">
        <v>3955975</v>
      </c>
      <c r="AA272" s="7">
        <v>10325497</v>
      </c>
      <c r="AB272" s="7">
        <f t="shared" si="49"/>
        <v>0</v>
      </c>
      <c r="AD272" s="32">
        <f t="shared" si="48"/>
        <v>0</v>
      </c>
      <c r="AF272" s="32"/>
      <c r="AH272" s="32" t="str">
        <f>'St of Activites - GA Rev'!A272</f>
        <v xml:space="preserve">Keystone Local SD </v>
      </c>
      <c r="AI272" s="32" t="str">
        <f t="shared" si="53"/>
        <v xml:space="preserve">Keystone Local SD </v>
      </c>
      <c r="AJ272" s="32" t="b">
        <f t="shared" si="54"/>
        <v>1</v>
      </c>
      <c r="AL272" s="32" t="str">
        <f>'St of Activities - GA Exp'!A272</f>
        <v xml:space="preserve">Keystone Local SD </v>
      </c>
      <c r="AN272" s="32" t="b">
        <f t="shared" si="56"/>
        <v>1</v>
      </c>
      <c r="AR272" s="32" t="str">
        <f t="shared" si="57"/>
        <v>Lorain</v>
      </c>
      <c r="AS272" s="32" t="str">
        <f>'St of Activites - GA Rev'!C272</f>
        <v>Lorain</v>
      </c>
      <c r="AT272" s="32" t="b">
        <f t="shared" si="55"/>
        <v>1</v>
      </c>
      <c r="AU272" s="32" t="str">
        <f>'St of Activities - GA Exp'!C272</f>
        <v>Lorain</v>
      </c>
      <c r="AV272" s="56"/>
      <c r="AW272" s="32" t="b">
        <f t="shared" si="58"/>
        <v>1</v>
      </c>
    </row>
    <row r="273" spans="1:49">
      <c r="A273" s="11" t="s">
        <v>761</v>
      </c>
      <c r="B273" s="11"/>
      <c r="C273" s="11" t="s">
        <v>69</v>
      </c>
      <c r="D273" s="11"/>
      <c r="E273" s="29">
        <v>50435</v>
      </c>
      <c r="G273" s="7">
        <f t="shared" si="51"/>
        <v>43695409</v>
      </c>
      <c r="I273" s="7">
        <f>3074466+50445692</f>
        <v>53520158</v>
      </c>
      <c r="K273" s="7">
        <v>97215567</v>
      </c>
      <c r="M273" s="7">
        <f t="shared" si="59"/>
        <v>30789757</v>
      </c>
      <c r="O273" s="7">
        <v>1415169</v>
      </c>
      <c r="Q273" s="7">
        <f>58427768-1415169</f>
        <v>57012599</v>
      </c>
      <c r="S273" s="7">
        <v>89217525</v>
      </c>
      <c r="U273" s="7">
        <v>589793</v>
      </c>
      <c r="W273" s="7">
        <f t="shared" si="52"/>
        <v>3148753</v>
      </c>
      <c r="Y273" s="7">
        <v>4259496</v>
      </c>
      <c r="AA273" s="7">
        <v>7998042</v>
      </c>
      <c r="AB273" s="7">
        <f t="shared" si="49"/>
        <v>0</v>
      </c>
      <c r="AD273" s="32">
        <f t="shared" si="48"/>
        <v>0</v>
      </c>
      <c r="AF273" s="32"/>
      <c r="AH273" s="32" t="str">
        <f>'St of Activites - GA Rev'!A273</f>
        <v xml:space="preserve">Kings Local SD  </v>
      </c>
      <c r="AI273" s="32" t="str">
        <f t="shared" si="53"/>
        <v xml:space="preserve">Kings Local SD  </v>
      </c>
      <c r="AJ273" s="32" t="b">
        <f t="shared" si="54"/>
        <v>1</v>
      </c>
      <c r="AL273" s="32" t="str">
        <f>'St of Activities - GA Exp'!A273</f>
        <v xml:space="preserve">Kings Local SD  </v>
      </c>
      <c r="AN273" s="32" t="b">
        <f t="shared" si="56"/>
        <v>1</v>
      </c>
      <c r="AR273" s="32" t="str">
        <f t="shared" si="57"/>
        <v>Warren</v>
      </c>
      <c r="AS273" s="32" t="str">
        <f>'St of Activites - GA Rev'!C273</f>
        <v>Warren</v>
      </c>
      <c r="AT273" s="32" t="b">
        <f t="shared" si="55"/>
        <v>1</v>
      </c>
      <c r="AU273" s="32" t="str">
        <f>'St of Activities - GA Exp'!C273</f>
        <v>Warren</v>
      </c>
      <c r="AV273" s="56"/>
      <c r="AW273" s="32" t="b">
        <f t="shared" si="58"/>
        <v>1</v>
      </c>
    </row>
    <row r="274" spans="1:49" s="65" customFormat="1" hidden="1">
      <c r="A274" s="62" t="s">
        <v>729</v>
      </c>
      <c r="B274" s="62"/>
      <c r="C274" s="62" t="s">
        <v>41</v>
      </c>
      <c r="D274" s="62"/>
      <c r="E274" s="64">
        <v>47878</v>
      </c>
      <c r="G274" s="65">
        <f t="shared" si="51"/>
        <v>0</v>
      </c>
      <c r="M274" s="65">
        <f t="shared" si="59"/>
        <v>0</v>
      </c>
      <c r="W274" s="65">
        <f t="shared" si="52"/>
        <v>0</v>
      </c>
      <c r="AB274" s="65">
        <f t="shared" si="49"/>
        <v>0</v>
      </c>
      <c r="AD274" s="66">
        <f t="shared" si="48"/>
        <v>0</v>
      </c>
      <c r="AE274" s="65" t="s">
        <v>911</v>
      </c>
      <c r="AF274" s="66"/>
      <c r="AH274" s="66" t="str">
        <f>'St of Activites - GA Rev'!A274</f>
        <v>Kirtland Local SD (CASH)</v>
      </c>
      <c r="AI274" s="66" t="str">
        <f t="shared" si="53"/>
        <v>Kirtland Local SD (CASH)</v>
      </c>
      <c r="AJ274" s="66" t="b">
        <f t="shared" si="54"/>
        <v>1</v>
      </c>
      <c r="AL274" s="66" t="str">
        <f>'St of Activities - GA Exp'!A274</f>
        <v>Kirtland Local SD (CASH)</v>
      </c>
      <c r="AN274" s="66" t="b">
        <f t="shared" si="56"/>
        <v>1</v>
      </c>
      <c r="AR274" s="66" t="str">
        <f t="shared" si="57"/>
        <v>Lake</v>
      </c>
      <c r="AS274" s="66" t="str">
        <f>'St of Activites - GA Rev'!C274</f>
        <v>Lake</v>
      </c>
      <c r="AT274" s="66" t="b">
        <f t="shared" si="55"/>
        <v>1</v>
      </c>
      <c r="AU274" s="66" t="str">
        <f>'St of Activities - GA Exp'!C274</f>
        <v>Lake</v>
      </c>
      <c r="AV274" s="86"/>
      <c r="AW274" s="66" t="b">
        <f t="shared" si="58"/>
        <v>1</v>
      </c>
    </row>
    <row r="275" spans="1:49">
      <c r="A275" s="11" t="s">
        <v>540</v>
      </c>
      <c r="B275" s="11"/>
      <c r="C275" s="11" t="s">
        <v>64</v>
      </c>
      <c r="D275" s="11"/>
      <c r="E275" s="29">
        <v>50245</v>
      </c>
      <c r="G275" s="7">
        <f t="shared" si="51"/>
        <v>12733321</v>
      </c>
      <c r="I275" s="7">
        <v>23139932</v>
      </c>
      <c r="K275" s="7">
        <v>35873253</v>
      </c>
      <c r="M275" s="7">
        <f t="shared" si="59"/>
        <v>5831932</v>
      </c>
      <c r="O275" s="7">
        <v>433155</v>
      </c>
      <c r="Q275" s="7">
        <f>8698749-433155</f>
        <v>8265594</v>
      </c>
      <c r="S275" s="7">
        <v>14530681</v>
      </c>
      <c r="U275" s="7">
        <v>15325938</v>
      </c>
      <c r="W275" s="7">
        <f t="shared" si="52"/>
        <v>4019089</v>
      </c>
      <c r="Y275" s="7">
        <v>1997545</v>
      </c>
      <c r="AA275" s="7">
        <v>21342572</v>
      </c>
      <c r="AB275" s="7">
        <f t="shared" si="49"/>
        <v>0</v>
      </c>
      <c r="AD275" s="32">
        <f t="shared" si="48"/>
        <v>0</v>
      </c>
      <c r="AF275" s="32"/>
      <c r="AH275" s="32" t="str">
        <f>'St of Activites - GA Rev'!A275</f>
        <v>LaBrae Local SD</v>
      </c>
      <c r="AI275" s="32" t="str">
        <f t="shared" si="53"/>
        <v>LaBrae Local SD</v>
      </c>
      <c r="AJ275" s="32" t="b">
        <f t="shared" si="54"/>
        <v>1</v>
      </c>
      <c r="AL275" s="32" t="str">
        <f>'St of Activities - GA Exp'!A275</f>
        <v>LaBrae Local SD</v>
      </c>
      <c r="AN275" s="32" t="b">
        <f t="shared" si="56"/>
        <v>1</v>
      </c>
      <c r="AR275" s="32" t="str">
        <f t="shared" si="57"/>
        <v>Trumbull</v>
      </c>
      <c r="AS275" s="32" t="str">
        <f>'St of Activites - GA Rev'!C275</f>
        <v>Trumbull</v>
      </c>
      <c r="AT275" s="32" t="b">
        <f t="shared" si="55"/>
        <v>1</v>
      </c>
      <c r="AU275" s="32" t="str">
        <f>'St of Activities - GA Exp'!C275</f>
        <v>Trumbull</v>
      </c>
      <c r="AV275" s="56"/>
      <c r="AW275" s="32" t="b">
        <f t="shared" si="58"/>
        <v>1</v>
      </c>
    </row>
    <row r="276" spans="1:49">
      <c r="A276" s="11" t="s">
        <v>513</v>
      </c>
      <c r="B276" s="11"/>
      <c r="C276" s="11" t="s">
        <v>62</v>
      </c>
      <c r="D276" s="11"/>
      <c r="E276" s="29">
        <v>49866</v>
      </c>
      <c r="G276" s="7">
        <f t="shared" si="51"/>
        <v>24041279</v>
      </c>
      <c r="I276" s="7">
        <f>2993257+30806820</f>
        <v>33800077</v>
      </c>
      <c r="K276" s="7">
        <v>57841356</v>
      </c>
      <c r="M276" s="7">
        <f t="shared" si="59"/>
        <v>16941384</v>
      </c>
      <c r="O276" s="7">
        <v>1375123</v>
      </c>
      <c r="Q276" s="7">
        <f>24803520-1375123</f>
        <v>23428397</v>
      </c>
      <c r="S276" s="7">
        <v>41744904</v>
      </c>
      <c r="U276" s="7">
        <v>11663642</v>
      </c>
      <c r="W276" s="7">
        <f t="shared" si="52"/>
        <v>2336616</v>
      </c>
      <c r="Y276" s="7">
        <v>2096194</v>
      </c>
      <c r="AA276" s="7">
        <v>16096452</v>
      </c>
      <c r="AB276" s="7">
        <f t="shared" si="49"/>
        <v>0</v>
      </c>
      <c r="AD276" s="32">
        <f t="shared" si="48"/>
        <v>0</v>
      </c>
      <c r="AF276" s="32"/>
      <c r="AH276" s="32" t="str">
        <f>'St of Activites - GA Rev'!A276</f>
        <v>Lake Local SD</v>
      </c>
      <c r="AI276" s="32" t="str">
        <f t="shared" si="53"/>
        <v>Lake Local SD</v>
      </c>
      <c r="AJ276" s="32" t="b">
        <f t="shared" si="54"/>
        <v>1</v>
      </c>
      <c r="AL276" s="32" t="str">
        <f>'St of Activities - GA Exp'!A276</f>
        <v>Lake Local SD</v>
      </c>
      <c r="AN276" s="32" t="b">
        <f t="shared" si="56"/>
        <v>1</v>
      </c>
      <c r="AR276" s="32" t="str">
        <f t="shared" si="57"/>
        <v>Stark</v>
      </c>
      <c r="AS276" s="32" t="str">
        <f>'St of Activites - GA Rev'!C276</f>
        <v>Stark</v>
      </c>
      <c r="AT276" s="32" t="b">
        <f t="shared" si="55"/>
        <v>1</v>
      </c>
      <c r="AU276" s="32" t="str">
        <f>'St of Activities - GA Exp'!C276</f>
        <v>Stark</v>
      </c>
      <c r="AV276" s="56"/>
      <c r="AW276" s="32" t="b">
        <f t="shared" si="58"/>
        <v>1</v>
      </c>
    </row>
    <row r="277" spans="1:49" s="65" customFormat="1" hidden="1">
      <c r="A277" s="62" t="s">
        <v>913</v>
      </c>
      <c r="B277" s="62"/>
      <c r="C277" s="62" t="s">
        <v>72</v>
      </c>
      <c r="D277" s="62"/>
      <c r="E277" s="64">
        <v>50690</v>
      </c>
      <c r="G277" s="65">
        <f t="shared" si="51"/>
        <v>0</v>
      </c>
      <c r="M277" s="65">
        <f t="shared" si="59"/>
        <v>0</v>
      </c>
      <c r="W277" s="65">
        <f t="shared" si="52"/>
        <v>0</v>
      </c>
      <c r="AB277" s="65">
        <f t="shared" si="49"/>
        <v>0</v>
      </c>
      <c r="AD277" s="66">
        <f t="shared" si="48"/>
        <v>0</v>
      </c>
      <c r="AE277" s="65" t="s">
        <v>912</v>
      </c>
      <c r="AF277" s="66"/>
      <c r="AH277" s="66" t="str">
        <f>'St of Activites - GA Rev'!A277</f>
        <v>Lake Local SD (CASH)</v>
      </c>
      <c r="AI277" s="66" t="str">
        <f t="shared" si="53"/>
        <v>Lake Local SD (CASH)</v>
      </c>
      <c r="AJ277" s="66" t="b">
        <f t="shared" si="54"/>
        <v>1</v>
      </c>
      <c r="AL277" s="66" t="str">
        <f>'St of Activities - GA Exp'!A277</f>
        <v>Lake Local SD (CASH)</v>
      </c>
      <c r="AN277" s="66" t="b">
        <f t="shared" si="56"/>
        <v>1</v>
      </c>
      <c r="AR277" s="66" t="str">
        <f t="shared" si="57"/>
        <v>Wood</v>
      </c>
      <c r="AS277" s="66" t="str">
        <f>'St of Activites - GA Rev'!C277</f>
        <v>Wood</v>
      </c>
      <c r="AT277" s="66" t="b">
        <f t="shared" si="55"/>
        <v>1</v>
      </c>
      <c r="AU277" s="66" t="str">
        <f>'St of Activities - GA Exp'!C277</f>
        <v>Wood</v>
      </c>
      <c r="AV277" s="86"/>
      <c r="AW277" s="66" t="b">
        <f t="shared" si="58"/>
        <v>1</v>
      </c>
    </row>
    <row r="278" spans="1:49">
      <c r="A278" s="11" t="s">
        <v>541</v>
      </c>
      <c r="B278" s="11"/>
      <c r="C278" s="11" t="s">
        <v>64</v>
      </c>
      <c r="D278" s="11"/>
      <c r="E278" s="29">
        <v>50187</v>
      </c>
      <c r="G278" s="7">
        <f t="shared" si="51"/>
        <v>11541869</v>
      </c>
      <c r="I278" s="7">
        <f>513900+5426656</f>
        <v>5940556</v>
      </c>
      <c r="K278" s="7">
        <v>17482425</v>
      </c>
      <c r="M278" s="7">
        <f t="shared" si="59"/>
        <v>10126553</v>
      </c>
      <c r="O278" s="7">
        <v>756528</v>
      </c>
      <c r="Q278" s="7">
        <f>5249180-756528</f>
        <v>4492652</v>
      </c>
      <c r="S278" s="7">
        <v>15375733</v>
      </c>
      <c r="U278" s="7">
        <v>3124660</v>
      </c>
      <c r="W278" s="7">
        <f t="shared" si="52"/>
        <v>1046219</v>
      </c>
      <c r="Y278" s="7">
        <v>-2064187</v>
      </c>
      <c r="AA278" s="7">
        <v>2106692</v>
      </c>
      <c r="AB278" s="7">
        <f t="shared" si="49"/>
        <v>0</v>
      </c>
      <c r="AD278" s="32">
        <f t="shared" si="48"/>
        <v>0</v>
      </c>
      <c r="AE278" s="32"/>
      <c r="AF278" s="32"/>
      <c r="AH278" s="32" t="str">
        <f>'St of Activites - GA Rev'!A278</f>
        <v>Lakeview Local SD</v>
      </c>
      <c r="AI278" s="32" t="str">
        <f t="shared" si="53"/>
        <v>Lakeview Local SD</v>
      </c>
      <c r="AJ278" s="32" t="b">
        <f t="shared" si="54"/>
        <v>1</v>
      </c>
      <c r="AL278" s="32" t="str">
        <f>'St of Activities - GA Exp'!A278</f>
        <v>Lakeview Local SD</v>
      </c>
      <c r="AN278" s="32" t="b">
        <f t="shared" si="56"/>
        <v>1</v>
      </c>
      <c r="AR278" s="32" t="str">
        <f t="shared" si="57"/>
        <v>Trumbull</v>
      </c>
      <c r="AS278" s="32" t="str">
        <f>'St of Activites - GA Rev'!C278</f>
        <v>Trumbull</v>
      </c>
      <c r="AT278" s="32" t="b">
        <f t="shared" si="55"/>
        <v>1</v>
      </c>
      <c r="AU278" s="32" t="str">
        <f>'St of Activities - GA Exp'!C278</f>
        <v>Trumbull</v>
      </c>
      <c r="AV278" s="56"/>
      <c r="AW278" s="32" t="b">
        <f t="shared" si="58"/>
        <v>1</v>
      </c>
    </row>
    <row r="279" spans="1:49">
      <c r="A279" s="11" t="s">
        <v>276</v>
      </c>
      <c r="B279" s="11"/>
      <c r="C279" s="11" t="s">
        <v>20</v>
      </c>
      <c r="D279" s="11"/>
      <c r="E279" s="29">
        <v>44198</v>
      </c>
      <c r="G279" s="7">
        <f>+K279-I279</f>
        <v>78905278</v>
      </c>
      <c r="I279" s="7">
        <v>136304706</v>
      </c>
      <c r="K279" s="7">
        <v>215209984</v>
      </c>
      <c r="M279" s="7">
        <f t="shared" si="59"/>
        <v>49569821</v>
      </c>
      <c r="O279" s="7">
        <v>6229522</v>
      </c>
      <c r="Q279" s="7">
        <f>140958396-6229522</f>
        <v>134728874</v>
      </c>
      <c r="S279" s="7">
        <v>190528217</v>
      </c>
      <c r="U279" s="7">
        <v>20712915</v>
      </c>
      <c r="W279" s="7">
        <f t="shared" si="52"/>
        <v>9227464</v>
      </c>
      <c r="Y279" s="7">
        <v>-5258612</v>
      </c>
      <c r="AA279" s="7">
        <v>24681767</v>
      </c>
      <c r="AB279" s="7">
        <f t="shared" si="49"/>
        <v>0</v>
      </c>
      <c r="AD279" s="32">
        <f t="shared" si="48"/>
        <v>0</v>
      </c>
      <c r="AE279" s="7" t="s">
        <v>914</v>
      </c>
      <c r="AF279" s="32"/>
      <c r="AH279" s="32" t="str">
        <f>'St of Activites - GA Rev'!A279</f>
        <v>Lakewood City SD</v>
      </c>
      <c r="AI279" s="32" t="str">
        <f t="shared" si="53"/>
        <v>Lakewood City SD</v>
      </c>
      <c r="AJ279" s="32" t="b">
        <f t="shared" si="54"/>
        <v>1</v>
      </c>
      <c r="AL279" s="32" t="str">
        <f>'St of Activities - GA Exp'!A279</f>
        <v>Lakewood City SD</v>
      </c>
      <c r="AN279" s="32" t="b">
        <f t="shared" si="56"/>
        <v>1</v>
      </c>
      <c r="AR279" s="32" t="str">
        <f t="shared" si="57"/>
        <v>Cuyahoga</v>
      </c>
      <c r="AS279" s="32" t="str">
        <f>'St of Activites - GA Rev'!C279</f>
        <v>Cuyahoga</v>
      </c>
      <c r="AT279" s="32" t="b">
        <f t="shared" si="55"/>
        <v>1</v>
      </c>
      <c r="AU279" s="32" t="str">
        <f>'St of Activities - GA Exp'!C279</f>
        <v>Cuyahoga</v>
      </c>
      <c r="AV279" s="56"/>
      <c r="AW279" s="32" t="b">
        <f t="shared" si="58"/>
        <v>1</v>
      </c>
    </row>
    <row r="280" spans="1:49">
      <c r="A280" s="11" t="s">
        <v>657</v>
      </c>
      <c r="B280" s="11"/>
      <c r="C280" s="11" t="s">
        <v>42</v>
      </c>
      <c r="D280" s="11"/>
      <c r="E280" s="29">
        <v>47993</v>
      </c>
      <c r="G280" s="7">
        <f t="shared" si="51"/>
        <v>22150427</v>
      </c>
      <c r="I280" s="7">
        <v>14524437</v>
      </c>
      <c r="K280" s="7">
        <v>36674864</v>
      </c>
      <c r="M280" s="7">
        <f t="shared" si="59"/>
        <v>14775875</v>
      </c>
      <c r="O280" s="7">
        <v>934208</v>
      </c>
      <c r="Q280" s="7">
        <f>13011554-934208</f>
        <v>12077346</v>
      </c>
      <c r="S280" s="7">
        <v>27787429</v>
      </c>
      <c r="U280" s="7">
        <v>3053537</v>
      </c>
      <c r="W280" s="7">
        <f t="shared" si="52"/>
        <v>1249874</v>
      </c>
      <c r="Y280" s="7">
        <v>4584024</v>
      </c>
      <c r="AA280" s="7">
        <v>8887435</v>
      </c>
      <c r="AB280" s="7">
        <f t="shared" si="49"/>
        <v>0</v>
      </c>
      <c r="AD280" s="32">
        <f t="shared" si="48"/>
        <v>0</v>
      </c>
      <c r="AF280" s="32"/>
      <c r="AH280" s="32" t="str">
        <f>'St of Activites - GA Rev'!A280</f>
        <v>Lakewood Local  SD</v>
      </c>
      <c r="AI280" s="32" t="str">
        <f t="shared" si="53"/>
        <v>Lakewood Local  SD</v>
      </c>
      <c r="AJ280" s="32" t="b">
        <f t="shared" si="54"/>
        <v>1</v>
      </c>
      <c r="AL280" s="32" t="str">
        <f>'St of Activities - GA Exp'!A280</f>
        <v>Lakewood Local  SD</v>
      </c>
      <c r="AN280" s="32" t="b">
        <f t="shared" si="56"/>
        <v>1</v>
      </c>
      <c r="AR280" s="32" t="str">
        <f t="shared" si="57"/>
        <v>Licking</v>
      </c>
      <c r="AS280" s="32" t="str">
        <f>'St of Activites - GA Rev'!C280</f>
        <v>Licking</v>
      </c>
      <c r="AT280" s="32" t="b">
        <f t="shared" si="55"/>
        <v>1</v>
      </c>
      <c r="AU280" s="32" t="str">
        <f>'St of Activities - GA Exp'!C280</f>
        <v>Licking</v>
      </c>
      <c r="AV280" s="56"/>
      <c r="AW280" s="32" t="b">
        <f t="shared" si="58"/>
        <v>1</v>
      </c>
    </row>
    <row r="281" spans="1:49">
      <c r="A281" s="11" t="s">
        <v>226</v>
      </c>
      <c r="B281" s="11"/>
      <c r="C281" s="11" t="s">
        <v>223</v>
      </c>
      <c r="D281" s="11"/>
      <c r="E281" s="29">
        <v>46110</v>
      </c>
      <c r="G281" s="7">
        <f t="shared" si="51"/>
        <v>146083863</v>
      </c>
      <c r="I281" s="7">
        <f>23507119+170603679</f>
        <v>194110798</v>
      </c>
      <c r="K281" s="7">
        <v>340194661</v>
      </c>
      <c r="M281" s="7">
        <f t="shared" si="59"/>
        <v>117606908</v>
      </c>
      <c r="O281" s="7">
        <v>5853513</v>
      </c>
      <c r="Q281" s="7">
        <f>175701506-5853513</f>
        <v>169847993</v>
      </c>
      <c r="S281" s="7">
        <v>293308414</v>
      </c>
      <c r="U281" s="7">
        <v>27488410</v>
      </c>
      <c r="W281" s="7">
        <f t="shared" si="52"/>
        <v>7551789</v>
      </c>
      <c r="Y281" s="7">
        <v>11846048</v>
      </c>
      <c r="AA281" s="7">
        <v>46886247</v>
      </c>
      <c r="AB281" s="7">
        <f t="shared" si="49"/>
        <v>0</v>
      </c>
      <c r="AD281" s="32">
        <f t="shared" si="48"/>
        <v>0</v>
      </c>
      <c r="AF281" s="32"/>
      <c r="AH281" s="32" t="str">
        <f>'St of Activites - GA Rev'!A281</f>
        <v>Lakota Local SD</v>
      </c>
      <c r="AI281" s="32" t="str">
        <f t="shared" si="53"/>
        <v>Lakota Local SD</v>
      </c>
      <c r="AJ281" s="32" t="b">
        <f t="shared" si="54"/>
        <v>1</v>
      </c>
      <c r="AL281" s="32" t="str">
        <f>'St of Activities - GA Exp'!A281</f>
        <v>Lakota Local SD</v>
      </c>
      <c r="AN281" s="32" t="b">
        <f t="shared" si="56"/>
        <v>1</v>
      </c>
      <c r="AR281" s="32" t="str">
        <f t="shared" si="57"/>
        <v>Butler</v>
      </c>
      <c r="AS281" s="32" t="str">
        <f>'St of Activites - GA Rev'!C281</f>
        <v>Butler</v>
      </c>
      <c r="AT281" s="32" t="b">
        <f t="shared" si="55"/>
        <v>1</v>
      </c>
      <c r="AU281" s="32" t="str">
        <f>'St of Activities - GA Exp'!C281</f>
        <v>Butler</v>
      </c>
      <c r="AV281" s="56"/>
      <c r="AW281" s="32" t="b">
        <f t="shared" si="58"/>
        <v>1</v>
      </c>
    </row>
    <row r="282" spans="1:49" s="65" customFormat="1" hidden="1">
      <c r="A282" s="62" t="s">
        <v>915</v>
      </c>
      <c r="B282" s="62"/>
      <c r="C282" s="62" t="s">
        <v>79</v>
      </c>
      <c r="D282" s="62"/>
      <c r="E282" s="64">
        <v>49569</v>
      </c>
      <c r="G282" s="65">
        <f>+K282-I282</f>
        <v>0</v>
      </c>
      <c r="M282" s="65">
        <f t="shared" si="59"/>
        <v>0</v>
      </c>
      <c r="W282" s="65">
        <f t="shared" si="52"/>
        <v>0</v>
      </c>
      <c r="AB282" s="65">
        <f t="shared" si="49"/>
        <v>0</v>
      </c>
      <c r="AD282" s="66">
        <f t="shared" si="48"/>
        <v>0</v>
      </c>
      <c r="AE282" s="65" t="s">
        <v>903</v>
      </c>
      <c r="AF282" s="66"/>
      <c r="AH282" s="66" t="str">
        <f>'St of Activites - GA Rev'!A282</f>
        <v>Lakota Local SD (CASH)</v>
      </c>
      <c r="AI282" s="66" t="str">
        <f t="shared" si="53"/>
        <v>Lakota Local SD (CASH)</v>
      </c>
      <c r="AJ282" s="66" t="b">
        <f t="shared" si="54"/>
        <v>1</v>
      </c>
      <c r="AL282" s="66" t="str">
        <f>'St of Activities - GA Exp'!A282</f>
        <v>Lakota Local SD (CASH)</v>
      </c>
      <c r="AN282" s="66" t="b">
        <f t="shared" si="56"/>
        <v>1</v>
      </c>
      <c r="AR282" s="66" t="str">
        <f t="shared" si="57"/>
        <v>Sandusky</v>
      </c>
      <c r="AS282" s="66" t="str">
        <f>'St of Activites - GA Rev'!C282</f>
        <v>Sandusky</v>
      </c>
      <c r="AT282" s="66" t="b">
        <f t="shared" si="55"/>
        <v>1</v>
      </c>
      <c r="AU282" s="66" t="str">
        <f>'St of Activities - GA Exp'!C282</f>
        <v>Sandusky</v>
      </c>
      <c r="AV282" s="86"/>
      <c r="AW282" s="66" t="b">
        <f t="shared" si="58"/>
        <v>1</v>
      </c>
    </row>
    <row r="283" spans="1:49">
      <c r="A283" s="11" t="s">
        <v>301</v>
      </c>
      <c r="B283" s="11"/>
      <c r="C283" s="11" t="s">
        <v>25</v>
      </c>
      <c r="D283" s="11"/>
      <c r="E283" s="29">
        <v>44206</v>
      </c>
      <c r="G283" s="7">
        <f t="shared" si="51"/>
        <v>71951007</v>
      </c>
      <c r="I283" s="7">
        <f>590184+10079409</f>
        <v>10669593</v>
      </c>
      <c r="K283" s="7">
        <v>82620600</v>
      </c>
      <c r="M283" s="7">
        <f t="shared" si="59"/>
        <v>26623242</v>
      </c>
      <c r="O283" s="7">
        <v>494510</v>
      </c>
      <c r="Q283" s="7">
        <f>3391001-494510</f>
        <v>2896491</v>
      </c>
      <c r="S283" s="7">
        <v>30014243</v>
      </c>
      <c r="U283" s="7">
        <v>10143839</v>
      </c>
      <c r="W283" s="7">
        <f t="shared" si="52"/>
        <v>2299642</v>
      </c>
      <c r="Y283" s="7">
        <v>40162876</v>
      </c>
      <c r="AA283" s="7">
        <v>52606357</v>
      </c>
      <c r="AB283" s="7">
        <f t="shared" si="49"/>
        <v>0</v>
      </c>
      <c r="AD283" s="32">
        <f t="shared" ref="AD283:AD310" si="60">+G283+I283+-M283-O283-U283-W283-Y283-Q283</f>
        <v>0</v>
      </c>
      <c r="AF283" s="32"/>
      <c r="AH283" s="32" t="str">
        <f>'St of Activites - GA Rev'!A283</f>
        <v>Lancaster City SD</v>
      </c>
      <c r="AI283" s="32" t="str">
        <f t="shared" si="53"/>
        <v>Lancaster City SD</v>
      </c>
      <c r="AJ283" s="32" t="b">
        <f t="shared" si="54"/>
        <v>1</v>
      </c>
      <c r="AL283" s="32" t="str">
        <f>'St of Activities - GA Exp'!A283</f>
        <v>Lancaster City SD</v>
      </c>
      <c r="AN283" s="32" t="b">
        <f t="shared" si="56"/>
        <v>1</v>
      </c>
      <c r="AR283" s="32" t="str">
        <f t="shared" si="57"/>
        <v>Fairfield</v>
      </c>
      <c r="AS283" s="32" t="str">
        <f>'St of Activites - GA Rev'!C283</f>
        <v>Fairfield</v>
      </c>
      <c r="AT283" s="32" t="b">
        <f t="shared" si="55"/>
        <v>1</v>
      </c>
      <c r="AU283" s="32" t="str">
        <f>'St of Activities - GA Exp'!C283</f>
        <v>Fairfield</v>
      </c>
      <c r="AV283" s="56"/>
      <c r="AW283" s="32" t="b">
        <f t="shared" si="58"/>
        <v>1</v>
      </c>
    </row>
    <row r="284" spans="1:49" s="65" customFormat="1" hidden="1">
      <c r="A284" s="62" t="s">
        <v>771</v>
      </c>
      <c r="B284" s="62"/>
      <c r="C284" s="62" t="s">
        <v>69</v>
      </c>
      <c r="D284" s="62"/>
      <c r="E284" s="64">
        <v>44214</v>
      </c>
      <c r="G284" s="65">
        <f t="shared" ref="G284:G299" si="61">+K284-I284</f>
        <v>0</v>
      </c>
      <c r="M284" s="65">
        <f t="shared" si="59"/>
        <v>0</v>
      </c>
      <c r="W284" s="65">
        <f t="shared" si="52"/>
        <v>0</v>
      </c>
      <c r="AB284" s="65">
        <f t="shared" si="49"/>
        <v>0</v>
      </c>
      <c r="AD284" s="66">
        <f t="shared" si="60"/>
        <v>0</v>
      </c>
      <c r="AE284" s="65" t="s">
        <v>839</v>
      </c>
      <c r="AF284" s="66"/>
      <c r="AH284" s="66" t="str">
        <f>'St of Activites - GA Rev'!A284</f>
        <v xml:space="preserve">Lebanon City SD (CASH) </v>
      </c>
      <c r="AI284" s="66" t="str">
        <f t="shared" si="53"/>
        <v xml:space="preserve">Lebanon City SD (CASH) </v>
      </c>
      <c r="AJ284" s="66" t="b">
        <f t="shared" si="54"/>
        <v>1</v>
      </c>
      <c r="AL284" s="66" t="str">
        <f>'St of Activities - GA Exp'!A284</f>
        <v xml:space="preserve">Lebanon City SD (CASH) </v>
      </c>
      <c r="AN284" s="66" t="b">
        <f t="shared" si="56"/>
        <v>1</v>
      </c>
      <c r="AR284" s="66" t="str">
        <f t="shared" si="57"/>
        <v>Warren</v>
      </c>
      <c r="AS284" s="66" t="str">
        <f>'St of Activites - GA Rev'!C284</f>
        <v>Warren</v>
      </c>
      <c r="AT284" s="66" t="b">
        <f t="shared" si="55"/>
        <v>1</v>
      </c>
      <c r="AU284" s="66" t="str">
        <f>'St of Activities - GA Exp'!C284</f>
        <v>Warren</v>
      </c>
      <c r="AV284" s="86"/>
      <c r="AW284" s="66" t="b">
        <f t="shared" si="58"/>
        <v>1</v>
      </c>
    </row>
    <row r="285" spans="1:49">
      <c r="A285" s="11" t="s">
        <v>322</v>
      </c>
      <c r="B285" s="11"/>
      <c r="C285" s="11" t="s">
        <v>30</v>
      </c>
      <c r="D285" s="11"/>
      <c r="E285" s="29">
        <v>47209</v>
      </c>
      <c r="F285" s="10"/>
      <c r="G285" s="7">
        <f t="shared" si="51"/>
        <v>3249888</v>
      </c>
      <c r="I285" s="7">
        <f>119100+1207446</f>
        <v>1326546</v>
      </c>
      <c r="K285" s="7">
        <v>4576434</v>
      </c>
      <c r="M285" s="7">
        <f t="shared" si="59"/>
        <v>4735369</v>
      </c>
      <c r="O285" s="7">
        <v>27464</v>
      </c>
      <c r="Q285" s="7">
        <f>353622-27464</f>
        <v>326158</v>
      </c>
      <c r="S285" s="7">
        <v>5088991</v>
      </c>
      <c r="U285" s="7">
        <v>1126546</v>
      </c>
      <c r="W285" s="7">
        <f t="shared" si="52"/>
        <v>794690</v>
      </c>
      <c r="Y285" s="7">
        <v>-2433793</v>
      </c>
      <c r="AA285" s="7">
        <v>-512557</v>
      </c>
      <c r="AB285" s="7">
        <f t="shared" si="49"/>
        <v>0</v>
      </c>
      <c r="AD285" s="32">
        <f t="shared" si="60"/>
        <v>0</v>
      </c>
      <c r="AF285" s="32"/>
      <c r="AH285" s="32" t="str">
        <f>'St of Activites - GA Rev'!A285</f>
        <v>Ledgemont Local SD</v>
      </c>
      <c r="AI285" s="32" t="str">
        <f t="shared" si="53"/>
        <v>Ledgemont Local SD</v>
      </c>
      <c r="AJ285" s="32" t="b">
        <f t="shared" si="54"/>
        <v>1</v>
      </c>
      <c r="AL285" s="32" t="str">
        <f>'St of Activities - GA Exp'!A285</f>
        <v>Ledgemont Local SD</v>
      </c>
      <c r="AN285" s="32" t="b">
        <f t="shared" si="56"/>
        <v>1</v>
      </c>
      <c r="AR285" s="32" t="str">
        <f t="shared" si="57"/>
        <v>Geauga</v>
      </c>
      <c r="AS285" s="32" t="str">
        <f>'St of Activites - GA Rev'!C285</f>
        <v>Geauga</v>
      </c>
      <c r="AT285" s="32" t="b">
        <f t="shared" si="55"/>
        <v>1</v>
      </c>
      <c r="AU285" s="32" t="str">
        <f>'St of Activities - GA Exp'!C285</f>
        <v>Geauga</v>
      </c>
      <c r="AV285" s="56"/>
      <c r="AW285" s="32" t="b">
        <f t="shared" si="58"/>
        <v>1</v>
      </c>
    </row>
    <row r="286" spans="1:49" s="65" customFormat="1" hidden="1">
      <c r="A286" s="63" t="s">
        <v>872</v>
      </c>
      <c r="B286" s="62"/>
      <c r="C286" s="62" t="s">
        <v>112</v>
      </c>
      <c r="D286" s="62"/>
      <c r="E286" s="64"/>
      <c r="F286" s="67"/>
      <c r="AD286" s="66"/>
      <c r="AE286" s="65" t="s">
        <v>917</v>
      </c>
      <c r="AF286" s="66"/>
      <c r="AH286" s="66" t="str">
        <f>'St of Activites - GA Rev'!A286</f>
        <v>Leetonia Exempted Village SD (CASH)</v>
      </c>
      <c r="AI286" s="66" t="str">
        <f t="shared" si="53"/>
        <v>Leetonia Exempted Village SD (CASH)</v>
      </c>
      <c r="AJ286" s="66" t="b">
        <f t="shared" si="54"/>
        <v>1</v>
      </c>
      <c r="AL286" s="66" t="str">
        <f>'St of Activities - GA Exp'!A286</f>
        <v>Leetonia Exempted Village SD (CASH)</v>
      </c>
      <c r="AN286" s="66" t="b">
        <f t="shared" si="56"/>
        <v>1</v>
      </c>
      <c r="AR286" s="66" t="str">
        <f t="shared" si="57"/>
        <v>Columbiana</v>
      </c>
      <c r="AS286" s="66" t="str">
        <f>'St of Activites - GA Rev'!C286</f>
        <v>Columbiana</v>
      </c>
      <c r="AT286" s="66" t="b">
        <f t="shared" si="55"/>
        <v>1</v>
      </c>
      <c r="AU286" s="66" t="str">
        <f>'St of Activities - GA Exp'!C286</f>
        <v>Columbiana</v>
      </c>
      <c r="AV286" s="86"/>
      <c r="AW286" s="66" t="b">
        <f t="shared" si="58"/>
        <v>1</v>
      </c>
    </row>
    <row r="287" spans="1:49" s="65" customFormat="1" hidden="1">
      <c r="A287" s="62" t="s">
        <v>717</v>
      </c>
      <c r="B287" s="62"/>
      <c r="C287" s="62" t="s">
        <v>482</v>
      </c>
      <c r="D287" s="62"/>
      <c r="E287" s="64">
        <v>49353</v>
      </c>
      <c r="G287" s="65">
        <f t="shared" si="61"/>
        <v>0</v>
      </c>
      <c r="M287" s="65">
        <f t="shared" si="59"/>
        <v>0</v>
      </c>
      <c r="W287" s="65">
        <f t="shared" si="52"/>
        <v>0</v>
      </c>
      <c r="AB287" s="65">
        <f t="shared" si="49"/>
        <v>0</v>
      </c>
      <c r="AD287" s="66">
        <f t="shared" si="60"/>
        <v>0</v>
      </c>
      <c r="AE287" s="65" t="s">
        <v>839</v>
      </c>
      <c r="AF287" s="66"/>
      <c r="AH287" s="66" t="str">
        <f>'St of Activites - GA Rev'!A287</f>
        <v>Leipsic Local SD (CASH)</v>
      </c>
      <c r="AI287" s="66" t="str">
        <f t="shared" si="53"/>
        <v>Leipsic Local SD (CASH)</v>
      </c>
      <c r="AJ287" s="66" t="b">
        <f t="shared" si="54"/>
        <v>1</v>
      </c>
      <c r="AL287" s="66" t="str">
        <f>'St of Activities - GA Exp'!A287</f>
        <v>Leipsic Local SD (CASH)</v>
      </c>
      <c r="AN287" s="66" t="b">
        <f t="shared" si="56"/>
        <v>1</v>
      </c>
      <c r="AR287" s="66" t="str">
        <f t="shared" si="57"/>
        <v>Putnam</v>
      </c>
      <c r="AS287" s="66" t="str">
        <f>'St of Activites - GA Rev'!C287</f>
        <v>Putnam</v>
      </c>
      <c r="AT287" s="66" t="b">
        <f t="shared" si="55"/>
        <v>1</v>
      </c>
      <c r="AU287" s="66" t="str">
        <f>'St of Activities - GA Exp'!C287</f>
        <v>Putnam</v>
      </c>
      <c r="AV287" s="86"/>
      <c r="AW287" s="66" t="b">
        <f t="shared" si="58"/>
        <v>1</v>
      </c>
    </row>
    <row r="288" spans="1:49" s="65" customFormat="1" hidden="1">
      <c r="A288" s="62" t="s">
        <v>918</v>
      </c>
      <c r="B288" s="62"/>
      <c r="C288" s="62" t="s">
        <v>110</v>
      </c>
      <c r="D288" s="62"/>
      <c r="E288" s="64">
        <v>49437</v>
      </c>
      <c r="G288" s="65">
        <f t="shared" si="61"/>
        <v>0</v>
      </c>
      <c r="M288" s="65">
        <f t="shared" si="59"/>
        <v>0</v>
      </c>
      <c r="W288" s="65">
        <f t="shared" si="52"/>
        <v>0</v>
      </c>
      <c r="AB288" s="65">
        <f t="shared" ref="AB288:AB310" si="62">+K288-S288-AA288</f>
        <v>0</v>
      </c>
      <c r="AD288" s="66">
        <f t="shared" si="60"/>
        <v>0</v>
      </c>
      <c r="AE288" s="65" t="s">
        <v>912</v>
      </c>
      <c r="AF288" s="66"/>
      <c r="AH288" s="66" t="str">
        <f>'St of Activites - GA Rev'!A288</f>
        <v>Lexington Local SD (CASH)</v>
      </c>
      <c r="AI288" s="66" t="str">
        <f t="shared" si="53"/>
        <v>Lexington Local SD (CASH)</v>
      </c>
      <c r="AJ288" s="66" t="b">
        <f t="shared" si="54"/>
        <v>1</v>
      </c>
      <c r="AL288" s="66" t="str">
        <f>'St of Activities - GA Exp'!A288</f>
        <v>Lexington Local SD (CASH)</v>
      </c>
      <c r="AN288" s="66" t="b">
        <f t="shared" si="56"/>
        <v>1</v>
      </c>
      <c r="AR288" s="66" t="str">
        <f t="shared" si="57"/>
        <v>Richland</v>
      </c>
      <c r="AS288" s="66" t="str">
        <f>'St of Activites - GA Rev'!C288</f>
        <v>Richland</v>
      </c>
      <c r="AT288" s="66" t="b">
        <f t="shared" si="55"/>
        <v>1</v>
      </c>
      <c r="AU288" s="66" t="str">
        <f>'St of Activities - GA Exp'!C288</f>
        <v>Richland</v>
      </c>
      <c r="AV288" s="86"/>
      <c r="AW288" s="66" t="b">
        <f t="shared" si="58"/>
        <v>1</v>
      </c>
    </row>
    <row r="289" spans="1:49">
      <c r="A289" s="11" t="s">
        <v>920</v>
      </c>
      <c r="B289" s="11"/>
      <c r="C289" s="11" t="s">
        <v>33</v>
      </c>
      <c r="D289" s="11"/>
      <c r="E289" s="29">
        <v>47449</v>
      </c>
      <c r="G289" s="7">
        <f>+K289-I289</f>
        <v>11904480</v>
      </c>
      <c r="I289" s="7">
        <f>943750+8907482</f>
        <v>9851232</v>
      </c>
      <c r="K289" s="7">
        <v>21755712</v>
      </c>
      <c r="M289" s="7">
        <f>+S289-O289-Q289</f>
        <v>5685786</v>
      </c>
      <c r="O289" s="7">
        <v>106870</v>
      </c>
      <c r="Q289" s="7">
        <f>4678002-106870</f>
        <v>4571132</v>
      </c>
      <c r="S289" s="7">
        <v>10363788</v>
      </c>
      <c r="U289" s="7">
        <v>8004228</v>
      </c>
      <c r="W289" s="7">
        <f>AA289-Y289-U289</f>
        <v>1361062</v>
      </c>
      <c r="Y289" s="7">
        <v>2026634</v>
      </c>
      <c r="AA289" s="7">
        <v>11391924</v>
      </c>
      <c r="AB289" s="7">
        <f>+K289-S289-AA289</f>
        <v>0</v>
      </c>
      <c r="AD289" s="32">
        <f>+G289+I289+-M289-O289-U289-W289-Y289-Q289</f>
        <v>0</v>
      </c>
      <c r="AF289" s="32"/>
      <c r="AH289" s="32" t="str">
        <f>'St of Activites - GA Rev'!A289</f>
        <v>Liberty Benton Local SD</v>
      </c>
      <c r="AI289" s="32" t="str">
        <f>A289</f>
        <v>Liberty Benton Local SD</v>
      </c>
      <c r="AJ289" s="32" t="b">
        <f>AH289=AI289</f>
        <v>1</v>
      </c>
      <c r="AL289" s="32" t="str">
        <f>'St of Activities - GA Exp'!A289</f>
        <v>Liberty Benton Local SD</v>
      </c>
      <c r="AN289" s="32" t="b">
        <f>AH289=AL289</f>
        <v>1</v>
      </c>
      <c r="AR289" s="32" t="str">
        <f>C289</f>
        <v>Hancock</v>
      </c>
      <c r="AS289" s="32" t="str">
        <f>'St of Activites - GA Rev'!C289</f>
        <v>Hancock</v>
      </c>
      <c r="AT289" s="32" t="b">
        <f>AR289=AS289</f>
        <v>1</v>
      </c>
      <c r="AU289" s="32" t="str">
        <f>'St of Activities - GA Exp'!C289</f>
        <v>Hancock</v>
      </c>
      <c r="AV289" s="56"/>
      <c r="AW289" s="32" t="b">
        <f>AU289=AS289</f>
        <v>1</v>
      </c>
    </row>
    <row r="290" spans="1:49">
      <c r="A290" s="11" t="s">
        <v>355</v>
      </c>
      <c r="B290" s="11"/>
      <c r="C290" s="11" t="s">
        <v>34</v>
      </c>
      <c r="D290" s="11"/>
      <c r="E290" s="29">
        <v>47589</v>
      </c>
      <c r="G290" s="7">
        <f t="shared" si="61"/>
        <v>11239797</v>
      </c>
      <c r="I290" s="7">
        <f>1014877+6923229</f>
        <v>7938106</v>
      </c>
      <c r="K290" s="7">
        <v>19177903</v>
      </c>
      <c r="M290" s="7">
        <f t="shared" si="59"/>
        <v>5490126</v>
      </c>
      <c r="O290" s="7">
        <v>387856</v>
      </c>
      <c r="Q290" s="7">
        <f>3448302-387856</f>
        <v>3060446</v>
      </c>
      <c r="S290" s="7">
        <v>8938428</v>
      </c>
      <c r="U290" s="7">
        <v>5220050</v>
      </c>
      <c r="W290" s="7">
        <f t="shared" si="52"/>
        <v>758819</v>
      </c>
      <c r="Y290" s="7">
        <v>4260606</v>
      </c>
      <c r="AA290" s="7">
        <v>10239475</v>
      </c>
      <c r="AB290" s="7">
        <f t="shared" si="62"/>
        <v>0</v>
      </c>
      <c r="AD290" s="32">
        <f t="shared" si="60"/>
        <v>0</v>
      </c>
      <c r="AF290" s="32"/>
      <c r="AH290" s="32" t="str">
        <f>'St of Activites - GA Rev'!A290</f>
        <v>Liberty Center Local SD</v>
      </c>
      <c r="AI290" s="32" t="str">
        <f t="shared" si="53"/>
        <v>Liberty Center Local SD</v>
      </c>
      <c r="AJ290" s="32" t="b">
        <f t="shared" si="54"/>
        <v>1</v>
      </c>
      <c r="AL290" s="32" t="str">
        <f>'St of Activities - GA Exp'!A290</f>
        <v>Liberty Center Local SD</v>
      </c>
      <c r="AN290" s="32" t="b">
        <f t="shared" si="56"/>
        <v>1</v>
      </c>
      <c r="AR290" s="32" t="str">
        <f t="shared" si="57"/>
        <v>Henry</v>
      </c>
      <c r="AS290" s="32" t="str">
        <f>'St of Activites - GA Rev'!C290</f>
        <v>Henry</v>
      </c>
      <c r="AT290" s="32" t="b">
        <f t="shared" si="55"/>
        <v>1</v>
      </c>
      <c r="AU290" s="32" t="str">
        <f>'St of Activities - GA Exp'!C290</f>
        <v>Henry</v>
      </c>
      <c r="AV290" s="56"/>
      <c r="AW290" s="32" t="b">
        <f t="shared" si="58"/>
        <v>1</v>
      </c>
    </row>
    <row r="291" spans="1:49">
      <c r="A291" s="11" t="s">
        <v>542</v>
      </c>
      <c r="B291" s="11"/>
      <c r="C291" s="11" t="s">
        <v>64</v>
      </c>
      <c r="D291" s="11"/>
      <c r="E291" s="29">
        <v>50195</v>
      </c>
      <c r="G291" s="7">
        <f t="shared" si="61"/>
        <v>14369545</v>
      </c>
      <c r="I291" s="7">
        <v>10390292</v>
      </c>
      <c r="K291" s="7">
        <v>24759837</v>
      </c>
      <c r="M291" s="7">
        <f t="shared" si="59"/>
        <v>14440495</v>
      </c>
      <c r="O291" s="7">
        <v>937055</v>
      </c>
      <c r="Q291" s="7">
        <f>10831298-937055</f>
        <v>9894243</v>
      </c>
      <c r="S291" s="7">
        <v>25271793</v>
      </c>
      <c r="U291" s="7">
        <v>3952372</v>
      </c>
      <c r="W291" s="7">
        <f t="shared" si="52"/>
        <v>2770371</v>
      </c>
      <c r="Y291" s="7">
        <v>-7234699</v>
      </c>
      <c r="AA291" s="7">
        <v>-511956</v>
      </c>
      <c r="AB291" s="7">
        <f t="shared" si="62"/>
        <v>0</v>
      </c>
      <c r="AD291" s="32">
        <f t="shared" si="60"/>
        <v>0</v>
      </c>
      <c r="AF291" s="32"/>
      <c r="AH291" s="32" t="str">
        <f>'St of Activites - GA Rev'!A291</f>
        <v>Liberty Local SD</v>
      </c>
      <c r="AI291" s="32" t="str">
        <f t="shared" si="53"/>
        <v>Liberty Local SD</v>
      </c>
      <c r="AJ291" s="32" t="b">
        <f t="shared" si="54"/>
        <v>1</v>
      </c>
      <c r="AL291" s="32" t="str">
        <f>'St of Activities - GA Exp'!A291</f>
        <v>Liberty Local SD</v>
      </c>
      <c r="AN291" s="32" t="b">
        <f t="shared" si="56"/>
        <v>1</v>
      </c>
      <c r="AR291" s="32" t="str">
        <f t="shared" si="57"/>
        <v>Trumbull</v>
      </c>
      <c r="AS291" s="32" t="str">
        <f>'St of Activites - GA Rev'!C291</f>
        <v>Trumbull</v>
      </c>
      <c r="AT291" s="32" t="b">
        <f t="shared" si="55"/>
        <v>1</v>
      </c>
      <c r="AU291" s="32" t="str">
        <f>'St of Activities - GA Exp'!C291</f>
        <v>Trumbull</v>
      </c>
      <c r="AV291" s="56"/>
      <c r="AW291" s="32" t="b">
        <f t="shared" si="58"/>
        <v>1</v>
      </c>
    </row>
    <row r="292" spans="1:49">
      <c r="A292" s="11" t="s">
        <v>842</v>
      </c>
      <c r="B292" s="11"/>
      <c r="C292" s="11" t="s">
        <v>25</v>
      </c>
      <c r="D292" s="11"/>
      <c r="E292" s="29">
        <v>46888</v>
      </c>
      <c r="G292" s="7">
        <f t="shared" si="61"/>
        <v>25310647</v>
      </c>
      <c r="I292" s="7">
        <f>9109142+15135379</f>
        <v>24244521</v>
      </c>
      <c r="K292" s="7">
        <v>49555168</v>
      </c>
      <c r="M292" s="7">
        <f t="shared" si="59"/>
        <v>6550721</v>
      </c>
      <c r="O292" s="7">
        <v>875286</v>
      </c>
      <c r="Q292" s="7">
        <f>12898479-875286</f>
        <v>12023193</v>
      </c>
      <c r="S292" s="7">
        <v>19449200</v>
      </c>
      <c r="U292" s="7">
        <v>13204032</v>
      </c>
      <c r="W292" s="7">
        <f t="shared" si="52"/>
        <v>11926420</v>
      </c>
      <c r="Y292" s="7">
        <v>4975516</v>
      </c>
      <c r="AA292" s="7">
        <v>30105968</v>
      </c>
      <c r="AB292" s="7">
        <f t="shared" si="62"/>
        <v>0</v>
      </c>
      <c r="AD292" s="32">
        <f t="shared" si="60"/>
        <v>0</v>
      </c>
      <c r="AF292" s="32"/>
      <c r="AH292" s="32" t="str">
        <f>'St of Activites - GA Rev'!A292</f>
        <v>Liberty Union-Thurston Local SD</v>
      </c>
      <c r="AI292" s="32" t="str">
        <f t="shared" si="53"/>
        <v>Liberty Union-Thurston Local SD</v>
      </c>
      <c r="AJ292" s="32" t="b">
        <f t="shared" si="54"/>
        <v>1</v>
      </c>
      <c r="AL292" s="32" t="str">
        <f>'St of Activities - GA Exp'!A292</f>
        <v>Liberty Union-Thurston Local SD</v>
      </c>
      <c r="AN292" s="32" t="b">
        <f t="shared" si="56"/>
        <v>1</v>
      </c>
      <c r="AR292" s="32" t="str">
        <f t="shared" si="57"/>
        <v>Fairfield</v>
      </c>
      <c r="AS292" s="32" t="str">
        <f>'St of Activites - GA Rev'!C292</f>
        <v>Fairfield</v>
      </c>
      <c r="AT292" s="32" t="b">
        <f t="shared" si="55"/>
        <v>1</v>
      </c>
      <c r="AU292" s="32" t="str">
        <f>'St of Activities - GA Exp'!C292</f>
        <v>Fairfield</v>
      </c>
      <c r="AV292" s="56"/>
      <c r="AW292" s="32" t="b">
        <f t="shared" si="58"/>
        <v>1</v>
      </c>
    </row>
    <row r="293" spans="1:49">
      <c r="A293" s="11" t="s">
        <v>386</v>
      </c>
      <c r="B293" s="11"/>
      <c r="C293" s="11" t="s">
        <v>42</v>
      </c>
      <c r="D293" s="11"/>
      <c r="E293" s="29">
        <v>48009</v>
      </c>
      <c r="G293" s="7">
        <f t="shared" si="61"/>
        <v>37051215</v>
      </c>
      <c r="I293" s="7">
        <f>2141744+55470836</f>
        <v>57612580</v>
      </c>
      <c r="K293" s="7">
        <v>94663795</v>
      </c>
      <c r="M293" s="7">
        <f t="shared" si="59"/>
        <v>18924478</v>
      </c>
      <c r="O293" s="7">
        <v>1084433</v>
      </c>
      <c r="Q293" s="7">
        <f>69805863-1084433</f>
        <v>68721430</v>
      </c>
      <c r="S293" s="7">
        <v>88730341</v>
      </c>
      <c r="U293" s="7">
        <v>4901775</v>
      </c>
      <c r="W293" s="7">
        <f>AA293-Y293-U293</f>
        <v>2414641</v>
      </c>
      <c r="Y293" s="7">
        <v>-1382962</v>
      </c>
      <c r="AA293" s="7">
        <v>5933454</v>
      </c>
      <c r="AB293" s="7">
        <f t="shared" si="62"/>
        <v>0</v>
      </c>
      <c r="AD293" s="32">
        <f t="shared" si="60"/>
        <v>0</v>
      </c>
      <c r="AF293" s="32"/>
      <c r="AH293" s="32" t="str">
        <f>'St of Activites - GA Rev'!A293</f>
        <v>Licking Heights Local SD</v>
      </c>
      <c r="AI293" s="32" t="str">
        <f t="shared" si="53"/>
        <v>Licking Heights Local SD</v>
      </c>
      <c r="AJ293" s="32" t="b">
        <f t="shared" si="54"/>
        <v>1</v>
      </c>
      <c r="AL293" s="32" t="str">
        <f>'St of Activities - GA Exp'!A293</f>
        <v>Licking Heights Local SD</v>
      </c>
      <c r="AN293" s="32" t="b">
        <f t="shared" si="56"/>
        <v>1</v>
      </c>
      <c r="AR293" s="32" t="str">
        <f t="shared" si="57"/>
        <v>Licking</v>
      </c>
      <c r="AS293" s="32" t="str">
        <f>'St of Activites - GA Rev'!C293</f>
        <v>Licking</v>
      </c>
      <c r="AT293" s="32" t="b">
        <f t="shared" si="55"/>
        <v>1</v>
      </c>
      <c r="AU293" s="32" t="str">
        <f>'St of Activities - GA Exp'!C293</f>
        <v>Licking</v>
      </c>
      <c r="AV293" s="56"/>
      <c r="AW293" s="32" t="b">
        <f t="shared" si="58"/>
        <v>1</v>
      </c>
    </row>
    <row r="294" spans="1:49">
      <c r="A294" s="11" t="s">
        <v>387</v>
      </c>
      <c r="B294" s="11"/>
      <c r="C294" s="11" t="s">
        <v>42</v>
      </c>
      <c r="D294" s="11"/>
      <c r="E294" s="29">
        <v>48017</v>
      </c>
      <c r="G294" s="7">
        <f t="shared" si="61"/>
        <v>14372070</v>
      </c>
      <c r="I294" s="7">
        <f>316500+38306440</f>
        <v>38622940</v>
      </c>
      <c r="K294" s="7">
        <v>52995010</v>
      </c>
      <c r="M294" s="7">
        <f t="shared" si="59"/>
        <v>6318398</v>
      </c>
      <c r="O294" s="7">
        <v>1134862</v>
      </c>
      <c r="Q294" s="7">
        <f>14686587-1134862</f>
        <v>13551725</v>
      </c>
      <c r="S294" s="7">
        <v>21004985</v>
      </c>
      <c r="U294" s="7">
        <v>25896551</v>
      </c>
      <c r="W294" s="7">
        <f>AA294-Y294-U294</f>
        <v>680649</v>
      </c>
      <c r="Y294" s="7">
        <v>5412825</v>
      </c>
      <c r="AA294" s="7">
        <v>31990025</v>
      </c>
      <c r="AB294" s="7">
        <f t="shared" si="62"/>
        <v>0</v>
      </c>
      <c r="AD294" s="32">
        <f t="shared" si="60"/>
        <v>0</v>
      </c>
      <c r="AE294" s="84"/>
      <c r="AF294" s="32"/>
      <c r="AH294" s="32" t="str">
        <f>'St of Activites - GA Rev'!A294</f>
        <v>Licking Valley Local SD</v>
      </c>
      <c r="AI294" s="32" t="str">
        <f t="shared" si="53"/>
        <v>Licking Valley Local SD</v>
      </c>
      <c r="AJ294" s="32" t="b">
        <f t="shared" si="54"/>
        <v>1</v>
      </c>
      <c r="AL294" s="32" t="str">
        <f>'St of Activities - GA Exp'!A294</f>
        <v>Licking Valley Local SD</v>
      </c>
      <c r="AN294" s="32" t="b">
        <f t="shared" si="56"/>
        <v>1</v>
      </c>
      <c r="AR294" s="32" t="str">
        <f t="shared" si="57"/>
        <v>Licking</v>
      </c>
      <c r="AS294" s="32" t="str">
        <f>'St of Activites - GA Rev'!C294</f>
        <v>Licking</v>
      </c>
      <c r="AT294" s="32" t="b">
        <f t="shared" si="55"/>
        <v>1</v>
      </c>
      <c r="AU294" s="32" t="str">
        <f>'St of Activities - GA Exp'!C294</f>
        <v>Licking</v>
      </c>
      <c r="AV294" s="56"/>
      <c r="AW294" s="32" t="b">
        <f t="shared" si="58"/>
        <v>1</v>
      </c>
    </row>
    <row r="295" spans="1:49" s="65" customFormat="1" hidden="1">
      <c r="A295" s="63" t="s">
        <v>718</v>
      </c>
      <c r="B295" s="63"/>
      <c r="C295" s="63" t="s">
        <v>10</v>
      </c>
      <c r="D295" s="62"/>
      <c r="E295" s="64"/>
      <c r="G295" s="65">
        <f t="shared" si="61"/>
        <v>0</v>
      </c>
      <c r="M295" s="65">
        <f t="shared" si="59"/>
        <v>0</v>
      </c>
      <c r="W295" s="65">
        <f t="shared" ref="W295:W297" si="63">AA295-Y295-U295</f>
        <v>0</v>
      </c>
      <c r="AB295" s="65">
        <f t="shared" si="62"/>
        <v>0</v>
      </c>
      <c r="AD295" s="66">
        <f t="shared" si="60"/>
        <v>0</v>
      </c>
      <c r="AE295" s="65" t="s">
        <v>921</v>
      </c>
      <c r="AF295" s="66"/>
      <c r="AH295" s="66" t="str">
        <f>'St of Activites - GA Rev'!A295</f>
        <v>Lima City School District (CASH)</v>
      </c>
      <c r="AI295" s="66" t="str">
        <f t="shared" si="53"/>
        <v>Lima City School District (CASH)</v>
      </c>
      <c r="AJ295" s="66" t="b">
        <f t="shared" si="54"/>
        <v>1</v>
      </c>
      <c r="AL295" s="66" t="str">
        <f>'St of Activities - GA Exp'!A295</f>
        <v>Lima City School District (CASH)</v>
      </c>
      <c r="AN295" s="66" t="b">
        <f t="shared" si="56"/>
        <v>1</v>
      </c>
      <c r="AR295" s="66" t="str">
        <f t="shared" si="57"/>
        <v>Allen</v>
      </c>
      <c r="AS295" s="66" t="str">
        <f>'St of Activites - GA Rev'!C295</f>
        <v>Allen</v>
      </c>
      <c r="AT295" s="66" t="b">
        <f t="shared" si="55"/>
        <v>1</v>
      </c>
      <c r="AU295" s="66" t="str">
        <f>'St of Activities - GA Exp'!C295</f>
        <v>Allen</v>
      </c>
      <c r="AV295" s="86"/>
      <c r="AW295" s="66" t="b">
        <f t="shared" si="58"/>
        <v>1</v>
      </c>
    </row>
    <row r="296" spans="1:49">
      <c r="A296" s="11" t="s">
        <v>557</v>
      </c>
      <c r="B296" s="11"/>
      <c r="C296" s="11" t="s">
        <v>67</v>
      </c>
      <c r="D296" s="11"/>
      <c r="E296" s="29">
        <v>50369</v>
      </c>
      <c r="G296" s="7">
        <f t="shared" si="61"/>
        <v>15302032</v>
      </c>
      <c r="I296" s="7">
        <v>23924886</v>
      </c>
      <c r="K296" s="7">
        <v>39226918</v>
      </c>
      <c r="M296" s="7">
        <f t="shared" si="59"/>
        <v>3570190</v>
      </c>
      <c r="O296" s="7">
        <v>429362</v>
      </c>
      <c r="Q296" s="7">
        <f>12204600-429362</f>
        <v>11775238</v>
      </c>
      <c r="S296" s="7">
        <v>15774790</v>
      </c>
      <c r="U296" s="7">
        <v>12861734</v>
      </c>
      <c r="W296" s="7">
        <f t="shared" si="63"/>
        <v>1859116</v>
      </c>
      <c r="Y296" s="7">
        <v>8731278</v>
      </c>
      <c r="AA296" s="7">
        <v>23452128</v>
      </c>
      <c r="AB296" s="7">
        <f t="shared" si="62"/>
        <v>0</v>
      </c>
      <c r="AD296" s="32">
        <f t="shared" si="60"/>
        <v>0</v>
      </c>
      <c r="AF296" s="32"/>
      <c r="AH296" s="32" t="str">
        <f>'St of Activites - GA Rev'!A296</f>
        <v>Lincolnview Local SD</v>
      </c>
      <c r="AI296" s="32" t="str">
        <f t="shared" si="53"/>
        <v>Lincolnview Local SD</v>
      </c>
      <c r="AJ296" s="32" t="b">
        <f t="shared" si="54"/>
        <v>1</v>
      </c>
      <c r="AL296" s="32" t="str">
        <f>'St of Activities - GA Exp'!A296</f>
        <v>Lincolnview Local SD</v>
      </c>
      <c r="AN296" s="32" t="b">
        <f t="shared" si="56"/>
        <v>1</v>
      </c>
      <c r="AR296" s="32" t="str">
        <f t="shared" si="57"/>
        <v>Van Wert</v>
      </c>
      <c r="AS296" s="32" t="str">
        <f>'St of Activites - GA Rev'!C296</f>
        <v>Van Wert</v>
      </c>
      <c r="AT296" s="32" t="b">
        <f t="shared" si="55"/>
        <v>1</v>
      </c>
      <c r="AU296" s="32" t="str">
        <f>'St of Activities - GA Exp'!C296</f>
        <v>Van Wert</v>
      </c>
      <c r="AV296" s="56"/>
      <c r="AW296" s="32" t="b">
        <f t="shared" si="58"/>
        <v>1</v>
      </c>
    </row>
    <row r="297" spans="1:49">
      <c r="A297" s="11" t="s">
        <v>875</v>
      </c>
      <c r="B297" s="11"/>
      <c r="C297" s="11" t="s">
        <v>112</v>
      </c>
      <c r="D297" s="11"/>
      <c r="E297" s="29">
        <v>45450</v>
      </c>
      <c r="G297" s="7">
        <f t="shared" si="61"/>
        <v>7783508</v>
      </c>
      <c r="I297" s="7">
        <f>870749+20818711</f>
        <v>21689460</v>
      </c>
      <c r="K297" s="7">
        <v>29472968</v>
      </c>
      <c r="M297" s="7">
        <f t="shared" si="59"/>
        <v>2904515</v>
      </c>
      <c r="O297" s="7">
        <v>289227</v>
      </c>
      <c r="Q297" s="7">
        <f>6671319-289227</f>
        <v>6382092</v>
      </c>
      <c r="S297" s="7">
        <v>9575834</v>
      </c>
      <c r="U297" s="7">
        <v>15657095</v>
      </c>
      <c r="W297" s="7">
        <f t="shared" si="63"/>
        <v>1257903</v>
      </c>
      <c r="Y297" s="7">
        <v>2982136</v>
      </c>
      <c r="AA297" s="7">
        <v>19897134</v>
      </c>
      <c r="AB297" s="7">
        <f t="shared" si="62"/>
        <v>0</v>
      </c>
      <c r="AD297" s="32">
        <f t="shared" si="60"/>
        <v>0</v>
      </c>
      <c r="AF297" s="32"/>
      <c r="AH297" s="32" t="str">
        <f>'St of Activites - GA Rev'!A297</f>
        <v>Lisbon Exempted Village SD</v>
      </c>
      <c r="AI297" s="32" t="str">
        <f t="shared" si="53"/>
        <v>Lisbon Exempted Village SD</v>
      </c>
      <c r="AJ297" s="32" t="b">
        <f t="shared" si="54"/>
        <v>1</v>
      </c>
      <c r="AL297" s="32" t="str">
        <f>'St of Activities - GA Exp'!A297</f>
        <v>Lisbon Exempted Village SD</v>
      </c>
      <c r="AN297" s="32" t="b">
        <f t="shared" si="56"/>
        <v>1</v>
      </c>
      <c r="AR297" s="32" t="str">
        <f t="shared" si="57"/>
        <v>Columbiana</v>
      </c>
      <c r="AS297" s="32" t="str">
        <f>'St of Activites - GA Rev'!C297</f>
        <v>Columbiana</v>
      </c>
      <c r="AT297" s="32" t="b">
        <f t="shared" si="55"/>
        <v>1</v>
      </c>
      <c r="AU297" s="32" t="str">
        <f>'St of Activities - GA Exp'!C297</f>
        <v>Columbiana</v>
      </c>
      <c r="AV297" s="56"/>
      <c r="AW297" s="32" t="b">
        <f t="shared" si="58"/>
        <v>1</v>
      </c>
    </row>
    <row r="298" spans="1:49">
      <c r="A298" s="12" t="s">
        <v>562</v>
      </c>
      <c r="B298" s="12"/>
      <c r="C298" s="12" t="s">
        <v>69</v>
      </c>
      <c r="D298" s="12"/>
      <c r="E298" s="29">
        <v>50443</v>
      </c>
      <c r="G298" s="7">
        <f t="shared" si="61"/>
        <v>33394854</v>
      </c>
      <c r="I298" s="7">
        <f>2538132+71334826</f>
        <v>73872958</v>
      </c>
      <c r="K298" s="7">
        <v>107267812</v>
      </c>
      <c r="M298" s="7">
        <f t="shared" si="59"/>
        <v>31670426</v>
      </c>
      <c r="O298" s="7">
        <v>2848927</v>
      </c>
      <c r="Q298" s="7">
        <f>78075683-2848927</f>
        <v>75226756</v>
      </c>
      <c r="S298" s="7">
        <v>109746109</v>
      </c>
      <c r="U298" s="7">
        <v>1607085</v>
      </c>
      <c r="W298" s="7">
        <f>AA298-Y298-U298</f>
        <v>6650878</v>
      </c>
      <c r="Y298" s="7">
        <v>-10736260</v>
      </c>
      <c r="AA298" s="7">
        <v>-2478297</v>
      </c>
      <c r="AB298" s="7">
        <f t="shared" si="62"/>
        <v>0</v>
      </c>
      <c r="AD298" s="32">
        <f t="shared" si="60"/>
        <v>0</v>
      </c>
      <c r="AE298" s="84"/>
      <c r="AF298" s="32"/>
      <c r="AH298" s="32" t="str">
        <f>'St of Activites - GA Rev'!A298</f>
        <v>Little Miami Local SD</v>
      </c>
      <c r="AI298" s="32" t="str">
        <f t="shared" si="53"/>
        <v>Little Miami Local SD</v>
      </c>
      <c r="AJ298" s="32" t="b">
        <f t="shared" si="54"/>
        <v>1</v>
      </c>
      <c r="AL298" s="32" t="str">
        <f>'St of Activities - GA Exp'!A298</f>
        <v>Little Miami Local SD</v>
      </c>
      <c r="AN298" s="32" t="b">
        <f t="shared" si="56"/>
        <v>1</v>
      </c>
      <c r="AR298" s="32" t="str">
        <f t="shared" si="57"/>
        <v>Warren</v>
      </c>
      <c r="AS298" s="32" t="str">
        <f>'St of Activites - GA Rev'!C298</f>
        <v>Warren</v>
      </c>
      <c r="AT298" s="32" t="b">
        <f t="shared" si="55"/>
        <v>1</v>
      </c>
      <c r="AU298" s="32" t="str">
        <f>'St of Activities - GA Exp'!C298</f>
        <v>Warren</v>
      </c>
      <c r="AV298" s="56"/>
      <c r="AW298" s="32" t="b">
        <f t="shared" si="58"/>
        <v>1</v>
      </c>
    </row>
    <row r="299" spans="1:49" s="65" customFormat="1" hidden="1">
      <c r="A299" s="62" t="s">
        <v>922</v>
      </c>
      <c r="B299" s="62"/>
      <c r="C299" s="62" t="s">
        <v>32</v>
      </c>
      <c r="D299" s="62"/>
      <c r="E299" s="64">
        <v>44230</v>
      </c>
      <c r="G299" s="65">
        <f t="shared" si="61"/>
        <v>0</v>
      </c>
      <c r="M299" s="65">
        <f t="shared" si="59"/>
        <v>0</v>
      </c>
      <c r="W299" s="65">
        <f t="shared" ref="W299:W303" si="64">AA299-Y299-U299</f>
        <v>0</v>
      </c>
      <c r="AB299" s="65">
        <f t="shared" si="62"/>
        <v>0</v>
      </c>
      <c r="AD299" s="66">
        <f t="shared" si="60"/>
        <v>0</v>
      </c>
      <c r="AE299" s="7" t="s">
        <v>839</v>
      </c>
      <c r="AF299" s="66"/>
      <c r="AH299" s="66" t="str">
        <f>'St of Activites - GA Rev'!A299</f>
        <v>Lockland Local SD (CASH)</v>
      </c>
      <c r="AI299" s="66" t="str">
        <f t="shared" si="53"/>
        <v>Lockland Local SD (CASH)</v>
      </c>
      <c r="AJ299" s="66" t="b">
        <f t="shared" si="54"/>
        <v>1</v>
      </c>
      <c r="AL299" s="66" t="str">
        <f>'St of Activities - GA Exp'!A299</f>
        <v>Lockland Local SD (CASH)</v>
      </c>
      <c r="AN299" s="66" t="b">
        <f t="shared" si="56"/>
        <v>1</v>
      </c>
      <c r="AR299" s="66" t="str">
        <f t="shared" si="57"/>
        <v>Hamilton</v>
      </c>
      <c r="AS299" s="66" t="str">
        <f>'St of Activites - GA Rev'!C299</f>
        <v>Hamilton</v>
      </c>
      <c r="AT299" s="66" t="b">
        <f t="shared" si="55"/>
        <v>1</v>
      </c>
      <c r="AU299" s="66" t="str">
        <f>'St of Activities - GA Exp'!C299</f>
        <v>Hamilton</v>
      </c>
      <c r="AV299" s="86"/>
      <c r="AW299" s="66" t="b">
        <f t="shared" si="58"/>
        <v>1</v>
      </c>
    </row>
    <row r="300" spans="1:49">
      <c r="A300" s="11" t="s">
        <v>468</v>
      </c>
      <c r="B300" s="11"/>
      <c r="C300" s="11" t="s">
        <v>54</v>
      </c>
      <c r="D300" s="11"/>
      <c r="E300" s="29">
        <v>49080</v>
      </c>
      <c r="G300" s="7">
        <f t="shared" ref="G300:G310" si="65">+K300-I300</f>
        <v>16901251</v>
      </c>
      <c r="I300" s="7">
        <v>4005267</v>
      </c>
      <c r="K300" s="7">
        <v>20906518</v>
      </c>
      <c r="M300" s="7">
        <f t="shared" si="59"/>
        <v>7329314</v>
      </c>
      <c r="O300" s="7">
        <v>105000</v>
      </c>
      <c r="Q300" s="7">
        <f>1255285-105000</f>
        <v>1150285</v>
      </c>
      <c r="S300" s="7">
        <v>8584599</v>
      </c>
      <c r="U300" s="7">
        <v>4005267</v>
      </c>
      <c r="W300" s="7">
        <f t="shared" si="64"/>
        <v>773284</v>
      </c>
      <c r="Y300" s="7">
        <v>7543368</v>
      </c>
      <c r="AA300" s="7">
        <v>12321919</v>
      </c>
      <c r="AB300" s="7">
        <f t="shared" si="62"/>
        <v>0</v>
      </c>
      <c r="AD300" s="32">
        <f t="shared" si="60"/>
        <v>0</v>
      </c>
      <c r="AF300" s="32"/>
      <c r="AH300" s="32" t="str">
        <f>'St of Activites - GA Rev'!A300</f>
        <v>Logan Elm Local SD</v>
      </c>
      <c r="AI300" s="32" t="str">
        <f t="shared" si="53"/>
        <v>Logan Elm Local SD</v>
      </c>
      <c r="AJ300" s="32" t="b">
        <f t="shared" si="54"/>
        <v>1</v>
      </c>
      <c r="AL300" s="32" t="str">
        <f>'St of Activities - GA Exp'!A300</f>
        <v>Logan Elm Local SD</v>
      </c>
      <c r="AN300" s="32" t="b">
        <f t="shared" si="56"/>
        <v>1</v>
      </c>
      <c r="AR300" s="32" t="str">
        <f t="shared" si="57"/>
        <v>Pickaway</v>
      </c>
      <c r="AS300" s="32" t="str">
        <f>'St of Activites - GA Rev'!C300</f>
        <v>Pickaway</v>
      </c>
      <c r="AT300" s="32" t="b">
        <f t="shared" si="55"/>
        <v>1</v>
      </c>
      <c r="AU300" s="32" t="str">
        <f>'St of Activities - GA Exp'!C300</f>
        <v>Pickaway</v>
      </c>
      <c r="AV300" s="56"/>
      <c r="AW300" s="32" t="b">
        <f t="shared" si="58"/>
        <v>1</v>
      </c>
    </row>
    <row r="301" spans="1:49">
      <c r="A301" s="11" t="s">
        <v>362</v>
      </c>
      <c r="B301" s="11"/>
      <c r="C301" s="11" t="s">
        <v>35</v>
      </c>
      <c r="D301" s="11"/>
      <c r="E301" s="29">
        <v>44248</v>
      </c>
      <c r="G301" s="7">
        <f t="shared" si="65"/>
        <v>35111859</v>
      </c>
      <c r="I301" s="7">
        <v>105586799</v>
      </c>
      <c r="K301" s="7">
        <v>140698658</v>
      </c>
      <c r="M301" s="7">
        <f t="shared" si="59"/>
        <v>15208314</v>
      </c>
      <c r="O301" s="7">
        <v>2586604</v>
      </c>
      <c r="Q301" s="7">
        <f>26650168-2586604</f>
        <v>24063564</v>
      </c>
      <c r="S301" s="7">
        <v>41858482</v>
      </c>
      <c r="U301" s="7">
        <v>85867219</v>
      </c>
      <c r="W301" s="7">
        <f t="shared" si="64"/>
        <v>10485513</v>
      </c>
      <c r="Y301" s="7">
        <v>2487444</v>
      </c>
      <c r="AA301" s="7">
        <v>98840176</v>
      </c>
      <c r="AB301" s="7">
        <f t="shared" si="62"/>
        <v>0</v>
      </c>
      <c r="AD301" s="32">
        <f t="shared" si="60"/>
        <v>0</v>
      </c>
      <c r="AF301" s="32"/>
      <c r="AH301" s="32" t="str">
        <f>'St of Activites - GA Rev'!A301</f>
        <v>Logan-Hocking Local SD</v>
      </c>
      <c r="AI301" s="32" t="str">
        <f t="shared" si="53"/>
        <v>Logan-Hocking Local SD</v>
      </c>
      <c r="AJ301" s="32" t="b">
        <f t="shared" si="54"/>
        <v>1</v>
      </c>
      <c r="AL301" s="32" t="str">
        <f>'St of Activities - GA Exp'!A301</f>
        <v>Logan-Hocking Local SD</v>
      </c>
      <c r="AN301" s="32" t="b">
        <f t="shared" si="56"/>
        <v>1</v>
      </c>
      <c r="AR301" s="32" t="str">
        <f t="shared" si="57"/>
        <v>Hocking</v>
      </c>
      <c r="AS301" s="32" t="str">
        <f>'St of Activites - GA Rev'!C301</f>
        <v>Hocking</v>
      </c>
      <c r="AT301" s="32" t="b">
        <f t="shared" si="55"/>
        <v>1</v>
      </c>
      <c r="AU301" s="32" t="str">
        <f>'St of Activities - GA Exp'!C301</f>
        <v>Hocking</v>
      </c>
      <c r="AV301" s="56"/>
      <c r="AW301" s="32" t="b">
        <f t="shared" si="58"/>
        <v>1</v>
      </c>
    </row>
    <row r="302" spans="1:49">
      <c r="A302" s="11" t="s">
        <v>413</v>
      </c>
      <c r="B302" s="11"/>
      <c r="C302" s="11" t="s">
        <v>411</v>
      </c>
      <c r="D302" s="11"/>
      <c r="E302" s="29">
        <v>44255</v>
      </c>
      <c r="G302" s="7">
        <f t="shared" si="65"/>
        <v>21752950</v>
      </c>
      <c r="I302" s="7">
        <f>721430+16831346+34002408</f>
        <v>51555184</v>
      </c>
      <c r="K302" s="7">
        <v>73308134</v>
      </c>
      <c r="M302" s="7">
        <f t="shared" si="59"/>
        <v>10439004</v>
      </c>
      <c r="O302" s="7">
        <v>2211673</v>
      </c>
      <c r="Q302" s="7">
        <f>23572050-2211673</f>
        <v>21360377</v>
      </c>
      <c r="S302" s="7">
        <v>34011054</v>
      </c>
      <c r="U302" s="7">
        <v>30563602</v>
      </c>
      <c r="W302" s="7">
        <f t="shared" si="64"/>
        <v>7883968</v>
      </c>
      <c r="Y302" s="7">
        <v>849510</v>
      </c>
      <c r="AA302" s="7">
        <v>39297080</v>
      </c>
      <c r="AB302" s="7">
        <f t="shared" si="62"/>
        <v>0</v>
      </c>
      <c r="AD302" s="32">
        <f t="shared" si="60"/>
        <v>0</v>
      </c>
      <c r="AF302" s="32"/>
      <c r="AH302" s="32" t="str">
        <f>'St of Activites - GA Rev'!A302</f>
        <v>London City SD</v>
      </c>
      <c r="AI302" s="32" t="str">
        <f t="shared" si="53"/>
        <v>London City SD</v>
      </c>
      <c r="AJ302" s="32" t="b">
        <f t="shared" si="54"/>
        <v>1</v>
      </c>
      <c r="AL302" s="32" t="str">
        <f>'St of Activities - GA Exp'!A302</f>
        <v>London City SD</v>
      </c>
      <c r="AN302" s="32" t="b">
        <f t="shared" si="56"/>
        <v>1</v>
      </c>
      <c r="AR302" s="32" t="str">
        <f t="shared" si="57"/>
        <v>Madison</v>
      </c>
      <c r="AS302" s="32" t="str">
        <f>'St of Activites - GA Rev'!C302</f>
        <v>Madison</v>
      </c>
      <c r="AT302" s="32" t="b">
        <f t="shared" si="55"/>
        <v>1</v>
      </c>
      <c r="AU302" s="32" t="str">
        <f>'St of Activities - GA Exp'!C302</f>
        <v>Madison</v>
      </c>
      <c r="AV302" s="56"/>
      <c r="AW302" s="32" t="b">
        <f t="shared" si="58"/>
        <v>1</v>
      </c>
    </row>
    <row r="303" spans="1:49">
      <c r="A303" s="11" t="s">
        <v>398</v>
      </c>
      <c r="B303" s="11"/>
      <c r="C303" s="11" t="s">
        <v>44</v>
      </c>
      <c r="D303" s="11"/>
      <c r="E303" s="29">
        <v>44263</v>
      </c>
      <c r="G303" s="7">
        <f>+K303-I303</f>
        <v>153137521</v>
      </c>
      <c r="I303" s="7">
        <f>32023538+90266116</f>
        <v>122289654</v>
      </c>
      <c r="K303" s="7">
        <v>275427175</v>
      </c>
      <c r="M303" s="7">
        <f t="shared" si="59"/>
        <v>40270481</v>
      </c>
      <c r="O303" s="7">
        <v>4352103</v>
      </c>
      <c r="Q303" s="7">
        <f>50242648-4352103</f>
        <v>45890545</v>
      </c>
      <c r="S303" s="7">
        <v>90513129</v>
      </c>
      <c r="U303" s="7">
        <v>85978758</v>
      </c>
      <c r="W303" s="7">
        <f t="shared" si="64"/>
        <v>106061624</v>
      </c>
      <c r="Y303" s="7">
        <v>-7126336</v>
      </c>
      <c r="AA303" s="7">
        <v>184914046</v>
      </c>
      <c r="AB303" s="7">
        <f t="shared" si="62"/>
        <v>0</v>
      </c>
      <c r="AD303" s="32">
        <f t="shared" si="60"/>
        <v>0</v>
      </c>
      <c r="AE303" s="84"/>
      <c r="AF303" s="32"/>
      <c r="AH303" s="32" t="str">
        <f>'St of Activites - GA Rev'!A303</f>
        <v>Lorain City SD</v>
      </c>
      <c r="AI303" s="32" t="str">
        <f t="shared" si="53"/>
        <v>Lorain City SD</v>
      </c>
      <c r="AJ303" s="32" t="b">
        <f t="shared" si="54"/>
        <v>1</v>
      </c>
      <c r="AL303" s="32" t="str">
        <f>'St of Activities - GA Exp'!A303</f>
        <v>Lorain City SD</v>
      </c>
      <c r="AN303" s="32" t="b">
        <f t="shared" si="56"/>
        <v>1</v>
      </c>
      <c r="AR303" s="32" t="str">
        <f t="shared" si="57"/>
        <v>Lorain</v>
      </c>
      <c r="AS303" s="32" t="str">
        <f>'St of Activites - GA Rev'!C303</f>
        <v>Lorain</v>
      </c>
      <c r="AT303" s="32" t="b">
        <f t="shared" si="55"/>
        <v>1</v>
      </c>
      <c r="AU303" s="32" t="str">
        <f>'St of Activities - GA Exp'!C303</f>
        <v>Lorain</v>
      </c>
      <c r="AV303" s="56"/>
      <c r="AW303" s="32" t="b">
        <f t="shared" si="58"/>
        <v>1</v>
      </c>
    </row>
    <row r="304" spans="1:49">
      <c r="A304" s="11" t="s">
        <v>543</v>
      </c>
      <c r="B304" s="11"/>
      <c r="C304" s="11" t="s">
        <v>64</v>
      </c>
      <c r="D304" s="11"/>
      <c r="E304" s="29">
        <v>50203</v>
      </c>
      <c r="G304" s="7">
        <f t="shared" si="65"/>
        <v>5970895</v>
      </c>
      <c r="I304" s="7">
        <v>5023310</v>
      </c>
      <c r="K304" s="7">
        <v>10994205</v>
      </c>
      <c r="M304" s="7">
        <f t="shared" si="59"/>
        <v>4541360</v>
      </c>
      <c r="O304" s="7">
        <v>195755</v>
      </c>
      <c r="Q304" s="7">
        <f>2764520-195755</f>
        <v>2568765</v>
      </c>
      <c r="S304" s="7">
        <v>7305880</v>
      </c>
      <c r="U304" s="7">
        <v>2689910</v>
      </c>
      <c r="W304" s="7">
        <f t="shared" ref="W304:W310" si="66">AA304-Y304-U304</f>
        <v>361130</v>
      </c>
      <c r="Y304" s="7">
        <v>637285</v>
      </c>
      <c r="AA304" s="7">
        <v>3688325</v>
      </c>
      <c r="AB304" s="7">
        <f t="shared" si="62"/>
        <v>0</v>
      </c>
      <c r="AD304" s="32">
        <f t="shared" si="60"/>
        <v>0</v>
      </c>
      <c r="AF304" s="32"/>
      <c r="AH304" s="32" t="str">
        <f>'St of Activites - GA Rev'!A304</f>
        <v>Lordstown Local SD</v>
      </c>
      <c r="AI304" s="32" t="str">
        <f t="shared" si="53"/>
        <v>Lordstown Local SD</v>
      </c>
      <c r="AJ304" s="32" t="b">
        <f t="shared" si="54"/>
        <v>1</v>
      </c>
      <c r="AL304" s="32" t="str">
        <f>'St of Activities - GA Exp'!A304</f>
        <v>Lordstown Local SD</v>
      </c>
      <c r="AN304" s="32" t="b">
        <f t="shared" si="56"/>
        <v>1</v>
      </c>
      <c r="AR304" s="32" t="str">
        <f t="shared" si="57"/>
        <v>Trumbull</v>
      </c>
      <c r="AS304" s="32" t="str">
        <f>'St of Activites - GA Rev'!C304</f>
        <v>Trumbull</v>
      </c>
      <c r="AT304" s="32" t="b">
        <f t="shared" si="55"/>
        <v>1</v>
      </c>
      <c r="AU304" s="32" t="str">
        <f>'St of Activities - GA Exp'!C304</f>
        <v>Trumbull</v>
      </c>
      <c r="AV304" s="56"/>
      <c r="AW304" s="32" t="b">
        <f t="shared" si="58"/>
        <v>1</v>
      </c>
    </row>
    <row r="305" spans="1:49">
      <c r="A305" s="11" t="s">
        <v>719</v>
      </c>
      <c r="B305" s="11"/>
      <c r="C305" s="11" t="s">
        <v>11</v>
      </c>
      <c r="D305" s="11"/>
      <c r="E305" s="29">
        <v>45468</v>
      </c>
      <c r="F305" s="10"/>
      <c r="G305" s="7">
        <f t="shared" si="65"/>
        <v>10506791</v>
      </c>
      <c r="I305" s="7">
        <v>3750180</v>
      </c>
      <c r="K305" s="7">
        <v>14256971</v>
      </c>
      <c r="M305" s="7">
        <f t="shared" si="59"/>
        <v>4766527</v>
      </c>
      <c r="O305" s="7">
        <v>369073</v>
      </c>
      <c r="Q305" s="7">
        <f>2608047-369073</f>
        <v>2238974</v>
      </c>
      <c r="S305" s="7">
        <v>7374574</v>
      </c>
      <c r="U305" s="7">
        <v>2680961</v>
      </c>
      <c r="W305" s="7">
        <f t="shared" si="66"/>
        <v>392789</v>
      </c>
      <c r="Y305" s="7">
        <v>3808647</v>
      </c>
      <c r="AA305" s="7">
        <v>6882397</v>
      </c>
      <c r="AB305" s="7">
        <f t="shared" si="62"/>
        <v>0</v>
      </c>
      <c r="AD305" s="32">
        <f t="shared" si="60"/>
        <v>0</v>
      </c>
      <c r="AE305" s="7" t="s">
        <v>914</v>
      </c>
      <c r="AF305" s="32"/>
      <c r="AH305" s="32" t="str">
        <f>'St of Activites - GA Rev'!A305</f>
        <v>Loudonville-Perrysville Exempted Village SD</v>
      </c>
      <c r="AI305" s="32" t="str">
        <f t="shared" si="53"/>
        <v>Loudonville-Perrysville Exempted Village SD</v>
      </c>
      <c r="AJ305" s="32" t="b">
        <f t="shared" si="54"/>
        <v>1</v>
      </c>
      <c r="AL305" s="32" t="str">
        <f>'St of Activities - GA Exp'!A305</f>
        <v>Loudonville-Perrysville Exempted Village SD</v>
      </c>
      <c r="AN305" s="32" t="b">
        <f t="shared" si="56"/>
        <v>1</v>
      </c>
      <c r="AR305" s="32" t="str">
        <f t="shared" si="57"/>
        <v>Ashland</v>
      </c>
      <c r="AS305" s="32" t="str">
        <f>'St of Activites - GA Rev'!C305</f>
        <v>Ashland</v>
      </c>
      <c r="AT305" s="32" t="b">
        <f t="shared" si="55"/>
        <v>1</v>
      </c>
      <c r="AU305" s="32" t="str">
        <f>'St of Activities - GA Exp'!C305</f>
        <v>Ashland</v>
      </c>
      <c r="AV305" s="56"/>
      <c r="AW305" s="32" t="b">
        <f t="shared" si="58"/>
        <v>1</v>
      </c>
    </row>
    <row r="306" spans="1:49">
      <c r="A306" s="11" t="s">
        <v>514</v>
      </c>
      <c r="B306" s="11"/>
      <c r="C306" s="11" t="s">
        <v>62</v>
      </c>
      <c r="D306" s="11"/>
      <c r="E306" s="29">
        <v>49874</v>
      </c>
      <c r="G306" s="7">
        <f t="shared" si="65"/>
        <v>41295093</v>
      </c>
      <c r="I306" s="7">
        <f>25840787+28444004</f>
        <v>54284791</v>
      </c>
      <c r="K306" s="7">
        <v>95579884</v>
      </c>
      <c r="M306" s="7">
        <f t="shared" si="59"/>
        <v>13956851</v>
      </c>
      <c r="O306" s="7">
        <v>1309509</v>
      </c>
      <c r="Q306" s="7">
        <f>33698343-1309509</f>
        <v>32388834</v>
      </c>
      <c r="S306" s="7">
        <v>47655194</v>
      </c>
      <c r="U306" s="7">
        <v>30729799</v>
      </c>
      <c r="W306" s="7">
        <f t="shared" si="66"/>
        <v>17013460</v>
      </c>
      <c r="Y306" s="7">
        <v>181431</v>
      </c>
      <c r="AA306" s="7">
        <v>47924690</v>
      </c>
      <c r="AB306" s="7">
        <f t="shared" si="62"/>
        <v>0</v>
      </c>
      <c r="AD306" s="32">
        <f t="shared" si="60"/>
        <v>0</v>
      </c>
      <c r="AE306" s="7" t="s">
        <v>923</v>
      </c>
      <c r="AF306" s="32"/>
      <c r="AH306" s="32" t="str">
        <f>'St of Activites - GA Rev'!A306</f>
        <v>Louisville City SD</v>
      </c>
      <c r="AI306" s="32" t="str">
        <f t="shared" si="53"/>
        <v>Louisville City SD</v>
      </c>
      <c r="AJ306" s="32" t="b">
        <f t="shared" si="54"/>
        <v>1</v>
      </c>
      <c r="AL306" s="32" t="str">
        <f>'St of Activities - GA Exp'!A306</f>
        <v>Louisville City SD</v>
      </c>
      <c r="AN306" s="32" t="b">
        <f t="shared" si="56"/>
        <v>1</v>
      </c>
      <c r="AR306" s="32" t="str">
        <f t="shared" si="57"/>
        <v>Stark</v>
      </c>
      <c r="AS306" s="32" t="str">
        <f>'St of Activites - GA Rev'!C306</f>
        <v>Stark</v>
      </c>
      <c r="AT306" s="32" t="b">
        <f t="shared" si="55"/>
        <v>1</v>
      </c>
      <c r="AU306" s="32" t="str">
        <f>'St of Activities - GA Exp'!C306</f>
        <v>Stark</v>
      </c>
      <c r="AV306" s="56"/>
      <c r="AW306" s="32" t="b">
        <f t="shared" si="58"/>
        <v>1</v>
      </c>
    </row>
    <row r="307" spans="1:49">
      <c r="A307" s="11" t="s">
        <v>332</v>
      </c>
      <c r="B307" s="11"/>
      <c r="C307" s="11" t="s">
        <v>32</v>
      </c>
      <c r="D307" s="11"/>
      <c r="E307" s="29">
        <v>44271</v>
      </c>
      <c r="F307" s="32"/>
      <c r="G307" s="7">
        <f>+K307-I307</f>
        <v>43142514</v>
      </c>
      <c r="I307" s="7">
        <f>6676429+44109446</f>
        <v>50785875</v>
      </c>
      <c r="K307" s="7">
        <v>93928389</v>
      </c>
      <c r="M307" s="7">
        <f t="shared" si="59"/>
        <v>30926516</v>
      </c>
      <c r="O307" s="7">
        <v>1695347</v>
      </c>
      <c r="Q307" s="7">
        <f>26872657-1695347</f>
        <v>25177310</v>
      </c>
      <c r="S307" s="7">
        <v>57799173</v>
      </c>
      <c r="U307" s="7">
        <v>21995625</v>
      </c>
      <c r="W307" s="7">
        <f t="shared" si="66"/>
        <v>3115699</v>
      </c>
      <c r="Y307" s="7">
        <v>11017892</v>
      </c>
      <c r="AA307" s="7">
        <v>36129216</v>
      </c>
      <c r="AB307" s="7">
        <f t="shared" si="62"/>
        <v>0</v>
      </c>
      <c r="AD307" s="32">
        <f t="shared" si="60"/>
        <v>0</v>
      </c>
      <c r="AF307" s="32"/>
      <c r="AH307" s="32" t="str">
        <f>'St of Activites - GA Rev'!A307</f>
        <v>Loveland City SD</v>
      </c>
      <c r="AI307" s="32" t="str">
        <f t="shared" si="53"/>
        <v>Loveland City SD</v>
      </c>
      <c r="AJ307" s="32" t="b">
        <f t="shared" si="54"/>
        <v>1</v>
      </c>
      <c r="AL307" s="32" t="str">
        <f>'St of Activities - GA Exp'!A307</f>
        <v>Loveland City SD</v>
      </c>
      <c r="AN307" s="32" t="b">
        <f t="shared" si="56"/>
        <v>1</v>
      </c>
      <c r="AR307" s="32" t="str">
        <f t="shared" si="57"/>
        <v>Hamilton</v>
      </c>
      <c r="AS307" s="32" t="str">
        <f>'St of Activites - GA Rev'!C307</f>
        <v>Hamilton</v>
      </c>
      <c r="AT307" s="32" t="b">
        <f t="shared" si="55"/>
        <v>1</v>
      </c>
      <c r="AU307" s="32" t="str">
        <f>'St of Activities - GA Exp'!C307</f>
        <v>Hamilton</v>
      </c>
      <c r="AV307" s="56"/>
      <c r="AW307" s="32" t="b">
        <f t="shared" si="58"/>
        <v>1</v>
      </c>
    </row>
    <row r="308" spans="1:49">
      <c r="A308" s="11" t="s">
        <v>720</v>
      </c>
      <c r="B308" s="11"/>
      <c r="C308" s="11" t="s">
        <v>45</v>
      </c>
      <c r="D308" s="11"/>
      <c r="E308" s="29">
        <v>48330</v>
      </c>
      <c r="G308" s="7">
        <f t="shared" si="65"/>
        <v>5783977</v>
      </c>
      <c r="I308" s="7">
        <v>12285383</v>
      </c>
      <c r="K308" s="7">
        <v>18069360</v>
      </c>
      <c r="M308" s="7">
        <f t="shared" si="59"/>
        <v>1596036</v>
      </c>
      <c r="O308" s="7">
        <v>138251</v>
      </c>
      <c r="Q308" s="7">
        <f>1969558-138251</f>
        <v>1831307</v>
      </c>
      <c r="S308" s="7">
        <v>3565594</v>
      </c>
      <c r="U308" s="7">
        <v>10672447</v>
      </c>
      <c r="W308" s="7">
        <f t="shared" si="66"/>
        <v>1820810</v>
      </c>
      <c r="Y308" s="7">
        <v>2010509</v>
      </c>
      <c r="AA308" s="7">
        <v>14503766</v>
      </c>
      <c r="AB308" s="7">
        <f t="shared" si="62"/>
        <v>0</v>
      </c>
      <c r="AD308" s="32">
        <f t="shared" si="60"/>
        <v>0</v>
      </c>
      <c r="AF308" s="32"/>
      <c r="AH308" s="32" t="str">
        <f>'St of Activites - GA Rev'!A308</f>
        <v xml:space="preserve">Lowellville Local SD </v>
      </c>
      <c r="AI308" s="32" t="str">
        <f t="shared" si="53"/>
        <v xml:space="preserve">Lowellville Local SD </v>
      </c>
      <c r="AJ308" s="32" t="b">
        <f t="shared" si="54"/>
        <v>1</v>
      </c>
      <c r="AL308" s="32" t="str">
        <f>'St of Activities - GA Exp'!A308</f>
        <v xml:space="preserve">Lowellville Local SD </v>
      </c>
      <c r="AN308" s="32" t="b">
        <f t="shared" si="56"/>
        <v>1</v>
      </c>
      <c r="AR308" s="32" t="str">
        <f t="shared" si="57"/>
        <v>Mahoning</v>
      </c>
      <c r="AS308" s="32" t="str">
        <f>'St of Activites - GA Rev'!C308</f>
        <v>Mahoning</v>
      </c>
      <c r="AT308" s="32" t="b">
        <f t="shared" si="55"/>
        <v>1</v>
      </c>
      <c r="AU308" s="32" t="str">
        <f>'St of Activities - GA Exp'!C308</f>
        <v>Mahoning</v>
      </c>
      <c r="AV308" s="56"/>
      <c r="AW308" s="32" t="b">
        <f t="shared" si="58"/>
        <v>1</v>
      </c>
    </row>
    <row r="309" spans="1:49">
      <c r="A309" s="11" t="s">
        <v>924</v>
      </c>
      <c r="B309" s="11"/>
      <c r="C309" s="11" t="s">
        <v>110</v>
      </c>
      <c r="D309" s="11"/>
      <c r="E309" s="29">
        <v>49445</v>
      </c>
      <c r="G309" s="7">
        <f>+K309-I309</f>
        <v>6632176</v>
      </c>
      <c r="I309" s="7">
        <v>1628311</v>
      </c>
      <c r="K309" s="7">
        <v>8260487</v>
      </c>
      <c r="M309" s="7">
        <f t="shared" si="59"/>
        <v>2302893</v>
      </c>
      <c r="O309" s="7">
        <v>57906</v>
      </c>
      <c r="Q309" s="7">
        <f>751842-57906</f>
        <v>693936</v>
      </c>
      <c r="S309" s="7">
        <v>3054735</v>
      </c>
      <c r="U309" s="7">
        <v>1075256</v>
      </c>
      <c r="W309" s="7">
        <f t="shared" si="66"/>
        <v>789032</v>
      </c>
      <c r="Y309" s="7">
        <v>3341464</v>
      </c>
      <c r="AA309" s="7">
        <v>5205752</v>
      </c>
      <c r="AB309" s="7">
        <f t="shared" si="62"/>
        <v>0</v>
      </c>
      <c r="AD309" s="32">
        <f t="shared" si="60"/>
        <v>0</v>
      </c>
      <c r="AF309" s="32"/>
      <c r="AH309" s="32" t="str">
        <f>'St of Activites - GA Rev'!A309</f>
        <v>Lucas Local SD</v>
      </c>
      <c r="AI309" s="32" t="str">
        <f t="shared" si="53"/>
        <v>Lucas Local SD</v>
      </c>
      <c r="AJ309" s="32" t="b">
        <f t="shared" si="54"/>
        <v>1</v>
      </c>
      <c r="AL309" s="32" t="str">
        <f>'St of Activities - GA Exp'!A309</f>
        <v>Lucas Local SD</v>
      </c>
      <c r="AN309" s="32" t="b">
        <f t="shared" si="56"/>
        <v>1</v>
      </c>
      <c r="AR309" s="32" t="str">
        <f t="shared" si="57"/>
        <v>Richland</v>
      </c>
      <c r="AS309" s="32" t="str">
        <f>'St of Activites - GA Rev'!C309</f>
        <v>Richland</v>
      </c>
      <c r="AT309" s="32" t="b">
        <f t="shared" si="55"/>
        <v>1</v>
      </c>
      <c r="AU309" s="32" t="str">
        <f>'St of Activities - GA Exp'!C309</f>
        <v>Richland</v>
      </c>
      <c r="AV309" s="56"/>
      <c r="AW309" s="32" t="b">
        <f t="shared" si="58"/>
        <v>1</v>
      </c>
    </row>
    <row r="310" spans="1:49">
      <c r="A310" s="11" t="s">
        <v>361</v>
      </c>
      <c r="B310" s="11"/>
      <c r="C310" s="11" t="s">
        <v>358</v>
      </c>
      <c r="D310" s="11"/>
      <c r="E310" s="29">
        <v>47639</v>
      </c>
      <c r="G310" s="7">
        <f t="shared" si="65"/>
        <v>11805649</v>
      </c>
      <c r="I310" s="7">
        <f>405668+18239333</f>
        <v>18645001</v>
      </c>
      <c r="K310" s="7">
        <v>30450650</v>
      </c>
      <c r="M310" s="7">
        <f t="shared" si="59"/>
        <v>3192481</v>
      </c>
      <c r="O310" s="7">
        <v>152286</v>
      </c>
      <c r="Q310" s="7">
        <f>1967673-152286</f>
        <v>1815387</v>
      </c>
      <c r="S310" s="7">
        <v>5160154</v>
      </c>
      <c r="U310" s="7">
        <v>17314997</v>
      </c>
      <c r="W310" s="7">
        <f t="shared" si="66"/>
        <v>2053868</v>
      </c>
      <c r="Y310" s="7">
        <v>5921631</v>
      </c>
      <c r="AA310" s="7">
        <v>25290496</v>
      </c>
      <c r="AB310" s="7">
        <f t="shared" si="62"/>
        <v>0</v>
      </c>
      <c r="AD310" s="32">
        <f t="shared" si="60"/>
        <v>0</v>
      </c>
      <c r="AE310" s="7" t="s">
        <v>927</v>
      </c>
      <c r="AF310" s="32"/>
      <c r="AH310" s="32" t="str">
        <f>'St of Activites - GA Rev'!A310</f>
        <v>Lynchburg-Clay Local SD</v>
      </c>
      <c r="AI310" s="32" t="str">
        <f t="shared" si="53"/>
        <v>Lynchburg-Clay Local SD</v>
      </c>
      <c r="AJ310" s="32" t="b">
        <f t="shared" si="54"/>
        <v>1</v>
      </c>
      <c r="AL310" s="32" t="str">
        <f>'St of Activities - GA Exp'!A310</f>
        <v>Lynchburg-Clay Local SD</v>
      </c>
      <c r="AN310" s="32" t="b">
        <f t="shared" si="56"/>
        <v>1</v>
      </c>
      <c r="AR310" s="32" t="str">
        <f t="shared" si="57"/>
        <v>Highland</v>
      </c>
      <c r="AS310" s="32" t="str">
        <f>'St of Activites - GA Rev'!C310</f>
        <v>Highland</v>
      </c>
      <c r="AT310" s="32" t="b">
        <f t="shared" si="55"/>
        <v>1</v>
      </c>
      <c r="AU310" s="32" t="str">
        <f>'St of Activities - GA Exp'!C310</f>
        <v>Highland</v>
      </c>
      <c r="AV310" s="56"/>
      <c r="AW310" s="32" t="b">
        <f t="shared" si="58"/>
        <v>1</v>
      </c>
    </row>
    <row r="311" spans="1:49">
      <c r="A311" s="12" t="s">
        <v>750</v>
      </c>
      <c r="B311" s="11"/>
      <c r="C311" s="11" t="s">
        <v>50</v>
      </c>
      <c r="D311" s="11"/>
      <c r="E311" s="29">
        <v>48702</v>
      </c>
      <c r="G311" s="7">
        <f t="shared" ref="G311:G352" si="67">+K311-I311</f>
        <v>27654871</v>
      </c>
      <c r="I311" s="7">
        <f>1068500+76389375</f>
        <v>77457875</v>
      </c>
      <c r="K311" s="7">
        <v>105112746</v>
      </c>
      <c r="M311" s="7">
        <f t="shared" si="59"/>
        <v>13200793</v>
      </c>
      <c r="O311" s="7">
        <v>1565662</v>
      </c>
      <c r="Q311" s="7">
        <f>16143087-1565662</f>
        <v>14577425</v>
      </c>
      <c r="S311" s="7">
        <v>29343880</v>
      </c>
      <c r="U311" s="7">
        <v>6463511</v>
      </c>
      <c r="W311" s="7">
        <f t="shared" ref="W311:W369" si="68">AA311-Y311-U311</f>
        <v>63925379</v>
      </c>
      <c r="Y311" s="7">
        <v>5379976</v>
      </c>
      <c r="AA311" s="7">
        <v>75768866</v>
      </c>
      <c r="AB311" s="7">
        <f t="shared" ref="AB311:AB357" si="69">+K311-S311-AA311</f>
        <v>0</v>
      </c>
      <c r="AD311" s="32">
        <f t="shared" ref="AD311:AD352" si="70">+G311+I311+-M311-O311-U311-W311-Y311-Q311</f>
        <v>0</v>
      </c>
      <c r="AF311" s="32"/>
      <c r="AH311" s="32" t="str">
        <f>'St of Activites - GA Rev'!A311</f>
        <v xml:space="preserve">Mad River Local SD </v>
      </c>
      <c r="AI311" s="32" t="str">
        <f t="shared" si="53"/>
        <v xml:space="preserve">Mad River Local SD </v>
      </c>
      <c r="AJ311" s="32" t="b">
        <f t="shared" si="54"/>
        <v>1</v>
      </c>
      <c r="AL311" s="32" t="str">
        <f>'St of Activities - GA Exp'!A311</f>
        <v xml:space="preserve">Mad River Local SD </v>
      </c>
      <c r="AN311" s="32" t="b">
        <f t="shared" si="56"/>
        <v>1</v>
      </c>
      <c r="AR311" s="32" t="str">
        <f t="shared" si="57"/>
        <v>Montgomery</v>
      </c>
      <c r="AS311" s="32" t="str">
        <f>'St of Activites - GA Rev'!C311</f>
        <v>Montgomery</v>
      </c>
      <c r="AT311" s="32" t="b">
        <f t="shared" si="55"/>
        <v>1</v>
      </c>
      <c r="AU311" s="32" t="str">
        <f>'St of Activities - GA Exp'!C311</f>
        <v>Montgomery</v>
      </c>
      <c r="AV311" s="56"/>
      <c r="AW311" s="32" t="b">
        <f t="shared" si="58"/>
        <v>1</v>
      </c>
    </row>
    <row r="312" spans="1:49">
      <c r="A312" s="11" t="s">
        <v>333</v>
      </c>
      <c r="B312" s="11"/>
      <c r="C312" s="11" t="s">
        <v>32</v>
      </c>
      <c r="D312" s="11"/>
      <c r="E312" s="29">
        <v>44289</v>
      </c>
      <c r="G312" s="7">
        <f t="shared" si="67"/>
        <v>22613382</v>
      </c>
      <c r="I312" s="7">
        <f>963381+29926535</f>
        <v>30889916</v>
      </c>
      <c r="K312" s="7">
        <v>53503298</v>
      </c>
      <c r="M312" s="7">
        <f t="shared" si="59"/>
        <v>10768100</v>
      </c>
      <c r="O312" s="7">
        <v>1672866</v>
      </c>
      <c r="Q312" s="7">
        <f>29400971-1672866</f>
        <v>27728105</v>
      </c>
      <c r="S312" s="7">
        <v>40169071</v>
      </c>
      <c r="U312" s="7">
        <v>3328301</v>
      </c>
      <c r="W312" s="7">
        <f t="shared" si="68"/>
        <v>3549539</v>
      </c>
      <c r="Y312" s="7">
        <v>6456387</v>
      </c>
      <c r="AA312" s="7">
        <v>13334227</v>
      </c>
      <c r="AB312" s="7">
        <f t="shared" si="69"/>
        <v>0</v>
      </c>
      <c r="AD312" s="32">
        <f t="shared" si="70"/>
        <v>0</v>
      </c>
      <c r="AF312" s="32"/>
      <c r="AH312" s="32" t="str">
        <f>'St of Activites - GA Rev'!A312</f>
        <v>Madeira City SD</v>
      </c>
      <c r="AI312" s="32" t="str">
        <f t="shared" si="53"/>
        <v>Madeira City SD</v>
      </c>
      <c r="AJ312" s="32" t="b">
        <f t="shared" si="54"/>
        <v>1</v>
      </c>
      <c r="AL312" s="32" t="str">
        <f>'St of Activities - GA Exp'!A312</f>
        <v>Madeira City SD</v>
      </c>
      <c r="AN312" s="32" t="b">
        <f t="shared" si="56"/>
        <v>1</v>
      </c>
      <c r="AR312" s="32" t="str">
        <f t="shared" si="57"/>
        <v>Hamilton</v>
      </c>
      <c r="AS312" s="32" t="str">
        <f>'St of Activites - GA Rev'!C312</f>
        <v>Hamilton</v>
      </c>
      <c r="AT312" s="32" t="b">
        <f t="shared" si="55"/>
        <v>1</v>
      </c>
      <c r="AU312" s="32" t="str">
        <f>'St of Activities - GA Exp'!C312</f>
        <v>Hamilton</v>
      </c>
      <c r="AV312" s="56"/>
      <c r="AW312" s="32" t="b">
        <f t="shared" si="58"/>
        <v>1</v>
      </c>
    </row>
    <row r="313" spans="1:49">
      <c r="A313" s="11" t="s">
        <v>227</v>
      </c>
      <c r="B313" s="11"/>
      <c r="C313" s="11" t="s">
        <v>223</v>
      </c>
      <c r="D313" s="11"/>
      <c r="E313" s="29">
        <v>46128</v>
      </c>
      <c r="G313" s="7">
        <f t="shared" si="67"/>
        <v>10364884</v>
      </c>
      <c r="I313" s="7">
        <f>19205618+11776052</f>
        <v>30981670</v>
      </c>
      <c r="K313" s="7">
        <v>41346554</v>
      </c>
      <c r="M313" s="7">
        <f t="shared" si="59"/>
        <v>7304310</v>
      </c>
      <c r="O313" s="7">
        <v>331280</v>
      </c>
      <c r="Q313" s="7">
        <f>13839551-331280</f>
        <v>13508271</v>
      </c>
      <c r="S313" s="7">
        <v>21143861</v>
      </c>
      <c r="U313" s="7">
        <v>17402345</v>
      </c>
      <c r="W313" s="7">
        <f t="shared" si="68"/>
        <v>1222255</v>
      </c>
      <c r="Y313" s="7">
        <v>1578093</v>
      </c>
      <c r="AA313" s="7">
        <v>20202693</v>
      </c>
      <c r="AB313" s="7">
        <f>+K313-S313-AA313</f>
        <v>0</v>
      </c>
      <c r="AD313" s="32">
        <f t="shared" si="70"/>
        <v>0</v>
      </c>
      <c r="AF313" s="32"/>
      <c r="AH313" s="32" t="str">
        <f>'St of Activites - GA Rev'!A313</f>
        <v>Madison Local SD</v>
      </c>
      <c r="AI313" s="32" t="str">
        <f t="shared" si="53"/>
        <v>Madison Local SD</v>
      </c>
      <c r="AJ313" s="32" t="b">
        <f t="shared" si="54"/>
        <v>1</v>
      </c>
      <c r="AL313" s="32" t="str">
        <f>'St of Activities - GA Exp'!A313</f>
        <v>Madison Local SD</v>
      </c>
      <c r="AN313" s="32" t="b">
        <f t="shared" si="56"/>
        <v>1</v>
      </c>
      <c r="AR313" s="32" t="str">
        <f t="shared" si="57"/>
        <v>Butler</v>
      </c>
      <c r="AS313" s="32" t="str">
        <f>'St of Activites - GA Rev'!C313</f>
        <v>Butler</v>
      </c>
      <c r="AT313" s="32" t="b">
        <f t="shared" si="55"/>
        <v>1</v>
      </c>
      <c r="AU313" s="32" t="str">
        <f>'St of Activities - GA Exp'!C313</f>
        <v>Butler</v>
      </c>
      <c r="AV313" s="56"/>
      <c r="AW313" s="32" t="b">
        <f t="shared" si="58"/>
        <v>1</v>
      </c>
    </row>
    <row r="314" spans="1:49" s="65" customFormat="1" hidden="1">
      <c r="A314" s="62" t="s">
        <v>772</v>
      </c>
      <c r="B314" s="62"/>
      <c r="C314" s="62" t="s">
        <v>41</v>
      </c>
      <c r="D314" s="62"/>
      <c r="E314" s="64"/>
      <c r="G314" s="65">
        <f t="shared" si="67"/>
        <v>0</v>
      </c>
      <c r="M314" s="65">
        <f t="shared" si="59"/>
        <v>0</v>
      </c>
      <c r="W314" s="65">
        <f t="shared" si="68"/>
        <v>0</v>
      </c>
      <c r="AB314" s="65">
        <f>+K314-S314-AA314</f>
        <v>0</v>
      </c>
      <c r="AD314" s="66">
        <f t="shared" si="70"/>
        <v>0</v>
      </c>
      <c r="AE314" s="65" t="s">
        <v>839</v>
      </c>
      <c r="AF314" s="66"/>
      <c r="AH314" s="66" t="str">
        <f>'St of Activites - GA Rev'!A314</f>
        <v xml:space="preserve">Madison Local SD (CASH)  </v>
      </c>
      <c r="AI314" s="66" t="str">
        <f t="shared" si="53"/>
        <v xml:space="preserve">Madison Local SD (CASH)  </v>
      </c>
      <c r="AJ314" s="66" t="b">
        <f t="shared" si="54"/>
        <v>1</v>
      </c>
      <c r="AL314" s="66" t="str">
        <f>'St of Activities - GA Exp'!A314</f>
        <v xml:space="preserve">Madison Local SD (CASH)  </v>
      </c>
      <c r="AN314" s="66" t="b">
        <f t="shared" si="56"/>
        <v>1</v>
      </c>
      <c r="AR314" s="66" t="str">
        <f t="shared" si="57"/>
        <v>Lake</v>
      </c>
      <c r="AS314" s="66" t="str">
        <f>'St of Activites - GA Rev'!C314</f>
        <v>Lake</v>
      </c>
      <c r="AT314" s="66" t="b">
        <f t="shared" si="55"/>
        <v>1</v>
      </c>
      <c r="AU314" s="66" t="str">
        <f>'St of Activities - GA Exp'!C314</f>
        <v>Lake</v>
      </c>
      <c r="AV314" s="86"/>
      <c r="AW314" s="66" t="b">
        <f t="shared" si="58"/>
        <v>1</v>
      </c>
    </row>
    <row r="315" spans="1:49">
      <c r="A315" s="11" t="s">
        <v>227</v>
      </c>
      <c r="B315" s="11"/>
      <c r="C315" s="11" t="s">
        <v>110</v>
      </c>
      <c r="D315" s="11"/>
      <c r="E315" s="29">
        <v>49452</v>
      </c>
      <c r="G315" s="7">
        <f t="shared" si="67"/>
        <v>62027396</v>
      </c>
      <c r="I315" s="7">
        <v>4882301</v>
      </c>
      <c r="K315" s="7">
        <v>66909697</v>
      </c>
      <c r="M315" s="7">
        <f t="shared" si="59"/>
        <v>11748122</v>
      </c>
      <c r="O315" s="7">
        <v>264584</v>
      </c>
      <c r="Q315" s="7">
        <f>29737328-264584</f>
        <v>29472744</v>
      </c>
      <c r="S315" s="7">
        <v>41485450</v>
      </c>
      <c r="U315" s="7">
        <v>2251585</v>
      </c>
      <c r="W315" s="7">
        <f t="shared" si="68"/>
        <v>12966986</v>
      </c>
      <c r="Y315" s="7">
        <v>10205676</v>
      </c>
      <c r="AA315" s="7">
        <v>25424247</v>
      </c>
      <c r="AB315" s="7">
        <f t="shared" si="69"/>
        <v>0</v>
      </c>
      <c r="AD315" s="32">
        <f t="shared" si="70"/>
        <v>0</v>
      </c>
      <c r="AF315" s="32"/>
      <c r="AH315" s="32" t="str">
        <f>'St of Activites - GA Rev'!A315</f>
        <v>Madison Local SD</v>
      </c>
      <c r="AI315" s="32" t="str">
        <f t="shared" si="53"/>
        <v>Madison Local SD</v>
      </c>
      <c r="AJ315" s="32" t="b">
        <f t="shared" si="54"/>
        <v>1</v>
      </c>
      <c r="AL315" s="32" t="str">
        <f>'St of Activities - GA Exp'!A315</f>
        <v>Madison Local SD</v>
      </c>
      <c r="AN315" s="32" t="b">
        <f t="shared" si="56"/>
        <v>1</v>
      </c>
      <c r="AR315" s="32" t="str">
        <f t="shared" si="57"/>
        <v>Richland</v>
      </c>
      <c r="AS315" s="32" t="str">
        <f>'St of Activites - GA Rev'!C315</f>
        <v>Richland</v>
      </c>
      <c r="AT315" s="32" t="b">
        <f t="shared" si="55"/>
        <v>1</v>
      </c>
      <c r="AU315" s="32" t="str">
        <f>'St of Activities - GA Exp'!C315</f>
        <v>Richland</v>
      </c>
      <c r="AV315" s="56"/>
      <c r="AW315" s="32" t="b">
        <f t="shared" si="58"/>
        <v>1</v>
      </c>
    </row>
    <row r="316" spans="1:49">
      <c r="A316" s="11" t="s">
        <v>730</v>
      </c>
      <c r="B316" s="11"/>
      <c r="C316" s="11" t="s">
        <v>411</v>
      </c>
      <c r="D316" s="11"/>
      <c r="E316" s="29"/>
      <c r="G316" s="7">
        <f t="shared" si="67"/>
        <v>17066774</v>
      </c>
      <c r="I316" s="7">
        <f>3079337+3162973</f>
        <v>6242310</v>
      </c>
      <c r="K316" s="7">
        <v>23309084</v>
      </c>
      <c r="M316" s="7">
        <f t="shared" si="59"/>
        <v>5022493</v>
      </c>
      <c r="O316" s="7">
        <v>2198179</v>
      </c>
      <c r="Q316" s="7">
        <f>3038280-2198179</f>
        <v>840101</v>
      </c>
      <c r="S316" s="7">
        <v>8060773</v>
      </c>
      <c r="U316" s="7">
        <v>4142310</v>
      </c>
      <c r="W316" s="7">
        <f t="shared" si="68"/>
        <v>1397924</v>
      </c>
      <c r="Y316" s="7">
        <v>9708077</v>
      </c>
      <c r="AA316" s="7">
        <v>15248311</v>
      </c>
      <c r="AB316" s="7">
        <f t="shared" si="69"/>
        <v>0</v>
      </c>
      <c r="AD316" s="32">
        <f t="shared" si="70"/>
        <v>0</v>
      </c>
      <c r="AF316" s="32"/>
      <c r="AH316" s="32" t="str">
        <f>'St of Activites - GA Rev'!A316</f>
        <v xml:space="preserve">Madison Plains Local SD </v>
      </c>
      <c r="AI316" s="32" t="str">
        <f t="shared" si="53"/>
        <v xml:space="preserve">Madison Plains Local SD </v>
      </c>
      <c r="AJ316" s="32" t="b">
        <f t="shared" si="54"/>
        <v>1</v>
      </c>
      <c r="AL316" s="32" t="str">
        <f>'St of Activities - GA Exp'!A316</f>
        <v xml:space="preserve">Madison Plains Local SD </v>
      </c>
      <c r="AN316" s="32" t="b">
        <f t="shared" si="56"/>
        <v>1</v>
      </c>
      <c r="AR316" s="32" t="str">
        <f t="shared" si="57"/>
        <v>Madison</v>
      </c>
      <c r="AS316" s="32" t="str">
        <f>'St of Activites - GA Rev'!C316</f>
        <v>Madison</v>
      </c>
      <c r="AT316" s="32" t="b">
        <f t="shared" si="55"/>
        <v>1</v>
      </c>
      <c r="AU316" s="32" t="str">
        <f>'St of Activities - GA Exp'!C316</f>
        <v>Madison</v>
      </c>
      <c r="AV316" s="56"/>
      <c r="AW316" s="32" t="b">
        <f t="shared" si="58"/>
        <v>1</v>
      </c>
    </row>
    <row r="317" spans="1:49">
      <c r="A317" s="11" t="s">
        <v>630</v>
      </c>
      <c r="B317" s="11"/>
      <c r="C317" s="11" t="s">
        <v>201</v>
      </c>
      <c r="D317" s="11"/>
      <c r="E317" s="29"/>
      <c r="G317" s="7">
        <f t="shared" si="67"/>
        <v>15024492</v>
      </c>
      <c r="I317" s="7">
        <f>931676+25956205</f>
        <v>26887881</v>
      </c>
      <c r="K317" s="7">
        <v>41912373</v>
      </c>
      <c r="M317" s="7">
        <f t="shared" si="59"/>
        <v>7956797</v>
      </c>
      <c r="O317" s="7">
        <v>2353045</v>
      </c>
      <c r="Q317" s="7">
        <f>15410895-2353045</f>
        <v>13057850</v>
      </c>
      <c r="S317" s="7">
        <v>23367692</v>
      </c>
      <c r="U317" s="7">
        <v>12364976</v>
      </c>
      <c r="W317" s="7">
        <f t="shared" si="68"/>
        <v>2418806</v>
      </c>
      <c r="Y317" s="7">
        <v>3760899</v>
      </c>
      <c r="AA317" s="7">
        <v>18544681</v>
      </c>
      <c r="AB317" s="7">
        <f>+K317-S317-AA317</f>
        <v>0</v>
      </c>
      <c r="AD317" s="32">
        <f t="shared" si="70"/>
        <v>0</v>
      </c>
      <c r="AF317" s="32"/>
      <c r="AH317" s="32" t="str">
        <f>'St of Activites - GA Rev'!A317</f>
        <v>Manchester Local SD</v>
      </c>
      <c r="AI317" s="32" t="str">
        <f t="shared" si="53"/>
        <v>Manchester Local SD</v>
      </c>
      <c r="AJ317" s="32" t="b">
        <f t="shared" si="54"/>
        <v>1</v>
      </c>
      <c r="AL317" s="32" t="str">
        <f>'St of Activities - GA Exp'!A317</f>
        <v>Manchester Local SD</v>
      </c>
      <c r="AN317" s="32" t="b">
        <f t="shared" si="56"/>
        <v>1</v>
      </c>
      <c r="AR317" s="32" t="str">
        <f t="shared" si="57"/>
        <v>Adams</v>
      </c>
      <c r="AS317" s="32" t="str">
        <f>'St of Activites - GA Rev'!C317</f>
        <v>Adams</v>
      </c>
      <c r="AT317" s="32" t="b">
        <f t="shared" si="55"/>
        <v>1</v>
      </c>
      <c r="AU317" s="32" t="str">
        <f>'St of Activities - GA Exp'!C317</f>
        <v>Adams</v>
      </c>
      <c r="AV317" s="56"/>
      <c r="AW317" s="32" t="b">
        <f t="shared" si="58"/>
        <v>1</v>
      </c>
    </row>
    <row r="318" spans="1:49" s="65" customFormat="1" hidden="1">
      <c r="A318" s="62" t="s">
        <v>930</v>
      </c>
      <c r="B318" s="62"/>
      <c r="C318" s="62" t="s">
        <v>63</v>
      </c>
      <c r="D318" s="62"/>
      <c r="E318" s="64"/>
      <c r="G318" s="65">
        <f t="shared" ref="G318" si="71">+K318-I318</f>
        <v>0</v>
      </c>
      <c r="M318" s="65">
        <f t="shared" ref="M318" si="72">+S318-O318-Q318</f>
        <v>0</v>
      </c>
      <c r="W318" s="65">
        <f t="shared" ref="W318" si="73">AA318-Y318-U318</f>
        <v>0</v>
      </c>
      <c r="AB318" s="65">
        <f t="shared" ref="AB318" si="74">+K318-S318-AA318</f>
        <v>0</v>
      </c>
      <c r="AD318" s="66">
        <f t="shared" ref="AD318" si="75">+G318+I318+-M318-O318-U318-W318-Y318-Q318</f>
        <v>0</v>
      </c>
      <c r="AE318" s="65" t="s">
        <v>931</v>
      </c>
      <c r="AF318" s="66"/>
      <c r="AH318" s="66" t="str">
        <f>'St of Activites - GA Rev'!A318</f>
        <v>Manchester Local SD (CASH)</v>
      </c>
      <c r="AI318" s="66" t="str">
        <f t="shared" ref="AI318" si="76">A318</f>
        <v>Manchester Local SD (CASH)</v>
      </c>
      <c r="AJ318" s="66" t="b">
        <f t="shared" ref="AJ318" si="77">AH318=AI318</f>
        <v>1</v>
      </c>
      <c r="AL318" s="66" t="str">
        <f>'St of Activities - GA Exp'!A318</f>
        <v>Manchester Local SD (CASH)</v>
      </c>
      <c r="AN318" s="66" t="b">
        <f t="shared" ref="AN318" si="78">AH318=AL318</f>
        <v>1</v>
      </c>
      <c r="AR318" s="66" t="str">
        <f t="shared" ref="AR318" si="79">C318</f>
        <v>Summit</v>
      </c>
      <c r="AS318" s="66" t="str">
        <f>'St of Activites - GA Rev'!C318</f>
        <v>Summit</v>
      </c>
      <c r="AT318" s="66" t="b">
        <f t="shared" ref="AT318" si="80">AR318=AS318</f>
        <v>1</v>
      </c>
      <c r="AU318" s="66" t="str">
        <f>'St of Activities - GA Exp'!C318</f>
        <v>Summit</v>
      </c>
      <c r="AV318" s="86"/>
      <c r="AW318" s="66" t="b">
        <f t="shared" ref="AW318" si="81">AU318=AS318</f>
        <v>1</v>
      </c>
    </row>
    <row r="319" spans="1:49">
      <c r="A319" s="11" t="s">
        <v>484</v>
      </c>
      <c r="B319" s="11"/>
      <c r="C319" s="11" t="s">
        <v>110</v>
      </c>
      <c r="D319" s="11"/>
      <c r="E319" s="29">
        <v>44297</v>
      </c>
      <c r="G319" s="7">
        <f t="shared" si="67"/>
        <v>44867268</v>
      </c>
      <c r="I319" s="7">
        <v>53411630</v>
      </c>
      <c r="K319" s="7">
        <v>98278898</v>
      </c>
      <c r="M319" s="7">
        <f t="shared" si="59"/>
        <v>22079640</v>
      </c>
      <c r="O319" s="7">
        <v>1625721</v>
      </c>
      <c r="Q319" s="7">
        <f>16325831-1625721</f>
        <v>14700110</v>
      </c>
      <c r="S319" s="7">
        <v>38405471</v>
      </c>
      <c r="U319" s="7">
        <v>41178429</v>
      </c>
      <c r="W319" s="7">
        <f t="shared" si="68"/>
        <v>17655289</v>
      </c>
      <c r="Y319" s="7">
        <v>1039709</v>
      </c>
      <c r="AA319" s="7">
        <v>59873427</v>
      </c>
      <c r="AB319" s="7">
        <f t="shared" si="69"/>
        <v>0</v>
      </c>
      <c r="AD319" s="32">
        <f t="shared" si="70"/>
        <v>0</v>
      </c>
      <c r="AF319" s="32"/>
      <c r="AH319" s="32" t="str">
        <f>'St of Activites - GA Rev'!A319</f>
        <v>Mansfield City SD</v>
      </c>
      <c r="AI319" s="32" t="str">
        <f t="shared" si="53"/>
        <v>Mansfield City SD</v>
      </c>
      <c r="AJ319" s="32" t="b">
        <f t="shared" si="54"/>
        <v>1</v>
      </c>
      <c r="AL319" s="32" t="str">
        <f>'St of Activities - GA Exp'!A319</f>
        <v>Mansfield City SD</v>
      </c>
      <c r="AN319" s="32" t="b">
        <f t="shared" si="56"/>
        <v>1</v>
      </c>
      <c r="AR319" s="32" t="str">
        <f t="shared" si="57"/>
        <v>Richland</v>
      </c>
      <c r="AS319" s="32" t="str">
        <f>'St of Activites - GA Rev'!C319</f>
        <v>Richland</v>
      </c>
      <c r="AT319" s="32" t="b">
        <f t="shared" si="55"/>
        <v>1</v>
      </c>
      <c r="AU319" s="32" t="str">
        <f>'St of Activities - GA Exp'!C319</f>
        <v>Richland</v>
      </c>
      <c r="AV319" s="56"/>
      <c r="AW319" s="32" t="b">
        <f t="shared" si="58"/>
        <v>1</v>
      </c>
    </row>
    <row r="320" spans="1:49">
      <c r="A320" s="11" t="s">
        <v>762</v>
      </c>
      <c r="B320" s="11"/>
      <c r="C320" s="11" t="s">
        <v>20</v>
      </c>
      <c r="D320" s="11"/>
      <c r="E320" s="29">
        <v>44305</v>
      </c>
      <c r="G320" s="7">
        <f t="shared" si="67"/>
        <v>92790062</v>
      </c>
      <c r="I320" s="7">
        <f>50039004+11756242</f>
        <v>61795246</v>
      </c>
      <c r="K320" s="7">
        <v>154585308</v>
      </c>
      <c r="M320" s="7">
        <f t="shared" si="59"/>
        <v>22628786</v>
      </c>
      <c r="O320" s="7">
        <v>939848</v>
      </c>
      <c r="Q320" s="7">
        <f>65476256-939848</f>
        <v>64536408</v>
      </c>
      <c r="S320" s="7">
        <v>88105042</v>
      </c>
      <c r="U320" s="7">
        <v>12171981</v>
      </c>
      <c r="W320" s="7">
        <f t="shared" si="68"/>
        <v>57428528</v>
      </c>
      <c r="Y320" s="7">
        <v>-3120243</v>
      </c>
      <c r="AA320" s="7">
        <v>66480266</v>
      </c>
      <c r="AB320" s="7">
        <f t="shared" si="69"/>
        <v>0</v>
      </c>
      <c r="AD320" s="32">
        <f t="shared" si="70"/>
        <v>0</v>
      </c>
      <c r="AF320" s="32"/>
      <c r="AH320" s="32" t="str">
        <f>'St of Activites - GA Rev'!A320</f>
        <v xml:space="preserve">Maple Heights City SD </v>
      </c>
      <c r="AI320" s="32" t="str">
        <f t="shared" si="53"/>
        <v xml:space="preserve">Maple Heights City SD </v>
      </c>
      <c r="AJ320" s="32" t="b">
        <f t="shared" si="54"/>
        <v>1</v>
      </c>
      <c r="AL320" s="32" t="str">
        <f>'St of Activities - GA Exp'!A320</f>
        <v xml:space="preserve">Maple Heights City SD </v>
      </c>
      <c r="AN320" s="32" t="b">
        <f t="shared" si="56"/>
        <v>1</v>
      </c>
      <c r="AR320" s="32" t="str">
        <f t="shared" si="57"/>
        <v>Cuyahoga</v>
      </c>
      <c r="AS320" s="32" t="str">
        <f>'St of Activites - GA Rev'!C320</f>
        <v>Cuyahoga</v>
      </c>
      <c r="AT320" s="32" t="b">
        <f t="shared" si="55"/>
        <v>1</v>
      </c>
      <c r="AU320" s="32" t="str">
        <f>'St of Activities - GA Exp'!C320</f>
        <v>Cuyahoga</v>
      </c>
      <c r="AV320" s="56"/>
      <c r="AW320" s="32" t="b">
        <f t="shared" si="58"/>
        <v>1</v>
      </c>
    </row>
    <row r="321" spans="1:49">
      <c r="A321" s="11" t="s">
        <v>206</v>
      </c>
      <c r="B321" s="11"/>
      <c r="C321" s="11" t="s">
        <v>11</v>
      </c>
      <c r="D321" s="11"/>
      <c r="E321" s="29">
        <v>45831</v>
      </c>
      <c r="G321" s="7">
        <f t="shared" si="67"/>
        <v>6967647</v>
      </c>
      <c r="I321" s="7">
        <v>16027715</v>
      </c>
      <c r="K321" s="7">
        <v>22995362</v>
      </c>
      <c r="M321" s="7">
        <f t="shared" si="59"/>
        <v>3002459</v>
      </c>
      <c r="O321" s="7">
        <v>316253</v>
      </c>
      <c r="Q321" s="7">
        <f>3199028-316253</f>
        <v>2882775</v>
      </c>
      <c r="S321" s="7">
        <v>6201487</v>
      </c>
      <c r="U321" s="7">
        <v>13183469</v>
      </c>
      <c r="W321" s="7">
        <f t="shared" si="68"/>
        <v>1555295</v>
      </c>
      <c r="Y321" s="7">
        <v>2055111</v>
      </c>
      <c r="AA321" s="7">
        <v>16793875</v>
      </c>
      <c r="AB321" s="7">
        <f t="shared" si="69"/>
        <v>0</v>
      </c>
      <c r="AD321" s="32">
        <f t="shared" si="70"/>
        <v>0</v>
      </c>
      <c r="AF321" s="32"/>
      <c r="AH321" s="32" t="str">
        <f>'St of Activites - GA Rev'!A321</f>
        <v>Mapleton Local SD</v>
      </c>
      <c r="AI321" s="32" t="str">
        <f t="shared" si="53"/>
        <v>Mapleton Local SD</v>
      </c>
      <c r="AJ321" s="32" t="b">
        <f t="shared" si="54"/>
        <v>1</v>
      </c>
      <c r="AL321" s="32" t="str">
        <f>'St of Activities - GA Exp'!A321</f>
        <v>Mapleton Local SD</v>
      </c>
      <c r="AN321" s="32" t="b">
        <f t="shared" si="56"/>
        <v>1</v>
      </c>
      <c r="AR321" s="32" t="str">
        <f t="shared" si="57"/>
        <v>Ashland</v>
      </c>
      <c r="AS321" s="32" t="str">
        <f>'St of Activites - GA Rev'!C321</f>
        <v>Ashland</v>
      </c>
      <c r="AT321" s="32" t="b">
        <f t="shared" si="55"/>
        <v>1</v>
      </c>
      <c r="AU321" s="32" t="str">
        <f>'St of Activities - GA Exp'!C321</f>
        <v>Ashland</v>
      </c>
      <c r="AV321" s="56"/>
      <c r="AW321" s="32" t="b">
        <f t="shared" si="58"/>
        <v>1</v>
      </c>
    </row>
    <row r="322" spans="1:49">
      <c r="A322" s="11" t="s">
        <v>544</v>
      </c>
      <c r="B322" s="11"/>
      <c r="C322" s="11" t="s">
        <v>64</v>
      </c>
      <c r="D322" s="11"/>
      <c r="E322" s="29">
        <v>50211</v>
      </c>
      <c r="G322" s="7">
        <f t="shared" si="67"/>
        <v>6935089</v>
      </c>
      <c r="I322" s="7">
        <f>273697+19852026</f>
        <v>20125723</v>
      </c>
      <c r="K322" s="7">
        <v>27060812</v>
      </c>
      <c r="M322" s="7">
        <f t="shared" si="59"/>
        <v>3752665</v>
      </c>
      <c r="O322" s="7">
        <v>170562</v>
      </c>
      <c r="Q322" s="7">
        <f>2770470-170562</f>
        <v>2599908</v>
      </c>
      <c r="S322" s="7">
        <v>6523135</v>
      </c>
      <c r="U322" s="7">
        <v>18346541</v>
      </c>
      <c r="W322" s="7">
        <f t="shared" si="68"/>
        <v>1154149</v>
      </c>
      <c r="Y322" s="7">
        <v>1036987</v>
      </c>
      <c r="AA322" s="7">
        <v>20537677</v>
      </c>
      <c r="AB322" s="7">
        <f t="shared" si="69"/>
        <v>0</v>
      </c>
      <c r="AD322" s="32">
        <f t="shared" si="70"/>
        <v>0</v>
      </c>
      <c r="AF322" s="32"/>
      <c r="AH322" s="32" t="str">
        <f>'St of Activites - GA Rev'!A322</f>
        <v>Maplewood Local SD</v>
      </c>
      <c r="AI322" s="32" t="str">
        <f t="shared" si="53"/>
        <v>Maplewood Local SD</v>
      </c>
      <c r="AJ322" s="32" t="b">
        <f t="shared" si="54"/>
        <v>1</v>
      </c>
      <c r="AL322" s="32" t="str">
        <f>'St of Activities - GA Exp'!A322</f>
        <v>Maplewood Local SD</v>
      </c>
      <c r="AN322" s="32" t="b">
        <f t="shared" si="56"/>
        <v>1</v>
      </c>
      <c r="AR322" s="32" t="str">
        <f t="shared" si="57"/>
        <v>Trumbull</v>
      </c>
      <c r="AS322" s="32" t="str">
        <f>'St of Activites - GA Rev'!C322</f>
        <v>Trumbull</v>
      </c>
      <c r="AT322" s="32" t="b">
        <f t="shared" si="55"/>
        <v>1</v>
      </c>
      <c r="AU322" s="32" t="str">
        <f>'St of Activities - GA Exp'!C322</f>
        <v>Trumbull</v>
      </c>
      <c r="AV322" s="56"/>
      <c r="AW322" s="32" t="b">
        <f t="shared" si="58"/>
        <v>1</v>
      </c>
    </row>
    <row r="323" spans="1:49">
      <c r="A323" s="11" t="s">
        <v>294</v>
      </c>
      <c r="B323" s="11"/>
      <c r="C323" s="11" t="s">
        <v>24</v>
      </c>
      <c r="D323" s="11"/>
      <c r="E323" s="29">
        <v>46805</v>
      </c>
      <c r="G323" s="7">
        <f t="shared" si="67"/>
        <v>7078903</v>
      </c>
      <c r="I323" s="7">
        <v>5520302</v>
      </c>
      <c r="K323" s="7">
        <v>12599205</v>
      </c>
      <c r="M323" s="7">
        <f t="shared" si="59"/>
        <v>6165159</v>
      </c>
      <c r="O323" s="7">
        <v>155967</v>
      </c>
      <c r="Q323" s="7">
        <f>3321288-155967</f>
        <v>3165321</v>
      </c>
      <c r="S323" s="7">
        <v>9486447</v>
      </c>
      <c r="U323" s="7">
        <v>3035302</v>
      </c>
      <c r="W323" s="7">
        <f t="shared" si="68"/>
        <v>343286</v>
      </c>
      <c r="Y323" s="7">
        <v>-265830</v>
      </c>
      <c r="AA323" s="7">
        <v>3112758</v>
      </c>
      <c r="AB323" s="7">
        <f t="shared" si="69"/>
        <v>0</v>
      </c>
      <c r="AD323" s="32">
        <f t="shared" si="70"/>
        <v>0</v>
      </c>
      <c r="AF323" s="32"/>
      <c r="AH323" s="32" t="str">
        <f>'St of Activites - GA Rev'!A323</f>
        <v>Margaretta Local SD</v>
      </c>
      <c r="AI323" s="32" t="str">
        <f t="shared" si="53"/>
        <v>Margaretta Local SD</v>
      </c>
      <c r="AJ323" s="32" t="b">
        <f t="shared" si="54"/>
        <v>1</v>
      </c>
      <c r="AL323" s="32" t="str">
        <f>'St of Activities - GA Exp'!A323</f>
        <v>Margaretta Local SD</v>
      </c>
      <c r="AN323" s="32" t="b">
        <f t="shared" si="56"/>
        <v>1</v>
      </c>
      <c r="AR323" s="32" t="str">
        <f t="shared" si="57"/>
        <v>Erie</v>
      </c>
      <c r="AS323" s="32" t="str">
        <f>'St of Activites - GA Rev'!C323</f>
        <v>Erie</v>
      </c>
      <c r="AT323" s="32" t="b">
        <f t="shared" si="55"/>
        <v>1</v>
      </c>
      <c r="AU323" s="32" t="str">
        <f>'St of Activities - GA Exp'!C323</f>
        <v>Erie</v>
      </c>
      <c r="AV323" s="56"/>
      <c r="AW323" s="32" t="b">
        <f t="shared" si="58"/>
        <v>1</v>
      </c>
    </row>
    <row r="324" spans="1:49">
      <c r="A324" s="11" t="s">
        <v>334</v>
      </c>
      <c r="B324" s="11"/>
      <c r="C324" s="11" t="s">
        <v>32</v>
      </c>
      <c r="D324" s="11"/>
      <c r="E324" s="29">
        <v>44313</v>
      </c>
      <c r="G324" s="7">
        <f t="shared" si="67"/>
        <v>58705224</v>
      </c>
      <c r="I324" s="7">
        <f>1110469+10983150</f>
        <v>12093619</v>
      </c>
      <c r="K324" s="7">
        <v>70798843</v>
      </c>
      <c r="M324" s="7">
        <f t="shared" si="59"/>
        <v>11147232</v>
      </c>
      <c r="O324" s="7">
        <v>686161</v>
      </c>
      <c r="Q324" s="7">
        <f>48691510-686161</f>
        <v>48005349</v>
      </c>
      <c r="S324" s="7">
        <v>59838742</v>
      </c>
      <c r="U324" s="7">
        <v>4043871</v>
      </c>
      <c r="W324" s="7">
        <f t="shared" si="68"/>
        <v>35803989</v>
      </c>
      <c r="Y324" s="7">
        <v>-28887759</v>
      </c>
      <c r="AA324" s="7">
        <v>10960101</v>
      </c>
      <c r="AB324" s="7">
        <f t="shared" si="69"/>
        <v>0</v>
      </c>
      <c r="AD324" s="32">
        <f t="shared" si="70"/>
        <v>0</v>
      </c>
      <c r="AE324" s="7" t="s">
        <v>914</v>
      </c>
      <c r="AF324" s="32"/>
      <c r="AH324" s="32" t="str">
        <f>'St of Activites - GA Rev'!A324</f>
        <v>Mariemont City SD</v>
      </c>
      <c r="AI324" s="32" t="str">
        <f t="shared" si="53"/>
        <v>Mariemont City SD</v>
      </c>
      <c r="AJ324" s="32" t="b">
        <f t="shared" si="54"/>
        <v>1</v>
      </c>
      <c r="AL324" s="32" t="str">
        <f>'St of Activities - GA Exp'!A324</f>
        <v>Mariemont City SD</v>
      </c>
      <c r="AN324" s="32" t="b">
        <f t="shared" si="56"/>
        <v>1</v>
      </c>
      <c r="AR324" s="32" t="str">
        <f t="shared" si="57"/>
        <v>Hamilton</v>
      </c>
      <c r="AS324" s="32" t="str">
        <f>'St of Activites - GA Rev'!C324</f>
        <v>Hamilton</v>
      </c>
      <c r="AT324" s="32" t="b">
        <f t="shared" si="55"/>
        <v>1</v>
      </c>
      <c r="AU324" s="32" t="str">
        <f>'St of Activities - GA Exp'!C324</f>
        <v>Hamilton</v>
      </c>
      <c r="AV324" s="56"/>
      <c r="AW324" s="32" t="b">
        <f t="shared" si="58"/>
        <v>1</v>
      </c>
    </row>
    <row r="325" spans="1:49" s="65" customFormat="1" hidden="1">
      <c r="A325" s="62" t="s">
        <v>638</v>
      </c>
      <c r="B325" s="62"/>
      <c r="C325" s="62" t="s">
        <v>70</v>
      </c>
      <c r="D325" s="62"/>
      <c r="E325" s="64">
        <v>44321</v>
      </c>
      <c r="F325" s="67"/>
      <c r="G325" s="65">
        <f t="shared" si="67"/>
        <v>0</v>
      </c>
      <c r="M325" s="65">
        <f t="shared" si="59"/>
        <v>0</v>
      </c>
      <c r="W325" s="65">
        <f t="shared" si="68"/>
        <v>0</v>
      </c>
      <c r="AB325" s="65">
        <f>+K325-S325-AA325</f>
        <v>0</v>
      </c>
      <c r="AD325" s="66">
        <f t="shared" si="70"/>
        <v>0</v>
      </c>
      <c r="AE325" s="65" t="s">
        <v>839</v>
      </c>
      <c r="AF325" s="66"/>
      <c r="AH325" s="66" t="str">
        <f>'St of Activites - GA Rev'!A325</f>
        <v>Marietta City SD (CASH)</v>
      </c>
      <c r="AI325" s="66" t="str">
        <f t="shared" si="53"/>
        <v>Marietta City SD (CASH)</v>
      </c>
      <c r="AJ325" s="66" t="b">
        <f t="shared" si="54"/>
        <v>1</v>
      </c>
      <c r="AL325" s="66" t="str">
        <f>'St of Activities - GA Exp'!A325</f>
        <v>Marietta City SD (CASH)</v>
      </c>
      <c r="AN325" s="66" t="b">
        <f t="shared" si="56"/>
        <v>1</v>
      </c>
      <c r="AR325" s="66" t="str">
        <f t="shared" si="57"/>
        <v>Washington</v>
      </c>
      <c r="AS325" s="66" t="str">
        <f>'St of Activites - GA Rev'!C325</f>
        <v>Washington</v>
      </c>
      <c r="AT325" s="66" t="b">
        <f t="shared" si="55"/>
        <v>1</v>
      </c>
      <c r="AU325" s="66" t="str">
        <f>'St of Activities - GA Exp'!C325</f>
        <v>Washington</v>
      </c>
      <c r="AV325" s="86"/>
      <c r="AW325" s="66" t="b">
        <f t="shared" si="58"/>
        <v>1</v>
      </c>
    </row>
    <row r="326" spans="1:49" ht="11.25" customHeight="1">
      <c r="A326" s="11" t="s">
        <v>423</v>
      </c>
      <c r="B326" s="11"/>
      <c r="C326" s="11" t="s">
        <v>46</v>
      </c>
      <c r="D326" s="11"/>
      <c r="E326" s="29">
        <v>44339</v>
      </c>
      <c r="G326" s="7">
        <f t="shared" si="67"/>
        <v>33116846</v>
      </c>
      <c r="I326" s="7">
        <f>1965229+77822889</f>
        <v>79788118</v>
      </c>
      <c r="K326" s="7">
        <v>112904964</v>
      </c>
      <c r="M326" s="7">
        <f t="shared" si="59"/>
        <v>11960487</v>
      </c>
      <c r="O326" s="7">
        <v>960533</v>
      </c>
      <c r="Q326" s="7">
        <f>15097862-960533</f>
        <v>14137329</v>
      </c>
      <c r="S326" s="7">
        <v>27058349</v>
      </c>
      <c r="U326" s="7">
        <v>69932858</v>
      </c>
      <c r="W326" s="7">
        <f t="shared" si="68"/>
        <v>5757300</v>
      </c>
      <c r="Y326" s="7">
        <v>10156457</v>
      </c>
      <c r="AA326" s="7">
        <v>85846615</v>
      </c>
      <c r="AB326" s="7">
        <f t="shared" si="69"/>
        <v>0</v>
      </c>
      <c r="AD326" s="32">
        <f t="shared" si="70"/>
        <v>0</v>
      </c>
      <c r="AF326" s="32"/>
      <c r="AH326" s="32" t="str">
        <f>'St of Activites - GA Rev'!A326</f>
        <v>Marion City SD</v>
      </c>
      <c r="AI326" s="32" t="str">
        <f t="shared" ref="AI326:AI391" si="82">A326</f>
        <v>Marion City SD</v>
      </c>
      <c r="AJ326" s="32" t="b">
        <f t="shared" si="54"/>
        <v>1</v>
      </c>
      <c r="AL326" s="32" t="str">
        <f>'St of Activities - GA Exp'!A326</f>
        <v>Marion City SD</v>
      </c>
      <c r="AN326" s="32" t="b">
        <f t="shared" si="56"/>
        <v>1</v>
      </c>
      <c r="AR326" s="32" t="str">
        <f t="shared" si="57"/>
        <v>Marion</v>
      </c>
      <c r="AS326" s="32" t="str">
        <f>'St of Activites - GA Rev'!C326</f>
        <v>Marion</v>
      </c>
      <c r="AT326" s="32" t="b">
        <f t="shared" si="55"/>
        <v>1</v>
      </c>
      <c r="AU326" s="32" t="str">
        <f>'St of Activities - GA Exp'!C326</f>
        <v>Marion</v>
      </c>
      <c r="AV326" s="56"/>
      <c r="AW326" s="32" t="b">
        <f t="shared" si="58"/>
        <v>1</v>
      </c>
    </row>
    <row r="327" spans="1:49" s="65" customFormat="1" ht="12.75" hidden="1" customHeight="1">
      <c r="A327" s="62" t="s">
        <v>721</v>
      </c>
      <c r="B327" s="62"/>
      <c r="C327" s="62" t="s">
        <v>435</v>
      </c>
      <c r="D327" s="62"/>
      <c r="E327" s="64"/>
      <c r="G327" s="65">
        <f t="shared" si="67"/>
        <v>0</v>
      </c>
      <c r="M327" s="65">
        <f t="shared" si="59"/>
        <v>0</v>
      </c>
      <c r="W327" s="65">
        <f t="shared" si="68"/>
        <v>0</v>
      </c>
      <c r="AB327" s="65">
        <f t="shared" si="69"/>
        <v>0</v>
      </c>
      <c r="AD327" s="66">
        <f t="shared" si="70"/>
        <v>0</v>
      </c>
      <c r="AE327" s="65" t="s">
        <v>839</v>
      </c>
      <c r="AF327" s="66"/>
      <c r="AH327" s="66" t="str">
        <f>'St of Activites - GA Rev'!A327</f>
        <v>Marion Local SD (CASH)</v>
      </c>
      <c r="AI327" s="66" t="str">
        <f t="shared" si="82"/>
        <v>Marion Local SD (CASH)</v>
      </c>
      <c r="AJ327" s="66" t="b">
        <f t="shared" si="54"/>
        <v>1</v>
      </c>
      <c r="AL327" s="66" t="str">
        <f>'St of Activities - GA Exp'!A327</f>
        <v>Marion Local SD (CASH)</v>
      </c>
      <c r="AN327" s="66" t="b">
        <f t="shared" si="56"/>
        <v>1</v>
      </c>
      <c r="AR327" s="66" t="str">
        <f t="shared" si="57"/>
        <v>Mercer</v>
      </c>
      <c r="AS327" s="66" t="str">
        <f>'St of Activites - GA Rev'!C327</f>
        <v>Mercer</v>
      </c>
      <c r="AT327" s="66" t="b">
        <f t="shared" si="55"/>
        <v>1</v>
      </c>
      <c r="AU327" s="66" t="str">
        <f>'St of Activities - GA Exp'!C327</f>
        <v>Mercer</v>
      </c>
      <c r="AV327" s="86"/>
      <c r="AW327" s="66" t="b">
        <f t="shared" si="58"/>
        <v>1</v>
      </c>
    </row>
    <row r="328" spans="1:49">
      <c r="A328" s="11" t="s">
        <v>515</v>
      </c>
      <c r="B328" s="11"/>
      <c r="C328" s="11" t="s">
        <v>62</v>
      </c>
      <c r="D328" s="11"/>
      <c r="E328" s="29">
        <v>49882</v>
      </c>
      <c r="G328" s="7">
        <f t="shared" si="67"/>
        <v>20846336</v>
      </c>
      <c r="I328" s="7">
        <v>7822353</v>
      </c>
      <c r="K328" s="7">
        <v>28668689</v>
      </c>
      <c r="M328" s="7">
        <f t="shared" si="59"/>
        <v>10334731</v>
      </c>
      <c r="O328" s="7">
        <v>665265</v>
      </c>
      <c r="Q328" s="7">
        <f>1860174-665265</f>
        <v>1194909</v>
      </c>
      <c r="S328" s="7">
        <v>12194905</v>
      </c>
      <c r="U328" s="7">
        <v>7417165</v>
      </c>
      <c r="W328" s="7">
        <f t="shared" si="68"/>
        <v>2480311</v>
      </c>
      <c r="Y328" s="7">
        <v>6576308</v>
      </c>
      <c r="AA328" s="7">
        <v>16473784</v>
      </c>
      <c r="AB328" s="7">
        <f t="shared" si="69"/>
        <v>0</v>
      </c>
      <c r="AD328" s="32">
        <f t="shared" si="70"/>
        <v>0</v>
      </c>
      <c r="AF328" s="32"/>
      <c r="AH328" s="32" t="str">
        <f>'St of Activites - GA Rev'!A328</f>
        <v>Marlington Local SD</v>
      </c>
      <c r="AI328" s="32" t="str">
        <f t="shared" si="82"/>
        <v>Marlington Local SD</v>
      </c>
      <c r="AJ328" s="32" t="b">
        <f t="shared" si="54"/>
        <v>1</v>
      </c>
      <c r="AL328" s="32" t="str">
        <f>'St of Activities - GA Exp'!A328</f>
        <v>Marlington Local SD</v>
      </c>
      <c r="AN328" s="32" t="b">
        <f t="shared" si="56"/>
        <v>1</v>
      </c>
      <c r="AR328" s="32" t="str">
        <f t="shared" si="57"/>
        <v>Stark</v>
      </c>
      <c r="AS328" s="32" t="str">
        <f>'St of Activites - GA Rev'!C328</f>
        <v>Stark</v>
      </c>
      <c r="AT328" s="32" t="b">
        <f t="shared" si="55"/>
        <v>1</v>
      </c>
      <c r="AU328" s="32" t="str">
        <f>'St of Activities - GA Exp'!C328</f>
        <v>Stark</v>
      </c>
      <c r="AV328" s="56"/>
      <c r="AW328" s="32" t="b">
        <f t="shared" si="58"/>
        <v>1</v>
      </c>
    </row>
    <row r="329" spans="1:49">
      <c r="A329" s="11" t="s">
        <v>217</v>
      </c>
      <c r="B329" s="11"/>
      <c r="C329" s="11" t="s">
        <v>15</v>
      </c>
      <c r="D329" s="11"/>
      <c r="E329" s="29">
        <v>44347</v>
      </c>
      <c r="G329" s="7">
        <f t="shared" si="67"/>
        <v>4101675</v>
      </c>
      <c r="I329" s="7">
        <f>2436556+39320989</f>
        <v>41757545</v>
      </c>
      <c r="K329" s="7">
        <v>45859220</v>
      </c>
      <c r="M329" s="7">
        <f t="shared" si="59"/>
        <v>4162203</v>
      </c>
      <c r="O329" s="7">
        <v>556334</v>
      </c>
      <c r="Q329" s="7">
        <f>14499333-556334</f>
        <v>13942999</v>
      </c>
      <c r="S329" s="7">
        <v>18661536</v>
      </c>
      <c r="U329" s="7">
        <v>28482616</v>
      </c>
      <c r="W329" s="7">
        <f t="shared" si="68"/>
        <v>1177487</v>
      </c>
      <c r="Y329" s="7">
        <v>-2462419</v>
      </c>
      <c r="AA329" s="7">
        <v>27197684</v>
      </c>
      <c r="AB329" s="7">
        <f t="shared" si="69"/>
        <v>0</v>
      </c>
      <c r="AD329" s="32">
        <f t="shared" si="70"/>
        <v>0</v>
      </c>
      <c r="AF329" s="32"/>
      <c r="AH329" s="32" t="str">
        <f>'St of Activites - GA Rev'!A329</f>
        <v>Martins Ferry City SD</v>
      </c>
      <c r="AI329" s="32" t="str">
        <f t="shared" si="82"/>
        <v>Martins Ferry City SD</v>
      </c>
      <c r="AJ329" s="32" t="b">
        <f t="shared" si="54"/>
        <v>1</v>
      </c>
      <c r="AL329" s="32" t="str">
        <f>'St of Activities - GA Exp'!A329</f>
        <v>Martins Ferry City SD</v>
      </c>
      <c r="AN329" s="32" t="b">
        <f t="shared" si="56"/>
        <v>1</v>
      </c>
      <c r="AR329" s="32" t="str">
        <f t="shared" si="57"/>
        <v>Belmont</v>
      </c>
      <c r="AS329" s="32" t="str">
        <f>'St of Activites - GA Rev'!C329</f>
        <v>Belmont</v>
      </c>
      <c r="AT329" s="32" t="b">
        <f t="shared" si="55"/>
        <v>1</v>
      </c>
      <c r="AU329" s="32" t="str">
        <f>'St of Activities - GA Exp'!C329</f>
        <v>Belmont</v>
      </c>
      <c r="AV329" s="56"/>
      <c r="AW329" s="32" t="b">
        <f t="shared" si="58"/>
        <v>1</v>
      </c>
    </row>
    <row r="330" spans="1:49">
      <c r="A330" s="11" t="s">
        <v>876</v>
      </c>
      <c r="B330" s="11"/>
      <c r="C330" s="11" t="s">
        <v>66</v>
      </c>
      <c r="D330" s="11"/>
      <c r="E330" s="29">
        <v>45476</v>
      </c>
      <c r="G330" s="7">
        <f t="shared" si="67"/>
        <v>40599996</v>
      </c>
      <c r="I330" s="7">
        <v>107105946</v>
      </c>
      <c r="K330" s="7">
        <v>147705942</v>
      </c>
      <c r="M330" s="7">
        <f t="shared" si="59"/>
        <v>33077685</v>
      </c>
      <c r="O330" s="7">
        <v>4988038</v>
      </c>
      <c r="Q330" s="7">
        <f>102396244-4988038</f>
        <v>97408206</v>
      </c>
      <c r="S330" s="7">
        <v>135473929</v>
      </c>
      <c r="U330" s="7">
        <v>15370210</v>
      </c>
      <c r="W330" s="7">
        <f t="shared" si="68"/>
        <v>6635524</v>
      </c>
      <c r="Y330" s="7">
        <v>-9773721</v>
      </c>
      <c r="AA330" s="7">
        <v>12232013</v>
      </c>
      <c r="AB330" s="7">
        <f t="shared" si="69"/>
        <v>0</v>
      </c>
      <c r="AD330" s="32">
        <f t="shared" si="70"/>
        <v>0</v>
      </c>
      <c r="AF330" s="32"/>
      <c r="AH330" s="32" t="str">
        <f>'St of Activites - GA Rev'!A330</f>
        <v>Marysville Exempted Village SD</v>
      </c>
      <c r="AI330" s="32" t="str">
        <f t="shared" si="82"/>
        <v>Marysville Exempted Village SD</v>
      </c>
      <c r="AJ330" s="32" t="b">
        <f t="shared" si="54"/>
        <v>1</v>
      </c>
      <c r="AL330" s="32" t="str">
        <f>'St of Activities - GA Exp'!A330</f>
        <v>Marysville Exempted Village SD</v>
      </c>
      <c r="AN330" s="32" t="b">
        <f t="shared" si="56"/>
        <v>1</v>
      </c>
      <c r="AR330" s="32" t="str">
        <f t="shared" si="57"/>
        <v>Union</v>
      </c>
      <c r="AS330" s="32" t="str">
        <f>'St of Activites - GA Rev'!C330</f>
        <v>Union</v>
      </c>
      <c r="AT330" s="32" t="b">
        <f t="shared" si="55"/>
        <v>1</v>
      </c>
      <c r="AU330" s="32" t="str">
        <f>'St of Activities - GA Exp'!C330</f>
        <v>Union</v>
      </c>
      <c r="AV330" s="56"/>
      <c r="AW330" s="32" t="b">
        <f t="shared" si="58"/>
        <v>1</v>
      </c>
    </row>
    <row r="331" spans="1:49">
      <c r="A331" s="11" t="s">
        <v>563</v>
      </c>
      <c r="B331" s="11"/>
      <c r="C331" s="11" t="s">
        <v>69</v>
      </c>
      <c r="D331" s="11"/>
      <c r="E331" s="29">
        <v>50450</v>
      </c>
      <c r="G331" s="7">
        <f t="shared" si="67"/>
        <v>151186431</v>
      </c>
      <c r="I331" s="7">
        <f>4134921+174604664</f>
        <v>178739585</v>
      </c>
      <c r="K331" s="7">
        <v>329926016</v>
      </c>
      <c r="M331" s="7">
        <f t="shared" si="59"/>
        <v>93059446</v>
      </c>
      <c r="O331" s="7">
        <v>10330661</v>
      </c>
      <c r="Q331" s="7">
        <f>141126450-10330661</f>
        <v>130795789</v>
      </c>
      <c r="S331" s="7">
        <v>234185896</v>
      </c>
      <c r="U331" s="7">
        <v>34400901</v>
      </c>
      <c r="W331" s="7">
        <f t="shared" si="68"/>
        <v>23791786</v>
      </c>
      <c r="Y331" s="7">
        <v>37547433</v>
      </c>
      <c r="AA331" s="7">
        <v>95740120</v>
      </c>
      <c r="AB331" s="7">
        <f t="shared" si="69"/>
        <v>0</v>
      </c>
      <c r="AD331" s="32">
        <f t="shared" si="70"/>
        <v>0</v>
      </c>
      <c r="AF331" s="32"/>
      <c r="AH331" s="32" t="str">
        <f>'St of Activites - GA Rev'!A331</f>
        <v>Mason City SD</v>
      </c>
      <c r="AI331" s="32" t="str">
        <f t="shared" si="82"/>
        <v>Mason City SD</v>
      </c>
      <c r="AJ331" s="32" t="b">
        <f t="shared" si="54"/>
        <v>1</v>
      </c>
      <c r="AL331" s="32" t="str">
        <f>'St of Activities - GA Exp'!A331</f>
        <v>Mason City SD</v>
      </c>
      <c r="AN331" s="32" t="b">
        <f t="shared" si="56"/>
        <v>1</v>
      </c>
      <c r="AR331" s="32" t="str">
        <f t="shared" si="57"/>
        <v>Warren</v>
      </c>
      <c r="AS331" s="32" t="str">
        <f>'St of Activites - GA Rev'!C331</f>
        <v>Warren</v>
      </c>
      <c r="AT331" s="32" t="b">
        <f t="shared" si="55"/>
        <v>1</v>
      </c>
      <c r="AU331" s="32" t="str">
        <f>'St of Activities - GA Exp'!C331</f>
        <v>Warren</v>
      </c>
      <c r="AV331" s="56"/>
      <c r="AW331" s="32" t="b">
        <f t="shared" si="58"/>
        <v>1</v>
      </c>
    </row>
    <row r="332" spans="1:49">
      <c r="A332" s="11" t="s">
        <v>516</v>
      </c>
      <c r="B332" s="11"/>
      <c r="C332" s="11" t="s">
        <v>62</v>
      </c>
      <c r="D332" s="11"/>
      <c r="E332" s="29">
        <v>44354</v>
      </c>
      <c r="G332" s="7">
        <f t="shared" si="67"/>
        <v>29991599</v>
      </c>
      <c r="I332" s="7">
        <f>3552636+38404183</f>
        <v>41956819</v>
      </c>
      <c r="K332" s="7">
        <v>71948418</v>
      </c>
      <c r="M332" s="7">
        <f t="shared" si="59"/>
        <v>16083742</v>
      </c>
      <c r="O332" s="7">
        <v>4494223</v>
      </c>
      <c r="Q332" s="7">
        <f>17038585-4494223</f>
        <v>12544362</v>
      </c>
      <c r="S332" s="7">
        <v>33122327</v>
      </c>
      <c r="U332" s="7">
        <v>29601526</v>
      </c>
      <c r="W332" s="7">
        <f t="shared" si="68"/>
        <v>9230206</v>
      </c>
      <c r="Y332" s="7">
        <v>-5641</v>
      </c>
      <c r="AA332" s="7">
        <v>38826091</v>
      </c>
      <c r="AB332" s="7">
        <f t="shared" si="69"/>
        <v>0</v>
      </c>
      <c r="AD332" s="32">
        <f t="shared" si="70"/>
        <v>0</v>
      </c>
      <c r="AF332" s="32"/>
      <c r="AH332" s="32" t="str">
        <f>'St of Activites - GA Rev'!A332</f>
        <v>Massillon City SD</v>
      </c>
      <c r="AI332" s="32" t="str">
        <f t="shared" si="82"/>
        <v>Massillon City SD</v>
      </c>
      <c r="AJ332" s="32" t="b">
        <f t="shared" ref="AJ332:AJ396" si="83">AH332=AI332</f>
        <v>1</v>
      </c>
      <c r="AL332" s="32" t="str">
        <f>'St of Activities - GA Exp'!A332</f>
        <v>Massillon City SD</v>
      </c>
      <c r="AN332" s="32" t="b">
        <f t="shared" si="56"/>
        <v>1</v>
      </c>
      <c r="AR332" s="32" t="str">
        <f t="shared" si="57"/>
        <v>Stark</v>
      </c>
      <c r="AS332" s="32" t="str">
        <f>'St of Activites - GA Rev'!C332</f>
        <v>Stark</v>
      </c>
      <c r="AT332" s="32" t="b">
        <f t="shared" ref="AT332:AT396" si="84">AR332=AS332</f>
        <v>1</v>
      </c>
      <c r="AU332" s="32" t="str">
        <f>'St of Activities - GA Exp'!C332</f>
        <v>Stark</v>
      </c>
      <c r="AV332" s="56"/>
      <c r="AW332" s="32" t="b">
        <f t="shared" si="58"/>
        <v>1</v>
      </c>
    </row>
    <row r="333" spans="1:49">
      <c r="A333" s="11" t="s">
        <v>545</v>
      </c>
      <c r="B333" s="11"/>
      <c r="C333" s="11" t="s">
        <v>64</v>
      </c>
      <c r="D333" s="11"/>
      <c r="E333" s="29">
        <v>50153</v>
      </c>
      <c r="G333" s="7">
        <f t="shared" si="67"/>
        <v>6590433</v>
      </c>
      <c r="I333" s="7">
        <v>3266174</v>
      </c>
      <c r="K333" s="7">
        <v>9856607</v>
      </c>
      <c r="M333" s="7">
        <f t="shared" si="59"/>
        <v>5153146</v>
      </c>
      <c r="O333" s="7">
        <v>234394</v>
      </c>
      <c r="Q333" s="7">
        <f>1306742-234394</f>
        <v>1072348</v>
      </c>
      <c r="S333" s="7">
        <v>6459888</v>
      </c>
      <c r="U333" s="7">
        <v>3252491</v>
      </c>
      <c r="W333" s="7">
        <f t="shared" si="68"/>
        <v>248202</v>
      </c>
      <c r="Y333" s="7">
        <v>-103974</v>
      </c>
      <c r="AA333" s="7">
        <v>3396719</v>
      </c>
      <c r="AB333" s="7">
        <f t="shared" si="69"/>
        <v>0</v>
      </c>
      <c r="AD333" s="32">
        <f t="shared" si="70"/>
        <v>0</v>
      </c>
      <c r="AF333" s="32"/>
      <c r="AH333" s="32" t="str">
        <f>'St of Activites - GA Rev'!A333</f>
        <v>Mathews Local SD</v>
      </c>
      <c r="AI333" s="32" t="str">
        <f t="shared" si="82"/>
        <v>Mathews Local SD</v>
      </c>
      <c r="AJ333" s="32" t="b">
        <f t="shared" si="83"/>
        <v>1</v>
      </c>
      <c r="AL333" s="32" t="str">
        <f>'St of Activities - GA Exp'!A333</f>
        <v>Mathews Local SD</v>
      </c>
      <c r="AN333" s="32" t="b">
        <f t="shared" ref="AN333:AN397" si="85">AH333=AL333</f>
        <v>1</v>
      </c>
      <c r="AR333" s="32" t="str">
        <f t="shared" ref="AR333:AR397" si="86">C333</f>
        <v>Trumbull</v>
      </c>
      <c r="AS333" s="32" t="str">
        <f>'St of Activites - GA Rev'!C333</f>
        <v>Trumbull</v>
      </c>
      <c r="AT333" s="32" t="b">
        <f t="shared" si="84"/>
        <v>1</v>
      </c>
      <c r="AU333" s="32" t="str">
        <f>'St of Activities - GA Exp'!C333</f>
        <v>Trumbull</v>
      </c>
      <c r="AV333" s="56"/>
      <c r="AW333" s="32" t="b">
        <f t="shared" ref="AW333:AW397" si="87">AU333=AS333</f>
        <v>1</v>
      </c>
    </row>
    <row r="334" spans="1:49">
      <c r="A334" s="11" t="s">
        <v>403</v>
      </c>
      <c r="B334" s="11"/>
      <c r="C334" s="11" t="s">
        <v>115</v>
      </c>
      <c r="D334" s="11"/>
      <c r="E334" s="29">
        <v>44362</v>
      </c>
      <c r="G334" s="7">
        <f t="shared" si="67"/>
        <v>25719019</v>
      </c>
      <c r="I334" s="7">
        <v>44413876</v>
      </c>
      <c r="K334" s="7">
        <v>70132895</v>
      </c>
      <c r="M334" s="7">
        <f t="shared" si="59"/>
        <v>22018810</v>
      </c>
      <c r="O334" s="7">
        <v>1351185</v>
      </c>
      <c r="Q334" s="7">
        <f>37725443-1351185</f>
        <v>36374258</v>
      </c>
      <c r="S334" s="7">
        <v>59744253</v>
      </c>
      <c r="U334" s="7">
        <v>9286772</v>
      </c>
      <c r="W334" s="7">
        <f t="shared" si="68"/>
        <v>1940062</v>
      </c>
      <c r="Y334" s="7">
        <v>-838192</v>
      </c>
      <c r="AA334" s="7">
        <v>10388642</v>
      </c>
      <c r="AB334" s="7">
        <f t="shared" si="69"/>
        <v>0</v>
      </c>
      <c r="AD334" s="32">
        <f t="shared" si="70"/>
        <v>0</v>
      </c>
      <c r="AF334" s="32"/>
      <c r="AH334" s="32" t="str">
        <f>'St of Activites - GA Rev'!A334</f>
        <v>Maumee City SD</v>
      </c>
      <c r="AI334" s="32" t="str">
        <f t="shared" si="82"/>
        <v>Maumee City SD</v>
      </c>
      <c r="AJ334" s="32" t="b">
        <f t="shared" si="83"/>
        <v>1</v>
      </c>
      <c r="AL334" s="32" t="str">
        <f>'St of Activities - GA Exp'!A334</f>
        <v>Maumee City SD</v>
      </c>
      <c r="AN334" s="32" t="b">
        <f t="shared" si="85"/>
        <v>1</v>
      </c>
      <c r="AR334" s="32" t="str">
        <f t="shared" si="86"/>
        <v>Lucas</v>
      </c>
      <c r="AS334" s="32" t="str">
        <f>'St of Activites - GA Rev'!C334</f>
        <v>Lucas</v>
      </c>
      <c r="AT334" s="32" t="b">
        <f t="shared" si="84"/>
        <v>1</v>
      </c>
      <c r="AU334" s="32" t="str">
        <f>'St of Activities - GA Exp'!C334</f>
        <v>Lucas</v>
      </c>
      <c r="AV334" s="56"/>
      <c r="AW334" s="32" t="b">
        <f t="shared" si="87"/>
        <v>1</v>
      </c>
    </row>
    <row r="335" spans="1:49">
      <c r="A335" s="11" t="s">
        <v>763</v>
      </c>
      <c r="B335" s="11"/>
      <c r="C335" s="11" t="s">
        <v>20</v>
      </c>
      <c r="D335" s="11"/>
      <c r="E335" s="29">
        <v>44370</v>
      </c>
      <c r="G335" s="7">
        <f t="shared" si="67"/>
        <v>117530082</v>
      </c>
      <c r="I335" s="7">
        <f>6329467+26578572</f>
        <v>32908039</v>
      </c>
      <c r="K335" s="7">
        <v>150438121</v>
      </c>
      <c r="M335" s="7">
        <f t="shared" si="59"/>
        <v>55354567</v>
      </c>
      <c r="O335" s="7">
        <v>2153771</v>
      </c>
      <c r="Q335" s="7">
        <f>48384595-2153771</f>
        <v>46230824</v>
      </c>
      <c r="S335" s="7">
        <v>103739162</v>
      </c>
      <c r="U335" s="7">
        <v>10130995</v>
      </c>
      <c r="W335" s="7">
        <f t="shared" si="68"/>
        <v>10440281</v>
      </c>
      <c r="Y335" s="7">
        <v>26127683</v>
      </c>
      <c r="AA335" s="7">
        <v>46698959</v>
      </c>
      <c r="AB335" s="7">
        <f t="shared" si="69"/>
        <v>0</v>
      </c>
      <c r="AD335" s="32">
        <f t="shared" si="70"/>
        <v>0</v>
      </c>
      <c r="AF335" s="32"/>
      <c r="AH335" s="32" t="str">
        <f>'St of Activites - GA Rev'!A335</f>
        <v xml:space="preserve">Mayfield City SD </v>
      </c>
      <c r="AI335" s="32" t="str">
        <f t="shared" si="82"/>
        <v xml:space="preserve">Mayfield City SD </v>
      </c>
      <c r="AJ335" s="32" t="b">
        <f t="shared" si="83"/>
        <v>1</v>
      </c>
      <c r="AL335" s="32" t="str">
        <f>'St of Activities - GA Exp'!A335</f>
        <v xml:space="preserve">Mayfield City SD </v>
      </c>
      <c r="AN335" s="32" t="b">
        <f t="shared" si="85"/>
        <v>1</v>
      </c>
      <c r="AR335" s="32" t="str">
        <f t="shared" si="86"/>
        <v>Cuyahoga</v>
      </c>
      <c r="AS335" s="32" t="str">
        <f>'St of Activites - GA Rev'!C335</f>
        <v>Cuyahoga</v>
      </c>
      <c r="AT335" s="32" t="b">
        <f t="shared" si="84"/>
        <v>1</v>
      </c>
      <c r="AU335" s="32" t="str">
        <f>'St of Activities - GA Exp'!C335</f>
        <v>Cuyahoga</v>
      </c>
      <c r="AV335" s="56"/>
      <c r="AW335" s="32" t="b">
        <f t="shared" si="87"/>
        <v>1</v>
      </c>
    </row>
    <row r="336" spans="1:49">
      <c r="A336" s="11" t="s">
        <v>458</v>
      </c>
      <c r="B336" s="11"/>
      <c r="C336" s="11" t="s">
        <v>51</v>
      </c>
      <c r="D336" s="11"/>
      <c r="E336" s="29">
        <v>48850</v>
      </c>
      <c r="G336" s="7">
        <f t="shared" si="67"/>
        <v>11922315</v>
      </c>
      <c r="I336" s="7">
        <f>756108+32434425</f>
        <v>33190533</v>
      </c>
      <c r="K336" s="7">
        <v>45112848</v>
      </c>
      <c r="M336" s="7">
        <f t="shared" si="59"/>
        <v>6933290</v>
      </c>
      <c r="O336" s="7">
        <v>469217</v>
      </c>
      <c r="Q336" s="7">
        <f>5614861-469217</f>
        <v>5145644</v>
      </c>
      <c r="S336" s="7">
        <v>12548151</v>
      </c>
      <c r="U336" s="7">
        <v>28766013</v>
      </c>
      <c r="W336" s="7">
        <f t="shared" si="68"/>
        <v>1958962</v>
      </c>
      <c r="Y336" s="7">
        <v>1839722</v>
      </c>
      <c r="AA336" s="7">
        <v>32564697</v>
      </c>
      <c r="AB336" s="7">
        <f t="shared" si="69"/>
        <v>0</v>
      </c>
      <c r="AD336" s="32">
        <f t="shared" si="70"/>
        <v>0</v>
      </c>
      <c r="AF336" s="32"/>
      <c r="AH336" s="32" t="str">
        <f>'St of Activites - GA Rev'!A336</f>
        <v>Maysville Local SD</v>
      </c>
      <c r="AI336" s="32" t="str">
        <f t="shared" si="82"/>
        <v>Maysville Local SD</v>
      </c>
      <c r="AJ336" s="32" t="b">
        <f t="shared" si="83"/>
        <v>1</v>
      </c>
      <c r="AL336" s="32" t="str">
        <f>'St of Activities - GA Exp'!A336</f>
        <v>Maysville Local SD</v>
      </c>
      <c r="AN336" s="32" t="b">
        <f t="shared" si="85"/>
        <v>1</v>
      </c>
      <c r="AR336" s="32" t="str">
        <f t="shared" si="86"/>
        <v>Muskingum</v>
      </c>
      <c r="AS336" s="32" t="str">
        <f>'St of Activites - GA Rev'!C336</f>
        <v>Muskingum</v>
      </c>
      <c r="AT336" s="32" t="b">
        <f t="shared" si="84"/>
        <v>1</v>
      </c>
      <c r="AU336" s="32" t="str">
        <f>'St of Activities - GA Exp'!C336</f>
        <v>Muskingum</v>
      </c>
      <c r="AV336" s="56"/>
      <c r="AW336" s="32" t="b">
        <f t="shared" si="87"/>
        <v>1</v>
      </c>
    </row>
    <row r="337" spans="1:49" s="65" customFormat="1" hidden="1">
      <c r="A337" s="62" t="s">
        <v>932</v>
      </c>
      <c r="B337" s="62"/>
      <c r="C337" s="62" t="s">
        <v>33</v>
      </c>
      <c r="D337" s="62"/>
      <c r="E337" s="64">
        <v>47456</v>
      </c>
      <c r="G337" s="65">
        <f t="shared" si="67"/>
        <v>0</v>
      </c>
      <c r="M337" s="65">
        <f t="shared" ref="M337:M403" si="88">+S337-O337-Q337</f>
        <v>0</v>
      </c>
      <c r="W337" s="65">
        <f t="shared" si="68"/>
        <v>0</v>
      </c>
      <c r="AB337" s="65">
        <f t="shared" si="69"/>
        <v>0</v>
      </c>
      <c r="AD337" s="66">
        <f t="shared" si="70"/>
        <v>0</v>
      </c>
      <c r="AE337" s="65" t="s">
        <v>839</v>
      </c>
      <c r="AF337" s="66"/>
      <c r="AH337" s="66" t="str">
        <f>'St of Activites - GA Rev'!A337</f>
        <v>McComb Local SD (CASH)</v>
      </c>
      <c r="AI337" s="66" t="str">
        <f t="shared" si="82"/>
        <v>McComb Local SD (CASH)</v>
      </c>
      <c r="AJ337" s="66" t="b">
        <f t="shared" si="83"/>
        <v>1</v>
      </c>
      <c r="AL337" s="66" t="str">
        <f>'St of Activities - GA Exp'!A337</f>
        <v>McComb Local SD (CASH)</v>
      </c>
      <c r="AN337" s="66" t="b">
        <f t="shared" si="85"/>
        <v>1</v>
      </c>
      <c r="AR337" s="66" t="str">
        <f t="shared" si="86"/>
        <v>Hancock</v>
      </c>
      <c r="AS337" s="66" t="str">
        <f>'St of Activites - GA Rev'!C337</f>
        <v>Hancock</v>
      </c>
      <c r="AT337" s="66" t="b">
        <f t="shared" si="84"/>
        <v>1</v>
      </c>
      <c r="AU337" s="66" t="str">
        <f>'St of Activities - GA Exp'!C337</f>
        <v>Hancock</v>
      </c>
      <c r="AV337" s="86"/>
      <c r="AW337" s="66" t="b">
        <f t="shared" si="87"/>
        <v>1</v>
      </c>
    </row>
    <row r="338" spans="1:49">
      <c r="A338" s="11" t="s">
        <v>667</v>
      </c>
      <c r="B338" s="11"/>
      <c r="C338" s="11" t="s">
        <v>64</v>
      </c>
      <c r="D338" s="11"/>
      <c r="E338" s="29">
        <v>50229</v>
      </c>
      <c r="G338" s="7">
        <f t="shared" si="67"/>
        <v>3052586</v>
      </c>
      <c r="I338" s="7">
        <f>311600+13639807</f>
        <v>13951407</v>
      </c>
      <c r="K338" s="7">
        <v>17003993</v>
      </c>
      <c r="M338" s="7">
        <f t="shared" si="88"/>
        <v>3508196</v>
      </c>
      <c r="O338" s="7">
        <v>220124</v>
      </c>
      <c r="Q338" s="7">
        <f>1806110-220124</f>
        <v>1585986</v>
      </c>
      <c r="S338" s="7">
        <v>5314306</v>
      </c>
      <c r="U338" s="7">
        <v>12695657</v>
      </c>
      <c r="W338" s="7">
        <f t="shared" si="68"/>
        <v>255796</v>
      </c>
      <c r="Y338" s="7">
        <v>-1261766</v>
      </c>
      <c r="AA338" s="7">
        <v>11689687</v>
      </c>
      <c r="AB338" s="7">
        <f t="shared" si="69"/>
        <v>0</v>
      </c>
      <c r="AD338" s="32">
        <f t="shared" si="70"/>
        <v>0</v>
      </c>
      <c r="AF338" s="32"/>
      <c r="AH338" s="32" t="str">
        <f>'St of Activites - GA Rev'!A338</f>
        <v>McDonald Local SD</v>
      </c>
      <c r="AI338" s="32" t="str">
        <f t="shared" si="82"/>
        <v>McDonald Local SD</v>
      </c>
      <c r="AJ338" s="32" t="b">
        <f t="shared" si="83"/>
        <v>1</v>
      </c>
      <c r="AL338" s="32" t="str">
        <f>'St of Activities - GA Exp'!A338</f>
        <v>McDonald Local SD</v>
      </c>
      <c r="AN338" s="32" t="b">
        <f t="shared" si="85"/>
        <v>1</v>
      </c>
      <c r="AR338" s="32" t="str">
        <f t="shared" si="86"/>
        <v>Trumbull</v>
      </c>
      <c r="AS338" s="32" t="str">
        <f>'St of Activites - GA Rev'!C338</f>
        <v>Trumbull</v>
      </c>
      <c r="AT338" s="32" t="b">
        <f t="shared" si="84"/>
        <v>1</v>
      </c>
      <c r="AU338" s="32" t="str">
        <f>'St of Activities - GA Exp'!C338</f>
        <v>Trumbull</v>
      </c>
      <c r="AV338" s="56"/>
      <c r="AW338" s="32" t="b">
        <f t="shared" si="87"/>
        <v>1</v>
      </c>
    </row>
    <row r="339" spans="1:49">
      <c r="A339" s="11" t="s">
        <v>877</v>
      </c>
      <c r="B339" s="11"/>
      <c r="C339" s="11" t="s">
        <v>232</v>
      </c>
      <c r="D339" s="11"/>
      <c r="E339" s="29">
        <v>45484</v>
      </c>
      <c r="G339" s="7">
        <f t="shared" si="67"/>
        <v>5723276</v>
      </c>
      <c r="I339" s="7">
        <v>24047663</v>
      </c>
      <c r="K339" s="7">
        <v>29770939</v>
      </c>
      <c r="M339" s="7">
        <f t="shared" si="88"/>
        <v>3535559</v>
      </c>
      <c r="O339" s="7">
        <v>380550</v>
      </c>
      <c r="Q339" s="7">
        <f>8135623-380550</f>
        <v>7755073</v>
      </c>
      <c r="S339" s="7">
        <v>11671182</v>
      </c>
      <c r="U339" s="7">
        <v>17368616</v>
      </c>
      <c r="W339" s="7">
        <f t="shared" si="68"/>
        <v>1025614</v>
      </c>
      <c r="Y339" s="7">
        <v>-294473</v>
      </c>
      <c r="AA339" s="7">
        <v>18099757</v>
      </c>
      <c r="AB339" s="7">
        <f t="shared" si="69"/>
        <v>0</v>
      </c>
      <c r="AD339" s="32">
        <f t="shared" si="70"/>
        <v>0</v>
      </c>
      <c r="AF339" s="32"/>
      <c r="AH339" s="32" t="str">
        <f>'St of Activites - GA Rev'!A339</f>
        <v>Mechanicsburg Exempted Village SD</v>
      </c>
      <c r="AI339" s="32" t="str">
        <f t="shared" si="82"/>
        <v>Mechanicsburg Exempted Village SD</v>
      </c>
      <c r="AJ339" s="32" t="b">
        <f t="shared" si="83"/>
        <v>1</v>
      </c>
      <c r="AL339" s="32" t="str">
        <f>'St of Activities - GA Exp'!A339</f>
        <v>Mechanicsburg Exempted Village SD</v>
      </c>
      <c r="AN339" s="32" t="b">
        <f t="shared" si="85"/>
        <v>1</v>
      </c>
      <c r="AR339" s="32" t="str">
        <f t="shared" si="86"/>
        <v>Champaign</v>
      </c>
      <c r="AS339" s="32" t="str">
        <f>'St of Activites - GA Rev'!C339</f>
        <v>Champaign</v>
      </c>
      <c r="AT339" s="32" t="b">
        <f t="shared" si="84"/>
        <v>1</v>
      </c>
      <c r="AU339" s="32" t="str">
        <f>'St of Activities - GA Exp'!C339</f>
        <v>Champaign</v>
      </c>
      <c r="AV339" s="56"/>
      <c r="AW339" s="32" t="b">
        <f t="shared" si="87"/>
        <v>1</v>
      </c>
    </row>
    <row r="340" spans="1:49">
      <c r="A340" s="11" t="s">
        <v>431</v>
      </c>
      <c r="B340" s="11"/>
      <c r="C340" s="11" t="s">
        <v>47</v>
      </c>
      <c r="D340" s="11"/>
      <c r="E340" s="29">
        <v>44388</v>
      </c>
      <c r="G340" s="7">
        <f t="shared" si="67"/>
        <v>82085682</v>
      </c>
      <c r="I340" s="7">
        <f>3092806+103824614</f>
        <v>106917420</v>
      </c>
      <c r="K340" s="7">
        <v>189003102</v>
      </c>
      <c r="M340" s="7">
        <f t="shared" si="88"/>
        <v>55311679</v>
      </c>
      <c r="O340" s="7">
        <v>4285507</v>
      </c>
      <c r="Q340" s="7">
        <f>97913586-4285507</f>
        <v>93628079</v>
      </c>
      <c r="S340" s="7">
        <v>153225265</v>
      </c>
      <c r="U340" s="7">
        <v>17924870</v>
      </c>
      <c r="W340" s="7">
        <f t="shared" si="68"/>
        <v>10006282</v>
      </c>
      <c r="Y340" s="7">
        <v>7846685</v>
      </c>
      <c r="AA340" s="7">
        <v>35777837</v>
      </c>
      <c r="AB340" s="7">
        <f>+K340-S340-AA340</f>
        <v>0</v>
      </c>
      <c r="AD340" s="32">
        <f t="shared" si="70"/>
        <v>0</v>
      </c>
      <c r="AF340" s="32"/>
      <c r="AH340" s="32" t="str">
        <f>'St of Activites - GA Rev'!A340</f>
        <v>Medina City SD</v>
      </c>
      <c r="AI340" s="32" t="str">
        <f t="shared" si="82"/>
        <v>Medina City SD</v>
      </c>
      <c r="AJ340" s="32" t="b">
        <f t="shared" si="83"/>
        <v>1</v>
      </c>
      <c r="AL340" s="32" t="str">
        <f>'St of Activities - GA Exp'!A340</f>
        <v>Medina City SD</v>
      </c>
      <c r="AN340" s="32" t="b">
        <f t="shared" si="85"/>
        <v>1</v>
      </c>
      <c r="AR340" s="32" t="str">
        <f t="shared" si="86"/>
        <v>Medina</v>
      </c>
      <c r="AS340" s="32" t="str">
        <f>'St of Activites - GA Rev'!C340</f>
        <v>Medina</v>
      </c>
      <c r="AT340" s="32" t="b">
        <f t="shared" si="84"/>
        <v>1</v>
      </c>
      <c r="AU340" s="32" t="str">
        <f>'St of Activities - GA Exp'!C340</f>
        <v>Medina</v>
      </c>
      <c r="AV340" s="56"/>
      <c r="AW340" s="32" t="b">
        <f t="shared" si="87"/>
        <v>1</v>
      </c>
    </row>
    <row r="341" spans="1:49">
      <c r="A341" s="11" t="s">
        <v>434</v>
      </c>
      <c r="B341" s="11"/>
      <c r="C341" s="11" t="s">
        <v>433</v>
      </c>
      <c r="D341" s="11"/>
      <c r="E341" s="29">
        <v>48520</v>
      </c>
      <c r="G341" s="7">
        <f t="shared" si="67"/>
        <v>10118508</v>
      </c>
      <c r="I341" s="7">
        <f>63284+25944287</f>
        <v>26007571</v>
      </c>
      <c r="K341" s="7">
        <v>36126079</v>
      </c>
      <c r="M341" s="7">
        <f t="shared" si="88"/>
        <v>4490155</v>
      </c>
      <c r="O341" s="7">
        <v>292691</v>
      </c>
      <c r="Q341" s="7">
        <f>6173787-292691</f>
        <v>5881096</v>
      </c>
      <c r="S341" s="7">
        <v>10663942</v>
      </c>
      <c r="U341" s="7">
        <v>21552168</v>
      </c>
      <c r="W341" s="7">
        <f t="shared" si="68"/>
        <v>2404249</v>
      </c>
      <c r="Y341" s="7">
        <v>1505720</v>
      </c>
      <c r="AA341" s="7">
        <v>25462137</v>
      </c>
      <c r="AB341" s="7">
        <f t="shared" si="69"/>
        <v>0</v>
      </c>
      <c r="AD341" s="32">
        <f t="shared" si="70"/>
        <v>0</v>
      </c>
      <c r="AE341" s="7" t="s">
        <v>933</v>
      </c>
      <c r="AF341" s="32"/>
      <c r="AH341" s="32" t="str">
        <f>'St of Activites - GA Rev'!A341</f>
        <v>Meigs Local SD</v>
      </c>
      <c r="AI341" s="32" t="str">
        <f t="shared" si="82"/>
        <v>Meigs Local SD</v>
      </c>
      <c r="AJ341" s="32" t="b">
        <f t="shared" si="83"/>
        <v>1</v>
      </c>
      <c r="AL341" s="32" t="str">
        <f>'St of Activities - GA Exp'!A341</f>
        <v>Meigs Local SD</v>
      </c>
      <c r="AN341" s="32" t="b">
        <f t="shared" si="85"/>
        <v>1</v>
      </c>
      <c r="AR341" s="32" t="str">
        <f t="shared" si="86"/>
        <v>Meigs</v>
      </c>
      <c r="AS341" s="32" t="str">
        <f>'St of Activites - GA Rev'!C341</f>
        <v>Meigs</v>
      </c>
      <c r="AT341" s="32" t="b">
        <f t="shared" si="84"/>
        <v>1</v>
      </c>
      <c r="AU341" s="32" t="str">
        <f>'St of Activities - GA Exp'!C341</f>
        <v>Meigs</v>
      </c>
      <c r="AV341" s="56"/>
      <c r="AW341" s="32" t="b">
        <f t="shared" si="87"/>
        <v>1</v>
      </c>
    </row>
    <row r="342" spans="1:49">
      <c r="A342" s="11" t="s">
        <v>878</v>
      </c>
      <c r="B342" s="11"/>
      <c r="C342" s="11" t="s">
        <v>41</v>
      </c>
      <c r="D342" s="11"/>
      <c r="E342" s="29">
        <v>45492</v>
      </c>
      <c r="G342" s="7">
        <f t="shared" si="67"/>
        <v>136346484</v>
      </c>
      <c r="I342" s="7">
        <f>964132+16356252</f>
        <v>17320384</v>
      </c>
      <c r="K342" s="7">
        <v>153666868</v>
      </c>
      <c r="M342" s="7">
        <f t="shared" si="88"/>
        <v>68636114</v>
      </c>
      <c r="O342" s="7">
        <v>4062511</v>
      </c>
      <c r="Q342" s="7">
        <f>10909739-4062511</f>
        <v>6847228</v>
      </c>
      <c r="S342" s="7">
        <v>79545853</v>
      </c>
      <c r="U342" s="7">
        <v>14759054</v>
      </c>
      <c r="W342" s="7">
        <f t="shared" si="68"/>
        <v>2010071</v>
      </c>
      <c r="Y342" s="7">
        <v>57351890</v>
      </c>
      <c r="AA342" s="7">
        <v>74121015</v>
      </c>
      <c r="AB342" s="7">
        <f t="shared" si="69"/>
        <v>0</v>
      </c>
      <c r="AD342" s="32">
        <f t="shared" si="70"/>
        <v>0</v>
      </c>
      <c r="AF342" s="32"/>
      <c r="AH342" s="32" t="str">
        <f>'St of Activites - GA Rev'!A342</f>
        <v>Mentor Exempted Village SD</v>
      </c>
      <c r="AI342" s="32" t="str">
        <f t="shared" si="82"/>
        <v>Mentor Exempted Village SD</v>
      </c>
      <c r="AJ342" s="32" t="b">
        <f t="shared" si="83"/>
        <v>1</v>
      </c>
      <c r="AL342" s="32" t="str">
        <f>'St of Activities - GA Exp'!A342</f>
        <v>Mentor Exempted Village SD</v>
      </c>
      <c r="AN342" s="32" t="b">
        <f t="shared" si="85"/>
        <v>1</v>
      </c>
      <c r="AR342" s="32" t="str">
        <f t="shared" si="86"/>
        <v>Lake</v>
      </c>
      <c r="AS342" s="32" t="str">
        <f>'St of Activites - GA Rev'!C342</f>
        <v>Lake</v>
      </c>
      <c r="AT342" s="32" t="b">
        <f t="shared" si="84"/>
        <v>1</v>
      </c>
      <c r="AU342" s="32" t="str">
        <f>'St of Activities - GA Exp'!C342</f>
        <v>Lake</v>
      </c>
      <c r="AV342" s="56"/>
      <c r="AW342" s="32" t="b">
        <f t="shared" si="87"/>
        <v>1</v>
      </c>
    </row>
    <row r="343" spans="1:49">
      <c r="A343" s="11" t="s">
        <v>437</v>
      </c>
      <c r="B343" s="11"/>
      <c r="C343" s="11" t="s">
        <v>48</v>
      </c>
      <c r="D343" s="11"/>
      <c r="E343" s="29">
        <v>48629</v>
      </c>
      <c r="G343" s="7">
        <f t="shared" si="67"/>
        <v>13592115</v>
      </c>
      <c r="I343" s="7">
        <f>15328870+13626805</f>
        <v>28955675</v>
      </c>
      <c r="K343" s="7">
        <v>42547790</v>
      </c>
      <c r="M343" s="7">
        <f t="shared" si="88"/>
        <v>7388767</v>
      </c>
      <c r="O343" s="7">
        <v>936111</v>
      </c>
      <c r="Q343" s="7">
        <f>19149030-936111</f>
        <v>18212919</v>
      </c>
      <c r="S343" s="7">
        <v>26537797</v>
      </c>
      <c r="U343" s="7">
        <v>12641473</v>
      </c>
      <c r="W343" s="7">
        <f t="shared" si="68"/>
        <v>5694845</v>
      </c>
      <c r="Y343" s="7">
        <v>-2326325</v>
      </c>
      <c r="AA343" s="7">
        <v>16009993</v>
      </c>
      <c r="AB343" s="7">
        <f t="shared" si="69"/>
        <v>0</v>
      </c>
      <c r="AD343" s="32">
        <f t="shared" si="70"/>
        <v>0</v>
      </c>
      <c r="AF343" s="32"/>
      <c r="AH343" s="32" t="str">
        <f>'St of Activites - GA Rev'!A343</f>
        <v>Miami East Local SD</v>
      </c>
      <c r="AI343" s="32" t="str">
        <f t="shared" si="82"/>
        <v>Miami East Local SD</v>
      </c>
      <c r="AJ343" s="32" t="b">
        <f t="shared" si="83"/>
        <v>1</v>
      </c>
      <c r="AL343" s="32" t="str">
        <f>'St of Activities - GA Exp'!A343</f>
        <v>Miami East Local SD</v>
      </c>
      <c r="AN343" s="32" t="b">
        <f t="shared" si="85"/>
        <v>1</v>
      </c>
      <c r="AR343" s="32" t="str">
        <f t="shared" si="86"/>
        <v>Miami</v>
      </c>
      <c r="AS343" s="32" t="str">
        <f>'St of Activites - GA Rev'!C343</f>
        <v>Miami</v>
      </c>
      <c r="AT343" s="32" t="b">
        <f t="shared" si="84"/>
        <v>1</v>
      </c>
      <c r="AU343" s="32" t="str">
        <f>'St of Activities - GA Exp'!C343</f>
        <v>Miami</v>
      </c>
      <c r="AV343" s="56"/>
      <c r="AW343" s="32" t="b">
        <f t="shared" si="87"/>
        <v>1</v>
      </c>
    </row>
    <row r="344" spans="1:49">
      <c r="A344" s="11" t="s">
        <v>303</v>
      </c>
      <c r="B344" s="11"/>
      <c r="C344" s="11" t="s">
        <v>26</v>
      </c>
      <c r="D344" s="11"/>
      <c r="E344" s="29">
        <v>46920</v>
      </c>
      <c r="G344" s="7">
        <f t="shared" si="67"/>
        <v>29034477</v>
      </c>
      <c r="I344" s="7">
        <f>90889+50443787</f>
        <v>50534676</v>
      </c>
      <c r="K344" s="7">
        <v>79569153</v>
      </c>
      <c r="M344" s="7">
        <f t="shared" si="88"/>
        <v>10777608</v>
      </c>
      <c r="O344" s="7">
        <v>777614</v>
      </c>
      <c r="Q344" s="7">
        <f>28749555-777614</f>
        <v>27971941</v>
      </c>
      <c r="S344" s="7">
        <v>39527163</v>
      </c>
      <c r="U344" s="7">
        <v>23748828</v>
      </c>
      <c r="W344" s="7">
        <f t="shared" si="68"/>
        <v>6218787</v>
      </c>
      <c r="Y344" s="7">
        <v>10074375</v>
      </c>
      <c r="AA344" s="7">
        <v>40041990</v>
      </c>
      <c r="AB344" s="7">
        <f t="shared" si="69"/>
        <v>0</v>
      </c>
      <c r="AD344" s="32">
        <f t="shared" si="70"/>
        <v>0</v>
      </c>
      <c r="AF344" s="32"/>
      <c r="AH344" s="32" t="str">
        <f>'St of Activites - GA Rev'!A344</f>
        <v>Miami Trace Local SD</v>
      </c>
      <c r="AI344" s="32" t="str">
        <f t="shared" si="82"/>
        <v>Miami Trace Local SD</v>
      </c>
      <c r="AJ344" s="32" t="b">
        <f t="shared" si="83"/>
        <v>1</v>
      </c>
      <c r="AL344" s="32" t="str">
        <f>'St of Activities - GA Exp'!A344</f>
        <v>Miami Trace Local SD</v>
      </c>
      <c r="AN344" s="32" t="b">
        <f t="shared" si="85"/>
        <v>1</v>
      </c>
      <c r="AR344" s="32" t="str">
        <f t="shared" si="86"/>
        <v>Fayette</v>
      </c>
      <c r="AS344" s="32" t="str">
        <f>'St of Activites - GA Rev'!C344</f>
        <v>Fayette</v>
      </c>
      <c r="AT344" s="32" t="b">
        <f t="shared" si="84"/>
        <v>1</v>
      </c>
      <c r="AU344" s="32" t="str">
        <f>'St of Activities - GA Exp'!C344</f>
        <v>Fayette</v>
      </c>
      <c r="AV344" s="56"/>
      <c r="AW344" s="32" t="b">
        <f t="shared" si="87"/>
        <v>1</v>
      </c>
    </row>
    <row r="345" spans="1:49">
      <c r="A345" s="11" t="s">
        <v>445</v>
      </c>
      <c r="B345" s="11"/>
      <c r="C345" s="11" t="s">
        <v>50</v>
      </c>
      <c r="D345" s="11"/>
      <c r="E345" s="29">
        <v>44396</v>
      </c>
      <c r="G345" s="7">
        <f t="shared" si="67"/>
        <v>82564602</v>
      </c>
      <c r="I345" s="7">
        <f>39585039+34412741</f>
        <v>73997780</v>
      </c>
      <c r="K345" s="7">
        <v>156562382</v>
      </c>
      <c r="M345" s="7">
        <f t="shared" si="88"/>
        <v>42272783</v>
      </c>
      <c r="O345" s="7">
        <v>1567789</v>
      </c>
      <c r="Q345" s="7">
        <f>90079757-1567789</f>
        <v>88511968</v>
      </c>
      <c r="S345" s="7">
        <v>132352540</v>
      </c>
      <c r="U345" s="7">
        <v>16180063</v>
      </c>
      <c r="W345" s="7">
        <f t="shared" si="68"/>
        <v>13186096</v>
      </c>
      <c r="Y345" s="7">
        <v>-5156317</v>
      </c>
      <c r="AA345" s="7">
        <v>24209842</v>
      </c>
      <c r="AB345" s="7">
        <f t="shared" si="69"/>
        <v>0</v>
      </c>
      <c r="AD345" s="32">
        <f t="shared" si="70"/>
        <v>0</v>
      </c>
      <c r="AF345" s="32"/>
      <c r="AH345" s="32" t="str">
        <f>'St of Activites - GA Rev'!A345</f>
        <v>Miamisburg City SD</v>
      </c>
      <c r="AI345" s="32" t="str">
        <f t="shared" si="82"/>
        <v>Miamisburg City SD</v>
      </c>
      <c r="AJ345" s="32" t="b">
        <f t="shared" si="83"/>
        <v>1</v>
      </c>
      <c r="AL345" s="32" t="str">
        <f>'St of Activities - GA Exp'!A345</f>
        <v>Miamisburg City SD</v>
      </c>
      <c r="AN345" s="32" t="b">
        <f t="shared" si="85"/>
        <v>1</v>
      </c>
      <c r="AR345" s="32" t="str">
        <f t="shared" si="86"/>
        <v>Montgomery</v>
      </c>
      <c r="AS345" s="32" t="str">
        <f>'St of Activites - GA Rev'!C345</f>
        <v>Montgomery</v>
      </c>
      <c r="AT345" s="32" t="b">
        <f t="shared" si="84"/>
        <v>1</v>
      </c>
      <c r="AU345" s="32" t="str">
        <f>'St of Activities - GA Exp'!C345</f>
        <v>Montgomery</v>
      </c>
      <c r="AV345" s="56"/>
      <c r="AW345" s="32" t="b">
        <f t="shared" si="87"/>
        <v>1</v>
      </c>
    </row>
    <row r="346" spans="1:49" s="65" customFormat="1" hidden="1">
      <c r="A346" s="62" t="s">
        <v>942</v>
      </c>
      <c r="B346" s="63"/>
      <c r="C346" s="63" t="s">
        <v>53</v>
      </c>
      <c r="D346" s="62"/>
      <c r="E346" s="64"/>
      <c r="G346" s="65">
        <f t="shared" si="67"/>
        <v>0</v>
      </c>
      <c r="M346" s="65">
        <f t="shared" si="88"/>
        <v>0</v>
      </c>
      <c r="W346" s="65">
        <f t="shared" si="68"/>
        <v>0</v>
      </c>
      <c r="AB346" s="65">
        <f t="shared" ref="AB346" si="89">+K346-S346-AA346</f>
        <v>0</v>
      </c>
      <c r="AD346" s="66">
        <f t="shared" ref="AD346" si="90">+G346+I346+-M346-O346-U346-W346-Y346-Q346</f>
        <v>0</v>
      </c>
      <c r="AE346" s="65" t="s">
        <v>931</v>
      </c>
      <c r="AF346" s="66"/>
      <c r="AH346" s="66" t="str">
        <f>'St of Activites - GA Rev'!A346</f>
        <v>Middle Bass Local SD (Two year Audit - CASH)</v>
      </c>
      <c r="AI346" s="66" t="str">
        <f t="shared" ref="AI346" si="91">A346</f>
        <v>Middle Bass Local SD (Two year Audit - CASH)</v>
      </c>
      <c r="AJ346" s="66" t="b">
        <f t="shared" ref="AJ346" si="92">AH346=AI346</f>
        <v>1</v>
      </c>
      <c r="AL346" s="66" t="str">
        <f>'St of Activities - GA Exp'!A346</f>
        <v>Middle Bass Local SD (Two year Audit - CASH)</v>
      </c>
      <c r="AN346" s="66" t="b">
        <f t="shared" ref="AN346" si="93">AH346=AL346</f>
        <v>1</v>
      </c>
      <c r="AR346" s="66" t="str">
        <f t="shared" ref="AR346" si="94">C346</f>
        <v>Ottawa</v>
      </c>
      <c r="AS346" s="66" t="str">
        <f>'St of Activites - GA Rev'!C346</f>
        <v>Ottawa</v>
      </c>
      <c r="AT346" s="66" t="b">
        <f t="shared" ref="AT346" si="95">AR346=AS346</f>
        <v>1</v>
      </c>
      <c r="AU346" s="66" t="str">
        <f>'St of Activities - GA Exp'!C346</f>
        <v>Ottawa</v>
      </c>
      <c r="AV346" s="86"/>
      <c r="AW346" s="66" t="b">
        <f t="shared" ref="AW346" si="96">AU346=AS346</f>
        <v>1</v>
      </c>
    </row>
    <row r="347" spans="1:49">
      <c r="A347" s="11" t="s">
        <v>228</v>
      </c>
      <c r="B347" s="11"/>
      <c r="C347" s="11" t="s">
        <v>223</v>
      </c>
      <c r="D347" s="11"/>
      <c r="E347" s="29">
        <v>44404</v>
      </c>
      <c r="G347" s="7">
        <f t="shared" si="67"/>
        <v>47312480</v>
      </c>
      <c r="I347" s="7">
        <v>71584642</v>
      </c>
      <c r="K347" s="7">
        <v>118897122</v>
      </c>
      <c r="M347" s="7">
        <f t="shared" si="88"/>
        <v>39027817</v>
      </c>
      <c r="O347" s="7">
        <v>1981145</v>
      </c>
      <c r="Q347" s="7">
        <f>67909711-1981145</f>
        <v>65928566</v>
      </c>
      <c r="S347" s="7">
        <v>106937528</v>
      </c>
      <c r="U347" s="7">
        <v>8243758</v>
      </c>
      <c r="W347" s="7">
        <f t="shared" si="68"/>
        <v>5998474</v>
      </c>
      <c r="Y347" s="7">
        <v>-2282638</v>
      </c>
      <c r="AA347" s="7">
        <v>11959594</v>
      </c>
      <c r="AB347" s="7">
        <f t="shared" si="69"/>
        <v>0</v>
      </c>
      <c r="AD347" s="32">
        <f t="shared" si="70"/>
        <v>0</v>
      </c>
      <c r="AF347" s="32"/>
      <c r="AH347" s="32" t="str">
        <f>'St of Activites - GA Rev'!A347</f>
        <v>Middletown City SD</v>
      </c>
      <c r="AI347" s="32" t="str">
        <f t="shared" si="82"/>
        <v>Middletown City SD</v>
      </c>
      <c r="AJ347" s="32" t="b">
        <f t="shared" si="83"/>
        <v>1</v>
      </c>
      <c r="AL347" s="32" t="str">
        <f>'St of Activities - GA Exp'!A347</f>
        <v>Middletown City SD</v>
      </c>
      <c r="AN347" s="32" t="b">
        <f t="shared" si="85"/>
        <v>1</v>
      </c>
      <c r="AR347" s="32" t="str">
        <f t="shared" si="86"/>
        <v>Butler</v>
      </c>
      <c r="AS347" s="32" t="str">
        <f>'St of Activites - GA Rev'!C347</f>
        <v>Butler</v>
      </c>
      <c r="AT347" s="32" t="b">
        <f t="shared" si="84"/>
        <v>1</v>
      </c>
      <c r="AU347" s="32" t="str">
        <f>'St of Activities - GA Exp'!C347</f>
        <v>Butler</v>
      </c>
      <c r="AV347" s="56"/>
      <c r="AW347" s="32" t="b">
        <f t="shared" si="87"/>
        <v>1</v>
      </c>
    </row>
    <row r="348" spans="1:49">
      <c r="A348" s="11" t="s">
        <v>399</v>
      </c>
      <c r="B348" s="11"/>
      <c r="C348" s="11" t="s">
        <v>44</v>
      </c>
      <c r="D348" s="11"/>
      <c r="E348" s="29">
        <v>48173</v>
      </c>
      <c r="G348" s="7">
        <f t="shared" si="67"/>
        <v>31300621</v>
      </c>
      <c r="I348" s="7">
        <f>5099880+28499739</f>
        <v>33599619</v>
      </c>
      <c r="K348" s="7">
        <v>64900240</v>
      </c>
      <c r="M348" s="7">
        <f t="shared" si="88"/>
        <v>16156652</v>
      </c>
      <c r="O348" s="7">
        <v>1081415</v>
      </c>
      <c r="Q348" s="7">
        <f>29126776-1081415</f>
        <v>28045361</v>
      </c>
      <c r="S348" s="7">
        <v>45283428</v>
      </c>
      <c r="U348" s="7">
        <v>8434619</v>
      </c>
      <c r="W348" s="7">
        <f t="shared" si="68"/>
        <v>10432174</v>
      </c>
      <c r="Y348" s="7">
        <v>750019</v>
      </c>
      <c r="AA348" s="7">
        <v>19616812</v>
      </c>
      <c r="AB348" s="7">
        <f t="shared" si="69"/>
        <v>0</v>
      </c>
      <c r="AD348" s="32">
        <f t="shared" si="70"/>
        <v>0</v>
      </c>
      <c r="AE348" s="7" t="s">
        <v>933</v>
      </c>
      <c r="AF348" s="32"/>
      <c r="AH348" s="32" t="str">
        <f>'St of Activites - GA Rev'!A348</f>
        <v>Midview Local SD</v>
      </c>
      <c r="AI348" s="32" t="str">
        <f t="shared" si="82"/>
        <v>Midview Local SD</v>
      </c>
      <c r="AJ348" s="32" t="b">
        <f t="shared" si="83"/>
        <v>1</v>
      </c>
      <c r="AL348" s="32" t="str">
        <f>'St of Activities - GA Exp'!A348</f>
        <v>Midview Local SD</v>
      </c>
      <c r="AN348" s="32" t="b">
        <f t="shared" si="85"/>
        <v>1</v>
      </c>
      <c r="AR348" s="32" t="str">
        <f t="shared" si="86"/>
        <v>Lorain</v>
      </c>
      <c r="AS348" s="32" t="str">
        <f>'St of Activites - GA Rev'!C348</f>
        <v>Lorain</v>
      </c>
      <c r="AT348" s="32" t="b">
        <f t="shared" si="84"/>
        <v>1</v>
      </c>
      <c r="AU348" s="32" t="str">
        <f>'St of Activities - GA Exp'!C348</f>
        <v>Lorain</v>
      </c>
      <c r="AV348" s="56"/>
      <c r="AW348" s="32" t="b">
        <f t="shared" si="87"/>
        <v>1</v>
      </c>
    </row>
    <row r="349" spans="1:49">
      <c r="A349" s="12" t="s">
        <v>879</v>
      </c>
      <c r="B349" s="12"/>
      <c r="C349" s="12" t="s">
        <v>113</v>
      </c>
      <c r="D349" s="12"/>
      <c r="E349" s="29">
        <v>45500</v>
      </c>
      <c r="G349" s="7">
        <f t="shared" si="67"/>
        <v>60611101</v>
      </c>
      <c r="I349" s="7">
        <f>4938233+74745790</f>
        <v>79684023</v>
      </c>
      <c r="K349" s="7">
        <v>140295124</v>
      </c>
      <c r="M349" s="7">
        <f t="shared" si="88"/>
        <v>40559213</v>
      </c>
      <c r="O349" s="7">
        <v>1467215</v>
      </c>
      <c r="Q349" s="7">
        <f>73195854-1467215</f>
        <v>71728639</v>
      </c>
      <c r="S349" s="7">
        <v>113755067</v>
      </c>
      <c r="U349" s="7">
        <v>9697284</v>
      </c>
      <c r="W349" s="7">
        <f t="shared" si="68"/>
        <v>5391940</v>
      </c>
      <c r="Y349" s="7">
        <v>11450833</v>
      </c>
      <c r="AA349" s="7">
        <v>26540057</v>
      </c>
      <c r="AB349" s="7">
        <f t="shared" si="69"/>
        <v>0</v>
      </c>
      <c r="AD349" s="7">
        <f t="shared" si="70"/>
        <v>0</v>
      </c>
      <c r="AH349" s="32" t="str">
        <f>'St of Activites - GA Rev'!A349</f>
        <v>Milford Exempted Village SD</v>
      </c>
      <c r="AI349" s="32" t="str">
        <f t="shared" si="82"/>
        <v>Milford Exempted Village SD</v>
      </c>
      <c r="AJ349" s="32" t="b">
        <f t="shared" si="83"/>
        <v>1</v>
      </c>
      <c r="AL349" s="32" t="str">
        <f>'St of Activities - GA Exp'!A349</f>
        <v>Milford Exempted Village SD</v>
      </c>
      <c r="AN349" s="32" t="b">
        <f t="shared" si="85"/>
        <v>1</v>
      </c>
      <c r="AR349" s="32" t="str">
        <f t="shared" si="86"/>
        <v>Clermont</v>
      </c>
      <c r="AS349" s="32" t="str">
        <f>'St of Activites - GA Rev'!C349</f>
        <v>Clermont</v>
      </c>
      <c r="AT349" s="32" t="b">
        <f t="shared" si="84"/>
        <v>1</v>
      </c>
      <c r="AU349" s="32" t="str">
        <f>'St of Activities - GA Exp'!C349</f>
        <v>Clermont</v>
      </c>
      <c r="AV349" s="56"/>
      <c r="AW349" s="32" t="b">
        <f t="shared" si="87"/>
        <v>1</v>
      </c>
    </row>
    <row r="350" spans="1:49" s="65" customFormat="1" hidden="1">
      <c r="A350" s="62" t="s">
        <v>639</v>
      </c>
      <c r="B350" s="62"/>
      <c r="C350" s="62" t="s">
        <v>570</v>
      </c>
      <c r="D350" s="62"/>
      <c r="E350" s="64">
        <v>50633</v>
      </c>
      <c r="G350" s="65">
        <f t="shared" si="67"/>
        <v>0</v>
      </c>
      <c r="M350" s="65">
        <f t="shared" si="88"/>
        <v>0</v>
      </c>
      <c r="W350" s="65">
        <f t="shared" si="68"/>
        <v>0</v>
      </c>
      <c r="AB350" s="65">
        <f t="shared" si="69"/>
        <v>0</v>
      </c>
      <c r="AD350" s="66">
        <f t="shared" si="70"/>
        <v>0</v>
      </c>
      <c r="AE350" s="65" t="s">
        <v>839</v>
      </c>
      <c r="AF350" s="66"/>
      <c r="AH350" s="66" t="str">
        <f>'St of Activites - GA Rev'!A350</f>
        <v>Millcreek-West Unity Local SD (CASH)</v>
      </c>
      <c r="AI350" s="66" t="str">
        <f t="shared" si="82"/>
        <v>Millcreek-West Unity Local SD (CASH)</v>
      </c>
      <c r="AJ350" s="66" t="b">
        <f t="shared" si="83"/>
        <v>1</v>
      </c>
      <c r="AL350" s="66" t="str">
        <f>'St of Activities - GA Exp'!A350</f>
        <v>Millcreek-West Unity Local SD (CASH)</v>
      </c>
      <c r="AN350" s="66" t="b">
        <f t="shared" si="85"/>
        <v>1</v>
      </c>
      <c r="AR350" s="66" t="str">
        <f t="shared" si="86"/>
        <v>Williams</v>
      </c>
      <c r="AS350" s="66" t="str">
        <f>'St of Activites - GA Rev'!C350</f>
        <v>Williams</v>
      </c>
      <c r="AT350" s="66" t="b">
        <f t="shared" si="84"/>
        <v>1</v>
      </c>
      <c r="AU350" s="66" t="str">
        <f>'St of Activities - GA Exp'!C350</f>
        <v>Williams</v>
      </c>
      <c r="AV350" s="86"/>
      <c r="AW350" s="66" t="b">
        <f t="shared" si="87"/>
        <v>1</v>
      </c>
    </row>
    <row r="351" spans="1:49" s="65" customFormat="1" hidden="1">
      <c r="A351" s="63" t="s">
        <v>934</v>
      </c>
      <c r="B351" s="62"/>
      <c r="C351" s="62" t="s">
        <v>482</v>
      </c>
      <c r="D351" s="62"/>
      <c r="E351" s="64">
        <v>49361</v>
      </c>
      <c r="G351" s="65">
        <f t="shared" si="67"/>
        <v>0</v>
      </c>
      <c r="M351" s="65">
        <f t="shared" si="88"/>
        <v>0</v>
      </c>
      <c r="W351" s="65">
        <f t="shared" si="68"/>
        <v>0</v>
      </c>
      <c r="AB351" s="65">
        <f t="shared" si="69"/>
        <v>0</v>
      </c>
      <c r="AD351" s="66">
        <f t="shared" si="70"/>
        <v>0</v>
      </c>
      <c r="AE351" s="65" t="s">
        <v>839</v>
      </c>
      <c r="AF351" s="66"/>
      <c r="AH351" s="66" t="str">
        <f>'St of Activites - GA Rev'!A351</f>
        <v>Miller City-New Cleveland Local (Two year Audit - CASH)</v>
      </c>
      <c r="AI351" s="66" t="str">
        <f t="shared" si="82"/>
        <v>Miller City-New Cleveland Local (Two year Audit - CASH)</v>
      </c>
      <c r="AJ351" s="66" t="b">
        <f t="shared" si="83"/>
        <v>1</v>
      </c>
      <c r="AL351" s="66" t="str">
        <f>'St of Activities - GA Exp'!A351</f>
        <v>Miller City-New Cleveland Local (Two year Audit - CASH)</v>
      </c>
      <c r="AN351" s="66" t="b">
        <f t="shared" si="85"/>
        <v>1</v>
      </c>
      <c r="AR351" s="66" t="str">
        <f t="shared" si="86"/>
        <v>Putnam</v>
      </c>
      <c r="AS351" s="66" t="str">
        <f>'St of Activites - GA Rev'!C351</f>
        <v>Putnam</v>
      </c>
      <c r="AT351" s="66" t="b">
        <f t="shared" si="84"/>
        <v>1</v>
      </c>
      <c r="AU351" s="66" t="str">
        <f>'St of Activities - GA Exp'!C351</f>
        <v>Putnam</v>
      </c>
      <c r="AV351" s="86"/>
      <c r="AW351" s="66" t="b">
        <f t="shared" si="87"/>
        <v>1</v>
      </c>
    </row>
    <row r="352" spans="1:49" s="65" customFormat="1" hidden="1">
      <c r="A352" s="62" t="s">
        <v>935</v>
      </c>
      <c r="B352" s="62"/>
      <c r="C352" s="62" t="s">
        <v>48</v>
      </c>
      <c r="D352" s="62"/>
      <c r="E352" s="64">
        <v>45518</v>
      </c>
      <c r="G352" s="65">
        <f t="shared" si="67"/>
        <v>0</v>
      </c>
      <c r="M352" s="65">
        <f t="shared" si="88"/>
        <v>0</v>
      </c>
      <c r="W352" s="65">
        <f t="shared" si="68"/>
        <v>0</v>
      </c>
      <c r="AB352" s="65">
        <f t="shared" si="69"/>
        <v>0</v>
      </c>
      <c r="AD352" s="66">
        <f t="shared" si="70"/>
        <v>0</v>
      </c>
      <c r="AE352" s="65" t="s">
        <v>903</v>
      </c>
      <c r="AF352" s="66"/>
      <c r="AH352" s="66" t="str">
        <f>'St of Activites - GA Rev'!A352</f>
        <v>Milton-Union Exempted Village SD (CASH)</v>
      </c>
      <c r="AI352" s="66" t="str">
        <f t="shared" si="82"/>
        <v>Milton-Union Exempted Village SD (CASH)</v>
      </c>
      <c r="AJ352" s="66" t="b">
        <f t="shared" si="83"/>
        <v>1</v>
      </c>
      <c r="AL352" s="66" t="str">
        <f>'St of Activities - GA Exp'!A352</f>
        <v>Milton-Union Exempted Village SD (CASH)</v>
      </c>
      <c r="AN352" s="66" t="b">
        <f t="shared" si="85"/>
        <v>1</v>
      </c>
      <c r="AR352" s="66" t="str">
        <f t="shared" si="86"/>
        <v>Miami</v>
      </c>
      <c r="AS352" s="66" t="str">
        <f>'St of Activites - GA Rev'!C352</f>
        <v>Miami</v>
      </c>
      <c r="AT352" s="66" t="b">
        <f t="shared" si="84"/>
        <v>1</v>
      </c>
      <c r="AU352" s="66" t="str">
        <f>'St of Activities - GA Exp'!C352</f>
        <v>Miami</v>
      </c>
      <c r="AV352" s="86"/>
      <c r="AW352" s="66" t="b">
        <f t="shared" si="87"/>
        <v>1</v>
      </c>
    </row>
    <row r="353" spans="1:49">
      <c r="A353" s="11" t="s">
        <v>517</v>
      </c>
      <c r="B353" s="11"/>
      <c r="C353" s="11" t="s">
        <v>62</v>
      </c>
      <c r="D353" s="11"/>
      <c r="E353" s="29">
        <v>49890</v>
      </c>
      <c r="G353" s="7">
        <f t="shared" ref="G353:G370" si="97">+K353-I353</f>
        <v>9752690</v>
      </c>
      <c r="I353" s="7">
        <f>127797+38528281</f>
        <v>38656078</v>
      </c>
      <c r="K353" s="7">
        <v>48408768</v>
      </c>
      <c r="M353" s="7">
        <f t="shared" si="88"/>
        <v>6922281</v>
      </c>
      <c r="O353" s="7">
        <v>658676</v>
      </c>
      <c r="Q353" s="7">
        <f>13676651-658676</f>
        <v>13017975</v>
      </c>
      <c r="S353" s="7">
        <v>20598932</v>
      </c>
      <c r="U353" s="7">
        <v>27012146</v>
      </c>
      <c r="W353" s="7">
        <f t="shared" si="68"/>
        <v>2354788</v>
      </c>
      <c r="Y353" s="7">
        <v>-1557098</v>
      </c>
      <c r="AA353" s="7">
        <v>27809836</v>
      </c>
      <c r="AB353" s="7">
        <f t="shared" si="69"/>
        <v>0</v>
      </c>
      <c r="AD353" s="32">
        <f t="shared" ref="AD353:AD420" si="98">+G353+I353+-M353-O353-U353-W353-Y353-Q353</f>
        <v>0</v>
      </c>
      <c r="AF353" s="32"/>
      <c r="AH353" s="32" t="str">
        <f>'St of Activites - GA Rev'!A353</f>
        <v>Minerva Local SD</v>
      </c>
      <c r="AI353" s="32" t="str">
        <f t="shared" si="82"/>
        <v>Minerva Local SD</v>
      </c>
      <c r="AJ353" s="32" t="b">
        <f t="shared" si="83"/>
        <v>1</v>
      </c>
      <c r="AL353" s="32" t="str">
        <f>'St of Activities - GA Exp'!A353</f>
        <v>Minerva Local SD</v>
      </c>
      <c r="AN353" s="32" t="b">
        <f t="shared" si="85"/>
        <v>1</v>
      </c>
      <c r="AR353" s="32" t="str">
        <f t="shared" si="86"/>
        <v>Stark</v>
      </c>
      <c r="AS353" s="32" t="str">
        <f>'St of Activites - GA Rev'!C353</f>
        <v>Stark</v>
      </c>
      <c r="AT353" s="32" t="b">
        <f t="shared" si="84"/>
        <v>1</v>
      </c>
      <c r="AU353" s="32" t="str">
        <f>'St of Activities - GA Exp'!C353</f>
        <v>Stark</v>
      </c>
      <c r="AV353" s="56"/>
      <c r="AW353" s="32" t="b">
        <f t="shared" si="87"/>
        <v>1</v>
      </c>
    </row>
    <row r="354" spans="1:49">
      <c r="A354" s="11" t="s">
        <v>497</v>
      </c>
      <c r="B354" s="11"/>
      <c r="C354" s="11" t="s">
        <v>59</v>
      </c>
      <c r="D354" s="11"/>
      <c r="E354" s="29">
        <v>49627</v>
      </c>
      <c r="F354" s="10"/>
      <c r="G354" s="7">
        <f t="shared" si="97"/>
        <v>5002919</v>
      </c>
      <c r="I354" s="7">
        <f>674603+26024786</f>
        <v>26699389</v>
      </c>
      <c r="K354" s="7">
        <v>31702308</v>
      </c>
      <c r="M354" s="7">
        <f t="shared" si="88"/>
        <v>3092002</v>
      </c>
      <c r="O354" s="7">
        <v>496453</v>
      </c>
      <c r="Q354" s="7">
        <f>3908179-496453</f>
        <v>3411726</v>
      </c>
      <c r="S354" s="7">
        <v>7000181</v>
      </c>
      <c r="U354" s="7">
        <v>23663494</v>
      </c>
      <c r="W354" s="7">
        <f t="shared" si="68"/>
        <v>1519467</v>
      </c>
      <c r="Y354" s="7">
        <v>-480834</v>
      </c>
      <c r="AA354" s="7">
        <v>24702127</v>
      </c>
      <c r="AB354" s="7">
        <f t="shared" si="69"/>
        <v>0</v>
      </c>
      <c r="AD354" s="32">
        <f t="shared" si="98"/>
        <v>0</v>
      </c>
      <c r="AF354" s="32"/>
      <c r="AH354" s="32" t="str">
        <f>'St of Activites - GA Rev'!A354</f>
        <v>Minford Local SD</v>
      </c>
      <c r="AI354" s="32" t="str">
        <f t="shared" si="82"/>
        <v>Minford Local SD</v>
      </c>
      <c r="AJ354" s="32" t="b">
        <f t="shared" si="83"/>
        <v>1</v>
      </c>
      <c r="AL354" s="32" t="str">
        <f>'St of Activities - GA Exp'!A354</f>
        <v>Minford Local SD</v>
      </c>
      <c r="AN354" s="32" t="b">
        <f t="shared" si="85"/>
        <v>1</v>
      </c>
      <c r="AR354" s="32" t="str">
        <f t="shared" si="86"/>
        <v>Scioto</v>
      </c>
      <c r="AS354" s="32" t="str">
        <f>'St of Activites - GA Rev'!C354</f>
        <v>Scioto</v>
      </c>
      <c r="AT354" s="32" t="b">
        <f t="shared" si="84"/>
        <v>1</v>
      </c>
      <c r="AU354" s="32" t="str">
        <f>'St of Activities - GA Exp'!C354</f>
        <v>Scioto</v>
      </c>
      <c r="AV354" s="56"/>
      <c r="AW354" s="32" t="b">
        <f t="shared" si="87"/>
        <v>1</v>
      </c>
    </row>
    <row r="355" spans="1:49">
      <c r="A355" s="11" t="s">
        <v>214</v>
      </c>
      <c r="B355" s="11"/>
      <c r="C355" s="11" t="s">
        <v>14</v>
      </c>
      <c r="D355" s="11"/>
      <c r="E355" s="29">
        <v>45948</v>
      </c>
      <c r="G355" s="7">
        <f t="shared" si="97"/>
        <v>5740064</v>
      </c>
      <c r="I355" s="7">
        <f>265225+14628942</f>
        <v>14894167</v>
      </c>
      <c r="K355" s="7">
        <v>20634231</v>
      </c>
      <c r="M355" s="7">
        <f t="shared" si="88"/>
        <v>4353171</v>
      </c>
      <c r="O355" s="7">
        <v>279289</v>
      </c>
      <c r="Q355" s="7">
        <f>11229667-279289</f>
        <v>10950378</v>
      </c>
      <c r="S355" s="7">
        <v>15582838</v>
      </c>
      <c r="U355" s="7">
        <v>5694980</v>
      </c>
      <c r="W355" s="7">
        <f t="shared" si="68"/>
        <v>785056</v>
      </c>
      <c r="Y355" s="7">
        <v>-1428643</v>
      </c>
      <c r="AA355" s="7">
        <v>5051393</v>
      </c>
      <c r="AB355" s="7">
        <f t="shared" si="69"/>
        <v>0</v>
      </c>
      <c r="AD355" s="32">
        <f t="shared" si="98"/>
        <v>0</v>
      </c>
      <c r="AF355" s="32"/>
      <c r="AH355" s="32" t="str">
        <f>'St of Activites - GA Rev'!A355</f>
        <v>Minster Local SD</v>
      </c>
      <c r="AI355" s="32" t="str">
        <f t="shared" si="82"/>
        <v>Minster Local SD</v>
      </c>
      <c r="AJ355" s="32" t="b">
        <f t="shared" si="83"/>
        <v>1</v>
      </c>
      <c r="AL355" s="32" t="str">
        <f>'St of Activities - GA Exp'!A355</f>
        <v>Minster Local SD</v>
      </c>
      <c r="AN355" s="32" t="b">
        <f t="shared" si="85"/>
        <v>1</v>
      </c>
      <c r="AR355" s="32" t="str">
        <f t="shared" si="86"/>
        <v>Auglaize</v>
      </c>
      <c r="AS355" s="32" t="str">
        <f>'St of Activites - GA Rev'!C355</f>
        <v>Auglaize</v>
      </c>
      <c r="AT355" s="32" t="b">
        <f t="shared" si="84"/>
        <v>1</v>
      </c>
      <c r="AU355" s="32" t="str">
        <f>'St of Activities - GA Exp'!C355</f>
        <v>Auglaize</v>
      </c>
      <c r="AV355" s="56"/>
      <c r="AW355" s="32" t="b">
        <f t="shared" si="87"/>
        <v>1</v>
      </c>
    </row>
    <row r="356" spans="1:49" s="65" customFormat="1" hidden="1">
      <c r="A356" s="62" t="s">
        <v>669</v>
      </c>
      <c r="B356" s="62"/>
      <c r="C356" s="62" t="s">
        <v>21</v>
      </c>
      <c r="D356" s="62"/>
      <c r="E356" s="64">
        <v>46672</v>
      </c>
      <c r="G356" s="65">
        <f t="shared" si="97"/>
        <v>0</v>
      </c>
      <c r="M356" s="65">
        <f t="shared" si="88"/>
        <v>0</v>
      </c>
      <c r="W356" s="65">
        <f t="shared" si="68"/>
        <v>0</v>
      </c>
      <c r="AB356" s="65">
        <f t="shared" si="69"/>
        <v>0</v>
      </c>
      <c r="AD356" s="66">
        <f t="shared" si="98"/>
        <v>0</v>
      </c>
      <c r="AE356" s="65" t="s">
        <v>839</v>
      </c>
      <c r="AF356" s="66"/>
      <c r="AH356" s="66" t="str">
        <f>'St of Activites - GA Rev'!A356</f>
        <v>Mississinawa Valley Local SD  (CASH)</v>
      </c>
      <c r="AI356" s="66" t="str">
        <f t="shared" si="82"/>
        <v>Mississinawa Valley Local SD  (CASH)</v>
      </c>
      <c r="AJ356" s="66" t="b">
        <f t="shared" si="83"/>
        <v>1</v>
      </c>
      <c r="AL356" s="66" t="str">
        <f>'St of Activities - GA Exp'!A356</f>
        <v>Mississinawa Valley Local SD  (CASH)</v>
      </c>
      <c r="AN356" s="66" t="b">
        <f t="shared" si="85"/>
        <v>1</v>
      </c>
      <c r="AR356" s="66" t="str">
        <f t="shared" si="86"/>
        <v>Darke</v>
      </c>
      <c r="AS356" s="66" t="str">
        <f>'St of Activites - GA Rev'!C356</f>
        <v>Darke</v>
      </c>
      <c r="AT356" s="66" t="b">
        <f t="shared" si="84"/>
        <v>1</v>
      </c>
      <c r="AU356" s="66" t="str">
        <f>'St of Activities - GA Exp'!C356</f>
        <v>Darke</v>
      </c>
      <c r="AV356" s="86"/>
      <c r="AW356" s="66" t="b">
        <f t="shared" si="87"/>
        <v>1</v>
      </c>
    </row>
    <row r="357" spans="1:49">
      <c r="A357" s="11" t="s">
        <v>526</v>
      </c>
      <c r="B357" s="11"/>
      <c r="C357" s="11" t="s">
        <v>63</v>
      </c>
      <c r="D357" s="11"/>
      <c r="E357" s="29">
        <v>50039</v>
      </c>
      <c r="G357" s="7">
        <f t="shared" si="97"/>
        <v>7726157</v>
      </c>
      <c r="I357" s="7">
        <f>98050+13541926</f>
        <v>13639976</v>
      </c>
      <c r="K357" s="7">
        <v>21366133</v>
      </c>
      <c r="M357" s="7">
        <f t="shared" si="88"/>
        <v>3939140</v>
      </c>
      <c r="O357" s="7">
        <v>473216</v>
      </c>
      <c r="Q357" s="7">
        <f>11647859-473216</f>
        <v>11174643</v>
      </c>
      <c r="S357" s="7">
        <v>15586999</v>
      </c>
      <c r="U357" s="7">
        <v>2967624</v>
      </c>
      <c r="W357" s="7">
        <f t="shared" si="68"/>
        <v>1002365</v>
      </c>
      <c r="Y357" s="7">
        <v>1809145</v>
      </c>
      <c r="AA357" s="7">
        <v>5779134</v>
      </c>
      <c r="AB357" s="7">
        <f t="shared" si="69"/>
        <v>0</v>
      </c>
      <c r="AD357" s="32">
        <f t="shared" si="98"/>
        <v>0</v>
      </c>
      <c r="AF357" s="32"/>
      <c r="AH357" s="32" t="str">
        <f>'St of Activites - GA Rev'!A357</f>
        <v>Mogadore Local SD</v>
      </c>
      <c r="AI357" s="32" t="str">
        <f t="shared" si="82"/>
        <v>Mogadore Local SD</v>
      </c>
      <c r="AJ357" s="32" t="b">
        <f t="shared" si="83"/>
        <v>1</v>
      </c>
      <c r="AL357" s="32" t="str">
        <f>'St of Activities - GA Exp'!A357</f>
        <v>Mogadore Local SD</v>
      </c>
      <c r="AN357" s="32" t="b">
        <f t="shared" si="85"/>
        <v>1</v>
      </c>
      <c r="AR357" s="32" t="str">
        <f t="shared" si="86"/>
        <v>Summit</v>
      </c>
      <c r="AS357" s="32" t="str">
        <f>'St of Activites - GA Rev'!C357</f>
        <v>Summit</v>
      </c>
      <c r="AT357" s="32" t="b">
        <f t="shared" si="84"/>
        <v>1</v>
      </c>
      <c r="AU357" s="32" t="str">
        <f>'St of Activities - GA Exp'!C357</f>
        <v>Summit</v>
      </c>
      <c r="AV357" s="56"/>
      <c r="AW357" s="32" t="b">
        <f t="shared" si="87"/>
        <v>1</v>
      </c>
    </row>
    <row r="358" spans="1:49" s="65" customFormat="1" hidden="1">
      <c r="A358" s="62" t="s">
        <v>648</v>
      </c>
      <c r="B358" s="62"/>
      <c r="C358" s="62" t="s">
        <v>577</v>
      </c>
      <c r="D358" s="62"/>
      <c r="E358" s="64">
        <v>50740</v>
      </c>
      <c r="G358" s="65">
        <f t="shared" si="97"/>
        <v>0</v>
      </c>
      <c r="M358" s="65">
        <f t="shared" si="88"/>
        <v>0</v>
      </c>
      <c r="W358" s="65">
        <f t="shared" si="68"/>
        <v>0</v>
      </c>
      <c r="AB358" s="65">
        <f t="shared" ref="AB358:AB428" si="99">+K358-S358-AA358</f>
        <v>0</v>
      </c>
      <c r="AD358" s="66">
        <f t="shared" si="98"/>
        <v>0</v>
      </c>
      <c r="AE358" s="65" t="s">
        <v>839</v>
      </c>
      <c r="AF358" s="66"/>
      <c r="AH358" s="66" t="str">
        <f>'St of Activites - GA Rev'!A358</f>
        <v>Mohawk Local SD (CASH)</v>
      </c>
      <c r="AI358" s="66" t="str">
        <f t="shared" si="82"/>
        <v>Mohawk Local SD (CASH)</v>
      </c>
      <c r="AJ358" s="66" t="b">
        <f t="shared" si="83"/>
        <v>1</v>
      </c>
      <c r="AL358" s="66" t="str">
        <f>'St of Activities - GA Exp'!A358</f>
        <v>Mohawk Local SD (CASH)</v>
      </c>
      <c r="AN358" s="66" t="b">
        <f t="shared" si="85"/>
        <v>1</v>
      </c>
      <c r="AR358" s="66" t="str">
        <f t="shared" si="86"/>
        <v>Wyandot</v>
      </c>
      <c r="AS358" s="66" t="str">
        <f>'St of Activites - GA Rev'!C358</f>
        <v>Wyandot</v>
      </c>
      <c r="AT358" s="66" t="b">
        <f t="shared" si="84"/>
        <v>1</v>
      </c>
      <c r="AU358" s="66" t="str">
        <f>'St of Activities - GA Exp'!C358</f>
        <v>Wyandot</v>
      </c>
      <c r="AV358" s="86"/>
      <c r="AW358" s="66" t="b">
        <f t="shared" si="87"/>
        <v>1</v>
      </c>
    </row>
    <row r="359" spans="1:49">
      <c r="A359" s="11" t="s">
        <v>229</v>
      </c>
      <c r="B359" s="11"/>
      <c r="C359" s="11" t="s">
        <v>223</v>
      </c>
      <c r="D359" s="11"/>
      <c r="E359" s="29">
        <v>139303</v>
      </c>
      <c r="G359" s="7">
        <f t="shared" si="97"/>
        <v>14927033</v>
      </c>
      <c r="I359" s="7">
        <f>2475849+38317452</f>
        <v>40793301</v>
      </c>
      <c r="K359" s="7">
        <v>55720334</v>
      </c>
      <c r="M359" s="7">
        <f t="shared" si="88"/>
        <v>15402965</v>
      </c>
      <c r="O359" s="7">
        <v>793987</v>
      </c>
      <c r="Q359" s="7">
        <f>34319856-793987</f>
        <v>33525869</v>
      </c>
      <c r="S359" s="7">
        <v>49722821</v>
      </c>
      <c r="U359" s="7">
        <v>7356252</v>
      </c>
      <c r="W359" s="7">
        <f t="shared" si="68"/>
        <v>4260878</v>
      </c>
      <c r="Y359" s="7">
        <v>-5619617</v>
      </c>
      <c r="AA359" s="7">
        <v>5997513</v>
      </c>
      <c r="AB359" s="7">
        <f t="shared" si="99"/>
        <v>0</v>
      </c>
      <c r="AD359" s="32">
        <f t="shared" si="98"/>
        <v>0</v>
      </c>
      <c r="AE359" s="7" t="s">
        <v>936</v>
      </c>
      <c r="AF359" s="32"/>
      <c r="AH359" s="32" t="str">
        <f>'St of Activites - GA Rev'!A359</f>
        <v>Monroe Local SD</v>
      </c>
      <c r="AI359" s="32" t="str">
        <f t="shared" si="82"/>
        <v>Monroe Local SD</v>
      </c>
      <c r="AJ359" s="32" t="b">
        <f t="shared" si="83"/>
        <v>1</v>
      </c>
      <c r="AL359" s="32" t="str">
        <f>'St of Activities - GA Exp'!A359</f>
        <v>Monroe Local SD</v>
      </c>
      <c r="AN359" s="32" t="b">
        <f t="shared" si="85"/>
        <v>1</v>
      </c>
      <c r="AR359" s="32" t="str">
        <f t="shared" si="86"/>
        <v>Butler</v>
      </c>
      <c r="AS359" s="32" t="str">
        <f>'St of Activites - GA Rev'!C359</f>
        <v>Butler</v>
      </c>
      <c r="AT359" s="32" t="b">
        <f t="shared" si="84"/>
        <v>1</v>
      </c>
      <c r="AU359" s="32" t="str">
        <f>'St of Activities - GA Exp'!C359</f>
        <v>Butler</v>
      </c>
      <c r="AV359" s="56"/>
      <c r="AW359" s="32" t="b">
        <f t="shared" si="87"/>
        <v>1</v>
      </c>
    </row>
    <row r="360" spans="1:49">
      <c r="A360" s="11" t="s">
        <v>366</v>
      </c>
      <c r="B360" s="11"/>
      <c r="C360" s="11" t="s">
        <v>37</v>
      </c>
      <c r="D360" s="11"/>
      <c r="E360" s="29">
        <v>47712</v>
      </c>
      <c r="G360" s="32">
        <f t="shared" si="97"/>
        <v>3958219</v>
      </c>
      <c r="H360" s="32"/>
      <c r="I360" s="32">
        <f>302965+1519937</f>
        <v>1822902</v>
      </c>
      <c r="J360" s="32"/>
      <c r="K360" s="32">
        <v>5781121</v>
      </c>
      <c r="L360" s="32"/>
      <c r="M360" s="32">
        <f t="shared" si="88"/>
        <v>2883991</v>
      </c>
      <c r="N360" s="32"/>
      <c r="O360" s="32">
        <v>131466</v>
      </c>
      <c r="P360" s="32"/>
      <c r="Q360" s="32">
        <f>1230794-131466</f>
        <v>1099328</v>
      </c>
      <c r="R360" s="32"/>
      <c r="S360" s="32">
        <v>4114785</v>
      </c>
      <c r="T360" s="32"/>
      <c r="U360" s="32">
        <v>909146</v>
      </c>
      <c r="V360" s="32"/>
      <c r="W360" s="32">
        <f t="shared" si="68"/>
        <v>286446</v>
      </c>
      <c r="X360" s="32"/>
      <c r="Y360" s="32">
        <v>470744</v>
      </c>
      <c r="Z360" s="32"/>
      <c r="AA360" s="32">
        <v>1666336</v>
      </c>
      <c r="AB360" s="7">
        <f t="shared" si="99"/>
        <v>0</v>
      </c>
      <c r="AD360" s="32">
        <f t="shared" si="98"/>
        <v>0</v>
      </c>
      <c r="AF360" s="32"/>
      <c r="AH360" s="32" t="str">
        <f>'St of Activites - GA Rev'!A360</f>
        <v>Monroeville Local SD</v>
      </c>
      <c r="AI360" s="32" t="str">
        <f t="shared" si="82"/>
        <v>Monroeville Local SD</v>
      </c>
      <c r="AJ360" s="32" t="b">
        <f t="shared" si="83"/>
        <v>1</v>
      </c>
      <c r="AL360" s="32" t="str">
        <f>'St of Activities - GA Exp'!A360</f>
        <v>Monroeville Local SD</v>
      </c>
      <c r="AN360" s="32" t="b">
        <f t="shared" si="85"/>
        <v>1</v>
      </c>
      <c r="AR360" s="32" t="str">
        <f t="shared" si="86"/>
        <v>Huron</v>
      </c>
      <c r="AS360" s="32" t="str">
        <f>'St of Activites - GA Rev'!C360</f>
        <v>Huron</v>
      </c>
      <c r="AT360" s="32" t="b">
        <f t="shared" si="84"/>
        <v>1</v>
      </c>
      <c r="AU360" s="32" t="str">
        <f>'St of Activities - GA Exp'!C360</f>
        <v>Huron</v>
      </c>
      <c r="AV360" s="56"/>
      <c r="AW360" s="32" t="b">
        <f t="shared" si="87"/>
        <v>1</v>
      </c>
    </row>
    <row r="361" spans="1:49" s="65" customFormat="1" hidden="1">
      <c r="A361" s="62" t="s">
        <v>937</v>
      </c>
      <c r="B361" s="62"/>
      <c r="C361" s="62" t="s">
        <v>570</v>
      </c>
      <c r="D361" s="62"/>
      <c r="E361" s="64">
        <v>45526</v>
      </c>
      <c r="G361" s="65">
        <f t="shared" si="97"/>
        <v>0</v>
      </c>
      <c r="M361" s="65">
        <f t="shared" si="88"/>
        <v>0</v>
      </c>
      <c r="W361" s="65">
        <f t="shared" si="68"/>
        <v>0</v>
      </c>
      <c r="AB361" s="65">
        <f t="shared" si="99"/>
        <v>0</v>
      </c>
      <c r="AD361" s="66">
        <f t="shared" si="98"/>
        <v>0</v>
      </c>
      <c r="AE361" s="65" t="s">
        <v>912</v>
      </c>
      <c r="AF361" s="66"/>
      <c r="AH361" s="66" t="str">
        <f>'St of Activites - GA Rev'!A361</f>
        <v>Montpelier Exempted Village SD (CASH)</v>
      </c>
      <c r="AI361" s="66" t="str">
        <f t="shared" si="82"/>
        <v>Montpelier Exempted Village SD (CASH)</v>
      </c>
      <c r="AJ361" s="66" t="b">
        <f t="shared" si="83"/>
        <v>1</v>
      </c>
      <c r="AL361" s="66" t="str">
        <f>'St of Activities - GA Exp'!A361</f>
        <v>Montpelier Exempted Village SD (CASH)</v>
      </c>
      <c r="AN361" s="66" t="b">
        <f t="shared" si="85"/>
        <v>1</v>
      </c>
      <c r="AR361" s="66" t="str">
        <f t="shared" si="86"/>
        <v>Williams</v>
      </c>
      <c r="AS361" s="66" t="str">
        <f>'St of Activites - GA Rev'!C361</f>
        <v>Williams</v>
      </c>
      <c r="AT361" s="66" t="b">
        <f t="shared" si="84"/>
        <v>1</v>
      </c>
      <c r="AU361" s="66" t="str">
        <f>'St of Activities - GA Exp'!C361</f>
        <v>Williams</v>
      </c>
      <c r="AV361" s="86"/>
      <c r="AW361" s="66" t="b">
        <f t="shared" si="87"/>
        <v>1</v>
      </c>
    </row>
    <row r="362" spans="1:49">
      <c r="A362" s="11" t="s">
        <v>452</v>
      </c>
      <c r="B362" s="11"/>
      <c r="C362" s="11" t="s">
        <v>453</v>
      </c>
      <c r="D362" s="11"/>
      <c r="E362" s="29">
        <v>48777</v>
      </c>
      <c r="G362" s="7">
        <f t="shared" si="97"/>
        <v>20969533</v>
      </c>
      <c r="I362" s="7">
        <f>348164+41253626</f>
        <v>41601790</v>
      </c>
      <c r="K362" s="7">
        <v>62571323</v>
      </c>
      <c r="M362" s="7">
        <f t="shared" si="88"/>
        <v>7399383</v>
      </c>
      <c r="O362" s="7">
        <v>1087769</v>
      </c>
      <c r="Q362" s="7">
        <f>11141503-1087769</f>
        <v>10053734</v>
      </c>
      <c r="S362" s="7">
        <v>18540886</v>
      </c>
      <c r="U362" s="7">
        <v>33204490</v>
      </c>
      <c r="W362" s="7">
        <f t="shared" si="68"/>
        <v>6476685</v>
      </c>
      <c r="Y362" s="7">
        <v>4349262</v>
      </c>
      <c r="AA362" s="7">
        <v>44030437</v>
      </c>
      <c r="AB362" s="7">
        <f t="shared" si="99"/>
        <v>0</v>
      </c>
      <c r="AD362" s="32">
        <f t="shared" si="98"/>
        <v>0</v>
      </c>
      <c r="AF362" s="32"/>
      <c r="AH362" s="32" t="str">
        <f>'St of Activites - GA Rev'!A362</f>
        <v>Morgan Local SD</v>
      </c>
      <c r="AI362" s="32" t="str">
        <f t="shared" si="82"/>
        <v>Morgan Local SD</v>
      </c>
      <c r="AJ362" s="32" t="b">
        <f t="shared" si="83"/>
        <v>1</v>
      </c>
      <c r="AL362" s="32" t="str">
        <f>'St of Activities - GA Exp'!A362</f>
        <v>Morgan Local SD</v>
      </c>
      <c r="AN362" s="32" t="b">
        <f t="shared" si="85"/>
        <v>1</v>
      </c>
      <c r="AR362" s="32" t="str">
        <f t="shared" si="86"/>
        <v>Morgan</v>
      </c>
      <c r="AS362" s="32" t="str">
        <f>'St of Activites - GA Rev'!C362</f>
        <v>Morgan</v>
      </c>
      <c r="AT362" s="32" t="b">
        <f t="shared" si="84"/>
        <v>1</v>
      </c>
      <c r="AU362" s="32" t="str">
        <f>'St of Activities - GA Exp'!C362</f>
        <v>Morgan</v>
      </c>
      <c r="AV362" s="56"/>
      <c r="AW362" s="32" t="b">
        <f t="shared" si="87"/>
        <v>1</v>
      </c>
    </row>
    <row r="363" spans="1:49">
      <c r="A363" s="12" t="s">
        <v>880</v>
      </c>
      <c r="B363" s="11"/>
      <c r="C363" s="11" t="s">
        <v>78</v>
      </c>
      <c r="D363" s="11"/>
      <c r="E363" s="29">
        <v>45534</v>
      </c>
      <c r="G363" s="7">
        <f t="shared" si="97"/>
        <v>13453829</v>
      </c>
      <c r="I363" s="7">
        <f>26121+32231854</f>
        <v>32257975</v>
      </c>
      <c r="K363" s="7">
        <v>45711804</v>
      </c>
      <c r="M363" s="7">
        <f t="shared" si="88"/>
        <v>5569817</v>
      </c>
      <c r="O363" s="7">
        <v>585990</v>
      </c>
      <c r="Q363" s="7">
        <f>9886430-585990</f>
        <v>9300440</v>
      </c>
      <c r="S363" s="7">
        <v>15456247</v>
      </c>
      <c r="U363" s="7">
        <v>24559144</v>
      </c>
      <c r="W363" s="7">
        <f t="shared" si="68"/>
        <v>2835634</v>
      </c>
      <c r="Y363" s="7">
        <v>2860779</v>
      </c>
      <c r="AA363" s="7">
        <v>30255557</v>
      </c>
      <c r="AB363" s="7">
        <f t="shared" si="99"/>
        <v>0</v>
      </c>
      <c r="AD363" s="32">
        <f t="shared" si="98"/>
        <v>0</v>
      </c>
      <c r="AF363" s="32"/>
      <c r="AH363" s="32" t="str">
        <f>'St of Activites - GA Rev'!A363</f>
        <v>Mount Gilead Exempted Village SD</v>
      </c>
      <c r="AI363" s="32" t="str">
        <f t="shared" si="82"/>
        <v>Mount Gilead Exempted Village SD</v>
      </c>
      <c r="AJ363" s="32" t="b">
        <f t="shared" si="83"/>
        <v>1</v>
      </c>
      <c r="AL363" s="32" t="str">
        <f>'St of Activities - GA Exp'!A363</f>
        <v>Mount Gilead Exempted Village SD</v>
      </c>
      <c r="AN363" s="32" t="b">
        <f t="shared" si="85"/>
        <v>1</v>
      </c>
      <c r="AR363" s="32" t="str">
        <f t="shared" si="86"/>
        <v>Morrow</v>
      </c>
      <c r="AS363" s="32" t="str">
        <f>'St of Activites - GA Rev'!C363</f>
        <v>Morrow</v>
      </c>
      <c r="AT363" s="32" t="b">
        <f t="shared" si="84"/>
        <v>1</v>
      </c>
      <c r="AU363" s="32" t="str">
        <f>'St of Activities - GA Exp'!C363</f>
        <v>Morrow</v>
      </c>
      <c r="AV363" s="56"/>
      <c r="AW363" s="32" t="b">
        <f t="shared" si="87"/>
        <v>1</v>
      </c>
    </row>
    <row r="364" spans="1:49">
      <c r="A364" s="11" t="s">
        <v>375</v>
      </c>
      <c r="B364" s="11"/>
      <c r="C364" s="11" t="s">
        <v>40</v>
      </c>
      <c r="D364" s="11"/>
      <c r="E364" s="29">
        <v>44420</v>
      </c>
      <c r="G364" s="7">
        <f t="shared" si="97"/>
        <v>22658839</v>
      </c>
      <c r="I364" s="7">
        <v>19117044</v>
      </c>
      <c r="K364" s="7">
        <v>41775883</v>
      </c>
      <c r="M364" s="7">
        <f t="shared" si="88"/>
        <v>13314158</v>
      </c>
      <c r="O364" s="7">
        <v>931040</v>
      </c>
      <c r="Q364" s="7">
        <f>8104248-931040</f>
        <v>7173208</v>
      </c>
      <c r="S364" s="7">
        <v>21418406</v>
      </c>
      <c r="U364" s="7">
        <v>12799774</v>
      </c>
      <c r="W364" s="7">
        <f t="shared" si="68"/>
        <v>4788219</v>
      </c>
      <c r="Y364" s="7">
        <v>2769484</v>
      </c>
      <c r="AA364" s="7">
        <v>20357477</v>
      </c>
      <c r="AB364" s="7">
        <f t="shared" si="99"/>
        <v>0</v>
      </c>
      <c r="AD364" s="32">
        <f t="shared" si="98"/>
        <v>0</v>
      </c>
      <c r="AF364" s="32"/>
      <c r="AH364" s="32" t="str">
        <f>'St of Activites - GA Rev'!A364</f>
        <v>Mount Vernon City SD</v>
      </c>
      <c r="AI364" s="32" t="str">
        <f t="shared" si="82"/>
        <v>Mount Vernon City SD</v>
      </c>
      <c r="AJ364" s="32" t="b">
        <f t="shared" si="83"/>
        <v>1</v>
      </c>
      <c r="AL364" s="32" t="str">
        <f>'St of Activities - GA Exp'!A364</f>
        <v>Mount Vernon City SD</v>
      </c>
      <c r="AN364" s="32" t="b">
        <f t="shared" si="85"/>
        <v>1</v>
      </c>
      <c r="AR364" s="32" t="str">
        <f t="shared" si="86"/>
        <v>Knox</v>
      </c>
      <c r="AS364" s="32" t="str">
        <f>'St of Activites - GA Rev'!C364</f>
        <v>Knox</v>
      </c>
      <c r="AT364" s="32" t="b">
        <f t="shared" si="84"/>
        <v>1</v>
      </c>
      <c r="AU364" s="32" t="str">
        <f>'St of Activities - GA Exp'!C364</f>
        <v>Knox</v>
      </c>
      <c r="AV364" s="56"/>
      <c r="AW364" s="32" t="b">
        <f t="shared" si="87"/>
        <v>1</v>
      </c>
    </row>
    <row r="365" spans="1:49">
      <c r="A365" s="12" t="s">
        <v>751</v>
      </c>
      <c r="B365" s="11"/>
      <c r="C365" s="11" t="s">
        <v>32</v>
      </c>
      <c r="D365" s="11"/>
      <c r="E365" s="29">
        <v>44412</v>
      </c>
      <c r="G365" s="7">
        <f t="shared" si="97"/>
        <v>23813675</v>
      </c>
      <c r="I365" s="7">
        <f>3684113+94206619</f>
        <v>97890732</v>
      </c>
      <c r="K365" s="7">
        <v>121704407</v>
      </c>
      <c r="M365" s="7">
        <f t="shared" si="88"/>
        <v>13430840</v>
      </c>
      <c r="O365" s="7">
        <v>957378</v>
      </c>
      <c r="Q365" s="7">
        <f>35195827-957378</f>
        <v>34238449</v>
      </c>
      <c r="S365" s="7">
        <v>48626667</v>
      </c>
      <c r="U365" s="7">
        <v>64600468</v>
      </c>
      <c r="W365" s="7">
        <f t="shared" si="68"/>
        <v>5992815</v>
      </c>
      <c r="Y365" s="7">
        <v>2484457</v>
      </c>
      <c r="AA365" s="7">
        <v>73077740</v>
      </c>
      <c r="AB365" s="7">
        <f t="shared" si="99"/>
        <v>0</v>
      </c>
      <c r="AD365" s="32">
        <f t="shared" si="98"/>
        <v>0</v>
      </c>
      <c r="AF365" s="32"/>
      <c r="AH365" s="32" t="str">
        <f>'St of Activites - GA Rev'!A365</f>
        <v xml:space="preserve">Mt. Healthy City SD </v>
      </c>
      <c r="AI365" s="32" t="str">
        <f t="shared" si="82"/>
        <v xml:space="preserve">Mt. Healthy City SD </v>
      </c>
      <c r="AJ365" s="32" t="b">
        <f t="shared" si="83"/>
        <v>1</v>
      </c>
      <c r="AL365" s="32" t="str">
        <f>'St of Activities - GA Exp'!A365</f>
        <v xml:space="preserve">Mt. Healthy City SD </v>
      </c>
      <c r="AN365" s="32" t="b">
        <f t="shared" si="85"/>
        <v>1</v>
      </c>
      <c r="AR365" s="32" t="str">
        <f t="shared" si="86"/>
        <v>Hamilton</v>
      </c>
      <c r="AS365" s="32" t="str">
        <f>'St of Activites - GA Rev'!C365</f>
        <v>Hamilton</v>
      </c>
      <c r="AT365" s="32" t="b">
        <f t="shared" si="84"/>
        <v>1</v>
      </c>
      <c r="AU365" s="32" t="str">
        <f>'St of Activities - GA Exp'!C365</f>
        <v>Hamilton</v>
      </c>
      <c r="AV365" s="56"/>
      <c r="AW365" s="32" t="b">
        <f t="shared" si="87"/>
        <v>1</v>
      </c>
    </row>
    <row r="366" spans="1:49">
      <c r="A366" s="11" t="s">
        <v>356</v>
      </c>
      <c r="B366" s="11"/>
      <c r="C366" s="11" t="s">
        <v>34</v>
      </c>
      <c r="D366" s="11"/>
      <c r="E366" s="29">
        <v>44438</v>
      </c>
      <c r="G366" s="7">
        <f t="shared" si="97"/>
        <v>24188279</v>
      </c>
      <c r="I366" s="7">
        <f>254016+8989402</f>
        <v>9243418</v>
      </c>
      <c r="K366" s="7">
        <v>33431697</v>
      </c>
      <c r="M366" s="7">
        <f t="shared" si="88"/>
        <v>12931409</v>
      </c>
      <c r="O366" s="7">
        <v>965202</v>
      </c>
      <c r="Q366" s="7">
        <f>7150643-965202</f>
        <v>6185441</v>
      </c>
      <c r="S366" s="7">
        <v>20082052</v>
      </c>
      <c r="U366" s="7">
        <v>5279028</v>
      </c>
      <c r="W366" s="7">
        <f t="shared" si="68"/>
        <v>1644419</v>
      </c>
      <c r="Y366" s="7">
        <v>6426198</v>
      </c>
      <c r="AA366" s="7">
        <v>13349645</v>
      </c>
      <c r="AB366" s="7">
        <f t="shared" si="99"/>
        <v>0</v>
      </c>
      <c r="AD366" s="32">
        <f t="shared" si="98"/>
        <v>0</v>
      </c>
      <c r="AF366" s="32"/>
      <c r="AH366" s="32" t="str">
        <f>'St of Activites - GA Rev'!A366</f>
        <v>Napoleon Area City SD</v>
      </c>
      <c r="AI366" s="32" t="str">
        <f t="shared" si="82"/>
        <v>Napoleon Area City SD</v>
      </c>
      <c r="AJ366" s="32" t="b">
        <f t="shared" si="83"/>
        <v>1</v>
      </c>
      <c r="AL366" s="32" t="str">
        <f>'St of Activities - GA Exp'!A366</f>
        <v>Napoleon Area City SD</v>
      </c>
      <c r="AN366" s="32" t="b">
        <f t="shared" si="85"/>
        <v>1</v>
      </c>
      <c r="AR366" s="32" t="str">
        <f t="shared" si="86"/>
        <v>Henry</v>
      </c>
      <c r="AS366" s="32" t="str">
        <f>'St of Activites - GA Rev'!C366</f>
        <v>Henry</v>
      </c>
      <c r="AT366" s="32" t="b">
        <f t="shared" si="84"/>
        <v>1</v>
      </c>
      <c r="AU366" s="32" t="str">
        <f>'St of Activities - GA Exp'!C366</f>
        <v>Henry</v>
      </c>
      <c r="AV366" s="56"/>
      <c r="AW366" s="32" t="b">
        <f t="shared" si="87"/>
        <v>1</v>
      </c>
    </row>
    <row r="367" spans="1:49" s="65" customFormat="1" hidden="1">
      <c r="A367" s="63" t="s">
        <v>874</v>
      </c>
      <c r="B367" s="63"/>
      <c r="C367" s="63" t="s">
        <v>57</v>
      </c>
      <c r="D367" s="62"/>
      <c r="E367" s="64"/>
      <c r="AD367" s="66"/>
      <c r="AE367" s="65" t="s">
        <v>938</v>
      </c>
      <c r="AF367" s="66"/>
      <c r="AH367" s="66" t="str">
        <f>'St of Activites - GA Rev'!A367</f>
        <v>National Trail Local SD (CASH)</v>
      </c>
      <c r="AI367" s="66" t="str">
        <f t="shared" si="82"/>
        <v>National Trail Local SD (CASH)</v>
      </c>
      <c r="AJ367" s="66" t="b">
        <f t="shared" si="83"/>
        <v>1</v>
      </c>
      <c r="AL367" s="66" t="str">
        <f>'St of Activities - GA Exp'!A367</f>
        <v>National Trail Local SD (CASH)</v>
      </c>
      <c r="AN367" s="66" t="b">
        <f t="shared" si="85"/>
        <v>1</v>
      </c>
      <c r="AR367" s="66" t="str">
        <f t="shared" si="86"/>
        <v>Preble</v>
      </c>
      <c r="AS367" s="66" t="str">
        <f>'St of Activites - GA Rev'!C367</f>
        <v>Preble</v>
      </c>
      <c r="AT367" s="66" t="b">
        <f t="shared" si="84"/>
        <v>1</v>
      </c>
      <c r="AU367" s="66" t="str">
        <f>'St of Activities - GA Exp'!C367</f>
        <v>Preble</v>
      </c>
      <c r="AV367" s="86"/>
      <c r="AW367" s="66" t="b">
        <f t="shared" si="87"/>
        <v>1</v>
      </c>
    </row>
    <row r="368" spans="1:49">
      <c r="A368" s="11" t="s">
        <v>212</v>
      </c>
      <c r="B368" s="11"/>
      <c r="C368" s="11" t="s">
        <v>13</v>
      </c>
      <c r="D368" s="11"/>
      <c r="E368" s="29">
        <v>44446</v>
      </c>
      <c r="G368" s="7">
        <f t="shared" si="97"/>
        <v>8982146</v>
      </c>
      <c r="I368" s="7">
        <f>119344+28228427</f>
        <v>28347771</v>
      </c>
      <c r="K368" s="7">
        <v>37329917</v>
      </c>
      <c r="M368" s="7">
        <f t="shared" si="88"/>
        <v>4302650</v>
      </c>
      <c r="O368" s="7">
        <v>465944</v>
      </c>
      <c r="Q368" s="7">
        <f>7234417-465944</f>
        <v>6768473</v>
      </c>
      <c r="S368" s="7">
        <v>11537067</v>
      </c>
      <c r="U368" s="7">
        <v>21670216</v>
      </c>
      <c r="W368" s="7">
        <f t="shared" si="68"/>
        <v>2994408</v>
      </c>
      <c r="Y368" s="7">
        <v>1128226</v>
      </c>
      <c r="AA368" s="7">
        <v>25792850</v>
      </c>
      <c r="AB368" s="7">
        <f t="shared" si="99"/>
        <v>0</v>
      </c>
      <c r="AD368" s="32">
        <f t="shared" si="98"/>
        <v>0</v>
      </c>
      <c r="AF368" s="32"/>
      <c r="AH368" s="32" t="str">
        <f>'St of Activites - GA Rev'!A368</f>
        <v>Nelsonville-York City SD</v>
      </c>
      <c r="AI368" s="32" t="str">
        <f t="shared" si="82"/>
        <v>Nelsonville-York City SD</v>
      </c>
      <c r="AJ368" s="32" t="b">
        <f t="shared" si="83"/>
        <v>1</v>
      </c>
      <c r="AL368" s="32" t="str">
        <f>'St of Activities - GA Exp'!A368</f>
        <v>Nelsonville-York City SD</v>
      </c>
      <c r="AN368" s="32" t="b">
        <f t="shared" si="85"/>
        <v>1</v>
      </c>
      <c r="AR368" s="32" t="str">
        <f t="shared" si="86"/>
        <v>Athens</v>
      </c>
      <c r="AS368" s="32" t="str">
        <f>'St of Activites - GA Rev'!C368</f>
        <v>Athens</v>
      </c>
      <c r="AT368" s="32" t="b">
        <f t="shared" si="84"/>
        <v>1</v>
      </c>
      <c r="AU368" s="32" t="str">
        <f>'St of Activities - GA Exp'!C368</f>
        <v>Athens</v>
      </c>
      <c r="AV368" s="56"/>
      <c r="AW368" s="32" t="b">
        <f t="shared" si="87"/>
        <v>1</v>
      </c>
    </row>
    <row r="369" spans="1:49">
      <c r="A369" s="11" t="s">
        <v>633</v>
      </c>
      <c r="B369" s="11"/>
      <c r="C369" s="11" t="s">
        <v>27</v>
      </c>
      <c r="D369" s="11"/>
      <c r="E369" s="29"/>
      <c r="G369" s="7">
        <f t="shared" si="97"/>
        <v>80142115</v>
      </c>
      <c r="I369" s="7">
        <f>3146592+72609674</f>
        <v>75756266</v>
      </c>
      <c r="K369" s="7">
        <v>155898381</v>
      </c>
      <c r="M369" s="7">
        <f t="shared" si="88"/>
        <v>36185750</v>
      </c>
      <c r="O369" s="7">
        <v>3117932</v>
      </c>
      <c r="Q369" s="7">
        <f>82509857-3117932</f>
        <v>79391925</v>
      </c>
      <c r="S369" s="7">
        <v>118695607</v>
      </c>
      <c r="U369" s="7">
        <v>818622</v>
      </c>
      <c r="W369" s="7">
        <f t="shared" si="68"/>
        <v>9526721</v>
      </c>
      <c r="Y369" s="7">
        <v>26857431</v>
      </c>
      <c r="AA369" s="7">
        <v>37202774</v>
      </c>
      <c r="AB369" s="7">
        <f>+K369-S369-AA369</f>
        <v>0</v>
      </c>
      <c r="AD369" s="32">
        <f t="shared" si="98"/>
        <v>0</v>
      </c>
      <c r="AF369" s="32"/>
      <c r="AH369" s="32" t="str">
        <f>'St of Activites - GA Rev'!A369</f>
        <v>New Albany-Plain Local SD</v>
      </c>
      <c r="AI369" s="32" t="str">
        <f t="shared" si="82"/>
        <v>New Albany-Plain Local SD</v>
      </c>
      <c r="AJ369" s="32" t="b">
        <f t="shared" si="83"/>
        <v>1</v>
      </c>
      <c r="AL369" s="32" t="str">
        <f>'St of Activities - GA Exp'!A369</f>
        <v>New Albany-Plain Local SD</v>
      </c>
      <c r="AN369" s="32" t="b">
        <f t="shared" si="85"/>
        <v>1</v>
      </c>
      <c r="AR369" s="32" t="str">
        <f t="shared" si="86"/>
        <v>Franklin</v>
      </c>
      <c r="AS369" s="32" t="str">
        <f>'St of Activites - GA Rev'!C369</f>
        <v>Franklin</v>
      </c>
      <c r="AT369" s="32" t="b">
        <f t="shared" si="84"/>
        <v>1</v>
      </c>
      <c r="AU369" s="32" t="str">
        <f>'St of Activities - GA Exp'!C369</f>
        <v>Franklin</v>
      </c>
      <c r="AV369" s="56"/>
      <c r="AW369" s="32" t="b">
        <f t="shared" si="87"/>
        <v>1</v>
      </c>
    </row>
    <row r="370" spans="1:49">
      <c r="A370" s="11" t="s">
        <v>498</v>
      </c>
      <c r="B370" s="11"/>
      <c r="C370" s="11" t="s">
        <v>59</v>
      </c>
      <c r="D370" s="11"/>
      <c r="E370" s="29">
        <v>44461</v>
      </c>
      <c r="G370" s="7">
        <f t="shared" si="97"/>
        <v>23373682</v>
      </c>
      <c r="I370" s="7">
        <f>2688701+1856040</f>
        <v>4544741</v>
      </c>
      <c r="K370" s="7">
        <v>27918423</v>
      </c>
      <c r="M370" s="7">
        <f t="shared" si="88"/>
        <v>2801093</v>
      </c>
      <c r="O370" s="7">
        <v>86169</v>
      </c>
      <c r="Q370" s="7">
        <f>3642566-86169</f>
        <v>3556397</v>
      </c>
      <c r="S370" s="7">
        <v>6443659</v>
      </c>
      <c r="U370" s="7">
        <v>4463028</v>
      </c>
      <c r="W370" s="7">
        <f>AA370-Y370-U370</f>
        <v>15146795</v>
      </c>
      <c r="Y370" s="7">
        <v>1864941</v>
      </c>
      <c r="AA370" s="7">
        <v>21474764</v>
      </c>
      <c r="AB370" s="7">
        <f t="shared" si="99"/>
        <v>0</v>
      </c>
      <c r="AD370" s="32">
        <f t="shared" si="98"/>
        <v>0</v>
      </c>
      <c r="AF370" s="32"/>
      <c r="AH370" s="32" t="str">
        <f>'St of Activites - GA Rev'!A370</f>
        <v>New Boston Local SD</v>
      </c>
      <c r="AI370" s="32" t="str">
        <f t="shared" si="82"/>
        <v>New Boston Local SD</v>
      </c>
      <c r="AJ370" s="32" t="b">
        <f t="shared" si="83"/>
        <v>1</v>
      </c>
      <c r="AL370" s="32" t="str">
        <f>'St of Activities - GA Exp'!A370</f>
        <v>New Boston Local SD</v>
      </c>
      <c r="AN370" s="32" t="b">
        <f t="shared" si="85"/>
        <v>1</v>
      </c>
      <c r="AR370" s="32" t="str">
        <f t="shared" si="86"/>
        <v>Scioto</v>
      </c>
      <c r="AS370" s="32" t="str">
        <f>'St of Activites - GA Rev'!C370</f>
        <v>Scioto</v>
      </c>
      <c r="AT370" s="32" t="b">
        <f t="shared" si="84"/>
        <v>1</v>
      </c>
      <c r="AU370" s="32" t="str">
        <f>'St of Activities - GA Exp'!C370</f>
        <v>Scioto</v>
      </c>
      <c r="AV370" s="56"/>
      <c r="AW370" s="32" t="b">
        <f t="shared" si="87"/>
        <v>1</v>
      </c>
    </row>
    <row r="371" spans="1:49">
      <c r="A371" s="11" t="s">
        <v>215</v>
      </c>
      <c r="B371" s="11"/>
      <c r="C371" s="11" t="s">
        <v>14</v>
      </c>
      <c r="D371" s="11"/>
      <c r="E371" s="29">
        <v>45955</v>
      </c>
      <c r="G371" s="7">
        <f>+K371-I371</f>
        <v>11112198</v>
      </c>
      <c r="I371" s="7">
        <f>1025092+12125494</f>
        <v>13150586</v>
      </c>
      <c r="K371" s="7">
        <v>24262784</v>
      </c>
      <c r="M371" s="7">
        <f t="shared" si="88"/>
        <v>3595848</v>
      </c>
      <c r="O371" s="7">
        <v>708580</v>
      </c>
      <c r="Q371" s="7">
        <f>5237064-708580</f>
        <v>4528484</v>
      </c>
      <c r="S371" s="7">
        <v>8832912</v>
      </c>
      <c r="U371" s="7">
        <v>9409494</v>
      </c>
      <c r="W371" s="7">
        <f>AA371-Y371-U371</f>
        <v>1622769</v>
      </c>
      <c r="Y371" s="7">
        <v>4397609</v>
      </c>
      <c r="AA371" s="7">
        <v>15429872</v>
      </c>
      <c r="AB371" s="7">
        <f t="shared" si="99"/>
        <v>0</v>
      </c>
      <c r="AD371" s="32">
        <f t="shared" si="98"/>
        <v>0</v>
      </c>
      <c r="AF371" s="32"/>
      <c r="AH371" s="32" t="str">
        <f>'St of Activites - GA Rev'!A371</f>
        <v>New Bremen Local SD</v>
      </c>
      <c r="AI371" s="32" t="str">
        <f t="shared" si="82"/>
        <v>New Bremen Local SD</v>
      </c>
      <c r="AJ371" s="32" t="b">
        <f t="shared" si="83"/>
        <v>1</v>
      </c>
      <c r="AL371" s="32" t="str">
        <f>'St of Activities - GA Exp'!A371</f>
        <v>New Bremen Local SD</v>
      </c>
      <c r="AN371" s="32" t="b">
        <f t="shared" si="85"/>
        <v>1</v>
      </c>
      <c r="AR371" s="32" t="str">
        <f t="shared" si="86"/>
        <v>Auglaize</v>
      </c>
      <c r="AS371" s="32" t="str">
        <f>'St of Activites - GA Rev'!C371</f>
        <v>Auglaize</v>
      </c>
      <c r="AT371" s="32" t="b">
        <f t="shared" si="84"/>
        <v>1</v>
      </c>
      <c r="AU371" s="32" t="str">
        <f>'St of Activities - GA Exp'!C371</f>
        <v>Auglaize</v>
      </c>
      <c r="AV371" s="56"/>
      <c r="AW371" s="32" t="b">
        <f t="shared" si="87"/>
        <v>1</v>
      </c>
    </row>
    <row r="372" spans="1:49" s="65" customFormat="1" hidden="1">
      <c r="A372" s="62" t="s">
        <v>745</v>
      </c>
      <c r="B372" s="62"/>
      <c r="C372" s="62" t="s">
        <v>14</v>
      </c>
      <c r="D372" s="62"/>
      <c r="E372" s="64">
        <v>45963</v>
      </c>
      <c r="G372" s="66">
        <f t="shared" ref="G372:G398" si="100">+K372-I372</f>
        <v>0</v>
      </c>
      <c r="H372" s="66"/>
      <c r="I372" s="66"/>
      <c r="J372" s="66"/>
      <c r="K372" s="66"/>
      <c r="L372" s="66"/>
      <c r="M372" s="65">
        <f t="shared" si="88"/>
        <v>0</v>
      </c>
      <c r="N372" s="66"/>
      <c r="O372" s="66"/>
      <c r="P372" s="66"/>
      <c r="Q372" s="66"/>
      <c r="R372" s="66"/>
      <c r="S372" s="66"/>
      <c r="T372" s="66"/>
      <c r="U372" s="66"/>
      <c r="V372" s="66"/>
      <c r="W372" s="65">
        <f t="shared" ref="W372:W439" si="101">AA372-Y372-U372</f>
        <v>0</v>
      </c>
      <c r="X372" s="66"/>
      <c r="Y372" s="66"/>
      <c r="Z372" s="66"/>
      <c r="AA372" s="66"/>
      <c r="AB372" s="66">
        <f t="shared" si="99"/>
        <v>0</v>
      </c>
      <c r="AC372" s="66"/>
      <c r="AD372" s="66">
        <f t="shared" si="98"/>
        <v>0</v>
      </c>
      <c r="AE372" s="65" t="s">
        <v>839</v>
      </c>
      <c r="AF372" s="66"/>
      <c r="AH372" s="66" t="str">
        <f>'St of Activites - GA Rev'!A372</f>
        <v>New Knoxville Local SD (CASH)</v>
      </c>
      <c r="AI372" s="66" t="str">
        <f t="shared" si="82"/>
        <v>New Knoxville Local SD (CASH)</v>
      </c>
      <c r="AJ372" s="66" t="b">
        <f t="shared" si="83"/>
        <v>1</v>
      </c>
      <c r="AL372" s="66" t="str">
        <f>'St of Activities - GA Exp'!A372</f>
        <v>New Knoxville Local SD (CASH)</v>
      </c>
      <c r="AN372" s="66" t="b">
        <f t="shared" si="85"/>
        <v>1</v>
      </c>
      <c r="AR372" s="66" t="str">
        <f t="shared" si="86"/>
        <v>Auglaize</v>
      </c>
      <c r="AS372" s="66" t="str">
        <f>'St of Activites - GA Rev'!C372</f>
        <v>Auglaize</v>
      </c>
      <c r="AT372" s="66" t="b">
        <f t="shared" si="84"/>
        <v>1</v>
      </c>
      <c r="AU372" s="66" t="str">
        <f>'St of Activities - GA Exp'!C372</f>
        <v>Auglaize</v>
      </c>
      <c r="AV372" s="86"/>
      <c r="AW372" s="66" t="b">
        <f t="shared" si="87"/>
        <v>1</v>
      </c>
    </row>
    <row r="373" spans="1:49">
      <c r="A373" s="11" t="s">
        <v>446</v>
      </c>
      <c r="B373" s="11"/>
      <c r="C373" s="11" t="s">
        <v>50</v>
      </c>
      <c r="D373" s="11"/>
      <c r="E373" s="29">
        <v>48710</v>
      </c>
      <c r="G373" s="7">
        <f>+K373-I373</f>
        <v>10047380</v>
      </c>
      <c r="I373" s="7">
        <v>26389572</v>
      </c>
      <c r="K373" s="7">
        <v>36436952</v>
      </c>
      <c r="M373" s="7">
        <f t="shared" si="88"/>
        <v>4125969</v>
      </c>
      <c r="O373" s="7">
        <v>371749</v>
      </c>
      <c r="Q373" s="7">
        <f>3822731-371749</f>
        <v>3450982</v>
      </c>
      <c r="S373" s="7">
        <v>7948700</v>
      </c>
      <c r="U373" s="7">
        <v>23164697</v>
      </c>
      <c r="W373" s="7">
        <f t="shared" si="101"/>
        <v>1514858</v>
      </c>
      <c r="Y373" s="7">
        <v>3808697</v>
      </c>
      <c r="AA373" s="7">
        <v>28488252</v>
      </c>
      <c r="AB373" s="7">
        <f t="shared" si="99"/>
        <v>0</v>
      </c>
      <c r="AD373" s="32">
        <f t="shared" si="98"/>
        <v>0</v>
      </c>
      <c r="AF373" s="32"/>
      <c r="AH373" s="32" t="str">
        <f>'St of Activites - GA Rev'!A373</f>
        <v>New Lebanon Local SD</v>
      </c>
      <c r="AI373" s="32" t="str">
        <f t="shared" si="82"/>
        <v>New Lebanon Local SD</v>
      </c>
      <c r="AJ373" s="32" t="b">
        <f t="shared" si="83"/>
        <v>1</v>
      </c>
      <c r="AL373" s="32" t="str">
        <f>'St of Activities - GA Exp'!A373</f>
        <v>New Lebanon Local SD</v>
      </c>
      <c r="AN373" s="32" t="b">
        <f t="shared" si="85"/>
        <v>1</v>
      </c>
      <c r="AR373" s="32" t="str">
        <f t="shared" si="86"/>
        <v>Montgomery</v>
      </c>
      <c r="AS373" s="32" t="str">
        <f>'St of Activites - GA Rev'!C373</f>
        <v>Montgomery</v>
      </c>
      <c r="AT373" s="32" t="b">
        <f t="shared" si="84"/>
        <v>1</v>
      </c>
      <c r="AU373" s="32" t="str">
        <f>'St of Activities - GA Exp'!C373</f>
        <v>Montgomery</v>
      </c>
      <c r="AV373" s="56"/>
      <c r="AW373" s="32" t="b">
        <f t="shared" si="87"/>
        <v>1</v>
      </c>
    </row>
    <row r="374" spans="1:49" s="65" customFormat="1" hidden="1">
      <c r="A374" s="62" t="s">
        <v>939</v>
      </c>
      <c r="B374" s="63"/>
      <c r="C374" s="63" t="s">
        <v>466</v>
      </c>
      <c r="D374" s="63"/>
      <c r="E374" s="64">
        <v>44479</v>
      </c>
      <c r="G374" s="65">
        <f t="shared" si="100"/>
        <v>0</v>
      </c>
      <c r="M374" s="65">
        <f t="shared" si="88"/>
        <v>0</v>
      </c>
      <c r="W374" s="65">
        <f t="shared" si="101"/>
        <v>0</v>
      </c>
      <c r="AB374" s="65">
        <f t="shared" si="99"/>
        <v>0</v>
      </c>
      <c r="AD374" s="65">
        <f t="shared" si="98"/>
        <v>0</v>
      </c>
      <c r="AE374" s="65" t="s">
        <v>839</v>
      </c>
      <c r="AH374" s="66" t="str">
        <f>'St of Activites - GA Rev'!A374</f>
        <v>New Lexington City SD (CASH)</v>
      </c>
      <c r="AI374" s="66" t="str">
        <f t="shared" si="82"/>
        <v>New Lexington City SD (CASH)</v>
      </c>
      <c r="AJ374" s="66" t="b">
        <f t="shared" si="83"/>
        <v>1</v>
      </c>
      <c r="AL374" s="66" t="str">
        <f>'St of Activities - GA Exp'!A374</f>
        <v>New Lexington City SD (CASH)</v>
      </c>
      <c r="AN374" s="66" t="b">
        <f t="shared" si="85"/>
        <v>1</v>
      </c>
      <c r="AR374" s="66" t="str">
        <f t="shared" si="86"/>
        <v>Perry</v>
      </c>
      <c r="AS374" s="66" t="str">
        <f>'St of Activites - GA Rev'!C374</f>
        <v>Perry</v>
      </c>
      <c r="AT374" s="66" t="b">
        <f t="shared" si="84"/>
        <v>1</v>
      </c>
      <c r="AU374" s="66" t="str">
        <f>'St of Activities - GA Exp'!C374</f>
        <v>Perry</v>
      </c>
      <c r="AV374" s="86"/>
      <c r="AW374" s="66" t="b">
        <f t="shared" si="87"/>
        <v>1</v>
      </c>
    </row>
    <row r="375" spans="1:49">
      <c r="A375" s="12" t="s">
        <v>367</v>
      </c>
      <c r="B375" s="12"/>
      <c r="C375" s="12" t="s">
        <v>37</v>
      </c>
      <c r="D375" s="12"/>
      <c r="E375" s="29">
        <v>47720</v>
      </c>
      <c r="G375" s="7">
        <f t="shared" si="100"/>
        <v>6805932</v>
      </c>
      <c r="I375" s="7">
        <v>12746227</v>
      </c>
      <c r="K375" s="7">
        <v>19552159</v>
      </c>
      <c r="M375" s="7">
        <f t="shared" si="88"/>
        <v>3043820</v>
      </c>
      <c r="O375" s="7">
        <v>293435</v>
      </c>
      <c r="Q375" s="7">
        <f>2988534-293435</f>
        <v>2695099</v>
      </c>
      <c r="S375" s="7">
        <v>6032354</v>
      </c>
      <c r="U375" s="7">
        <v>10520705</v>
      </c>
      <c r="W375" s="7">
        <f t="shared" si="101"/>
        <v>1555967</v>
      </c>
      <c r="Y375" s="7">
        <v>1443133</v>
      </c>
      <c r="AA375" s="7">
        <v>13519805</v>
      </c>
      <c r="AB375" s="7">
        <f t="shared" si="99"/>
        <v>0</v>
      </c>
      <c r="AD375" s="7">
        <f t="shared" si="98"/>
        <v>0</v>
      </c>
      <c r="AH375" s="32" t="str">
        <f>'St of Activites - GA Rev'!A375</f>
        <v>New London Local SD</v>
      </c>
      <c r="AI375" s="32" t="str">
        <f t="shared" si="82"/>
        <v>New London Local SD</v>
      </c>
      <c r="AJ375" s="32" t="b">
        <f t="shared" si="83"/>
        <v>1</v>
      </c>
      <c r="AL375" s="32" t="str">
        <f>'St of Activities - GA Exp'!A375</f>
        <v>New London Local SD</v>
      </c>
      <c r="AN375" s="32" t="b">
        <f t="shared" si="85"/>
        <v>1</v>
      </c>
      <c r="AR375" s="32" t="str">
        <f t="shared" si="86"/>
        <v>Huron</v>
      </c>
      <c r="AS375" s="32" t="str">
        <f>'St of Activites - GA Rev'!C375</f>
        <v>Huron</v>
      </c>
      <c r="AT375" s="32" t="b">
        <f t="shared" si="84"/>
        <v>1</v>
      </c>
      <c r="AU375" s="32" t="str">
        <f>'St of Activities - GA Exp'!C375</f>
        <v>Huron</v>
      </c>
      <c r="AV375" s="56"/>
      <c r="AW375" s="32" t="b">
        <f t="shared" si="87"/>
        <v>1</v>
      </c>
    </row>
    <row r="376" spans="1:49">
      <c r="A376" s="11" t="s">
        <v>230</v>
      </c>
      <c r="B376" s="11"/>
      <c r="C376" s="11" t="s">
        <v>223</v>
      </c>
      <c r="D376" s="11"/>
      <c r="E376" s="29">
        <v>46136</v>
      </c>
      <c r="G376" s="7">
        <f t="shared" si="100"/>
        <v>5553923</v>
      </c>
      <c r="I376" s="7">
        <f>428932+11912616</f>
        <v>12341548</v>
      </c>
      <c r="K376" s="7">
        <v>17895471</v>
      </c>
      <c r="M376" s="7">
        <f t="shared" si="88"/>
        <v>1837776</v>
      </c>
      <c r="O376" s="7">
        <v>192753</v>
      </c>
      <c r="Q376" s="7">
        <f>2302140-192753</f>
        <v>2109387</v>
      </c>
      <c r="S376" s="7">
        <v>4139916</v>
      </c>
      <c r="U376" s="7">
        <v>10535472</v>
      </c>
      <c r="W376" s="7">
        <f t="shared" si="101"/>
        <v>313742</v>
      </c>
      <c r="Y376" s="7">
        <v>2906341</v>
      </c>
      <c r="AA376" s="7">
        <v>13755555</v>
      </c>
      <c r="AB376" s="7">
        <f t="shared" si="99"/>
        <v>0</v>
      </c>
      <c r="AD376" s="32">
        <f t="shared" si="98"/>
        <v>0</v>
      </c>
      <c r="AF376" s="32"/>
      <c r="AH376" s="32" t="str">
        <f>'St of Activites - GA Rev'!A376</f>
        <v>New Miami Local SD</v>
      </c>
      <c r="AI376" s="32" t="str">
        <f t="shared" si="82"/>
        <v>New Miami Local SD</v>
      </c>
      <c r="AJ376" s="32" t="b">
        <f t="shared" si="83"/>
        <v>1</v>
      </c>
      <c r="AL376" s="32" t="str">
        <f>'St of Activities - GA Exp'!A376</f>
        <v>New Miami Local SD</v>
      </c>
      <c r="AN376" s="32" t="b">
        <f t="shared" si="85"/>
        <v>1</v>
      </c>
      <c r="AR376" s="32" t="str">
        <f t="shared" si="86"/>
        <v>Butler</v>
      </c>
      <c r="AS376" s="32" t="str">
        <f>'St of Activites - GA Rev'!C376</f>
        <v>Butler</v>
      </c>
      <c r="AT376" s="32" t="b">
        <f t="shared" si="84"/>
        <v>1</v>
      </c>
      <c r="AU376" s="32" t="str">
        <f>'St of Activities - GA Exp'!C376</f>
        <v>Butler</v>
      </c>
      <c r="AV376" s="56"/>
      <c r="AW376" s="32" t="b">
        <f t="shared" si="87"/>
        <v>1</v>
      </c>
    </row>
    <row r="377" spans="1:49">
      <c r="A377" s="11" t="s">
        <v>553</v>
      </c>
      <c r="B377" s="11"/>
      <c r="C377" s="11" t="s">
        <v>65</v>
      </c>
      <c r="D377" s="11"/>
      <c r="E377" s="29">
        <v>44487</v>
      </c>
      <c r="G377" s="7">
        <f t="shared" si="100"/>
        <v>24967064</v>
      </c>
      <c r="I377" s="7">
        <f>864677+11862374</f>
        <v>12727051</v>
      </c>
      <c r="K377" s="7">
        <v>37694115</v>
      </c>
      <c r="M377" s="7">
        <f t="shared" si="88"/>
        <v>14911839</v>
      </c>
      <c r="O377" s="7">
        <v>664782</v>
      </c>
      <c r="Q377" s="7">
        <f>6572893-664782</f>
        <v>5908111</v>
      </c>
      <c r="S377" s="7">
        <v>21484732</v>
      </c>
      <c r="U377" s="7">
        <v>7993478</v>
      </c>
      <c r="W377" s="7">
        <f t="shared" si="101"/>
        <v>1755605</v>
      </c>
      <c r="Y377" s="7">
        <v>6460300</v>
      </c>
      <c r="AA377" s="7">
        <v>16209383</v>
      </c>
      <c r="AB377" s="7">
        <f>+K377-S377-AA377</f>
        <v>0</v>
      </c>
      <c r="AD377" s="32">
        <f t="shared" si="98"/>
        <v>0</v>
      </c>
      <c r="AE377" s="7" t="s">
        <v>785</v>
      </c>
      <c r="AF377" s="32"/>
      <c r="AH377" s="32" t="str">
        <f>'St of Activites - GA Rev'!A377</f>
        <v>New Philadelphia City SD</v>
      </c>
      <c r="AI377" s="32" t="str">
        <f t="shared" si="82"/>
        <v>New Philadelphia City SD</v>
      </c>
      <c r="AJ377" s="32" t="b">
        <f t="shared" si="83"/>
        <v>1</v>
      </c>
      <c r="AL377" s="32" t="str">
        <f>'St of Activities - GA Exp'!A377</f>
        <v>New Philadelphia City SD</v>
      </c>
      <c r="AN377" s="32" t="b">
        <f t="shared" si="85"/>
        <v>1</v>
      </c>
      <c r="AR377" s="32" t="str">
        <f t="shared" si="86"/>
        <v>Tuscarawas</v>
      </c>
      <c r="AS377" s="32" t="str">
        <f>'St of Activites - GA Rev'!C377</f>
        <v>Tuscarawas</v>
      </c>
      <c r="AT377" s="32" t="b">
        <f t="shared" si="84"/>
        <v>1</v>
      </c>
      <c r="AU377" s="32" t="str">
        <f>'St of Activities - GA Exp'!C377</f>
        <v>Tuscarawas</v>
      </c>
      <c r="AV377" s="56"/>
      <c r="AW377" s="32" t="b">
        <f t="shared" si="87"/>
        <v>1</v>
      </c>
    </row>
    <row r="378" spans="1:49">
      <c r="A378" s="11" t="s">
        <v>881</v>
      </c>
      <c r="B378" s="11"/>
      <c r="C378" s="11" t="s">
        <v>113</v>
      </c>
      <c r="D378" s="11"/>
      <c r="E378" s="29">
        <v>45559</v>
      </c>
      <c r="G378" s="7">
        <f t="shared" si="100"/>
        <v>34353691</v>
      </c>
      <c r="I378" s="7">
        <f>1793147+17820123</f>
        <v>19613270</v>
      </c>
      <c r="K378" s="7">
        <v>53966961</v>
      </c>
      <c r="M378" s="7">
        <f t="shared" si="88"/>
        <v>13368792</v>
      </c>
      <c r="O378" s="7">
        <v>217113</v>
      </c>
      <c r="Q378" s="7">
        <f>2770374-217113</f>
        <v>2553261</v>
      </c>
      <c r="S378" s="7">
        <v>16139166</v>
      </c>
      <c r="U378" s="7">
        <v>19613270</v>
      </c>
      <c r="W378" s="7">
        <f t="shared" si="101"/>
        <v>1259217</v>
      </c>
      <c r="Y378" s="7">
        <v>16955308</v>
      </c>
      <c r="AA378" s="7">
        <v>37827795</v>
      </c>
      <c r="AB378" s="7">
        <f t="shared" si="99"/>
        <v>0</v>
      </c>
      <c r="AD378" s="32">
        <f t="shared" si="98"/>
        <v>0</v>
      </c>
      <c r="AF378" s="32"/>
      <c r="AH378" s="32" t="str">
        <f>'St of Activites - GA Rev'!A378</f>
        <v>New Richmond Exempted Village SD</v>
      </c>
      <c r="AI378" s="32" t="str">
        <f t="shared" si="82"/>
        <v>New Richmond Exempted Village SD</v>
      </c>
      <c r="AJ378" s="32" t="b">
        <f t="shared" si="83"/>
        <v>1</v>
      </c>
      <c r="AL378" s="32" t="str">
        <f>'St of Activities - GA Exp'!A378</f>
        <v>New Richmond Exempted Village SD</v>
      </c>
      <c r="AN378" s="32" t="b">
        <f t="shared" si="85"/>
        <v>1</v>
      </c>
      <c r="AR378" s="32" t="str">
        <f t="shared" si="86"/>
        <v>Clermont</v>
      </c>
      <c r="AS378" s="32" t="str">
        <f>'St of Activites - GA Rev'!C378</f>
        <v>Clermont</v>
      </c>
      <c r="AT378" s="32" t="b">
        <f t="shared" si="84"/>
        <v>1</v>
      </c>
      <c r="AU378" s="32" t="str">
        <f>'St of Activities - GA Exp'!C378</f>
        <v>Clermont</v>
      </c>
      <c r="AV378" s="56"/>
      <c r="AW378" s="32" t="b">
        <f t="shared" si="87"/>
        <v>1</v>
      </c>
    </row>
    <row r="379" spans="1:49" s="65" customFormat="1" hidden="1">
      <c r="A379" s="62" t="s">
        <v>940</v>
      </c>
      <c r="B379" s="62"/>
      <c r="C379" s="62" t="s">
        <v>60</v>
      </c>
      <c r="D379" s="62"/>
      <c r="E379" s="64">
        <v>49718</v>
      </c>
      <c r="G379" s="65">
        <f t="shared" si="100"/>
        <v>0</v>
      </c>
      <c r="M379" s="65">
        <f t="shared" si="88"/>
        <v>0</v>
      </c>
      <c r="W379" s="65">
        <f t="shared" si="101"/>
        <v>0</v>
      </c>
      <c r="AB379" s="65">
        <f t="shared" si="99"/>
        <v>0</v>
      </c>
      <c r="AD379" s="66">
        <f t="shared" si="98"/>
        <v>0</v>
      </c>
      <c r="AE379" s="65" t="s">
        <v>839</v>
      </c>
      <c r="AF379" s="66"/>
      <c r="AH379" s="66" t="str">
        <f>'St of Activites - GA Rev'!A379</f>
        <v>New Riegel Local SD (CASH)</v>
      </c>
      <c r="AI379" s="66" t="str">
        <f t="shared" si="82"/>
        <v>New Riegel Local SD (CASH)</v>
      </c>
      <c r="AJ379" s="66" t="b">
        <f t="shared" si="83"/>
        <v>1</v>
      </c>
      <c r="AL379" s="66" t="str">
        <f>'St of Activities - GA Exp'!A379</f>
        <v>New Riegel Local SD (CASH)</v>
      </c>
      <c r="AN379" s="66" t="b">
        <f t="shared" si="85"/>
        <v>1</v>
      </c>
      <c r="AR379" s="66" t="str">
        <f t="shared" si="86"/>
        <v>Seneca</v>
      </c>
      <c r="AS379" s="66" t="str">
        <f>'St of Activites - GA Rev'!C379</f>
        <v>Seneca</v>
      </c>
      <c r="AT379" s="66" t="b">
        <f t="shared" si="84"/>
        <v>1</v>
      </c>
      <c r="AU379" s="66" t="str">
        <f>'St of Activities - GA Exp'!C379</f>
        <v>Seneca</v>
      </c>
      <c r="AV379" s="86"/>
      <c r="AW379" s="66" t="b">
        <f t="shared" si="87"/>
        <v>1</v>
      </c>
    </row>
    <row r="380" spans="1:49">
      <c r="A380" s="11" t="s">
        <v>388</v>
      </c>
      <c r="B380" s="11"/>
      <c r="C380" s="11" t="s">
        <v>42</v>
      </c>
      <c r="D380" s="11"/>
      <c r="E380" s="29">
        <v>44453</v>
      </c>
      <c r="G380" s="7">
        <f t="shared" si="100"/>
        <v>97957041</v>
      </c>
      <c r="I380" s="7">
        <f>58624070+57059305</f>
        <v>115683375</v>
      </c>
      <c r="K380" s="7">
        <v>213640416</v>
      </c>
      <c r="M380" s="7">
        <f t="shared" si="88"/>
        <v>34981204</v>
      </c>
      <c r="O380" s="7">
        <v>2950072</v>
      </c>
      <c r="Q380" s="7">
        <f>69473721-2950072</f>
        <v>66523649</v>
      </c>
      <c r="S380" s="7">
        <v>104454925</v>
      </c>
      <c r="U380" s="7">
        <v>58627357</v>
      </c>
      <c r="W380" s="7">
        <f t="shared" si="101"/>
        <v>43863448</v>
      </c>
      <c r="Y380" s="7">
        <v>6694686</v>
      </c>
      <c r="AA380" s="7">
        <v>109185491</v>
      </c>
      <c r="AB380" s="7">
        <f>+K380-S380-AA380</f>
        <v>0</v>
      </c>
      <c r="AD380" s="32">
        <f>+G380+I380+-M380-O380-U380-W380-Y380-Q380</f>
        <v>0</v>
      </c>
      <c r="AF380" s="32"/>
      <c r="AH380" s="32" t="str">
        <f>'St of Activites - GA Rev'!A380</f>
        <v>Newark City SD</v>
      </c>
      <c r="AI380" s="32" t="str">
        <f t="shared" si="82"/>
        <v>Newark City SD</v>
      </c>
      <c r="AJ380" s="32" t="b">
        <f t="shared" si="83"/>
        <v>1</v>
      </c>
      <c r="AL380" s="32" t="str">
        <f>'St of Activities - GA Exp'!A380</f>
        <v>Newark City SD</v>
      </c>
      <c r="AN380" s="32" t="b">
        <f t="shared" si="85"/>
        <v>1</v>
      </c>
      <c r="AR380" s="32" t="str">
        <f t="shared" si="86"/>
        <v>Licking</v>
      </c>
      <c r="AS380" s="32" t="str">
        <f>'St of Activites - GA Rev'!C380</f>
        <v>Licking</v>
      </c>
      <c r="AT380" s="32" t="b">
        <f t="shared" si="84"/>
        <v>1</v>
      </c>
      <c r="AU380" s="32" t="str">
        <f>'St of Activities - GA Exp'!C380</f>
        <v>Licking</v>
      </c>
      <c r="AV380" s="56"/>
      <c r="AW380" s="32" t="b">
        <f t="shared" si="87"/>
        <v>1</v>
      </c>
    </row>
    <row r="381" spans="1:49">
      <c r="A381" s="11" t="s">
        <v>323</v>
      </c>
      <c r="B381" s="11"/>
      <c r="C381" s="11" t="s">
        <v>30</v>
      </c>
      <c r="D381" s="11"/>
      <c r="E381" s="29">
        <v>47217</v>
      </c>
      <c r="G381" s="7">
        <f t="shared" si="100"/>
        <v>7080699</v>
      </c>
      <c r="I381" s="7">
        <v>3352331</v>
      </c>
      <c r="K381" s="7">
        <v>10433030</v>
      </c>
      <c r="M381" s="7">
        <f t="shared" si="88"/>
        <v>5846946</v>
      </c>
      <c r="O381" s="7">
        <v>92483</v>
      </c>
      <c r="Q381" s="7">
        <f>502643-92483</f>
        <v>410160</v>
      </c>
      <c r="S381" s="7">
        <v>6349589</v>
      </c>
      <c r="U381" s="7">
        <v>3352331</v>
      </c>
      <c r="W381" s="7">
        <f t="shared" si="101"/>
        <v>136063</v>
      </c>
      <c r="Y381" s="7">
        <v>595047</v>
      </c>
      <c r="AA381" s="7">
        <v>4083441</v>
      </c>
      <c r="AB381" s="7">
        <f t="shared" si="99"/>
        <v>0</v>
      </c>
      <c r="AD381" s="32">
        <f t="shared" si="98"/>
        <v>0</v>
      </c>
      <c r="AE381" s="84"/>
      <c r="AF381" s="32"/>
      <c r="AH381" s="32" t="str">
        <f>'St of Activites - GA Rev'!A381</f>
        <v>Newbury Local SD</v>
      </c>
      <c r="AI381" s="32" t="str">
        <f t="shared" si="82"/>
        <v>Newbury Local SD</v>
      </c>
      <c r="AJ381" s="32" t="b">
        <f t="shared" si="83"/>
        <v>1</v>
      </c>
      <c r="AL381" s="32" t="str">
        <f>'St of Activities - GA Exp'!A381</f>
        <v>Newbury Local SD</v>
      </c>
      <c r="AN381" s="32" t="b">
        <f t="shared" si="85"/>
        <v>1</v>
      </c>
      <c r="AR381" s="32" t="str">
        <f t="shared" si="86"/>
        <v>Geauga</v>
      </c>
      <c r="AS381" s="32" t="str">
        <f>'St of Activites - GA Rev'!C381</f>
        <v>Geauga</v>
      </c>
      <c r="AT381" s="32" t="b">
        <f t="shared" si="84"/>
        <v>1</v>
      </c>
      <c r="AU381" s="32" t="str">
        <f>'St of Activities - GA Exp'!C381</f>
        <v>Geauga</v>
      </c>
      <c r="AV381" s="56"/>
      <c r="AW381" s="32" t="b">
        <f t="shared" si="87"/>
        <v>1</v>
      </c>
    </row>
    <row r="382" spans="1:49">
      <c r="A382" s="11" t="s">
        <v>882</v>
      </c>
      <c r="B382" s="11"/>
      <c r="C382" s="11" t="s">
        <v>65</v>
      </c>
      <c r="D382" s="11"/>
      <c r="E382" s="29">
        <v>45542</v>
      </c>
      <c r="G382" s="7">
        <f t="shared" si="100"/>
        <v>5789009</v>
      </c>
      <c r="I382" s="7">
        <v>14796383</v>
      </c>
      <c r="K382" s="7">
        <v>20585392</v>
      </c>
      <c r="M382" s="7">
        <f t="shared" si="88"/>
        <v>3899040</v>
      </c>
      <c r="O382" s="7">
        <v>345137</v>
      </c>
      <c r="Q382" s="7">
        <f>3120283-345137</f>
        <v>2775146</v>
      </c>
      <c r="S382" s="7">
        <v>7019323</v>
      </c>
      <c r="U382" s="7">
        <v>12187666</v>
      </c>
      <c r="W382" s="7">
        <f t="shared" si="101"/>
        <v>1344244</v>
      </c>
      <c r="Y382" s="7">
        <v>34159</v>
      </c>
      <c r="AA382" s="7">
        <v>13566069</v>
      </c>
      <c r="AB382" s="7">
        <f t="shared" si="99"/>
        <v>0</v>
      </c>
      <c r="AD382" s="32">
        <f t="shared" si="98"/>
        <v>0</v>
      </c>
      <c r="AF382" s="32"/>
      <c r="AH382" s="32" t="str">
        <f>'St of Activites - GA Rev'!A382</f>
        <v>Newcomerstown Exempted Village SD</v>
      </c>
      <c r="AI382" s="32" t="str">
        <f t="shared" si="82"/>
        <v>Newcomerstown Exempted Village SD</v>
      </c>
      <c r="AJ382" s="32" t="b">
        <f t="shared" si="83"/>
        <v>1</v>
      </c>
      <c r="AL382" s="32" t="str">
        <f>'St of Activities - GA Exp'!A382</f>
        <v>Newcomerstown Exempted Village SD</v>
      </c>
      <c r="AN382" s="32" t="b">
        <f t="shared" si="85"/>
        <v>1</v>
      </c>
      <c r="AR382" s="32" t="str">
        <f t="shared" si="86"/>
        <v>Tuscarawas</v>
      </c>
      <c r="AS382" s="32" t="str">
        <f>'St of Activites - GA Rev'!C382</f>
        <v>Tuscarawas</v>
      </c>
      <c r="AT382" s="32" t="b">
        <f t="shared" si="84"/>
        <v>1</v>
      </c>
      <c r="AU382" s="32" t="str">
        <f>'St of Activities - GA Exp'!C382</f>
        <v>Tuscarawas</v>
      </c>
      <c r="AV382" s="56"/>
      <c r="AW382" s="32" t="b">
        <f t="shared" si="87"/>
        <v>1</v>
      </c>
    </row>
    <row r="383" spans="1:49">
      <c r="A383" s="11" t="s">
        <v>883</v>
      </c>
      <c r="B383" s="11"/>
      <c r="C383" s="11" t="s">
        <v>64</v>
      </c>
      <c r="D383" s="11"/>
      <c r="E383" s="29">
        <v>45567</v>
      </c>
      <c r="G383" s="7">
        <f t="shared" si="100"/>
        <v>7677133</v>
      </c>
      <c r="I383" s="7">
        <f>58300+18601469</f>
        <v>18659769</v>
      </c>
      <c r="K383" s="7">
        <v>26336902</v>
      </c>
      <c r="M383" s="7">
        <f t="shared" si="88"/>
        <v>4673343</v>
      </c>
      <c r="O383" s="7">
        <v>197123</v>
      </c>
      <c r="Q383" s="7">
        <f>3573699-197123</f>
        <v>3376576</v>
      </c>
      <c r="S383" s="7">
        <v>8247042</v>
      </c>
      <c r="U383" s="7">
        <v>15679769</v>
      </c>
      <c r="W383" s="7">
        <f t="shared" si="101"/>
        <v>2124054</v>
      </c>
      <c r="Y383" s="7">
        <v>286037</v>
      </c>
      <c r="AA383" s="7">
        <v>18089860</v>
      </c>
      <c r="AB383" s="7">
        <f t="shared" si="99"/>
        <v>0</v>
      </c>
      <c r="AD383" s="32">
        <f t="shared" si="98"/>
        <v>0</v>
      </c>
      <c r="AF383" s="32"/>
      <c r="AH383" s="32" t="str">
        <f>'St of Activites - GA Rev'!A383</f>
        <v>Newton Falls Exempted Village SD</v>
      </c>
      <c r="AI383" s="32" t="str">
        <f t="shared" si="82"/>
        <v>Newton Falls Exempted Village SD</v>
      </c>
      <c r="AJ383" s="32" t="b">
        <f t="shared" si="83"/>
        <v>1</v>
      </c>
      <c r="AL383" s="32" t="str">
        <f>'St of Activities - GA Exp'!A383</f>
        <v>Newton Falls Exempted Village SD</v>
      </c>
      <c r="AN383" s="32" t="b">
        <f t="shared" si="85"/>
        <v>1</v>
      </c>
      <c r="AR383" s="32" t="str">
        <f t="shared" si="86"/>
        <v>Trumbull</v>
      </c>
      <c r="AS383" s="32" t="str">
        <f>'St of Activites - GA Rev'!C383</f>
        <v>Trumbull</v>
      </c>
      <c r="AT383" s="32" t="b">
        <f t="shared" si="84"/>
        <v>1</v>
      </c>
      <c r="AU383" s="32" t="str">
        <f>'St of Activities - GA Exp'!C383</f>
        <v>Trumbull</v>
      </c>
      <c r="AV383" s="56"/>
      <c r="AW383" s="32" t="b">
        <f t="shared" si="87"/>
        <v>1</v>
      </c>
    </row>
    <row r="384" spans="1:49" s="65" customFormat="1" hidden="1">
      <c r="A384" s="62" t="s">
        <v>941</v>
      </c>
      <c r="B384" s="62"/>
      <c r="C384" s="62" t="s">
        <v>48</v>
      </c>
      <c r="D384" s="62"/>
      <c r="E384" s="64">
        <v>48637</v>
      </c>
      <c r="G384" s="65">
        <f t="shared" si="100"/>
        <v>0</v>
      </c>
      <c r="M384" s="65">
        <f t="shared" si="88"/>
        <v>0</v>
      </c>
      <c r="W384" s="65">
        <f t="shared" si="101"/>
        <v>0</v>
      </c>
      <c r="AB384" s="65">
        <f t="shared" si="99"/>
        <v>0</v>
      </c>
      <c r="AD384" s="66">
        <f t="shared" si="98"/>
        <v>0</v>
      </c>
      <c r="AE384" s="65" t="s">
        <v>912</v>
      </c>
      <c r="AF384" s="66"/>
      <c r="AH384" s="66" t="str">
        <f>'St of Activites - GA Rev'!A384</f>
        <v>Newton Local SD (CASH)</v>
      </c>
      <c r="AI384" s="66" t="str">
        <f t="shared" si="82"/>
        <v>Newton Local SD (CASH)</v>
      </c>
      <c r="AJ384" s="66" t="b">
        <f t="shared" si="83"/>
        <v>1</v>
      </c>
      <c r="AL384" s="66" t="str">
        <f>'St of Activities - GA Exp'!A384</f>
        <v>Newton Local SD (CASH)</v>
      </c>
      <c r="AN384" s="66" t="b">
        <f t="shared" si="85"/>
        <v>1</v>
      </c>
      <c r="AR384" s="66" t="str">
        <f t="shared" si="86"/>
        <v>Miami</v>
      </c>
      <c r="AS384" s="66" t="str">
        <f>'St of Activites - GA Rev'!C384</f>
        <v>Miami</v>
      </c>
      <c r="AT384" s="66" t="b">
        <f t="shared" si="84"/>
        <v>1</v>
      </c>
      <c r="AU384" s="66" t="str">
        <f>'St of Activities - GA Exp'!C384</f>
        <v>Miami</v>
      </c>
      <c r="AV384" s="86"/>
      <c r="AW384" s="66" t="b">
        <f t="shared" si="87"/>
        <v>1</v>
      </c>
    </row>
    <row r="385" spans="1:49">
      <c r="A385" s="11" t="s">
        <v>631</v>
      </c>
      <c r="B385" s="11"/>
      <c r="C385" s="11" t="s">
        <v>64</v>
      </c>
      <c r="D385" s="11"/>
      <c r="E385" s="29"/>
      <c r="G385" s="7">
        <f t="shared" si="100"/>
        <v>69805387</v>
      </c>
      <c r="I385" s="7">
        <v>16651179</v>
      </c>
      <c r="K385" s="7">
        <v>86456566</v>
      </c>
      <c r="M385" s="7">
        <f t="shared" si="88"/>
        <v>13209348</v>
      </c>
      <c r="O385" s="7">
        <v>1225769</v>
      </c>
      <c r="Q385" s="7">
        <f>24569366-1225769</f>
        <v>23343597</v>
      </c>
      <c r="S385" s="7">
        <v>37778714</v>
      </c>
      <c r="U385" s="7">
        <v>12429519</v>
      </c>
      <c r="W385" s="7">
        <f t="shared" si="101"/>
        <v>40042954</v>
      </c>
      <c r="Y385" s="7">
        <v>-3794621</v>
      </c>
      <c r="AA385" s="7">
        <v>48677852</v>
      </c>
      <c r="AB385" s="7">
        <f t="shared" si="99"/>
        <v>0</v>
      </c>
      <c r="AD385" s="32">
        <f t="shared" si="98"/>
        <v>0</v>
      </c>
      <c r="AF385" s="32"/>
      <c r="AH385" s="32" t="str">
        <f>'St of Activites - GA Rev'!A385</f>
        <v>Niles City SD</v>
      </c>
      <c r="AI385" s="32" t="str">
        <f t="shared" si="82"/>
        <v>Niles City SD</v>
      </c>
      <c r="AJ385" s="32" t="b">
        <f t="shared" si="83"/>
        <v>1</v>
      </c>
      <c r="AL385" s="32" t="str">
        <f>'St of Activities - GA Exp'!A385</f>
        <v>Niles City SD</v>
      </c>
      <c r="AN385" s="32" t="b">
        <f t="shared" si="85"/>
        <v>1</v>
      </c>
      <c r="AR385" s="32" t="str">
        <f t="shared" si="86"/>
        <v>Trumbull</v>
      </c>
      <c r="AS385" s="32" t="str">
        <f>'St of Activites - GA Rev'!C385</f>
        <v>Trumbull</v>
      </c>
      <c r="AT385" s="32" t="b">
        <f t="shared" si="84"/>
        <v>1</v>
      </c>
      <c r="AU385" s="32" t="str">
        <f>'St of Activities - GA Exp'!C385</f>
        <v>Trumbull</v>
      </c>
      <c r="AV385" s="56"/>
      <c r="AW385" s="32" t="b">
        <f t="shared" si="87"/>
        <v>1</v>
      </c>
    </row>
    <row r="386" spans="1:49">
      <c r="A386" s="11" t="s">
        <v>462</v>
      </c>
      <c r="B386" s="11"/>
      <c r="C386" s="11" t="s">
        <v>52</v>
      </c>
      <c r="D386" s="11"/>
      <c r="E386" s="29">
        <v>48900</v>
      </c>
      <c r="G386" s="7">
        <f t="shared" si="100"/>
        <v>8032952</v>
      </c>
      <c r="I386" s="7">
        <f>20925+4070528</f>
        <v>4091453</v>
      </c>
      <c r="K386" s="7">
        <v>12124405</v>
      </c>
      <c r="M386" s="7">
        <f t="shared" si="88"/>
        <v>4314158</v>
      </c>
      <c r="O386" s="7">
        <v>59430</v>
      </c>
      <c r="Q386" s="7">
        <f>612552-59430</f>
        <v>553122</v>
      </c>
      <c r="S386" s="7">
        <v>4926710</v>
      </c>
      <c r="U386" s="7">
        <v>4053978</v>
      </c>
      <c r="W386" s="7">
        <f t="shared" si="101"/>
        <v>417144</v>
      </c>
      <c r="Y386" s="7">
        <v>2726573</v>
      </c>
      <c r="AA386" s="7">
        <v>7197695</v>
      </c>
      <c r="AB386" s="7">
        <f t="shared" si="99"/>
        <v>0</v>
      </c>
      <c r="AD386" s="32">
        <f t="shared" si="98"/>
        <v>0</v>
      </c>
      <c r="AF386" s="32"/>
      <c r="AH386" s="32" t="str">
        <f>'St of Activites - GA Rev'!A386</f>
        <v>Noble Local SD</v>
      </c>
      <c r="AI386" s="32" t="str">
        <f t="shared" si="82"/>
        <v>Noble Local SD</v>
      </c>
      <c r="AJ386" s="32" t="b">
        <f t="shared" si="83"/>
        <v>1</v>
      </c>
      <c r="AL386" s="32" t="str">
        <f>'St of Activities - GA Exp'!A386</f>
        <v>Noble Local SD</v>
      </c>
      <c r="AN386" s="32" t="b">
        <f t="shared" si="85"/>
        <v>1</v>
      </c>
      <c r="AR386" s="32" t="str">
        <f t="shared" si="86"/>
        <v>Noble</v>
      </c>
      <c r="AS386" s="32" t="str">
        <f>'St of Activites - GA Rev'!C386</f>
        <v>Noble</v>
      </c>
      <c r="AT386" s="32" t="b">
        <f t="shared" si="84"/>
        <v>1</v>
      </c>
      <c r="AU386" s="32" t="str">
        <f>'St of Activities - GA Exp'!C386</f>
        <v>Noble</v>
      </c>
      <c r="AV386" s="56"/>
      <c r="AW386" s="32" t="b">
        <f t="shared" si="87"/>
        <v>1</v>
      </c>
    </row>
    <row r="387" spans="1:49">
      <c r="A387" s="11" t="s">
        <v>527</v>
      </c>
      <c r="B387" s="11"/>
      <c r="C387" s="11" t="s">
        <v>63</v>
      </c>
      <c r="D387" s="11"/>
      <c r="E387" s="29">
        <v>50047</v>
      </c>
      <c r="G387" s="7">
        <f t="shared" si="100"/>
        <v>39499634</v>
      </c>
      <c r="I387" s="7">
        <f>1427727+39883220</f>
        <v>41310947</v>
      </c>
      <c r="K387" s="7">
        <v>80810581</v>
      </c>
      <c r="M387" s="7">
        <f t="shared" si="88"/>
        <v>28591757</v>
      </c>
      <c r="O387" s="7">
        <v>2858219</v>
      </c>
      <c r="Q387" s="7">
        <f>40273934-2858219</f>
        <v>37415715</v>
      </c>
      <c r="S387" s="7">
        <v>68865691</v>
      </c>
      <c r="U387" s="7">
        <v>9525697</v>
      </c>
      <c r="W387" s="7">
        <f t="shared" si="101"/>
        <v>3708897</v>
      </c>
      <c r="Y387" s="7">
        <v>-1289704</v>
      </c>
      <c r="AA387" s="7">
        <v>11944890</v>
      </c>
      <c r="AB387" s="7">
        <f t="shared" si="99"/>
        <v>0</v>
      </c>
      <c r="AD387" s="32">
        <f t="shared" si="98"/>
        <v>0</v>
      </c>
      <c r="AF387" s="32"/>
      <c r="AH387" s="32" t="str">
        <f>'St of Activites - GA Rev'!A387</f>
        <v>Nordonia Hills City SD</v>
      </c>
      <c r="AI387" s="32" t="str">
        <f t="shared" si="82"/>
        <v>Nordonia Hills City SD</v>
      </c>
      <c r="AJ387" s="32" t="b">
        <f t="shared" si="83"/>
        <v>1</v>
      </c>
      <c r="AL387" s="32" t="str">
        <f>'St of Activities - GA Exp'!A387</f>
        <v>Nordonia Hills City SD</v>
      </c>
      <c r="AN387" s="32" t="b">
        <f t="shared" si="85"/>
        <v>1</v>
      </c>
      <c r="AR387" s="32" t="str">
        <f t="shared" si="86"/>
        <v>Summit</v>
      </c>
      <c r="AS387" s="32" t="str">
        <f>'St of Activites - GA Rev'!C387</f>
        <v>Summit</v>
      </c>
      <c r="AT387" s="32" t="b">
        <f t="shared" si="84"/>
        <v>1</v>
      </c>
      <c r="AU387" s="32" t="str">
        <f>'St of Activities - GA Exp'!C387</f>
        <v>Summit</v>
      </c>
      <c r="AV387" s="56"/>
      <c r="AW387" s="32" t="b">
        <f t="shared" si="87"/>
        <v>1</v>
      </c>
    </row>
    <row r="388" spans="1:49">
      <c r="A388" s="11" t="s">
        <v>574</v>
      </c>
      <c r="B388" s="11"/>
      <c r="C388" s="11" t="s">
        <v>72</v>
      </c>
      <c r="D388" s="11"/>
      <c r="E388" s="29">
        <v>50708</v>
      </c>
      <c r="G388" s="7">
        <f t="shared" si="100"/>
        <v>24568642</v>
      </c>
      <c r="I388" s="7">
        <f>6687979+1985941</f>
        <v>8673920</v>
      </c>
      <c r="K388" s="7">
        <v>33242562</v>
      </c>
      <c r="M388" s="7">
        <f t="shared" si="88"/>
        <v>5132482</v>
      </c>
      <c r="O388" s="7">
        <v>451620</v>
      </c>
      <c r="Q388" s="7">
        <f>12562712-451620</f>
        <v>12111092</v>
      </c>
      <c r="S388" s="7">
        <v>17695194</v>
      </c>
      <c r="U388" s="7">
        <v>3778989</v>
      </c>
      <c r="W388" s="7">
        <f t="shared" si="101"/>
        <v>9537463</v>
      </c>
      <c r="Y388" s="7">
        <v>2230916</v>
      </c>
      <c r="AA388" s="7">
        <v>15547368</v>
      </c>
      <c r="AB388" s="7">
        <f t="shared" si="99"/>
        <v>0</v>
      </c>
      <c r="AD388" s="32">
        <f t="shared" si="98"/>
        <v>0</v>
      </c>
      <c r="AF388" s="32"/>
      <c r="AH388" s="32" t="str">
        <f>'St of Activites - GA Rev'!A388</f>
        <v>North Baltimore Local SD</v>
      </c>
      <c r="AI388" s="32" t="str">
        <f t="shared" si="82"/>
        <v>North Baltimore Local SD</v>
      </c>
      <c r="AJ388" s="32" t="b">
        <f t="shared" si="83"/>
        <v>1</v>
      </c>
      <c r="AL388" s="32" t="str">
        <f>'St of Activities - GA Exp'!A388</f>
        <v>North Baltimore Local SD</v>
      </c>
      <c r="AN388" s="32" t="b">
        <f t="shared" si="85"/>
        <v>1</v>
      </c>
      <c r="AR388" s="32" t="str">
        <f t="shared" si="86"/>
        <v>Wood</v>
      </c>
      <c r="AS388" s="32" t="str">
        <f>'St of Activites - GA Rev'!C388</f>
        <v>Wood</v>
      </c>
      <c r="AT388" s="32" t="b">
        <f t="shared" si="84"/>
        <v>1</v>
      </c>
      <c r="AU388" s="32" t="str">
        <f>'St of Activities - GA Exp'!C388</f>
        <v>Wood</v>
      </c>
      <c r="AV388" s="56"/>
      <c r="AW388" s="32" t="b">
        <f t="shared" si="87"/>
        <v>1</v>
      </c>
    </row>
    <row r="389" spans="1:49" s="65" customFormat="1" hidden="1">
      <c r="A389" s="62" t="s">
        <v>943</v>
      </c>
      <c r="B389" s="62"/>
      <c r="C389" s="62" t="s">
        <v>53</v>
      </c>
      <c r="D389" s="62"/>
      <c r="E389" s="64">
        <v>48967</v>
      </c>
      <c r="G389" s="65">
        <f t="shared" si="100"/>
        <v>0</v>
      </c>
      <c r="M389" s="65">
        <f t="shared" si="88"/>
        <v>0</v>
      </c>
      <c r="W389" s="65">
        <f t="shared" si="101"/>
        <v>0</v>
      </c>
      <c r="AB389" s="65">
        <f t="shared" si="99"/>
        <v>0</v>
      </c>
      <c r="AD389" s="66">
        <f t="shared" si="98"/>
        <v>0</v>
      </c>
      <c r="AE389" s="65" t="s">
        <v>839</v>
      </c>
      <c r="AF389" s="66"/>
      <c r="AH389" s="66" t="str">
        <f>'St of Activites - GA Rev'!A389</f>
        <v>North Bass Local SD (Two year Audit - CASH)</v>
      </c>
      <c r="AI389" s="66" t="str">
        <f t="shared" si="82"/>
        <v>North Bass Local SD (Two year Audit - CASH)</v>
      </c>
      <c r="AJ389" s="66" t="b">
        <f t="shared" si="83"/>
        <v>1</v>
      </c>
      <c r="AL389" s="66" t="str">
        <f>'St of Activities - GA Exp'!A389</f>
        <v>North Bass Local SD (Two year Audit - CASH)</v>
      </c>
      <c r="AN389" s="66" t="b">
        <f t="shared" si="85"/>
        <v>1</v>
      </c>
      <c r="AR389" s="66" t="str">
        <f t="shared" si="86"/>
        <v>Ottawa</v>
      </c>
      <c r="AS389" s="66" t="str">
        <f>'St of Activites - GA Rev'!C389</f>
        <v>Ottawa</v>
      </c>
      <c r="AT389" s="66" t="b">
        <f t="shared" si="84"/>
        <v>1</v>
      </c>
      <c r="AU389" s="66" t="str">
        <f>'St of Activities - GA Exp'!C389</f>
        <v>Ottawa</v>
      </c>
      <c r="AV389" s="86"/>
      <c r="AW389" s="66" t="b">
        <f t="shared" si="87"/>
        <v>1</v>
      </c>
    </row>
    <row r="390" spans="1:49">
      <c r="A390" s="11" t="s">
        <v>518</v>
      </c>
      <c r="B390" s="11"/>
      <c r="C390" s="11" t="s">
        <v>62</v>
      </c>
      <c r="D390" s="11"/>
      <c r="E390" s="29">
        <v>44503</v>
      </c>
      <c r="G390" s="7">
        <f t="shared" si="100"/>
        <v>31826579</v>
      </c>
      <c r="I390" s="7">
        <v>21741901</v>
      </c>
      <c r="K390" s="7">
        <v>53568480</v>
      </c>
      <c r="M390" s="7">
        <f t="shared" si="88"/>
        <v>26731750</v>
      </c>
      <c r="O390" s="7">
        <v>1790908</v>
      </c>
      <c r="Q390" s="7">
        <f>17540226-1790908</f>
        <v>15749318</v>
      </c>
      <c r="S390" s="7">
        <v>44271976</v>
      </c>
      <c r="U390" s="7">
        <v>7350477</v>
      </c>
      <c r="W390" s="7">
        <f t="shared" si="101"/>
        <v>2770952</v>
      </c>
      <c r="Y390" s="7">
        <v>-824925</v>
      </c>
      <c r="AA390" s="7">
        <v>9296504</v>
      </c>
      <c r="AB390" s="7">
        <f t="shared" si="99"/>
        <v>0</v>
      </c>
      <c r="AD390" s="32">
        <f t="shared" si="98"/>
        <v>0</v>
      </c>
      <c r="AF390" s="32"/>
      <c r="AH390" s="32" t="str">
        <f>'St of Activites - GA Rev'!A390</f>
        <v>North Canton City SD</v>
      </c>
      <c r="AI390" s="32" t="str">
        <f t="shared" si="82"/>
        <v>North Canton City SD</v>
      </c>
      <c r="AJ390" s="32" t="b">
        <f t="shared" si="83"/>
        <v>1</v>
      </c>
      <c r="AL390" s="32" t="str">
        <f>'St of Activities - GA Exp'!A390</f>
        <v>North Canton City SD</v>
      </c>
      <c r="AN390" s="32" t="b">
        <f t="shared" si="85"/>
        <v>1</v>
      </c>
      <c r="AR390" s="32" t="str">
        <f t="shared" si="86"/>
        <v>Stark</v>
      </c>
      <c r="AS390" s="32" t="str">
        <f>'St of Activites - GA Rev'!C390</f>
        <v>Stark</v>
      </c>
      <c r="AT390" s="32" t="b">
        <f t="shared" si="84"/>
        <v>1</v>
      </c>
      <c r="AU390" s="32" t="str">
        <f>'St of Activities - GA Exp'!C390</f>
        <v>Stark</v>
      </c>
      <c r="AV390" s="56"/>
      <c r="AW390" s="32" t="b">
        <f t="shared" si="87"/>
        <v>1</v>
      </c>
    </row>
    <row r="391" spans="1:49" s="65" customFormat="1" hidden="1">
      <c r="A391" s="62" t="s">
        <v>944</v>
      </c>
      <c r="B391" s="62"/>
      <c r="C391" s="62" t="s">
        <v>570</v>
      </c>
      <c r="D391" s="62"/>
      <c r="E391" s="64">
        <v>50641</v>
      </c>
      <c r="G391" s="65">
        <f t="shared" si="100"/>
        <v>0</v>
      </c>
      <c r="M391" s="65">
        <f t="shared" si="88"/>
        <v>0</v>
      </c>
      <c r="W391" s="65">
        <f t="shared" si="101"/>
        <v>0</v>
      </c>
      <c r="AB391" s="65">
        <f t="shared" si="99"/>
        <v>0</v>
      </c>
      <c r="AD391" s="66">
        <f t="shared" si="98"/>
        <v>0</v>
      </c>
      <c r="AE391" s="65" t="s">
        <v>839</v>
      </c>
      <c r="AF391" s="66"/>
      <c r="AH391" s="66" t="str">
        <f>'St of Activites - GA Rev'!A391</f>
        <v>North Central Local SD (CASH)</v>
      </c>
      <c r="AI391" s="66" t="str">
        <f t="shared" si="82"/>
        <v>North Central Local SD (CASH)</v>
      </c>
      <c r="AJ391" s="66" t="b">
        <f t="shared" si="83"/>
        <v>1</v>
      </c>
      <c r="AL391" s="66" t="str">
        <f>'St of Activities - GA Exp'!A391</f>
        <v>North Central Local SD (CASH)</v>
      </c>
      <c r="AN391" s="66" t="b">
        <f t="shared" si="85"/>
        <v>1</v>
      </c>
      <c r="AR391" s="66" t="str">
        <f t="shared" si="86"/>
        <v>Williams</v>
      </c>
      <c r="AS391" s="66" t="str">
        <f>'St of Activites - GA Rev'!C391</f>
        <v>Williams</v>
      </c>
      <c r="AT391" s="66" t="b">
        <f t="shared" si="84"/>
        <v>1</v>
      </c>
      <c r="AU391" s="66" t="str">
        <f>'St of Activities - GA Exp'!C391</f>
        <v>Williams</v>
      </c>
      <c r="AV391" s="86"/>
      <c r="AW391" s="66" t="b">
        <f t="shared" si="87"/>
        <v>1</v>
      </c>
    </row>
    <row r="392" spans="1:49">
      <c r="A392" s="11" t="s">
        <v>748</v>
      </c>
      <c r="B392" s="11"/>
      <c r="C392" s="11" t="s">
        <v>32</v>
      </c>
      <c r="D392" s="11"/>
      <c r="E392" s="29">
        <v>44511</v>
      </c>
      <c r="G392" s="7">
        <f t="shared" si="100"/>
        <v>10088509</v>
      </c>
      <c r="I392" s="7">
        <v>39389032</v>
      </c>
      <c r="K392" s="7">
        <v>49477541</v>
      </c>
      <c r="M392" s="7">
        <f t="shared" si="88"/>
        <v>5175824</v>
      </c>
      <c r="O392" s="7">
        <v>456655</v>
      </c>
      <c r="Q392" s="7">
        <f>15807427-456655</f>
        <v>15350772</v>
      </c>
      <c r="S392" s="7">
        <v>20983251</v>
      </c>
      <c r="U392" s="7">
        <v>24999807</v>
      </c>
      <c r="W392" s="7">
        <f t="shared" si="101"/>
        <v>4634454</v>
      </c>
      <c r="Y392" s="7">
        <v>-1139971</v>
      </c>
      <c r="AA392" s="7">
        <v>28494290</v>
      </c>
      <c r="AB392" s="7">
        <f t="shared" si="99"/>
        <v>0</v>
      </c>
      <c r="AD392" s="32">
        <f t="shared" si="98"/>
        <v>0</v>
      </c>
      <c r="AE392" s="7" t="s">
        <v>945</v>
      </c>
      <c r="AF392" s="32"/>
      <c r="AH392" s="32" t="str">
        <f>'St of Activites - GA Rev'!A392</f>
        <v xml:space="preserve">North College Hill City SD </v>
      </c>
      <c r="AI392" s="32" t="str">
        <f t="shared" ref="AI392:AI459" si="102">A392</f>
        <v xml:space="preserve">North College Hill City SD </v>
      </c>
      <c r="AJ392" s="32" t="b">
        <f t="shared" si="83"/>
        <v>1</v>
      </c>
      <c r="AL392" s="32" t="str">
        <f>'St of Activities - GA Exp'!A392</f>
        <v xml:space="preserve">North College Hill City SD </v>
      </c>
      <c r="AN392" s="32" t="b">
        <f t="shared" si="85"/>
        <v>1</v>
      </c>
      <c r="AR392" s="32" t="str">
        <f t="shared" si="86"/>
        <v>Hamilton</v>
      </c>
      <c r="AS392" s="32" t="str">
        <f>'St of Activites - GA Rev'!C392</f>
        <v>Hamilton</v>
      </c>
      <c r="AT392" s="32" t="b">
        <f t="shared" si="84"/>
        <v>1</v>
      </c>
      <c r="AU392" s="32" t="str">
        <f>'St of Activities - GA Exp'!C392</f>
        <v>Hamilton</v>
      </c>
      <c r="AV392" s="56"/>
      <c r="AW392" s="32" t="b">
        <f t="shared" si="87"/>
        <v>1</v>
      </c>
    </row>
    <row r="393" spans="1:49">
      <c r="A393" s="11" t="s">
        <v>389</v>
      </c>
      <c r="B393" s="11"/>
      <c r="C393" s="11" t="s">
        <v>42</v>
      </c>
      <c r="D393" s="11"/>
      <c r="E393" s="29">
        <v>48025</v>
      </c>
      <c r="G393" s="7">
        <f t="shared" si="100"/>
        <v>9633587</v>
      </c>
      <c r="I393" s="7">
        <v>33243111</v>
      </c>
      <c r="K393" s="7">
        <v>42876698</v>
      </c>
      <c r="M393" s="7">
        <f t="shared" si="88"/>
        <v>6766970</v>
      </c>
      <c r="O393" s="7">
        <v>759509</v>
      </c>
      <c r="Q393" s="7">
        <f>10987270-759509</f>
        <v>10227761</v>
      </c>
      <c r="S393" s="7">
        <v>17754240</v>
      </c>
      <c r="U393" s="7">
        <v>23614932</v>
      </c>
      <c r="W393" s="7">
        <f t="shared" si="101"/>
        <v>3024159</v>
      </c>
      <c r="Y393" s="7">
        <v>-1516633</v>
      </c>
      <c r="AA393" s="7">
        <v>25122458</v>
      </c>
      <c r="AB393" s="7">
        <f t="shared" si="99"/>
        <v>0</v>
      </c>
      <c r="AD393" s="32">
        <f t="shared" si="98"/>
        <v>0</v>
      </c>
      <c r="AF393" s="32"/>
      <c r="AH393" s="32" t="str">
        <f>'St of Activites - GA Rev'!A393</f>
        <v>North Fork Local SD</v>
      </c>
      <c r="AI393" s="32" t="str">
        <f t="shared" si="102"/>
        <v>North Fork Local SD</v>
      </c>
      <c r="AJ393" s="32" t="b">
        <f t="shared" si="83"/>
        <v>1</v>
      </c>
      <c r="AL393" s="32" t="str">
        <f>'St of Activities - GA Exp'!A393</f>
        <v>North Fork Local SD</v>
      </c>
      <c r="AN393" s="32" t="b">
        <f t="shared" si="85"/>
        <v>1</v>
      </c>
      <c r="AR393" s="32" t="str">
        <f t="shared" si="86"/>
        <v>Licking</v>
      </c>
      <c r="AS393" s="32" t="str">
        <f>'St of Activites - GA Rev'!C393</f>
        <v>Licking</v>
      </c>
      <c r="AT393" s="32" t="b">
        <f t="shared" si="84"/>
        <v>1</v>
      </c>
      <c r="AU393" s="32" t="str">
        <f>'St of Activities - GA Exp'!C393</f>
        <v>Licking</v>
      </c>
      <c r="AV393" s="56"/>
      <c r="AW393" s="32" t="b">
        <f t="shared" si="87"/>
        <v>1</v>
      </c>
    </row>
    <row r="394" spans="1:49">
      <c r="A394" s="11" t="s">
        <v>277</v>
      </c>
      <c r="B394" s="11"/>
      <c r="C394" s="11" t="s">
        <v>20</v>
      </c>
      <c r="D394" s="11"/>
      <c r="E394" s="29">
        <v>44529</v>
      </c>
      <c r="G394" s="7">
        <f t="shared" si="100"/>
        <v>60642885</v>
      </c>
      <c r="I394" s="7">
        <f>1198892+10427263</f>
        <v>11626155</v>
      </c>
      <c r="K394" s="7">
        <v>72269040</v>
      </c>
      <c r="M394" s="7">
        <f t="shared" si="88"/>
        <v>41302627</v>
      </c>
      <c r="O394" s="7">
        <v>1066174</v>
      </c>
      <c r="Q394" s="7">
        <f>4031566-1066174</f>
        <v>2965392</v>
      </c>
      <c r="S394" s="7">
        <v>45334193</v>
      </c>
      <c r="U394" s="7">
        <v>11286155</v>
      </c>
      <c r="W394" s="7">
        <f t="shared" si="101"/>
        <v>2982814</v>
      </c>
      <c r="Y394" s="7">
        <v>12665878</v>
      </c>
      <c r="AA394" s="7">
        <v>26934847</v>
      </c>
      <c r="AB394" s="7">
        <f t="shared" si="99"/>
        <v>0</v>
      </c>
      <c r="AD394" s="32">
        <f t="shared" si="98"/>
        <v>0</v>
      </c>
      <c r="AF394" s="32"/>
      <c r="AH394" s="32" t="str">
        <f>'St of Activites - GA Rev'!A394</f>
        <v>North Olmsted City SD</v>
      </c>
      <c r="AI394" s="32" t="str">
        <f t="shared" si="102"/>
        <v>North Olmsted City SD</v>
      </c>
      <c r="AJ394" s="32" t="b">
        <f t="shared" si="83"/>
        <v>1</v>
      </c>
      <c r="AL394" s="32" t="str">
        <f>'St of Activities - GA Exp'!A394</f>
        <v>North Olmsted City SD</v>
      </c>
      <c r="AN394" s="32" t="b">
        <f t="shared" si="85"/>
        <v>1</v>
      </c>
      <c r="AR394" s="32" t="str">
        <f t="shared" si="86"/>
        <v>Cuyahoga</v>
      </c>
      <c r="AS394" s="32" t="str">
        <f>'St of Activites - GA Rev'!C394</f>
        <v>Cuyahoga</v>
      </c>
      <c r="AT394" s="32" t="b">
        <f t="shared" si="84"/>
        <v>1</v>
      </c>
      <c r="AU394" s="32" t="str">
        <f>'St of Activities - GA Exp'!C394</f>
        <v>Cuyahoga</v>
      </c>
      <c r="AV394" s="56"/>
      <c r="AW394" s="32" t="b">
        <f t="shared" si="87"/>
        <v>1</v>
      </c>
    </row>
    <row r="395" spans="1:49">
      <c r="A395" s="11" t="s">
        <v>400</v>
      </c>
      <c r="B395" s="11"/>
      <c r="C395" s="11" t="s">
        <v>44</v>
      </c>
      <c r="D395" s="11"/>
      <c r="E395" s="29">
        <v>44537</v>
      </c>
      <c r="G395" s="7">
        <f t="shared" si="100"/>
        <v>28998449</v>
      </c>
      <c r="I395" s="7">
        <f>1740513+11916939</f>
        <v>13657452</v>
      </c>
      <c r="K395" s="7">
        <v>42655901</v>
      </c>
      <c r="M395" s="7">
        <f t="shared" si="88"/>
        <v>25678904</v>
      </c>
      <c r="O395" s="7">
        <v>750420</v>
      </c>
      <c r="Q395" s="7">
        <f>4081405-750420</f>
        <v>3330985</v>
      </c>
      <c r="S395" s="7">
        <v>29760309</v>
      </c>
      <c r="U395" s="7">
        <v>11519860</v>
      </c>
      <c r="W395" s="7">
        <f t="shared" si="101"/>
        <v>712027</v>
      </c>
      <c r="Y395" s="7">
        <v>663705</v>
      </c>
      <c r="AA395" s="7">
        <v>12895592</v>
      </c>
      <c r="AB395" s="7">
        <f t="shared" si="99"/>
        <v>0</v>
      </c>
      <c r="AD395" s="32">
        <f t="shared" si="98"/>
        <v>0</v>
      </c>
      <c r="AF395" s="32"/>
      <c r="AH395" s="32" t="str">
        <f>'St of Activites - GA Rev'!A395</f>
        <v>North Ridgeville City SD</v>
      </c>
      <c r="AI395" s="32" t="str">
        <f t="shared" si="102"/>
        <v>North Ridgeville City SD</v>
      </c>
      <c r="AJ395" s="32" t="b">
        <f t="shared" si="83"/>
        <v>1</v>
      </c>
      <c r="AL395" s="32" t="str">
        <f>'St of Activities - GA Exp'!A395</f>
        <v>North Ridgeville City SD</v>
      </c>
      <c r="AN395" s="32" t="b">
        <f t="shared" si="85"/>
        <v>1</v>
      </c>
      <c r="AR395" s="32" t="str">
        <f t="shared" si="86"/>
        <v>Lorain</v>
      </c>
      <c r="AS395" s="32" t="str">
        <f>'St of Activites - GA Rev'!C395</f>
        <v>Lorain</v>
      </c>
      <c r="AT395" s="32" t="b">
        <f t="shared" si="84"/>
        <v>1</v>
      </c>
      <c r="AU395" s="32" t="str">
        <f>'St of Activities - GA Exp'!C395</f>
        <v>Lorain</v>
      </c>
      <c r="AV395" s="56"/>
      <c r="AW395" s="32" t="b">
        <f t="shared" si="87"/>
        <v>1</v>
      </c>
    </row>
    <row r="396" spans="1:49">
      <c r="A396" s="11" t="s">
        <v>278</v>
      </c>
      <c r="B396" s="11"/>
      <c r="C396" s="11" t="s">
        <v>20</v>
      </c>
      <c r="D396" s="11"/>
      <c r="E396" s="29">
        <v>44545</v>
      </c>
      <c r="G396" s="7">
        <f t="shared" si="100"/>
        <v>57147885</v>
      </c>
      <c r="I396" s="7">
        <f>3744825+21780107</f>
        <v>25524932</v>
      </c>
      <c r="K396" s="7">
        <v>82672817</v>
      </c>
      <c r="M396" s="7">
        <f t="shared" si="88"/>
        <v>39292480</v>
      </c>
      <c r="O396" s="7">
        <v>1523506</v>
      </c>
      <c r="Q396" s="7">
        <f>20695330-1523506</f>
        <v>19171824</v>
      </c>
      <c r="S396" s="7">
        <v>59987810</v>
      </c>
      <c r="U396" s="7">
        <v>9839269</v>
      </c>
      <c r="W396" s="7">
        <f t="shared" si="101"/>
        <v>7418190</v>
      </c>
      <c r="Y396" s="7">
        <v>5427548</v>
      </c>
      <c r="AA396" s="7">
        <v>22685007</v>
      </c>
      <c r="AB396" s="7">
        <f t="shared" si="99"/>
        <v>0</v>
      </c>
      <c r="AD396" s="32">
        <f t="shared" si="98"/>
        <v>0</v>
      </c>
      <c r="AF396" s="32"/>
      <c r="AH396" s="32" t="str">
        <f>'St of Activites - GA Rev'!A396</f>
        <v>North Royalton City SD</v>
      </c>
      <c r="AI396" s="32" t="str">
        <f t="shared" si="102"/>
        <v>North Royalton City SD</v>
      </c>
      <c r="AJ396" s="32" t="b">
        <f t="shared" si="83"/>
        <v>1</v>
      </c>
      <c r="AL396" s="32" t="str">
        <f>'St of Activities - GA Exp'!A396</f>
        <v>North Royalton City SD</v>
      </c>
      <c r="AN396" s="32" t="b">
        <f t="shared" si="85"/>
        <v>1</v>
      </c>
      <c r="AR396" s="32" t="str">
        <f t="shared" si="86"/>
        <v>Cuyahoga</v>
      </c>
      <c r="AS396" s="32" t="str">
        <f>'St of Activites - GA Rev'!C396</f>
        <v>Cuyahoga</v>
      </c>
      <c r="AT396" s="32" t="b">
        <f t="shared" si="84"/>
        <v>1</v>
      </c>
      <c r="AU396" s="32" t="str">
        <f>'St of Activities - GA Exp'!C396</f>
        <v>Cuyahoga</v>
      </c>
      <c r="AV396" s="56"/>
      <c r="AW396" s="32" t="b">
        <f t="shared" si="87"/>
        <v>1</v>
      </c>
    </row>
    <row r="397" spans="1:49">
      <c r="A397" s="11" t="s">
        <v>556</v>
      </c>
      <c r="B397" s="11"/>
      <c r="C397" s="11" t="s">
        <v>66</v>
      </c>
      <c r="D397" s="11"/>
      <c r="E397" s="29">
        <v>50336</v>
      </c>
      <c r="G397" s="7">
        <f t="shared" si="100"/>
        <v>20521658</v>
      </c>
      <c r="I397" s="7">
        <f>345636+34440276</f>
        <v>34785912</v>
      </c>
      <c r="K397" s="7">
        <v>55307570</v>
      </c>
      <c r="M397" s="7">
        <f t="shared" si="88"/>
        <v>5592393</v>
      </c>
      <c r="O397" s="7">
        <v>427565</v>
      </c>
      <c r="Q397" s="7">
        <f>11433773-427565</f>
        <v>11006208</v>
      </c>
      <c r="S397" s="7">
        <v>17026166</v>
      </c>
      <c r="U397" s="7">
        <v>24045912</v>
      </c>
      <c r="W397" s="7">
        <f t="shared" si="101"/>
        <v>4268714</v>
      </c>
      <c r="Y397" s="7">
        <v>9966778</v>
      </c>
      <c r="AA397" s="7">
        <v>38281404</v>
      </c>
      <c r="AB397" s="7">
        <f t="shared" si="99"/>
        <v>0</v>
      </c>
      <c r="AD397" s="32">
        <f t="shared" si="98"/>
        <v>0</v>
      </c>
      <c r="AF397" s="32"/>
      <c r="AH397" s="32" t="str">
        <f>'St of Activites - GA Rev'!A397</f>
        <v>North Union Local SD</v>
      </c>
      <c r="AI397" s="32" t="str">
        <f t="shared" si="102"/>
        <v>North Union Local SD</v>
      </c>
      <c r="AJ397" s="32" t="b">
        <f t="shared" ref="AJ397:AJ462" si="103">AH397=AI397</f>
        <v>1</v>
      </c>
      <c r="AL397" s="32" t="str">
        <f>'St of Activities - GA Exp'!A397</f>
        <v>North Union Local SD</v>
      </c>
      <c r="AN397" s="32" t="b">
        <f t="shared" si="85"/>
        <v>1</v>
      </c>
      <c r="AR397" s="32" t="str">
        <f t="shared" si="86"/>
        <v>Union</v>
      </c>
      <c r="AS397" s="32" t="str">
        <f>'St of Activites - GA Rev'!C397</f>
        <v>Union</v>
      </c>
      <c r="AT397" s="32" t="b">
        <f t="shared" ref="AT397:AT462" si="104">AR397=AS397</f>
        <v>1</v>
      </c>
      <c r="AU397" s="32" t="str">
        <f>'St of Activities - GA Exp'!C397</f>
        <v>Union</v>
      </c>
      <c r="AV397" s="56"/>
      <c r="AW397" s="32" t="b">
        <f t="shared" si="87"/>
        <v>1</v>
      </c>
    </row>
    <row r="398" spans="1:49">
      <c r="A398" s="11" t="s">
        <v>238</v>
      </c>
      <c r="B398" s="11"/>
      <c r="C398" s="11" t="s">
        <v>17</v>
      </c>
      <c r="D398" s="11"/>
      <c r="E398" s="29">
        <v>46250</v>
      </c>
      <c r="G398" s="7">
        <f t="shared" si="100"/>
        <v>20095702</v>
      </c>
      <c r="I398" s="7">
        <f>147759+18206979</f>
        <v>18354738</v>
      </c>
      <c r="K398" s="7">
        <v>38450440</v>
      </c>
      <c r="M398" s="7">
        <f t="shared" si="88"/>
        <v>10772063</v>
      </c>
      <c r="O398" s="7">
        <v>1007842</v>
      </c>
      <c r="Q398" s="7">
        <f>5373482-1007842</f>
        <v>4365640</v>
      </c>
      <c r="S398" s="7">
        <v>16145545</v>
      </c>
      <c r="U398" s="7">
        <v>14608049</v>
      </c>
      <c r="W398" s="7">
        <f t="shared" si="101"/>
        <v>1914402</v>
      </c>
      <c r="Y398" s="7">
        <v>5782444</v>
      </c>
      <c r="AA398" s="7">
        <v>22304895</v>
      </c>
      <c r="AB398" s="7">
        <f t="shared" si="99"/>
        <v>0</v>
      </c>
      <c r="AD398" s="32">
        <f t="shared" si="98"/>
        <v>0</v>
      </c>
      <c r="AF398" s="32"/>
      <c r="AH398" s="32" t="str">
        <f>'St of Activites - GA Rev'!A398</f>
        <v>Northeastern Local SD</v>
      </c>
      <c r="AI398" s="32" t="str">
        <f t="shared" si="102"/>
        <v>Northeastern Local SD</v>
      </c>
      <c r="AJ398" s="32" t="b">
        <f t="shared" si="103"/>
        <v>1</v>
      </c>
      <c r="AL398" s="32" t="str">
        <f>'St of Activities - GA Exp'!A398</f>
        <v>Northeastern Local SD</v>
      </c>
      <c r="AN398" s="32" t="b">
        <f t="shared" ref="AN398:AN463" si="105">AH398=AL398</f>
        <v>1</v>
      </c>
      <c r="AR398" s="32" t="str">
        <f t="shared" ref="AR398:AR463" si="106">C398</f>
        <v>Clark</v>
      </c>
      <c r="AS398" s="32" t="str">
        <f>'St of Activites - GA Rev'!C398</f>
        <v>Clark</v>
      </c>
      <c r="AT398" s="32" t="b">
        <f t="shared" si="104"/>
        <v>1</v>
      </c>
      <c r="AU398" s="32" t="str">
        <f>'St of Activities - GA Exp'!C398</f>
        <v>Clark</v>
      </c>
      <c r="AV398" s="56"/>
      <c r="AW398" s="32" t="b">
        <f t="shared" ref="AW398:AW463" si="107">AU398=AS398</f>
        <v>1</v>
      </c>
    </row>
    <row r="399" spans="1:49" s="65" customFormat="1" hidden="1">
      <c r="A399" s="62" t="s">
        <v>946</v>
      </c>
      <c r="B399" s="62"/>
      <c r="C399" s="62" t="s">
        <v>22</v>
      </c>
      <c r="D399" s="62"/>
      <c r="E399" s="64">
        <v>46722</v>
      </c>
      <c r="G399" s="65">
        <f t="shared" ref="G399:G430" si="108">+K399-I399</f>
        <v>0</v>
      </c>
      <c r="M399" s="65">
        <f t="shared" si="88"/>
        <v>0</v>
      </c>
      <c r="W399" s="65">
        <f t="shared" si="101"/>
        <v>0</v>
      </c>
      <c r="AB399" s="65">
        <f t="shared" si="99"/>
        <v>0</v>
      </c>
      <c r="AD399" s="66">
        <f t="shared" si="98"/>
        <v>0</v>
      </c>
      <c r="AE399" s="65" t="s">
        <v>839</v>
      </c>
      <c r="AF399" s="66"/>
      <c r="AH399" s="66" t="str">
        <f>'St of Activites - GA Rev'!A399</f>
        <v>Northeastern Local SD (CASH)</v>
      </c>
      <c r="AI399" s="66" t="str">
        <f t="shared" si="102"/>
        <v>Northeastern Local SD (CASH)</v>
      </c>
      <c r="AJ399" s="66" t="b">
        <f t="shared" si="103"/>
        <v>1</v>
      </c>
      <c r="AL399" s="66" t="str">
        <f>'St of Activities - GA Exp'!A399</f>
        <v>Northeastern Local SD (CASH)</v>
      </c>
      <c r="AN399" s="66" t="b">
        <f t="shared" si="105"/>
        <v>1</v>
      </c>
      <c r="AR399" s="66" t="str">
        <f t="shared" si="106"/>
        <v>Defiance</v>
      </c>
      <c r="AS399" s="66" t="str">
        <f>'St of Activites - GA Rev'!C399</f>
        <v>Defiance</v>
      </c>
      <c r="AT399" s="66" t="b">
        <f t="shared" si="104"/>
        <v>1</v>
      </c>
      <c r="AU399" s="66" t="str">
        <f>'St of Activities - GA Exp'!C399</f>
        <v>Defiance</v>
      </c>
      <c r="AV399" s="86"/>
      <c r="AW399" s="66" t="b">
        <f t="shared" si="107"/>
        <v>1</v>
      </c>
    </row>
    <row r="400" spans="1:49" s="65" customFormat="1" hidden="1">
      <c r="A400" s="62" t="s">
        <v>947</v>
      </c>
      <c r="B400" s="62"/>
      <c r="C400" s="62" t="s">
        <v>466</v>
      </c>
      <c r="D400" s="62"/>
      <c r="E400" s="29"/>
      <c r="G400" s="65">
        <f t="shared" si="108"/>
        <v>0</v>
      </c>
      <c r="M400" s="65">
        <f t="shared" si="88"/>
        <v>0</v>
      </c>
      <c r="W400" s="65">
        <f t="shared" si="101"/>
        <v>0</v>
      </c>
      <c r="AB400" s="65">
        <f t="shared" ref="AB400" si="109">+K400-S400-AA400</f>
        <v>0</v>
      </c>
      <c r="AD400" s="66">
        <f t="shared" ref="AD400" si="110">+G400+I400+-M400-O400-U400-W400-Y400-Q400</f>
        <v>0</v>
      </c>
      <c r="AE400" s="65" t="s">
        <v>931</v>
      </c>
      <c r="AF400" s="66"/>
      <c r="AH400" s="66" t="str">
        <f>'St of Activites - GA Rev'!A400</f>
        <v>Northern Local SD (CASH)</v>
      </c>
      <c r="AI400" s="66" t="str">
        <f t="shared" ref="AI400" si="111">A400</f>
        <v>Northern Local SD (CASH)</v>
      </c>
      <c r="AJ400" s="66" t="b">
        <f t="shared" ref="AJ400" si="112">AH400=AI400</f>
        <v>1</v>
      </c>
      <c r="AL400" s="66" t="str">
        <f>'St of Activities - GA Exp'!A400</f>
        <v>Northern Local SD (CASH)</v>
      </c>
      <c r="AN400" s="66" t="b">
        <f t="shared" ref="AN400" si="113">AH400=AL400</f>
        <v>1</v>
      </c>
      <c r="AR400" s="66" t="str">
        <f t="shared" ref="AR400" si="114">C400</f>
        <v>Perry</v>
      </c>
      <c r="AS400" s="66" t="str">
        <f>'St of Activites - GA Rev'!C401</f>
        <v>Montgomery</v>
      </c>
      <c r="AT400" s="66" t="b">
        <f t="shared" ref="AT400" si="115">AR400=AS400</f>
        <v>0</v>
      </c>
      <c r="AU400" s="66" t="str">
        <f>'St of Activities - GA Exp'!C401</f>
        <v>Montgomery</v>
      </c>
      <c r="AV400" s="86"/>
      <c r="AW400" s="66" t="b">
        <f t="shared" ref="AW400" si="116">AU400=AS400</f>
        <v>1</v>
      </c>
    </row>
    <row r="401" spans="1:49">
      <c r="A401" s="11" t="s">
        <v>447</v>
      </c>
      <c r="B401" s="11"/>
      <c r="C401" s="11" t="s">
        <v>50</v>
      </c>
      <c r="D401" s="11"/>
      <c r="E401" s="29">
        <v>48728</v>
      </c>
      <c r="G401" s="7">
        <f t="shared" si="108"/>
        <v>37947360</v>
      </c>
      <c r="I401" s="7">
        <f>1701421+5004961</f>
        <v>6706382</v>
      </c>
      <c r="K401" s="7">
        <v>44653742</v>
      </c>
      <c r="M401" s="7">
        <f t="shared" si="88"/>
        <v>29868238</v>
      </c>
      <c r="O401" s="7">
        <v>803383</v>
      </c>
      <c r="Q401" s="7">
        <f>2721068-803383</f>
        <v>1917685</v>
      </c>
      <c r="S401" s="7">
        <v>32589306</v>
      </c>
      <c r="U401" s="7">
        <v>6495396</v>
      </c>
      <c r="W401" s="7">
        <f t="shared" si="101"/>
        <v>2086256</v>
      </c>
      <c r="Y401" s="7">
        <v>3482784</v>
      </c>
      <c r="AA401" s="7">
        <v>12064436</v>
      </c>
      <c r="AB401" s="7">
        <f t="shared" si="99"/>
        <v>0</v>
      </c>
      <c r="AD401" s="32">
        <f t="shared" si="98"/>
        <v>0</v>
      </c>
      <c r="AF401" s="32"/>
      <c r="AH401" s="32" t="str">
        <f>'St of Activites - GA Rev'!A401</f>
        <v>Northmont City SD</v>
      </c>
      <c r="AI401" s="32" t="str">
        <f t="shared" si="102"/>
        <v>Northmont City SD</v>
      </c>
      <c r="AJ401" s="32" t="b">
        <f t="shared" si="103"/>
        <v>1</v>
      </c>
      <c r="AL401" s="32" t="str">
        <f>'St of Activities - GA Exp'!A401</f>
        <v>Northmont City SD</v>
      </c>
      <c r="AN401" s="32" t="b">
        <f t="shared" si="105"/>
        <v>1</v>
      </c>
      <c r="AR401" s="32" t="str">
        <f t="shared" si="106"/>
        <v>Montgomery</v>
      </c>
      <c r="AS401" s="32" t="str">
        <f>'St of Activites - GA Rev'!C401</f>
        <v>Montgomery</v>
      </c>
      <c r="AT401" s="32" t="b">
        <f t="shared" si="104"/>
        <v>1</v>
      </c>
      <c r="AU401" s="32" t="str">
        <f>'St of Activities - GA Exp'!C401</f>
        <v>Montgomery</v>
      </c>
      <c r="AV401" s="56"/>
      <c r="AW401" s="32" t="b">
        <f t="shared" si="107"/>
        <v>1</v>
      </c>
    </row>
    <row r="402" spans="1:49">
      <c r="A402" s="11" t="s">
        <v>455</v>
      </c>
      <c r="B402" s="11"/>
      <c r="C402" s="11" t="s">
        <v>78</v>
      </c>
      <c r="D402" s="11"/>
      <c r="E402" s="29">
        <v>48819</v>
      </c>
      <c r="G402" s="7">
        <f t="shared" si="108"/>
        <v>15494299</v>
      </c>
      <c r="I402" s="7">
        <v>28067486</v>
      </c>
      <c r="K402" s="7">
        <v>43561785</v>
      </c>
      <c r="M402" s="7">
        <f t="shared" si="88"/>
        <v>5152811</v>
      </c>
      <c r="O402" s="7">
        <v>317355</v>
      </c>
      <c r="Q402" s="7">
        <f>15530370-317355</f>
        <v>15213015</v>
      </c>
      <c r="S402" s="7">
        <v>20683181</v>
      </c>
      <c r="U402" s="7">
        <v>22103400</v>
      </c>
      <c r="W402" s="7">
        <f t="shared" si="101"/>
        <v>1452329</v>
      </c>
      <c r="Y402" s="7">
        <v>-677125</v>
      </c>
      <c r="AA402" s="7">
        <v>22878604</v>
      </c>
      <c r="AB402" s="7">
        <f t="shared" si="99"/>
        <v>0</v>
      </c>
      <c r="AD402" s="32">
        <f t="shared" si="98"/>
        <v>0</v>
      </c>
      <c r="AF402" s="32"/>
      <c r="AH402" s="32" t="str">
        <f>'St of Activites - GA Rev'!A402</f>
        <v>Northmor Local SD</v>
      </c>
      <c r="AI402" s="32" t="str">
        <f t="shared" si="102"/>
        <v>Northmor Local SD</v>
      </c>
      <c r="AJ402" s="32" t="b">
        <f t="shared" si="103"/>
        <v>1</v>
      </c>
      <c r="AL402" s="32" t="str">
        <f>'St of Activities - GA Exp'!A402</f>
        <v>Northmor Local SD</v>
      </c>
      <c r="AN402" s="32" t="b">
        <f t="shared" si="105"/>
        <v>1</v>
      </c>
      <c r="AR402" s="32" t="str">
        <f t="shared" si="106"/>
        <v>Morrow</v>
      </c>
      <c r="AS402" s="32" t="str">
        <f>'St of Activites - GA Rev'!C402</f>
        <v>Morrow</v>
      </c>
      <c r="AT402" s="32" t="b">
        <f t="shared" si="104"/>
        <v>1</v>
      </c>
      <c r="AU402" s="32" t="str">
        <f>'St of Activities - GA Exp'!C402</f>
        <v>Morrow</v>
      </c>
      <c r="AV402" s="56"/>
      <c r="AW402" s="32" t="b">
        <f t="shared" si="107"/>
        <v>1</v>
      </c>
    </row>
    <row r="403" spans="1:49">
      <c r="A403" s="11" t="s">
        <v>390</v>
      </c>
      <c r="B403" s="11"/>
      <c r="C403" s="12" t="s">
        <v>42</v>
      </c>
      <c r="D403" s="11"/>
      <c r="E403" s="29">
        <v>48033</v>
      </c>
      <c r="G403" s="7">
        <f t="shared" si="108"/>
        <v>13979659</v>
      </c>
      <c r="I403" s="7">
        <f>224090+11806400</f>
        <v>12030490</v>
      </c>
      <c r="K403" s="7">
        <v>26010149</v>
      </c>
      <c r="M403" s="7">
        <f t="shared" si="88"/>
        <v>7510467</v>
      </c>
      <c r="O403" s="7">
        <v>721315</v>
      </c>
      <c r="Q403" s="7">
        <f>6350420-721315</f>
        <v>5629105</v>
      </c>
      <c r="S403" s="7">
        <v>13860887</v>
      </c>
      <c r="U403" s="7">
        <v>6546668</v>
      </c>
      <c r="W403" s="7">
        <f t="shared" si="101"/>
        <v>1221520</v>
      </c>
      <c r="Y403" s="7">
        <v>4381074</v>
      </c>
      <c r="AA403" s="7">
        <v>12149262</v>
      </c>
      <c r="AB403" s="7">
        <f t="shared" si="99"/>
        <v>0</v>
      </c>
      <c r="AD403" s="32">
        <f t="shared" si="98"/>
        <v>0</v>
      </c>
      <c r="AE403" s="7" t="s">
        <v>948</v>
      </c>
      <c r="AF403" s="32"/>
      <c r="AH403" s="32" t="str">
        <f>'St of Activites - GA Rev'!A403</f>
        <v>Northridge Local SD</v>
      </c>
      <c r="AI403" s="32" t="str">
        <f t="shared" si="102"/>
        <v>Northridge Local SD</v>
      </c>
      <c r="AJ403" s="32" t="b">
        <f t="shared" si="103"/>
        <v>1</v>
      </c>
      <c r="AL403" s="32" t="str">
        <f>'St of Activities - GA Exp'!A403</f>
        <v>Northridge Local SD</v>
      </c>
      <c r="AN403" s="32" t="b">
        <f t="shared" si="105"/>
        <v>1</v>
      </c>
      <c r="AR403" s="32" t="str">
        <f t="shared" si="106"/>
        <v>Licking</v>
      </c>
      <c r="AS403" s="32" t="str">
        <f>'St of Activites - GA Rev'!C403</f>
        <v>Licking</v>
      </c>
      <c r="AT403" s="32" t="b">
        <f t="shared" si="104"/>
        <v>1</v>
      </c>
      <c r="AU403" s="32" t="str">
        <f>'St of Activities - GA Exp'!C403</f>
        <v>Licking</v>
      </c>
      <c r="AV403" s="56"/>
      <c r="AW403" s="32" t="b">
        <f t="shared" si="107"/>
        <v>1</v>
      </c>
    </row>
    <row r="404" spans="1:49">
      <c r="A404" s="11" t="s">
        <v>390</v>
      </c>
      <c r="B404" s="11"/>
      <c r="C404" s="12" t="s">
        <v>50</v>
      </c>
      <c r="D404" s="11"/>
      <c r="E404" s="29">
        <v>48736</v>
      </c>
      <c r="G404" s="7">
        <f t="shared" si="108"/>
        <v>17719796</v>
      </c>
      <c r="I404" s="7">
        <f>1569249+11074033</f>
        <v>12643282</v>
      </c>
      <c r="K404" s="7">
        <v>30363078</v>
      </c>
      <c r="M404" s="7">
        <f t="shared" ref="M404:M470" si="117">+S404-O404-Q404</f>
        <v>7759152</v>
      </c>
      <c r="O404" s="7">
        <v>537047</v>
      </c>
      <c r="Q404" s="7">
        <f>11829588-537047</f>
        <v>11292541</v>
      </c>
      <c r="S404" s="7">
        <v>19588740</v>
      </c>
      <c r="U404" s="7">
        <v>2184520</v>
      </c>
      <c r="W404" s="7">
        <f t="shared" si="101"/>
        <v>2840710</v>
      </c>
      <c r="Y404" s="7">
        <v>5749108</v>
      </c>
      <c r="AA404" s="7">
        <v>10774338</v>
      </c>
      <c r="AB404" s="7">
        <f t="shared" si="99"/>
        <v>0</v>
      </c>
      <c r="AD404" s="32">
        <f t="shared" si="98"/>
        <v>0</v>
      </c>
      <c r="AF404" s="32"/>
      <c r="AH404" s="32" t="str">
        <f>'St of Activites - GA Rev'!A404</f>
        <v>Northridge Local SD</v>
      </c>
      <c r="AI404" s="32" t="str">
        <f t="shared" si="102"/>
        <v>Northridge Local SD</v>
      </c>
      <c r="AJ404" s="32" t="b">
        <f t="shared" si="103"/>
        <v>1</v>
      </c>
      <c r="AL404" s="32" t="str">
        <f>'St of Activities - GA Exp'!A404</f>
        <v>Northridge Local SD</v>
      </c>
      <c r="AN404" s="32" t="b">
        <f t="shared" si="105"/>
        <v>1</v>
      </c>
      <c r="AR404" s="32" t="str">
        <f t="shared" si="106"/>
        <v>Montgomery</v>
      </c>
      <c r="AS404" s="32" t="str">
        <f>'St of Activites - GA Rev'!C404</f>
        <v>Montgomery</v>
      </c>
      <c r="AT404" s="32" t="b">
        <f t="shared" si="104"/>
        <v>1</v>
      </c>
      <c r="AU404" s="32" t="str">
        <f>'St of Activities - GA Exp'!C404</f>
        <v>Montgomery</v>
      </c>
      <c r="AV404" s="56"/>
      <c r="AW404" s="32" t="b">
        <f t="shared" si="107"/>
        <v>1</v>
      </c>
    </row>
    <row r="405" spans="1:49">
      <c r="A405" s="11" t="s">
        <v>335</v>
      </c>
      <c r="B405" s="11"/>
      <c r="C405" s="11" t="s">
        <v>32</v>
      </c>
      <c r="D405" s="11"/>
      <c r="E405" s="29">
        <v>47365</v>
      </c>
      <c r="G405" s="7">
        <f t="shared" si="108"/>
        <v>76544373</v>
      </c>
      <c r="I405" s="7">
        <f>3668199+19435883</f>
        <v>23104082</v>
      </c>
      <c r="K405" s="7">
        <v>99648455</v>
      </c>
      <c r="M405" s="7">
        <f t="shared" si="117"/>
        <v>38962431</v>
      </c>
      <c r="O405" s="7">
        <v>1764752</v>
      </c>
      <c r="Q405" s="7">
        <f>22651582-1764752</f>
        <v>20886830</v>
      </c>
      <c r="S405" s="7">
        <v>61614013</v>
      </c>
      <c r="U405" s="7">
        <v>4992324</v>
      </c>
      <c r="W405" s="7">
        <f t="shared" si="101"/>
        <v>8824448</v>
      </c>
      <c r="Y405" s="7">
        <v>24217670</v>
      </c>
      <c r="AA405" s="7">
        <v>38034442</v>
      </c>
      <c r="AB405" s="7">
        <f t="shared" si="99"/>
        <v>0</v>
      </c>
      <c r="AD405" s="32">
        <f t="shared" si="98"/>
        <v>0</v>
      </c>
      <c r="AF405" s="32"/>
      <c r="AH405" s="32" t="str">
        <f>'St of Activites - GA Rev'!A405</f>
        <v>Northwest Local SD</v>
      </c>
      <c r="AI405" s="32" t="str">
        <f t="shared" si="102"/>
        <v>Northwest Local SD</v>
      </c>
      <c r="AJ405" s="32" t="b">
        <f t="shared" si="103"/>
        <v>1</v>
      </c>
      <c r="AL405" s="32" t="str">
        <f>'St of Activities - GA Exp'!A405</f>
        <v>Northwest Local SD</v>
      </c>
      <c r="AN405" s="32" t="b">
        <f t="shared" si="105"/>
        <v>1</v>
      </c>
      <c r="AR405" s="32" t="str">
        <f t="shared" si="106"/>
        <v>Hamilton</v>
      </c>
      <c r="AS405" s="32" t="str">
        <f>'St of Activites - GA Rev'!C405</f>
        <v>Hamilton</v>
      </c>
      <c r="AT405" s="32" t="b">
        <f t="shared" si="104"/>
        <v>1</v>
      </c>
      <c r="AU405" s="32" t="str">
        <f>'St of Activities - GA Exp'!C405</f>
        <v>Hamilton</v>
      </c>
      <c r="AV405" s="56"/>
      <c r="AW405" s="32" t="b">
        <f t="shared" si="107"/>
        <v>1</v>
      </c>
    </row>
    <row r="406" spans="1:49">
      <c r="A406" s="11" t="s">
        <v>621</v>
      </c>
      <c r="B406" s="11"/>
      <c r="C406" s="11" t="s">
        <v>59</v>
      </c>
      <c r="D406" s="11"/>
      <c r="E406" s="29">
        <v>49635</v>
      </c>
      <c r="G406" s="7">
        <f t="shared" si="108"/>
        <v>5263824</v>
      </c>
      <c r="I406" s="7">
        <f>246624+25128364</f>
        <v>25374988</v>
      </c>
      <c r="K406" s="7">
        <v>30638812</v>
      </c>
      <c r="M406" s="7">
        <f t="shared" si="117"/>
        <v>3982837</v>
      </c>
      <c r="O406" s="7">
        <v>543658</v>
      </c>
      <c r="Q406" s="7">
        <f>4175413-543658</f>
        <v>3631755</v>
      </c>
      <c r="S406" s="7">
        <v>8158250</v>
      </c>
      <c r="U406" s="7">
        <v>23214435</v>
      </c>
      <c r="W406" s="7">
        <f t="shared" si="101"/>
        <v>1411137</v>
      </c>
      <c r="Y406" s="7">
        <v>-2145010</v>
      </c>
      <c r="AA406" s="7">
        <v>22480562</v>
      </c>
      <c r="AB406" s="7">
        <f t="shared" si="99"/>
        <v>0</v>
      </c>
      <c r="AD406" s="32">
        <f t="shared" si="98"/>
        <v>0</v>
      </c>
      <c r="AF406" s="32"/>
      <c r="AH406" s="32" t="str">
        <f>'St of Activites - GA Rev'!A406</f>
        <v xml:space="preserve">Northwest Local SD    </v>
      </c>
      <c r="AI406" s="32" t="str">
        <f t="shared" si="102"/>
        <v xml:space="preserve">Northwest Local SD    </v>
      </c>
      <c r="AJ406" s="32" t="b">
        <f t="shared" si="103"/>
        <v>1</v>
      </c>
      <c r="AL406" s="32" t="str">
        <f>'St of Activities - GA Exp'!A406</f>
        <v xml:space="preserve">Northwest Local SD    </v>
      </c>
      <c r="AN406" s="32" t="b">
        <f t="shared" si="105"/>
        <v>1</v>
      </c>
      <c r="AR406" s="32" t="str">
        <f t="shared" si="106"/>
        <v>Scioto</v>
      </c>
      <c r="AS406" s="32" t="str">
        <f>'St of Activites - GA Rev'!C406</f>
        <v>Scioto</v>
      </c>
      <c r="AT406" s="32" t="b">
        <f t="shared" si="104"/>
        <v>1</v>
      </c>
      <c r="AU406" s="32" t="str">
        <f>'St of Activities - GA Exp'!C406</f>
        <v>Scioto</v>
      </c>
      <c r="AV406" s="56"/>
      <c r="AW406" s="32" t="b">
        <f t="shared" si="107"/>
        <v>1</v>
      </c>
    </row>
    <row r="407" spans="1:49">
      <c r="A407" s="11" t="s">
        <v>335</v>
      </c>
      <c r="B407" s="11"/>
      <c r="C407" s="11" t="s">
        <v>62</v>
      </c>
      <c r="D407" s="11"/>
      <c r="E407" s="29">
        <v>49908</v>
      </c>
      <c r="F407" s="32"/>
      <c r="G407" s="7">
        <f t="shared" si="108"/>
        <v>39818722</v>
      </c>
      <c r="I407" s="7">
        <v>28814132</v>
      </c>
      <c r="K407" s="7">
        <v>68632854</v>
      </c>
      <c r="M407" s="7">
        <f t="shared" si="117"/>
        <v>11454170</v>
      </c>
      <c r="O407" s="7">
        <v>1186008</v>
      </c>
      <c r="Q407" s="7">
        <f>25384464-1186008</f>
        <v>24198456</v>
      </c>
      <c r="S407" s="7">
        <v>36838634</v>
      </c>
      <c r="U407" s="7">
        <v>8296986</v>
      </c>
      <c r="W407" s="7">
        <f t="shared" si="101"/>
        <v>27370194</v>
      </c>
      <c r="Y407" s="7">
        <v>-3872960</v>
      </c>
      <c r="AA407" s="7">
        <v>31794220</v>
      </c>
      <c r="AB407" s="7">
        <f t="shared" si="99"/>
        <v>0</v>
      </c>
      <c r="AD407" s="32">
        <f t="shared" si="98"/>
        <v>0</v>
      </c>
      <c r="AF407" s="32"/>
      <c r="AH407" s="32" t="str">
        <f>'St of Activites - GA Rev'!A407</f>
        <v>Northwest Local SD</v>
      </c>
      <c r="AI407" s="32" t="str">
        <f t="shared" si="102"/>
        <v>Northwest Local SD</v>
      </c>
      <c r="AJ407" s="32" t="b">
        <f t="shared" si="103"/>
        <v>1</v>
      </c>
      <c r="AL407" s="32" t="str">
        <f>'St of Activities - GA Exp'!A407</f>
        <v>Northwest Local SD</v>
      </c>
      <c r="AN407" s="32" t="b">
        <f t="shared" si="105"/>
        <v>1</v>
      </c>
      <c r="AR407" s="32" t="str">
        <f t="shared" si="106"/>
        <v>Stark</v>
      </c>
      <c r="AS407" s="32" t="str">
        <f>'St of Activites - GA Rev'!C407</f>
        <v>Stark</v>
      </c>
      <c r="AT407" s="32" t="b">
        <f t="shared" si="104"/>
        <v>1</v>
      </c>
      <c r="AU407" s="32" t="str">
        <f>'St of Activities - GA Exp'!C407</f>
        <v>Stark</v>
      </c>
      <c r="AV407" s="56"/>
      <c r="AW407" s="32" t="b">
        <f t="shared" si="107"/>
        <v>1</v>
      </c>
    </row>
    <row r="408" spans="1:49">
      <c r="A408" s="11" t="s">
        <v>239</v>
      </c>
      <c r="B408" s="11"/>
      <c r="C408" s="11" t="s">
        <v>17</v>
      </c>
      <c r="D408" s="11"/>
      <c r="E408" s="29">
        <v>46268</v>
      </c>
      <c r="G408" s="7">
        <f t="shared" si="108"/>
        <v>44632104</v>
      </c>
      <c r="I408" s="7">
        <f>3597768+4528015</f>
        <v>8125783</v>
      </c>
      <c r="K408" s="7">
        <v>52757887</v>
      </c>
      <c r="M408" s="7">
        <f t="shared" si="117"/>
        <v>7509334</v>
      </c>
      <c r="O408" s="7">
        <v>1073741</v>
      </c>
      <c r="Q408" s="7">
        <f>31196406-1073741</f>
        <v>30122665</v>
      </c>
      <c r="S408" s="7">
        <v>38705740</v>
      </c>
      <c r="U408" s="7">
        <v>3073544</v>
      </c>
      <c r="W408" s="7">
        <f t="shared" si="101"/>
        <v>8371999</v>
      </c>
      <c r="Y408" s="7">
        <v>2606604</v>
      </c>
      <c r="AA408" s="7">
        <v>14052147</v>
      </c>
      <c r="AB408" s="7">
        <f t="shared" si="99"/>
        <v>0</v>
      </c>
      <c r="AD408" s="32">
        <f t="shared" si="98"/>
        <v>0</v>
      </c>
      <c r="AF408" s="32"/>
      <c r="AH408" s="32" t="str">
        <f>'St of Activites - GA Rev'!A408</f>
        <v>Northwestern Local SD</v>
      </c>
      <c r="AI408" s="32" t="str">
        <f t="shared" si="102"/>
        <v>Northwestern Local SD</v>
      </c>
      <c r="AJ408" s="32" t="b">
        <f t="shared" si="103"/>
        <v>1</v>
      </c>
      <c r="AL408" s="32" t="str">
        <f>'St of Activities - GA Exp'!A408</f>
        <v>Northwestern Local SD</v>
      </c>
      <c r="AN408" s="32" t="b">
        <f t="shared" si="105"/>
        <v>1</v>
      </c>
      <c r="AR408" s="32" t="str">
        <f t="shared" si="106"/>
        <v>Clark</v>
      </c>
      <c r="AS408" s="32" t="str">
        <f>'St of Activites - GA Rev'!C408</f>
        <v>Clark</v>
      </c>
      <c r="AT408" s="32" t="b">
        <f t="shared" si="104"/>
        <v>1</v>
      </c>
      <c r="AU408" s="32" t="str">
        <f>'St of Activities - GA Exp'!C408</f>
        <v>Clark</v>
      </c>
      <c r="AV408" s="56"/>
      <c r="AW408" s="32" t="b">
        <f t="shared" si="107"/>
        <v>1</v>
      </c>
    </row>
    <row r="409" spans="1:49" s="65" customFormat="1" hidden="1">
      <c r="A409" s="62" t="s">
        <v>801</v>
      </c>
      <c r="B409" s="62"/>
      <c r="C409" s="62" t="s">
        <v>71</v>
      </c>
      <c r="D409" s="62"/>
      <c r="E409" s="64"/>
      <c r="AD409" s="66"/>
      <c r="AE409" s="65" t="s">
        <v>938</v>
      </c>
      <c r="AF409" s="66"/>
      <c r="AH409" s="66" t="str">
        <f>'St of Activites - GA Rev'!A409</f>
        <v>Northwestern Local SD (CASH)</v>
      </c>
      <c r="AI409" s="66" t="str">
        <f t="shared" ref="AI409" si="118">A409</f>
        <v>Northwestern Local SD (CASH)</v>
      </c>
      <c r="AJ409" s="66" t="b">
        <f t="shared" si="103"/>
        <v>1</v>
      </c>
      <c r="AL409" s="66" t="str">
        <f>'St of Activities - GA Exp'!A409</f>
        <v>Northwestern Local SD (CASH)</v>
      </c>
      <c r="AN409" s="66" t="b">
        <f t="shared" si="105"/>
        <v>1</v>
      </c>
      <c r="AR409" s="66" t="str">
        <f t="shared" si="106"/>
        <v>Wayne</v>
      </c>
      <c r="AS409" s="66" t="str">
        <f>'St of Activites - GA Rev'!C409</f>
        <v>Wayne</v>
      </c>
      <c r="AT409" s="66" t="b">
        <f t="shared" si="104"/>
        <v>1</v>
      </c>
      <c r="AU409" s="66" t="str">
        <f>'St of Activities - GA Exp'!C409</f>
        <v>Wayne</v>
      </c>
      <c r="AV409" s="86"/>
      <c r="AW409" s="66" t="b">
        <f t="shared" si="107"/>
        <v>1</v>
      </c>
    </row>
    <row r="410" spans="1:49">
      <c r="A410" s="11" t="s">
        <v>575</v>
      </c>
      <c r="B410" s="11"/>
      <c r="C410" s="11" t="s">
        <v>72</v>
      </c>
      <c r="D410" s="11"/>
      <c r="E410" s="29">
        <v>50716</v>
      </c>
      <c r="G410" s="7">
        <f t="shared" si="108"/>
        <v>10507420</v>
      </c>
      <c r="I410" s="7">
        <f>414967+3571153</f>
        <v>3986120</v>
      </c>
      <c r="K410" s="7">
        <v>14493540</v>
      </c>
      <c r="M410" s="7">
        <f t="shared" si="117"/>
        <v>5522063</v>
      </c>
      <c r="O410" s="7">
        <v>238949</v>
      </c>
      <c r="Q410" s="7">
        <f>1215628-238949</f>
        <v>976679</v>
      </c>
      <c r="S410" s="7">
        <v>6737691</v>
      </c>
      <c r="U410" s="7">
        <v>3420512</v>
      </c>
      <c r="W410" s="7">
        <f t="shared" si="101"/>
        <v>1175596</v>
      </c>
      <c r="Y410" s="7">
        <v>3159741</v>
      </c>
      <c r="AA410" s="7">
        <v>7755849</v>
      </c>
      <c r="AB410" s="7">
        <f t="shared" si="99"/>
        <v>0</v>
      </c>
      <c r="AD410" s="32">
        <f t="shared" si="98"/>
        <v>0</v>
      </c>
      <c r="AF410" s="32"/>
      <c r="AH410" s="32" t="str">
        <f>'St of Activites - GA Rev'!A410</f>
        <v>Northwood Local SD</v>
      </c>
      <c r="AI410" s="32" t="str">
        <f t="shared" si="102"/>
        <v>Northwood Local SD</v>
      </c>
      <c r="AJ410" s="32" t="b">
        <f t="shared" si="103"/>
        <v>1</v>
      </c>
      <c r="AL410" s="32" t="str">
        <f>'St of Activities - GA Exp'!A410</f>
        <v>Northwood Local SD</v>
      </c>
      <c r="AN410" s="32" t="b">
        <f t="shared" si="105"/>
        <v>1</v>
      </c>
      <c r="AR410" s="32" t="str">
        <f t="shared" si="106"/>
        <v>Wood</v>
      </c>
      <c r="AS410" s="32" t="str">
        <f>'St of Activites - GA Rev'!C410</f>
        <v>Wood</v>
      </c>
      <c r="AT410" s="32" t="b">
        <f t="shared" si="104"/>
        <v>1</v>
      </c>
      <c r="AU410" s="32" t="str">
        <f>'St of Activities - GA Exp'!C410</f>
        <v>Wood</v>
      </c>
      <c r="AV410" s="56"/>
      <c r="AW410" s="32" t="b">
        <f t="shared" si="107"/>
        <v>1</v>
      </c>
    </row>
    <row r="411" spans="1:49">
      <c r="A411" s="11" t="s">
        <v>528</v>
      </c>
      <c r="B411" s="11"/>
      <c r="C411" s="11" t="s">
        <v>63</v>
      </c>
      <c r="D411" s="11"/>
      <c r="E411" s="29">
        <v>44552</v>
      </c>
      <c r="G411" s="7">
        <f t="shared" si="108"/>
        <v>17358543</v>
      </c>
      <c r="I411" s="7">
        <v>3327380</v>
      </c>
      <c r="K411" s="7">
        <v>20685923</v>
      </c>
      <c r="M411" s="7">
        <f t="shared" si="117"/>
        <v>9497103</v>
      </c>
      <c r="O411" s="7">
        <v>255291</v>
      </c>
      <c r="Q411" s="7">
        <f>1102939-255291</f>
        <v>847648</v>
      </c>
      <c r="S411" s="7">
        <v>10600042</v>
      </c>
      <c r="U411" s="7">
        <v>3268872</v>
      </c>
      <c r="W411" s="7">
        <f t="shared" si="101"/>
        <v>3215453</v>
      </c>
      <c r="Y411" s="7">
        <v>3601556</v>
      </c>
      <c r="AA411" s="7">
        <v>10085881</v>
      </c>
      <c r="AB411" s="7">
        <f t="shared" si="99"/>
        <v>0</v>
      </c>
      <c r="AD411" s="32">
        <f t="shared" si="98"/>
        <v>0</v>
      </c>
      <c r="AE411" s="7" t="s">
        <v>949</v>
      </c>
      <c r="AF411" s="32"/>
      <c r="AH411" s="32" t="str">
        <f>'St of Activites - GA Rev'!A411</f>
        <v>Norton City SD</v>
      </c>
      <c r="AI411" s="32" t="str">
        <f t="shared" si="102"/>
        <v>Norton City SD</v>
      </c>
      <c r="AJ411" s="32" t="b">
        <f t="shared" si="103"/>
        <v>1</v>
      </c>
      <c r="AL411" s="32" t="str">
        <f>'St of Activities - GA Exp'!A411</f>
        <v>Norton City SD</v>
      </c>
      <c r="AN411" s="32" t="b">
        <f t="shared" si="105"/>
        <v>1</v>
      </c>
      <c r="AR411" s="32" t="str">
        <f t="shared" si="106"/>
        <v>Summit</v>
      </c>
      <c r="AS411" s="32" t="str">
        <f>'St of Activites - GA Rev'!C411</f>
        <v>Summit</v>
      </c>
      <c r="AT411" s="32" t="b">
        <f t="shared" si="104"/>
        <v>1</v>
      </c>
      <c r="AU411" s="32" t="str">
        <f>'St of Activities - GA Exp'!C411</f>
        <v>Summit</v>
      </c>
      <c r="AV411" s="56"/>
      <c r="AW411" s="32" t="b">
        <f t="shared" si="107"/>
        <v>1</v>
      </c>
    </row>
    <row r="412" spans="1:49">
      <c r="A412" s="11" t="s">
        <v>368</v>
      </c>
      <c r="B412" s="11"/>
      <c r="C412" s="11" t="s">
        <v>37</v>
      </c>
      <c r="D412" s="11"/>
      <c r="E412" s="29">
        <v>44560</v>
      </c>
      <c r="G412" s="7">
        <f t="shared" si="108"/>
        <v>23065117</v>
      </c>
      <c r="I412" s="7">
        <f>2211532+21937201</f>
        <v>24148733</v>
      </c>
      <c r="K412" s="7">
        <v>47213850</v>
      </c>
      <c r="M412" s="7">
        <f t="shared" si="117"/>
        <v>9628583</v>
      </c>
      <c r="O412" s="7">
        <v>923405</v>
      </c>
      <c r="Q412" s="7">
        <f>13870942-923405</f>
        <v>12947537</v>
      </c>
      <c r="S412" s="7">
        <v>23499525</v>
      </c>
      <c r="U412" s="7">
        <v>12703742</v>
      </c>
      <c r="W412" s="7">
        <f t="shared" si="101"/>
        <v>5885096</v>
      </c>
      <c r="Y412" s="7">
        <v>5125487</v>
      </c>
      <c r="AA412" s="7">
        <v>23714325</v>
      </c>
      <c r="AB412" s="7">
        <f t="shared" si="99"/>
        <v>0</v>
      </c>
      <c r="AD412" s="32">
        <f t="shared" si="98"/>
        <v>0</v>
      </c>
      <c r="AF412" s="32"/>
      <c r="AH412" s="32" t="str">
        <f>'St of Activites - GA Rev'!A412</f>
        <v>Norwalk City SD</v>
      </c>
      <c r="AI412" s="32" t="str">
        <f t="shared" si="102"/>
        <v>Norwalk City SD</v>
      </c>
      <c r="AJ412" s="32" t="b">
        <f t="shared" si="103"/>
        <v>1</v>
      </c>
      <c r="AL412" s="32" t="str">
        <f>'St of Activities - GA Exp'!A412</f>
        <v>Norwalk City SD</v>
      </c>
      <c r="AN412" s="32" t="b">
        <f t="shared" si="105"/>
        <v>1</v>
      </c>
      <c r="AR412" s="32" t="str">
        <f t="shared" si="106"/>
        <v>Huron</v>
      </c>
      <c r="AS412" s="32" t="str">
        <f>'St of Activites - GA Rev'!C412</f>
        <v>Huron</v>
      </c>
      <c r="AT412" s="32" t="b">
        <f t="shared" si="104"/>
        <v>1</v>
      </c>
      <c r="AU412" s="32" t="str">
        <f>'St of Activities - GA Exp'!C412</f>
        <v>Huron</v>
      </c>
      <c r="AV412" s="56"/>
      <c r="AW412" s="32" t="b">
        <f t="shared" si="107"/>
        <v>1</v>
      </c>
    </row>
    <row r="413" spans="1:49" s="65" customFormat="1" hidden="1">
      <c r="A413" s="62" t="s">
        <v>950</v>
      </c>
      <c r="B413" s="62"/>
      <c r="C413" s="62" t="s">
        <v>71</v>
      </c>
      <c r="D413" s="62"/>
      <c r="E413" s="64"/>
      <c r="G413" s="65">
        <f t="shared" ref="G413" si="119">+K413-I413</f>
        <v>0</v>
      </c>
      <c r="M413" s="65">
        <f t="shared" ref="M413" si="120">+S413-O413-Q413</f>
        <v>0</v>
      </c>
      <c r="W413" s="65">
        <f t="shared" ref="W413" si="121">AA413-Y413-U413</f>
        <v>0</v>
      </c>
      <c r="AB413" s="65">
        <f t="shared" ref="AB413" si="122">+K413-S413-AA413</f>
        <v>0</v>
      </c>
      <c r="AD413" s="66">
        <f t="shared" ref="AD413" si="123">+G413+I413+-M413-O413-U413-W413-Y413-Q413</f>
        <v>0</v>
      </c>
      <c r="AE413" s="65" t="s">
        <v>931</v>
      </c>
      <c r="AF413" s="66"/>
      <c r="AH413" s="61" t="str">
        <f>'St of Activites - GA Rev'!A413</f>
        <v>Norwayne Local SD (CASH)</v>
      </c>
      <c r="AI413" s="61" t="str">
        <f t="shared" ref="AI413" si="124">A413</f>
        <v>Norwayne Local SD (CASH)</v>
      </c>
      <c r="AJ413" s="61" t="b">
        <f t="shared" ref="AJ413" si="125">AH413=AI413</f>
        <v>1</v>
      </c>
      <c r="AK413" s="60"/>
      <c r="AL413" s="61" t="str">
        <f>'St of Activities - GA Exp'!A413</f>
        <v>Norwayne Local SD (CASH)</v>
      </c>
      <c r="AM413" s="60"/>
      <c r="AN413" s="61" t="b">
        <f t="shared" ref="AN413" si="126">AH413=AL413</f>
        <v>1</v>
      </c>
      <c r="AO413" s="60"/>
      <c r="AP413" s="60"/>
      <c r="AQ413" s="60"/>
      <c r="AR413" s="61" t="str">
        <f t="shared" ref="AR413" si="127">C413</f>
        <v>Wayne</v>
      </c>
      <c r="AS413" s="61" t="str">
        <f>'St of Activites - GA Rev'!C413</f>
        <v>Wayne</v>
      </c>
      <c r="AT413" s="61" t="b">
        <f t="shared" ref="AT413" si="128">AR413=AS413</f>
        <v>1</v>
      </c>
      <c r="AU413" s="61" t="str">
        <f>'St of Activities - GA Exp'!C413</f>
        <v>Wayne</v>
      </c>
      <c r="AV413" s="88"/>
      <c r="AW413" s="61" t="b">
        <f t="shared" ref="AW413" si="129">AU413=AS413</f>
        <v>1</v>
      </c>
    </row>
    <row r="414" spans="1:49">
      <c r="A414" s="11" t="s">
        <v>658</v>
      </c>
      <c r="B414" s="11"/>
      <c r="C414" s="11" t="s">
        <v>32</v>
      </c>
      <c r="D414" s="11"/>
      <c r="E414" s="29">
        <v>44578</v>
      </c>
      <c r="G414" s="7">
        <f t="shared" si="108"/>
        <v>18588608</v>
      </c>
      <c r="I414" s="7">
        <f>524809+5864190</f>
        <v>6388999</v>
      </c>
      <c r="K414" s="7">
        <v>24977607</v>
      </c>
      <c r="M414" s="7">
        <f t="shared" si="117"/>
        <v>10852530</v>
      </c>
      <c r="O414" s="7">
        <v>379228</v>
      </c>
      <c r="Q414" s="7">
        <f>5916448-379228</f>
        <v>5537220</v>
      </c>
      <c r="S414" s="7">
        <v>16768978</v>
      </c>
      <c r="U414" s="7">
        <v>1488874</v>
      </c>
      <c r="W414" s="7">
        <f t="shared" si="101"/>
        <v>1270184</v>
      </c>
      <c r="Y414" s="7">
        <v>5449571</v>
      </c>
      <c r="AA414" s="7">
        <v>8208629</v>
      </c>
      <c r="AB414" s="7">
        <f t="shared" si="99"/>
        <v>0</v>
      </c>
      <c r="AD414" s="32">
        <f t="shared" si="98"/>
        <v>0</v>
      </c>
      <c r="AF414" s="32"/>
      <c r="AH414" s="32" t="str">
        <f>'St of Activites - GA Rev'!A414</f>
        <v>Norwood City SD</v>
      </c>
      <c r="AI414" s="32" t="str">
        <f t="shared" si="102"/>
        <v>Norwood City SD</v>
      </c>
      <c r="AJ414" s="32" t="b">
        <f t="shared" si="103"/>
        <v>1</v>
      </c>
      <c r="AL414" s="32" t="str">
        <f>'St of Activities - GA Exp'!A414</f>
        <v>Norwood City SD</v>
      </c>
      <c r="AN414" s="32" t="b">
        <f t="shared" si="105"/>
        <v>1</v>
      </c>
      <c r="AR414" s="32" t="str">
        <f t="shared" si="106"/>
        <v>Hamilton</v>
      </c>
      <c r="AS414" s="32" t="str">
        <f>'St of Activites - GA Rev'!C414</f>
        <v>Hamilton</v>
      </c>
      <c r="AT414" s="32" t="b">
        <f t="shared" si="104"/>
        <v>1</v>
      </c>
      <c r="AU414" s="32" t="str">
        <f>'St of Activities - GA Exp'!C414</f>
        <v>Hamilton</v>
      </c>
      <c r="AV414" s="56"/>
      <c r="AW414" s="32" t="b">
        <f t="shared" si="107"/>
        <v>1</v>
      </c>
    </row>
    <row r="415" spans="1:49" s="65" customFormat="1" hidden="1">
      <c r="A415" s="62" t="s">
        <v>799</v>
      </c>
      <c r="B415" s="62"/>
      <c r="C415" s="62" t="s">
        <v>38</v>
      </c>
      <c r="D415" s="62"/>
      <c r="E415" s="64"/>
      <c r="AD415" s="66"/>
      <c r="AE415" s="65" t="s">
        <v>938</v>
      </c>
      <c r="AF415" s="66"/>
      <c r="AH415" s="66" t="str">
        <f>'St of Activites - GA Rev'!A415</f>
        <v>Oak Hill Union Local SD (CASH)</v>
      </c>
      <c r="AI415" s="66" t="str">
        <f t="shared" ref="AI415" si="130">A415</f>
        <v>Oak Hill Union Local SD (CASH)</v>
      </c>
      <c r="AJ415" s="66" t="b">
        <f t="shared" si="103"/>
        <v>1</v>
      </c>
      <c r="AL415" s="66" t="str">
        <f>'St of Activities - GA Exp'!A415</f>
        <v>Oak Hill Union Local SD (CASH)</v>
      </c>
      <c r="AN415" s="66" t="b">
        <f t="shared" si="105"/>
        <v>1</v>
      </c>
      <c r="AR415" s="66" t="str">
        <f t="shared" si="106"/>
        <v>Jackson</v>
      </c>
      <c r="AS415" s="66" t="str">
        <f>'St of Activites - GA Rev'!C415</f>
        <v>Jackson</v>
      </c>
      <c r="AT415" s="66" t="b">
        <f t="shared" si="104"/>
        <v>1</v>
      </c>
      <c r="AU415" s="66" t="str">
        <f>'St of Activities - GA Exp'!C415</f>
        <v>Jackson</v>
      </c>
      <c r="AV415" s="86"/>
      <c r="AW415" s="66" t="b">
        <f t="shared" si="107"/>
        <v>1</v>
      </c>
    </row>
    <row r="416" spans="1:49">
      <c r="A416" s="11" t="s">
        <v>336</v>
      </c>
      <c r="B416" s="11"/>
      <c r="C416" s="11" t="s">
        <v>32</v>
      </c>
      <c r="D416" s="11"/>
      <c r="E416" s="29">
        <v>47373</v>
      </c>
      <c r="F416" s="10"/>
      <c r="G416" s="7">
        <f t="shared" si="108"/>
        <v>65556627</v>
      </c>
      <c r="I416" s="7">
        <f>2221943+46702648</f>
        <v>48924591</v>
      </c>
      <c r="K416" s="7">
        <v>114481218</v>
      </c>
      <c r="M416" s="7">
        <f t="shared" si="117"/>
        <v>34498626</v>
      </c>
      <c r="O416" s="7">
        <v>2484644</v>
      </c>
      <c r="Q416" s="7">
        <f>45361894-2484644</f>
        <v>42877250</v>
      </c>
      <c r="S416" s="7">
        <v>79860520</v>
      </c>
      <c r="U416" s="7">
        <v>8896621</v>
      </c>
      <c r="W416" s="7">
        <f t="shared" si="101"/>
        <v>8913984</v>
      </c>
      <c r="Y416" s="7">
        <v>16810093</v>
      </c>
      <c r="AA416" s="7">
        <v>34620698</v>
      </c>
      <c r="AB416" s="7">
        <f t="shared" si="99"/>
        <v>0</v>
      </c>
      <c r="AD416" s="32">
        <f t="shared" si="98"/>
        <v>0</v>
      </c>
      <c r="AF416" s="32"/>
      <c r="AH416" s="32" t="str">
        <f>'St of Activites - GA Rev'!A416</f>
        <v>Oak Hills Local SD</v>
      </c>
      <c r="AI416" s="32" t="str">
        <f t="shared" si="102"/>
        <v>Oak Hills Local SD</v>
      </c>
      <c r="AJ416" s="32" t="b">
        <f t="shared" si="103"/>
        <v>1</v>
      </c>
      <c r="AL416" s="32" t="str">
        <f>'St of Activities - GA Exp'!A416</f>
        <v>Oak Hills Local SD</v>
      </c>
      <c r="AN416" s="32" t="b">
        <f t="shared" si="105"/>
        <v>1</v>
      </c>
      <c r="AR416" s="32" t="str">
        <f t="shared" si="106"/>
        <v>Hamilton</v>
      </c>
      <c r="AS416" s="32" t="str">
        <f>'St of Activites - GA Rev'!C416</f>
        <v>Hamilton</v>
      </c>
      <c r="AT416" s="32" t="b">
        <f t="shared" si="104"/>
        <v>1</v>
      </c>
      <c r="AU416" s="32" t="str">
        <f>'St of Activities - GA Exp'!C416</f>
        <v>Hamilton</v>
      </c>
      <c r="AV416" s="56"/>
      <c r="AW416" s="32" t="b">
        <f t="shared" si="107"/>
        <v>1</v>
      </c>
    </row>
    <row r="417" spans="1:49">
      <c r="A417" s="11" t="s">
        <v>448</v>
      </c>
      <c r="B417" s="11"/>
      <c r="C417" s="11" t="s">
        <v>50</v>
      </c>
      <c r="D417" s="11"/>
      <c r="E417" s="29">
        <v>44586</v>
      </c>
      <c r="G417" s="7">
        <f t="shared" si="108"/>
        <v>19328817</v>
      </c>
      <c r="I417" s="7">
        <f>488237+20649446</f>
        <v>21137683</v>
      </c>
      <c r="K417" s="7">
        <v>40466500</v>
      </c>
      <c r="M417" s="7">
        <f t="shared" si="117"/>
        <v>17301145</v>
      </c>
      <c r="O417" s="7">
        <v>765416</v>
      </c>
      <c r="Q417" s="7">
        <f>18298802-765416</f>
        <v>17533386</v>
      </c>
      <c r="S417" s="7">
        <v>35599947</v>
      </c>
      <c r="U417" s="7">
        <v>4137097</v>
      </c>
      <c r="W417" s="7">
        <f t="shared" si="101"/>
        <v>771119</v>
      </c>
      <c r="Y417" s="7">
        <v>-41663</v>
      </c>
      <c r="AA417" s="7">
        <v>4866553</v>
      </c>
      <c r="AB417" s="7">
        <f t="shared" si="99"/>
        <v>0</v>
      </c>
      <c r="AD417" s="32">
        <f t="shared" si="98"/>
        <v>0</v>
      </c>
      <c r="AF417" s="32"/>
      <c r="AH417" s="32" t="str">
        <f>'St of Activites - GA Rev'!A417</f>
        <v>Oakwood City SD</v>
      </c>
      <c r="AI417" s="32" t="str">
        <f t="shared" si="102"/>
        <v>Oakwood City SD</v>
      </c>
      <c r="AJ417" s="32" t="b">
        <f t="shared" si="103"/>
        <v>1</v>
      </c>
      <c r="AL417" s="32" t="str">
        <f>'St of Activities - GA Exp'!A417</f>
        <v>Oakwood City SD</v>
      </c>
      <c r="AN417" s="32" t="b">
        <f t="shared" si="105"/>
        <v>1</v>
      </c>
      <c r="AR417" s="32" t="str">
        <f t="shared" si="106"/>
        <v>Montgomery</v>
      </c>
      <c r="AS417" s="32" t="str">
        <f>'St of Activites - GA Rev'!C417</f>
        <v>Montgomery</v>
      </c>
      <c r="AT417" s="32" t="b">
        <f t="shared" si="104"/>
        <v>1</v>
      </c>
      <c r="AU417" s="32" t="str">
        <f>'St of Activities - GA Exp'!C417</f>
        <v>Montgomery</v>
      </c>
      <c r="AV417" s="56"/>
      <c r="AW417" s="32" t="b">
        <f t="shared" si="107"/>
        <v>1</v>
      </c>
    </row>
    <row r="418" spans="1:49">
      <c r="A418" s="11" t="s">
        <v>401</v>
      </c>
      <c r="B418" s="11"/>
      <c r="C418" s="11" t="s">
        <v>44</v>
      </c>
      <c r="D418" s="11"/>
      <c r="E418" s="29">
        <v>44594</v>
      </c>
      <c r="G418" s="7">
        <f t="shared" si="108"/>
        <v>6438441</v>
      </c>
      <c r="I418" s="7">
        <f>2279070+3313526</f>
        <v>5592596</v>
      </c>
      <c r="K418" s="7">
        <v>12031037</v>
      </c>
      <c r="M418" s="7">
        <f t="shared" si="117"/>
        <v>5383731</v>
      </c>
      <c r="O418" s="7">
        <v>395719</v>
      </c>
      <c r="Q418" s="7">
        <f>1643383-395719</f>
        <v>1247664</v>
      </c>
      <c r="S418" s="7">
        <v>7027114</v>
      </c>
      <c r="U418" s="7">
        <v>5122691</v>
      </c>
      <c r="W418" s="7">
        <f t="shared" si="101"/>
        <v>413996</v>
      </c>
      <c r="Y418" s="7">
        <v>-532764</v>
      </c>
      <c r="AA418" s="7">
        <v>5003923</v>
      </c>
      <c r="AB418" s="7">
        <f t="shared" si="99"/>
        <v>0</v>
      </c>
      <c r="AD418" s="32">
        <f t="shared" si="98"/>
        <v>0</v>
      </c>
      <c r="AF418" s="32"/>
      <c r="AH418" s="32" t="str">
        <f>'St of Activites - GA Rev'!A418</f>
        <v>Oberlin City SD</v>
      </c>
      <c r="AI418" s="32" t="str">
        <f t="shared" si="102"/>
        <v>Oberlin City SD</v>
      </c>
      <c r="AJ418" s="32" t="b">
        <f t="shared" si="103"/>
        <v>1</v>
      </c>
      <c r="AL418" s="32" t="str">
        <f>'St of Activities - GA Exp'!A418</f>
        <v>Oberlin City SD</v>
      </c>
      <c r="AN418" s="32" t="b">
        <f t="shared" si="105"/>
        <v>1</v>
      </c>
      <c r="AR418" s="32" t="str">
        <f t="shared" si="106"/>
        <v>Lorain</v>
      </c>
      <c r="AS418" s="32" t="str">
        <f>'St of Activites - GA Rev'!C418</f>
        <v>Lorain</v>
      </c>
      <c r="AT418" s="32" t="b">
        <f t="shared" si="104"/>
        <v>1</v>
      </c>
      <c r="AU418" s="32" t="str">
        <f>'St of Activities - GA Exp'!C418</f>
        <v>Lorain</v>
      </c>
      <c r="AV418" s="56"/>
      <c r="AW418" s="32" t="b">
        <f t="shared" si="107"/>
        <v>1</v>
      </c>
    </row>
    <row r="419" spans="1:49" s="65" customFormat="1" hidden="1">
      <c r="A419" s="62" t="s">
        <v>640</v>
      </c>
      <c r="B419" s="62"/>
      <c r="C419" s="62" t="s">
        <v>60</v>
      </c>
      <c r="D419" s="62"/>
      <c r="E419" s="64">
        <v>49726</v>
      </c>
      <c r="G419" s="65">
        <f t="shared" si="108"/>
        <v>0</v>
      </c>
      <c r="M419" s="65">
        <f t="shared" si="117"/>
        <v>0</v>
      </c>
      <c r="W419" s="65">
        <f t="shared" si="101"/>
        <v>0</v>
      </c>
      <c r="AB419" s="65">
        <f t="shared" si="99"/>
        <v>0</v>
      </c>
      <c r="AD419" s="66">
        <f t="shared" si="98"/>
        <v>0</v>
      </c>
      <c r="AE419" s="65" t="s">
        <v>839</v>
      </c>
      <c r="AF419" s="66"/>
      <c r="AH419" s="66" t="str">
        <f>'St of Activites - GA Rev'!A419</f>
        <v>Old Fort Local SD (CASH)</v>
      </c>
      <c r="AI419" s="66" t="str">
        <f t="shared" si="102"/>
        <v>Old Fort Local SD (CASH)</v>
      </c>
      <c r="AJ419" s="66" t="b">
        <f t="shared" si="103"/>
        <v>1</v>
      </c>
      <c r="AL419" s="66" t="str">
        <f>'St of Activities - GA Exp'!A419</f>
        <v>Old Fort Local SD (CASH)</v>
      </c>
      <c r="AN419" s="66" t="b">
        <f t="shared" si="105"/>
        <v>1</v>
      </c>
      <c r="AR419" s="66" t="str">
        <f t="shared" si="106"/>
        <v>Seneca</v>
      </c>
      <c r="AS419" s="66" t="str">
        <f>'St of Activites - GA Rev'!C419</f>
        <v>Seneca</v>
      </c>
      <c r="AT419" s="66" t="b">
        <f t="shared" si="104"/>
        <v>1</v>
      </c>
      <c r="AU419" s="66" t="str">
        <f>'St of Activities - GA Exp'!C419</f>
        <v>Seneca</v>
      </c>
      <c r="AV419" s="86"/>
      <c r="AW419" s="66" t="b">
        <f t="shared" si="107"/>
        <v>1</v>
      </c>
    </row>
    <row r="420" spans="1:49">
      <c r="A420" s="11" t="s">
        <v>290</v>
      </c>
      <c r="B420" s="11"/>
      <c r="C420" s="11" t="s">
        <v>23</v>
      </c>
      <c r="D420" s="11"/>
      <c r="E420" s="29">
        <v>46763</v>
      </c>
      <c r="G420" s="7">
        <f t="shared" si="108"/>
        <v>247210314</v>
      </c>
      <c r="I420" s="7">
        <f>55421361+283740924</f>
        <v>339162285</v>
      </c>
      <c r="K420" s="7">
        <v>586372599</v>
      </c>
      <c r="M420" s="7">
        <f t="shared" si="117"/>
        <v>151974321</v>
      </c>
      <c r="O420" s="7">
        <v>13149135</v>
      </c>
      <c r="Q420" s="7">
        <f>387293486-13149135</f>
        <v>374144351</v>
      </c>
      <c r="S420" s="7">
        <v>539267807</v>
      </c>
      <c r="U420" s="7">
        <v>5020431</v>
      </c>
      <c r="W420" s="7">
        <f t="shared" si="101"/>
        <v>32942870</v>
      </c>
      <c r="Y420" s="7">
        <v>9141491</v>
      </c>
      <c r="AA420" s="7">
        <v>47104792</v>
      </c>
      <c r="AB420" s="7">
        <f t="shared" si="99"/>
        <v>0</v>
      </c>
      <c r="AD420" s="32">
        <f t="shared" si="98"/>
        <v>0</v>
      </c>
      <c r="AF420" s="32"/>
      <c r="AH420" s="32" t="str">
        <f>'St of Activites - GA Rev'!A420</f>
        <v>Olentangy Local SD</v>
      </c>
      <c r="AI420" s="32" t="str">
        <f t="shared" si="102"/>
        <v>Olentangy Local SD</v>
      </c>
      <c r="AJ420" s="32" t="b">
        <f t="shared" si="103"/>
        <v>1</v>
      </c>
      <c r="AL420" s="32" t="str">
        <f>'St of Activities - GA Exp'!A420</f>
        <v>Olentangy Local SD</v>
      </c>
      <c r="AN420" s="32" t="b">
        <f t="shared" si="105"/>
        <v>1</v>
      </c>
      <c r="AR420" s="32" t="str">
        <f t="shared" si="106"/>
        <v>Delaware</v>
      </c>
      <c r="AS420" s="32" t="str">
        <f>'St of Activites - GA Rev'!C420</f>
        <v>Delaware</v>
      </c>
      <c r="AT420" s="32" t="b">
        <f t="shared" si="104"/>
        <v>1</v>
      </c>
      <c r="AU420" s="32" t="str">
        <f>'St of Activities - GA Exp'!C420</f>
        <v>Delaware</v>
      </c>
      <c r="AV420" s="56"/>
      <c r="AW420" s="32" t="b">
        <f t="shared" si="107"/>
        <v>1</v>
      </c>
    </row>
    <row r="421" spans="1:49">
      <c r="A421" s="11" t="s">
        <v>279</v>
      </c>
      <c r="B421" s="11"/>
      <c r="C421" s="11" t="s">
        <v>20</v>
      </c>
      <c r="D421" s="11"/>
      <c r="E421" s="29">
        <v>46573</v>
      </c>
      <c r="G421" s="7">
        <f t="shared" si="108"/>
        <v>39585322</v>
      </c>
      <c r="I421" s="7">
        <f>3285145+38129739</f>
        <v>41414884</v>
      </c>
      <c r="K421" s="7">
        <v>81000206</v>
      </c>
      <c r="M421" s="7">
        <f t="shared" si="117"/>
        <v>28048486</v>
      </c>
      <c r="O421" s="7">
        <v>1455153</v>
      </c>
      <c r="Q421" s="7">
        <f>23763980-1455153</f>
        <v>22308827</v>
      </c>
      <c r="S421" s="7">
        <v>51812466</v>
      </c>
      <c r="U421" s="7">
        <v>21710250</v>
      </c>
      <c r="W421" s="7">
        <f t="shared" si="101"/>
        <v>5674757</v>
      </c>
      <c r="Y421" s="7">
        <v>1802733</v>
      </c>
      <c r="AA421" s="7">
        <v>29187740</v>
      </c>
      <c r="AB421" s="7">
        <f t="shared" si="99"/>
        <v>0</v>
      </c>
      <c r="AD421" s="32">
        <f t="shared" ref="AD421:AD445" si="131">+G421+I421+-M421-O421-U421-W421-Y421-Q421</f>
        <v>0</v>
      </c>
      <c r="AF421" s="32"/>
      <c r="AH421" s="32" t="str">
        <f>'St of Activites - GA Rev'!A421</f>
        <v>Olmsted Falls City SD</v>
      </c>
      <c r="AI421" s="32" t="str">
        <f t="shared" si="102"/>
        <v>Olmsted Falls City SD</v>
      </c>
      <c r="AJ421" s="32" t="b">
        <f t="shared" si="103"/>
        <v>1</v>
      </c>
      <c r="AL421" s="32" t="str">
        <f>'St of Activities - GA Exp'!A421</f>
        <v>Olmsted Falls City SD</v>
      </c>
      <c r="AN421" s="32" t="b">
        <f t="shared" si="105"/>
        <v>1</v>
      </c>
      <c r="AR421" s="32" t="str">
        <f t="shared" si="106"/>
        <v>Cuyahoga</v>
      </c>
      <c r="AS421" s="32" t="str">
        <f>'St of Activites - GA Rev'!C421</f>
        <v>Cuyahoga</v>
      </c>
      <c r="AT421" s="32" t="b">
        <f t="shared" si="104"/>
        <v>1</v>
      </c>
      <c r="AU421" s="32" t="str">
        <f>'St of Activities - GA Exp'!C421</f>
        <v>Cuyahoga</v>
      </c>
      <c r="AV421" s="56"/>
      <c r="AW421" s="32" t="b">
        <f t="shared" si="107"/>
        <v>1</v>
      </c>
    </row>
    <row r="422" spans="1:49">
      <c r="A422" s="11" t="s">
        <v>485</v>
      </c>
      <c r="B422" s="11"/>
      <c r="C422" s="11" t="s">
        <v>110</v>
      </c>
      <c r="D422" s="11"/>
      <c r="E422" s="29">
        <v>49478</v>
      </c>
      <c r="G422" s="7">
        <f t="shared" si="108"/>
        <v>18453052</v>
      </c>
      <c r="I422" s="7">
        <v>22577109</v>
      </c>
      <c r="K422" s="7">
        <v>41030161</v>
      </c>
      <c r="M422" s="7">
        <f t="shared" si="117"/>
        <v>9636502</v>
      </c>
      <c r="O422" s="7">
        <v>1174248</v>
      </c>
      <c r="Q422" s="7">
        <f>16174073-1174248</f>
        <v>14999825</v>
      </c>
      <c r="S422" s="7">
        <v>25810575</v>
      </c>
      <c r="U422" s="7">
        <v>8330018</v>
      </c>
      <c r="W422" s="7">
        <f t="shared" si="101"/>
        <v>2685787</v>
      </c>
      <c r="Y422" s="7">
        <v>4203781</v>
      </c>
      <c r="AA422" s="7">
        <v>15219586</v>
      </c>
      <c r="AB422" s="7">
        <f t="shared" si="99"/>
        <v>0</v>
      </c>
      <c r="AD422" s="32">
        <f t="shared" si="131"/>
        <v>0</v>
      </c>
      <c r="AF422" s="32"/>
      <c r="AH422" s="32" t="str">
        <f>'St of Activites - GA Rev'!A422</f>
        <v>Ontario Local SD</v>
      </c>
      <c r="AI422" s="32" t="str">
        <f t="shared" si="102"/>
        <v>Ontario Local SD</v>
      </c>
      <c r="AJ422" s="32" t="b">
        <f t="shared" si="103"/>
        <v>1</v>
      </c>
      <c r="AL422" s="32" t="str">
        <f>'St of Activities - GA Exp'!A422</f>
        <v>Ontario Local SD</v>
      </c>
      <c r="AN422" s="32" t="b">
        <f t="shared" si="105"/>
        <v>1</v>
      </c>
      <c r="AR422" s="32" t="str">
        <f t="shared" si="106"/>
        <v>Richland</v>
      </c>
      <c r="AS422" s="32" t="str">
        <f>'St of Activites - GA Rev'!C422</f>
        <v>Richland</v>
      </c>
      <c r="AT422" s="32" t="b">
        <f t="shared" si="104"/>
        <v>1</v>
      </c>
      <c r="AU422" s="32" t="str">
        <f>'St of Activities - GA Exp'!C422</f>
        <v>Richland</v>
      </c>
      <c r="AV422" s="56"/>
      <c r="AW422" s="32" t="b">
        <f t="shared" si="107"/>
        <v>1</v>
      </c>
    </row>
    <row r="423" spans="1:49">
      <c r="A423" s="11" t="s">
        <v>280</v>
      </c>
      <c r="B423" s="11"/>
      <c r="C423" s="11" t="s">
        <v>20</v>
      </c>
      <c r="D423" s="11"/>
      <c r="E423" s="29">
        <v>46581</v>
      </c>
      <c r="G423" s="7">
        <f t="shared" si="108"/>
        <v>81590562</v>
      </c>
      <c r="I423" s="7">
        <v>42811927</v>
      </c>
      <c r="K423" s="7">
        <v>124402489</v>
      </c>
      <c r="M423" s="7">
        <f t="shared" si="117"/>
        <v>38284259</v>
      </c>
      <c r="O423" s="7">
        <v>2229658</v>
      </c>
      <c r="Q423" s="7">
        <f>32365656-2229658</f>
        <v>30135998</v>
      </c>
      <c r="S423" s="7">
        <v>70649915</v>
      </c>
      <c r="U423" s="7">
        <v>19204562</v>
      </c>
      <c r="W423" s="7">
        <f t="shared" si="101"/>
        <v>9821326</v>
      </c>
      <c r="Y423" s="7">
        <v>24726686</v>
      </c>
      <c r="AA423" s="7">
        <v>53752574</v>
      </c>
      <c r="AB423" s="7">
        <f t="shared" si="99"/>
        <v>0</v>
      </c>
      <c r="AD423" s="32">
        <f t="shared" si="131"/>
        <v>0</v>
      </c>
      <c r="AF423" s="32"/>
      <c r="AH423" s="32" t="str">
        <f>'St of Activites - GA Rev'!A423</f>
        <v>Orange City SD</v>
      </c>
      <c r="AI423" s="32" t="str">
        <f t="shared" si="102"/>
        <v>Orange City SD</v>
      </c>
      <c r="AJ423" s="32" t="b">
        <f t="shared" si="103"/>
        <v>1</v>
      </c>
      <c r="AL423" s="32" t="str">
        <f>'St of Activities - GA Exp'!A423</f>
        <v>Orange City SD</v>
      </c>
      <c r="AN423" s="32" t="b">
        <f t="shared" si="105"/>
        <v>1</v>
      </c>
      <c r="AR423" s="32" t="str">
        <f t="shared" si="106"/>
        <v>Cuyahoga</v>
      </c>
      <c r="AS423" s="32" t="str">
        <f>'St of Activites - GA Rev'!C423</f>
        <v>Cuyahoga</v>
      </c>
      <c r="AT423" s="32" t="b">
        <f t="shared" si="104"/>
        <v>1</v>
      </c>
      <c r="AU423" s="32" t="str">
        <f>'St of Activities - GA Exp'!C423</f>
        <v>Cuyahoga</v>
      </c>
      <c r="AV423" s="56"/>
      <c r="AW423" s="32" t="b">
        <f t="shared" si="107"/>
        <v>1</v>
      </c>
    </row>
    <row r="424" spans="1:49">
      <c r="A424" s="11" t="s">
        <v>404</v>
      </c>
      <c r="B424" s="11"/>
      <c r="C424" s="11" t="s">
        <v>115</v>
      </c>
      <c r="D424" s="11"/>
      <c r="E424" s="29">
        <v>44602</v>
      </c>
      <c r="G424" s="7">
        <f t="shared" si="108"/>
        <v>43012201</v>
      </c>
      <c r="I424" s="7">
        <v>58052210</v>
      </c>
      <c r="K424" s="7">
        <v>101064411</v>
      </c>
      <c r="M424" s="7">
        <f t="shared" si="117"/>
        <v>27358260</v>
      </c>
      <c r="O424" s="7">
        <v>1790914</v>
      </c>
      <c r="Q424" s="7">
        <f>48085582-1790914</f>
        <v>46294668</v>
      </c>
      <c r="S424" s="7">
        <v>75443842</v>
      </c>
      <c r="U424" s="7">
        <v>16947387</v>
      </c>
      <c r="W424" s="7">
        <f t="shared" si="101"/>
        <v>6548051</v>
      </c>
      <c r="Y424" s="7">
        <v>2125131</v>
      </c>
      <c r="AA424" s="7">
        <v>25620569</v>
      </c>
      <c r="AB424" s="7">
        <f t="shared" si="99"/>
        <v>0</v>
      </c>
      <c r="AD424" s="32">
        <f t="shared" si="131"/>
        <v>0</v>
      </c>
      <c r="AE424" s="7" t="s">
        <v>951</v>
      </c>
      <c r="AF424" s="32"/>
      <c r="AH424" s="32" t="str">
        <f>'St of Activites - GA Rev'!A424</f>
        <v>Oregon City SD</v>
      </c>
      <c r="AI424" s="32" t="str">
        <f t="shared" si="102"/>
        <v>Oregon City SD</v>
      </c>
      <c r="AJ424" s="32" t="b">
        <f t="shared" si="103"/>
        <v>1</v>
      </c>
      <c r="AL424" s="32" t="str">
        <f>'St of Activities - GA Exp'!A424</f>
        <v>Oregon City SD</v>
      </c>
      <c r="AN424" s="32" t="b">
        <f t="shared" si="105"/>
        <v>1</v>
      </c>
      <c r="AR424" s="32" t="str">
        <f t="shared" si="106"/>
        <v>Lucas</v>
      </c>
      <c r="AS424" s="32" t="str">
        <f>'St of Activites - GA Rev'!C424</f>
        <v>Lucas</v>
      </c>
      <c r="AT424" s="32" t="b">
        <f t="shared" si="104"/>
        <v>1</v>
      </c>
      <c r="AU424" s="32" t="str">
        <f>'St of Activities - GA Exp'!C424</f>
        <v>Lucas</v>
      </c>
      <c r="AV424" s="56"/>
      <c r="AW424" s="32" t="b">
        <f t="shared" si="107"/>
        <v>1</v>
      </c>
    </row>
    <row r="425" spans="1:49" s="65" customFormat="1" hidden="1">
      <c r="A425" s="62" t="s">
        <v>952</v>
      </c>
      <c r="B425" s="62"/>
      <c r="C425" s="62" t="s">
        <v>71</v>
      </c>
      <c r="D425" s="62"/>
      <c r="E425" s="64">
        <v>44610</v>
      </c>
      <c r="G425" s="65">
        <f t="shared" si="108"/>
        <v>0</v>
      </c>
      <c r="M425" s="65">
        <f t="shared" si="117"/>
        <v>0</v>
      </c>
      <c r="W425" s="65">
        <f t="shared" si="101"/>
        <v>0</v>
      </c>
      <c r="AB425" s="65">
        <f t="shared" si="99"/>
        <v>0</v>
      </c>
      <c r="AD425" s="66">
        <f t="shared" si="131"/>
        <v>0</v>
      </c>
      <c r="AE425" s="65" t="s">
        <v>903</v>
      </c>
      <c r="AF425" s="66"/>
      <c r="AH425" s="66" t="str">
        <f>'St of Activites - GA Rev'!A425</f>
        <v>Orrville City SD (CASH)</v>
      </c>
      <c r="AI425" s="66" t="str">
        <f t="shared" si="102"/>
        <v>Orrville City SD (CASH)</v>
      </c>
      <c r="AJ425" s="66" t="b">
        <f t="shared" si="103"/>
        <v>1</v>
      </c>
      <c r="AL425" s="66" t="str">
        <f>'St of Activities - GA Exp'!A425</f>
        <v>Orrville City SD (CASH)</v>
      </c>
      <c r="AN425" s="66" t="b">
        <f t="shared" si="105"/>
        <v>1</v>
      </c>
      <c r="AR425" s="66" t="str">
        <f t="shared" si="106"/>
        <v>Wayne</v>
      </c>
      <c r="AS425" s="66" t="str">
        <f>'St of Activites - GA Rev'!C425</f>
        <v>Wayne</v>
      </c>
      <c r="AT425" s="66" t="b">
        <f t="shared" si="104"/>
        <v>1</v>
      </c>
      <c r="AU425" s="66" t="str">
        <f>'St of Activities - GA Exp'!C425</f>
        <v>Wayne</v>
      </c>
      <c r="AV425" s="86"/>
      <c r="AW425" s="66" t="b">
        <f t="shared" si="107"/>
        <v>1</v>
      </c>
    </row>
    <row r="426" spans="1:49">
      <c r="A426" s="11" t="s">
        <v>519</v>
      </c>
      <c r="B426" s="11"/>
      <c r="C426" s="11" t="s">
        <v>62</v>
      </c>
      <c r="D426" s="11"/>
      <c r="E426" s="29">
        <v>49916</v>
      </c>
      <c r="G426" s="7">
        <f t="shared" si="108"/>
        <v>10727886</v>
      </c>
      <c r="I426" s="7">
        <v>25408808</v>
      </c>
      <c r="K426" s="7">
        <v>36136694</v>
      </c>
      <c r="M426" s="7">
        <f t="shared" si="117"/>
        <v>4043959</v>
      </c>
      <c r="O426" s="7">
        <v>354445</v>
      </c>
      <c r="Q426" s="7">
        <f>9134478-354445</f>
        <v>8780033</v>
      </c>
      <c r="S426" s="7">
        <v>13178437</v>
      </c>
      <c r="U426" s="7">
        <v>18421659</v>
      </c>
      <c r="W426" s="7">
        <f t="shared" si="101"/>
        <v>2769586</v>
      </c>
      <c r="Y426" s="7">
        <v>1767012</v>
      </c>
      <c r="AA426" s="7">
        <v>22958257</v>
      </c>
      <c r="AB426" s="7">
        <f t="shared" si="99"/>
        <v>0</v>
      </c>
      <c r="AD426" s="32">
        <f t="shared" si="131"/>
        <v>0</v>
      </c>
      <c r="AF426" s="32"/>
      <c r="AH426" s="32" t="str">
        <f>'St of Activites - GA Rev'!A426</f>
        <v>Osnaburg Local SD</v>
      </c>
      <c r="AI426" s="32" t="str">
        <f t="shared" si="102"/>
        <v>Osnaburg Local SD</v>
      </c>
      <c r="AJ426" s="32" t="b">
        <f t="shared" si="103"/>
        <v>1</v>
      </c>
      <c r="AL426" s="32" t="str">
        <f>'St of Activities - GA Exp'!A426</f>
        <v>Osnaburg Local SD</v>
      </c>
      <c r="AN426" s="32" t="b">
        <f t="shared" si="105"/>
        <v>1</v>
      </c>
      <c r="AR426" s="32" t="str">
        <f t="shared" si="106"/>
        <v>Stark</v>
      </c>
      <c r="AS426" s="32" t="str">
        <f>'St of Activites - GA Rev'!C426</f>
        <v>Stark</v>
      </c>
      <c r="AT426" s="32" t="b">
        <f t="shared" si="104"/>
        <v>1</v>
      </c>
      <c r="AU426" s="32" t="str">
        <f>'St of Activities - GA Exp'!C426</f>
        <v>Stark</v>
      </c>
      <c r="AV426" s="56"/>
      <c r="AW426" s="32" t="b">
        <f t="shared" si="107"/>
        <v>1</v>
      </c>
    </row>
    <row r="427" spans="1:49">
      <c r="A427" s="11" t="s">
        <v>576</v>
      </c>
      <c r="B427" s="11"/>
      <c r="C427" s="11" t="s">
        <v>72</v>
      </c>
      <c r="D427" s="11"/>
      <c r="E427" s="29">
        <v>50724</v>
      </c>
      <c r="G427" s="7">
        <f t="shared" si="108"/>
        <v>32768669</v>
      </c>
      <c r="I427" s="7">
        <f>2710206+20937049</f>
        <v>23647255</v>
      </c>
      <c r="K427" s="7">
        <v>56415924</v>
      </c>
      <c r="M427" s="7">
        <f t="shared" si="117"/>
        <v>6435761</v>
      </c>
      <c r="O427" s="7">
        <v>621073</v>
      </c>
      <c r="Q427" s="7">
        <f>21975376-621073</f>
        <v>21354303</v>
      </c>
      <c r="S427" s="7">
        <v>28411137</v>
      </c>
      <c r="U427" s="7">
        <v>4765086</v>
      </c>
      <c r="W427" s="7">
        <f t="shared" si="101"/>
        <v>22809205</v>
      </c>
      <c r="Y427" s="7">
        <v>430496</v>
      </c>
      <c r="AA427" s="7">
        <v>28004787</v>
      </c>
      <c r="AB427" s="7">
        <f t="shared" si="99"/>
        <v>0</v>
      </c>
      <c r="AD427" s="32">
        <f t="shared" si="131"/>
        <v>0</v>
      </c>
      <c r="AF427" s="32"/>
      <c r="AH427" s="32" t="str">
        <f>'St of Activites - GA Rev'!A427</f>
        <v>Otsego Local SD</v>
      </c>
      <c r="AI427" s="32" t="str">
        <f t="shared" si="102"/>
        <v>Otsego Local SD</v>
      </c>
      <c r="AJ427" s="32" t="b">
        <f t="shared" si="103"/>
        <v>1</v>
      </c>
      <c r="AL427" s="32" t="str">
        <f>'St of Activities - GA Exp'!A427</f>
        <v>Otsego Local SD</v>
      </c>
      <c r="AN427" s="32" t="b">
        <f t="shared" si="105"/>
        <v>1</v>
      </c>
      <c r="AR427" s="32" t="str">
        <f t="shared" si="106"/>
        <v>Wood</v>
      </c>
      <c r="AS427" s="32" t="str">
        <f>'St of Activites - GA Rev'!C427</f>
        <v>Wood</v>
      </c>
      <c r="AT427" s="32" t="b">
        <f t="shared" si="104"/>
        <v>1</v>
      </c>
      <c r="AU427" s="32" t="str">
        <f>'St of Activities - GA Exp'!C427</f>
        <v>Wood</v>
      </c>
      <c r="AV427" s="56"/>
      <c r="AW427" s="32" t="b">
        <f t="shared" si="107"/>
        <v>1</v>
      </c>
    </row>
    <row r="428" spans="1:49">
      <c r="A428" s="11" t="s">
        <v>405</v>
      </c>
      <c r="B428" s="11"/>
      <c r="C428" s="11" t="s">
        <v>115</v>
      </c>
      <c r="D428" s="11"/>
      <c r="E428" s="29">
        <v>48215</v>
      </c>
      <c r="G428" s="7">
        <f t="shared" si="108"/>
        <v>15818233</v>
      </c>
      <c r="I428" s="7">
        <v>5961822</v>
      </c>
      <c r="K428" s="7">
        <v>21780055</v>
      </c>
      <c r="M428" s="7">
        <f t="shared" si="117"/>
        <v>11523278</v>
      </c>
      <c r="O428" s="7">
        <v>513818</v>
      </c>
      <c r="Q428" s="7">
        <f>3899855-513818</f>
        <v>3386037</v>
      </c>
      <c r="S428" s="7">
        <v>15423133</v>
      </c>
      <c r="U428" s="7">
        <v>3641822</v>
      </c>
      <c r="W428" s="7">
        <f t="shared" si="101"/>
        <v>556628</v>
      </c>
      <c r="Y428" s="7">
        <v>2158472</v>
      </c>
      <c r="AA428" s="7">
        <v>6356922</v>
      </c>
      <c r="AB428" s="7">
        <f t="shared" si="99"/>
        <v>0</v>
      </c>
      <c r="AD428" s="32">
        <f t="shared" si="131"/>
        <v>0</v>
      </c>
      <c r="AF428" s="32"/>
      <c r="AH428" s="32" t="str">
        <f>'St of Activites - GA Rev'!A428</f>
        <v>Ottawa Hills Local SD</v>
      </c>
      <c r="AI428" s="32" t="str">
        <f t="shared" si="102"/>
        <v>Ottawa Hills Local SD</v>
      </c>
      <c r="AJ428" s="32" t="b">
        <f t="shared" si="103"/>
        <v>1</v>
      </c>
      <c r="AL428" s="32" t="str">
        <f>'St of Activities - GA Exp'!A428</f>
        <v>Ottawa Hills Local SD</v>
      </c>
      <c r="AN428" s="32" t="b">
        <f t="shared" si="105"/>
        <v>1</v>
      </c>
      <c r="AR428" s="32" t="str">
        <f t="shared" si="106"/>
        <v>Lucas</v>
      </c>
      <c r="AS428" s="32" t="str">
        <f>'St of Activites - GA Rev'!C428</f>
        <v>Lucas</v>
      </c>
      <c r="AT428" s="32" t="b">
        <f t="shared" si="104"/>
        <v>1</v>
      </c>
      <c r="AU428" s="32" t="str">
        <f>'St of Activities - GA Exp'!C428</f>
        <v>Lucas</v>
      </c>
      <c r="AV428" s="56"/>
      <c r="AW428" s="32" t="b">
        <f t="shared" si="107"/>
        <v>1</v>
      </c>
    </row>
    <row r="429" spans="1:49" s="65" customFormat="1" hidden="1">
      <c r="A429" s="63" t="s">
        <v>749</v>
      </c>
      <c r="B429" s="62"/>
      <c r="C429" s="62" t="s">
        <v>482</v>
      </c>
      <c r="D429" s="62"/>
      <c r="E429" s="64">
        <v>49379</v>
      </c>
      <c r="G429" s="65">
        <f t="shared" si="108"/>
        <v>0</v>
      </c>
      <c r="M429" s="65">
        <f t="shared" si="117"/>
        <v>0</v>
      </c>
      <c r="W429" s="65">
        <f t="shared" si="101"/>
        <v>0</v>
      </c>
      <c r="AB429" s="65">
        <f t="shared" ref="AB429:AB445" si="132">+K429-S429-AA429</f>
        <v>0</v>
      </c>
      <c r="AD429" s="66">
        <f t="shared" si="131"/>
        <v>0</v>
      </c>
      <c r="AE429" s="65" t="s">
        <v>953</v>
      </c>
      <c r="AF429" s="66"/>
      <c r="AH429" s="66" t="str">
        <f>'St of Activites - GA Rev'!A429</f>
        <v>Ottawa-Glandorf Local SD (CASH)</v>
      </c>
      <c r="AI429" s="66" t="str">
        <f t="shared" si="102"/>
        <v>Ottawa-Glandorf Local SD (CASH)</v>
      </c>
      <c r="AJ429" s="66" t="b">
        <f t="shared" si="103"/>
        <v>1</v>
      </c>
      <c r="AL429" s="66" t="str">
        <f>'St of Activities - GA Exp'!A429</f>
        <v>Ottawa-Glandorf Local SD (CASH)</v>
      </c>
      <c r="AN429" s="66" t="b">
        <f t="shared" si="105"/>
        <v>1</v>
      </c>
      <c r="AR429" s="66" t="str">
        <f t="shared" si="106"/>
        <v>Putnam</v>
      </c>
      <c r="AS429" s="66" t="str">
        <f>'St of Activites - GA Rev'!C429</f>
        <v>Putnam</v>
      </c>
      <c r="AT429" s="66" t="b">
        <f t="shared" si="104"/>
        <v>1</v>
      </c>
      <c r="AU429" s="66" t="str">
        <f>'St of Activities - GA Exp'!C429</f>
        <v>Putnam</v>
      </c>
      <c r="AV429" s="86"/>
      <c r="AW429" s="66" t="b">
        <f t="shared" si="107"/>
        <v>1</v>
      </c>
    </row>
    <row r="430" spans="1:49" s="65" customFormat="1" hidden="1">
      <c r="A430" s="63" t="s">
        <v>955</v>
      </c>
      <c r="B430" s="62"/>
      <c r="C430" s="62" t="s">
        <v>482</v>
      </c>
      <c r="D430" s="62"/>
      <c r="E430" s="64">
        <v>49387</v>
      </c>
      <c r="G430" s="65">
        <f t="shared" si="108"/>
        <v>0</v>
      </c>
      <c r="M430" s="65">
        <f t="shared" si="117"/>
        <v>0</v>
      </c>
      <c r="W430" s="65">
        <f t="shared" si="101"/>
        <v>0</v>
      </c>
      <c r="AB430" s="65">
        <f t="shared" si="132"/>
        <v>0</v>
      </c>
      <c r="AD430" s="66">
        <f t="shared" si="131"/>
        <v>0</v>
      </c>
      <c r="AE430" s="65" t="s">
        <v>954</v>
      </c>
      <c r="AF430" s="66"/>
      <c r="AH430" s="66" t="str">
        <f>'St of Activites - GA Rev'!A430</f>
        <v>Ottoville Local SD (NO REPORT) (Two year Audit)</v>
      </c>
      <c r="AI430" s="66" t="str">
        <f t="shared" si="102"/>
        <v>Ottoville Local SD (NO REPORT) (Two year Audit)</v>
      </c>
      <c r="AJ430" s="66" t="b">
        <f t="shared" si="103"/>
        <v>1</v>
      </c>
      <c r="AL430" s="66" t="str">
        <f>'St of Activities - GA Exp'!A430</f>
        <v>Ottoville Local SD (NO REPORT) (Two year Audit)</v>
      </c>
      <c r="AN430" s="66" t="b">
        <f t="shared" si="105"/>
        <v>1</v>
      </c>
      <c r="AR430" s="66" t="str">
        <f t="shared" si="106"/>
        <v>Putnam</v>
      </c>
      <c r="AS430" s="66" t="str">
        <f>'St of Activites - GA Rev'!C430</f>
        <v>Putnam</v>
      </c>
      <c r="AT430" s="66" t="b">
        <f t="shared" si="104"/>
        <v>1</v>
      </c>
      <c r="AU430" s="66" t="str">
        <f>'St of Activities - GA Exp'!C430</f>
        <v>Putnam</v>
      </c>
      <c r="AV430" s="86"/>
      <c r="AW430" s="66" t="b">
        <f t="shared" si="107"/>
        <v>1</v>
      </c>
    </row>
    <row r="431" spans="1:49" s="65" customFormat="1" hidden="1">
      <c r="A431" s="62" t="s">
        <v>956</v>
      </c>
      <c r="B431" s="62"/>
      <c r="C431" s="62" t="s">
        <v>41</v>
      </c>
      <c r="D431" s="62"/>
      <c r="E431" s="64">
        <v>44628</v>
      </c>
      <c r="G431" s="65">
        <f>+K431-I431</f>
        <v>0</v>
      </c>
      <c r="M431" s="65">
        <f t="shared" si="117"/>
        <v>0</v>
      </c>
      <c r="W431" s="65">
        <f t="shared" si="101"/>
        <v>0</v>
      </c>
      <c r="AB431" s="65">
        <f t="shared" si="132"/>
        <v>0</v>
      </c>
      <c r="AD431" s="66">
        <f t="shared" si="131"/>
        <v>0</v>
      </c>
      <c r="AE431" s="65" t="s">
        <v>903</v>
      </c>
      <c r="AF431" s="66"/>
      <c r="AH431" s="66" t="str">
        <f>'St of Activites - GA Rev'!A431</f>
        <v>Painesville City Local SD (CASH)</v>
      </c>
      <c r="AI431" s="66" t="str">
        <f t="shared" si="102"/>
        <v>Painesville City Local SD (CASH)</v>
      </c>
      <c r="AJ431" s="66" t="b">
        <f t="shared" si="103"/>
        <v>1</v>
      </c>
      <c r="AL431" s="66" t="str">
        <f>'St of Activities - GA Exp'!A431</f>
        <v>Painesville City Local SD (CASH)</v>
      </c>
      <c r="AN431" s="66" t="b">
        <f t="shared" si="105"/>
        <v>1</v>
      </c>
      <c r="AR431" s="66" t="str">
        <f t="shared" si="106"/>
        <v>Lake</v>
      </c>
      <c r="AS431" s="66" t="str">
        <f>'St of Activites - GA Rev'!C431</f>
        <v>Lake</v>
      </c>
      <c r="AT431" s="66" t="b">
        <f t="shared" si="104"/>
        <v>1</v>
      </c>
      <c r="AU431" s="66" t="str">
        <f>'St of Activities - GA Exp'!C431</f>
        <v>Lake</v>
      </c>
      <c r="AV431" s="86"/>
      <c r="AW431" s="66" t="b">
        <f t="shared" si="107"/>
        <v>1</v>
      </c>
    </row>
    <row r="432" spans="1:49" s="65" customFormat="1" hidden="1">
      <c r="A432" s="62" t="s">
        <v>893</v>
      </c>
      <c r="B432" s="62"/>
      <c r="C432" s="62" t="s">
        <v>41</v>
      </c>
      <c r="D432" s="62"/>
      <c r="E432" s="64">
        <v>47894</v>
      </c>
      <c r="G432" s="65">
        <f t="shared" ref="G432:G440" si="133">+K432-I432</f>
        <v>0</v>
      </c>
      <c r="M432" s="65">
        <f t="shared" si="117"/>
        <v>0</v>
      </c>
      <c r="W432" s="65">
        <f t="shared" si="101"/>
        <v>0</v>
      </c>
      <c r="AB432" s="65">
        <f t="shared" si="132"/>
        <v>0</v>
      </c>
      <c r="AD432" s="66">
        <f t="shared" si="131"/>
        <v>0</v>
      </c>
      <c r="AE432" s="65" t="s">
        <v>790</v>
      </c>
      <c r="AF432" s="66"/>
      <c r="AH432" s="66" t="str">
        <f>'St of Activites - GA Rev'!A432</f>
        <v>Painesville Township Local SD - now RIVERSIDE LOCAL SCHOOL DISTRICT since 2007</v>
      </c>
      <c r="AI432" s="66" t="str">
        <f t="shared" si="102"/>
        <v>Painesville Township Local SD - now RIVERSIDE LOCAL SCHOOL DISTRICT since 2007</v>
      </c>
      <c r="AJ432" s="66" t="b">
        <f t="shared" si="103"/>
        <v>1</v>
      </c>
      <c r="AL432" s="66" t="str">
        <f>'St of Activities - GA Exp'!A432</f>
        <v>Painesville Township Local SD - now RIVERSIDE LOCAL SCHOOL DISTRICT since 2007</v>
      </c>
      <c r="AN432" s="66" t="b">
        <f t="shared" si="105"/>
        <v>1</v>
      </c>
      <c r="AR432" s="66" t="str">
        <f t="shared" si="106"/>
        <v>Lake</v>
      </c>
      <c r="AS432" s="66" t="str">
        <f>'St of Activites - GA Rev'!C432</f>
        <v>Lake</v>
      </c>
      <c r="AT432" s="66" t="b">
        <f t="shared" si="104"/>
        <v>1</v>
      </c>
      <c r="AU432" s="66" t="str">
        <f>'St of Activities - GA Exp'!C432</f>
        <v>Lake</v>
      </c>
      <c r="AV432" s="86"/>
      <c r="AW432" s="66" t="b">
        <f t="shared" si="107"/>
        <v>1</v>
      </c>
    </row>
    <row r="433" spans="1:49">
      <c r="A433" s="11" t="s">
        <v>490</v>
      </c>
      <c r="B433" s="11"/>
      <c r="C433" s="11" t="s">
        <v>58</v>
      </c>
      <c r="D433" s="11"/>
      <c r="E433" s="29">
        <v>49510</v>
      </c>
      <c r="G433" s="7">
        <f t="shared" si="133"/>
        <v>6474830</v>
      </c>
      <c r="I433" s="7">
        <f>35188+17421324</f>
        <v>17456512</v>
      </c>
      <c r="K433" s="7">
        <v>23931342</v>
      </c>
      <c r="M433" s="7">
        <f t="shared" si="117"/>
        <v>2519591</v>
      </c>
      <c r="O433" s="7">
        <v>182299</v>
      </c>
      <c r="Q433" s="7">
        <f>1858923-182299</f>
        <v>1676624</v>
      </c>
      <c r="S433" s="7">
        <v>4378514</v>
      </c>
      <c r="U433" s="7">
        <v>16090019</v>
      </c>
      <c r="W433" s="7">
        <f t="shared" si="101"/>
        <v>1359970</v>
      </c>
      <c r="Y433" s="7">
        <v>2102839</v>
      </c>
      <c r="AA433" s="7">
        <v>19552828</v>
      </c>
      <c r="AB433" s="7">
        <f t="shared" si="132"/>
        <v>0</v>
      </c>
      <c r="AD433" s="32">
        <f t="shared" si="131"/>
        <v>0</v>
      </c>
      <c r="AF433" s="32"/>
      <c r="AH433" s="32" t="str">
        <f>'St of Activites - GA Rev'!A433</f>
        <v>Paint Valley Local SD</v>
      </c>
      <c r="AI433" s="32" t="str">
        <f t="shared" si="102"/>
        <v>Paint Valley Local SD</v>
      </c>
      <c r="AJ433" s="32" t="b">
        <f t="shared" si="103"/>
        <v>1</v>
      </c>
      <c r="AL433" s="32" t="str">
        <f>'St of Activities - GA Exp'!A433</f>
        <v>Paint Valley Local SD</v>
      </c>
      <c r="AN433" s="32" t="b">
        <f t="shared" si="105"/>
        <v>1</v>
      </c>
      <c r="AR433" s="32" t="str">
        <f t="shared" si="106"/>
        <v>Ross</v>
      </c>
      <c r="AS433" s="32" t="str">
        <f>'St of Activites - GA Rev'!C433</f>
        <v>Ross</v>
      </c>
      <c r="AT433" s="32" t="b">
        <f t="shared" si="104"/>
        <v>1</v>
      </c>
      <c r="AU433" s="32" t="str">
        <f>'St of Activities - GA Exp'!C433</f>
        <v>Ross</v>
      </c>
      <c r="AV433" s="56"/>
      <c r="AW433" s="32" t="b">
        <f t="shared" si="107"/>
        <v>1</v>
      </c>
    </row>
    <row r="434" spans="1:49" s="65" customFormat="1" hidden="1">
      <c r="A434" s="62" t="s">
        <v>722</v>
      </c>
      <c r="B434" s="62"/>
      <c r="C434" s="62" t="s">
        <v>482</v>
      </c>
      <c r="D434" s="62"/>
      <c r="E434" s="64">
        <v>49395</v>
      </c>
      <c r="F434" s="67"/>
      <c r="G434" s="65">
        <f t="shared" si="133"/>
        <v>0</v>
      </c>
      <c r="M434" s="65">
        <f t="shared" si="117"/>
        <v>0</v>
      </c>
      <c r="W434" s="65">
        <f t="shared" si="101"/>
        <v>0</v>
      </c>
      <c r="AB434" s="65">
        <f t="shared" si="132"/>
        <v>0</v>
      </c>
      <c r="AD434" s="66">
        <f t="shared" si="131"/>
        <v>0</v>
      </c>
      <c r="AE434" s="65" t="s">
        <v>958</v>
      </c>
      <c r="AF434" s="66"/>
      <c r="AH434" s="66" t="str">
        <f>'St of Activites - GA Rev'!A434</f>
        <v>Pandora-Gilboa Local SD (CASH)  (Two year Audit)</v>
      </c>
      <c r="AI434" s="66" t="str">
        <f t="shared" si="102"/>
        <v>Pandora-Gilboa Local SD (CASH)  (Two year Audit)</v>
      </c>
      <c r="AJ434" s="66" t="b">
        <f t="shared" si="103"/>
        <v>1</v>
      </c>
      <c r="AL434" s="66" t="str">
        <f>'St of Activities - GA Exp'!A434</f>
        <v>Pandora-Gilboa Local SD (CASH)  (Two year Audit)</v>
      </c>
      <c r="AN434" s="66" t="b">
        <f t="shared" si="105"/>
        <v>1</v>
      </c>
      <c r="AR434" s="66" t="str">
        <f t="shared" si="106"/>
        <v>Putnam</v>
      </c>
      <c r="AS434" s="66" t="str">
        <f>'St of Activites - GA Rev'!C434</f>
        <v>Putnam</v>
      </c>
      <c r="AT434" s="66" t="b">
        <f t="shared" si="104"/>
        <v>1</v>
      </c>
      <c r="AU434" s="66" t="str">
        <f>'St of Activities - GA Exp'!C434</f>
        <v>Putnam</v>
      </c>
      <c r="AV434" s="86"/>
      <c r="AW434" s="66" t="b">
        <f t="shared" si="107"/>
        <v>1</v>
      </c>
    </row>
    <row r="435" spans="1:49" s="65" customFormat="1" hidden="1">
      <c r="A435" s="62" t="s">
        <v>723</v>
      </c>
      <c r="B435" s="62"/>
      <c r="C435" s="62" t="s">
        <v>435</v>
      </c>
      <c r="D435" s="62"/>
      <c r="E435" s="64">
        <v>48579</v>
      </c>
      <c r="G435" s="65">
        <f t="shared" si="133"/>
        <v>0</v>
      </c>
      <c r="M435" s="65">
        <f t="shared" si="117"/>
        <v>0</v>
      </c>
      <c r="W435" s="65">
        <f t="shared" si="101"/>
        <v>0</v>
      </c>
      <c r="AB435" s="65">
        <f t="shared" si="132"/>
        <v>0</v>
      </c>
      <c r="AD435" s="66">
        <f t="shared" si="131"/>
        <v>0</v>
      </c>
      <c r="AE435" s="65" t="s">
        <v>839</v>
      </c>
      <c r="AF435" s="66"/>
      <c r="AH435" s="66" t="str">
        <f>'St of Activites - GA Rev'!A435</f>
        <v>Parkway Local SD (CASH) (Two year Audit)</v>
      </c>
      <c r="AI435" s="66" t="str">
        <f t="shared" si="102"/>
        <v>Parkway Local SD (CASH) (Two year Audit)</v>
      </c>
      <c r="AJ435" s="66" t="b">
        <f t="shared" si="103"/>
        <v>1</v>
      </c>
      <c r="AL435" s="66" t="str">
        <f>'St of Activities - GA Exp'!A435</f>
        <v>Parkway Local SD (CASH) (Two year Audit)</v>
      </c>
      <c r="AN435" s="66" t="b">
        <f t="shared" si="105"/>
        <v>1</v>
      </c>
      <c r="AR435" s="66" t="str">
        <f t="shared" si="106"/>
        <v>Mercer</v>
      </c>
      <c r="AS435" s="66" t="str">
        <f>'St of Activites - GA Rev'!C435</f>
        <v>Mercer</v>
      </c>
      <c r="AT435" s="66" t="b">
        <f t="shared" si="104"/>
        <v>1</v>
      </c>
      <c r="AU435" s="66" t="str">
        <f>'St of Activities - GA Exp'!C435</f>
        <v>Mercer</v>
      </c>
      <c r="AV435" s="86"/>
      <c r="AW435" s="66" t="b">
        <f t="shared" si="107"/>
        <v>1</v>
      </c>
    </row>
    <row r="436" spans="1:49">
      <c r="A436" s="11" t="s">
        <v>281</v>
      </c>
      <c r="B436" s="11"/>
      <c r="C436" s="11" t="s">
        <v>20</v>
      </c>
      <c r="D436" s="11"/>
      <c r="E436" s="29">
        <v>44636</v>
      </c>
      <c r="G436" s="7">
        <f t="shared" si="133"/>
        <v>121616555</v>
      </c>
      <c r="I436" s="7">
        <f>5096730+54173073</f>
        <v>59269803</v>
      </c>
      <c r="K436" s="7">
        <v>180886358</v>
      </c>
      <c r="M436" s="7">
        <f t="shared" si="117"/>
        <v>91486287</v>
      </c>
      <c r="O436" s="7">
        <v>6679922</v>
      </c>
      <c r="Q436" s="7">
        <f>47963721-6679922</f>
        <v>41283799</v>
      </c>
      <c r="S436" s="7">
        <v>139450008</v>
      </c>
      <c r="U436" s="7">
        <v>21561685</v>
      </c>
      <c r="W436" s="7">
        <f t="shared" si="101"/>
        <v>5543360</v>
      </c>
      <c r="Y436" s="7">
        <v>14331305</v>
      </c>
      <c r="AA436" s="7">
        <v>41436350</v>
      </c>
      <c r="AB436" s="7">
        <f t="shared" si="132"/>
        <v>0</v>
      </c>
      <c r="AD436" s="32">
        <f t="shared" si="131"/>
        <v>0</v>
      </c>
      <c r="AE436" s="7" t="s">
        <v>951</v>
      </c>
      <c r="AF436" s="32"/>
      <c r="AH436" s="32" t="str">
        <f>'St of Activites - GA Rev'!A436</f>
        <v>Parma City SD</v>
      </c>
      <c r="AI436" s="32" t="str">
        <f t="shared" si="102"/>
        <v>Parma City SD</v>
      </c>
      <c r="AJ436" s="32" t="b">
        <f t="shared" si="103"/>
        <v>1</v>
      </c>
      <c r="AL436" s="32" t="str">
        <f>'St of Activities - GA Exp'!A436</f>
        <v>Parma City SD</v>
      </c>
      <c r="AN436" s="32" t="b">
        <f t="shared" si="105"/>
        <v>1</v>
      </c>
      <c r="AR436" s="32" t="str">
        <f t="shared" si="106"/>
        <v>Cuyahoga</v>
      </c>
      <c r="AS436" s="32" t="str">
        <f>'St of Activites - GA Rev'!C436</f>
        <v>Cuyahoga</v>
      </c>
      <c r="AT436" s="32" t="b">
        <f t="shared" si="104"/>
        <v>1</v>
      </c>
      <c r="AU436" s="32" t="str">
        <f>'St of Activities - GA Exp'!C436</f>
        <v>Cuyahoga</v>
      </c>
      <c r="AV436" s="56"/>
      <c r="AW436" s="32" t="b">
        <f t="shared" si="107"/>
        <v>1</v>
      </c>
    </row>
    <row r="437" spans="1:49" s="32" customFormat="1">
      <c r="A437" s="31" t="s">
        <v>357</v>
      </c>
      <c r="B437" s="31"/>
      <c r="C437" s="31" t="s">
        <v>34</v>
      </c>
      <c r="D437" s="31"/>
      <c r="E437" s="29">
        <v>47597</v>
      </c>
      <c r="G437" s="7">
        <f t="shared" si="133"/>
        <v>8170861</v>
      </c>
      <c r="H437" s="7"/>
      <c r="I437" s="7">
        <f>592870+14258170</f>
        <v>14851040</v>
      </c>
      <c r="J437" s="7"/>
      <c r="K437" s="7">
        <v>23021901</v>
      </c>
      <c r="L437" s="7"/>
      <c r="M437" s="7">
        <f t="shared" si="117"/>
        <v>5713775</v>
      </c>
      <c r="N437" s="7"/>
      <c r="O437" s="7">
        <v>141333</v>
      </c>
      <c r="P437" s="7"/>
      <c r="Q437" s="7">
        <f>6074409-141333</f>
        <v>5933076</v>
      </c>
      <c r="R437" s="7"/>
      <c r="S437" s="7">
        <v>11788184</v>
      </c>
      <c r="T437" s="7"/>
      <c r="U437" s="7">
        <v>9597588</v>
      </c>
      <c r="V437" s="7"/>
      <c r="W437" s="7">
        <f t="shared" si="101"/>
        <v>1421579</v>
      </c>
      <c r="X437" s="7"/>
      <c r="Y437" s="7">
        <v>214550</v>
      </c>
      <c r="Z437" s="7"/>
      <c r="AA437" s="7">
        <v>11233717</v>
      </c>
      <c r="AB437" s="32">
        <f t="shared" si="132"/>
        <v>0</v>
      </c>
      <c r="AD437" s="32">
        <f t="shared" si="131"/>
        <v>0</v>
      </c>
      <c r="AE437" s="7" t="s">
        <v>957</v>
      </c>
      <c r="AH437" s="32" t="str">
        <f>'St of Activites - GA Rev'!A437</f>
        <v>Patrick Henry Local SD</v>
      </c>
      <c r="AI437" s="32" t="str">
        <f t="shared" si="102"/>
        <v>Patrick Henry Local SD</v>
      </c>
      <c r="AJ437" s="32" t="b">
        <f t="shared" si="103"/>
        <v>1</v>
      </c>
      <c r="AL437" s="32" t="str">
        <f>'St of Activities - GA Exp'!A437</f>
        <v>Patrick Henry Local SD</v>
      </c>
      <c r="AN437" s="32" t="b">
        <f t="shared" si="105"/>
        <v>1</v>
      </c>
      <c r="AR437" s="32" t="str">
        <f t="shared" si="106"/>
        <v>Henry</v>
      </c>
      <c r="AS437" s="32" t="str">
        <f>'St of Activites - GA Rev'!C437</f>
        <v>Henry</v>
      </c>
      <c r="AT437" s="32" t="b">
        <f t="shared" si="104"/>
        <v>1</v>
      </c>
      <c r="AU437" s="32" t="str">
        <f>'St of Activities - GA Exp'!C437</f>
        <v>Henry</v>
      </c>
      <c r="AW437" s="32" t="b">
        <f t="shared" si="107"/>
        <v>1</v>
      </c>
    </row>
    <row r="438" spans="1:49" s="65" customFormat="1" hidden="1">
      <c r="A438" s="62" t="s">
        <v>884</v>
      </c>
      <c r="B438" s="62"/>
      <c r="C438" s="62" t="s">
        <v>465</v>
      </c>
      <c r="D438" s="62"/>
      <c r="E438" s="64">
        <v>45575</v>
      </c>
      <c r="G438" s="65">
        <f t="shared" si="133"/>
        <v>0</v>
      </c>
      <c r="M438" s="65">
        <f t="shared" si="117"/>
        <v>0</v>
      </c>
      <c r="W438" s="65">
        <f t="shared" si="101"/>
        <v>0</v>
      </c>
      <c r="AB438" s="65">
        <f t="shared" si="132"/>
        <v>0</v>
      </c>
      <c r="AD438" s="66">
        <f t="shared" si="131"/>
        <v>0</v>
      </c>
      <c r="AE438" s="65" t="s">
        <v>839</v>
      </c>
      <c r="AF438" s="66"/>
      <c r="AH438" s="66" t="str">
        <f>'St of Activites - GA Rev'!A438</f>
        <v>Paulding Exempted Village SD (CASH)</v>
      </c>
      <c r="AI438" s="66" t="str">
        <f t="shared" si="102"/>
        <v>Paulding Exempted Village SD (CASH)</v>
      </c>
      <c r="AJ438" s="66" t="b">
        <f t="shared" si="103"/>
        <v>1</v>
      </c>
      <c r="AL438" s="66" t="str">
        <f>'St of Activities - GA Exp'!A438</f>
        <v>Paulding Exempted Village SD (CASH)</v>
      </c>
      <c r="AN438" s="66" t="b">
        <f t="shared" si="105"/>
        <v>1</v>
      </c>
      <c r="AR438" s="66" t="str">
        <f t="shared" si="106"/>
        <v>Paulding</v>
      </c>
      <c r="AS438" s="66" t="str">
        <f>'St of Activites - GA Rev'!C438</f>
        <v>Paulding</v>
      </c>
      <c r="AT438" s="66" t="b">
        <f t="shared" si="104"/>
        <v>1</v>
      </c>
      <c r="AU438" s="66" t="str">
        <f>'St of Activities - GA Exp'!C438</f>
        <v>Paulding</v>
      </c>
      <c r="AV438" s="86"/>
      <c r="AW438" s="66" t="b">
        <f t="shared" si="107"/>
        <v>1</v>
      </c>
    </row>
    <row r="439" spans="1:49">
      <c r="A439" s="11" t="s">
        <v>295</v>
      </c>
      <c r="B439" s="11"/>
      <c r="C439" s="11" t="s">
        <v>24</v>
      </c>
      <c r="D439" s="11"/>
      <c r="E439" s="29">
        <v>46813</v>
      </c>
      <c r="G439" s="7">
        <f t="shared" si="133"/>
        <v>22642197</v>
      </c>
      <c r="I439" s="7">
        <v>8059935</v>
      </c>
      <c r="K439" s="7">
        <v>30702132</v>
      </c>
      <c r="M439" s="7">
        <f t="shared" si="117"/>
        <v>13421269</v>
      </c>
      <c r="O439" s="7">
        <v>1003894</v>
      </c>
      <c r="Q439" s="7">
        <f>3702631-1003894</f>
        <v>2698737</v>
      </c>
      <c r="S439" s="7">
        <v>17123900</v>
      </c>
      <c r="U439" s="7">
        <v>6445079</v>
      </c>
      <c r="W439" s="7">
        <f t="shared" si="101"/>
        <v>1381585</v>
      </c>
      <c r="Y439" s="7">
        <v>5751568</v>
      </c>
      <c r="AA439" s="7">
        <v>13578232</v>
      </c>
      <c r="AB439" s="7">
        <f t="shared" si="132"/>
        <v>0</v>
      </c>
      <c r="AD439" s="32">
        <f t="shared" si="131"/>
        <v>0</v>
      </c>
      <c r="AF439" s="32"/>
      <c r="AH439" s="32" t="str">
        <f>'St of Activites - GA Rev'!A439</f>
        <v>Perkins Local SD</v>
      </c>
      <c r="AI439" s="32" t="str">
        <f t="shared" si="102"/>
        <v>Perkins Local SD</v>
      </c>
      <c r="AJ439" s="32" t="b">
        <f t="shared" si="103"/>
        <v>1</v>
      </c>
      <c r="AL439" s="32" t="str">
        <f>'St of Activities - GA Exp'!A439</f>
        <v>Perkins Local SD</v>
      </c>
      <c r="AN439" s="32" t="b">
        <f t="shared" si="105"/>
        <v>1</v>
      </c>
      <c r="AR439" s="32" t="str">
        <f t="shared" si="106"/>
        <v>Erie</v>
      </c>
      <c r="AS439" s="32" t="str">
        <f>'St of Activites - GA Rev'!C439</f>
        <v>Erie</v>
      </c>
      <c r="AT439" s="32" t="b">
        <f t="shared" si="104"/>
        <v>1</v>
      </c>
      <c r="AU439" s="32" t="str">
        <f>'St of Activities - GA Exp'!C439</f>
        <v>Erie</v>
      </c>
      <c r="AV439" s="56"/>
      <c r="AW439" s="32" t="b">
        <f t="shared" si="107"/>
        <v>1</v>
      </c>
    </row>
    <row r="440" spans="1:49" s="65" customFormat="1" hidden="1">
      <c r="A440" s="62" t="s">
        <v>724</v>
      </c>
      <c r="B440" s="62"/>
      <c r="C440" s="62" t="s">
        <v>10</v>
      </c>
      <c r="D440" s="62"/>
      <c r="E440" s="64"/>
      <c r="G440" s="65">
        <f t="shared" si="133"/>
        <v>0</v>
      </c>
      <c r="M440" s="65">
        <f t="shared" si="117"/>
        <v>0</v>
      </c>
      <c r="W440" s="65">
        <f t="shared" ref="W440:W503" si="134">AA440-Y440-U440</f>
        <v>0</v>
      </c>
      <c r="AB440" s="65">
        <f t="shared" si="132"/>
        <v>0</v>
      </c>
      <c r="AD440" s="66">
        <f t="shared" si="131"/>
        <v>0</v>
      </c>
      <c r="AE440" s="65" t="s">
        <v>959</v>
      </c>
      <c r="AF440" s="66"/>
      <c r="AH440" s="66" t="str">
        <f>'St of Activites - GA Rev'!A440</f>
        <v>Perry Local SD (CASH)</v>
      </c>
      <c r="AI440" s="66" t="str">
        <f t="shared" si="102"/>
        <v>Perry Local SD (CASH)</v>
      </c>
      <c r="AJ440" s="66" t="b">
        <f t="shared" si="103"/>
        <v>1</v>
      </c>
      <c r="AL440" s="66" t="str">
        <f>'St of Activities - GA Exp'!A440</f>
        <v>Perry Local SD (CASH)</v>
      </c>
      <c r="AN440" s="66" t="b">
        <f t="shared" si="105"/>
        <v>1</v>
      </c>
      <c r="AR440" s="66" t="str">
        <f t="shared" si="106"/>
        <v>Allen</v>
      </c>
      <c r="AS440" s="66" t="str">
        <f>'St of Activites - GA Rev'!C440</f>
        <v>Allen</v>
      </c>
      <c r="AT440" s="66" t="b">
        <f t="shared" si="104"/>
        <v>1</v>
      </c>
      <c r="AU440" s="66" t="str">
        <f>'St of Activities - GA Exp'!C440</f>
        <v>Allen</v>
      </c>
      <c r="AV440" s="86"/>
      <c r="AW440" s="66" t="b">
        <f t="shared" si="107"/>
        <v>1</v>
      </c>
    </row>
    <row r="441" spans="1:49">
      <c r="A441" s="11" t="s">
        <v>203</v>
      </c>
      <c r="B441" s="11"/>
      <c r="C441" s="11" t="s">
        <v>41</v>
      </c>
      <c r="D441" s="11"/>
      <c r="E441" s="29">
        <v>47902</v>
      </c>
      <c r="G441" s="7">
        <f>+K441-I441</f>
        <v>64263578</v>
      </c>
      <c r="I441" s="7">
        <f>1768403+43798669</f>
        <v>45567072</v>
      </c>
      <c r="K441" s="7">
        <v>109830650</v>
      </c>
      <c r="M441" s="7">
        <f t="shared" si="117"/>
        <v>27857669</v>
      </c>
      <c r="O441" s="7">
        <v>693195</v>
      </c>
      <c r="Q441" s="7">
        <f>3789912-693195</f>
        <v>3096717</v>
      </c>
      <c r="S441" s="7">
        <v>31647581</v>
      </c>
      <c r="U441" s="7">
        <v>44047353</v>
      </c>
      <c r="W441" s="7">
        <f t="shared" si="134"/>
        <v>14390056</v>
      </c>
      <c r="Y441" s="7">
        <v>19745660</v>
      </c>
      <c r="AA441" s="7">
        <v>78183069</v>
      </c>
      <c r="AB441" s="7">
        <f t="shared" si="132"/>
        <v>0</v>
      </c>
      <c r="AD441" s="32">
        <f t="shared" si="131"/>
        <v>0</v>
      </c>
      <c r="AF441" s="32"/>
      <c r="AH441" s="32" t="str">
        <f>'St of Activites - GA Rev'!A441</f>
        <v>Perry Local SD</v>
      </c>
      <c r="AI441" s="32" t="str">
        <f t="shared" si="102"/>
        <v>Perry Local SD</v>
      </c>
      <c r="AJ441" s="32" t="b">
        <f t="shared" si="103"/>
        <v>1</v>
      </c>
      <c r="AL441" s="32" t="str">
        <f>'St of Activities - GA Exp'!A441</f>
        <v>Perry Local SD</v>
      </c>
      <c r="AN441" s="32" t="b">
        <f t="shared" si="105"/>
        <v>1</v>
      </c>
      <c r="AR441" s="32" t="str">
        <f t="shared" si="106"/>
        <v>Lake</v>
      </c>
      <c r="AS441" s="32" t="str">
        <f>'St of Activites - GA Rev'!C441</f>
        <v>Lake</v>
      </c>
      <c r="AT441" s="32" t="b">
        <f t="shared" si="104"/>
        <v>1</v>
      </c>
      <c r="AU441" s="32" t="str">
        <f>'St of Activities - GA Exp'!C441</f>
        <v>Lake</v>
      </c>
      <c r="AV441" s="56"/>
      <c r="AW441" s="32" t="b">
        <f t="shared" si="107"/>
        <v>1</v>
      </c>
    </row>
    <row r="442" spans="1:49">
      <c r="A442" s="11" t="s">
        <v>203</v>
      </c>
      <c r="B442" s="11"/>
      <c r="C442" s="11" t="s">
        <v>62</v>
      </c>
      <c r="D442" s="11"/>
      <c r="E442" s="29">
        <v>49924</v>
      </c>
      <c r="G442" s="7">
        <f>+K442-I442</f>
        <v>51310329</v>
      </c>
      <c r="I442" s="7">
        <f>1366877+5847129+20347213</f>
        <v>27561219</v>
      </c>
      <c r="K442" s="7">
        <v>78871548</v>
      </c>
      <c r="M442" s="7">
        <f t="shared" si="117"/>
        <v>24530325</v>
      </c>
      <c r="O442" s="7">
        <v>465262</v>
      </c>
      <c r="Q442" s="7">
        <f>9457751-465262</f>
        <v>8992489</v>
      </c>
      <c r="S442" s="7">
        <v>33988076</v>
      </c>
      <c r="U442" s="7">
        <v>22035097</v>
      </c>
      <c r="W442" s="7">
        <f t="shared" si="134"/>
        <v>4140224</v>
      </c>
      <c r="Y442" s="7">
        <v>18708151</v>
      </c>
      <c r="AA442" s="7">
        <v>44883472</v>
      </c>
      <c r="AB442" s="7">
        <f t="shared" si="132"/>
        <v>0</v>
      </c>
      <c r="AD442" s="32">
        <f t="shared" si="131"/>
        <v>0</v>
      </c>
      <c r="AE442" s="7" t="s">
        <v>951</v>
      </c>
      <c r="AF442" s="32"/>
      <c r="AH442" s="32" t="str">
        <f>'St of Activites - GA Rev'!A442</f>
        <v>Perry Local SD</v>
      </c>
      <c r="AI442" s="32" t="str">
        <f t="shared" si="102"/>
        <v>Perry Local SD</v>
      </c>
      <c r="AJ442" s="32" t="b">
        <f t="shared" si="103"/>
        <v>1</v>
      </c>
      <c r="AL442" s="32" t="str">
        <f>'St of Activities - GA Exp'!A442</f>
        <v>Perry Local SD</v>
      </c>
      <c r="AN442" s="32" t="b">
        <f t="shared" si="105"/>
        <v>1</v>
      </c>
      <c r="AR442" s="32" t="str">
        <f t="shared" si="106"/>
        <v>Stark</v>
      </c>
      <c r="AS442" s="32" t="str">
        <f>'St of Activites - GA Rev'!C442</f>
        <v>Stark</v>
      </c>
      <c r="AT442" s="32" t="b">
        <f t="shared" si="104"/>
        <v>1</v>
      </c>
      <c r="AU442" s="32" t="str">
        <f>'St of Activities - GA Exp'!C442</f>
        <v>Stark</v>
      </c>
      <c r="AV442" s="56"/>
      <c r="AW442" s="32" t="b">
        <f t="shared" si="107"/>
        <v>1</v>
      </c>
    </row>
    <row r="443" spans="1:49">
      <c r="A443" s="11" t="s">
        <v>885</v>
      </c>
      <c r="B443" s="11"/>
      <c r="C443" s="11" t="s">
        <v>72</v>
      </c>
      <c r="D443" s="11"/>
      <c r="E443" s="29">
        <v>45583</v>
      </c>
      <c r="F443" s="10"/>
      <c r="G443" s="7">
        <f>+K443-I443</f>
        <v>35360233</v>
      </c>
      <c r="I443" s="7">
        <v>47961169</v>
      </c>
      <c r="K443" s="7">
        <v>83321402</v>
      </c>
      <c r="M443" s="7">
        <f t="shared" si="117"/>
        <v>25231726</v>
      </c>
      <c r="O443" s="7">
        <v>2762301</v>
      </c>
      <c r="Q443" s="7">
        <f>34654311-2762301</f>
        <v>31892010</v>
      </c>
      <c r="S443" s="7">
        <v>59886037</v>
      </c>
      <c r="U443" s="7">
        <v>18295923</v>
      </c>
      <c r="W443" s="7">
        <f t="shared" si="134"/>
        <v>5103649</v>
      </c>
      <c r="Y443" s="7">
        <v>35793</v>
      </c>
      <c r="AA443" s="7">
        <v>23435365</v>
      </c>
      <c r="AB443" s="7">
        <f t="shared" si="132"/>
        <v>0</v>
      </c>
      <c r="AD443" s="32">
        <f t="shared" si="131"/>
        <v>0</v>
      </c>
      <c r="AF443" s="32"/>
      <c r="AH443" s="32" t="str">
        <f>'St of Activites - GA Rev'!A443</f>
        <v>Perrysburg Exempted Village SD</v>
      </c>
      <c r="AI443" s="32" t="str">
        <f t="shared" si="102"/>
        <v>Perrysburg Exempted Village SD</v>
      </c>
      <c r="AJ443" s="32" t="b">
        <f t="shared" si="103"/>
        <v>1</v>
      </c>
      <c r="AL443" s="32" t="str">
        <f>'St of Activities - GA Exp'!A443</f>
        <v>Perrysburg Exempted Village SD</v>
      </c>
      <c r="AN443" s="32" t="b">
        <f t="shared" si="105"/>
        <v>1</v>
      </c>
      <c r="AR443" s="32" t="str">
        <f t="shared" si="106"/>
        <v>Wood</v>
      </c>
      <c r="AS443" s="32" t="str">
        <f>'St of Activites - GA Rev'!C443</f>
        <v>Wood</v>
      </c>
      <c r="AT443" s="32" t="b">
        <f t="shared" si="104"/>
        <v>1</v>
      </c>
      <c r="AU443" s="32" t="str">
        <f>'St of Activities - GA Exp'!C443</f>
        <v>Wood</v>
      </c>
      <c r="AV443" s="56"/>
      <c r="AW443" s="32" t="b">
        <f t="shared" si="107"/>
        <v>1</v>
      </c>
    </row>
    <row r="444" spans="1:49" s="77" customFormat="1" hidden="1">
      <c r="A444" s="75" t="s">
        <v>894</v>
      </c>
      <c r="B444" s="75"/>
      <c r="C444" s="75" t="s">
        <v>28</v>
      </c>
      <c r="D444" s="75"/>
      <c r="E444" s="76">
        <v>47076</v>
      </c>
      <c r="G444" s="77">
        <f>+K444-I444</f>
        <v>0</v>
      </c>
      <c r="M444" s="77">
        <f t="shared" si="117"/>
        <v>0</v>
      </c>
      <c r="W444" s="77">
        <f t="shared" si="134"/>
        <v>0</v>
      </c>
      <c r="AB444" s="77">
        <f t="shared" si="132"/>
        <v>0</v>
      </c>
      <c r="AD444" s="78">
        <f t="shared" si="131"/>
        <v>0</v>
      </c>
      <c r="AE444" s="77" t="s">
        <v>966</v>
      </c>
      <c r="AF444" s="78"/>
      <c r="AH444" s="78" t="str">
        <f>'St of Activites - GA Rev'!A444</f>
        <v>Pettisville Local SD</v>
      </c>
      <c r="AI444" s="78" t="str">
        <f t="shared" si="102"/>
        <v>Pettisville Local SD</v>
      </c>
      <c r="AJ444" s="78" t="b">
        <f t="shared" si="103"/>
        <v>1</v>
      </c>
      <c r="AL444" s="78" t="str">
        <f>'St of Activities - GA Exp'!A444</f>
        <v>Pettisville Local SD</v>
      </c>
      <c r="AN444" s="78" t="b">
        <f t="shared" si="105"/>
        <v>1</v>
      </c>
      <c r="AR444" s="78" t="str">
        <f t="shared" si="106"/>
        <v>Fulton</v>
      </c>
      <c r="AS444" s="78" t="str">
        <f>'St of Activites - GA Rev'!C444</f>
        <v>Fulton</v>
      </c>
      <c r="AT444" s="78" t="b">
        <f t="shared" si="104"/>
        <v>1</v>
      </c>
      <c r="AU444" s="78" t="str">
        <f>'St of Activities - GA Exp'!C444</f>
        <v>Fulton</v>
      </c>
      <c r="AV444" s="89"/>
      <c r="AW444" s="78" t="b">
        <f t="shared" si="107"/>
        <v>1</v>
      </c>
    </row>
    <row r="445" spans="1:49">
      <c r="A445" s="11" t="s">
        <v>302</v>
      </c>
      <c r="B445" s="11"/>
      <c r="C445" s="11" t="s">
        <v>25</v>
      </c>
      <c r="D445" s="11"/>
      <c r="E445" s="29">
        <v>46896</v>
      </c>
      <c r="G445" s="7">
        <f>+K445-I445</f>
        <v>122751684</v>
      </c>
      <c r="I445" s="7">
        <v>163390041</v>
      </c>
      <c r="K445" s="7">
        <v>286141725</v>
      </c>
      <c r="M445" s="7">
        <f t="shared" si="117"/>
        <v>53273022</v>
      </c>
      <c r="O445" s="7">
        <v>10308528</v>
      </c>
      <c r="Q445" s="7">
        <f>165309783-10308528</f>
        <v>155001255</v>
      </c>
      <c r="S445" s="7">
        <v>218582805</v>
      </c>
      <c r="U445" s="7">
        <v>26012261</v>
      </c>
      <c r="W445" s="7">
        <f t="shared" si="134"/>
        <v>60539777</v>
      </c>
      <c r="Y445" s="7">
        <v>-18993118</v>
      </c>
      <c r="AA445" s="7">
        <v>67558920</v>
      </c>
      <c r="AB445" s="7">
        <f t="shared" si="132"/>
        <v>0</v>
      </c>
      <c r="AD445" s="32">
        <f t="shared" si="131"/>
        <v>0</v>
      </c>
      <c r="AF445" s="32"/>
      <c r="AH445" s="32" t="str">
        <f>'St of Activites - GA Rev'!A445</f>
        <v>Pickerington Local SD</v>
      </c>
      <c r="AI445" s="32" t="str">
        <f t="shared" si="102"/>
        <v>Pickerington Local SD</v>
      </c>
      <c r="AJ445" s="32" t="b">
        <f t="shared" si="103"/>
        <v>1</v>
      </c>
      <c r="AL445" s="32" t="str">
        <f>'St of Activities - GA Exp'!A445</f>
        <v>Pickerington Local SD</v>
      </c>
      <c r="AN445" s="32" t="b">
        <f t="shared" si="105"/>
        <v>1</v>
      </c>
      <c r="AR445" s="32" t="str">
        <f t="shared" si="106"/>
        <v>Fairfield</v>
      </c>
      <c r="AS445" s="32" t="str">
        <f>'St of Activites - GA Rev'!C445</f>
        <v>Fairfield</v>
      </c>
      <c r="AT445" s="32" t="b">
        <f t="shared" si="104"/>
        <v>1</v>
      </c>
      <c r="AU445" s="32" t="str">
        <f>'St of Activities - GA Exp'!C445</f>
        <v>Fairfield</v>
      </c>
      <c r="AV445" s="56"/>
      <c r="AW445" s="32" t="b">
        <f t="shared" si="107"/>
        <v>1</v>
      </c>
    </row>
    <row r="446" spans="1:49" s="65" customFormat="1" hidden="1">
      <c r="A446" s="63" t="s">
        <v>961</v>
      </c>
      <c r="B446" s="63"/>
      <c r="C446" s="63" t="s">
        <v>28</v>
      </c>
      <c r="D446" s="63"/>
      <c r="E446" s="64">
        <v>47084</v>
      </c>
      <c r="G446" s="65">
        <f t="shared" ref="G446:G479" si="135">+K446-I446</f>
        <v>0</v>
      </c>
      <c r="M446" s="65">
        <f t="shared" si="117"/>
        <v>0</v>
      </c>
      <c r="W446" s="65">
        <f t="shared" si="134"/>
        <v>0</v>
      </c>
      <c r="AB446" s="65">
        <f t="shared" ref="AB446:AB516" si="136">+K446-S446-AA446</f>
        <v>0</v>
      </c>
      <c r="AD446" s="65">
        <f t="shared" ref="AD446:AD513" si="137">+G446+I446+-M446-O446-U446-W446-Y446-Q446</f>
        <v>0</v>
      </c>
      <c r="AE446" s="65" t="s">
        <v>960</v>
      </c>
      <c r="AH446" s="66" t="str">
        <f>'St of Activites - GA Rev'!A446</f>
        <v>Pike-Delta-York Local SD (CASH)</v>
      </c>
      <c r="AI446" s="66" t="str">
        <f t="shared" si="102"/>
        <v>Pike-Delta-York Local SD (CASH)</v>
      </c>
      <c r="AJ446" s="66" t="b">
        <f t="shared" si="103"/>
        <v>1</v>
      </c>
      <c r="AL446" s="66" t="str">
        <f>'St of Activities - GA Exp'!A446</f>
        <v>Pike-Delta-York Local SD (CASH)</v>
      </c>
      <c r="AN446" s="66" t="b">
        <f t="shared" si="105"/>
        <v>1</v>
      </c>
      <c r="AR446" s="66" t="str">
        <f t="shared" si="106"/>
        <v>Fulton</v>
      </c>
      <c r="AS446" s="66" t="str">
        <f>'St of Activites - GA Rev'!C446</f>
        <v>Fulton</v>
      </c>
      <c r="AT446" s="66" t="b">
        <f t="shared" si="104"/>
        <v>1</v>
      </c>
      <c r="AU446" s="66" t="str">
        <f>'St of Activities - GA Exp'!C446</f>
        <v>Fulton</v>
      </c>
      <c r="AV446" s="86"/>
      <c r="AW446" s="66" t="b">
        <f t="shared" si="107"/>
        <v>1</v>
      </c>
    </row>
    <row r="447" spans="1:49" ht="11.25" customHeight="1">
      <c r="A447" s="11" t="s">
        <v>438</v>
      </c>
      <c r="B447" s="11"/>
      <c r="C447" s="11" t="s">
        <v>48</v>
      </c>
      <c r="D447" s="11"/>
      <c r="E447" s="29">
        <v>44644</v>
      </c>
      <c r="G447" s="7">
        <f t="shared" si="135"/>
        <v>34390931</v>
      </c>
      <c r="I447" s="7">
        <f>1178952+25682346</f>
        <v>26861298</v>
      </c>
      <c r="K447" s="7">
        <v>61252229</v>
      </c>
      <c r="M447" s="7">
        <f t="shared" si="117"/>
        <v>16208142</v>
      </c>
      <c r="O447" s="7">
        <v>1445375</v>
      </c>
      <c r="Q447" s="7">
        <f>13737294-1445375</f>
        <v>12291919</v>
      </c>
      <c r="S447" s="7">
        <v>29945436</v>
      </c>
      <c r="U447" s="7">
        <v>18928936</v>
      </c>
      <c r="W447" s="7">
        <f t="shared" si="134"/>
        <v>4510541</v>
      </c>
      <c r="Y447" s="7">
        <v>7867316</v>
      </c>
      <c r="AA447" s="7">
        <v>31306793</v>
      </c>
      <c r="AB447" s="7">
        <f t="shared" si="136"/>
        <v>0</v>
      </c>
      <c r="AD447" s="32">
        <f t="shared" si="137"/>
        <v>0</v>
      </c>
      <c r="AF447" s="32"/>
      <c r="AH447" s="32" t="str">
        <f>'St of Activites - GA Rev'!A447</f>
        <v>Piqua City SD</v>
      </c>
      <c r="AI447" s="32" t="str">
        <f t="shared" si="102"/>
        <v>Piqua City SD</v>
      </c>
      <c r="AJ447" s="32" t="b">
        <f t="shared" si="103"/>
        <v>1</v>
      </c>
      <c r="AL447" s="32" t="str">
        <f>'St of Activities - GA Exp'!A447</f>
        <v>Piqua City SD</v>
      </c>
      <c r="AN447" s="32" t="b">
        <f t="shared" si="105"/>
        <v>1</v>
      </c>
      <c r="AR447" s="32" t="str">
        <f t="shared" si="106"/>
        <v>Miami</v>
      </c>
      <c r="AS447" s="32" t="str">
        <f>'St of Activites - GA Rev'!C447</f>
        <v>Miami</v>
      </c>
      <c r="AT447" s="32" t="b">
        <f t="shared" si="104"/>
        <v>1</v>
      </c>
      <c r="AU447" s="32" t="str">
        <f>'St of Activities - GA Exp'!C447</f>
        <v>Miami</v>
      </c>
      <c r="AV447" s="56"/>
      <c r="AW447" s="32" t="b">
        <f t="shared" si="107"/>
        <v>1</v>
      </c>
    </row>
    <row r="448" spans="1:49">
      <c r="A448" s="11" t="s">
        <v>312</v>
      </c>
      <c r="B448" s="11"/>
      <c r="C448" s="11" t="s">
        <v>62</v>
      </c>
      <c r="D448" s="11"/>
      <c r="E448" s="29">
        <v>49932</v>
      </c>
      <c r="G448" s="7">
        <f t="shared" si="135"/>
        <v>49020475</v>
      </c>
      <c r="I448" s="7">
        <v>64258493</v>
      </c>
      <c r="K448" s="7">
        <v>113278968</v>
      </c>
      <c r="M448" s="7">
        <f t="shared" si="117"/>
        <v>32904898</v>
      </c>
      <c r="O448" s="7">
        <v>3605528</v>
      </c>
      <c r="Q448" s="7">
        <f>57886135-3605528</f>
        <v>54280607</v>
      </c>
      <c r="S448" s="7">
        <v>90791033</v>
      </c>
      <c r="U448" s="7">
        <v>11495376</v>
      </c>
      <c r="W448" s="7">
        <f t="shared" si="134"/>
        <v>4299443</v>
      </c>
      <c r="Y448" s="7">
        <v>6693116</v>
      </c>
      <c r="AA448" s="7">
        <v>22487935</v>
      </c>
      <c r="AB448" s="7">
        <f>+K448-S448-AA448</f>
        <v>0</v>
      </c>
      <c r="AD448" s="32">
        <f t="shared" si="137"/>
        <v>0</v>
      </c>
      <c r="AF448" s="32"/>
      <c r="AH448" s="32" t="str">
        <f>'St of Activites - GA Rev'!A448</f>
        <v>Plain Local SD</v>
      </c>
      <c r="AI448" s="32" t="str">
        <f t="shared" si="102"/>
        <v>Plain Local SD</v>
      </c>
      <c r="AJ448" s="32" t="b">
        <f t="shared" si="103"/>
        <v>1</v>
      </c>
      <c r="AL448" s="32" t="str">
        <f>'St of Activities - GA Exp'!A448</f>
        <v>Plain Local SD</v>
      </c>
      <c r="AN448" s="32" t="b">
        <f t="shared" si="105"/>
        <v>1</v>
      </c>
      <c r="AR448" s="32" t="str">
        <f t="shared" si="106"/>
        <v>Stark</v>
      </c>
      <c r="AS448" s="32" t="str">
        <f>'St of Activites - GA Rev'!C448</f>
        <v>Stark</v>
      </c>
      <c r="AT448" s="32" t="b">
        <f t="shared" si="104"/>
        <v>1</v>
      </c>
      <c r="AU448" s="32" t="str">
        <f>'St of Activities - GA Exp'!C448</f>
        <v>Stark</v>
      </c>
      <c r="AV448" s="56"/>
      <c r="AW448" s="32" t="b">
        <f t="shared" si="107"/>
        <v>1</v>
      </c>
    </row>
    <row r="449" spans="1:49">
      <c r="A449" s="11" t="s">
        <v>424</v>
      </c>
      <c r="B449" s="11"/>
      <c r="C449" s="11" t="s">
        <v>46</v>
      </c>
      <c r="D449" s="11"/>
      <c r="E449" s="29">
        <v>48421</v>
      </c>
      <c r="G449" s="7">
        <f t="shared" si="135"/>
        <v>9055231</v>
      </c>
      <c r="I449" s="7">
        <f>416997+6928564</f>
        <v>7345561</v>
      </c>
      <c r="K449" s="7">
        <v>16400792</v>
      </c>
      <c r="M449" s="7">
        <f t="shared" si="117"/>
        <v>3406005</v>
      </c>
      <c r="O449" s="7">
        <v>132604</v>
      </c>
      <c r="Q449" s="7">
        <f>2462069-132604</f>
        <v>2329465</v>
      </c>
      <c r="S449" s="7">
        <v>5868074</v>
      </c>
      <c r="U449" s="7">
        <v>5574049</v>
      </c>
      <c r="W449" s="7">
        <f t="shared" si="134"/>
        <v>1007586</v>
      </c>
      <c r="Y449" s="7">
        <v>3951083</v>
      </c>
      <c r="AA449" s="7">
        <v>10532718</v>
      </c>
      <c r="AB449" s="7">
        <f t="shared" si="136"/>
        <v>0</v>
      </c>
      <c r="AD449" s="32">
        <f t="shared" si="137"/>
        <v>0</v>
      </c>
      <c r="AF449" s="32"/>
      <c r="AH449" s="32" t="str">
        <f>'St of Activites - GA Rev'!A449</f>
        <v>Pleasant Local SD</v>
      </c>
      <c r="AI449" s="32" t="str">
        <f t="shared" si="102"/>
        <v>Pleasant Local SD</v>
      </c>
      <c r="AJ449" s="32" t="b">
        <f t="shared" si="103"/>
        <v>1</v>
      </c>
      <c r="AL449" s="32" t="str">
        <f>'St of Activities - GA Exp'!A449</f>
        <v>Pleasant Local SD</v>
      </c>
      <c r="AN449" s="32" t="b">
        <f t="shared" si="105"/>
        <v>1</v>
      </c>
      <c r="AR449" s="32" t="str">
        <f t="shared" si="106"/>
        <v>Marion</v>
      </c>
      <c r="AS449" s="32" t="str">
        <f>'St of Activites - GA Rev'!C449</f>
        <v>Marion</v>
      </c>
      <c r="AT449" s="32" t="b">
        <f t="shared" si="104"/>
        <v>1</v>
      </c>
      <c r="AU449" s="32" t="str">
        <f>'St of Activities - GA Exp'!C449</f>
        <v>Marion</v>
      </c>
      <c r="AV449" s="56"/>
      <c r="AW449" s="32" t="b">
        <f t="shared" si="107"/>
        <v>1</v>
      </c>
    </row>
    <row r="450" spans="1:49">
      <c r="A450" s="11" t="s">
        <v>486</v>
      </c>
      <c r="B450" s="11"/>
      <c r="C450" s="11" t="s">
        <v>110</v>
      </c>
      <c r="D450" s="11"/>
      <c r="E450" s="29">
        <v>49460</v>
      </c>
      <c r="G450" s="7">
        <f t="shared" si="135"/>
        <v>6799322</v>
      </c>
      <c r="I450" s="7">
        <v>19481336</v>
      </c>
      <c r="K450" s="7">
        <v>26280658</v>
      </c>
      <c r="M450" s="7">
        <f t="shared" si="117"/>
        <v>2002608</v>
      </c>
      <c r="O450" s="7">
        <v>170089</v>
      </c>
      <c r="Q450" s="7">
        <f>2428901-170089</f>
        <v>2258812</v>
      </c>
      <c r="S450" s="7">
        <v>4431509</v>
      </c>
      <c r="U450" s="7">
        <v>17860671</v>
      </c>
      <c r="W450" s="7">
        <f t="shared" si="134"/>
        <v>1320445</v>
      </c>
      <c r="Y450" s="7">
        <v>2668033</v>
      </c>
      <c r="AA450" s="7">
        <v>21849149</v>
      </c>
      <c r="AB450" s="7">
        <f t="shared" si="136"/>
        <v>0</v>
      </c>
      <c r="AD450" s="32">
        <f t="shared" si="137"/>
        <v>0</v>
      </c>
      <c r="AF450" s="32"/>
      <c r="AH450" s="32" t="str">
        <f>'St of Activites - GA Rev'!A450</f>
        <v>Plymouth-Shiloh Local SD</v>
      </c>
      <c r="AI450" s="32" t="str">
        <f t="shared" si="102"/>
        <v>Plymouth-Shiloh Local SD</v>
      </c>
      <c r="AJ450" s="32" t="b">
        <f t="shared" si="103"/>
        <v>1</v>
      </c>
      <c r="AL450" s="32" t="str">
        <f>'St of Activities - GA Exp'!A450</f>
        <v>Plymouth-Shiloh Local SD</v>
      </c>
      <c r="AN450" s="32" t="b">
        <f t="shared" si="105"/>
        <v>1</v>
      </c>
      <c r="AR450" s="32" t="str">
        <f t="shared" si="106"/>
        <v>Richland</v>
      </c>
      <c r="AS450" s="32" t="str">
        <f>'St of Activites - GA Rev'!C450</f>
        <v>Richland</v>
      </c>
      <c r="AT450" s="32" t="b">
        <f t="shared" si="104"/>
        <v>1</v>
      </c>
      <c r="AU450" s="32" t="str">
        <f>'St of Activities - GA Exp'!C450</f>
        <v>Richland</v>
      </c>
      <c r="AV450" s="56"/>
      <c r="AW450" s="32" t="b">
        <f t="shared" si="107"/>
        <v>1</v>
      </c>
    </row>
    <row r="451" spans="1:49">
      <c r="A451" s="11" t="s">
        <v>764</v>
      </c>
      <c r="B451" s="11"/>
      <c r="C451" s="11" t="s">
        <v>45</v>
      </c>
      <c r="D451" s="11"/>
      <c r="E451" s="29">
        <v>48348</v>
      </c>
      <c r="G451" s="7">
        <f t="shared" si="135"/>
        <v>17525998</v>
      </c>
      <c r="I451" s="7">
        <f>304780+13796016</f>
        <v>14100796</v>
      </c>
      <c r="K451" s="7">
        <v>31626794</v>
      </c>
      <c r="M451" s="7">
        <f t="shared" si="117"/>
        <v>15624625</v>
      </c>
      <c r="O451" s="7">
        <v>1253808</v>
      </c>
      <c r="Q451" s="7">
        <f>13699697-1253808</f>
        <v>12445889</v>
      </c>
      <c r="S451" s="7">
        <v>29324322</v>
      </c>
      <c r="U451" s="7">
        <v>1864313</v>
      </c>
      <c r="W451" s="7">
        <f t="shared" si="134"/>
        <v>1575713</v>
      </c>
      <c r="Y451" s="7">
        <v>-1137554</v>
      </c>
      <c r="AA451" s="7">
        <v>2302472</v>
      </c>
      <c r="AB451" s="7">
        <f t="shared" si="136"/>
        <v>0</v>
      </c>
      <c r="AD451" s="32">
        <f t="shared" si="137"/>
        <v>0</v>
      </c>
      <c r="AF451" s="32"/>
      <c r="AH451" s="32" t="str">
        <f>'St of Activites - GA Rev'!A451</f>
        <v xml:space="preserve">Poland Local SD </v>
      </c>
      <c r="AI451" s="32" t="str">
        <f t="shared" si="102"/>
        <v xml:space="preserve">Poland Local SD </v>
      </c>
      <c r="AJ451" s="32" t="b">
        <f t="shared" si="103"/>
        <v>1</v>
      </c>
      <c r="AL451" s="32" t="str">
        <f>'St of Activities - GA Exp'!A451</f>
        <v xml:space="preserve">Poland Local SD </v>
      </c>
      <c r="AN451" s="32" t="b">
        <f t="shared" si="105"/>
        <v>1</v>
      </c>
      <c r="AR451" s="32" t="str">
        <f t="shared" si="106"/>
        <v>Mahoning</v>
      </c>
      <c r="AS451" s="32" t="str">
        <f>'St of Activites - GA Rev'!C451</f>
        <v>Mahoning</v>
      </c>
      <c r="AT451" s="32" t="b">
        <f t="shared" si="104"/>
        <v>1</v>
      </c>
      <c r="AU451" s="32" t="str">
        <f>'St of Activities - GA Exp'!C451</f>
        <v>Mahoning</v>
      </c>
      <c r="AV451" s="56"/>
      <c r="AW451" s="32" t="b">
        <f t="shared" si="107"/>
        <v>1</v>
      </c>
    </row>
    <row r="452" spans="1:49" s="65" customFormat="1" hidden="1">
      <c r="A452" s="62" t="s">
        <v>962</v>
      </c>
      <c r="B452" s="62"/>
      <c r="C452" s="62" t="s">
        <v>53</v>
      </c>
      <c r="D452" s="62"/>
      <c r="E452" s="64">
        <v>44651</v>
      </c>
      <c r="G452" s="65">
        <f t="shared" si="135"/>
        <v>0</v>
      </c>
      <c r="M452" s="65">
        <f t="shared" si="117"/>
        <v>0</v>
      </c>
      <c r="W452" s="65">
        <f t="shared" si="134"/>
        <v>0</v>
      </c>
      <c r="AB452" s="65">
        <f t="shared" si="136"/>
        <v>0</v>
      </c>
      <c r="AD452" s="66">
        <f t="shared" si="137"/>
        <v>0</v>
      </c>
      <c r="AE452" s="65" t="s">
        <v>903</v>
      </c>
      <c r="AF452" s="66"/>
      <c r="AH452" s="66" t="str">
        <f>'St of Activites - GA Rev'!A452</f>
        <v>Port Clinton City SD (CASH)</v>
      </c>
      <c r="AI452" s="66" t="str">
        <f t="shared" si="102"/>
        <v>Port Clinton City SD (CASH)</v>
      </c>
      <c r="AJ452" s="66" t="b">
        <f t="shared" si="103"/>
        <v>1</v>
      </c>
      <c r="AL452" s="66" t="str">
        <f>'St of Activities - GA Exp'!A452</f>
        <v>Port Clinton City SD (CASH)</v>
      </c>
      <c r="AN452" s="66" t="b">
        <f t="shared" si="105"/>
        <v>1</v>
      </c>
      <c r="AR452" s="66" t="str">
        <f t="shared" si="106"/>
        <v>Ottawa</v>
      </c>
      <c r="AS452" s="66" t="str">
        <f>'St of Activites - GA Rev'!C452</f>
        <v>Ottawa</v>
      </c>
      <c r="AT452" s="66" t="b">
        <f t="shared" si="104"/>
        <v>1</v>
      </c>
      <c r="AU452" s="66" t="str">
        <f>'St of Activities - GA Exp'!C452</f>
        <v>Ottawa</v>
      </c>
      <c r="AV452" s="86"/>
      <c r="AW452" s="66" t="b">
        <f t="shared" si="107"/>
        <v>1</v>
      </c>
    </row>
    <row r="453" spans="1:49">
      <c r="A453" s="11" t="s">
        <v>499</v>
      </c>
      <c r="B453" s="11"/>
      <c r="C453" s="11" t="s">
        <v>59</v>
      </c>
      <c r="D453" s="11"/>
      <c r="E453" s="29">
        <v>44669</v>
      </c>
      <c r="G453" s="7">
        <f t="shared" si="135"/>
        <v>15255685</v>
      </c>
      <c r="I453" s="7">
        <f>7307780+51126906</f>
        <v>58434686</v>
      </c>
      <c r="K453" s="7">
        <v>73690371</v>
      </c>
      <c r="M453" s="7">
        <f t="shared" si="117"/>
        <v>7679356</v>
      </c>
      <c r="O453" s="7">
        <v>903068</v>
      </c>
      <c r="Q453" s="7">
        <f>15514974-903068</f>
        <v>14611906</v>
      </c>
      <c r="S453" s="7">
        <v>23194330</v>
      </c>
      <c r="U453" s="7">
        <v>44790154</v>
      </c>
      <c r="W453" s="7">
        <f t="shared" si="134"/>
        <v>4991815</v>
      </c>
      <c r="Y453" s="7">
        <v>714072</v>
      </c>
      <c r="AA453" s="7">
        <v>50496041</v>
      </c>
      <c r="AB453" s="7">
        <f t="shared" si="136"/>
        <v>0</v>
      </c>
      <c r="AD453" s="32">
        <f t="shared" si="137"/>
        <v>0</v>
      </c>
      <c r="AF453" s="32"/>
      <c r="AH453" s="32" t="str">
        <f>'St of Activites - GA Rev'!A453</f>
        <v>Portsmouth City SD</v>
      </c>
      <c r="AI453" s="32" t="str">
        <f t="shared" si="102"/>
        <v>Portsmouth City SD</v>
      </c>
      <c r="AJ453" s="32" t="b">
        <f t="shared" si="103"/>
        <v>1</v>
      </c>
      <c r="AL453" s="32" t="str">
        <f>'St of Activities - GA Exp'!A453</f>
        <v>Portsmouth City SD</v>
      </c>
      <c r="AN453" s="32" t="b">
        <f t="shared" si="105"/>
        <v>1</v>
      </c>
      <c r="AR453" s="32" t="str">
        <f t="shared" si="106"/>
        <v>Scioto</v>
      </c>
      <c r="AS453" s="32" t="str">
        <f>'St of Activites - GA Rev'!C453</f>
        <v>Scioto</v>
      </c>
      <c r="AT453" s="32" t="b">
        <f t="shared" si="104"/>
        <v>1</v>
      </c>
      <c r="AU453" s="32" t="str">
        <f>'St of Activities - GA Exp'!C453</f>
        <v>Scioto</v>
      </c>
      <c r="AV453" s="56"/>
      <c r="AW453" s="32" t="b">
        <f t="shared" si="107"/>
        <v>1</v>
      </c>
    </row>
    <row r="454" spans="1:49" s="65" customFormat="1" hidden="1">
      <c r="A454" s="62" t="s">
        <v>725</v>
      </c>
      <c r="B454" s="62"/>
      <c r="C454" s="62" t="s">
        <v>57</v>
      </c>
      <c r="D454" s="62"/>
      <c r="E454" s="64">
        <v>49288</v>
      </c>
      <c r="G454" s="65">
        <f t="shared" si="135"/>
        <v>0</v>
      </c>
      <c r="M454" s="65">
        <f t="shared" si="117"/>
        <v>0</v>
      </c>
      <c r="W454" s="65">
        <f t="shared" si="134"/>
        <v>0</v>
      </c>
      <c r="AB454" s="65">
        <f t="shared" si="136"/>
        <v>0</v>
      </c>
      <c r="AD454" s="66">
        <f t="shared" si="137"/>
        <v>0</v>
      </c>
      <c r="AE454" s="65" t="s">
        <v>959</v>
      </c>
      <c r="AF454" s="66"/>
      <c r="AH454" s="66" t="str">
        <f>'St of Activites - GA Rev'!A454</f>
        <v>Preble Shawnee Local SD (CASH)</v>
      </c>
      <c r="AI454" s="66" t="str">
        <f t="shared" si="102"/>
        <v>Preble Shawnee Local SD (CASH)</v>
      </c>
      <c r="AJ454" s="66" t="b">
        <f t="shared" si="103"/>
        <v>1</v>
      </c>
      <c r="AL454" s="66" t="str">
        <f>'St of Activities - GA Exp'!A454</f>
        <v>Preble Shawnee Local SD (CASH)</v>
      </c>
      <c r="AN454" s="66" t="b">
        <f t="shared" si="105"/>
        <v>1</v>
      </c>
      <c r="AR454" s="66" t="str">
        <f t="shared" si="106"/>
        <v>Preble</v>
      </c>
      <c r="AS454" s="66" t="str">
        <f>'St of Activites - GA Rev'!C454</f>
        <v>Preble</v>
      </c>
      <c r="AT454" s="66" t="b">
        <f t="shared" si="104"/>
        <v>1</v>
      </c>
      <c r="AU454" s="66" t="str">
        <f>'St of Activities - GA Exp'!C454</f>
        <v>Preble</v>
      </c>
      <c r="AV454" s="86"/>
      <c r="AW454" s="66" t="b">
        <f t="shared" si="107"/>
        <v>1</v>
      </c>
    </row>
    <row r="455" spans="1:49">
      <c r="A455" s="11" t="s">
        <v>337</v>
      </c>
      <c r="B455" s="11"/>
      <c r="C455" s="11" t="s">
        <v>32</v>
      </c>
      <c r="D455" s="11"/>
      <c r="E455" s="29">
        <v>44677</v>
      </c>
      <c r="G455" s="7">
        <f t="shared" si="135"/>
        <v>196224337</v>
      </c>
      <c r="I455" s="7">
        <f>13944351+86759282</f>
        <v>100703633</v>
      </c>
      <c r="K455" s="7">
        <v>296927970</v>
      </c>
      <c r="M455" s="7">
        <f t="shared" si="117"/>
        <v>40862387</v>
      </c>
      <c r="O455" s="7">
        <v>2678986</v>
      </c>
      <c r="Q455" s="7">
        <f>214905085-2678986</f>
        <v>212226099</v>
      </c>
      <c r="S455" s="7">
        <v>255767472</v>
      </c>
      <c r="U455" s="7">
        <v>12349072</v>
      </c>
      <c r="W455" s="7">
        <f t="shared" si="134"/>
        <v>4461165</v>
      </c>
      <c r="Y455" s="7">
        <v>24350261</v>
      </c>
      <c r="AA455" s="7">
        <v>41160498</v>
      </c>
      <c r="AB455" s="7">
        <f t="shared" si="136"/>
        <v>0</v>
      </c>
      <c r="AD455" s="32">
        <f t="shared" si="137"/>
        <v>0</v>
      </c>
      <c r="AF455" s="32"/>
      <c r="AH455" s="32" t="str">
        <f>'St of Activites - GA Rev'!A455</f>
        <v>Princeton City SD</v>
      </c>
      <c r="AI455" s="32" t="str">
        <f t="shared" si="102"/>
        <v>Princeton City SD</v>
      </c>
      <c r="AJ455" s="32" t="b">
        <f t="shared" si="103"/>
        <v>1</v>
      </c>
      <c r="AL455" s="32" t="str">
        <f>'St of Activities - GA Exp'!A455</f>
        <v>Princeton City SD</v>
      </c>
      <c r="AN455" s="32" t="b">
        <f t="shared" si="105"/>
        <v>1</v>
      </c>
      <c r="AR455" s="32" t="str">
        <f t="shared" si="106"/>
        <v>Hamilton</v>
      </c>
      <c r="AS455" s="32" t="str">
        <f>'St of Activites - GA Rev'!C455</f>
        <v>Hamilton</v>
      </c>
      <c r="AT455" s="32" t="b">
        <f t="shared" si="104"/>
        <v>1</v>
      </c>
      <c r="AU455" s="32" t="str">
        <f>'St of Activities - GA Exp'!C455</f>
        <v>Hamilton</v>
      </c>
      <c r="AV455" s="56"/>
      <c r="AW455" s="32" t="b">
        <f t="shared" si="107"/>
        <v>1</v>
      </c>
    </row>
    <row r="456" spans="1:49" s="65" customFormat="1" hidden="1">
      <c r="A456" s="62" t="s">
        <v>963</v>
      </c>
      <c r="B456" s="63"/>
      <c r="C456" s="63" t="s">
        <v>53</v>
      </c>
      <c r="D456" s="63"/>
      <c r="E456" s="64"/>
      <c r="G456" s="65">
        <f t="shared" ref="G456" si="138">+K456-I456</f>
        <v>0</v>
      </c>
      <c r="M456" s="65">
        <f t="shared" ref="M456" si="139">+S456-O456-Q456</f>
        <v>0</v>
      </c>
      <c r="W456" s="65">
        <f t="shared" ref="W456" si="140">AA456-Y456-U456</f>
        <v>0</v>
      </c>
      <c r="AB456" s="65">
        <f t="shared" ref="AB456" si="141">+K456-S456-AA456</f>
        <v>0</v>
      </c>
      <c r="AD456" s="66">
        <f t="shared" ref="AD456" si="142">+G456+I456+-M456-O456-U456-W456-Y456-Q456</f>
        <v>0</v>
      </c>
      <c r="AE456" s="65" t="s">
        <v>964</v>
      </c>
      <c r="AF456" s="66"/>
      <c r="AH456" s="66" t="str">
        <f>'St of Activites - GA Rev'!A456</f>
        <v>Put-in-Bay Local SD (CASH) (Two year Audit)</v>
      </c>
      <c r="AI456" s="66" t="str">
        <f t="shared" ref="AI456" si="143">A456</f>
        <v>Put-in-Bay Local SD (CASH) (Two year Audit)</v>
      </c>
      <c r="AJ456" s="66" t="b">
        <f t="shared" ref="AJ456" si="144">AH456=AI456</f>
        <v>1</v>
      </c>
      <c r="AL456" s="66" t="str">
        <f>'St of Activities - GA Exp'!A456</f>
        <v>Put-in-Bay Local SD (CASH) (Two year Audit)</v>
      </c>
      <c r="AN456" s="66" t="b">
        <f t="shared" ref="AN456" si="145">AH456=AL456</f>
        <v>1</v>
      </c>
      <c r="AR456" s="66" t="str">
        <f t="shared" ref="AR456" si="146">C456</f>
        <v>Ottawa</v>
      </c>
      <c r="AS456" s="66" t="str">
        <f>'St of Activites - GA Rev'!C456</f>
        <v>Ottawa</v>
      </c>
      <c r="AT456" s="66" t="b">
        <f t="shared" ref="AT456" si="147">AR456=AS456</f>
        <v>1</v>
      </c>
      <c r="AU456" s="66" t="str">
        <f>'St of Activities - GA Exp'!C456</f>
        <v>Ottawa</v>
      </c>
      <c r="AV456" s="86"/>
      <c r="AW456" s="66" t="b">
        <f t="shared" ref="AW456" si="148">AU456=AS456</f>
        <v>1</v>
      </c>
    </row>
    <row r="457" spans="1:49" s="65" customFormat="1" hidden="1">
      <c r="A457" s="62" t="s">
        <v>965</v>
      </c>
      <c r="B457" s="62"/>
      <c r="C457" s="62" t="s">
        <v>12</v>
      </c>
      <c r="D457" s="62"/>
      <c r="E457" s="64">
        <v>45880</v>
      </c>
      <c r="G457" s="65">
        <f t="shared" si="135"/>
        <v>0</v>
      </c>
      <c r="M457" s="65">
        <f t="shared" si="117"/>
        <v>0</v>
      </c>
      <c r="W457" s="65">
        <f t="shared" si="134"/>
        <v>0</v>
      </c>
      <c r="AB457" s="65">
        <f t="shared" si="136"/>
        <v>0</v>
      </c>
      <c r="AD457" s="66">
        <f t="shared" si="137"/>
        <v>0</v>
      </c>
      <c r="AE457" s="65" t="s">
        <v>903</v>
      </c>
      <c r="AF457" s="66"/>
      <c r="AH457" s="66" t="str">
        <f>'St of Activites - GA Rev'!A457</f>
        <v>Pymatuning Valley Local SD (CASH)</v>
      </c>
      <c r="AI457" s="66" t="str">
        <f t="shared" si="102"/>
        <v>Pymatuning Valley Local SD (CASH)</v>
      </c>
      <c r="AJ457" s="66" t="b">
        <f t="shared" si="103"/>
        <v>1</v>
      </c>
      <c r="AL457" s="66" t="str">
        <f>'St of Activities - GA Exp'!A457</f>
        <v>Pymatuning Valley Local SD (CASH)</v>
      </c>
      <c r="AN457" s="66" t="b">
        <f t="shared" si="105"/>
        <v>1</v>
      </c>
      <c r="AR457" s="66" t="str">
        <f t="shared" si="106"/>
        <v>Ashtabula</v>
      </c>
      <c r="AS457" s="66" t="str">
        <f>'St of Activites - GA Rev'!C457</f>
        <v>Ashtabula</v>
      </c>
      <c r="AT457" s="66" t="b">
        <f t="shared" si="104"/>
        <v>1</v>
      </c>
      <c r="AU457" s="66" t="str">
        <f>'St of Activities - GA Exp'!C457</f>
        <v>Ashtabula</v>
      </c>
      <c r="AV457" s="86"/>
      <c r="AW457" s="66" t="b">
        <f t="shared" si="107"/>
        <v>1</v>
      </c>
    </row>
    <row r="458" spans="1:49">
      <c r="A458" s="11" t="s">
        <v>659</v>
      </c>
      <c r="B458" s="11"/>
      <c r="C458" s="11" t="s">
        <v>56</v>
      </c>
      <c r="D458" s="11"/>
      <c r="E458" s="29"/>
      <c r="G458" s="32">
        <f t="shared" si="135"/>
        <v>21068390</v>
      </c>
      <c r="H458" s="32"/>
      <c r="I458" s="32">
        <f>74984+35924799</f>
        <v>35999783</v>
      </c>
      <c r="J458" s="32"/>
      <c r="K458" s="32">
        <v>57068173</v>
      </c>
      <c r="L458" s="32"/>
      <c r="M458" s="32">
        <f t="shared" si="117"/>
        <v>14162159</v>
      </c>
      <c r="N458" s="32"/>
      <c r="O458" s="32">
        <v>741660</v>
      </c>
      <c r="P458" s="32"/>
      <c r="Q458" s="32">
        <f>21118611-741660</f>
        <v>20376951</v>
      </c>
      <c r="R458" s="32"/>
      <c r="S458" s="32">
        <v>35280770</v>
      </c>
      <c r="T458" s="32"/>
      <c r="U458" s="32">
        <v>17652126</v>
      </c>
      <c r="V458" s="32"/>
      <c r="W458" s="32">
        <f t="shared" si="134"/>
        <v>3596430</v>
      </c>
      <c r="X458" s="32"/>
      <c r="Y458" s="32">
        <v>538847</v>
      </c>
      <c r="Z458" s="32"/>
      <c r="AA458" s="32">
        <v>21787403</v>
      </c>
      <c r="AB458" s="7">
        <f t="shared" si="136"/>
        <v>0</v>
      </c>
      <c r="AD458" s="32">
        <f t="shared" si="137"/>
        <v>0</v>
      </c>
      <c r="AF458" s="32"/>
      <c r="AH458" s="32" t="str">
        <f>'St of Activites - GA Rev'!A458</f>
        <v>Ravenna City SD</v>
      </c>
      <c r="AI458" s="32" t="str">
        <f t="shared" si="102"/>
        <v>Ravenna City SD</v>
      </c>
      <c r="AJ458" s="32" t="b">
        <f t="shared" si="103"/>
        <v>1</v>
      </c>
      <c r="AL458" s="32" t="str">
        <f>'St of Activities - GA Exp'!A458</f>
        <v>Ravenna City SD</v>
      </c>
      <c r="AN458" s="32" t="b">
        <f t="shared" si="105"/>
        <v>1</v>
      </c>
      <c r="AR458" s="32" t="str">
        <f t="shared" si="106"/>
        <v>Portage</v>
      </c>
      <c r="AS458" s="32" t="str">
        <f>'St of Activites - GA Rev'!C458</f>
        <v>Portage</v>
      </c>
      <c r="AT458" s="32" t="b">
        <f t="shared" si="104"/>
        <v>1</v>
      </c>
      <c r="AU458" s="32" t="str">
        <f>'St of Activities - GA Exp'!C458</f>
        <v>Portage</v>
      </c>
      <c r="AV458" s="56"/>
      <c r="AW458" s="32" t="b">
        <f t="shared" si="107"/>
        <v>1</v>
      </c>
    </row>
    <row r="459" spans="1:49">
      <c r="A459" s="11" t="s">
        <v>338</v>
      </c>
      <c r="B459" s="11"/>
      <c r="C459" s="11" t="s">
        <v>32</v>
      </c>
      <c r="D459" s="11"/>
      <c r="E459" s="29">
        <v>44693</v>
      </c>
      <c r="G459" s="7">
        <f t="shared" si="135"/>
        <v>10939371</v>
      </c>
      <c r="I459" s="7">
        <f>419344+1976824</f>
        <v>2396168</v>
      </c>
      <c r="K459" s="7">
        <v>13335539</v>
      </c>
      <c r="M459" s="7">
        <f t="shared" si="117"/>
        <v>5860605</v>
      </c>
      <c r="O459" s="7">
        <v>103227</v>
      </c>
      <c r="Q459" s="7">
        <f>1453099-103227</f>
        <v>1349872</v>
      </c>
      <c r="S459" s="7">
        <v>7313704</v>
      </c>
      <c r="U459" s="7">
        <v>2172265</v>
      </c>
      <c r="W459" s="7">
        <f t="shared" si="134"/>
        <v>662386</v>
      </c>
      <c r="Y459" s="7">
        <v>3187184</v>
      </c>
      <c r="AA459" s="7">
        <v>6021835</v>
      </c>
      <c r="AB459" s="7">
        <f t="shared" si="136"/>
        <v>0</v>
      </c>
      <c r="AD459" s="32">
        <f t="shared" si="137"/>
        <v>0</v>
      </c>
      <c r="AE459" s="7" t="s">
        <v>967</v>
      </c>
      <c r="AF459" s="32"/>
      <c r="AH459" s="32" t="str">
        <f>'St of Activites - GA Rev'!A459</f>
        <v>Reading Community City SD</v>
      </c>
      <c r="AI459" s="32" t="str">
        <f t="shared" si="102"/>
        <v>Reading Community City SD</v>
      </c>
      <c r="AJ459" s="32" t="b">
        <f t="shared" si="103"/>
        <v>1</v>
      </c>
      <c r="AL459" s="32" t="str">
        <f>'St of Activities - GA Exp'!A459</f>
        <v>Reading Community City SD</v>
      </c>
      <c r="AN459" s="32" t="b">
        <f t="shared" si="105"/>
        <v>1</v>
      </c>
      <c r="AR459" s="32" t="str">
        <f t="shared" si="106"/>
        <v>Hamilton</v>
      </c>
      <c r="AS459" s="32" t="str">
        <f>'St of Activites - GA Rev'!C459</f>
        <v>Hamilton</v>
      </c>
      <c r="AT459" s="32" t="b">
        <f t="shared" si="104"/>
        <v>1</v>
      </c>
      <c r="AU459" s="32" t="str">
        <f>'St of Activities - GA Exp'!C459</f>
        <v>Hamilton</v>
      </c>
      <c r="AV459" s="56"/>
      <c r="AW459" s="32" t="b">
        <f t="shared" si="107"/>
        <v>1</v>
      </c>
    </row>
    <row r="460" spans="1:49">
      <c r="A460" s="11" t="s">
        <v>529</v>
      </c>
      <c r="B460" s="11"/>
      <c r="C460" s="11" t="s">
        <v>63</v>
      </c>
      <c r="D460" s="11"/>
      <c r="E460" s="29">
        <v>50054</v>
      </c>
      <c r="G460" s="7">
        <f t="shared" si="135"/>
        <v>47878409</v>
      </c>
      <c r="I460" s="7">
        <f>1900942+15282462</f>
        <v>17183404</v>
      </c>
      <c r="K460" s="7">
        <v>65061813</v>
      </c>
      <c r="M460" s="7">
        <f t="shared" si="117"/>
        <v>28945005</v>
      </c>
      <c r="O460" s="7">
        <v>1588048</v>
      </c>
      <c r="Q460" s="7">
        <f>10277326-1588048</f>
        <v>8689278</v>
      </c>
      <c r="S460" s="7">
        <v>39222331</v>
      </c>
      <c r="U460" s="7">
        <v>10271540</v>
      </c>
      <c r="W460" s="7">
        <f t="shared" si="134"/>
        <v>4312795</v>
      </c>
      <c r="Y460" s="7">
        <v>11255147</v>
      </c>
      <c r="AA460" s="7">
        <v>25839482</v>
      </c>
      <c r="AB460" s="7">
        <f t="shared" si="136"/>
        <v>0</v>
      </c>
      <c r="AD460" s="32">
        <f t="shared" si="137"/>
        <v>0</v>
      </c>
      <c r="AF460" s="32"/>
      <c r="AH460" s="32" t="str">
        <f>'St of Activites - GA Rev'!A460</f>
        <v>Revere Local SD</v>
      </c>
      <c r="AI460" s="32" t="str">
        <f t="shared" ref="AI460:AI523" si="149">A460</f>
        <v>Revere Local SD</v>
      </c>
      <c r="AJ460" s="32" t="b">
        <f t="shared" si="103"/>
        <v>1</v>
      </c>
      <c r="AL460" s="32" t="str">
        <f>'St of Activities - GA Exp'!A460</f>
        <v>Revere Local SD</v>
      </c>
      <c r="AN460" s="32" t="b">
        <f t="shared" si="105"/>
        <v>1</v>
      </c>
      <c r="AR460" s="32" t="str">
        <f t="shared" si="106"/>
        <v>Summit</v>
      </c>
      <c r="AS460" s="32" t="str">
        <f>'St of Activites - GA Rev'!C460</f>
        <v>Summit</v>
      </c>
      <c r="AT460" s="32" t="b">
        <f t="shared" si="104"/>
        <v>1</v>
      </c>
      <c r="AU460" s="32" t="str">
        <f>'St of Activities - GA Exp'!C460</f>
        <v>Summit</v>
      </c>
      <c r="AV460" s="56"/>
      <c r="AW460" s="32" t="b">
        <f t="shared" si="107"/>
        <v>1</v>
      </c>
    </row>
    <row r="461" spans="1:49" s="65" customFormat="1" hidden="1">
      <c r="A461" s="62" t="s">
        <v>968</v>
      </c>
      <c r="B461" s="62"/>
      <c r="C461" s="62" t="s">
        <v>27</v>
      </c>
      <c r="D461" s="62"/>
      <c r="E461" s="64">
        <v>47001</v>
      </c>
      <c r="F461" s="67"/>
      <c r="G461" s="65">
        <f t="shared" si="135"/>
        <v>0</v>
      </c>
      <c r="M461" s="65">
        <f t="shared" si="117"/>
        <v>0</v>
      </c>
      <c r="W461" s="65">
        <f t="shared" si="134"/>
        <v>0</v>
      </c>
      <c r="AB461" s="65">
        <f t="shared" si="136"/>
        <v>0</v>
      </c>
      <c r="AD461" s="66">
        <f t="shared" si="137"/>
        <v>0</v>
      </c>
      <c r="AE461" s="65" t="s">
        <v>903</v>
      </c>
      <c r="AF461" s="66"/>
      <c r="AH461" s="66" t="str">
        <f>'St of Activites - GA Rev'!A461</f>
        <v>Reynoldsburg City SD (CASH)</v>
      </c>
      <c r="AI461" s="66" t="str">
        <f t="shared" si="149"/>
        <v>Reynoldsburg City SD (CASH)</v>
      </c>
      <c r="AJ461" s="66" t="b">
        <f t="shared" si="103"/>
        <v>1</v>
      </c>
      <c r="AL461" s="66" t="str">
        <f>'St of Activities - GA Exp'!A461</f>
        <v>Reynoldsburg City SD (CASH)</v>
      </c>
      <c r="AN461" s="66" t="b">
        <f t="shared" si="105"/>
        <v>1</v>
      </c>
      <c r="AR461" s="66" t="str">
        <f t="shared" si="106"/>
        <v>Franklin</v>
      </c>
      <c r="AS461" s="66" t="str">
        <f>'St of Activites - GA Rev'!C461</f>
        <v>Franklin</v>
      </c>
      <c r="AT461" s="66" t="b">
        <f t="shared" si="104"/>
        <v>1</v>
      </c>
      <c r="AU461" s="66" t="str">
        <f>'St of Activities - GA Exp'!C461</f>
        <v>Franklin</v>
      </c>
      <c r="AV461" s="86"/>
      <c r="AW461" s="66" t="b">
        <f t="shared" si="107"/>
        <v>1</v>
      </c>
    </row>
    <row r="462" spans="1:49">
      <c r="A462" s="11" t="s">
        <v>282</v>
      </c>
      <c r="B462" s="11"/>
      <c r="C462" s="11" t="s">
        <v>20</v>
      </c>
      <c r="D462" s="11"/>
      <c r="E462" s="29">
        <v>46599</v>
      </c>
      <c r="G462" s="7">
        <f t="shared" si="135"/>
        <v>12403231</v>
      </c>
      <c r="I462" s="7">
        <f>311214+690647</f>
        <v>1001861</v>
      </c>
      <c r="K462" s="7">
        <v>13405092</v>
      </c>
      <c r="M462" s="7">
        <f t="shared" si="117"/>
        <v>7221139</v>
      </c>
      <c r="O462" s="7">
        <v>117578</v>
      </c>
      <c r="Q462" s="7">
        <f>1259924-117578</f>
        <v>1142346</v>
      </c>
      <c r="S462" s="7">
        <v>8481063</v>
      </c>
      <c r="U462" s="7">
        <v>34025</v>
      </c>
      <c r="W462" s="7">
        <f t="shared" si="134"/>
        <v>225535</v>
      </c>
      <c r="Y462" s="7">
        <v>4664469</v>
      </c>
      <c r="AA462" s="7">
        <v>4924029</v>
      </c>
      <c r="AB462" s="7">
        <f t="shared" si="136"/>
        <v>0</v>
      </c>
      <c r="AD462" s="32">
        <f t="shared" si="137"/>
        <v>0</v>
      </c>
      <c r="AF462" s="32"/>
      <c r="AH462" s="32" t="str">
        <f>'St of Activites - GA Rev'!A462</f>
        <v>Richmond Heights Local SD</v>
      </c>
      <c r="AI462" s="32" t="str">
        <f t="shared" si="149"/>
        <v>Richmond Heights Local SD</v>
      </c>
      <c r="AJ462" s="32" t="b">
        <f t="shared" si="103"/>
        <v>1</v>
      </c>
      <c r="AL462" s="32" t="str">
        <f>'St of Activities - GA Exp'!A462</f>
        <v>Richmond Heights Local SD</v>
      </c>
      <c r="AN462" s="32" t="b">
        <f t="shared" si="105"/>
        <v>1</v>
      </c>
      <c r="AR462" s="32" t="str">
        <f t="shared" si="106"/>
        <v>Cuyahoga</v>
      </c>
      <c r="AS462" s="32" t="str">
        <f>'St of Activites - GA Rev'!C462</f>
        <v>Cuyahoga</v>
      </c>
      <c r="AT462" s="32" t="b">
        <f t="shared" si="104"/>
        <v>1</v>
      </c>
      <c r="AU462" s="32" t="str">
        <f>'St of Activities - GA Exp'!C462</f>
        <v>Cuyahoga</v>
      </c>
      <c r="AV462" s="56"/>
      <c r="AW462" s="32" t="b">
        <f t="shared" si="107"/>
        <v>1</v>
      </c>
    </row>
    <row r="463" spans="1:49">
      <c r="A463" s="11" t="s">
        <v>425</v>
      </c>
      <c r="B463" s="11"/>
      <c r="C463" s="11" t="s">
        <v>46</v>
      </c>
      <c r="D463" s="11"/>
      <c r="E463" s="29">
        <v>48439</v>
      </c>
      <c r="G463" s="7">
        <f t="shared" si="135"/>
        <v>6005337</v>
      </c>
      <c r="I463" s="7">
        <f>50442+1776920</f>
        <v>1827362</v>
      </c>
      <c r="K463" s="7">
        <v>7832699</v>
      </c>
      <c r="M463" s="7">
        <f t="shared" si="117"/>
        <v>2630148</v>
      </c>
      <c r="O463" s="7">
        <v>112952</v>
      </c>
      <c r="Q463" s="7">
        <f>448578-112952</f>
        <v>335626</v>
      </c>
      <c r="S463" s="7">
        <v>3078726</v>
      </c>
      <c r="U463" s="7">
        <v>1698149</v>
      </c>
      <c r="W463" s="7">
        <f t="shared" si="134"/>
        <v>500884</v>
      </c>
      <c r="Y463" s="7">
        <v>2554940</v>
      </c>
      <c r="AA463" s="7">
        <v>4753973</v>
      </c>
      <c r="AB463" s="7">
        <f t="shared" si="136"/>
        <v>0</v>
      </c>
      <c r="AD463" s="32">
        <f t="shared" si="137"/>
        <v>0</v>
      </c>
      <c r="AF463" s="32"/>
      <c r="AH463" s="32" t="str">
        <f>'St of Activites - GA Rev'!A463</f>
        <v>Ridgedale Local SD</v>
      </c>
      <c r="AI463" s="32" t="str">
        <f t="shared" si="149"/>
        <v>Ridgedale Local SD</v>
      </c>
      <c r="AJ463" s="32" t="b">
        <f t="shared" ref="AJ463:AJ526" si="150">AH463=AI463</f>
        <v>1</v>
      </c>
      <c r="AL463" s="32" t="str">
        <f>'St of Activities - GA Exp'!A463</f>
        <v>Ridgedale Local SD</v>
      </c>
      <c r="AN463" s="32" t="b">
        <f t="shared" si="105"/>
        <v>1</v>
      </c>
      <c r="AR463" s="32" t="str">
        <f t="shared" si="106"/>
        <v>Marion</v>
      </c>
      <c r="AS463" s="32" t="str">
        <f>'St of Activites - GA Rev'!C463</f>
        <v>Marion</v>
      </c>
      <c r="AT463" s="32" t="b">
        <f t="shared" ref="AT463:AT526" si="151">AR463=AS463</f>
        <v>1</v>
      </c>
      <c r="AU463" s="32" t="str">
        <f>'St of Activities - GA Exp'!C463</f>
        <v>Marion</v>
      </c>
      <c r="AV463" s="56"/>
      <c r="AW463" s="32" t="b">
        <f t="shared" si="107"/>
        <v>1</v>
      </c>
    </row>
    <row r="464" spans="1:49">
      <c r="A464" s="12" t="s">
        <v>752</v>
      </c>
      <c r="B464" s="11"/>
      <c r="C464" s="11" t="s">
        <v>348</v>
      </c>
      <c r="D464" s="11"/>
      <c r="E464" s="29">
        <v>47506</v>
      </c>
      <c r="G464" s="7">
        <f t="shared" si="135"/>
        <v>2337312</v>
      </c>
      <c r="I464" s="7">
        <f>78259+1820178</f>
        <v>1898437</v>
      </c>
      <c r="K464" s="7">
        <v>4235749</v>
      </c>
      <c r="M464" s="7">
        <f t="shared" si="117"/>
        <v>1225573</v>
      </c>
      <c r="O464" s="7">
        <v>202960</v>
      </c>
      <c r="Q464" s="7">
        <f>817022-202960</f>
        <v>614062</v>
      </c>
      <c r="S464" s="7">
        <v>2042595</v>
      </c>
      <c r="U464" s="7">
        <v>1285074</v>
      </c>
      <c r="W464" s="7">
        <f t="shared" si="134"/>
        <v>277621</v>
      </c>
      <c r="Y464" s="7">
        <v>630459</v>
      </c>
      <c r="AA464" s="7">
        <v>2193154</v>
      </c>
      <c r="AB464" s="7">
        <f t="shared" si="136"/>
        <v>0</v>
      </c>
      <c r="AD464" s="32">
        <f t="shared" si="137"/>
        <v>0</v>
      </c>
      <c r="AF464" s="32"/>
      <c r="AH464" s="32" t="str">
        <f>'St of Activites - GA Rev'!A464</f>
        <v xml:space="preserve">Ridgemont Local SD </v>
      </c>
      <c r="AI464" s="32" t="str">
        <f t="shared" si="149"/>
        <v xml:space="preserve">Ridgemont Local SD </v>
      </c>
      <c r="AJ464" s="32" t="b">
        <f t="shared" si="150"/>
        <v>1</v>
      </c>
      <c r="AL464" s="32" t="str">
        <f>'St of Activities - GA Exp'!A464</f>
        <v xml:space="preserve">Ridgemont Local SD </v>
      </c>
      <c r="AN464" s="32" t="b">
        <f t="shared" ref="AN464:AN527" si="152">AH464=AL464</f>
        <v>1</v>
      </c>
      <c r="AR464" s="32" t="str">
        <f t="shared" ref="AR464:AR527" si="153">C464</f>
        <v>Hardin</v>
      </c>
      <c r="AS464" s="32" t="str">
        <f>'St of Activites - GA Rev'!C464</f>
        <v>Hardin</v>
      </c>
      <c r="AT464" s="32" t="b">
        <f t="shared" si="151"/>
        <v>1</v>
      </c>
      <c r="AU464" s="32" t="str">
        <f>'St of Activities - GA Exp'!C464</f>
        <v>Hardin</v>
      </c>
      <c r="AV464" s="56"/>
      <c r="AW464" s="32" t="b">
        <f t="shared" ref="AW464:AW527" si="154">AU464=AS464</f>
        <v>1</v>
      </c>
    </row>
    <row r="465" spans="1:49">
      <c r="A465" s="11" t="s">
        <v>260</v>
      </c>
      <c r="B465" s="11"/>
      <c r="C465" s="11" t="s">
        <v>19</v>
      </c>
      <c r="D465" s="11"/>
      <c r="E465" s="29">
        <v>46474</v>
      </c>
      <c r="G465" s="7">
        <f t="shared" si="135"/>
        <v>8234202</v>
      </c>
      <c r="I465" s="7">
        <v>15663224</v>
      </c>
      <c r="K465" s="7">
        <v>23897426</v>
      </c>
      <c r="M465" s="7">
        <f t="shared" si="117"/>
        <v>3915965</v>
      </c>
      <c r="O465" s="7">
        <v>292313</v>
      </c>
      <c r="Q465" s="7">
        <f>4015589-292313</f>
        <v>3723276</v>
      </c>
      <c r="S465" s="7">
        <v>7931554</v>
      </c>
      <c r="U465" s="7">
        <v>12752463</v>
      </c>
      <c r="W465" s="7">
        <f t="shared" si="134"/>
        <v>2005520</v>
      </c>
      <c r="Y465" s="7">
        <v>1207889</v>
      </c>
      <c r="AA465" s="7">
        <v>15965872</v>
      </c>
      <c r="AB465" s="7">
        <f t="shared" si="136"/>
        <v>0</v>
      </c>
      <c r="AD465" s="32">
        <f t="shared" si="137"/>
        <v>0</v>
      </c>
      <c r="AF465" s="32"/>
      <c r="AH465" s="32" t="str">
        <f>'St of Activites - GA Rev'!A465</f>
        <v>Ridgewood Local SD</v>
      </c>
      <c r="AI465" s="32" t="str">
        <f t="shared" si="149"/>
        <v>Ridgewood Local SD</v>
      </c>
      <c r="AJ465" s="32" t="b">
        <f t="shared" si="150"/>
        <v>1</v>
      </c>
      <c r="AL465" s="32" t="str">
        <f>'St of Activities - GA Exp'!A465</f>
        <v>Ridgewood Local SD</v>
      </c>
      <c r="AN465" s="32" t="b">
        <f t="shared" si="152"/>
        <v>1</v>
      </c>
      <c r="AR465" s="32" t="str">
        <f t="shared" si="153"/>
        <v>Coshocton</v>
      </c>
      <c r="AS465" s="32" t="str">
        <f>'St of Activites - GA Rev'!C465</f>
        <v>Coshocton</v>
      </c>
      <c r="AT465" s="32" t="b">
        <f t="shared" si="151"/>
        <v>1</v>
      </c>
      <c r="AU465" s="32" t="str">
        <f>'St of Activities - GA Exp'!C465</f>
        <v>Coshocton</v>
      </c>
      <c r="AV465" s="56"/>
      <c r="AW465" s="32" t="b">
        <f t="shared" si="154"/>
        <v>1</v>
      </c>
    </row>
    <row r="466" spans="1:49" s="65" customFormat="1" hidden="1">
      <c r="A466" s="62" t="s">
        <v>969</v>
      </c>
      <c r="B466" s="62"/>
      <c r="C466" s="62" t="s">
        <v>77</v>
      </c>
      <c r="D466" s="62"/>
      <c r="E466" s="64">
        <v>46078</v>
      </c>
      <c r="G466" s="65">
        <f t="shared" si="135"/>
        <v>0</v>
      </c>
      <c r="M466" s="65">
        <f t="shared" si="117"/>
        <v>0</v>
      </c>
      <c r="W466" s="65">
        <f t="shared" si="134"/>
        <v>0</v>
      </c>
      <c r="AB466" s="65">
        <f t="shared" si="136"/>
        <v>0</v>
      </c>
      <c r="AD466" s="66">
        <f t="shared" si="137"/>
        <v>0</v>
      </c>
      <c r="AE466" s="65" t="s">
        <v>903</v>
      </c>
      <c r="AF466" s="66"/>
      <c r="AH466" s="66" t="str">
        <f>'St of Activites - GA Rev'!A466</f>
        <v>Ripley Union Lewis Huntington Local SD (CASH)</v>
      </c>
      <c r="AI466" s="66" t="str">
        <f t="shared" si="149"/>
        <v>Ripley Union Lewis Huntington Local SD (CASH)</v>
      </c>
      <c r="AJ466" s="66" t="b">
        <f t="shared" si="150"/>
        <v>1</v>
      </c>
      <c r="AL466" s="66" t="str">
        <f>'St of Activities - GA Exp'!A466</f>
        <v>Ripley Union Lewis Huntington Local SD (CASH)</v>
      </c>
      <c r="AN466" s="66" t="b">
        <f t="shared" si="152"/>
        <v>1</v>
      </c>
      <c r="AR466" s="66" t="str">
        <f t="shared" si="153"/>
        <v>Brown</v>
      </c>
      <c r="AS466" s="66" t="str">
        <f>'St of Activites - GA Rev'!C466</f>
        <v>Brown</v>
      </c>
      <c r="AT466" s="66" t="b">
        <f t="shared" si="151"/>
        <v>1</v>
      </c>
      <c r="AU466" s="66" t="str">
        <f>'St of Activities - GA Exp'!C466</f>
        <v>Brown</v>
      </c>
      <c r="AV466" s="86"/>
      <c r="AW466" s="66" t="b">
        <f t="shared" si="154"/>
        <v>1</v>
      </c>
    </row>
    <row r="467" spans="1:49" s="65" customFormat="1" hidden="1">
      <c r="A467" s="62" t="s">
        <v>970</v>
      </c>
      <c r="B467" s="62"/>
      <c r="C467" s="62" t="s">
        <v>71</v>
      </c>
      <c r="D467" s="62"/>
      <c r="E467" s="64">
        <v>45591</v>
      </c>
      <c r="G467" s="65">
        <f t="shared" si="135"/>
        <v>0</v>
      </c>
      <c r="M467" s="65">
        <f t="shared" si="117"/>
        <v>0</v>
      </c>
      <c r="W467" s="65">
        <f t="shared" si="134"/>
        <v>0</v>
      </c>
      <c r="AB467" s="65">
        <f t="shared" si="136"/>
        <v>0</v>
      </c>
      <c r="AD467" s="66">
        <f t="shared" si="137"/>
        <v>0</v>
      </c>
      <c r="AE467" s="65" t="s">
        <v>903</v>
      </c>
      <c r="AF467" s="66"/>
      <c r="AH467" s="66" t="str">
        <f>'St of Activites - GA Rev'!A467</f>
        <v>Rittman Exempted Village SD (CASH)</v>
      </c>
      <c r="AI467" s="66" t="str">
        <f t="shared" si="149"/>
        <v>Rittman Exempted Village SD (CASH)</v>
      </c>
      <c r="AJ467" s="66" t="b">
        <f t="shared" si="150"/>
        <v>1</v>
      </c>
      <c r="AL467" s="66" t="str">
        <f>'St of Activities - GA Exp'!A467</f>
        <v>Rittman Exempted Village SD (CASH)</v>
      </c>
      <c r="AN467" s="66" t="b">
        <f t="shared" si="152"/>
        <v>1</v>
      </c>
      <c r="AR467" s="66" t="str">
        <f t="shared" si="153"/>
        <v>Wayne</v>
      </c>
      <c r="AS467" s="66" t="str">
        <f>'St of Activites - GA Rev'!C467</f>
        <v>Wayne</v>
      </c>
      <c r="AT467" s="66" t="b">
        <f t="shared" si="151"/>
        <v>1</v>
      </c>
      <c r="AU467" s="66" t="str">
        <f>'St of Activities - GA Exp'!C467</f>
        <v>Wayne</v>
      </c>
      <c r="AV467" s="86"/>
      <c r="AW467" s="66" t="b">
        <f t="shared" si="154"/>
        <v>1</v>
      </c>
    </row>
    <row r="468" spans="1:49">
      <c r="A468" s="11" t="s">
        <v>426</v>
      </c>
      <c r="B468" s="11"/>
      <c r="C468" s="11" t="s">
        <v>46</v>
      </c>
      <c r="D468" s="11"/>
      <c r="E468" s="29">
        <v>48447</v>
      </c>
      <c r="G468" s="7">
        <f t="shared" si="135"/>
        <v>13448347</v>
      </c>
      <c r="I468" s="7">
        <f>971089+36471078</f>
        <v>37442167</v>
      </c>
      <c r="K468" s="7">
        <v>50890514</v>
      </c>
      <c r="M468" s="7">
        <f t="shared" si="117"/>
        <v>6072403</v>
      </c>
      <c r="O468" s="7">
        <v>921917</v>
      </c>
      <c r="Q468" s="7">
        <f>14930529-921917</f>
        <v>14008612</v>
      </c>
      <c r="S468" s="7">
        <v>21002932</v>
      </c>
      <c r="U468" s="7">
        <v>23632168</v>
      </c>
      <c r="W468" s="7">
        <f t="shared" si="134"/>
        <v>3566651</v>
      </c>
      <c r="Y468" s="7">
        <v>2688763</v>
      </c>
      <c r="AA468" s="7">
        <v>29887582</v>
      </c>
      <c r="AB468" s="7">
        <f t="shared" si="136"/>
        <v>0</v>
      </c>
      <c r="AD468" s="32">
        <f t="shared" si="137"/>
        <v>0</v>
      </c>
      <c r="AF468" s="32"/>
      <c r="AH468" s="32" t="str">
        <f>'St of Activites - GA Rev'!A468</f>
        <v>River Valley Local SD</v>
      </c>
      <c r="AI468" s="32" t="str">
        <f t="shared" si="149"/>
        <v>River Valley Local SD</v>
      </c>
      <c r="AJ468" s="32" t="b">
        <f t="shared" si="150"/>
        <v>1</v>
      </c>
      <c r="AL468" s="32" t="str">
        <f>'St of Activities - GA Exp'!A468</f>
        <v>River Valley Local SD</v>
      </c>
      <c r="AN468" s="32" t="b">
        <f t="shared" si="152"/>
        <v>1</v>
      </c>
      <c r="AR468" s="32" t="str">
        <f t="shared" si="153"/>
        <v>Marion</v>
      </c>
      <c r="AS468" s="32" t="str">
        <f>'St of Activites - GA Rev'!C468</f>
        <v>Marion</v>
      </c>
      <c r="AT468" s="32" t="b">
        <f t="shared" si="151"/>
        <v>1</v>
      </c>
      <c r="AU468" s="32" t="str">
        <f>'St of Activities - GA Exp'!C468</f>
        <v>Marion</v>
      </c>
      <c r="AV468" s="56"/>
      <c r="AW468" s="32" t="b">
        <f t="shared" si="154"/>
        <v>1</v>
      </c>
    </row>
    <row r="469" spans="1:49">
      <c r="A469" s="11" t="s">
        <v>261</v>
      </c>
      <c r="B469" s="11"/>
      <c r="C469" s="11" t="s">
        <v>19</v>
      </c>
      <c r="D469" s="11"/>
      <c r="E469" s="29">
        <v>46482</v>
      </c>
      <c r="G469" s="7">
        <f t="shared" si="135"/>
        <v>19567345</v>
      </c>
      <c r="I469" s="7">
        <f>649647+6391343</f>
        <v>7040990</v>
      </c>
      <c r="K469" s="7">
        <v>26608335</v>
      </c>
      <c r="M469" s="7">
        <f t="shared" si="117"/>
        <v>11553147</v>
      </c>
      <c r="O469" s="7">
        <v>202401</v>
      </c>
      <c r="Q469" s="7">
        <f>2190137-202401</f>
        <v>1987736</v>
      </c>
      <c r="S469" s="7">
        <v>13743284</v>
      </c>
      <c r="U469" s="7">
        <v>5688413</v>
      </c>
      <c r="W469" s="7">
        <f t="shared" si="134"/>
        <v>2924597</v>
      </c>
      <c r="Y469" s="7">
        <v>4252041</v>
      </c>
      <c r="AA469" s="7">
        <v>12865051</v>
      </c>
      <c r="AB469" s="7">
        <f t="shared" si="136"/>
        <v>0</v>
      </c>
      <c r="AD469" s="32">
        <f t="shared" si="137"/>
        <v>0</v>
      </c>
      <c r="AF469" s="32"/>
      <c r="AH469" s="32" t="str">
        <f>'St of Activites - GA Rev'!A469</f>
        <v>River View Local SD</v>
      </c>
      <c r="AI469" s="32" t="str">
        <f t="shared" si="149"/>
        <v>River View Local SD</v>
      </c>
      <c r="AJ469" s="32" t="b">
        <f t="shared" si="150"/>
        <v>1</v>
      </c>
      <c r="AL469" s="32" t="str">
        <f>'St of Activities - GA Exp'!A469</f>
        <v>River View Local SD</v>
      </c>
      <c r="AN469" s="32" t="b">
        <f t="shared" si="152"/>
        <v>1</v>
      </c>
      <c r="AR469" s="32" t="str">
        <f t="shared" si="153"/>
        <v>Coshocton</v>
      </c>
      <c r="AS469" s="32" t="str">
        <f>'St of Activites - GA Rev'!C469</f>
        <v>Coshocton</v>
      </c>
      <c r="AT469" s="32" t="b">
        <f t="shared" si="151"/>
        <v>1</v>
      </c>
      <c r="AU469" s="32" t="str">
        <f>'St of Activities - GA Exp'!C469</f>
        <v>Coshocton</v>
      </c>
      <c r="AV469" s="56"/>
      <c r="AW469" s="32" t="b">
        <f t="shared" si="154"/>
        <v>1</v>
      </c>
    </row>
    <row r="470" spans="1:49" s="65" customFormat="1" hidden="1">
      <c r="A470" s="62" t="s">
        <v>971</v>
      </c>
      <c r="B470" s="62"/>
      <c r="C470" s="62" t="s">
        <v>348</v>
      </c>
      <c r="D470" s="62"/>
      <c r="E470" s="64">
        <v>47514</v>
      </c>
      <c r="G470" s="65">
        <f t="shared" si="135"/>
        <v>0</v>
      </c>
      <c r="M470" s="65">
        <f t="shared" si="117"/>
        <v>0</v>
      </c>
      <c r="W470" s="65">
        <f t="shared" si="134"/>
        <v>0</v>
      </c>
      <c r="AB470" s="65">
        <f t="shared" si="136"/>
        <v>0</v>
      </c>
      <c r="AD470" s="66">
        <f t="shared" si="137"/>
        <v>0</v>
      </c>
      <c r="AE470" s="65" t="s">
        <v>912</v>
      </c>
      <c r="AF470" s="66"/>
      <c r="AH470" s="66" t="str">
        <f>'St of Activites - GA Rev'!A470</f>
        <v>Riverdale Local SD (CASH)</v>
      </c>
      <c r="AI470" s="66" t="str">
        <f t="shared" si="149"/>
        <v>Riverdale Local SD (CASH)</v>
      </c>
      <c r="AJ470" s="66" t="b">
        <f t="shared" si="150"/>
        <v>1</v>
      </c>
      <c r="AL470" s="66" t="str">
        <f>'St of Activities - GA Exp'!A470</f>
        <v>Riverdale Local SD (CASH)</v>
      </c>
      <c r="AN470" s="66" t="b">
        <f t="shared" si="152"/>
        <v>1</v>
      </c>
      <c r="AR470" s="66" t="str">
        <f t="shared" si="153"/>
        <v>Hardin</v>
      </c>
      <c r="AS470" s="66" t="str">
        <f>'St of Activites - GA Rev'!C470</f>
        <v>Hardin</v>
      </c>
      <c r="AT470" s="66" t="b">
        <f t="shared" si="151"/>
        <v>1</v>
      </c>
      <c r="AU470" s="66" t="str">
        <f>'St of Activities - GA Exp'!C470</f>
        <v>Hardin</v>
      </c>
      <c r="AV470" s="86"/>
      <c r="AW470" s="66" t="b">
        <f t="shared" si="154"/>
        <v>1</v>
      </c>
    </row>
    <row r="471" spans="1:49">
      <c r="A471" s="11" t="s">
        <v>391</v>
      </c>
      <c r="B471" s="11"/>
      <c r="C471" s="11" t="s">
        <v>41</v>
      </c>
      <c r="D471" s="11"/>
      <c r="E471" s="29"/>
      <c r="G471" s="7">
        <f t="shared" si="135"/>
        <v>32605340</v>
      </c>
      <c r="I471" s="7">
        <f>1944524+14102500</f>
        <v>16047024</v>
      </c>
      <c r="K471" s="7">
        <v>48652364</v>
      </c>
      <c r="M471" s="7">
        <f t="shared" ref="M471:M533" si="155">+S471-O471-Q471</f>
        <v>29927250</v>
      </c>
      <c r="O471" s="7">
        <v>1130488</v>
      </c>
      <c r="Q471" s="7">
        <f>5149687-1130488</f>
        <v>4019199</v>
      </c>
      <c r="S471" s="7">
        <v>35076937</v>
      </c>
      <c r="U471" s="7">
        <v>11984887</v>
      </c>
      <c r="W471" s="7">
        <f t="shared" si="134"/>
        <v>2557531</v>
      </c>
      <c r="Y471" s="7">
        <v>-966991</v>
      </c>
      <c r="AA471" s="7">
        <v>13575427</v>
      </c>
      <c r="AB471" s="7">
        <f t="shared" si="136"/>
        <v>0</v>
      </c>
      <c r="AD471" s="32">
        <f t="shared" si="137"/>
        <v>0</v>
      </c>
      <c r="AF471" s="32"/>
      <c r="AH471" s="32" t="str">
        <f>'St of Activites - GA Rev'!A471</f>
        <v>Riverside Local SD</v>
      </c>
      <c r="AI471" s="32" t="str">
        <f t="shared" si="149"/>
        <v>Riverside Local SD</v>
      </c>
      <c r="AJ471" s="32" t="b">
        <f t="shared" si="150"/>
        <v>1</v>
      </c>
      <c r="AL471" s="32" t="str">
        <f>'St of Activities - GA Exp'!A471</f>
        <v>Riverside Local SD</v>
      </c>
      <c r="AN471" s="32" t="b">
        <f t="shared" si="152"/>
        <v>1</v>
      </c>
      <c r="AR471" s="32" t="str">
        <f t="shared" si="153"/>
        <v>Lake</v>
      </c>
      <c r="AS471" s="32" t="str">
        <f>'St of Activites - GA Rev'!C471</f>
        <v>Lake</v>
      </c>
      <c r="AT471" s="32" t="b">
        <f t="shared" si="151"/>
        <v>1</v>
      </c>
      <c r="AU471" s="32" t="str">
        <f>'St of Activities - GA Exp'!C471</f>
        <v>Lake</v>
      </c>
      <c r="AV471" s="56"/>
      <c r="AW471" s="32" t="b">
        <f t="shared" si="154"/>
        <v>1</v>
      </c>
    </row>
    <row r="472" spans="1:49">
      <c r="A472" s="11" t="s">
        <v>391</v>
      </c>
      <c r="B472" s="11"/>
      <c r="C472" s="11" t="s">
        <v>43</v>
      </c>
      <c r="D472" s="11"/>
      <c r="E472" s="29">
        <v>48090</v>
      </c>
      <c r="G472" s="7">
        <f t="shared" si="135"/>
        <v>3432663</v>
      </c>
      <c r="I472" s="7">
        <v>11434980</v>
      </c>
      <c r="K472" s="7">
        <v>14867643</v>
      </c>
      <c r="M472" s="7">
        <f t="shared" si="155"/>
        <v>1879562</v>
      </c>
      <c r="O472" s="7">
        <v>204836</v>
      </c>
      <c r="Q472" s="7">
        <f>2493543-204836</f>
        <v>2288707</v>
      </c>
      <c r="S472" s="7">
        <v>4373105</v>
      </c>
      <c r="U472" s="7">
        <v>9829846</v>
      </c>
      <c r="W472" s="7">
        <f t="shared" si="134"/>
        <v>935734</v>
      </c>
      <c r="Y472" s="7">
        <v>-271042</v>
      </c>
      <c r="AA472" s="7">
        <v>10494538</v>
      </c>
      <c r="AB472" s="7">
        <f t="shared" si="136"/>
        <v>0</v>
      </c>
      <c r="AD472" s="32">
        <f t="shared" si="137"/>
        <v>0</v>
      </c>
      <c r="AF472" s="32"/>
      <c r="AH472" s="32" t="str">
        <f>'St of Activites - GA Rev'!A472</f>
        <v>Riverside Local SD</v>
      </c>
      <c r="AI472" s="32" t="str">
        <f t="shared" si="149"/>
        <v>Riverside Local SD</v>
      </c>
      <c r="AJ472" s="32" t="b">
        <f t="shared" si="150"/>
        <v>1</v>
      </c>
      <c r="AL472" s="32" t="str">
        <f>'St of Activities - GA Exp'!A472</f>
        <v>Riverside Local SD</v>
      </c>
      <c r="AN472" s="32" t="b">
        <f t="shared" si="152"/>
        <v>1</v>
      </c>
      <c r="AR472" s="32" t="str">
        <f t="shared" si="153"/>
        <v>Logan</v>
      </c>
      <c r="AS472" s="32" t="str">
        <f>'St of Activites - GA Rev'!C472</f>
        <v>Logan</v>
      </c>
      <c r="AT472" s="32" t="b">
        <f t="shared" si="151"/>
        <v>1</v>
      </c>
      <c r="AU472" s="32" t="str">
        <f>'St of Activities - GA Exp'!C472</f>
        <v>Logan</v>
      </c>
      <c r="AV472" s="56"/>
      <c r="AW472" s="32" t="b">
        <f t="shared" si="154"/>
        <v>1</v>
      </c>
    </row>
    <row r="473" spans="1:49">
      <c r="A473" s="11" t="s">
        <v>381</v>
      </c>
      <c r="B473" s="11"/>
      <c r="C473" s="11" t="s">
        <v>377</v>
      </c>
      <c r="D473" s="11"/>
      <c r="E473" s="29">
        <v>47944</v>
      </c>
      <c r="G473" s="7">
        <f t="shared" si="135"/>
        <v>11257291</v>
      </c>
      <c r="I473" s="7">
        <f>817657+34175647</f>
        <v>34993304</v>
      </c>
      <c r="K473" s="7">
        <v>46250595</v>
      </c>
      <c r="M473" s="7">
        <f t="shared" si="155"/>
        <v>4492426</v>
      </c>
      <c r="O473" s="7">
        <v>28542</v>
      </c>
      <c r="Q473" s="7">
        <f>1082311-28542</f>
        <v>1053769</v>
      </c>
      <c r="S473" s="7">
        <v>5574737</v>
      </c>
      <c r="U473" s="7">
        <v>3499304</v>
      </c>
      <c r="W473" s="7">
        <f t="shared" si="134"/>
        <v>37948090</v>
      </c>
      <c r="Y473" s="7">
        <v>-771536</v>
      </c>
      <c r="AA473" s="7">
        <v>40675858</v>
      </c>
      <c r="AB473" s="7">
        <f t="shared" si="136"/>
        <v>0</v>
      </c>
      <c r="AD473" s="32">
        <f t="shared" si="137"/>
        <v>0</v>
      </c>
      <c r="AF473" s="32"/>
      <c r="AH473" s="32" t="str">
        <f>'St of Activites - GA Rev'!A473</f>
        <v>Rock Hill Local SD</v>
      </c>
      <c r="AI473" s="32" t="str">
        <f t="shared" si="149"/>
        <v>Rock Hill Local SD</v>
      </c>
      <c r="AJ473" s="32" t="b">
        <f t="shared" si="150"/>
        <v>1</v>
      </c>
      <c r="AL473" s="32" t="str">
        <f>'St of Activities - GA Exp'!A473</f>
        <v>Rock Hill Local SD</v>
      </c>
      <c r="AN473" s="32" t="b">
        <f t="shared" si="152"/>
        <v>1</v>
      </c>
      <c r="AR473" s="32" t="str">
        <f t="shared" si="153"/>
        <v>Lawrence</v>
      </c>
      <c r="AS473" s="32" t="str">
        <f>'St of Activites - GA Rev'!C473</f>
        <v>Lawrence</v>
      </c>
      <c r="AT473" s="32" t="b">
        <f t="shared" si="151"/>
        <v>1</v>
      </c>
      <c r="AU473" s="32" t="str">
        <f>'St of Activities - GA Exp'!C473</f>
        <v>Lawrence</v>
      </c>
      <c r="AV473" s="56"/>
      <c r="AW473" s="32" t="b">
        <f t="shared" si="154"/>
        <v>1</v>
      </c>
    </row>
    <row r="474" spans="1:49">
      <c r="A474" s="12" t="s">
        <v>753</v>
      </c>
      <c r="B474" s="11"/>
      <c r="C474" s="11" t="s">
        <v>20</v>
      </c>
      <c r="D474" s="11"/>
      <c r="E474" s="29">
        <v>44701</v>
      </c>
      <c r="G474" s="7">
        <f t="shared" si="135"/>
        <v>74573841</v>
      </c>
      <c r="I474" s="7">
        <v>27256202</v>
      </c>
      <c r="K474" s="7">
        <v>101830043</v>
      </c>
      <c r="M474" s="7">
        <f t="shared" si="155"/>
        <v>28856695</v>
      </c>
      <c r="O474" s="7">
        <v>3631575</v>
      </c>
      <c r="Q474" s="7">
        <f>61412669-3631575</f>
        <v>57781094</v>
      </c>
      <c r="S474" s="7">
        <v>90269364</v>
      </c>
      <c r="U474" s="7">
        <v>10062317</v>
      </c>
      <c r="W474" s="7">
        <f t="shared" si="134"/>
        <v>4054466</v>
      </c>
      <c r="Y474" s="7">
        <v>-2556104</v>
      </c>
      <c r="AA474" s="7">
        <v>11560679</v>
      </c>
      <c r="AB474" s="7">
        <f t="shared" si="136"/>
        <v>0</v>
      </c>
      <c r="AD474" s="32">
        <f t="shared" si="137"/>
        <v>0</v>
      </c>
      <c r="AF474" s="32"/>
      <c r="AH474" s="32" t="str">
        <f>'St of Activites - GA Rev'!A474</f>
        <v xml:space="preserve">Rocky River City SD </v>
      </c>
      <c r="AI474" s="32" t="str">
        <f t="shared" si="149"/>
        <v xml:space="preserve">Rocky River City SD </v>
      </c>
      <c r="AJ474" s="32" t="b">
        <f t="shared" si="150"/>
        <v>1</v>
      </c>
      <c r="AL474" s="32" t="str">
        <f>'St of Activities - GA Exp'!A474</f>
        <v xml:space="preserve">Rocky River City SD </v>
      </c>
      <c r="AN474" s="32" t="b">
        <f t="shared" si="152"/>
        <v>1</v>
      </c>
      <c r="AR474" s="32" t="str">
        <f t="shared" si="153"/>
        <v>Cuyahoga</v>
      </c>
      <c r="AS474" s="32" t="str">
        <f>'St of Activites - GA Rev'!C474</f>
        <v>Cuyahoga</v>
      </c>
      <c r="AT474" s="32" t="b">
        <f t="shared" si="151"/>
        <v>1</v>
      </c>
      <c r="AU474" s="32" t="str">
        <f>'St of Activities - GA Exp'!C474</f>
        <v>Cuyahoga</v>
      </c>
      <c r="AV474" s="56"/>
      <c r="AW474" s="32" t="b">
        <f t="shared" si="154"/>
        <v>1</v>
      </c>
    </row>
    <row r="475" spans="1:49">
      <c r="A475" s="11" t="s">
        <v>329</v>
      </c>
      <c r="B475" s="11"/>
      <c r="C475" s="11" t="s">
        <v>31</v>
      </c>
      <c r="D475" s="11"/>
      <c r="E475" s="29">
        <v>47308</v>
      </c>
      <c r="G475" s="7">
        <f t="shared" si="135"/>
        <v>11732467</v>
      </c>
      <c r="I475" s="7">
        <f>214502+12176332</f>
        <v>12390834</v>
      </c>
      <c r="K475" s="7">
        <v>24123301</v>
      </c>
      <c r="M475" s="7">
        <f t="shared" si="155"/>
        <v>6106569</v>
      </c>
      <c r="O475" s="7">
        <v>293825</v>
      </c>
      <c r="Q475" s="7">
        <f>1864658-293825</f>
        <v>1570833</v>
      </c>
      <c r="S475" s="7">
        <v>7971227</v>
      </c>
      <c r="U475" s="7">
        <v>11763861</v>
      </c>
      <c r="W475" s="7">
        <f t="shared" si="134"/>
        <v>724566</v>
      </c>
      <c r="Y475" s="7">
        <v>3663647</v>
      </c>
      <c r="AA475" s="7">
        <v>16152074</v>
      </c>
      <c r="AB475" s="7">
        <f t="shared" si="136"/>
        <v>0</v>
      </c>
      <c r="AD475" s="32">
        <f t="shared" si="137"/>
        <v>0</v>
      </c>
      <c r="AF475" s="32"/>
      <c r="AH475" s="32" t="str">
        <f>'St of Activites - GA Rev'!A475</f>
        <v>Rolling Hills Local SD</v>
      </c>
      <c r="AI475" s="32" t="str">
        <f t="shared" si="149"/>
        <v>Rolling Hills Local SD</v>
      </c>
      <c r="AJ475" s="32" t="b">
        <f t="shared" si="150"/>
        <v>1</v>
      </c>
      <c r="AL475" s="32" t="str">
        <f>'St of Activities - GA Exp'!A475</f>
        <v>Rolling Hills Local SD</v>
      </c>
      <c r="AN475" s="32" t="b">
        <f t="shared" si="152"/>
        <v>1</v>
      </c>
      <c r="AR475" s="32" t="str">
        <f t="shared" si="153"/>
        <v>Guernsey</v>
      </c>
      <c r="AS475" s="32" t="str">
        <f>'St of Activites - GA Rev'!C475</f>
        <v>Guernsey</v>
      </c>
      <c r="AT475" s="32" t="b">
        <f t="shared" si="151"/>
        <v>1</v>
      </c>
      <c r="AU475" s="32" t="str">
        <f>'St of Activities - GA Exp'!C475</f>
        <v>Guernsey</v>
      </c>
      <c r="AV475" s="56"/>
      <c r="AW475" s="32" t="b">
        <f t="shared" si="154"/>
        <v>1</v>
      </c>
    </row>
    <row r="476" spans="1:49">
      <c r="A476" s="11" t="s">
        <v>477</v>
      </c>
      <c r="B476" s="11"/>
      <c r="C476" s="11" t="s">
        <v>56</v>
      </c>
      <c r="D476" s="11"/>
      <c r="E476" s="29">
        <v>49213</v>
      </c>
      <c r="G476" s="7">
        <f t="shared" si="135"/>
        <v>7133240</v>
      </c>
      <c r="I476" s="7">
        <f>779700+1688487</f>
        <v>2468187</v>
      </c>
      <c r="K476" s="7">
        <v>9601427</v>
      </c>
      <c r="M476" s="7">
        <f t="shared" si="155"/>
        <v>5807481</v>
      </c>
      <c r="O476" s="7">
        <v>40865</v>
      </c>
      <c r="Q476" s="7">
        <v>391045</v>
      </c>
      <c r="S476" s="7">
        <v>6239391</v>
      </c>
      <c r="U476" s="7">
        <v>2468187</v>
      </c>
      <c r="W476" s="7">
        <f t="shared" si="134"/>
        <v>961071</v>
      </c>
      <c r="Y476" s="7">
        <v>-67222</v>
      </c>
      <c r="AA476" s="7">
        <v>3362036</v>
      </c>
      <c r="AB476" s="7">
        <f t="shared" si="136"/>
        <v>0</v>
      </c>
      <c r="AD476" s="32">
        <f t="shared" si="137"/>
        <v>0</v>
      </c>
      <c r="AE476" s="7" t="s">
        <v>972</v>
      </c>
      <c r="AF476" s="32"/>
      <c r="AH476" s="32" t="str">
        <f>'St of Activites - GA Rev'!A476</f>
        <v>Rootstown Local SD</v>
      </c>
      <c r="AI476" s="32" t="str">
        <f t="shared" si="149"/>
        <v>Rootstown Local SD</v>
      </c>
      <c r="AJ476" s="32" t="b">
        <f t="shared" si="150"/>
        <v>1</v>
      </c>
      <c r="AL476" s="32" t="str">
        <f>'St of Activities - GA Exp'!A476</f>
        <v>Rootstown Local SD</v>
      </c>
      <c r="AN476" s="32" t="b">
        <f t="shared" si="152"/>
        <v>1</v>
      </c>
      <c r="AR476" s="32" t="str">
        <f t="shared" si="153"/>
        <v>Portage</v>
      </c>
      <c r="AS476" s="32" t="str">
        <f>'St of Activites - GA Rev'!C476</f>
        <v>Portage</v>
      </c>
      <c r="AT476" s="32" t="b">
        <f t="shared" si="151"/>
        <v>1</v>
      </c>
      <c r="AU476" s="32" t="str">
        <f>'St of Activities - GA Exp'!C476</f>
        <v>Portage</v>
      </c>
      <c r="AV476" s="56"/>
      <c r="AW476" s="32" t="b">
        <f t="shared" si="154"/>
        <v>1</v>
      </c>
    </row>
    <row r="477" spans="1:49">
      <c r="A477" s="11" t="s">
        <v>754</v>
      </c>
      <c r="B477" s="11"/>
      <c r="C477" s="11" t="s">
        <v>223</v>
      </c>
      <c r="D477" s="11"/>
      <c r="E477" s="29">
        <v>46144</v>
      </c>
      <c r="G477" s="7">
        <f t="shared" si="135"/>
        <v>29955409</v>
      </c>
      <c r="I477" s="7">
        <f>18498762+31415361</f>
        <v>49914123</v>
      </c>
      <c r="K477" s="7">
        <v>79869532</v>
      </c>
      <c r="M477" s="7">
        <f t="shared" si="155"/>
        <v>14669000</v>
      </c>
      <c r="O477" s="7">
        <v>1210226</v>
      </c>
      <c r="Q477" s="7">
        <f>21416588-1210226</f>
        <v>20206362</v>
      </c>
      <c r="S477" s="7">
        <v>36085588</v>
      </c>
      <c r="U477" s="7">
        <v>29821233</v>
      </c>
      <c r="W477" s="7">
        <f t="shared" si="134"/>
        <v>11081744</v>
      </c>
      <c r="Y477" s="7">
        <v>2880967</v>
      </c>
      <c r="AA477" s="7">
        <v>43783944</v>
      </c>
      <c r="AB477" s="7">
        <f t="shared" si="136"/>
        <v>0</v>
      </c>
      <c r="AD477" s="32">
        <f t="shared" si="137"/>
        <v>0</v>
      </c>
      <c r="AF477" s="32"/>
      <c r="AH477" s="32" t="str">
        <f>'St of Activites - GA Rev'!A477</f>
        <v xml:space="preserve">Ross Local SD </v>
      </c>
      <c r="AI477" s="32" t="str">
        <f t="shared" si="149"/>
        <v xml:space="preserve">Ross Local SD </v>
      </c>
      <c r="AJ477" s="32" t="b">
        <f t="shared" si="150"/>
        <v>1</v>
      </c>
      <c r="AL477" s="32" t="str">
        <f>'St of Activities - GA Exp'!A477</f>
        <v xml:space="preserve">Ross Local SD </v>
      </c>
      <c r="AN477" s="32" t="b">
        <f t="shared" si="152"/>
        <v>1</v>
      </c>
      <c r="AR477" s="32" t="str">
        <f t="shared" si="153"/>
        <v>Butler</v>
      </c>
      <c r="AS477" s="32" t="str">
        <f>'St of Activites - GA Rev'!C477</f>
        <v>Butler</v>
      </c>
      <c r="AT477" s="32" t="b">
        <f t="shared" si="151"/>
        <v>1</v>
      </c>
      <c r="AU477" s="32" t="str">
        <f>'St of Activities - GA Exp'!C477</f>
        <v>Butler</v>
      </c>
      <c r="AV477" s="56"/>
      <c r="AW477" s="32" t="b">
        <f t="shared" si="154"/>
        <v>1</v>
      </c>
    </row>
    <row r="478" spans="1:49">
      <c r="A478" s="11" t="s">
        <v>886</v>
      </c>
      <c r="B478" s="11"/>
      <c r="C478" s="11" t="s">
        <v>72</v>
      </c>
      <c r="D478" s="11"/>
      <c r="E478" s="29">
        <v>45609</v>
      </c>
      <c r="G478" s="7">
        <f t="shared" si="135"/>
        <v>24723412</v>
      </c>
      <c r="I478" s="7">
        <f>6178589+4467877</f>
        <v>10646466</v>
      </c>
      <c r="K478" s="7">
        <v>35369878</v>
      </c>
      <c r="M478" s="7">
        <f t="shared" si="155"/>
        <v>13664528</v>
      </c>
      <c r="O478" s="7">
        <v>201480</v>
      </c>
      <c r="Q478" s="7">
        <f>1930603-201480</f>
        <v>1729123</v>
      </c>
      <c r="S478" s="7">
        <v>15595131</v>
      </c>
      <c r="U478" s="7">
        <v>10646466</v>
      </c>
      <c r="W478" s="7">
        <f t="shared" si="134"/>
        <v>1836104</v>
      </c>
      <c r="Y478" s="7">
        <v>7292177</v>
      </c>
      <c r="AA478" s="7">
        <v>19774747</v>
      </c>
      <c r="AB478" s="7">
        <f>+K478-S478-AA478</f>
        <v>0</v>
      </c>
      <c r="AD478" s="32">
        <f t="shared" si="137"/>
        <v>0</v>
      </c>
      <c r="AF478" s="32"/>
      <c r="AH478" s="32" t="str">
        <f>'St of Activites - GA Rev'!A478</f>
        <v>Rossford Exempted Village SD</v>
      </c>
      <c r="AI478" s="32" t="str">
        <f t="shared" si="149"/>
        <v>Rossford Exempted Village SD</v>
      </c>
      <c r="AJ478" s="32" t="b">
        <f t="shared" si="150"/>
        <v>1</v>
      </c>
      <c r="AL478" s="32" t="str">
        <f>'St of Activities - GA Exp'!A478</f>
        <v>Rossford Exempted Village SD</v>
      </c>
      <c r="AN478" s="32" t="b">
        <f t="shared" si="152"/>
        <v>1</v>
      </c>
      <c r="AR478" s="32" t="str">
        <f t="shared" si="153"/>
        <v>Wood</v>
      </c>
      <c r="AS478" s="32" t="str">
        <f>'St of Activites - GA Rev'!C478</f>
        <v>Wood</v>
      </c>
      <c r="AT478" s="32" t="b">
        <f t="shared" si="151"/>
        <v>1</v>
      </c>
      <c r="AU478" s="32" t="str">
        <f>'St of Activities - GA Exp'!C478</f>
        <v>Wood</v>
      </c>
      <c r="AV478" s="56"/>
      <c r="AW478" s="32" t="b">
        <f t="shared" si="154"/>
        <v>1</v>
      </c>
    </row>
    <row r="479" spans="1:49">
      <c r="A479" s="11" t="s">
        <v>507</v>
      </c>
      <c r="B479" s="11"/>
      <c r="C479" s="11" t="s">
        <v>61</v>
      </c>
      <c r="D479" s="11"/>
      <c r="E479" s="29">
        <v>49817</v>
      </c>
      <c r="G479" s="7">
        <f t="shared" si="135"/>
        <v>6475250</v>
      </c>
      <c r="I479" s="7">
        <f>5158157+4164418+18000</f>
        <v>9340575</v>
      </c>
      <c r="K479" s="7">
        <v>15815825</v>
      </c>
      <c r="M479" s="7">
        <f t="shared" si="155"/>
        <v>2431346</v>
      </c>
      <c r="O479" s="7">
        <v>205000</v>
      </c>
      <c r="Q479" s="7">
        <f>5737544-205000</f>
        <v>5532544</v>
      </c>
      <c r="S479" s="7">
        <v>8168890</v>
      </c>
      <c r="U479" s="7">
        <v>5731550</v>
      </c>
      <c r="W479" s="7">
        <f t="shared" si="134"/>
        <v>3007127</v>
      </c>
      <c r="Y479" s="7">
        <v>-1091742</v>
      </c>
      <c r="AA479" s="7">
        <v>7646935</v>
      </c>
      <c r="AB479" s="7">
        <f t="shared" si="136"/>
        <v>0</v>
      </c>
      <c r="AD479" s="32">
        <f t="shared" si="137"/>
        <v>0</v>
      </c>
      <c r="AF479" s="32"/>
      <c r="AH479" s="32" t="str">
        <f>'St of Activites - GA Rev'!A479</f>
        <v>Russia Local SD</v>
      </c>
      <c r="AI479" s="32" t="str">
        <f t="shared" si="149"/>
        <v>Russia Local SD</v>
      </c>
      <c r="AJ479" s="32" t="b">
        <f t="shared" si="150"/>
        <v>1</v>
      </c>
      <c r="AL479" s="32" t="str">
        <f>'St of Activities - GA Exp'!A479</f>
        <v>Russia Local SD</v>
      </c>
      <c r="AN479" s="32" t="b">
        <f t="shared" si="152"/>
        <v>1</v>
      </c>
      <c r="AR479" s="32" t="str">
        <f t="shared" si="153"/>
        <v>Shelby</v>
      </c>
      <c r="AS479" s="32" t="str">
        <f>'St of Activites - GA Rev'!C479</f>
        <v>Shelby</v>
      </c>
      <c r="AT479" s="32" t="b">
        <f t="shared" si="151"/>
        <v>1</v>
      </c>
      <c r="AU479" s="32" t="str">
        <f>'St of Activities - GA Exp'!C479</f>
        <v>Shelby</v>
      </c>
      <c r="AV479" s="56"/>
      <c r="AW479" s="32" t="b">
        <f t="shared" si="154"/>
        <v>1</v>
      </c>
    </row>
    <row r="480" spans="1:49">
      <c r="A480" s="11" t="s">
        <v>632</v>
      </c>
      <c r="B480" s="11"/>
      <c r="C480" s="11" t="s">
        <v>112</v>
      </c>
      <c r="D480" s="11"/>
      <c r="E480" s="29"/>
      <c r="G480" s="7">
        <f t="shared" ref="G480:G520" si="156">+K480-I480</f>
        <v>13880984</v>
      </c>
      <c r="I480" s="7">
        <f>616076+6755474</f>
        <v>7371550</v>
      </c>
      <c r="K480" s="7">
        <v>21252534</v>
      </c>
      <c r="M480" s="7">
        <f t="shared" si="155"/>
        <v>11164405</v>
      </c>
      <c r="O480" s="7">
        <v>510634</v>
      </c>
      <c r="Q480" s="7">
        <v>3134559</v>
      </c>
      <c r="S480" s="7">
        <v>14809598</v>
      </c>
      <c r="U480" s="7">
        <v>5631550</v>
      </c>
      <c r="W480" s="7">
        <f t="shared" si="134"/>
        <v>1116867</v>
      </c>
      <c r="Y480" s="7">
        <v>-305481</v>
      </c>
      <c r="AA480" s="7">
        <v>6442936</v>
      </c>
      <c r="AB480" s="7">
        <f>+K480-S480-AA480</f>
        <v>0</v>
      </c>
      <c r="AD480" s="32">
        <f t="shared" si="137"/>
        <v>0</v>
      </c>
      <c r="AF480" s="32"/>
      <c r="AH480" s="32" t="str">
        <f>'St of Activites - GA Rev'!A480</f>
        <v>Salem City SD</v>
      </c>
      <c r="AI480" s="32" t="str">
        <f t="shared" si="149"/>
        <v>Salem City SD</v>
      </c>
      <c r="AJ480" s="32" t="b">
        <f t="shared" si="150"/>
        <v>1</v>
      </c>
      <c r="AL480" s="32" t="str">
        <f>'St of Activities - GA Exp'!A480</f>
        <v>Salem City SD</v>
      </c>
      <c r="AN480" s="32" t="b">
        <f t="shared" si="152"/>
        <v>1</v>
      </c>
      <c r="AR480" s="32" t="str">
        <f t="shared" si="153"/>
        <v>Columbiana</v>
      </c>
      <c r="AS480" s="32" t="str">
        <f>'St of Activites - GA Rev'!C480</f>
        <v>Columbiana</v>
      </c>
      <c r="AT480" s="32" t="b">
        <f t="shared" si="151"/>
        <v>1</v>
      </c>
      <c r="AU480" s="32" t="str">
        <f>'St of Activities - GA Exp'!C480</f>
        <v>Columbiana</v>
      </c>
      <c r="AW480" s="32" t="b">
        <f t="shared" si="154"/>
        <v>1</v>
      </c>
    </row>
    <row r="481" spans="1:49">
      <c r="A481" s="11" t="s">
        <v>296</v>
      </c>
      <c r="B481" s="11"/>
      <c r="C481" s="11" t="s">
        <v>24</v>
      </c>
      <c r="D481" s="11"/>
      <c r="E481" s="29">
        <v>44743</v>
      </c>
      <c r="F481" s="10"/>
      <c r="G481" s="7">
        <f t="shared" si="156"/>
        <v>30923472</v>
      </c>
      <c r="I481" s="7">
        <f>1928926+7412832</f>
        <v>9341758</v>
      </c>
      <c r="K481" s="7">
        <v>40265230</v>
      </c>
      <c r="M481" s="7">
        <f t="shared" si="155"/>
        <v>21697306</v>
      </c>
      <c r="O481" s="7">
        <v>929865</v>
      </c>
      <c r="Q481" s="7">
        <v>4152617</v>
      </c>
      <c r="S481" s="7">
        <v>26779788</v>
      </c>
      <c r="U481" s="7">
        <v>8898289</v>
      </c>
      <c r="W481" s="7">
        <f t="shared" si="134"/>
        <v>2402060</v>
      </c>
      <c r="Y481" s="7">
        <v>2185093</v>
      </c>
      <c r="AA481" s="7">
        <v>13485442</v>
      </c>
      <c r="AB481" s="7">
        <f t="shared" si="136"/>
        <v>0</v>
      </c>
      <c r="AD481" s="32">
        <f t="shared" si="137"/>
        <v>0</v>
      </c>
      <c r="AF481" s="32"/>
      <c r="AH481" s="32" t="str">
        <f>'St of Activites - GA Rev'!A481</f>
        <v>Sandusky City SD</v>
      </c>
      <c r="AI481" s="32" t="str">
        <f t="shared" si="149"/>
        <v>Sandusky City SD</v>
      </c>
      <c r="AJ481" s="32" t="b">
        <f t="shared" si="150"/>
        <v>1</v>
      </c>
      <c r="AL481" s="32" t="str">
        <f>'St of Activities - GA Exp'!A481</f>
        <v>Sandusky City SD</v>
      </c>
      <c r="AN481" s="32" t="b">
        <f t="shared" si="152"/>
        <v>1</v>
      </c>
      <c r="AR481" s="32" t="str">
        <f t="shared" si="153"/>
        <v>Erie</v>
      </c>
      <c r="AS481" s="32" t="str">
        <f>'St of Activites - GA Rev'!C481</f>
        <v>Erie</v>
      </c>
      <c r="AT481" s="32" t="b">
        <f t="shared" si="151"/>
        <v>1</v>
      </c>
      <c r="AU481" s="32" t="str">
        <f>'St of Activities - GA Exp'!C481</f>
        <v>Erie</v>
      </c>
      <c r="AW481" s="32" t="b">
        <f t="shared" si="154"/>
        <v>1</v>
      </c>
    </row>
    <row r="482" spans="1:49">
      <c r="A482" s="11" t="s">
        <v>520</v>
      </c>
      <c r="B482" s="11"/>
      <c r="C482" s="11" t="s">
        <v>62</v>
      </c>
      <c r="D482" s="11"/>
      <c r="E482" s="29">
        <v>49940</v>
      </c>
      <c r="G482" s="7">
        <f t="shared" si="156"/>
        <v>8894540</v>
      </c>
      <c r="I482" s="7">
        <v>39445434</v>
      </c>
      <c r="K482" s="7">
        <v>48339974</v>
      </c>
      <c r="M482" s="7">
        <f t="shared" si="155"/>
        <v>5376698</v>
      </c>
      <c r="O482" s="7">
        <v>567607</v>
      </c>
      <c r="Q482" s="7">
        <v>11788252</v>
      </c>
      <c r="S482" s="7">
        <v>17732557</v>
      </c>
      <c r="U482" s="7">
        <v>27858510</v>
      </c>
      <c r="W482" s="7">
        <f t="shared" si="134"/>
        <v>1599622</v>
      </c>
      <c r="Y482" s="7">
        <v>1149285</v>
      </c>
      <c r="AA482" s="7">
        <v>30607417</v>
      </c>
      <c r="AB482" s="7">
        <f t="shared" si="136"/>
        <v>0</v>
      </c>
      <c r="AD482" s="32">
        <f t="shared" si="137"/>
        <v>0</v>
      </c>
      <c r="AF482" s="32"/>
      <c r="AH482" s="32" t="str">
        <f>'St of Activites - GA Rev'!A482</f>
        <v>Sandy Valley Local SD</v>
      </c>
      <c r="AI482" s="32" t="str">
        <f t="shared" si="149"/>
        <v>Sandy Valley Local SD</v>
      </c>
      <c r="AJ482" s="32" t="b">
        <f t="shared" si="150"/>
        <v>1</v>
      </c>
      <c r="AL482" s="32" t="str">
        <f>'St of Activities - GA Exp'!A482</f>
        <v>Sandy Valley Local SD</v>
      </c>
      <c r="AN482" s="32" t="b">
        <f t="shared" si="152"/>
        <v>1</v>
      </c>
      <c r="AR482" s="32" t="str">
        <f t="shared" si="153"/>
        <v>Stark</v>
      </c>
      <c r="AS482" s="32" t="str">
        <f>'St of Activites - GA Rev'!C482</f>
        <v>Stark</v>
      </c>
      <c r="AT482" s="32" t="b">
        <f t="shared" si="151"/>
        <v>1</v>
      </c>
      <c r="AU482" s="32" t="str">
        <f>'St of Activities - GA Exp'!C482</f>
        <v>Stark</v>
      </c>
      <c r="AW482" s="32" t="b">
        <f t="shared" si="154"/>
        <v>1</v>
      </c>
    </row>
    <row r="483" spans="1:49">
      <c r="A483" s="11" t="s">
        <v>471</v>
      </c>
      <c r="B483" s="11"/>
      <c r="C483" s="11" t="s">
        <v>55</v>
      </c>
      <c r="D483" s="11"/>
      <c r="E483" s="29"/>
      <c r="F483" s="10"/>
      <c r="G483" s="7">
        <f t="shared" si="156"/>
        <v>12127832</v>
      </c>
      <c r="I483" s="7">
        <f>830500+22461521</f>
        <v>23292021</v>
      </c>
      <c r="K483" s="7">
        <v>35419853</v>
      </c>
      <c r="M483" s="7">
        <f t="shared" si="155"/>
        <v>4197030</v>
      </c>
      <c r="O483" s="7">
        <v>176425</v>
      </c>
      <c r="Q483" s="7">
        <v>2180446</v>
      </c>
      <c r="S483" s="7">
        <v>6553901</v>
      </c>
      <c r="U483" s="7">
        <v>21597738</v>
      </c>
      <c r="W483" s="7">
        <f t="shared" si="134"/>
        <v>2056446</v>
      </c>
      <c r="Y483" s="7">
        <v>5211768</v>
      </c>
      <c r="AA483" s="7">
        <v>28865952</v>
      </c>
      <c r="AB483" s="7">
        <f>+K483-S483-AA483</f>
        <v>0</v>
      </c>
      <c r="AD483" s="32">
        <f t="shared" si="137"/>
        <v>0</v>
      </c>
      <c r="AF483" s="32"/>
      <c r="AH483" s="32" t="str">
        <f>'St of Activites - GA Rev'!A483</f>
        <v>Scioto Valley Local SD</v>
      </c>
      <c r="AI483" s="32" t="str">
        <f t="shared" si="149"/>
        <v>Scioto Valley Local SD</v>
      </c>
      <c r="AJ483" s="32" t="b">
        <f t="shared" si="150"/>
        <v>1</v>
      </c>
      <c r="AL483" s="32" t="str">
        <f>'St of Activities - GA Exp'!A483</f>
        <v>Scioto Valley Local SD</v>
      </c>
      <c r="AN483" s="32" t="b">
        <f t="shared" si="152"/>
        <v>1</v>
      </c>
      <c r="AR483" s="32" t="str">
        <f t="shared" si="153"/>
        <v>Pike</v>
      </c>
      <c r="AS483" s="32" t="str">
        <f>'St of Activites - GA Rev'!C483</f>
        <v>Pike</v>
      </c>
      <c r="AT483" s="32" t="b">
        <f t="shared" si="151"/>
        <v>1</v>
      </c>
      <c r="AU483" s="32" t="str">
        <f>'St of Activities - GA Exp'!C483</f>
        <v>Pike</v>
      </c>
      <c r="AW483" s="32" t="b">
        <f t="shared" si="154"/>
        <v>1</v>
      </c>
    </row>
    <row r="484" spans="1:49">
      <c r="A484" s="11" t="s">
        <v>418</v>
      </c>
      <c r="B484" s="11"/>
      <c r="C484" s="11" t="s">
        <v>45</v>
      </c>
      <c r="D484" s="11"/>
      <c r="E484" s="29">
        <v>48355</v>
      </c>
      <c r="G484" s="7">
        <f t="shared" si="156"/>
        <v>3445863</v>
      </c>
      <c r="I484" s="7">
        <f>219600+10299650</f>
        <v>10519250</v>
      </c>
      <c r="K484" s="7">
        <v>13965113</v>
      </c>
      <c r="M484" s="7">
        <f t="shared" si="155"/>
        <v>2083800</v>
      </c>
      <c r="O484" s="7">
        <v>145479</v>
      </c>
      <c r="Q484" s="7">
        <v>1263788</v>
      </c>
      <c r="S484" s="7">
        <v>3493067</v>
      </c>
      <c r="U484" s="7">
        <v>9513688</v>
      </c>
      <c r="W484" s="7">
        <f t="shared" si="134"/>
        <v>813890</v>
      </c>
      <c r="Y484" s="7">
        <v>144468</v>
      </c>
      <c r="AA484" s="7">
        <v>10472046</v>
      </c>
      <c r="AB484" s="7">
        <f t="shared" si="136"/>
        <v>0</v>
      </c>
      <c r="AD484" s="32">
        <f t="shared" si="137"/>
        <v>0</v>
      </c>
      <c r="AF484" s="32"/>
      <c r="AH484" s="32" t="str">
        <f>'St of Activites - GA Rev'!A484</f>
        <v>Sebring Local SD</v>
      </c>
      <c r="AI484" s="32" t="str">
        <f t="shared" si="149"/>
        <v>Sebring Local SD</v>
      </c>
      <c r="AJ484" s="32" t="b">
        <f t="shared" si="150"/>
        <v>1</v>
      </c>
      <c r="AL484" s="32" t="str">
        <f>'St of Activities - GA Exp'!A484</f>
        <v>Sebring Local SD</v>
      </c>
      <c r="AN484" s="32" t="b">
        <f t="shared" si="152"/>
        <v>1</v>
      </c>
      <c r="AR484" s="32" t="str">
        <f t="shared" si="153"/>
        <v>Mahoning</v>
      </c>
      <c r="AS484" s="32" t="str">
        <f>'St of Activites - GA Rev'!C484</f>
        <v>Mahoning</v>
      </c>
      <c r="AT484" s="32" t="b">
        <f t="shared" si="151"/>
        <v>1</v>
      </c>
      <c r="AU484" s="32" t="str">
        <f>'St of Activities - GA Exp'!C484</f>
        <v>Mahoning</v>
      </c>
      <c r="AW484" s="32" t="b">
        <f t="shared" si="154"/>
        <v>1</v>
      </c>
    </row>
    <row r="485" spans="1:49">
      <c r="A485" s="11" t="s">
        <v>502</v>
      </c>
      <c r="B485" s="11"/>
      <c r="C485" s="11" t="s">
        <v>60</v>
      </c>
      <c r="D485" s="11"/>
      <c r="E485" s="29">
        <v>49684</v>
      </c>
      <c r="G485" s="7">
        <f t="shared" si="156"/>
        <v>5754139</v>
      </c>
      <c r="I485" s="7">
        <f>20972+30796898</f>
        <v>30817870</v>
      </c>
      <c r="K485" s="7">
        <v>36572009</v>
      </c>
      <c r="M485" s="7">
        <f t="shared" si="155"/>
        <v>2297626</v>
      </c>
      <c r="O485" s="7">
        <v>478941</v>
      </c>
      <c r="Q485" s="7">
        <v>11006116</v>
      </c>
      <c r="S485" s="7">
        <v>13782683</v>
      </c>
      <c r="U485" s="7">
        <v>20201576</v>
      </c>
      <c r="W485" s="7">
        <f t="shared" si="134"/>
        <v>1269633</v>
      </c>
      <c r="Y485" s="7">
        <v>1318117</v>
      </c>
      <c r="AA485" s="7">
        <v>22789326</v>
      </c>
      <c r="AB485" s="7">
        <f t="shared" si="136"/>
        <v>0</v>
      </c>
      <c r="AD485" s="32">
        <f t="shared" si="137"/>
        <v>0</v>
      </c>
      <c r="AF485" s="32"/>
      <c r="AH485" s="32" t="str">
        <f>'St of Activites - GA Rev'!A485</f>
        <v>Seneca East Local SD</v>
      </c>
      <c r="AI485" s="32" t="str">
        <f t="shared" si="149"/>
        <v>Seneca East Local SD</v>
      </c>
      <c r="AJ485" s="32" t="b">
        <f t="shared" si="150"/>
        <v>1</v>
      </c>
      <c r="AL485" s="32" t="str">
        <f>'St of Activities - GA Exp'!A485</f>
        <v>Seneca East Local SD</v>
      </c>
      <c r="AN485" s="32" t="b">
        <f t="shared" si="152"/>
        <v>1</v>
      </c>
      <c r="AR485" s="32" t="str">
        <f t="shared" si="153"/>
        <v>Seneca</v>
      </c>
      <c r="AS485" s="32" t="str">
        <f>'St of Activites - GA Rev'!C485</f>
        <v>Seneca</v>
      </c>
      <c r="AT485" s="32" t="b">
        <f t="shared" si="151"/>
        <v>1</v>
      </c>
      <c r="AU485" s="32" t="str">
        <f>'St of Activities - GA Exp'!C485</f>
        <v>Seneca</v>
      </c>
      <c r="AW485" s="32" t="b">
        <f t="shared" si="154"/>
        <v>1</v>
      </c>
    </row>
    <row r="486" spans="1:49">
      <c r="A486" s="11" t="s">
        <v>218</v>
      </c>
      <c r="B486" s="11"/>
      <c r="C486" s="11" t="s">
        <v>15</v>
      </c>
      <c r="D486" s="11"/>
      <c r="E486" s="29">
        <v>46003</v>
      </c>
      <c r="G486" s="7">
        <f t="shared" si="156"/>
        <v>8518972</v>
      </c>
      <c r="I486" s="7">
        <f>42289+1361983</f>
        <v>1404272</v>
      </c>
      <c r="K486" s="7">
        <v>9923244</v>
      </c>
      <c r="M486" s="7">
        <f t="shared" si="155"/>
        <v>3076738</v>
      </c>
      <c r="O486" s="7">
        <v>48749</v>
      </c>
      <c r="Q486" s="7">
        <v>554959</v>
      </c>
      <c r="S486" s="7">
        <v>3680446</v>
      </c>
      <c r="U486" s="7">
        <v>1368265</v>
      </c>
      <c r="W486" s="7">
        <f t="shared" si="134"/>
        <v>1429055</v>
      </c>
      <c r="Y486" s="7">
        <v>3445478</v>
      </c>
      <c r="AA486" s="7">
        <v>6242798</v>
      </c>
      <c r="AB486" s="7">
        <f t="shared" si="136"/>
        <v>0</v>
      </c>
      <c r="AD486" s="32">
        <f t="shared" si="137"/>
        <v>0</v>
      </c>
      <c r="AF486" s="32"/>
      <c r="AH486" s="32" t="str">
        <f>'St of Activites - GA Rev'!A486</f>
        <v>Shadyside Local SD</v>
      </c>
      <c r="AI486" s="32" t="str">
        <f t="shared" si="149"/>
        <v>Shadyside Local SD</v>
      </c>
      <c r="AJ486" s="32" t="b">
        <f t="shared" si="150"/>
        <v>1</v>
      </c>
      <c r="AL486" s="32" t="str">
        <f>'St of Activities - GA Exp'!A486</f>
        <v>Shadyside Local SD</v>
      </c>
      <c r="AN486" s="32" t="b">
        <f t="shared" si="152"/>
        <v>1</v>
      </c>
      <c r="AR486" s="32" t="str">
        <f t="shared" si="153"/>
        <v>Belmont</v>
      </c>
      <c r="AS486" s="32" t="str">
        <f>'St of Activites - GA Rev'!C486</f>
        <v>Belmont</v>
      </c>
      <c r="AT486" s="32" t="b">
        <f t="shared" si="151"/>
        <v>1</v>
      </c>
      <c r="AU486" s="32" t="str">
        <f>'St of Activities - GA Exp'!C486</f>
        <v>Belmont</v>
      </c>
      <c r="AW486" s="32" t="b">
        <f t="shared" si="154"/>
        <v>1</v>
      </c>
    </row>
    <row r="487" spans="1:49">
      <c r="A487" s="11" t="s">
        <v>755</v>
      </c>
      <c r="B487" s="11"/>
      <c r="C487" s="11" t="s">
        <v>20</v>
      </c>
      <c r="D487" s="11"/>
      <c r="E487" s="29">
        <v>44750</v>
      </c>
      <c r="G487" s="7">
        <f t="shared" si="156"/>
        <v>109498397</v>
      </c>
      <c r="I487" s="7">
        <f>1759375+30987121</f>
        <v>32746496</v>
      </c>
      <c r="K487" s="7">
        <v>142244893</v>
      </c>
      <c r="M487" s="7">
        <f t="shared" si="155"/>
        <v>67283048</v>
      </c>
      <c r="O487" s="7">
        <v>3767526</v>
      </c>
      <c r="Q487" s="7">
        <v>28921037</v>
      </c>
      <c r="S487" s="7">
        <v>99971611</v>
      </c>
      <c r="U487" s="7">
        <v>11398071</v>
      </c>
      <c r="W487" s="7">
        <f t="shared" si="134"/>
        <v>4678199</v>
      </c>
      <c r="Y487" s="7">
        <v>26197012</v>
      </c>
      <c r="AA487" s="7">
        <v>42273282</v>
      </c>
      <c r="AB487" s="7">
        <f t="shared" si="136"/>
        <v>0</v>
      </c>
      <c r="AD487" s="32">
        <f t="shared" si="137"/>
        <v>0</v>
      </c>
      <c r="AF487" s="32"/>
      <c r="AH487" s="32" t="str">
        <f>'St of Activites - GA Rev'!A487</f>
        <v xml:space="preserve">Shaker Heights City SD </v>
      </c>
      <c r="AI487" s="32" t="str">
        <f t="shared" si="149"/>
        <v xml:space="preserve">Shaker Heights City SD </v>
      </c>
      <c r="AJ487" s="32" t="b">
        <f t="shared" si="150"/>
        <v>1</v>
      </c>
      <c r="AL487" s="32" t="str">
        <f>'St of Activities - GA Exp'!A487</f>
        <v xml:space="preserve">Shaker Heights City SD </v>
      </c>
      <c r="AN487" s="32" t="b">
        <f t="shared" si="152"/>
        <v>1</v>
      </c>
      <c r="AR487" s="32" t="str">
        <f t="shared" si="153"/>
        <v>Cuyahoga</v>
      </c>
      <c r="AS487" s="32" t="str">
        <f>'St of Activites - GA Rev'!C487</f>
        <v>Cuyahoga</v>
      </c>
      <c r="AT487" s="32" t="b">
        <f t="shared" si="151"/>
        <v>1</v>
      </c>
      <c r="AU487" s="32" t="str">
        <f>'St of Activities - GA Exp'!C487</f>
        <v>Cuyahoga</v>
      </c>
      <c r="AW487" s="32" t="b">
        <f t="shared" si="154"/>
        <v>1</v>
      </c>
    </row>
    <row r="488" spans="1:49" s="65" customFormat="1" hidden="1">
      <c r="A488" s="62" t="s">
        <v>738</v>
      </c>
      <c r="B488" s="62"/>
      <c r="C488" s="62" t="s">
        <v>10</v>
      </c>
      <c r="D488" s="62"/>
      <c r="E488" s="64"/>
      <c r="G488" s="65">
        <f t="shared" si="156"/>
        <v>0</v>
      </c>
      <c r="M488" s="65">
        <f t="shared" si="155"/>
        <v>0</v>
      </c>
      <c r="W488" s="65">
        <f t="shared" si="134"/>
        <v>0</v>
      </c>
      <c r="AB488" s="65">
        <f t="shared" si="136"/>
        <v>0</v>
      </c>
      <c r="AD488" s="66">
        <f t="shared" si="137"/>
        <v>0</v>
      </c>
      <c r="AE488" s="65" t="s">
        <v>973</v>
      </c>
      <c r="AF488" s="66"/>
      <c r="AH488" s="66" t="str">
        <f>'St of Activites - GA Rev'!A488</f>
        <v>Shawnee Local SD (CASH)</v>
      </c>
      <c r="AI488" s="66" t="str">
        <f t="shared" si="149"/>
        <v>Shawnee Local SD (CASH)</v>
      </c>
      <c r="AJ488" s="66" t="b">
        <f t="shared" si="150"/>
        <v>1</v>
      </c>
      <c r="AL488" s="66" t="str">
        <f>'St of Activities - GA Exp'!A488</f>
        <v>Shawnee Local SD (CASH)</v>
      </c>
      <c r="AN488" s="66" t="b">
        <f t="shared" si="152"/>
        <v>1</v>
      </c>
      <c r="AR488" s="66" t="str">
        <f t="shared" si="153"/>
        <v>Allen</v>
      </c>
      <c r="AS488" s="66" t="str">
        <f>'St of Activites - GA Rev'!C488</f>
        <v>Allen</v>
      </c>
      <c r="AT488" s="66" t="b">
        <f t="shared" si="151"/>
        <v>1</v>
      </c>
      <c r="AU488" s="66" t="str">
        <f>'St of Activities - GA Exp'!C488</f>
        <v>Allen</v>
      </c>
      <c r="AV488" s="86"/>
      <c r="AW488" s="66" t="b">
        <f t="shared" si="154"/>
        <v>1</v>
      </c>
    </row>
    <row r="489" spans="1:49">
      <c r="A489" s="11" t="s">
        <v>899</v>
      </c>
      <c r="B489" s="11"/>
      <c r="C489" s="11" t="s">
        <v>44</v>
      </c>
      <c r="D489" s="11"/>
      <c r="E489" s="29">
        <v>44768</v>
      </c>
      <c r="G489" s="7">
        <f t="shared" si="156"/>
        <v>24829227</v>
      </c>
      <c r="I489" s="7">
        <f>1099043+3267263</f>
        <v>4366306</v>
      </c>
      <c r="K489" s="7">
        <v>29195533</v>
      </c>
      <c r="M489" s="7">
        <f t="shared" si="155"/>
        <v>13294315</v>
      </c>
      <c r="O489" s="7">
        <v>196271</v>
      </c>
      <c r="Q489" s="7">
        <v>1752796</v>
      </c>
      <c r="S489" s="7">
        <v>15243382</v>
      </c>
      <c r="U489" s="7">
        <v>3838208</v>
      </c>
      <c r="W489" s="7">
        <f t="shared" si="134"/>
        <v>392330</v>
      </c>
      <c r="Y489" s="7">
        <v>9721613</v>
      </c>
      <c r="AA489" s="7">
        <v>13952151</v>
      </c>
      <c r="AB489" s="7">
        <f t="shared" si="136"/>
        <v>0</v>
      </c>
      <c r="AD489" s="32">
        <f t="shared" si="137"/>
        <v>0</v>
      </c>
      <c r="AF489" s="32"/>
      <c r="AH489" s="32" t="str">
        <f>'St of Activites - GA Rev'!A489</f>
        <v>Sheffield-Sheffield Lake City SD</v>
      </c>
      <c r="AI489" s="32" t="str">
        <f t="shared" si="149"/>
        <v>Sheffield-Sheffield Lake City SD</v>
      </c>
      <c r="AJ489" s="32" t="b">
        <f t="shared" si="150"/>
        <v>1</v>
      </c>
      <c r="AL489" s="32" t="str">
        <f>'St of Activities - GA Exp'!A489</f>
        <v>Sheffield-Sheffield Lake City SD</v>
      </c>
      <c r="AN489" s="32" t="b">
        <f t="shared" si="152"/>
        <v>1</v>
      </c>
      <c r="AR489" s="32" t="str">
        <f t="shared" si="153"/>
        <v>Lorain</v>
      </c>
      <c r="AS489" s="32" t="str">
        <f>'St of Activites - GA Rev'!C489</f>
        <v>Lorain</v>
      </c>
      <c r="AT489" s="32" t="b">
        <f t="shared" si="151"/>
        <v>1</v>
      </c>
      <c r="AU489" s="32" t="str">
        <f>'St of Activities - GA Exp'!C489</f>
        <v>Lorain</v>
      </c>
      <c r="AW489" s="32" t="b">
        <f t="shared" si="154"/>
        <v>1</v>
      </c>
    </row>
    <row r="490" spans="1:49">
      <c r="A490" s="11" t="s">
        <v>487</v>
      </c>
      <c r="B490" s="11"/>
      <c r="C490" s="11" t="s">
        <v>110</v>
      </c>
      <c r="D490" s="11"/>
      <c r="E490" s="29">
        <v>44776</v>
      </c>
      <c r="G490" s="7">
        <f t="shared" si="156"/>
        <v>41968372</v>
      </c>
      <c r="I490" s="7">
        <f>1481728+2398352</f>
        <v>3880080</v>
      </c>
      <c r="K490" s="7">
        <v>45848452</v>
      </c>
      <c r="M490" s="7">
        <f t="shared" si="155"/>
        <v>6994056</v>
      </c>
      <c r="O490" s="7">
        <v>559576</v>
      </c>
      <c r="Q490" s="7">
        <v>18991603</v>
      </c>
      <c r="S490" s="7">
        <v>26545235</v>
      </c>
      <c r="U490" s="7">
        <v>3404956</v>
      </c>
      <c r="W490" s="7">
        <f t="shared" si="134"/>
        <v>11491765</v>
      </c>
      <c r="Y490" s="7">
        <v>4406496</v>
      </c>
      <c r="AA490" s="7">
        <v>19303217</v>
      </c>
      <c r="AB490" s="7">
        <f t="shared" si="136"/>
        <v>0</v>
      </c>
      <c r="AD490" s="32">
        <f t="shared" si="137"/>
        <v>0</v>
      </c>
      <c r="AF490" s="32"/>
      <c r="AH490" s="32" t="str">
        <f>'St of Activites - GA Rev'!A490</f>
        <v>Shelby City SD</v>
      </c>
      <c r="AI490" s="32" t="str">
        <f t="shared" si="149"/>
        <v>Shelby City SD</v>
      </c>
      <c r="AJ490" s="32" t="b">
        <f t="shared" si="150"/>
        <v>1</v>
      </c>
      <c r="AL490" s="32" t="str">
        <f>'St of Activities - GA Exp'!A490</f>
        <v>Shelby City SD</v>
      </c>
      <c r="AN490" s="32" t="b">
        <f t="shared" si="152"/>
        <v>1</v>
      </c>
      <c r="AR490" s="32" t="str">
        <f t="shared" si="153"/>
        <v>Richland</v>
      </c>
      <c r="AS490" s="32" t="str">
        <f>'St of Activites - GA Rev'!C490</f>
        <v>Richland</v>
      </c>
      <c r="AT490" s="32" t="b">
        <f t="shared" si="151"/>
        <v>1</v>
      </c>
      <c r="AU490" s="32" t="str">
        <f>'St of Activities - GA Exp'!C490</f>
        <v>Richland</v>
      </c>
      <c r="AW490" s="32" t="b">
        <f t="shared" si="154"/>
        <v>1</v>
      </c>
    </row>
    <row r="491" spans="1:49" s="65" customFormat="1" hidden="1">
      <c r="A491" s="62" t="s">
        <v>985</v>
      </c>
      <c r="B491" s="62"/>
      <c r="C491" s="62" t="s">
        <v>61</v>
      </c>
      <c r="D491" s="62"/>
      <c r="E491" s="64">
        <v>44784</v>
      </c>
      <c r="G491" s="65">
        <f t="shared" si="156"/>
        <v>0</v>
      </c>
      <c r="M491" s="65">
        <f t="shared" si="155"/>
        <v>0</v>
      </c>
      <c r="W491" s="65">
        <f t="shared" si="134"/>
        <v>0</v>
      </c>
      <c r="AB491" s="65">
        <f t="shared" si="136"/>
        <v>0</v>
      </c>
      <c r="AD491" s="66">
        <f t="shared" si="137"/>
        <v>0</v>
      </c>
      <c r="AE491" s="65" t="s">
        <v>974</v>
      </c>
      <c r="AF491" s="66"/>
      <c r="AH491" s="66" t="str">
        <f>'St of Activites - GA Rev'!A491</f>
        <v>Sidney City SD (CASH)</v>
      </c>
      <c r="AI491" s="66" t="str">
        <f t="shared" si="149"/>
        <v>Sidney City SD (CASH)</v>
      </c>
      <c r="AJ491" s="66" t="b">
        <f t="shared" si="150"/>
        <v>1</v>
      </c>
      <c r="AL491" s="66" t="str">
        <f>'St of Activities - GA Exp'!A491</f>
        <v>Sidney City SD (CASH)</v>
      </c>
      <c r="AN491" s="66" t="b">
        <f t="shared" si="152"/>
        <v>1</v>
      </c>
      <c r="AR491" s="66" t="str">
        <f t="shared" si="153"/>
        <v>Shelby</v>
      </c>
      <c r="AS491" s="66" t="str">
        <f>'St of Activites - GA Rev'!C491</f>
        <v>Shelby</v>
      </c>
      <c r="AT491" s="66" t="b">
        <f t="shared" si="151"/>
        <v>1</v>
      </c>
      <c r="AU491" s="66" t="str">
        <f>'St of Activities - GA Exp'!C491</f>
        <v>Shelby</v>
      </c>
      <c r="AV491" s="86"/>
      <c r="AW491" s="66" t="b">
        <f t="shared" si="154"/>
        <v>1</v>
      </c>
    </row>
    <row r="492" spans="1:49">
      <c r="A492" s="11" t="s">
        <v>283</v>
      </c>
      <c r="B492" s="11"/>
      <c r="C492" s="11" t="s">
        <v>20</v>
      </c>
      <c r="D492" s="11"/>
      <c r="E492" s="29">
        <v>46607</v>
      </c>
      <c r="G492" s="7">
        <f t="shared" si="156"/>
        <v>84098997</v>
      </c>
      <c r="I492" s="7">
        <v>35544633</v>
      </c>
      <c r="K492" s="7">
        <v>119643630</v>
      </c>
      <c r="M492" s="7">
        <f t="shared" si="155"/>
        <v>54608004</v>
      </c>
      <c r="O492" s="7">
        <v>3883397</v>
      </c>
      <c r="Q492" s="7">
        <v>23616939</v>
      </c>
      <c r="S492" s="7">
        <v>82108340</v>
      </c>
      <c r="U492" s="7">
        <v>17489888</v>
      </c>
      <c r="W492" s="7">
        <f t="shared" si="134"/>
        <v>13220714</v>
      </c>
      <c r="Y492" s="7">
        <v>6824688</v>
      </c>
      <c r="AA492" s="7">
        <v>37535290</v>
      </c>
      <c r="AB492" s="7">
        <f t="shared" si="136"/>
        <v>0</v>
      </c>
      <c r="AD492" s="32">
        <f t="shared" si="137"/>
        <v>0</v>
      </c>
      <c r="AF492" s="32"/>
      <c r="AH492" s="32" t="str">
        <f>'St of Activites - GA Rev'!A492</f>
        <v>Solon City SD</v>
      </c>
      <c r="AI492" s="32" t="str">
        <f t="shared" si="149"/>
        <v>Solon City SD</v>
      </c>
      <c r="AJ492" s="32" t="b">
        <f t="shared" si="150"/>
        <v>1</v>
      </c>
      <c r="AL492" s="32" t="str">
        <f>'St of Activities - GA Exp'!A492</f>
        <v>Solon City SD</v>
      </c>
      <c r="AN492" s="32" t="b">
        <f t="shared" si="152"/>
        <v>1</v>
      </c>
      <c r="AR492" s="32" t="str">
        <f t="shared" si="153"/>
        <v>Cuyahoga</v>
      </c>
      <c r="AS492" s="32" t="str">
        <f>'St of Activites - GA Rev'!C492</f>
        <v>Cuyahoga</v>
      </c>
      <c r="AT492" s="32" t="b">
        <f t="shared" si="151"/>
        <v>1</v>
      </c>
      <c r="AU492" s="32" t="str">
        <f>'St of Activities - GA Exp'!C492</f>
        <v>Cuyahoga</v>
      </c>
      <c r="AW492" s="32" t="b">
        <f t="shared" si="154"/>
        <v>1</v>
      </c>
    </row>
    <row r="493" spans="1:49">
      <c r="A493" s="11" t="s">
        <v>660</v>
      </c>
      <c r="B493" s="11"/>
      <c r="C493" s="12" t="s">
        <v>37</v>
      </c>
      <c r="D493" s="11"/>
      <c r="E493" s="29"/>
      <c r="G493" s="7">
        <f t="shared" si="156"/>
        <v>5371605</v>
      </c>
      <c r="I493" s="7">
        <v>6062551</v>
      </c>
      <c r="K493" s="7">
        <v>11434156</v>
      </c>
      <c r="M493" s="7">
        <f t="shared" si="155"/>
        <v>1712016</v>
      </c>
      <c r="O493" s="7">
        <v>184650</v>
      </c>
      <c r="Q493" s="7">
        <v>1383026</v>
      </c>
      <c r="S493" s="7">
        <v>3279692</v>
      </c>
      <c r="U493" s="7">
        <v>5044572</v>
      </c>
      <c r="W493" s="7">
        <f t="shared" si="134"/>
        <v>553679</v>
      </c>
      <c r="Y493" s="7">
        <v>2556213</v>
      </c>
      <c r="AA493" s="7">
        <v>8154464</v>
      </c>
      <c r="AB493" s="7">
        <f>+K493-S493-AA493</f>
        <v>0</v>
      </c>
      <c r="AD493" s="32">
        <f t="shared" si="137"/>
        <v>0</v>
      </c>
      <c r="AF493" s="32"/>
      <c r="AH493" s="32" t="str">
        <f>'St of Activites - GA Rev'!A493</f>
        <v>South Central Local SD</v>
      </c>
      <c r="AI493" s="32" t="str">
        <f t="shared" si="149"/>
        <v>South Central Local SD</v>
      </c>
      <c r="AJ493" s="32" t="b">
        <f t="shared" si="150"/>
        <v>1</v>
      </c>
      <c r="AL493" s="32" t="str">
        <f>'St of Activities - GA Exp'!A493</f>
        <v>South Central Local SD</v>
      </c>
      <c r="AN493" s="32" t="b">
        <f t="shared" si="152"/>
        <v>1</v>
      </c>
      <c r="AR493" s="32" t="str">
        <f t="shared" si="153"/>
        <v>Huron</v>
      </c>
      <c r="AS493" s="32" t="str">
        <f>'St of Activites - GA Rev'!C493</f>
        <v>Huron</v>
      </c>
      <c r="AT493" s="32" t="b">
        <f t="shared" si="151"/>
        <v>1</v>
      </c>
      <c r="AU493" s="32" t="str">
        <f>'St of Activities - GA Exp'!C493</f>
        <v>Huron</v>
      </c>
      <c r="AW493" s="32" t="b">
        <f t="shared" si="154"/>
        <v>1</v>
      </c>
    </row>
    <row r="494" spans="1:49">
      <c r="A494" s="11" t="s">
        <v>284</v>
      </c>
      <c r="B494" s="11"/>
      <c r="C494" s="11" t="s">
        <v>20</v>
      </c>
      <c r="D494" s="11"/>
      <c r="E494" s="29">
        <v>44792</v>
      </c>
      <c r="G494" s="7">
        <f t="shared" si="156"/>
        <v>68489313</v>
      </c>
      <c r="I494" s="7">
        <f>660393+18549818</f>
        <v>19210211</v>
      </c>
      <c r="K494" s="7">
        <v>87699524</v>
      </c>
      <c r="M494" s="7">
        <f t="shared" si="155"/>
        <v>51184363</v>
      </c>
      <c r="O494" s="7">
        <v>2021348</v>
      </c>
      <c r="Q494" s="7">
        <v>8225652</v>
      </c>
      <c r="S494" s="7">
        <v>61431363</v>
      </c>
      <c r="U494" s="7">
        <v>5121789</v>
      </c>
      <c r="W494" s="7">
        <f t="shared" si="134"/>
        <v>3655070</v>
      </c>
      <c r="Y494" s="7">
        <v>17491302</v>
      </c>
      <c r="AA494" s="7">
        <v>26268161</v>
      </c>
      <c r="AB494" s="7">
        <f t="shared" si="136"/>
        <v>0</v>
      </c>
      <c r="AD494" s="32">
        <f t="shared" si="137"/>
        <v>0</v>
      </c>
      <c r="AE494" s="7" t="s">
        <v>788</v>
      </c>
      <c r="AF494" s="32"/>
      <c r="AH494" s="32" t="str">
        <f>'St of Activites - GA Rev'!A494</f>
        <v>South Euclid-Lyndhurst City SD</v>
      </c>
      <c r="AI494" s="32" t="str">
        <f t="shared" si="149"/>
        <v>South Euclid-Lyndhurst City SD</v>
      </c>
      <c r="AJ494" s="32" t="b">
        <f t="shared" si="150"/>
        <v>1</v>
      </c>
      <c r="AL494" s="32" t="str">
        <f>'St of Activities - GA Exp'!A494</f>
        <v>South Euclid-Lyndhurst City SD</v>
      </c>
      <c r="AN494" s="32" t="b">
        <f t="shared" si="152"/>
        <v>1</v>
      </c>
      <c r="AR494" s="32" t="str">
        <f t="shared" si="153"/>
        <v>Cuyahoga</v>
      </c>
      <c r="AS494" s="32" t="str">
        <f>'St of Activites - GA Rev'!C494</f>
        <v>Cuyahoga</v>
      </c>
      <c r="AT494" s="32" t="b">
        <f t="shared" si="151"/>
        <v>1</v>
      </c>
      <c r="AU494" s="32" t="str">
        <f>'St of Activities - GA Exp'!C494</f>
        <v>Cuyahoga</v>
      </c>
      <c r="AW494" s="32" t="b">
        <f t="shared" si="154"/>
        <v>1</v>
      </c>
    </row>
    <row r="495" spans="1:49">
      <c r="A495" s="11" t="s">
        <v>382</v>
      </c>
      <c r="B495" s="11"/>
      <c r="C495" s="11" t="s">
        <v>377</v>
      </c>
      <c r="D495" s="11"/>
      <c r="E495" s="29">
        <v>47951</v>
      </c>
      <c r="G495" s="7">
        <f t="shared" si="156"/>
        <v>13915016</v>
      </c>
      <c r="I495" s="7">
        <f>2001887+49966307</f>
        <v>51968194</v>
      </c>
      <c r="K495" s="7">
        <v>65883210</v>
      </c>
      <c r="M495" s="7">
        <f t="shared" si="155"/>
        <v>5813838</v>
      </c>
      <c r="O495" s="7">
        <v>792706</v>
      </c>
      <c r="Q495" s="7">
        <v>11734804</v>
      </c>
      <c r="S495" s="7">
        <v>18341348</v>
      </c>
      <c r="U495" s="7">
        <v>41856616</v>
      </c>
      <c r="W495" s="7">
        <f t="shared" si="134"/>
        <v>3254992</v>
      </c>
      <c r="Y495" s="7">
        <v>2430254</v>
      </c>
      <c r="AA495" s="7">
        <v>47541862</v>
      </c>
      <c r="AB495" s="7">
        <f>+K495-S495-AA495</f>
        <v>0</v>
      </c>
      <c r="AD495" s="32">
        <f t="shared" si="137"/>
        <v>0</v>
      </c>
      <c r="AF495" s="32"/>
      <c r="AH495" s="32" t="str">
        <f>'St of Activites - GA Rev'!A495</f>
        <v>South Point Local SD</v>
      </c>
      <c r="AI495" s="32" t="str">
        <f t="shared" si="149"/>
        <v>South Point Local SD</v>
      </c>
      <c r="AJ495" s="32" t="b">
        <f t="shared" si="150"/>
        <v>1</v>
      </c>
      <c r="AL495" s="32" t="str">
        <f>'St of Activities - GA Exp'!A495</f>
        <v>South Point Local SD</v>
      </c>
      <c r="AN495" s="32" t="b">
        <f t="shared" si="152"/>
        <v>1</v>
      </c>
      <c r="AR495" s="32" t="str">
        <f t="shared" si="153"/>
        <v>Lawrence</v>
      </c>
      <c r="AS495" s="32" t="str">
        <f>'St of Activites - GA Rev'!C495</f>
        <v>Lawrence</v>
      </c>
      <c r="AT495" s="32" t="b">
        <f t="shared" si="151"/>
        <v>1</v>
      </c>
      <c r="AU495" s="32" t="str">
        <f>'St of Activities - GA Exp'!C495</f>
        <v>Lawrence</v>
      </c>
      <c r="AW495" s="32" t="b">
        <f t="shared" si="154"/>
        <v>1</v>
      </c>
    </row>
    <row r="496" spans="1:49">
      <c r="A496" s="11" t="s">
        <v>419</v>
      </c>
      <c r="B496" s="11"/>
      <c r="C496" s="11" t="s">
        <v>45</v>
      </c>
      <c r="D496" s="11"/>
      <c r="E496" s="29">
        <v>48363</v>
      </c>
      <c r="G496" s="7">
        <f t="shared" si="156"/>
        <v>14877288</v>
      </c>
      <c r="I496" s="7">
        <v>37274963</v>
      </c>
      <c r="K496" s="7">
        <v>52152251</v>
      </c>
      <c r="M496" s="7">
        <f t="shared" si="155"/>
        <v>8342636</v>
      </c>
      <c r="O496" s="7">
        <v>740807</v>
      </c>
      <c r="Q496" s="7">
        <v>19703721</v>
      </c>
      <c r="S496" s="7">
        <v>28787164</v>
      </c>
      <c r="U496" s="7">
        <v>20296949</v>
      </c>
      <c r="W496" s="7">
        <f t="shared" si="134"/>
        <v>1905466</v>
      </c>
      <c r="Y496" s="7">
        <v>1162672</v>
      </c>
      <c r="AA496" s="7">
        <v>23365087</v>
      </c>
      <c r="AB496" s="7">
        <f t="shared" si="136"/>
        <v>0</v>
      </c>
      <c r="AD496" s="32">
        <f t="shared" si="137"/>
        <v>0</v>
      </c>
      <c r="AF496" s="32"/>
      <c r="AH496" s="32" t="str">
        <f>'St of Activites - GA Rev'!A496</f>
        <v>South Range Local SD</v>
      </c>
      <c r="AI496" s="32" t="str">
        <f t="shared" si="149"/>
        <v>South Range Local SD</v>
      </c>
      <c r="AJ496" s="32" t="b">
        <f t="shared" si="150"/>
        <v>1</v>
      </c>
      <c r="AL496" s="32" t="str">
        <f>'St of Activities - GA Exp'!A496</f>
        <v>South Range Local SD</v>
      </c>
      <c r="AN496" s="32" t="b">
        <f t="shared" si="152"/>
        <v>1</v>
      </c>
      <c r="AR496" s="32" t="str">
        <f t="shared" si="153"/>
        <v>Mahoning</v>
      </c>
      <c r="AS496" s="32" t="str">
        <f>'St of Activites - GA Rev'!C496</f>
        <v>Mahoning</v>
      </c>
      <c r="AT496" s="32" t="b">
        <f t="shared" si="151"/>
        <v>1</v>
      </c>
      <c r="AU496" s="32" t="str">
        <f>'St of Activities - GA Exp'!C496</f>
        <v>Mahoning</v>
      </c>
      <c r="AW496" s="32" t="b">
        <f t="shared" si="154"/>
        <v>1</v>
      </c>
    </row>
    <row r="497" spans="1:49">
      <c r="A497" s="11" t="s">
        <v>478</v>
      </c>
      <c r="B497" s="11"/>
      <c r="C497" s="11" t="s">
        <v>56</v>
      </c>
      <c r="D497" s="11"/>
      <c r="E497" s="29">
        <v>49221</v>
      </c>
      <c r="G497" s="7">
        <f t="shared" si="156"/>
        <v>25293613</v>
      </c>
      <c r="I497" s="7">
        <f>400918+28152040</f>
        <v>28552958</v>
      </c>
      <c r="K497" s="7">
        <v>53846571</v>
      </c>
      <c r="M497" s="7">
        <f t="shared" si="155"/>
        <v>8417198</v>
      </c>
      <c r="O497" s="7">
        <v>417418</v>
      </c>
      <c r="Q497" s="7">
        <v>6415033</v>
      </c>
      <c r="S497" s="7">
        <v>15249649</v>
      </c>
      <c r="U497" s="7">
        <v>23419527</v>
      </c>
      <c r="W497" s="7">
        <f t="shared" si="134"/>
        <v>7643313</v>
      </c>
      <c r="Y497" s="7">
        <v>7534082</v>
      </c>
      <c r="AA497" s="7">
        <v>38596922</v>
      </c>
      <c r="AB497" s="7">
        <f t="shared" si="136"/>
        <v>0</v>
      </c>
      <c r="AD497" s="32">
        <f t="shared" si="137"/>
        <v>0</v>
      </c>
      <c r="AF497" s="32"/>
      <c r="AH497" s="32" t="str">
        <f>'St of Activites - GA Rev'!A497</f>
        <v>Southeast Local SD</v>
      </c>
      <c r="AI497" s="32" t="str">
        <f t="shared" si="149"/>
        <v>Southeast Local SD</v>
      </c>
      <c r="AJ497" s="32" t="b">
        <f t="shared" si="150"/>
        <v>1</v>
      </c>
      <c r="AL497" s="32" t="str">
        <f>'St of Activities - GA Exp'!A497</f>
        <v>Southeast Local SD</v>
      </c>
      <c r="AN497" s="32" t="b">
        <f t="shared" si="152"/>
        <v>1</v>
      </c>
      <c r="AR497" s="32" t="str">
        <f t="shared" si="153"/>
        <v>Portage</v>
      </c>
      <c r="AS497" s="32" t="str">
        <f>'St of Activites - GA Rev'!C497</f>
        <v>Portage</v>
      </c>
      <c r="AT497" s="32" t="b">
        <f t="shared" si="151"/>
        <v>1</v>
      </c>
      <c r="AU497" s="32" t="str">
        <f>'St of Activities - GA Exp'!C497</f>
        <v>Portage</v>
      </c>
      <c r="AW497" s="32" t="b">
        <f t="shared" si="154"/>
        <v>1</v>
      </c>
    </row>
    <row r="498" spans="1:49">
      <c r="A498" s="11" t="s">
        <v>478</v>
      </c>
      <c r="B498" s="11"/>
      <c r="C498" s="11" t="s">
        <v>71</v>
      </c>
      <c r="D498" s="11"/>
      <c r="E498" s="29">
        <v>50583</v>
      </c>
      <c r="G498" s="7">
        <f t="shared" si="156"/>
        <v>10130154</v>
      </c>
      <c r="I498" s="7">
        <f>588680+3018489</f>
        <v>3607169</v>
      </c>
      <c r="K498" s="7">
        <v>13737323</v>
      </c>
      <c r="M498" s="7">
        <f t="shared" si="155"/>
        <v>9125836</v>
      </c>
      <c r="O498" s="7">
        <v>247312</v>
      </c>
      <c r="Q498" s="7">
        <v>616580</v>
      </c>
      <c r="S498" s="7">
        <v>9989728</v>
      </c>
      <c r="U498" s="7">
        <v>3505195</v>
      </c>
      <c r="W498" s="7">
        <f t="shared" si="134"/>
        <v>827788</v>
      </c>
      <c r="Y498" s="7">
        <v>-585388</v>
      </c>
      <c r="AA498" s="7">
        <v>3747595</v>
      </c>
      <c r="AB498" s="7">
        <f t="shared" si="136"/>
        <v>0</v>
      </c>
      <c r="AD498" s="32">
        <f t="shared" si="137"/>
        <v>0</v>
      </c>
      <c r="AE498" s="7" t="s">
        <v>788</v>
      </c>
      <c r="AF498" s="32"/>
      <c r="AH498" s="32" t="str">
        <f>'St of Activites - GA Rev'!A498</f>
        <v>Southeast Local SD</v>
      </c>
      <c r="AI498" s="32" t="str">
        <f t="shared" si="149"/>
        <v>Southeast Local SD</v>
      </c>
      <c r="AJ498" s="32" t="b">
        <f t="shared" si="150"/>
        <v>1</v>
      </c>
      <c r="AL498" s="32" t="str">
        <f>'St of Activities - GA Exp'!A498</f>
        <v>Southeast Local SD</v>
      </c>
      <c r="AN498" s="32" t="b">
        <f t="shared" si="152"/>
        <v>1</v>
      </c>
      <c r="AR498" s="32" t="str">
        <f t="shared" si="153"/>
        <v>Wayne</v>
      </c>
      <c r="AS498" s="32" t="str">
        <f>'St of Activites - GA Rev'!C498</f>
        <v>Wayne</v>
      </c>
      <c r="AT498" s="32" t="b">
        <f t="shared" si="151"/>
        <v>1</v>
      </c>
      <c r="AU498" s="32" t="str">
        <f>'St of Activities - GA Exp'!C498</f>
        <v>Wayne</v>
      </c>
      <c r="AW498" s="32" t="b">
        <f t="shared" si="154"/>
        <v>1</v>
      </c>
    </row>
    <row r="499" spans="1:49">
      <c r="A499" s="11" t="s">
        <v>240</v>
      </c>
      <c r="B499" s="11"/>
      <c r="C499" s="11" t="s">
        <v>17</v>
      </c>
      <c r="D499" s="11"/>
      <c r="E499" s="29">
        <v>46276</v>
      </c>
      <c r="G499" s="7">
        <f t="shared" si="156"/>
        <v>9565524</v>
      </c>
      <c r="I499" s="7">
        <f>11000+4062623</f>
        <v>4073623</v>
      </c>
      <c r="K499" s="7">
        <v>13639147</v>
      </c>
      <c r="M499" s="7">
        <f t="shared" si="155"/>
        <v>2556184</v>
      </c>
      <c r="O499" s="7">
        <v>223843</v>
      </c>
      <c r="Q499" s="7">
        <v>1492906</v>
      </c>
      <c r="S499" s="7">
        <v>4272933</v>
      </c>
      <c r="U499" s="7">
        <v>2816940</v>
      </c>
      <c r="W499" s="7">
        <f t="shared" si="134"/>
        <v>1365551</v>
      </c>
      <c r="Y499" s="7">
        <v>5183723</v>
      </c>
      <c r="AA499" s="7">
        <v>9366214</v>
      </c>
      <c r="AB499" s="7">
        <f>+K499-S499-AA499</f>
        <v>0</v>
      </c>
      <c r="AD499" s="32">
        <f>+G499+I499+-M499-O499-U499-W499-Y499-Q499</f>
        <v>0</v>
      </c>
      <c r="AF499" s="32"/>
      <c r="AH499" s="32" t="str">
        <f>'St of Activites - GA Rev'!A499</f>
        <v>Southeastern Local SD</v>
      </c>
      <c r="AI499" s="32" t="str">
        <f t="shared" si="149"/>
        <v>Southeastern Local SD</v>
      </c>
      <c r="AJ499" s="32" t="b">
        <f t="shared" si="150"/>
        <v>1</v>
      </c>
      <c r="AL499" s="32" t="str">
        <f>'St of Activities - GA Exp'!A499</f>
        <v>Southeastern Local SD</v>
      </c>
      <c r="AN499" s="32" t="b">
        <f t="shared" si="152"/>
        <v>1</v>
      </c>
      <c r="AR499" s="32" t="str">
        <f t="shared" si="153"/>
        <v>Clark</v>
      </c>
      <c r="AS499" s="32" t="str">
        <f>'St of Activites - GA Rev'!C499</f>
        <v>Clark</v>
      </c>
      <c r="AT499" s="32" t="b">
        <f t="shared" si="151"/>
        <v>1</v>
      </c>
      <c r="AU499" s="32" t="str">
        <f>'St of Activities - GA Exp'!C499</f>
        <v>Clark</v>
      </c>
      <c r="AW499" s="32" t="b">
        <f t="shared" si="154"/>
        <v>1</v>
      </c>
    </row>
    <row r="500" spans="1:49">
      <c r="A500" s="11" t="s">
        <v>240</v>
      </c>
      <c r="B500" s="11"/>
      <c r="C500" s="11" t="s">
        <v>58</v>
      </c>
      <c r="D500" s="11"/>
      <c r="E500" s="29">
        <v>49528</v>
      </c>
      <c r="G500" s="7">
        <f t="shared" si="156"/>
        <v>10491362</v>
      </c>
      <c r="I500" s="7">
        <f>705000+21230624</f>
        <v>21935624</v>
      </c>
      <c r="K500" s="7">
        <v>32426986</v>
      </c>
      <c r="M500" s="7">
        <f t="shared" si="155"/>
        <v>2615531</v>
      </c>
      <c r="O500" s="7">
        <v>312136</v>
      </c>
      <c r="Q500" s="7">
        <v>4592358</v>
      </c>
      <c r="S500" s="7">
        <v>7520025</v>
      </c>
      <c r="U500" s="7">
        <v>17719573</v>
      </c>
      <c r="W500" s="7">
        <f t="shared" si="134"/>
        <v>1318059</v>
      </c>
      <c r="Y500" s="7">
        <v>5869329</v>
      </c>
      <c r="AA500" s="7">
        <v>24906961</v>
      </c>
      <c r="AB500" s="7">
        <f t="shared" si="136"/>
        <v>0</v>
      </c>
      <c r="AD500" s="32">
        <f t="shared" si="137"/>
        <v>0</v>
      </c>
      <c r="AF500" s="32"/>
      <c r="AH500" s="32" t="str">
        <f>'St of Activites - GA Rev'!A500</f>
        <v>Southeastern Local SD</v>
      </c>
      <c r="AI500" s="32" t="str">
        <f t="shared" si="149"/>
        <v>Southeastern Local SD</v>
      </c>
      <c r="AJ500" s="32" t="b">
        <f t="shared" si="150"/>
        <v>1</v>
      </c>
      <c r="AL500" s="32" t="str">
        <f>'St of Activities - GA Exp'!A500</f>
        <v>Southeastern Local SD</v>
      </c>
      <c r="AN500" s="32" t="b">
        <f t="shared" si="152"/>
        <v>1</v>
      </c>
      <c r="AR500" s="32" t="str">
        <f t="shared" si="153"/>
        <v>Ross</v>
      </c>
      <c r="AS500" s="32" t="str">
        <f>'St of Activites - GA Rev'!C500</f>
        <v>Ross</v>
      </c>
      <c r="AT500" s="32" t="b">
        <f t="shared" si="151"/>
        <v>1</v>
      </c>
      <c r="AU500" s="32" t="str">
        <f>'St of Activities - GA Exp'!C500</f>
        <v>Ross</v>
      </c>
      <c r="AW500" s="32" t="b">
        <f t="shared" si="154"/>
        <v>1</v>
      </c>
    </row>
    <row r="501" spans="1:49">
      <c r="A501" s="11" t="s">
        <v>674</v>
      </c>
      <c r="B501" s="11"/>
      <c r="C501" s="11" t="s">
        <v>112</v>
      </c>
      <c r="D501" s="11"/>
      <c r="E501" s="29">
        <v>46441</v>
      </c>
      <c r="F501" s="32"/>
      <c r="G501" s="7">
        <f t="shared" si="156"/>
        <v>4705665</v>
      </c>
      <c r="I501" s="7">
        <v>12327111</v>
      </c>
      <c r="K501" s="7">
        <v>17032776</v>
      </c>
      <c r="M501" s="7">
        <f t="shared" si="155"/>
        <v>2791002</v>
      </c>
      <c r="O501" s="7">
        <v>243316</v>
      </c>
      <c r="Q501" s="7">
        <v>2780893</v>
      </c>
      <c r="S501" s="7">
        <v>5815211</v>
      </c>
      <c r="U501" s="7">
        <v>9764745</v>
      </c>
      <c r="W501" s="7">
        <f t="shared" si="134"/>
        <v>1245228</v>
      </c>
      <c r="Y501" s="7">
        <v>207592</v>
      </c>
      <c r="AA501" s="7">
        <v>11217565</v>
      </c>
      <c r="AB501" s="7">
        <f t="shared" si="136"/>
        <v>0</v>
      </c>
      <c r="AD501" s="32">
        <f t="shared" si="137"/>
        <v>0</v>
      </c>
      <c r="AF501" s="32"/>
      <c r="AH501" s="32" t="str">
        <f>'St of Activites - GA Rev'!A501</f>
        <v xml:space="preserve">Southern Local SD </v>
      </c>
      <c r="AI501" s="32" t="str">
        <f t="shared" si="149"/>
        <v xml:space="preserve">Southern Local SD </v>
      </c>
      <c r="AJ501" s="32" t="b">
        <f t="shared" si="150"/>
        <v>1</v>
      </c>
      <c r="AL501" s="32" t="str">
        <f>'St of Activities - GA Exp'!A501</f>
        <v xml:space="preserve">Southern Local SD </v>
      </c>
      <c r="AN501" s="32" t="b">
        <f t="shared" si="152"/>
        <v>1</v>
      </c>
      <c r="AR501" s="32" t="str">
        <f t="shared" si="153"/>
        <v>Columbiana</v>
      </c>
      <c r="AS501" s="32" t="str">
        <f>'St of Activites - GA Rev'!C501</f>
        <v>Columbiana</v>
      </c>
      <c r="AT501" s="32" t="b">
        <f t="shared" si="151"/>
        <v>1</v>
      </c>
      <c r="AU501" s="32" t="str">
        <f>'St of Activities - GA Exp'!C501</f>
        <v>Columbiana</v>
      </c>
      <c r="AW501" s="32" t="b">
        <f t="shared" si="154"/>
        <v>1</v>
      </c>
    </row>
    <row r="502" spans="1:49">
      <c r="A502" s="11" t="s">
        <v>256</v>
      </c>
      <c r="B502" s="11"/>
      <c r="C502" s="11" t="s">
        <v>433</v>
      </c>
      <c r="D502" s="11"/>
      <c r="E502" s="29">
        <v>46441</v>
      </c>
      <c r="F502" s="32"/>
      <c r="G502" s="7">
        <f t="shared" si="156"/>
        <v>17057610</v>
      </c>
      <c r="I502" s="7">
        <f>370659+8896921</f>
        <v>9267580</v>
      </c>
      <c r="K502" s="7">
        <v>26325190</v>
      </c>
      <c r="M502" s="7">
        <f t="shared" si="155"/>
        <v>2661625</v>
      </c>
      <c r="O502" s="7">
        <v>249907</v>
      </c>
      <c r="Q502" s="7">
        <v>6779416</v>
      </c>
      <c r="S502" s="7">
        <v>9690948</v>
      </c>
      <c r="U502" s="7">
        <v>6824985</v>
      </c>
      <c r="W502" s="7">
        <f t="shared" si="134"/>
        <v>8325346</v>
      </c>
      <c r="Y502" s="7">
        <v>1483911</v>
      </c>
      <c r="AA502" s="7">
        <v>16634242</v>
      </c>
      <c r="AB502" s="7">
        <f>+K502-S502-AA502</f>
        <v>0</v>
      </c>
      <c r="AD502" s="32">
        <f>+G502+I502+-M502-O502-U502-W502-Y502-Q502</f>
        <v>0</v>
      </c>
      <c r="AF502" s="32"/>
      <c r="AH502" s="32" t="str">
        <f>'St of Activites - GA Rev'!A502</f>
        <v>Southern Local SD</v>
      </c>
      <c r="AI502" s="32" t="str">
        <f t="shared" si="149"/>
        <v>Southern Local SD</v>
      </c>
      <c r="AJ502" s="32" t="b">
        <f t="shared" si="150"/>
        <v>1</v>
      </c>
      <c r="AL502" s="32" t="str">
        <f>'St of Activities - GA Exp'!A502</f>
        <v>Southern Local SD</v>
      </c>
      <c r="AN502" s="32" t="b">
        <f t="shared" si="152"/>
        <v>1</v>
      </c>
      <c r="AR502" s="32" t="str">
        <f t="shared" si="153"/>
        <v>Meigs</v>
      </c>
      <c r="AS502" s="32" t="str">
        <f>'St of Activites - GA Rev'!C502</f>
        <v>Meigs</v>
      </c>
      <c r="AT502" s="32" t="b">
        <f t="shared" si="151"/>
        <v>1</v>
      </c>
      <c r="AU502" s="32" t="str">
        <f>'St of Activities - GA Exp'!C502</f>
        <v>Meigs</v>
      </c>
      <c r="AW502" s="32" t="b">
        <f t="shared" si="154"/>
        <v>1</v>
      </c>
    </row>
    <row r="503" spans="1:49" s="65" customFormat="1" hidden="1">
      <c r="A503" s="63" t="s">
        <v>739</v>
      </c>
      <c r="B503" s="63"/>
      <c r="C503" s="63" t="s">
        <v>466</v>
      </c>
      <c r="D503" s="62"/>
      <c r="E503" s="64"/>
      <c r="F503" s="66"/>
      <c r="G503" s="65">
        <f t="shared" si="156"/>
        <v>0</v>
      </c>
      <c r="M503" s="65">
        <f t="shared" si="155"/>
        <v>0</v>
      </c>
      <c r="W503" s="65">
        <f t="shared" si="134"/>
        <v>0</v>
      </c>
      <c r="AB503" s="65">
        <f>+K503-S503-AA503</f>
        <v>0</v>
      </c>
      <c r="AD503" s="66">
        <f>+G503+I503+-M503-O503-U503-W503-Y503-Q503</f>
        <v>0</v>
      </c>
      <c r="AE503" s="65" t="s">
        <v>974</v>
      </c>
      <c r="AF503" s="66"/>
      <c r="AH503" s="66" t="str">
        <f>'St of Activites - GA Rev'!A503</f>
        <v>Southern Local SD (CASH)</v>
      </c>
      <c r="AI503" s="66" t="str">
        <f t="shared" si="149"/>
        <v>Southern Local SD (CASH)</v>
      </c>
      <c r="AJ503" s="66" t="b">
        <f t="shared" si="150"/>
        <v>1</v>
      </c>
      <c r="AL503" s="66" t="str">
        <f>'St of Activities - GA Exp'!A503</f>
        <v>Southern Local SD (CASH)</v>
      </c>
      <c r="AN503" s="66" t="b">
        <f t="shared" si="152"/>
        <v>1</v>
      </c>
      <c r="AR503" s="66" t="str">
        <f t="shared" si="153"/>
        <v>Perry</v>
      </c>
      <c r="AS503" s="66" t="str">
        <f>'St of Activites - GA Rev'!C503</f>
        <v>Perry</v>
      </c>
      <c r="AT503" s="66" t="b">
        <f t="shared" si="151"/>
        <v>1</v>
      </c>
      <c r="AU503" s="66" t="str">
        <f>'St of Activities - GA Exp'!C503</f>
        <v>Perry</v>
      </c>
      <c r="AV503" s="86"/>
      <c r="AW503" s="66" t="b">
        <f t="shared" si="154"/>
        <v>1</v>
      </c>
    </row>
    <row r="504" spans="1:49">
      <c r="A504" s="11" t="s">
        <v>546</v>
      </c>
      <c r="B504" s="11"/>
      <c r="C504" s="11" t="s">
        <v>64</v>
      </c>
      <c r="D504" s="11"/>
      <c r="E504" s="29">
        <v>50237</v>
      </c>
      <c r="G504" s="7">
        <f t="shared" si="156"/>
        <v>10567921</v>
      </c>
      <c r="I504" s="7">
        <f>19493115+676029</f>
        <v>20169144</v>
      </c>
      <c r="K504" s="7">
        <v>30737065</v>
      </c>
      <c r="M504" s="7">
        <f t="shared" si="155"/>
        <v>2583376</v>
      </c>
      <c r="O504" s="7">
        <v>288405</v>
      </c>
      <c r="Q504" s="7">
        <v>7866115</v>
      </c>
      <c r="S504" s="7">
        <v>10737896</v>
      </c>
      <c r="U504" s="7">
        <v>13903643</v>
      </c>
      <c r="W504" s="7">
        <f t="shared" ref="W504:W566" si="157">AA504-Y504-U504</f>
        <v>5499104</v>
      </c>
      <c r="Y504" s="7">
        <v>596422</v>
      </c>
      <c r="AA504" s="7">
        <v>19999169</v>
      </c>
      <c r="AB504" s="7">
        <f t="shared" si="136"/>
        <v>0</v>
      </c>
      <c r="AD504" s="32">
        <f t="shared" si="137"/>
        <v>0</v>
      </c>
      <c r="AF504" s="32"/>
      <c r="AH504" s="32" t="str">
        <f>'St of Activites - GA Rev'!A504</f>
        <v>Southington Local SD</v>
      </c>
      <c r="AI504" s="32" t="str">
        <f t="shared" si="149"/>
        <v>Southington Local SD</v>
      </c>
      <c r="AJ504" s="32" t="b">
        <f t="shared" si="150"/>
        <v>1</v>
      </c>
      <c r="AL504" s="32" t="str">
        <f>'St of Activities - GA Exp'!A504</f>
        <v>Southington Local SD</v>
      </c>
      <c r="AN504" s="32" t="b">
        <f t="shared" si="152"/>
        <v>1</v>
      </c>
      <c r="AR504" s="32" t="str">
        <f t="shared" si="153"/>
        <v>Trumbull</v>
      </c>
      <c r="AS504" s="32" t="str">
        <f>'St of Activites - GA Rev'!C504</f>
        <v>Trumbull</v>
      </c>
      <c r="AT504" s="32" t="b">
        <f t="shared" si="151"/>
        <v>1</v>
      </c>
      <c r="AU504" s="32" t="str">
        <f>'St of Activities - GA Exp'!C504</f>
        <v>Trumbull</v>
      </c>
      <c r="AW504" s="32" t="b">
        <f t="shared" si="154"/>
        <v>1</v>
      </c>
    </row>
    <row r="505" spans="1:49" s="65" customFormat="1" hidden="1">
      <c r="A505" s="62" t="s">
        <v>976</v>
      </c>
      <c r="B505" s="62"/>
      <c r="C505" s="62" t="s">
        <v>42</v>
      </c>
      <c r="D505" s="62"/>
      <c r="E505" s="64">
        <v>48041</v>
      </c>
      <c r="F505" s="67"/>
      <c r="G505" s="65">
        <f t="shared" si="156"/>
        <v>0</v>
      </c>
      <c r="M505" s="65">
        <f t="shared" si="155"/>
        <v>0</v>
      </c>
      <c r="W505" s="65">
        <f t="shared" si="157"/>
        <v>0</v>
      </c>
      <c r="AB505" s="65">
        <f t="shared" si="136"/>
        <v>0</v>
      </c>
      <c r="AD505" s="66">
        <f t="shared" si="137"/>
        <v>0</v>
      </c>
      <c r="AE505" s="65" t="s">
        <v>974</v>
      </c>
      <c r="AF505" s="66"/>
      <c r="AH505" s="66" t="str">
        <f>'St of Activites - GA Rev'!A505</f>
        <v>Southwest Licking Local SD (CASH)</v>
      </c>
      <c r="AI505" s="66" t="str">
        <f t="shared" si="149"/>
        <v>Southwest Licking Local SD (CASH)</v>
      </c>
      <c r="AJ505" s="66" t="b">
        <f t="shared" si="150"/>
        <v>1</v>
      </c>
      <c r="AL505" s="66" t="str">
        <f>'St of Activities - GA Exp'!A505</f>
        <v>Southwest Licking Local SD (CASH)</v>
      </c>
      <c r="AN505" s="66" t="b">
        <f t="shared" si="152"/>
        <v>1</v>
      </c>
      <c r="AR505" s="66" t="str">
        <f t="shared" si="153"/>
        <v>Licking</v>
      </c>
      <c r="AS505" s="66" t="str">
        <f>'St of Activites - GA Rev'!C505</f>
        <v>Licking</v>
      </c>
      <c r="AT505" s="66" t="b">
        <f t="shared" si="151"/>
        <v>1</v>
      </c>
      <c r="AU505" s="66" t="str">
        <f>'St of Activities - GA Exp'!C505</f>
        <v>Licking</v>
      </c>
      <c r="AV505" s="86"/>
      <c r="AW505" s="66" t="b">
        <f t="shared" si="154"/>
        <v>1</v>
      </c>
    </row>
    <row r="506" spans="1:49">
      <c r="A506" s="11" t="s">
        <v>339</v>
      </c>
      <c r="B506" s="11"/>
      <c r="C506" s="11" t="s">
        <v>32</v>
      </c>
      <c r="D506" s="11"/>
      <c r="E506" s="29">
        <v>47381</v>
      </c>
      <c r="G506" s="7">
        <f t="shared" si="156"/>
        <v>20611877</v>
      </c>
      <c r="I506" s="7">
        <f>3803311+18736210</f>
        <v>22539521</v>
      </c>
      <c r="K506" s="7">
        <v>43151398</v>
      </c>
      <c r="M506" s="7">
        <f t="shared" si="155"/>
        <v>12651642</v>
      </c>
      <c r="O506" s="7">
        <v>1121243</v>
      </c>
      <c r="Q506" s="7">
        <v>22073322</v>
      </c>
      <c r="S506" s="7">
        <v>35846207</v>
      </c>
      <c r="U506" s="7">
        <v>6549506</v>
      </c>
      <c r="W506" s="7">
        <f t="shared" si="157"/>
        <v>3854220</v>
      </c>
      <c r="Y506" s="7">
        <v>-3098535</v>
      </c>
      <c r="AA506" s="7">
        <v>7305191</v>
      </c>
      <c r="AB506" s="7">
        <f t="shared" si="136"/>
        <v>0</v>
      </c>
      <c r="AD506" s="32">
        <f t="shared" si="137"/>
        <v>0</v>
      </c>
      <c r="AF506" s="32"/>
      <c r="AH506" s="32" t="str">
        <f>'St of Activites - GA Rev'!A506</f>
        <v>Southwest Local SD</v>
      </c>
      <c r="AI506" s="32" t="str">
        <f t="shared" si="149"/>
        <v>Southwest Local SD</v>
      </c>
      <c r="AJ506" s="32" t="b">
        <f t="shared" si="150"/>
        <v>1</v>
      </c>
      <c r="AL506" s="32" t="str">
        <f>'St of Activities - GA Exp'!A506</f>
        <v>Southwest Local SD</v>
      </c>
      <c r="AN506" s="32" t="b">
        <f t="shared" si="152"/>
        <v>1</v>
      </c>
      <c r="AR506" s="32" t="str">
        <f t="shared" si="153"/>
        <v>Hamilton</v>
      </c>
      <c r="AS506" s="32" t="str">
        <f>'St of Activites - GA Rev'!C506</f>
        <v>Hamilton</v>
      </c>
      <c r="AT506" s="32" t="b">
        <f t="shared" si="151"/>
        <v>1</v>
      </c>
      <c r="AU506" s="32" t="str">
        <f>'St of Activities - GA Exp'!C506</f>
        <v>Hamilton</v>
      </c>
      <c r="AW506" s="32" t="b">
        <f t="shared" si="154"/>
        <v>1</v>
      </c>
    </row>
    <row r="507" spans="1:49">
      <c r="A507" s="11" t="s">
        <v>313</v>
      </c>
      <c r="B507" s="11"/>
      <c r="C507" s="11" t="s">
        <v>27</v>
      </c>
      <c r="D507" s="11"/>
      <c r="E507" s="29">
        <v>44800</v>
      </c>
      <c r="G507" s="7">
        <f t="shared" si="156"/>
        <v>226327658</v>
      </c>
      <c r="I507" s="7">
        <v>129351294</v>
      </c>
      <c r="K507" s="7">
        <v>355678952</v>
      </c>
      <c r="M507" s="7">
        <f t="shared" si="155"/>
        <v>85504243</v>
      </c>
      <c r="O507" s="7">
        <v>14145413</v>
      </c>
      <c r="Q507" s="7">
        <v>87592280</v>
      </c>
      <c r="S507" s="7">
        <v>187241936</v>
      </c>
      <c r="U507" s="7">
        <v>50483110</v>
      </c>
      <c r="W507" s="7">
        <f t="shared" si="157"/>
        <v>45063166</v>
      </c>
      <c r="Y507" s="7">
        <v>72890740</v>
      </c>
      <c r="AA507" s="7">
        <v>168437016</v>
      </c>
      <c r="AB507" s="7">
        <f t="shared" si="136"/>
        <v>0</v>
      </c>
      <c r="AD507" s="32">
        <f t="shared" si="137"/>
        <v>0</v>
      </c>
      <c r="AF507" s="32"/>
      <c r="AH507" s="32" t="str">
        <f>'St of Activites - GA Rev'!A507</f>
        <v>South-Western City SD</v>
      </c>
      <c r="AI507" s="32" t="str">
        <f t="shared" si="149"/>
        <v>South-Western City SD</v>
      </c>
      <c r="AJ507" s="32" t="b">
        <f t="shared" si="150"/>
        <v>1</v>
      </c>
      <c r="AL507" s="32" t="str">
        <f>'St of Activities - GA Exp'!A507</f>
        <v>South-Western City SD</v>
      </c>
      <c r="AN507" s="32" t="b">
        <f t="shared" si="152"/>
        <v>1</v>
      </c>
      <c r="AR507" s="32" t="str">
        <f t="shared" si="153"/>
        <v>Franklin</v>
      </c>
      <c r="AS507" s="32" t="str">
        <f>'St of Activites - GA Rev'!C507</f>
        <v>Franklin</v>
      </c>
      <c r="AT507" s="32" t="b">
        <f t="shared" si="151"/>
        <v>1</v>
      </c>
      <c r="AU507" s="32" t="str">
        <f>'St of Activities - GA Exp'!C507</f>
        <v>Franklin</v>
      </c>
      <c r="AW507" s="32" t="b">
        <f t="shared" si="154"/>
        <v>1</v>
      </c>
    </row>
    <row r="508" spans="1:49" s="65" customFormat="1" hidden="1">
      <c r="A508" s="62" t="s">
        <v>741</v>
      </c>
      <c r="B508" s="62"/>
      <c r="C508" s="62" t="s">
        <v>10</v>
      </c>
      <c r="D508" s="62"/>
      <c r="E508" s="64">
        <v>45807</v>
      </c>
      <c r="G508" s="65">
        <f t="shared" si="156"/>
        <v>0</v>
      </c>
      <c r="M508" s="65">
        <f t="shared" si="155"/>
        <v>0</v>
      </c>
      <c r="W508" s="65">
        <f t="shared" si="157"/>
        <v>0</v>
      </c>
      <c r="AB508" s="65">
        <f t="shared" si="136"/>
        <v>0</v>
      </c>
      <c r="AD508" s="66">
        <f t="shared" si="137"/>
        <v>0</v>
      </c>
      <c r="AE508" s="65" t="s">
        <v>974</v>
      </c>
      <c r="AF508" s="66"/>
      <c r="AH508" s="66" t="str">
        <f>'St of Activites - GA Rev'!A508</f>
        <v>Spencerville Local SD (CASH)</v>
      </c>
      <c r="AI508" s="66" t="str">
        <f t="shared" si="149"/>
        <v>Spencerville Local SD (CASH)</v>
      </c>
      <c r="AJ508" s="66" t="b">
        <f t="shared" si="150"/>
        <v>1</v>
      </c>
      <c r="AL508" s="66" t="str">
        <f>'St of Activities - GA Exp'!A508</f>
        <v>Spencerville Local SD (CASH)</v>
      </c>
      <c r="AN508" s="66" t="b">
        <f t="shared" si="152"/>
        <v>1</v>
      </c>
      <c r="AR508" s="66" t="str">
        <f t="shared" si="153"/>
        <v>Allen</v>
      </c>
      <c r="AS508" s="66" t="str">
        <f>'St of Activites - GA Rev'!C508</f>
        <v>Allen</v>
      </c>
      <c r="AT508" s="66" t="b">
        <f t="shared" si="151"/>
        <v>1</v>
      </c>
      <c r="AU508" s="66" t="str">
        <f>'St of Activities - GA Exp'!C508</f>
        <v>Allen</v>
      </c>
      <c r="AV508" s="86"/>
      <c r="AW508" s="66" t="b">
        <f t="shared" si="154"/>
        <v>1</v>
      </c>
    </row>
    <row r="509" spans="1:49">
      <c r="A509" s="11" t="s">
        <v>977</v>
      </c>
      <c r="B509" s="11"/>
      <c r="C509" s="11" t="s">
        <v>69</v>
      </c>
      <c r="D509" s="11"/>
      <c r="E509" s="29">
        <v>50427</v>
      </c>
      <c r="G509" s="7">
        <f t="shared" si="156"/>
        <v>48558489</v>
      </c>
      <c r="I509" s="7">
        <v>85203761</v>
      </c>
      <c r="K509" s="7">
        <v>133762250</v>
      </c>
      <c r="M509" s="7">
        <f t="shared" si="155"/>
        <v>35878699</v>
      </c>
      <c r="O509" s="7">
        <v>4250656</v>
      </c>
      <c r="Q509" s="7">
        <v>92104664</v>
      </c>
      <c r="S509" s="7">
        <v>132234019</v>
      </c>
      <c r="U509" s="7">
        <v>-5455821</v>
      </c>
      <c r="W509" s="7">
        <f t="shared" si="157"/>
        <v>5615048</v>
      </c>
      <c r="Y509" s="7">
        <v>1369004</v>
      </c>
      <c r="AA509" s="7">
        <v>1528231</v>
      </c>
      <c r="AB509" s="7">
        <f t="shared" si="136"/>
        <v>0</v>
      </c>
      <c r="AD509" s="32">
        <f t="shared" si="137"/>
        <v>0</v>
      </c>
      <c r="AF509" s="32"/>
      <c r="AH509" s="32" t="str">
        <f>'St of Activites - GA Rev'!A509</f>
        <v xml:space="preserve">Springboro Community City SD </v>
      </c>
      <c r="AI509" s="32" t="str">
        <f t="shared" si="149"/>
        <v xml:space="preserve">Springboro Community City SD </v>
      </c>
      <c r="AJ509" s="32" t="b">
        <f t="shared" si="150"/>
        <v>1</v>
      </c>
      <c r="AL509" s="32" t="str">
        <f>'St of Activities - GA Exp'!A509</f>
        <v xml:space="preserve">Springboro Community City SD </v>
      </c>
      <c r="AN509" s="32" t="b">
        <f t="shared" si="152"/>
        <v>1</v>
      </c>
      <c r="AR509" s="32" t="str">
        <f t="shared" si="153"/>
        <v>Warren</v>
      </c>
      <c r="AS509" s="32" t="str">
        <f>'St of Activites - GA Rev'!C509</f>
        <v>Warren</v>
      </c>
      <c r="AT509" s="32" t="b">
        <f t="shared" si="151"/>
        <v>1</v>
      </c>
      <c r="AU509" s="32" t="str">
        <f>'St of Activities - GA Exp'!C509</f>
        <v>Warren</v>
      </c>
      <c r="AW509" s="32" t="b">
        <f t="shared" si="154"/>
        <v>1</v>
      </c>
    </row>
    <row r="510" spans="1:49">
      <c r="A510" s="11" t="s">
        <v>656</v>
      </c>
      <c r="B510" s="11"/>
      <c r="C510" s="11" t="s">
        <v>17</v>
      </c>
      <c r="D510" s="11"/>
      <c r="E510" s="29"/>
      <c r="G510" s="7">
        <f t="shared" si="156"/>
        <v>85351176</v>
      </c>
      <c r="I510" s="7">
        <f>16145039+165451901</f>
        <v>181596940</v>
      </c>
      <c r="K510" s="7">
        <v>266948116</v>
      </c>
      <c r="M510" s="7">
        <f t="shared" si="155"/>
        <v>35448403</v>
      </c>
      <c r="O510" s="7">
        <v>5207506</v>
      </c>
      <c r="Q510" s="7">
        <v>31396455</v>
      </c>
      <c r="S510" s="7">
        <v>72052364</v>
      </c>
      <c r="U510" s="7">
        <v>153803982</v>
      </c>
      <c r="W510" s="7">
        <f t="shared" si="157"/>
        <v>18414566</v>
      </c>
      <c r="Y510" s="7">
        <v>22677204</v>
      </c>
      <c r="AA510" s="7">
        <v>194895752</v>
      </c>
      <c r="AB510" s="7">
        <f>+K510-S510-AA510</f>
        <v>0</v>
      </c>
      <c r="AD510" s="32">
        <f t="shared" si="137"/>
        <v>0</v>
      </c>
      <c r="AF510" s="32"/>
      <c r="AH510" s="32" t="str">
        <f>'St of Activites - GA Rev'!A510</f>
        <v>Springfield City SD</v>
      </c>
      <c r="AI510" s="32" t="str">
        <f t="shared" si="149"/>
        <v>Springfield City SD</v>
      </c>
      <c r="AJ510" s="32" t="b">
        <f t="shared" si="150"/>
        <v>1</v>
      </c>
      <c r="AL510" s="32" t="str">
        <f>'St of Activities - GA Exp'!A510</f>
        <v>Springfield City SD</v>
      </c>
      <c r="AN510" s="32" t="b">
        <f t="shared" si="152"/>
        <v>1</v>
      </c>
      <c r="AR510" s="32" t="str">
        <f t="shared" si="153"/>
        <v>Clark</v>
      </c>
      <c r="AS510" s="32" t="str">
        <f>'St of Activites - GA Rev'!C510</f>
        <v>Clark</v>
      </c>
      <c r="AT510" s="32" t="b">
        <f t="shared" si="151"/>
        <v>1</v>
      </c>
      <c r="AU510" s="32" t="str">
        <f>'St of Activities - GA Exp'!C510</f>
        <v>Clark</v>
      </c>
      <c r="AW510" s="32" t="b">
        <f t="shared" si="154"/>
        <v>1</v>
      </c>
    </row>
    <row r="511" spans="1:49">
      <c r="A511" s="11" t="s">
        <v>756</v>
      </c>
      <c r="B511" s="11"/>
      <c r="C511" s="11" t="s">
        <v>115</v>
      </c>
      <c r="D511" s="11"/>
      <c r="E511" s="29">
        <v>48223</v>
      </c>
      <c r="G511" s="7">
        <f t="shared" si="156"/>
        <v>34333680</v>
      </c>
      <c r="I511" s="7">
        <f>666064+26657352</f>
        <v>27323416</v>
      </c>
      <c r="K511" s="7">
        <v>61657096</v>
      </c>
      <c r="M511" s="7">
        <f t="shared" si="155"/>
        <v>31919590</v>
      </c>
      <c r="O511" s="7">
        <v>1834795</v>
      </c>
      <c r="Q511" s="7">
        <v>14555000</v>
      </c>
      <c r="S511" s="7">
        <v>48309385</v>
      </c>
      <c r="U511" s="7">
        <v>22346186</v>
      </c>
      <c r="W511" s="7">
        <f t="shared" si="157"/>
        <v>-7174226</v>
      </c>
      <c r="Y511" s="7">
        <v>-1824249</v>
      </c>
      <c r="AA511" s="7">
        <v>13347711</v>
      </c>
      <c r="AB511" s="7">
        <f t="shared" si="136"/>
        <v>0</v>
      </c>
      <c r="AD511" s="32">
        <f t="shared" si="137"/>
        <v>0</v>
      </c>
      <c r="AF511" s="32"/>
      <c r="AH511" s="32" t="str">
        <f>'St of Activites - GA Rev'!A511</f>
        <v xml:space="preserve">Springfield Local SD </v>
      </c>
      <c r="AI511" s="32" t="str">
        <f t="shared" si="149"/>
        <v xml:space="preserve">Springfield Local SD </v>
      </c>
      <c r="AJ511" s="32" t="b">
        <f t="shared" si="150"/>
        <v>1</v>
      </c>
      <c r="AL511" s="32" t="str">
        <f>'St of Activities - GA Exp'!A511</f>
        <v xml:space="preserve">Springfield Local SD </v>
      </c>
      <c r="AN511" s="32" t="b">
        <f t="shared" si="152"/>
        <v>1</v>
      </c>
      <c r="AR511" s="32" t="str">
        <f t="shared" si="153"/>
        <v>Lucas</v>
      </c>
      <c r="AS511" s="32" t="str">
        <f>'St of Activites - GA Rev'!C511</f>
        <v>Lucas</v>
      </c>
      <c r="AT511" s="32" t="b">
        <f t="shared" si="151"/>
        <v>1</v>
      </c>
      <c r="AU511" s="32" t="str">
        <f>'St of Activities - GA Exp'!C511</f>
        <v>Lucas</v>
      </c>
      <c r="AW511" s="32" t="b">
        <f t="shared" si="154"/>
        <v>1</v>
      </c>
    </row>
    <row r="512" spans="1:49">
      <c r="A512" s="11" t="s">
        <v>406</v>
      </c>
      <c r="B512" s="11"/>
      <c r="C512" s="11" t="s">
        <v>45</v>
      </c>
      <c r="D512" s="11"/>
      <c r="E512" s="29">
        <v>48371</v>
      </c>
      <c r="G512" s="7">
        <f t="shared" si="156"/>
        <v>6801981</v>
      </c>
      <c r="I512" s="7">
        <f>99230+5129932</f>
        <v>5229162</v>
      </c>
      <c r="K512" s="7">
        <v>12031143</v>
      </c>
      <c r="M512" s="7">
        <f t="shared" si="155"/>
        <v>4068992</v>
      </c>
      <c r="O512" s="7">
        <v>637598</v>
      </c>
      <c r="Q512" s="7">
        <v>1550828</v>
      </c>
      <c r="S512" s="7">
        <v>6257418</v>
      </c>
      <c r="U512" s="7">
        <v>4369042</v>
      </c>
      <c r="W512" s="7">
        <f t="shared" si="157"/>
        <v>1379585</v>
      </c>
      <c r="Y512" s="7">
        <v>25098</v>
      </c>
      <c r="AA512" s="7">
        <v>5773725</v>
      </c>
      <c r="AB512" s="7">
        <f t="shared" si="136"/>
        <v>0</v>
      </c>
      <c r="AD512" s="32">
        <f t="shared" si="137"/>
        <v>0</v>
      </c>
      <c r="AF512" s="32"/>
      <c r="AH512" s="32" t="str">
        <f>'St of Activites - GA Rev'!A512</f>
        <v>Springfield Local SD</v>
      </c>
      <c r="AI512" s="32" t="str">
        <f t="shared" si="149"/>
        <v>Springfield Local SD</v>
      </c>
      <c r="AJ512" s="32" t="b">
        <f t="shared" si="150"/>
        <v>1</v>
      </c>
      <c r="AL512" s="32" t="str">
        <f>'St of Activities - GA Exp'!A512</f>
        <v>Springfield Local SD</v>
      </c>
      <c r="AN512" s="32" t="b">
        <f t="shared" si="152"/>
        <v>1</v>
      </c>
      <c r="AR512" s="32" t="str">
        <f t="shared" si="153"/>
        <v>Mahoning</v>
      </c>
      <c r="AS512" s="32" t="str">
        <f>'St of Activites - GA Rev'!C512</f>
        <v>Mahoning</v>
      </c>
      <c r="AT512" s="32" t="b">
        <f t="shared" si="151"/>
        <v>1</v>
      </c>
      <c r="AU512" s="32" t="str">
        <f>'St of Activities - GA Exp'!C512</f>
        <v>Mahoning</v>
      </c>
      <c r="AW512" s="32" t="b">
        <f t="shared" si="154"/>
        <v>1</v>
      </c>
    </row>
    <row r="513" spans="1:49">
      <c r="A513" s="11" t="s">
        <v>406</v>
      </c>
      <c r="B513" s="11"/>
      <c r="C513" s="11" t="s">
        <v>63</v>
      </c>
      <c r="D513" s="11"/>
      <c r="E513" s="29">
        <v>50062</v>
      </c>
      <c r="G513" s="7">
        <f t="shared" si="156"/>
        <v>61464528</v>
      </c>
      <c r="I513" s="7">
        <f>2737114+1418036</f>
        <v>4155150</v>
      </c>
      <c r="K513" s="7">
        <v>65619678</v>
      </c>
      <c r="M513" s="7">
        <f t="shared" si="155"/>
        <v>15440951</v>
      </c>
      <c r="O513" s="7">
        <v>129177</v>
      </c>
      <c r="Q513" s="7">
        <v>35622292</v>
      </c>
      <c r="S513" s="7">
        <v>51192420</v>
      </c>
      <c r="U513" s="7">
        <v>1944146</v>
      </c>
      <c r="W513" s="7">
        <f t="shared" si="157"/>
        <v>9921461</v>
      </c>
      <c r="Y513" s="7">
        <v>2561651</v>
      </c>
      <c r="AA513" s="7">
        <v>14427258</v>
      </c>
      <c r="AB513" s="7">
        <f t="shared" si="136"/>
        <v>0</v>
      </c>
      <c r="AD513" s="32">
        <f t="shared" si="137"/>
        <v>0</v>
      </c>
      <c r="AF513" s="32"/>
      <c r="AH513" s="32" t="str">
        <f>'St of Activites - GA Rev'!A513</f>
        <v>Springfield Local SD</v>
      </c>
      <c r="AI513" s="32" t="str">
        <f t="shared" si="149"/>
        <v>Springfield Local SD</v>
      </c>
      <c r="AJ513" s="32" t="b">
        <f t="shared" si="150"/>
        <v>1</v>
      </c>
      <c r="AL513" s="32" t="str">
        <f>'St of Activities - GA Exp'!A513</f>
        <v>Springfield Local SD</v>
      </c>
      <c r="AN513" s="32" t="b">
        <f t="shared" si="152"/>
        <v>1</v>
      </c>
      <c r="AR513" s="32" t="str">
        <f t="shared" si="153"/>
        <v>Summit</v>
      </c>
      <c r="AS513" s="32" t="str">
        <f>'St of Activites - GA Rev'!C513</f>
        <v>Summit</v>
      </c>
      <c r="AT513" s="32" t="b">
        <f t="shared" si="151"/>
        <v>1</v>
      </c>
      <c r="AU513" s="32" t="str">
        <f>'St of Activities - GA Exp'!C513</f>
        <v>Summit</v>
      </c>
      <c r="AW513" s="32" t="b">
        <f t="shared" si="154"/>
        <v>1</v>
      </c>
    </row>
    <row r="514" spans="1:49">
      <c r="A514" s="11" t="s">
        <v>896</v>
      </c>
      <c r="B514" s="11"/>
      <c r="C514" s="11" t="s">
        <v>32</v>
      </c>
      <c r="D514" s="11"/>
      <c r="E514" s="29">
        <v>44719</v>
      </c>
      <c r="G514" s="7">
        <f t="shared" si="156"/>
        <v>16186701</v>
      </c>
      <c r="I514" s="7">
        <f>306322+2680302</f>
        <v>2986624</v>
      </c>
      <c r="K514" s="7">
        <v>19173325</v>
      </c>
      <c r="M514" s="7">
        <f t="shared" si="155"/>
        <v>8124389</v>
      </c>
      <c r="O514" s="7">
        <v>196994</v>
      </c>
      <c r="Q514" s="7">
        <v>2236283</v>
      </c>
      <c r="S514" s="7">
        <v>10557666</v>
      </c>
      <c r="U514" s="7">
        <v>1873624</v>
      </c>
      <c r="W514" s="7">
        <f t="shared" si="157"/>
        <v>1491755</v>
      </c>
      <c r="Y514" s="7">
        <v>5250280</v>
      </c>
      <c r="AA514" s="7">
        <v>8615659</v>
      </c>
      <c r="AB514" s="7">
        <f t="shared" si="136"/>
        <v>0</v>
      </c>
      <c r="AD514" s="32">
        <f t="shared" ref="AD514:AD520" si="158">+G514+I514+-M514-O514-U514-W514-Y514-Q514</f>
        <v>0</v>
      </c>
      <c r="AF514" s="32"/>
      <c r="AH514" s="32" t="str">
        <f>'St of Activites - GA Rev'!A514</f>
        <v>St. Bernard-Elmwood Place City SD</v>
      </c>
      <c r="AI514" s="32" t="str">
        <f t="shared" si="149"/>
        <v>St. Bernard-Elmwood Place City SD</v>
      </c>
      <c r="AJ514" s="32" t="b">
        <f t="shared" si="150"/>
        <v>1</v>
      </c>
      <c r="AL514" s="32" t="str">
        <f>'St of Activities - GA Exp'!A514</f>
        <v>St. Bernard-Elmwood Place City SD</v>
      </c>
      <c r="AN514" s="32" t="b">
        <f t="shared" si="152"/>
        <v>1</v>
      </c>
      <c r="AR514" s="32" t="str">
        <f t="shared" si="153"/>
        <v>Hamilton</v>
      </c>
      <c r="AS514" s="32" t="str">
        <f>'St of Activites - GA Rev'!C514</f>
        <v>Hamilton</v>
      </c>
      <c r="AT514" s="32" t="b">
        <f t="shared" si="151"/>
        <v>1</v>
      </c>
      <c r="AU514" s="32" t="str">
        <f>'St of Activities - GA Exp'!C514</f>
        <v>Hamilton</v>
      </c>
      <c r="AW514" s="32" t="b">
        <f t="shared" si="154"/>
        <v>1</v>
      </c>
    </row>
    <row r="515" spans="1:49">
      <c r="A515" s="11" t="s">
        <v>897</v>
      </c>
      <c r="B515" s="11"/>
      <c r="C515" s="11" t="s">
        <v>15</v>
      </c>
      <c r="D515" s="11"/>
      <c r="E515" s="29">
        <v>45997</v>
      </c>
      <c r="G515" s="7">
        <f t="shared" si="156"/>
        <v>11109384</v>
      </c>
      <c r="I515" s="7">
        <f>700855+8596041</f>
        <v>9296896</v>
      </c>
      <c r="K515" s="7">
        <v>20406280</v>
      </c>
      <c r="M515" s="7">
        <f t="shared" si="155"/>
        <v>8728616</v>
      </c>
      <c r="O515" s="7">
        <v>1018191</v>
      </c>
      <c r="Q515" s="7">
        <v>2479039</v>
      </c>
      <c r="S515" s="7">
        <v>12225846</v>
      </c>
      <c r="U515" s="7">
        <v>7078323</v>
      </c>
      <c r="W515" s="7">
        <f t="shared" si="157"/>
        <v>1040175</v>
      </c>
      <c r="Y515" s="7">
        <v>61936</v>
      </c>
      <c r="AA515" s="7">
        <v>8180434</v>
      </c>
      <c r="AB515" s="7">
        <f t="shared" si="136"/>
        <v>0</v>
      </c>
      <c r="AD515" s="32">
        <f t="shared" si="158"/>
        <v>0</v>
      </c>
      <c r="AF515" s="32"/>
      <c r="AH515" s="32" t="str">
        <f>'St of Activites - GA Rev'!A515</f>
        <v>St. Clairsville-Richland City SD</v>
      </c>
      <c r="AI515" s="32" t="str">
        <f t="shared" si="149"/>
        <v>St. Clairsville-Richland City SD</v>
      </c>
      <c r="AJ515" s="32" t="b">
        <f t="shared" si="150"/>
        <v>1</v>
      </c>
      <c r="AL515" s="32" t="str">
        <f>'St of Activities - GA Exp'!A515</f>
        <v>St. Clairsville-Richland City SD</v>
      </c>
      <c r="AN515" s="32" t="b">
        <f t="shared" si="152"/>
        <v>1</v>
      </c>
      <c r="AR515" s="32" t="str">
        <f t="shared" si="153"/>
        <v>Belmont</v>
      </c>
      <c r="AS515" s="32" t="str">
        <f>'St of Activites - GA Rev'!C515</f>
        <v>Belmont</v>
      </c>
      <c r="AT515" s="32" t="b">
        <f t="shared" si="151"/>
        <v>1</v>
      </c>
      <c r="AU515" s="32" t="str">
        <f>'St of Activities - GA Exp'!C515</f>
        <v>Belmont</v>
      </c>
      <c r="AW515" s="32" t="b">
        <f t="shared" si="154"/>
        <v>1</v>
      </c>
    </row>
    <row r="516" spans="1:49" s="65" customFormat="1" hidden="1">
      <c r="A516" s="62" t="s">
        <v>742</v>
      </c>
      <c r="B516" s="62"/>
      <c r="C516" s="62" t="s">
        <v>435</v>
      </c>
      <c r="D516" s="62"/>
      <c r="E516" s="64">
        <v>48587</v>
      </c>
      <c r="G516" s="65">
        <f t="shared" si="156"/>
        <v>0</v>
      </c>
      <c r="M516" s="65">
        <f t="shared" si="155"/>
        <v>0</v>
      </c>
      <c r="W516" s="65">
        <f t="shared" si="157"/>
        <v>0</v>
      </c>
      <c r="AB516" s="65">
        <f t="shared" si="136"/>
        <v>0</v>
      </c>
      <c r="AD516" s="66">
        <f t="shared" si="158"/>
        <v>0</v>
      </c>
      <c r="AE516" s="65" t="s">
        <v>974</v>
      </c>
      <c r="AF516" s="66"/>
      <c r="AH516" s="66" t="str">
        <f>'St of Activites - GA Rev'!A516</f>
        <v>St Henry Consolidated Local SD (CASH)</v>
      </c>
      <c r="AI516" s="66" t="str">
        <f t="shared" si="149"/>
        <v>St Henry Consolidated Local SD (CASH)</v>
      </c>
      <c r="AJ516" s="66" t="b">
        <f t="shared" si="150"/>
        <v>1</v>
      </c>
      <c r="AL516" s="66" t="str">
        <f>'St of Activities - GA Exp'!A516</f>
        <v>St Henry Consolidated Local SD (CASH)</v>
      </c>
      <c r="AN516" s="66" t="b">
        <f t="shared" si="152"/>
        <v>1</v>
      </c>
      <c r="AR516" s="66" t="str">
        <f t="shared" si="153"/>
        <v>Mercer</v>
      </c>
      <c r="AS516" s="66" t="str">
        <f>'St of Activites - GA Rev'!C516</f>
        <v>Mercer</v>
      </c>
      <c r="AT516" s="66" t="b">
        <f t="shared" si="151"/>
        <v>1</v>
      </c>
      <c r="AU516" s="66" t="str">
        <f>'St of Activities - GA Exp'!C516</f>
        <v>Mercer</v>
      </c>
      <c r="AV516" s="86"/>
      <c r="AW516" s="66" t="b">
        <f t="shared" si="154"/>
        <v>1</v>
      </c>
    </row>
    <row r="517" spans="1:49" s="65" customFormat="1" hidden="1">
      <c r="A517" s="62" t="s">
        <v>743</v>
      </c>
      <c r="B517" s="62"/>
      <c r="C517" s="62" t="s">
        <v>14</v>
      </c>
      <c r="D517" s="62"/>
      <c r="E517" s="64">
        <v>44727</v>
      </c>
      <c r="G517" s="65">
        <f t="shared" si="156"/>
        <v>0</v>
      </c>
      <c r="M517" s="65">
        <f t="shared" si="155"/>
        <v>0</v>
      </c>
      <c r="W517" s="65">
        <f t="shared" si="157"/>
        <v>0</v>
      </c>
      <c r="AB517" s="65">
        <f>+K517-S517-AA517</f>
        <v>0</v>
      </c>
      <c r="AD517" s="66">
        <f t="shared" si="158"/>
        <v>0</v>
      </c>
      <c r="AE517" s="65" t="s">
        <v>789</v>
      </c>
      <c r="AF517" s="66"/>
      <c r="AH517" s="66" t="str">
        <f>'St of Activites - GA Rev'!A517</f>
        <v>St Marys City SD (CASH)</v>
      </c>
      <c r="AI517" s="66" t="str">
        <f t="shared" si="149"/>
        <v>St Marys City SD (CASH)</v>
      </c>
      <c r="AJ517" s="66" t="b">
        <f t="shared" si="150"/>
        <v>1</v>
      </c>
      <c r="AL517" s="66" t="str">
        <f>'St of Activities - GA Exp'!A517</f>
        <v>St Marys City SD (CASH)</v>
      </c>
      <c r="AN517" s="66" t="b">
        <f t="shared" si="152"/>
        <v>1</v>
      </c>
      <c r="AR517" s="66" t="str">
        <f t="shared" si="153"/>
        <v>Auglaize</v>
      </c>
      <c r="AS517" s="66" t="str">
        <f>'St of Activites - GA Rev'!C517</f>
        <v>Auglaize</v>
      </c>
      <c r="AT517" s="66" t="b">
        <f t="shared" si="151"/>
        <v>1</v>
      </c>
      <c r="AU517" s="66" t="str">
        <f>'St of Activities - GA Exp'!C517</f>
        <v>Auglaize</v>
      </c>
      <c r="AV517" s="86"/>
      <c r="AW517" s="66" t="b">
        <f t="shared" si="154"/>
        <v>1</v>
      </c>
    </row>
    <row r="518" spans="1:49">
      <c r="A518" s="11" t="s">
        <v>374</v>
      </c>
      <c r="B518" s="11"/>
      <c r="C518" s="11" t="s">
        <v>39</v>
      </c>
      <c r="D518" s="11"/>
      <c r="E518" s="29">
        <v>44826</v>
      </c>
      <c r="G518" s="7">
        <f t="shared" si="156"/>
        <v>24354747</v>
      </c>
      <c r="I518" s="7">
        <f>5766487+44172095</f>
        <v>49938582</v>
      </c>
      <c r="K518" s="7">
        <v>74293329</v>
      </c>
      <c r="M518" s="7">
        <f t="shared" si="155"/>
        <v>6088092</v>
      </c>
      <c r="O518" s="7">
        <v>953786</v>
      </c>
      <c r="Q518" s="7">
        <v>11445332</v>
      </c>
      <c r="S518" s="7">
        <v>18487210</v>
      </c>
      <c r="U518" s="7">
        <v>41247121</v>
      </c>
      <c r="W518" s="7">
        <f t="shared" si="157"/>
        <v>8878791</v>
      </c>
      <c r="Y518" s="7">
        <v>5680207</v>
      </c>
      <c r="AA518" s="7">
        <v>55806119</v>
      </c>
      <c r="AB518" s="7">
        <f>+K518-S518-AA518</f>
        <v>0</v>
      </c>
      <c r="AD518" s="32">
        <f t="shared" si="158"/>
        <v>0</v>
      </c>
      <c r="AF518" s="32"/>
      <c r="AH518" s="32" t="str">
        <f>'St of Activites - GA Rev'!A518</f>
        <v>Steubenville City SD</v>
      </c>
      <c r="AI518" s="32" t="str">
        <f t="shared" si="149"/>
        <v>Steubenville City SD</v>
      </c>
      <c r="AJ518" s="32" t="b">
        <f t="shared" si="150"/>
        <v>1</v>
      </c>
      <c r="AL518" s="32" t="str">
        <f>'St of Activities - GA Exp'!A518</f>
        <v>Steubenville City SD</v>
      </c>
      <c r="AN518" s="32" t="b">
        <f t="shared" si="152"/>
        <v>1</v>
      </c>
      <c r="AR518" s="32" t="str">
        <f t="shared" si="153"/>
        <v>Jefferson</v>
      </c>
      <c r="AS518" s="32" t="str">
        <f>'St of Activites - GA Rev'!C518</f>
        <v>Jefferson</v>
      </c>
      <c r="AT518" s="32" t="b">
        <f t="shared" si="151"/>
        <v>1</v>
      </c>
      <c r="AU518" s="32" t="str">
        <f>'St of Activities - GA Exp'!C518</f>
        <v>Jefferson</v>
      </c>
      <c r="AW518" s="32" t="b">
        <f t="shared" si="154"/>
        <v>1</v>
      </c>
    </row>
    <row r="519" spans="1:49">
      <c r="A519" s="11" t="s">
        <v>530</v>
      </c>
      <c r="B519" s="11"/>
      <c r="C519" s="11" t="s">
        <v>63</v>
      </c>
      <c r="D519" s="11"/>
      <c r="E519" s="29">
        <v>44834</v>
      </c>
      <c r="G519" s="7">
        <f t="shared" si="156"/>
        <v>45124568</v>
      </c>
      <c r="I519" s="7">
        <v>16279508</v>
      </c>
      <c r="K519" s="7">
        <v>61404076</v>
      </c>
      <c r="M519" s="7">
        <f t="shared" si="155"/>
        <v>31261763</v>
      </c>
      <c r="O519" s="7">
        <v>724560</v>
      </c>
      <c r="Q519" s="7">
        <v>6494749</v>
      </c>
      <c r="S519" s="7">
        <v>38481072</v>
      </c>
      <c r="U519" s="7">
        <v>13326998</v>
      </c>
      <c r="W519" s="7">
        <f t="shared" si="157"/>
        <v>429712</v>
      </c>
      <c r="Y519" s="7">
        <v>9166294</v>
      </c>
      <c r="AA519" s="7">
        <v>22923004</v>
      </c>
      <c r="AB519" s="7">
        <f>+K519-S519-AA519</f>
        <v>0</v>
      </c>
      <c r="AD519" s="32">
        <f t="shared" si="158"/>
        <v>0</v>
      </c>
      <c r="AF519" s="32"/>
      <c r="AH519" s="32" t="str">
        <f>'St of Activites - GA Rev'!A519</f>
        <v>Stow-Munroe Falls City SD</v>
      </c>
      <c r="AI519" s="32" t="str">
        <f t="shared" si="149"/>
        <v>Stow-Munroe Falls City SD</v>
      </c>
      <c r="AJ519" s="32" t="b">
        <f t="shared" si="150"/>
        <v>1</v>
      </c>
      <c r="AL519" s="32" t="str">
        <f>'St of Activities - GA Exp'!A519</f>
        <v>Stow-Munroe Falls City SD</v>
      </c>
      <c r="AN519" s="32" t="b">
        <f t="shared" si="152"/>
        <v>1</v>
      </c>
      <c r="AR519" s="32" t="str">
        <f t="shared" si="153"/>
        <v>Summit</v>
      </c>
      <c r="AS519" s="32" t="str">
        <f>'St of Activites - GA Rev'!C519</f>
        <v>Summit</v>
      </c>
      <c r="AT519" s="32" t="b">
        <f t="shared" si="151"/>
        <v>1</v>
      </c>
      <c r="AU519" s="32" t="str">
        <f>'St of Activities - GA Exp'!C519</f>
        <v>Summit</v>
      </c>
      <c r="AW519" s="32" t="b">
        <f t="shared" si="154"/>
        <v>1</v>
      </c>
    </row>
    <row r="520" spans="1:49" s="65" customFormat="1" hidden="1">
      <c r="A520" s="63" t="s">
        <v>744</v>
      </c>
      <c r="B520" s="62"/>
      <c r="C520" s="62" t="s">
        <v>65</v>
      </c>
      <c r="D520" s="62"/>
      <c r="E520" s="64">
        <v>50294</v>
      </c>
      <c r="G520" s="65">
        <f t="shared" si="156"/>
        <v>0</v>
      </c>
      <c r="M520" s="65">
        <f t="shared" si="155"/>
        <v>0</v>
      </c>
      <c r="W520" s="65">
        <f t="shared" si="157"/>
        <v>0</v>
      </c>
      <c r="AB520" s="65">
        <f>+K520-S520-AA520</f>
        <v>0</v>
      </c>
      <c r="AD520" s="66">
        <f t="shared" si="158"/>
        <v>0</v>
      </c>
      <c r="AE520" s="65" t="s">
        <v>974</v>
      </c>
      <c r="AF520" s="66"/>
      <c r="AH520" s="66" t="str">
        <f>'St of Activites - GA Rev'!A520</f>
        <v>Strasburg-Franklin Local SD (CASH)</v>
      </c>
      <c r="AI520" s="66" t="str">
        <f t="shared" si="149"/>
        <v>Strasburg-Franklin Local SD (CASH)</v>
      </c>
      <c r="AJ520" s="66" t="b">
        <f t="shared" si="150"/>
        <v>1</v>
      </c>
      <c r="AL520" s="66" t="str">
        <f>'St of Activities - GA Exp'!A520</f>
        <v>Strasburg-Franklin Local SD (CASH)</v>
      </c>
      <c r="AN520" s="66" t="b">
        <f t="shared" si="152"/>
        <v>1</v>
      </c>
      <c r="AR520" s="66" t="str">
        <f t="shared" si="153"/>
        <v>Tuscarawas</v>
      </c>
      <c r="AS520" s="66" t="str">
        <f>'St of Activites - GA Rev'!C520</f>
        <v>Tuscarawas</v>
      </c>
      <c r="AT520" s="66" t="b">
        <f t="shared" si="151"/>
        <v>1</v>
      </c>
      <c r="AU520" s="66" t="str">
        <f>'St of Activities - GA Exp'!C520</f>
        <v>Tuscarawas</v>
      </c>
      <c r="AV520" s="86"/>
      <c r="AW520" s="66" t="b">
        <f t="shared" si="154"/>
        <v>1</v>
      </c>
    </row>
    <row r="521" spans="1:49">
      <c r="A521" s="11" t="s">
        <v>479</v>
      </c>
      <c r="B521" s="11"/>
      <c r="C521" s="11" t="s">
        <v>56</v>
      </c>
      <c r="D521" s="11"/>
      <c r="E521" s="29">
        <v>49239</v>
      </c>
      <c r="F521" s="10"/>
      <c r="G521" s="7">
        <f t="shared" ref="G521:G529" si="159">+K521-I521</f>
        <v>19859936</v>
      </c>
      <c r="I521" s="7">
        <f>5287380+14837611</f>
        <v>20124991</v>
      </c>
      <c r="K521" s="7">
        <v>39984927</v>
      </c>
      <c r="M521" s="7">
        <f t="shared" si="155"/>
        <v>16030976</v>
      </c>
      <c r="O521" s="7">
        <v>1130132</v>
      </c>
      <c r="Q521" s="7">
        <v>13072143</v>
      </c>
      <c r="S521" s="7">
        <v>30233251</v>
      </c>
      <c r="U521" s="7">
        <v>8539521</v>
      </c>
      <c r="W521" s="7">
        <f t="shared" si="157"/>
        <v>1440373</v>
      </c>
      <c r="Y521" s="7">
        <v>-228218</v>
      </c>
      <c r="AA521" s="7">
        <v>9751676</v>
      </c>
      <c r="AB521" s="32">
        <f t="shared" ref="AB521:AB567" si="160">+K521-S521-AA521</f>
        <v>0</v>
      </c>
      <c r="AC521" s="32"/>
      <c r="AD521" s="32">
        <f t="shared" ref="AD521:AD567" si="161">+G521+I521+-M521-O521-U521-W521-Y521-Q521</f>
        <v>0</v>
      </c>
      <c r="AF521" s="32"/>
      <c r="AH521" s="32" t="str">
        <f>'St of Activites - GA Rev'!A521</f>
        <v>Streetsboro City SD</v>
      </c>
      <c r="AI521" s="32" t="str">
        <f t="shared" si="149"/>
        <v>Streetsboro City SD</v>
      </c>
      <c r="AJ521" s="32" t="b">
        <f t="shared" si="150"/>
        <v>1</v>
      </c>
      <c r="AL521" s="32" t="str">
        <f>'St of Activities - GA Exp'!A521</f>
        <v>Streetsboro City SD</v>
      </c>
      <c r="AN521" s="32" t="b">
        <f t="shared" si="152"/>
        <v>1</v>
      </c>
      <c r="AR521" s="32" t="str">
        <f t="shared" si="153"/>
        <v>Portage</v>
      </c>
      <c r="AS521" s="32" t="str">
        <f>'St of Activites - GA Rev'!C521</f>
        <v>Portage</v>
      </c>
      <c r="AT521" s="32" t="b">
        <f t="shared" si="151"/>
        <v>1</v>
      </c>
      <c r="AU521" s="32" t="str">
        <f>'St of Activities - GA Exp'!C521</f>
        <v>Portage</v>
      </c>
      <c r="AW521" s="32" t="b">
        <f t="shared" si="154"/>
        <v>1</v>
      </c>
    </row>
    <row r="522" spans="1:49">
      <c r="A522" s="11" t="s">
        <v>285</v>
      </c>
      <c r="B522" s="11"/>
      <c r="C522" s="11" t="s">
        <v>20</v>
      </c>
      <c r="D522" s="11"/>
      <c r="E522" s="29">
        <v>44842</v>
      </c>
      <c r="G522" s="7">
        <f t="shared" si="159"/>
        <v>61998601</v>
      </c>
      <c r="I522" s="7">
        <f>2611204+40815002</f>
        <v>43426206</v>
      </c>
      <c r="K522" s="7">
        <v>105424807</v>
      </c>
      <c r="M522" s="7">
        <f t="shared" si="155"/>
        <v>54141604</v>
      </c>
      <c r="O522" s="7">
        <v>6046785</v>
      </c>
      <c r="Q522" s="7">
        <v>20555177</v>
      </c>
      <c r="S522" s="7">
        <v>80743566</v>
      </c>
      <c r="U522" s="7">
        <v>26987540</v>
      </c>
      <c r="W522" s="7">
        <f t="shared" si="157"/>
        <v>6315613</v>
      </c>
      <c r="Y522" s="7">
        <v>-8621912</v>
      </c>
      <c r="AA522" s="7">
        <v>24681241</v>
      </c>
      <c r="AB522" s="7">
        <f t="shared" si="160"/>
        <v>0</v>
      </c>
      <c r="AD522" s="32">
        <f t="shared" si="161"/>
        <v>0</v>
      </c>
      <c r="AF522" s="32"/>
      <c r="AH522" s="32" t="str">
        <f>'St of Activites - GA Rev'!A522</f>
        <v>Strongsville City SD</v>
      </c>
      <c r="AI522" s="32" t="str">
        <f t="shared" si="149"/>
        <v>Strongsville City SD</v>
      </c>
      <c r="AJ522" s="32" t="b">
        <f t="shared" si="150"/>
        <v>1</v>
      </c>
      <c r="AL522" s="32" t="str">
        <f>'St of Activities - GA Exp'!A522</f>
        <v>Strongsville City SD</v>
      </c>
      <c r="AN522" s="32" t="b">
        <f t="shared" si="152"/>
        <v>1</v>
      </c>
      <c r="AR522" s="32" t="str">
        <f t="shared" si="153"/>
        <v>Cuyahoga</v>
      </c>
      <c r="AS522" s="32" t="str">
        <f>'St of Activites - GA Rev'!C522</f>
        <v>Cuyahoga</v>
      </c>
      <c r="AT522" s="32" t="b">
        <f t="shared" si="151"/>
        <v>1</v>
      </c>
      <c r="AU522" s="32" t="str">
        <f>'St of Activities - GA Exp'!C522</f>
        <v>Cuyahoga</v>
      </c>
      <c r="AW522" s="32" t="b">
        <f t="shared" si="154"/>
        <v>1</v>
      </c>
    </row>
    <row r="523" spans="1:49">
      <c r="A523" s="11" t="s">
        <v>420</v>
      </c>
      <c r="B523" s="11"/>
      <c r="C523" s="11" t="s">
        <v>45</v>
      </c>
      <c r="D523" s="11"/>
      <c r="E523" s="29">
        <v>44859</v>
      </c>
      <c r="G523" s="7">
        <f t="shared" si="159"/>
        <v>15980702</v>
      </c>
      <c r="I523" s="7">
        <f>422600+22423383</f>
        <v>22845983</v>
      </c>
      <c r="K523" s="7">
        <v>38826685</v>
      </c>
      <c r="M523" s="7">
        <f t="shared" si="155"/>
        <v>7176517</v>
      </c>
      <c r="O523" s="7">
        <v>744308</v>
      </c>
      <c r="Q523" s="7">
        <v>4569595</v>
      </c>
      <c r="S523" s="7">
        <v>12490420</v>
      </c>
      <c r="U523" s="7">
        <v>19451276</v>
      </c>
      <c r="W523" s="7">
        <f t="shared" si="157"/>
        <v>1695125</v>
      </c>
      <c r="Y523" s="7">
        <v>5189864</v>
      </c>
      <c r="AA523" s="7">
        <v>26336265</v>
      </c>
      <c r="AB523" s="7">
        <f t="shared" si="160"/>
        <v>0</v>
      </c>
      <c r="AD523" s="32">
        <f t="shared" si="161"/>
        <v>0</v>
      </c>
      <c r="AF523" s="32"/>
      <c r="AH523" s="32" t="str">
        <f>'St of Activites - GA Rev'!A523</f>
        <v>Struthers City SD</v>
      </c>
      <c r="AI523" s="32" t="str">
        <f t="shared" si="149"/>
        <v>Struthers City SD</v>
      </c>
      <c r="AJ523" s="32" t="b">
        <f t="shared" si="150"/>
        <v>1</v>
      </c>
      <c r="AL523" s="32" t="str">
        <f>'St of Activities - GA Exp'!A523</f>
        <v>Struthers City SD</v>
      </c>
      <c r="AN523" s="32" t="b">
        <f t="shared" si="152"/>
        <v>1</v>
      </c>
      <c r="AR523" s="32" t="str">
        <f t="shared" si="153"/>
        <v>Mahoning</v>
      </c>
      <c r="AS523" s="32" t="str">
        <f>'St of Activites - GA Rev'!C523</f>
        <v>Mahoning</v>
      </c>
      <c r="AT523" s="32" t="b">
        <f t="shared" si="151"/>
        <v>1</v>
      </c>
      <c r="AU523" s="32" t="str">
        <f>'St of Activities - GA Exp'!C523</f>
        <v>Mahoning</v>
      </c>
      <c r="AW523" s="32" t="b">
        <f t="shared" si="154"/>
        <v>1</v>
      </c>
    </row>
    <row r="524" spans="1:49">
      <c r="A524" s="11" t="s">
        <v>571</v>
      </c>
      <c r="B524" s="11"/>
      <c r="C524" s="11" t="s">
        <v>570</v>
      </c>
      <c r="D524" s="11"/>
      <c r="E524" s="29">
        <v>50658</v>
      </c>
      <c r="G524" s="7">
        <f t="shared" si="159"/>
        <v>3619831</v>
      </c>
      <c r="I524" s="7">
        <f>338751+14452831</f>
        <v>14791582</v>
      </c>
      <c r="K524" s="7">
        <v>18411413</v>
      </c>
      <c r="M524" s="7">
        <f t="shared" si="155"/>
        <v>1780176</v>
      </c>
      <c r="O524" s="7">
        <v>225341</v>
      </c>
      <c r="Q524" s="7">
        <v>5634994</v>
      </c>
      <c r="S524" s="7">
        <v>7640511</v>
      </c>
      <c r="U524" s="7">
        <v>9363511</v>
      </c>
      <c r="W524" s="7">
        <f t="shared" si="157"/>
        <v>839683</v>
      </c>
      <c r="Y524" s="7">
        <v>567708</v>
      </c>
      <c r="AA524" s="7">
        <v>10770902</v>
      </c>
      <c r="AB524" s="7">
        <f t="shared" si="160"/>
        <v>0</v>
      </c>
      <c r="AD524" s="32">
        <f t="shared" si="161"/>
        <v>0</v>
      </c>
      <c r="AF524" s="32"/>
      <c r="AH524" s="32" t="str">
        <f>'St of Activites - GA Rev'!A524</f>
        <v>Stryker Local SD</v>
      </c>
      <c r="AI524" s="32" t="str">
        <f t="shared" ref="AI524:AI586" si="162">A524</f>
        <v>Stryker Local SD</v>
      </c>
      <c r="AJ524" s="32" t="b">
        <f t="shared" si="150"/>
        <v>1</v>
      </c>
      <c r="AL524" s="32" t="str">
        <f>'St of Activities - GA Exp'!A524</f>
        <v>Stryker Local SD</v>
      </c>
      <c r="AN524" s="32" t="b">
        <f t="shared" si="152"/>
        <v>1</v>
      </c>
      <c r="AR524" s="32" t="str">
        <f t="shared" si="153"/>
        <v>Williams</v>
      </c>
      <c r="AS524" s="32" t="str">
        <f>'St of Activites - GA Rev'!C524</f>
        <v>Williams</v>
      </c>
      <c r="AT524" s="32" t="b">
        <f t="shared" si="151"/>
        <v>1</v>
      </c>
      <c r="AU524" s="32" t="str">
        <f>'St of Activities - GA Exp'!C524</f>
        <v>Williams</v>
      </c>
      <c r="AW524" s="32" t="b">
        <f t="shared" si="154"/>
        <v>1</v>
      </c>
    </row>
    <row r="525" spans="1:49">
      <c r="A525" s="11" t="s">
        <v>319</v>
      </c>
      <c r="B525" s="11"/>
      <c r="C525" s="11" t="s">
        <v>28</v>
      </c>
      <c r="D525" s="11"/>
      <c r="E525" s="29">
        <v>47092</v>
      </c>
      <c r="G525" s="7">
        <f t="shared" si="159"/>
        <v>19501651</v>
      </c>
      <c r="I525" s="7">
        <f>563666+16410657</f>
        <v>16974323</v>
      </c>
      <c r="K525" s="7">
        <v>36475974</v>
      </c>
      <c r="M525" s="7">
        <f t="shared" si="155"/>
        <v>7502423</v>
      </c>
      <c r="O525" s="7">
        <v>1170632</v>
      </c>
      <c r="Q525" s="7">
        <v>10969926</v>
      </c>
      <c r="S525" s="7">
        <v>19642981</v>
      </c>
      <c r="U525" s="7">
        <v>6802046</v>
      </c>
      <c r="W525" s="7">
        <f t="shared" si="157"/>
        <v>2075686</v>
      </c>
      <c r="Y525" s="7">
        <v>7955261</v>
      </c>
      <c r="AA525" s="7">
        <v>16832993</v>
      </c>
      <c r="AB525" s="7">
        <f t="shared" si="160"/>
        <v>0</v>
      </c>
      <c r="AD525" s="32">
        <f t="shared" si="161"/>
        <v>0</v>
      </c>
      <c r="AF525" s="32"/>
      <c r="AH525" s="32" t="str">
        <f>'St of Activites - GA Rev'!A525</f>
        <v>Swanton Local SD</v>
      </c>
      <c r="AI525" s="32" t="str">
        <f t="shared" si="162"/>
        <v>Swanton Local SD</v>
      </c>
      <c r="AJ525" s="32" t="b">
        <f t="shared" si="150"/>
        <v>1</v>
      </c>
      <c r="AL525" s="32" t="str">
        <f>'St of Activities - GA Exp'!A525</f>
        <v>Swanton Local SD</v>
      </c>
      <c r="AN525" s="32" t="b">
        <f t="shared" si="152"/>
        <v>1</v>
      </c>
      <c r="AR525" s="32" t="str">
        <f t="shared" si="153"/>
        <v>Fulton</v>
      </c>
      <c r="AS525" s="32" t="str">
        <f>'St of Activites - GA Rev'!C525</f>
        <v>Fulton</v>
      </c>
      <c r="AT525" s="32" t="b">
        <f t="shared" si="151"/>
        <v>1</v>
      </c>
      <c r="AU525" s="32" t="str">
        <f>'St of Activities - GA Exp'!C525</f>
        <v>Fulton</v>
      </c>
      <c r="AW525" s="32" t="b">
        <f t="shared" si="154"/>
        <v>1</v>
      </c>
    </row>
    <row r="526" spans="1:49">
      <c r="A526" s="11" t="s">
        <v>655</v>
      </c>
      <c r="B526" s="11"/>
      <c r="C526" s="11" t="s">
        <v>49</v>
      </c>
      <c r="D526" s="11"/>
      <c r="E526" s="29">
        <v>48652</v>
      </c>
      <c r="G526" s="7">
        <f t="shared" si="159"/>
        <v>88999916</v>
      </c>
      <c r="I526" s="7">
        <f>20129483+8096792</f>
        <v>28226275</v>
      </c>
      <c r="K526" s="7">
        <v>117226191</v>
      </c>
      <c r="M526" s="7">
        <f t="shared" si="155"/>
        <v>16202376</v>
      </c>
      <c r="O526" s="7">
        <v>482640</v>
      </c>
      <c r="Q526" s="7">
        <v>36520998</v>
      </c>
      <c r="S526" s="7">
        <v>53206014</v>
      </c>
      <c r="U526" s="7">
        <v>21941446</v>
      </c>
      <c r="W526" s="7">
        <f t="shared" si="157"/>
        <v>44371680</v>
      </c>
      <c r="Y526" s="7">
        <v>-2292949</v>
      </c>
      <c r="AA526" s="7">
        <v>64020177</v>
      </c>
      <c r="AB526" s="7">
        <f t="shared" si="160"/>
        <v>0</v>
      </c>
      <c r="AD526" s="32">
        <f t="shared" si="161"/>
        <v>0</v>
      </c>
      <c r="AF526" s="32"/>
      <c r="AH526" s="32" t="str">
        <f>'St of Activites - GA Rev'!A526</f>
        <v>Switzerland of Ohio Local SD</v>
      </c>
      <c r="AI526" s="32" t="str">
        <f t="shared" si="162"/>
        <v>Switzerland of Ohio Local SD</v>
      </c>
      <c r="AJ526" s="32" t="b">
        <f t="shared" si="150"/>
        <v>1</v>
      </c>
      <c r="AL526" s="32" t="str">
        <f>'St of Activities - GA Exp'!A526</f>
        <v>Switzerland of Ohio Local SD</v>
      </c>
      <c r="AN526" s="32" t="b">
        <f t="shared" si="152"/>
        <v>1</v>
      </c>
      <c r="AR526" s="32" t="str">
        <f t="shared" si="153"/>
        <v>Monroe</v>
      </c>
      <c r="AS526" s="32" t="str">
        <f>'St of Activites - GA Rev'!C526</f>
        <v>Monroe</v>
      </c>
      <c r="AT526" s="32" t="b">
        <f t="shared" si="151"/>
        <v>1</v>
      </c>
      <c r="AU526" s="32" t="str">
        <f>'St of Activities - GA Exp'!C526</f>
        <v>Monroe</v>
      </c>
      <c r="AW526" s="32" t="b">
        <f t="shared" si="154"/>
        <v>1</v>
      </c>
    </row>
    <row r="527" spans="1:49" s="65" customFormat="1" hidden="1">
      <c r="A527" s="62" t="s">
        <v>986</v>
      </c>
      <c r="B527" s="62"/>
      <c r="C527" s="62" t="s">
        <v>32</v>
      </c>
      <c r="D527" s="62"/>
      <c r="E527" s="64">
        <v>44867</v>
      </c>
      <c r="G527" s="65">
        <f t="shared" si="159"/>
        <v>0</v>
      </c>
      <c r="M527" s="65">
        <f t="shared" si="155"/>
        <v>0</v>
      </c>
      <c r="W527" s="65">
        <f t="shared" si="157"/>
        <v>0</v>
      </c>
      <c r="AB527" s="65">
        <f t="shared" si="160"/>
        <v>0</v>
      </c>
      <c r="AD527" s="66">
        <f t="shared" si="161"/>
        <v>0</v>
      </c>
      <c r="AE527" s="65" t="s">
        <v>967</v>
      </c>
      <c r="AF527" s="66"/>
      <c r="AH527" s="66" t="str">
        <f>'St of Activites - GA Rev'!A527</f>
        <v>Sycamore Community City SD</v>
      </c>
      <c r="AI527" s="66" t="str">
        <f t="shared" si="162"/>
        <v>Sycamore Community SD</v>
      </c>
      <c r="AJ527" s="66" t="b">
        <f t="shared" ref="AJ527:AJ590" si="163">AH527=AI527</f>
        <v>0</v>
      </c>
      <c r="AL527" s="66" t="str">
        <f>'St of Activities - GA Exp'!A527</f>
        <v>Sycamore Community City SD</v>
      </c>
      <c r="AN527" s="66" t="b">
        <f t="shared" si="152"/>
        <v>1</v>
      </c>
      <c r="AR527" s="66" t="str">
        <f t="shared" si="153"/>
        <v>Hamilton</v>
      </c>
      <c r="AS527" s="66" t="str">
        <f>'St of Activites - GA Rev'!C527</f>
        <v>Hamilton</v>
      </c>
      <c r="AT527" s="66" t="b">
        <f t="shared" ref="AT527:AT590" si="164">AR527=AS527</f>
        <v>1</v>
      </c>
      <c r="AU527" s="66" t="str">
        <f>'St of Activities - GA Exp'!C527</f>
        <v>Hamilton</v>
      </c>
      <c r="AV527" s="86"/>
      <c r="AW527" s="66" t="b">
        <f t="shared" si="154"/>
        <v>1</v>
      </c>
    </row>
    <row r="528" spans="1:49">
      <c r="A528" s="11" t="s">
        <v>407</v>
      </c>
      <c r="B528" s="11"/>
      <c r="C528" s="11" t="s">
        <v>115</v>
      </c>
      <c r="D528" s="11"/>
      <c r="E528" s="29">
        <v>44875</v>
      </c>
      <c r="G528" s="7">
        <f t="shared" si="159"/>
        <v>92139711</v>
      </c>
      <c r="I528" s="7">
        <v>98957695</v>
      </c>
      <c r="K528" s="7">
        <v>191097406</v>
      </c>
      <c r="M528" s="7">
        <f t="shared" si="155"/>
        <v>72767389</v>
      </c>
      <c r="O528" s="7">
        <v>4092804</v>
      </c>
      <c r="Q528" s="7">
        <v>107739156</v>
      </c>
      <c r="S528" s="7">
        <v>184599349</v>
      </c>
      <c r="U528" s="7">
        <v>15807676</v>
      </c>
      <c r="W528" s="7">
        <f t="shared" si="157"/>
        <v>3631117</v>
      </c>
      <c r="Y528" s="7">
        <v>-12940736</v>
      </c>
      <c r="AA528" s="7">
        <v>6498057</v>
      </c>
      <c r="AB528" s="7">
        <f t="shared" si="160"/>
        <v>0</v>
      </c>
      <c r="AD528" s="32">
        <f t="shared" si="161"/>
        <v>0</v>
      </c>
      <c r="AF528" s="32"/>
      <c r="AH528" s="32" t="str">
        <f>'St of Activites - GA Rev'!A528</f>
        <v>Sylvania City SD</v>
      </c>
      <c r="AI528" s="32" t="str">
        <f t="shared" si="162"/>
        <v>Sylvania City SD</v>
      </c>
      <c r="AJ528" s="32" t="b">
        <f t="shared" si="163"/>
        <v>1</v>
      </c>
      <c r="AL528" s="32" t="str">
        <f>'St of Activities - GA Exp'!A528</f>
        <v>Sylvania City SD</v>
      </c>
      <c r="AN528" s="32" t="b">
        <f t="shared" ref="AN528:AN591" si="165">AH528=AL528</f>
        <v>1</v>
      </c>
      <c r="AR528" s="32" t="str">
        <f t="shared" ref="AR528:AR591" si="166">C528</f>
        <v>Lucas</v>
      </c>
      <c r="AS528" s="32" t="str">
        <f>'St of Activites - GA Rev'!C528</f>
        <v>Lucas</v>
      </c>
      <c r="AT528" s="32" t="b">
        <f t="shared" si="164"/>
        <v>1</v>
      </c>
      <c r="AU528" s="32" t="str">
        <f>'St of Activities - GA Exp'!C528</f>
        <v>Lucas</v>
      </c>
      <c r="AW528" s="32" t="b">
        <f t="shared" ref="AW528:AW591" si="167">AU528=AS528</f>
        <v>1</v>
      </c>
    </row>
    <row r="529" spans="1:49">
      <c r="A529" s="11" t="s">
        <v>383</v>
      </c>
      <c r="B529" s="11"/>
      <c r="C529" s="11" t="s">
        <v>377</v>
      </c>
      <c r="D529" s="11"/>
      <c r="E529" s="29">
        <v>47969</v>
      </c>
      <c r="G529" s="7">
        <f t="shared" si="159"/>
        <v>6258340</v>
      </c>
      <c r="I529" s="7">
        <f>111779+8472262</f>
        <v>8584041</v>
      </c>
      <c r="K529" s="7">
        <v>14842381</v>
      </c>
      <c r="M529" s="7">
        <f t="shared" si="155"/>
        <v>1826798</v>
      </c>
      <c r="O529" s="7">
        <v>302171</v>
      </c>
      <c r="Q529" s="7">
        <v>756578</v>
      </c>
      <c r="S529" s="7">
        <v>2885547</v>
      </c>
      <c r="U529" s="7">
        <v>8426341</v>
      </c>
      <c r="W529" s="7">
        <f t="shared" si="157"/>
        <v>1953422</v>
      </c>
      <c r="Y529" s="7">
        <v>1577071</v>
      </c>
      <c r="AA529" s="7">
        <v>11956834</v>
      </c>
      <c r="AB529" s="7">
        <f t="shared" si="160"/>
        <v>0</v>
      </c>
      <c r="AD529" s="32">
        <f t="shared" si="161"/>
        <v>0</v>
      </c>
      <c r="AF529" s="32"/>
      <c r="AH529" s="32" t="str">
        <f>'St of Activites - GA Rev'!A529</f>
        <v>Symmes Valley Local SD</v>
      </c>
      <c r="AI529" s="32" t="str">
        <f t="shared" si="162"/>
        <v>Symmes Valley Local SD</v>
      </c>
      <c r="AJ529" s="32" t="b">
        <f t="shared" si="163"/>
        <v>1</v>
      </c>
      <c r="AL529" s="32" t="str">
        <f>'St of Activities - GA Exp'!A529</f>
        <v>Symmes Valley Local SD</v>
      </c>
      <c r="AN529" s="32" t="b">
        <f t="shared" si="165"/>
        <v>1</v>
      </c>
      <c r="AR529" s="32" t="str">
        <f t="shared" si="166"/>
        <v>Lawrence</v>
      </c>
      <c r="AS529" s="32" t="str">
        <f>'St of Activites - GA Rev'!C529</f>
        <v>Lawrence</v>
      </c>
      <c r="AT529" s="32" t="b">
        <f t="shared" si="164"/>
        <v>1</v>
      </c>
      <c r="AU529" s="32" t="str">
        <f>'St of Activities - GA Exp'!C529</f>
        <v>Lawrence</v>
      </c>
      <c r="AW529" s="32" t="b">
        <f t="shared" si="167"/>
        <v>1</v>
      </c>
    </row>
    <row r="530" spans="1:49">
      <c r="A530" s="11" t="s">
        <v>757</v>
      </c>
      <c r="B530" s="11"/>
      <c r="C530" s="11" t="s">
        <v>223</v>
      </c>
      <c r="D530" s="11"/>
      <c r="E530" s="29">
        <v>46151</v>
      </c>
      <c r="G530" s="7">
        <f t="shared" ref="G530:G586" si="168">+K530-I530</f>
        <v>63922094</v>
      </c>
      <c r="I530" s="7">
        <f>31699443+16023418</f>
        <v>47722861</v>
      </c>
      <c r="K530" s="7">
        <v>111644955</v>
      </c>
      <c r="M530" s="7">
        <f t="shared" si="155"/>
        <v>22418857</v>
      </c>
      <c r="O530" s="7">
        <v>2017796</v>
      </c>
      <c r="Q530" s="7">
        <f>56002700-2017796</f>
        <v>53984904</v>
      </c>
      <c r="S530" s="7">
        <v>78421557</v>
      </c>
      <c r="U530" s="7">
        <v>11186505</v>
      </c>
      <c r="W530" s="7">
        <f t="shared" si="157"/>
        <v>4848252</v>
      </c>
      <c r="Y530" s="7">
        <v>17188641</v>
      </c>
      <c r="AA530" s="7">
        <v>33223398</v>
      </c>
      <c r="AB530" s="7">
        <f t="shared" si="160"/>
        <v>0</v>
      </c>
      <c r="AD530" s="32">
        <f t="shared" si="161"/>
        <v>0</v>
      </c>
      <c r="AF530" s="32"/>
      <c r="AH530" s="32" t="str">
        <f>'St of Activites - GA Rev'!A530</f>
        <v xml:space="preserve">Talawanda City SD </v>
      </c>
      <c r="AI530" s="32" t="str">
        <f t="shared" si="162"/>
        <v xml:space="preserve">Talawanda City SD </v>
      </c>
      <c r="AJ530" s="32" t="b">
        <f t="shared" si="163"/>
        <v>1</v>
      </c>
      <c r="AL530" s="32" t="str">
        <f>'St of Activities - GA Exp'!A530</f>
        <v xml:space="preserve">Talawanda City SD </v>
      </c>
      <c r="AN530" s="32" t="b">
        <f t="shared" si="165"/>
        <v>1</v>
      </c>
      <c r="AR530" s="32" t="str">
        <f t="shared" si="166"/>
        <v>Butler</v>
      </c>
      <c r="AS530" s="32" t="str">
        <f>'St of Activites - GA Rev'!C530</f>
        <v>Butler</v>
      </c>
      <c r="AT530" s="32" t="b">
        <f t="shared" si="164"/>
        <v>1</v>
      </c>
      <c r="AU530" s="32" t="str">
        <f>'St of Activities - GA Exp'!C530</f>
        <v>Butler</v>
      </c>
      <c r="AV530" s="56"/>
      <c r="AW530" s="32" t="b">
        <f t="shared" si="167"/>
        <v>1</v>
      </c>
    </row>
    <row r="531" spans="1:49">
      <c r="A531" s="11" t="s">
        <v>531</v>
      </c>
      <c r="B531" s="11"/>
      <c r="C531" s="11" t="s">
        <v>63</v>
      </c>
      <c r="D531" s="11"/>
      <c r="E531" s="29">
        <v>44883</v>
      </c>
      <c r="G531" s="7">
        <f t="shared" si="168"/>
        <v>24836681</v>
      </c>
      <c r="I531" s="7">
        <f>3354650+34731015</f>
        <v>38085665</v>
      </c>
      <c r="K531" s="7">
        <v>62922346</v>
      </c>
      <c r="M531" s="7">
        <f t="shared" si="155"/>
        <v>20989373</v>
      </c>
      <c r="O531" s="7">
        <v>1897581</v>
      </c>
      <c r="Q531" s="7">
        <f>29535829-1897581</f>
        <v>27638248</v>
      </c>
      <c r="S531" s="7">
        <v>50525202</v>
      </c>
      <c r="U531" s="7">
        <v>11181774</v>
      </c>
      <c r="W531" s="7">
        <f t="shared" si="157"/>
        <v>2682225</v>
      </c>
      <c r="Y531" s="7">
        <v>-1466855</v>
      </c>
      <c r="AA531" s="7">
        <v>12397144</v>
      </c>
      <c r="AB531" s="7">
        <f t="shared" si="160"/>
        <v>0</v>
      </c>
      <c r="AD531" s="32">
        <f t="shared" si="161"/>
        <v>0</v>
      </c>
      <c r="AF531" s="32"/>
      <c r="AH531" s="32" t="str">
        <f>'St of Activites - GA Rev'!A531</f>
        <v>Tallmadge City SD</v>
      </c>
      <c r="AI531" s="32" t="str">
        <f t="shared" si="162"/>
        <v>Tallmadge City SD</v>
      </c>
      <c r="AJ531" s="32" t="b">
        <f t="shared" si="163"/>
        <v>1</v>
      </c>
      <c r="AL531" s="32" t="str">
        <f>'St of Activities - GA Exp'!A531</f>
        <v>Tallmadge City SD</v>
      </c>
      <c r="AN531" s="32" t="b">
        <f t="shared" si="165"/>
        <v>1</v>
      </c>
      <c r="AR531" s="32" t="str">
        <f t="shared" si="166"/>
        <v>Summit</v>
      </c>
      <c r="AS531" s="32" t="str">
        <f>'St of Activites - GA Rev'!C531</f>
        <v>Summit</v>
      </c>
      <c r="AT531" s="32" t="b">
        <f t="shared" si="164"/>
        <v>1</v>
      </c>
      <c r="AU531" s="32" t="str">
        <f>'St of Activities - GA Exp'!C531</f>
        <v>Summit</v>
      </c>
      <c r="AV531" s="56"/>
      <c r="AW531" s="32" t="b">
        <f t="shared" si="167"/>
        <v>1</v>
      </c>
    </row>
    <row r="532" spans="1:49">
      <c r="A532" s="11" t="s">
        <v>469</v>
      </c>
      <c r="B532" s="11"/>
      <c r="C532" s="11" t="s">
        <v>54</v>
      </c>
      <c r="D532" s="11"/>
      <c r="E532" s="29">
        <v>49098</v>
      </c>
      <c r="G532" s="7">
        <f t="shared" si="168"/>
        <v>26573576</v>
      </c>
      <c r="I532" s="7">
        <v>105198296</v>
      </c>
      <c r="K532" s="7">
        <v>131771872</v>
      </c>
      <c r="M532" s="7">
        <f t="shared" si="155"/>
        <v>13623727</v>
      </c>
      <c r="O532" s="7">
        <v>1481976</v>
      </c>
      <c r="Q532" s="7">
        <f>40543191-1481976</f>
        <v>39061215</v>
      </c>
      <c r="S532" s="7">
        <v>54166918</v>
      </c>
      <c r="U532" s="7">
        <v>68026299</v>
      </c>
      <c r="W532" s="7">
        <f t="shared" si="157"/>
        <v>5636944</v>
      </c>
      <c r="Y532" s="7">
        <v>3941711</v>
      </c>
      <c r="AA532" s="7">
        <v>77604954</v>
      </c>
      <c r="AB532" s="7">
        <f t="shared" si="160"/>
        <v>0</v>
      </c>
      <c r="AD532" s="32">
        <f t="shared" si="161"/>
        <v>0</v>
      </c>
      <c r="AF532" s="32"/>
      <c r="AH532" s="32" t="str">
        <f>'St of Activites - GA Rev'!A532</f>
        <v>Teays Valley Local SD</v>
      </c>
      <c r="AI532" s="32" t="str">
        <f t="shared" si="162"/>
        <v>Teays Valley Local SD</v>
      </c>
      <c r="AJ532" s="32" t="b">
        <f t="shared" si="163"/>
        <v>1</v>
      </c>
      <c r="AL532" s="32" t="str">
        <f>'St of Activities - GA Exp'!A532</f>
        <v>Teays Valley Local SD</v>
      </c>
      <c r="AN532" s="32" t="b">
        <f t="shared" si="165"/>
        <v>1</v>
      </c>
      <c r="AR532" s="32" t="str">
        <f t="shared" si="166"/>
        <v>Pickaway</v>
      </c>
      <c r="AS532" s="32" t="str">
        <f>'St of Activites - GA Rev'!C532</f>
        <v>Pickaway</v>
      </c>
      <c r="AT532" s="32" t="b">
        <f t="shared" si="164"/>
        <v>1</v>
      </c>
      <c r="AU532" s="32" t="str">
        <f>'St of Activities - GA Exp'!C532</f>
        <v>Pickaway</v>
      </c>
      <c r="AV532" s="56"/>
      <c r="AW532" s="32" t="b">
        <f t="shared" si="167"/>
        <v>1</v>
      </c>
    </row>
    <row r="533" spans="1:49">
      <c r="A533" s="11" t="s">
        <v>241</v>
      </c>
      <c r="B533" s="11"/>
      <c r="C533" s="11" t="s">
        <v>17</v>
      </c>
      <c r="D533" s="11"/>
      <c r="E533" s="29">
        <v>46243</v>
      </c>
      <c r="G533" s="7">
        <f t="shared" si="168"/>
        <v>20146949</v>
      </c>
      <c r="I533" s="7">
        <f>75711249+520022</f>
        <v>76231271</v>
      </c>
      <c r="K533" s="7">
        <v>96378220</v>
      </c>
      <c r="M533" s="7">
        <f t="shared" si="155"/>
        <v>10602350</v>
      </c>
      <c r="O533" s="7">
        <v>578588</v>
      </c>
      <c r="Q533" s="7">
        <v>19863790</v>
      </c>
      <c r="S533" s="7">
        <v>31044728</v>
      </c>
      <c r="U533" s="7">
        <v>58122379</v>
      </c>
      <c r="W533" s="7">
        <f t="shared" si="157"/>
        <v>6357425</v>
      </c>
      <c r="Y533" s="7">
        <v>853688</v>
      </c>
      <c r="AA533" s="7">
        <v>65333492</v>
      </c>
      <c r="AB533" s="7">
        <f t="shared" si="160"/>
        <v>0</v>
      </c>
      <c r="AD533" s="32">
        <f t="shared" si="161"/>
        <v>0</v>
      </c>
      <c r="AF533" s="32"/>
      <c r="AH533" s="32" t="str">
        <f>'St of Activites - GA Rev'!A533</f>
        <v>Tecumseh Local SD</v>
      </c>
      <c r="AI533" s="32" t="str">
        <f t="shared" si="162"/>
        <v>Tecumseh Local SD</v>
      </c>
      <c r="AJ533" s="32" t="b">
        <f t="shared" si="163"/>
        <v>1</v>
      </c>
      <c r="AL533" s="32" t="str">
        <f>'St of Activities - GA Exp'!A533</f>
        <v>Tecumseh Local SD</v>
      </c>
      <c r="AN533" s="32" t="b">
        <f t="shared" si="165"/>
        <v>1</v>
      </c>
      <c r="AR533" s="32" t="str">
        <f t="shared" si="166"/>
        <v>Clark</v>
      </c>
      <c r="AS533" s="32" t="str">
        <f>'St of Activites - GA Rev'!C533</f>
        <v>Clark</v>
      </c>
      <c r="AT533" s="32" t="b">
        <f t="shared" si="164"/>
        <v>1</v>
      </c>
      <c r="AU533" s="32" t="str">
        <f>'St of Activities - GA Exp'!C533</f>
        <v>Clark</v>
      </c>
      <c r="AW533" s="32" t="b">
        <f t="shared" si="167"/>
        <v>1</v>
      </c>
    </row>
    <row r="534" spans="1:49">
      <c r="A534" s="12" t="s">
        <v>765</v>
      </c>
      <c r="B534" s="11"/>
      <c r="C534" s="11" t="s">
        <v>32</v>
      </c>
      <c r="D534" s="11"/>
      <c r="E534" s="29">
        <v>47399</v>
      </c>
      <c r="G534" s="7">
        <f t="shared" si="168"/>
        <v>84667941</v>
      </c>
      <c r="I534" s="7">
        <f>5990825+2225810</f>
        <v>8216635</v>
      </c>
      <c r="K534" s="7">
        <v>92884576</v>
      </c>
      <c r="M534" s="7">
        <f t="shared" ref="M534:M597" si="169">+S534-O534-Q534</f>
        <v>11327522</v>
      </c>
      <c r="O534" s="7">
        <v>950671</v>
      </c>
      <c r="Q534" s="7">
        <v>39040181</v>
      </c>
      <c r="S534" s="7">
        <v>51318374</v>
      </c>
      <c r="U534" s="7">
        <v>6544457</v>
      </c>
      <c r="W534" s="7">
        <f t="shared" si="157"/>
        <v>25373781</v>
      </c>
      <c r="Y534" s="7">
        <v>9647964</v>
      </c>
      <c r="AA534" s="7">
        <v>41566202</v>
      </c>
      <c r="AB534" s="7">
        <f t="shared" si="160"/>
        <v>0</v>
      </c>
      <c r="AD534" s="32">
        <f t="shared" si="161"/>
        <v>0</v>
      </c>
      <c r="AF534" s="32"/>
      <c r="AH534" s="32" t="str">
        <f>'St of Activites - GA Rev'!A534</f>
        <v xml:space="preserve">Three Rivers Local SD </v>
      </c>
      <c r="AI534" s="32" t="str">
        <f t="shared" si="162"/>
        <v xml:space="preserve">Three Rivers Local SD </v>
      </c>
      <c r="AJ534" s="32" t="b">
        <f t="shared" si="163"/>
        <v>1</v>
      </c>
      <c r="AL534" s="32" t="str">
        <f>'St of Activities - GA Exp'!A534</f>
        <v xml:space="preserve">Three Rivers Local SD </v>
      </c>
      <c r="AN534" s="32" t="b">
        <f t="shared" si="165"/>
        <v>1</v>
      </c>
      <c r="AR534" s="32" t="str">
        <f t="shared" si="166"/>
        <v>Hamilton</v>
      </c>
      <c r="AS534" s="32" t="str">
        <f>'St of Activites - GA Rev'!C534</f>
        <v>Hamilton</v>
      </c>
      <c r="AT534" s="32" t="b">
        <f t="shared" si="164"/>
        <v>1</v>
      </c>
      <c r="AU534" s="32" t="str">
        <f>'St of Activities - GA Exp'!C534</f>
        <v>Hamilton</v>
      </c>
      <c r="AW534" s="32" t="b">
        <f t="shared" si="167"/>
        <v>1</v>
      </c>
    </row>
    <row r="535" spans="1:49">
      <c r="A535" s="11" t="s">
        <v>503</v>
      </c>
      <c r="B535" s="11"/>
      <c r="C535" s="11" t="s">
        <v>60</v>
      </c>
      <c r="D535" s="11"/>
      <c r="E535" s="29">
        <v>44891</v>
      </c>
      <c r="G535" s="7">
        <f t="shared" si="168"/>
        <v>17276465</v>
      </c>
      <c r="I535" s="7">
        <f>1965821+15393147</f>
        <v>17358968</v>
      </c>
      <c r="K535" s="7">
        <v>34635433</v>
      </c>
      <c r="M535" s="7">
        <f t="shared" si="169"/>
        <v>9160886</v>
      </c>
      <c r="O535" s="7">
        <v>938403</v>
      </c>
      <c r="Q535" s="7">
        <v>8674559</v>
      </c>
      <c r="S535" s="7">
        <v>18773848</v>
      </c>
      <c r="U535" s="7">
        <v>9476749</v>
      </c>
      <c r="W535" s="7">
        <f t="shared" si="157"/>
        <v>3053619</v>
      </c>
      <c r="Y535" s="7">
        <v>3331217</v>
      </c>
      <c r="AA535" s="7">
        <v>15861585</v>
      </c>
      <c r="AB535" s="7">
        <f t="shared" si="160"/>
        <v>0</v>
      </c>
      <c r="AD535" s="32">
        <f t="shared" si="161"/>
        <v>0</v>
      </c>
      <c r="AF535" s="32"/>
      <c r="AH535" s="32" t="str">
        <f>'St of Activites - GA Rev'!A535</f>
        <v>Tiffin City SD</v>
      </c>
      <c r="AI535" s="32" t="str">
        <f t="shared" si="162"/>
        <v>Tiffin City SD</v>
      </c>
      <c r="AJ535" s="32" t="b">
        <f t="shared" si="163"/>
        <v>1</v>
      </c>
      <c r="AL535" s="32" t="str">
        <f>'St of Activities - GA Exp'!A535</f>
        <v>Tiffin City SD</v>
      </c>
      <c r="AN535" s="32" t="b">
        <f t="shared" si="165"/>
        <v>1</v>
      </c>
      <c r="AR535" s="32" t="str">
        <f t="shared" si="166"/>
        <v>Seneca</v>
      </c>
      <c r="AS535" s="32" t="str">
        <f>'St of Activites - GA Rev'!C535</f>
        <v>Seneca</v>
      </c>
      <c r="AT535" s="32" t="b">
        <f t="shared" si="164"/>
        <v>1</v>
      </c>
      <c r="AU535" s="32" t="str">
        <f>'St of Activities - GA Exp'!C535</f>
        <v>Seneca</v>
      </c>
      <c r="AW535" s="32" t="b">
        <f t="shared" si="167"/>
        <v>1</v>
      </c>
    </row>
    <row r="536" spans="1:49">
      <c r="A536" s="11" t="s">
        <v>887</v>
      </c>
      <c r="B536" s="11"/>
      <c r="C536" s="11" t="s">
        <v>48</v>
      </c>
      <c r="D536" s="11"/>
      <c r="E536" s="29">
        <v>45617</v>
      </c>
      <c r="G536" s="7">
        <f t="shared" si="168"/>
        <v>16334268</v>
      </c>
      <c r="I536" s="7">
        <f>1928313+21361019</f>
        <v>23289332</v>
      </c>
      <c r="K536" s="7">
        <v>39623600</v>
      </c>
      <c r="M536" s="7">
        <f t="shared" si="169"/>
        <v>13320306</v>
      </c>
      <c r="O536" s="7">
        <v>1189744</v>
      </c>
      <c r="Q536" s="7">
        <v>18534209</v>
      </c>
      <c r="S536" s="7">
        <v>33044259</v>
      </c>
      <c r="U536" s="7">
        <v>7013434</v>
      </c>
      <c r="W536" s="7">
        <f>AA536-Y536-U536</f>
        <v>1860210</v>
      </c>
      <c r="Y536" s="7">
        <v>-2294303</v>
      </c>
      <c r="AA536" s="7">
        <v>6579341</v>
      </c>
      <c r="AB536" s="7">
        <f t="shared" si="160"/>
        <v>0</v>
      </c>
      <c r="AD536" s="32">
        <f t="shared" si="161"/>
        <v>0</v>
      </c>
      <c r="AF536" s="32"/>
      <c r="AH536" s="32" t="str">
        <f>'St of Activites - GA Rev'!A536</f>
        <v>Tipp City Exempted Village SD</v>
      </c>
      <c r="AI536" s="32" t="str">
        <f t="shared" si="162"/>
        <v>Tipp City Exempted Village SD</v>
      </c>
      <c r="AJ536" s="32" t="b">
        <f t="shared" si="163"/>
        <v>1</v>
      </c>
      <c r="AL536" s="32" t="str">
        <f>'St of Activities - GA Exp'!A536</f>
        <v>Tipp City Exempted Village SD</v>
      </c>
      <c r="AN536" s="32" t="b">
        <f t="shared" si="165"/>
        <v>1</v>
      </c>
      <c r="AR536" s="32" t="str">
        <f t="shared" si="166"/>
        <v>Miami</v>
      </c>
      <c r="AS536" s="32" t="str">
        <f>'St of Activites - GA Rev'!C536</f>
        <v>Miami</v>
      </c>
      <c r="AT536" s="32" t="b">
        <f t="shared" si="164"/>
        <v>1</v>
      </c>
      <c r="AU536" s="32" t="str">
        <f>'St of Activities - GA Exp'!C536</f>
        <v>Miami</v>
      </c>
      <c r="AW536" s="32" t="b">
        <f t="shared" si="167"/>
        <v>1</v>
      </c>
    </row>
    <row r="537" spans="1:49">
      <c r="A537" s="11" t="s">
        <v>408</v>
      </c>
      <c r="B537" s="11"/>
      <c r="C537" s="11" t="s">
        <v>115</v>
      </c>
      <c r="D537" s="11"/>
      <c r="E537" s="29">
        <v>44909</v>
      </c>
      <c r="G537" s="7">
        <f t="shared" si="168"/>
        <v>319305810</v>
      </c>
      <c r="I537" s="7">
        <f>108778026+413346576</f>
        <v>522124602</v>
      </c>
      <c r="K537" s="7">
        <v>841430412</v>
      </c>
      <c r="M537" s="7">
        <f t="shared" si="169"/>
        <v>134025701</v>
      </c>
      <c r="O537" s="7">
        <v>4632949</v>
      </c>
      <c r="Q537" s="7">
        <v>201499355</v>
      </c>
      <c r="S537" s="7">
        <v>340158005</v>
      </c>
      <c r="U537" s="7">
        <v>355829607</v>
      </c>
      <c r="W537" s="7">
        <f t="shared" si="157"/>
        <v>150202132</v>
      </c>
      <c r="Y537" s="7">
        <v>-4759332</v>
      </c>
      <c r="AA537" s="7">
        <v>501272407</v>
      </c>
      <c r="AB537" s="7">
        <f t="shared" si="160"/>
        <v>0</v>
      </c>
      <c r="AD537" s="32">
        <f t="shared" si="161"/>
        <v>0</v>
      </c>
      <c r="AF537" s="32"/>
      <c r="AH537" s="32" t="str">
        <f>'St of Activites - GA Rev'!A537</f>
        <v>Toledo City SD</v>
      </c>
      <c r="AI537" s="32" t="str">
        <f t="shared" si="162"/>
        <v>Toledo City SD</v>
      </c>
      <c r="AJ537" s="32" t="b">
        <f t="shared" si="163"/>
        <v>1</v>
      </c>
      <c r="AL537" s="32" t="str">
        <f>'St of Activities - GA Exp'!A537</f>
        <v>Toledo City SD</v>
      </c>
      <c r="AN537" s="32" t="b">
        <f t="shared" si="165"/>
        <v>1</v>
      </c>
      <c r="AR537" s="32" t="str">
        <f t="shared" si="166"/>
        <v>Lucas</v>
      </c>
      <c r="AS537" s="32" t="str">
        <f>'St of Activites - GA Rev'!C537</f>
        <v>Lucas</v>
      </c>
      <c r="AT537" s="32" t="b">
        <f t="shared" si="164"/>
        <v>1</v>
      </c>
      <c r="AU537" s="32" t="str">
        <f>'St of Activities - GA Exp'!C537</f>
        <v>Lucas</v>
      </c>
      <c r="AW537" s="32" t="b">
        <f t="shared" si="167"/>
        <v>1</v>
      </c>
    </row>
    <row r="538" spans="1:49" s="65" customFormat="1" hidden="1">
      <c r="A538" s="63" t="s">
        <v>731</v>
      </c>
      <c r="B538" s="63"/>
      <c r="C538" s="63" t="s">
        <v>115</v>
      </c>
      <c r="D538" s="62"/>
      <c r="E538" s="64"/>
      <c r="G538" s="65">
        <f t="shared" si="168"/>
        <v>0</v>
      </c>
      <c r="M538" s="65">
        <f t="shared" si="169"/>
        <v>0</v>
      </c>
      <c r="W538" s="65">
        <f t="shared" si="157"/>
        <v>0</v>
      </c>
      <c r="AB538" s="65">
        <f t="shared" si="160"/>
        <v>0</v>
      </c>
      <c r="AD538" s="66">
        <f t="shared" si="161"/>
        <v>0</v>
      </c>
      <c r="AE538" s="65" t="s">
        <v>794</v>
      </c>
      <c r="AF538" s="66"/>
      <c r="AH538" s="66" t="str">
        <f>'St of Activites - GA Rev'!A538</f>
        <v>Toledo School for the Arts</v>
      </c>
      <c r="AI538" s="66" t="str">
        <f t="shared" si="162"/>
        <v>Toledo School for the Arts</v>
      </c>
      <c r="AJ538" s="66" t="b">
        <f t="shared" si="163"/>
        <v>1</v>
      </c>
      <c r="AL538" s="66" t="str">
        <f>'St of Activities - GA Exp'!A538</f>
        <v>Toledo School for the Arts</v>
      </c>
      <c r="AN538" s="66" t="b">
        <f t="shared" si="165"/>
        <v>1</v>
      </c>
      <c r="AR538" s="66" t="str">
        <f t="shared" si="166"/>
        <v>Lucas</v>
      </c>
      <c r="AS538" s="66" t="str">
        <f>'St of Activites - GA Rev'!C538</f>
        <v>Lucas</v>
      </c>
      <c r="AT538" s="66" t="b">
        <f t="shared" si="164"/>
        <v>1</v>
      </c>
      <c r="AU538" s="66" t="str">
        <f>'St of Activities - GA Exp'!C538</f>
        <v>Lucas</v>
      </c>
      <c r="AV538" s="86"/>
      <c r="AW538" s="66" t="b">
        <f t="shared" si="167"/>
        <v>1</v>
      </c>
    </row>
    <row r="539" spans="1:49">
      <c r="A539" s="12" t="s">
        <v>766</v>
      </c>
      <c r="B539" s="11"/>
      <c r="C539" s="11" t="s">
        <v>39</v>
      </c>
      <c r="D539" s="11"/>
      <c r="E539" s="29">
        <v>44917</v>
      </c>
      <c r="G539" s="7">
        <f t="shared" si="168"/>
        <v>26829186</v>
      </c>
      <c r="I539" s="7">
        <f>879184+1257708</f>
        <v>2136892</v>
      </c>
      <c r="K539" s="7">
        <v>28966078</v>
      </c>
      <c r="M539" s="7">
        <f t="shared" si="169"/>
        <v>2694539</v>
      </c>
      <c r="O539" s="7">
        <v>155727</v>
      </c>
      <c r="Q539" s="7">
        <v>8866998</v>
      </c>
      <c r="S539" s="7">
        <v>11717264</v>
      </c>
      <c r="U539" s="7">
        <v>2105947</v>
      </c>
      <c r="W539" s="7">
        <f>AA539-Y539-U539</f>
        <v>11813127</v>
      </c>
      <c r="Y539" s="7">
        <v>3329740</v>
      </c>
      <c r="AA539" s="7">
        <v>17248814</v>
      </c>
      <c r="AB539" s="7">
        <f t="shared" si="160"/>
        <v>0</v>
      </c>
      <c r="AD539" s="32">
        <f t="shared" si="161"/>
        <v>0</v>
      </c>
      <c r="AE539" s="7" t="s">
        <v>788</v>
      </c>
      <c r="AF539" s="32"/>
      <c r="AH539" s="32" t="str">
        <f>'St of Activites - GA Rev'!A539</f>
        <v xml:space="preserve">Toronto City SD  </v>
      </c>
      <c r="AI539" s="32" t="str">
        <f t="shared" si="162"/>
        <v xml:space="preserve">Toronto City SD  </v>
      </c>
      <c r="AJ539" s="32" t="b">
        <f t="shared" si="163"/>
        <v>1</v>
      </c>
      <c r="AL539" s="32" t="str">
        <f>'St of Activities - GA Exp'!A539</f>
        <v xml:space="preserve">Toronto City SD  </v>
      </c>
      <c r="AN539" s="32" t="b">
        <f t="shared" si="165"/>
        <v>1</v>
      </c>
      <c r="AR539" s="32" t="str">
        <f t="shared" si="166"/>
        <v>Jefferson</v>
      </c>
      <c r="AS539" s="32" t="str">
        <f>'St of Activites - GA Rev'!C539</f>
        <v>Jefferson</v>
      </c>
      <c r="AT539" s="32" t="b">
        <f t="shared" si="164"/>
        <v>1</v>
      </c>
      <c r="AU539" s="32" t="str">
        <f>'St of Activities - GA Exp'!C539</f>
        <v>Jefferson</v>
      </c>
      <c r="AW539" s="32" t="b">
        <f t="shared" si="167"/>
        <v>1</v>
      </c>
    </row>
    <row r="540" spans="1:49">
      <c r="A540" s="11" t="s">
        <v>233</v>
      </c>
      <c r="B540" s="11"/>
      <c r="C540" s="11" t="s">
        <v>232</v>
      </c>
      <c r="D540" s="11"/>
      <c r="E540" s="29">
        <v>46201</v>
      </c>
      <c r="G540" s="7">
        <f t="shared" si="168"/>
        <v>4291383</v>
      </c>
      <c r="I540" s="7">
        <f>414157+16367350</f>
        <v>16781507</v>
      </c>
      <c r="K540" s="7">
        <v>21072890</v>
      </c>
      <c r="M540" s="7">
        <f t="shared" si="169"/>
        <v>2366923</v>
      </c>
      <c r="O540" s="7">
        <v>310536</v>
      </c>
      <c r="Q540" s="7">
        <v>5202850</v>
      </c>
      <c r="S540" s="7">
        <v>7880309</v>
      </c>
      <c r="U540" s="7">
        <v>12628903</v>
      </c>
      <c r="W540" s="7">
        <f>AA540-Y540-U540</f>
        <v>644039</v>
      </c>
      <c r="Y540" s="7">
        <v>-80361</v>
      </c>
      <c r="AA540" s="7">
        <v>13192581</v>
      </c>
      <c r="AB540" s="7">
        <f t="shared" si="160"/>
        <v>0</v>
      </c>
      <c r="AD540" s="32">
        <f t="shared" si="161"/>
        <v>0</v>
      </c>
      <c r="AF540" s="32"/>
      <c r="AH540" s="32" t="str">
        <f>'St of Activites - GA Rev'!A540</f>
        <v>Triad Local SD</v>
      </c>
      <c r="AI540" s="32" t="str">
        <f t="shared" si="162"/>
        <v>Triad Local SD</v>
      </c>
      <c r="AJ540" s="32" t="b">
        <f t="shared" si="163"/>
        <v>1</v>
      </c>
      <c r="AL540" s="32" t="str">
        <f>'St of Activities - GA Exp'!A540</f>
        <v>Triad Local SD</v>
      </c>
      <c r="AN540" s="32" t="b">
        <f t="shared" si="165"/>
        <v>1</v>
      </c>
      <c r="AR540" s="32" t="str">
        <f t="shared" si="166"/>
        <v>Champaign</v>
      </c>
      <c r="AS540" s="32" t="str">
        <f>'St of Activites - GA Rev'!C540</f>
        <v>Champaign</v>
      </c>
      <c r="AT540" s="32" t="b">
        <f t="shared" si="164"/>
        <v>1</v>
      </c>
      <c r="AU540" s="32" t="str">
        <f>'St of Activities - GA Exp'!C540</f>
        <v>Champaign</v>
      </c>
      <c r="AW540" s="32" t="b">
        <f t="shared" si="167"/>
        <v>1</v>
      </c>
    </row>
    <row r="541" spans="1:49">
      <c r="A541" s="11" t="s">
        <v>481</v>
      </c>
      <c r="B541" s="11"/>
      <c r="C541" s="11" t="s">
        <v>57</v>
      </c>
      <c r="D541" s="11"/>
      <c r="E541" s="29">
        <v>91397</v>
      </c>
      <c r="G541" s="32">
        <f t="shared" si="168"/>
        <v>8461929</v>
      </c>
      <c r="H541" s="32"/>
      <c r="I541" s="32">
        <f>589042+9426639</f>
        <v>10015681</v>
      </c>
      <c r="J541" s="32"/>
      <c r="K541" s="32">
        <v>18477610</v>
      </c>
      <c r="L541" s="32"/>
      <c r="M541" s="32">
        <f t="shared" si="169"/>
        <v>4783813</v>
      </c>
      <c r="N541" s="32"/>
      <c r="O541" s="32">
        <v>4708</v>
      </c>
      <c r="P541" s="32"/>
      <c r="Q541" s="32">
        <v>483590</v>
      </c>
      <c r="R541" s="32"/>
      <c r="S541" s="32">
        <v>5272111</v>
      </c>
      <c r="T541" s="32"/>
      <c r="U541" s="32">
        <v>10015671</v>
      </c>
      <c r="V541" s="32"/>
      <c r="W541" s="32">
        <f t="shared" si="157"/>
        <v>889819</v>
      </c>
      <c r="X541" s="32"/>
      <c r="Y541" s="32">
        <v>2300009</v>
      </c>
      <c r="Z541" s="32"/>
      <c r="AA541" s="32">
        <v>13205499</v>
      </c>
      <c r="AB541" s="7">
        <f t="shared" si="160"/>
        <v>0</v>
      </c>
      <c r="AD541" s="32">
        <f t="shared" si="161"/>
        <v>0</v>
      </c>
      <c r="AF541" s="32"/>
      <c r="AH541" s="32" t="str">
        <f>'St of Activites - GA Rev'!A541</f>
        <v>Tri-County North Local SD</v>
      </c>
      <c r="AI541" s="32" t="str">
        <f t="shared" si="162"/>
        <v>Tri-County North Local SD</v>
      </c>
      <c r="AJ541" s="32" t="b">
        <f t="shared" si="163"/>
        <v>1</v>
      </c>
      <c r="AL541" s="32" t="str">
        <f>'St of Activities - GA Exp'!A541</f>
        <v>Tri-County North Local SD</v>
      </c>
      <c r="AN541" s="32" t="b">
        <f t="shared" si="165"/>
        <v>1</v>
      </c>
      <c r="AR541" s="32" t="str">
        <f t="shared" si="166"/>
        <v>Preble</v>
      </c>
      <c r="AS541" s="32" t="str">
        <f>'St of Activites - GA Rev'!C541</f>
        <v>Preble</v>
      </c>
      <c r="AT541" s="32" t="b">
        <f t="shared" si="164"/>
        <v>1</v>
      </c>
      <c r="AU541" s="32" t="str">
        <f>'St of Activities - GA Exp'!C541</f>
        <v>Preble</v>
      </c>
      <c r="AW541" s="32" t="b">
        <f t="shared" si="167"/>
        <v>1</v>
      </c>
    </row>
    <row r="542" spans="1:49">
      <c r="A542" s="11" t="s">
        <v>213</v>
      </c>
      <c r="B542" s="11"/>
      <c r="C542" s="11" t="s">
        <v>13</v>
      </c>
      <c r="D542" s="11"/>
      <c r="E542" s="29">
        <v>45922</v>
      </c>
      <c r="G542" s="7">
        <f t="shared" si="168"/>
        <v>3347400</v>
      </c>
      <c r="I542" s="7">
        <f>55370+14377623</f>
        <v>14432993</v>
      </c>
      <c r="K542" s="7">
        <v>17780393</v>
      </c>
      <c r="M542" s="7">
        <f t="shared" si="169"/>
        <v>1851422</v>
      </c>
      <c r="O542" s="7">
        <v>61271</v>
      </c>
      <c r="Q542" s="7">
        <v>1196311</v>
      </c>
      <c r="S542" s="7">
        <v>3109004</v>
      </c>
      <c r="U542" s="7">
        <v>13820706</v>
      </c>
      <c r="W542" s="7">
        <f t="shared" si="157"/>
        <v>932551</v>
      </c>
      <c r="Y542" s="7">
        <v>-81868</v>
      </c>
      <c r="AA542" s="7">
        <v>14671389</v>
      </c>
      <c r="AB542" s="7">
        <f t="shared" si="160"/>
        <v>0</v>
      </c>
      <c r="AD542" s="32">
        <f t="shared" si="161"/>
        <v>0</v>
      </c>
      <c r="AF542" s="32"/>
      <c r="AH542" s="32" t="str">
        <f>'St of Activites - GA Rev'!A542</f>
        <v>Trimble Local SD</v>
      </c>
      <c r="AI542" s="32" t="str">
        <f t="shared" si="162"/>
        <v>Trimble Local SD</v>
      </c>
      <c r="AJ542" s="32" t="b">
        <f t="shared" si="163"/>
        <v>1</v>
      </c>
      <c r="AL542" s="32" t="str">
        <f>'St of Activities - GA Exp'!A542</f>
        <v>Trimble Local SD</v>
      </c>
      <c r="AN542" s="32" t="b">
        <f t="shared" si="165"/>
        <v>1</v>
      </c>
      <c r="AR542" s="32" t="str">
        <f t="shared" si="166"/>
        <v>Athens</v>
      </c>
      <c r="AS542" s="32" t="str">
        <f>'St of Activites - GA Rev'!C542</f>
        <v>Athens</v>
      </c>
      <c r="AT542" s="32" t="b">
        <f t="shared" si="164"/>
        <v>1</v>
      </c>
      <c r="AU542" s="32" t="str">
        <f>'St of Activities - GA Exp'!C542</f>
        <v>Athens</v>
      </c>
      <c r="AW542" s="32" t="b">
        <f t="shared" si="167"/>
        <v>1</v>
      </c>
    </row>
    <row r="543" spans="1:49">
      <c r="A543" s="11" t="s">
        <v>459</v>
      </c>
      <c r="B543" s="11"/>
      <c r="C543" s="11" t="s">
        <v>51</v>
      </c>
      <c r="D543" s="11"/>
      <c r="E543" s="29">
        <v>48876</v>
      </c>
      <c r="G543" s="7">
        <f t="shared" si="168"/>
        <v>24181947</v>
      </c>
      <c r="I543" s="7">
        <f>4020160+60142365</f>
        <v>64162525</v>
      </c>
      <c r="K543" s="7">
        <v>88344472</v>
      </c>
      <c r="M543" s="7">
        <f t="shared" si="169"/>
        <v>11249232</v>
      </c>
      <c r="O543" s="7">
        <v>754197</v>
      </c>
      <c r="Q543" s="7">
        <v>16602316</v>
      </c>
      <c r="S543" s="7">
        <v>28605745</v>
      </c>
      <c r="U543" s="7">
        <v>48796798</v>
      </c>
      <c r="W543" s="7">
        <f t="shared" si="157"/>
        <v>9677707</v>
      </c>
      <c r="Y543" s="7">
        <v>1264222</v>
      </c>
      <c r="AA543" s="7">
        <v>59738727</v>
      </c>
      <c r="AB543" s="7">
        <f t="shared" si="160"/>
        <v>0</v>
      </c>
      <c r="AD543" s="32">
        <f t="shared" si="161"/>
        <v>0</v>
      </c>
      <c r="AF543" s="32"/>
      <c r="AH543" s="32" t="str">
        <f>'St of Activites - GA Rev'!A543</f>
        <v>Tri-Valley Local SD</v>
      </c>
      <c r="AI543" s="32" t="str">
        <f t="shared" si="162"/>
        <v>Tri-Valley Local SD</v>
      </c>
      <c r="AJ543" s="32" t="b">
        <f t="shared" si="163"/>
        <v>1</v>
      </c>
      <c r="AL543" s="32" t="str">
        <f>'St of Activities - GA Exp'!A543</f>
        <v>Tri-Valley Local SD</v>
      </c>
      <c r="AN543" s="32" t="b">
        <f t="shared" si="165"/>
        <v>1</v>
      </c>
      <c r="AR543" s="32" t="str">
        <f t="shared" si="166"/>
        <v>Muskingum</v>
      </c>
      <c r="AS543" s="32" t="str">
        <f>'St of Activites - GA Rev'!C543</f>
        <v>Muskingum</v>
      </c>
      <c r="AT543" s="32" t="b">
        <f t="shared" si="164"/>
        <v>1</v>
      </c>
      <c r="AU543" s="32" t="str">
        <f>'St of Activities - GA Exp'!C543</f>
        <v>Muskingum</v>
      </c>
      <c r="AW543" s="32" t="b">
        <f t="shared" si="167"/>
        <v>1</v>
      </c>
    </row>
    <row r="544" spans="1:49" s="65" customFormat="1" hidden="1">
      <c r="A544" s="62" t="s">
        <v>726</v>
      </c>
      <c r="B544" s="62"/>
      <c r="C544" s="62" t="s">
        <v>21</v>
      </c>
      <c r="D544" s="62"/>
      <c r="E544" s="64">
        <v>46680</v>
      </c>
      <c r="G544" s="65">
        <f t="shared" si="168"/>
        <v>0</v>
      </c>
      <c r="M544" s="65">
        <f t="shared" si="169"/>
        <v>0</v>
      </c>
      <c r="W544" s="65">
        <f t="shared" si="157"/>
        <v>0</v>
      </c>
      <c r="AB544" s="65">
        <f>+K544-S544-AA544</f>
        <v>0</v>
      </c>
      <c r="AD544" s="66">
        <f t="shared" si="161"/>
        <v>0</v>
      </c>
      <c r="AE544" s="7" t="s">
        <v>973</v>
      </c>
      <c r="AF544" s="66"/>
      <c r="AH544" s="66" t="str">
        <f>'St of Activites - GA Rev'!A544</f>
        <v>Tri-Village Local SD (CASH)</v>
      </c>
      <c r="AI544" s="66" t="str">
        <f t="shared" si="162"/>
        <v>Tri-Village Local SD (CASH)</v>
      </c>
      <c r="AJ544" s="66" t="b">
        <f t="shared" si="163"/>
        <v>1</v>
      </c>
      <c r="AL544" s="66" t="str">
        <f>'St of Activities - GA Exp'!A544</f>
        <v>Tri-Village Local SD (CASH)</v>
      </c>
      <c r="AN544" s="66" t="b">
        <f t="shared" si="165"/>
        <v>1</v>
      </c>
      <c r="AR544" s="66" t="str">
        <f t="shared" si="166"/>
        <v>Darke</v>
      </c>
      <c r="AS544" s="66" t="str">
        <f>'St of Activites - GA Rev'!C544</f>
        <v>Darke</v>
      </c>
      <c r="AT544" s="66" t="b">
        <f t="shared" si="164"/>
        <v>1</v>
      </c>
      <c r="AU544" s="66" t="str">
        <f>'St of Activities - GA Exp'!C544</f>
        <v>Darke</v>
      </c>
      <c r="AV544" s="86"/>
      <c r="AW544" s="66" t="b">
        <f t="shared" si="167"/>
        <v>1</v>
      </c>
    </row>
    <row r="545" spans="1:49" s="65" customFormat="1" hidden="1">
      <c r="A545" s="62" t="s">
        <v>987</v>
      </c>
      <c r="B545" s="62"/>
      <c r="C545" s="62" t="s">
        <v>71</v>
      </c>
      <c r="D545" s="62"/>
      <c r="E545" s="64">
        <v>50591</v>
      </c>
      <c r="G545" s="65">
        <f t="shared" si="168"/>
        <v>0</v>
      </c>
      <c r="M545" s="65">
        <f t="shared" si="169"/>
        <v>0</v>
      </c>
      <c r="W545" s="65">
        <f t="shared" si="157"/>
        <v>0</v>
      </c>
      <c r="AB545" s="65">
        <f t="shared" si="160"/>
        <v>0</v>
      </c>
      <c r="AD545" s="66">
        <f t="shared" si="161"/>
        <v>0</v>
      </c>
      <c r="AE545" s="7" t="s">
        <v>973</v>
      </c>
      <c r="AF545" s="66"/>
      <c r="AH545" s="66" t="str">
        <f>'St of Activites - GA Rev'!A545</f>
        <v>Triway Local SD</v>
      </c>
      <c r="AI545" s="66" t="str">
        <f t="shared" si="162"/>
        <v>Triway Local SD (CASH)</v>
      </c>
      <c r="AJ545" s="66" t="b">
        <f t="shared" si="163"/>
        <v>0</v>
      </c>
      <c r="AL545" s="66" t="str">
        <f>'St of Activities - GA Exp'!A545</f>
        <v>Triway Local SD</v>
      </c>
      <c r="AN545" s="66" t="b">
        <f t="shared" si="165"/>
        <v>1</v>
      </c>
      <c r="AR545" s="66" t="str">
        <f t="shared" si="166"/>
        <v>Wayne</v>
      </c>
      <c r="AS545" s="66" t="str">
        <f>'St of Activites - GA Rev'!C545</f>
        <v>Wayne</v>
      </c>
      <c r="AT545" s="66" t="b">
        <f t="shared" si="164"/>
        <v>1</v>
      </c>
      <c r="AU545" s="66" t="str">
        <f>'St of Activities - GA Exp'!C545</f>
        <v>Wayne</v>
      </c>
      <c r="AV545" s="86"/>
      <c r="AW545" s="66" t="b">
        <f t="shared" si="167"/>
        <v>1</v>
      </c>
    </row>
    <row r="546" spans="1:49">
      <c r="A546" s="11" t="s">
        <v>449</v>
      </c>
      <c r="B546" s="11"/>
      <c r="C546" s="11" t="s">
        <v>50</v>
      </c>
      <c r="D546" s="11"/>
      <c r="E546" s="29">
        <v>48694</v>
      </c>
      <c r="G546" s="7">
        <f t="shared" si="168"/>
        <v>35696138</v>
      </c>
      <c r="I546" s="7">
        <f>7571128+80220216</f>
        <v>87791344</v>
      </c>
      <c r="K546" s="7">
        <v>123487482</v>
      </c>
      <c r="M546" s="7">
        <f t="shared" si="169"/>
        <v>13411687</v>
      </c>
      <c r="O546" s="7">
        <v>1268091</v>
      </c>
      <c r="Q546" s="7">
        <v>42842671</v>
      </c>
      <c r="S546" s="7">
        <v>57522449</v>
      </c>
      <c r="U546" s="7">
        <v>47162494</v>
      </c>
      <c r="W546" s="7">
        <f t="shared" si="157"/>
        <v>5217959</v>
      </c>
      <c r="Y546" s="7">
        <v>13584580</v>
      </c>
      <c r="AA546" s="7">
        <v>65965033</v>
      </c>
      <c r="AB546" s="7">
        <f t="shared" si="160"/>
        <v>0</v>
      </c>
      <c r="AD546" s="32">
        <f t="shared" si="161"/>
        <v>0</v>
      </c>
      <c r="AF546" s="32"/>
      <c r="AH546" s="32" t="str">
        <f>'St of Activites - GA Rev'!A546</f>
        <v>Trotwood-Madison City SD</v>
      </c>
      <c r="AI546" s="32" t="str">
        <f t="shared" si="162"/>
        <v>Trotwood-Madison City SD</v>
      </c>
      <c r="AJ546" s="32" t="b">
        <f t="shared" si="163"/>
        <v>1</v>
      </c>
      <c r="AL546" s="32" t="str">
        <f>'St of Activities - GA Exp'!A546</f>
        <v>Trotwood-Madison City SD</v>
      </c>
      <c r="AN546" s="32" t="b">
        <f t="shared" si="165"/>
        <v>1</v>
      </c>
      <c r="AR546" s="32" t="str">
        <f t="shared" si="166"/>
        <v>Montgomery</v>
      </c>
      <c r="AS546" s="32" t="str">
        <f>'St of Activites - GA Rev'!C546</f>
        <v>Montgomery</v>
      </c>
      <c r="AT546" s="32" t="b">
        <f t="shared" si="164"/>
        <v>1</v>
      </c>
      <c r="AU546" s="32" t="str">
        <f>'St of Activities - GA Exp'!C546</f>
        <v>Montgomery</v>
      </c>
      <c r="AW546" s="32" t="b">
        <f t="shared" si="167"/>
        <v>1</v>
      </c>
    </row>
    <row r="547" spans="1:49">
      <c r="A547" s="11" t="s">
        <v>439</v>
      </c>
      <c r="B547" s="11"/>
      <c r="C547" s="11" t="s">
        <v>48</v>
      </c>
      <c r="D547" s="11"/>
      <c r="E547" s="29">
        <v>44925</v>
      </c>
      <c r="G547" s="7">
        <f t="shared" si="168"/>
        <v>34873670</v>
      </c>
      <c r="I547" s="7">
        <f>530131+28111738</f>
        <v>28641869</v>
      </c>
      <c r="K547" s="7">
        <v>63515539</v>
      </c>
      <c r="M547" s="7">
        <f t="shared" si="169"/>
        <v>20225177</v>
      </c>
      <c r="O547" s="7">
        <v>1116258</v>
      </c>
      <c r="Q547" s="7">
        <v>22007595</v>
      </c>
      <c r="S547" s="7">
        <v>43349030</v>
      </c>
      <c r="U547" s="7">
        <v>9181361</v>
      </c>
      <c r="W547" s="7">
        <f t="shared" si="157"/>
        <v>1955114</v>
      </c>
      <c r="Y547" s="7">
        <v>9030034</v>
      </c>
      <c r="AA547" s="7">
        <v>20166509</v>
      </c>
      <c r="AB547" s="7">
        <f t="shared" si="160"/>
        <v>0</v>
      </c>
      <c r="AD547" s="32">
        <f>+G547+I547+-M547-O547-U547-W547-Y547-Q547</f>
        <v>0</v>
      </c>
      <c r="AF547" s="32"/>
      <c r="AH547" s="32" t="str">
        <f>'St of Activites - GA Rev'!A547</f>
        <v>Troy City SD</v>
      </c>
      <c r="AI547" s="32" t="str">
        <f t="shared" si="162"/>
        <v>Troy City SD</v>
      </c>
      <c r="AJ547" s="32" t="b">
        <f t="shared" si="163"/>
        <v>1</v>
      </c>
      <c r="AL547" s="32" t="str">
        <f>'St of Activities - GA Exp'!A547</f>
        <v>Troy City SD</v>
      </c>
      <c r="AN547" s="32" t="b">
        <f t="shared" si="165"/>
        <v>1</v>
      </c>
      <c r="AR547" s="32" t="str">
        <f t="shared" si="166"/>
        <v>Miami</v>
      </c>
      <c r="AS547" s="32" t="str">
        <f>'St of Activites - GA Rev'!C547</f>
        <v>Miami</v>
      </c>
      <c r="AT547" s="32" t="b">
        <f t="shared" si="164"/>
        <v>1</v>
      </c>
      <c r="AU547" s="32" t="str">
        <f>'St of Activities - GA Exp'!C547</f>
        <v>Miami</v>
      </c>
      <c r="AW547" s="32" t="b">
        <f t="shared" si="167"/>
        <v>1</v>
      </c>
    </row>
    <row r="548" spans="1:49">
      <c r="A548" s="11" t="s">
        <v>554</v>
      </c>
      <c r="B548" s="11"/>
      <c r="C548" s="11" t="s">
        <v>65</v>
      </c>
      <c r="D548" s="11"/>
      <c r="E548" s="29">
        <v>50302</v>
      </c>
      <c r="G548" s="7">
        <f t="shared" si="168"/>
        <v>11743194</v>
      </c>
      <c r="I548" s="7">
        <v>6163132</v>
      </c>
      <c r="K548" s="7">
        <v>17906326</v>
      </c>
      <c r="M548" s="7">
        <f t="shared" si="169"/>
        <v>6174101</v>
      </c>
      <c r="O548" s="7">
        <v>607888</v>
      </c>
      <c r="Q548" s="7">
        <v>4937634</v>
      </c>
      <c r="S548" s="7">
        <v>11719623</v>
      </c>
      <c r="U548" s="7">
        <v>3663151</v>
      </c>
      <c r="W548" s="7">
        <f t="shared" si="157"/>
        <v>1278733</v>
      </c>
      <c r="Y548" s="7">
        <v>1244819</v>
      </c>
      <c r="AA548" s="7">
        <v>6186703</v>
      </c>
      <c r="AB548" s="7">
        <f t="shared" si="160"/>
        <v>0</v>
      </c>
      <c r="AD548" s="32">
        <f t="shared" si="161"/>
        <v>0</v>
      </c>
      <c r="AF548" s="32"/>
      <c r="AH548" s="32" t="str">
        <f>'St of Activites - GA Rev'!A548</f>
        <v>Tuscarawas Valley Local SD</v>
      </c>
      <c r="AI548" s="32" t="str">
        <f t="shared" si="162"/>
        <v>Tuscarawas Valley Local SD</v>
      </c>
      <c r="AJ548" s="32" t="b">
        <f t="shared" si="163"/>
        <v>1</v>
      </c>
      <c r="AL548" s="32" t="str">
        <f>'St of Activities - GA Exp'!A548</f>
        <v>Tuscarawas Valley Local SD</v>
      </c>
      <c r="AN548" s="32" t="b">
        <f t="shared" si="165"/>
        <v>1</v>
      </c>
      <c r="AR548" s="32" t="str">
        <f t="shared" si="166"/>
        <v>Tuscarawas</v>
      </c>
      <c r="AS548" s="32" t="str">
        <f>'St of Activites - GA Rev'!C548</f>
        <v>Tuscarawas</v>
      </c>
      <c r="AT548" s="32" t="b">
        <f t="shared" si="164"/>
        <v>1</v>
      </c>
      <c r="AU548" s="32" t="str">
        <f>'St of Activities - GA Exp'!C548</f>
        <v>Tuscarawas</v>
      </c>
      <c r="AW548" s="32" t="b">
        <f t="shared" si="167"/>
        <v>1</v>
      </c>
    </row>
    <row r="549" spans="1:49">
      <c r="A549" s="11" t="s">
        <v>521</v>
      </c>
      <c r="B549" s="11"/>
      <c r="C549" s="11" t="s">
        <v>62</v>
      </c>
      <c r="D549" s="11"/>
      <c r="E549" s="29">
        <v>49957</v>
      </c>
      <c r="F549" s="10"/>
      <c r="G549" s="7">
        <f t="shared" si="168"/>
        <v>14848401</v>
      </c>
      <c r="I549" s="7">
        <f>7299362+15009761</f>
        <v>22309123</v>
      </c>
      <c r="K549" s="7">
        <v>37157524</v>
      </c>
      <c r="M549" s="7">
        <f t="shared" si="169"/>
        <v>6372008</v>
      </c>
      <c r="O549" s="7">
        <v>329210</v>
      </c>
      <c r="Q549" s="7">
        <v>13887345</v>
      </c>
      <c r="S549" s="7">
        <v>20588563</v>
      </c>
      <c r="U549" s="7">
        <v>9841282</v>
      </c>
      <c r="W549" s="7">
        <f t="shared" si="157"/>
        <v>6699684</v>
      </c>
      <c r="Y549" s="7">
        <v>27995</v>
      </c>
      <c r="AA549" s="7">
        <v>16568961</v>
      </c>
      <c r="AB549" s="7">
        <f t="shared" si="160"/>
        <v>0</v>
      </c>
      <c r="AD549" s="32">
        <f t="shared" si="161"/>
        <v>0</v>
      </c>
      <c r="AF549" s="32"/>
      <c r="AH549" s="32" t="str">
        <f>'St of Activites - GA Rev'!A549</f>
        <v>Tuslaw Local SD</v>
      </c>
      <c r="AI549" s="32" t="str">
        <f t="shared" si="162"/>
        <v>Tuslaw Local SD</v>
      </c>
      <c r="AJ549" s="32" t="b">
        <f t="shared" si="163"/>
        <v>1</v>
      </c>
      <c r="AL549" s="32" t="str">
        <f>'St of Activities - GA Exp'!A549</f>
        <v>Tuslaw Local SD</v>
      </c>
      <c r="AN549" s="32" t="b">
        <f t="shared" si="165"/>
        <v>1</v>
      </c>
      <c r="AR549" s="32" t="str">
        <f t="shared" si="166"/>
        <v>Stark</v>
      </c>
      <c r="AS549" s="32" t="str">
        <f>'St of Activites - GA Rev'!C549</f>
        <v>Stark</v>
      </c>
      <c r="AT549" s="32" t="b">
        <f t="shared" si="164"/>
        <v>1</v>
      </c>
      <c r="AU549" s="32" t="str">
        <f>'St of Activities - GA Exp'!C549</f>
        <v>Stark</v>
      </c>
      <c r="AW549" s="32" t="b">
        <f t="shared" si="167"/>
        <v>1</v>
      </c>
    </row>
    <row r="550" spans="1:49" s="65" customFormat="1" hidden="1">
      <c r="A550" s="62" t="s">
        <v>732</v>
      </c>
      <c r="B550" s="62"/>
      <c r="C550" s="62" t="s">
        <v>57</v>
      </c>
      <c r="D550" s="62"/>
      <c r="E550" s="64">
        <v>49296</v>
      </c>
      <c r="G550" s="65">
        <f t="shared" si="168"/>
        <v>0</v>
      </c>
      <c r="I550" s="65">
        <v>0</v>
      </c>
      <c r="M550" s="65">
        <f t="shared" si="169"/>
        <v>0</v>
      </c>
      <c r="W550" s="65">
        <f t="shared" si="157"/>
        <v>0</v>
      </c>
      <c r="AA550" s="65">
        <v>0</v>
      </c>
      <c r="AB550" s="65">
        <f t="shared" si="160"/>
        <v>0</v>
      </c>
      <c r="AD550" s="66">
        <f t="shared" si="161"/>
        <v>0</v>
      </c>
      <c r="AE550" s="65" t="s">
        <v>973</v>
      </c>
      <c r="AF550" s="66"/>
      <c r="AH550" s="66" t="str">
        <f>'St of Activites - GA Rev'!A550</f>
        <v>Twin Valley Community Local SD (CASH)</v>
      </c>
      <c r="AI550" s="66" t="str">
        <f t="shared" si="162"/>
        <v>Twin Valley Community Local SD (CASH)</v>
      </c>
      <c r="AJ550" s="66" t="b">
        <f t="shared" si="163"/>
        <v>1</v>
      </c>
      <c r="AL550" s="66" t="str">
        <f>'St of Activities - GA Exp'!A550</f>
        <v>Twin Valley Community Local SD (CASH)</v>
      </c>
      <c r="AN550" s="66" t="b">
        <f t="shared" si="165"/>
        <v>1</v>
      </c>
      <c r="AR550" s="66" t="str">
        <f t="shared" si="166"/>
        <v>Preble</v>
      </c>
      <c r="AS550" s="66" t="str">
        <f>'St of Activites - GA Rev'!C550</f>
        <v>Preble</v>
      </c>
      <c r="AT550" s="66" t="b">
        <f t="shared" si="164"/>
        <v>1</v>
      </c>
      <c r="AU550" s="66" t="str">
        <f>'St of Activities - GA Exp'!C550</f>
        <v>Preble</v>
      </c>
      <c r="AV550" s="86"/>
      <c r="AW550" s="66" t="b">
        <f t="shared" si="167"/>
        <v>1</v>
      </c>
    </row>
    <row r="551" spans="1:49">
      <c r="A551" s="11" t="s">
        <v>532</v>
      </c>
      <c r="B551" s="11"/>
      <c r="C551" s="11" t="s">
        <v>63</v>
      </c>
      <c r="D551" s="11"/>
      <c r="E551" s="29">
        <v>50070</v>
      </c>
      <c r="G551" s="7">
        <f t="shared" si="168"/>
        <v>66220849</v>
      </c>
      <c r="I551" s="7">
        <v>39994715</v>
      </c>
      <c r="K551" s="7">
        <v>106215564</v>
      </c>
      <c r="M551" s="7">
        <f t="shared" si="169"/>
        <v>30646948</v>
      </c>
      <c r="O551" s="7">
        <v>2691981</v>
      </c>
      <c r="Q551" s="7">
        <v>26636855</v>
      </c>
      <c r="S551" s="7">
        <v>59975784</v>
      </c>
      <c r="U551" s="7">
        <v>14090880</v>
      </c>
      <c r="W551" s="7">
        <f t="shared" si="157"/>
        <v>6112893</v>
      </c>
      <c r="Y551" s="7">
        <v>26036007</v>
      </c>
      <c r="AA551" s="7">
        <v>46239780</v>
      </c>
      <c r="AB551" s="7">
        <f t="shared" si="160"/>
        <v>0</v>
      </c>
      <c r="AD551" s="32">
        <f t="shared" si="161"/>
        <v>0</v>
      </c>
      <c r="AF551" s="32"/>
      <c r="AH551" s="32" t="str">
        <f>'St of Activites - GA Rev'!A551</f>
        <v>Twinsburg City SD</v>
      </c>
      <c r="AI551" s="32" t="str">
        <f t="shared" si="162"/>
        <v>Twinsburg City SD</v>
      </c>
      <c r="AJ551" s="32" t="b">
        <f t="shared" si="163"/>
        <v>1</v>
      </c>
      <c r="AL551" s="32" t="str">
        <f>'St of Activities - GA Exp'!A551</f>
        <v>Twinsburg City SD</v>
      </c>
      <c r="AN551" s="32" t="b">
        <f t="shared" si="165"/>
        <v>1</v>
      </c>
      <c r="AR551" s="32" t="str">
        <f t="shared" si="166"/>
        <v>Summit</v>
      </c>
      <c r="AS551" s="32" t="str">
        <f>'St of Activites - GA Rev'!C551</f>
        <v>Summit</v>
      </c>
      <c r="AT551" s="32" t="b">
        <f t="shared" si="164"/>
        <v>1</v>
      </c>
      <c r="AU551" s="32" t="str">
        <f>'St of Activities - GA Exp'!C551</f>
        <v>Summit</v>
      </c>
      <c r="AW551" s="32" t="b">
        <f t="shared" si="167"/>
        <v>1</v>
      </c>
    </row>
    <row r="552" spans="1:49" s="65" customFormat="1" hidden="1">
      <c r="A552" s="62" t="s">
        <v>988</v>
      </c>
      <c r="B552" s="62"/>
      <c r="C552" s="62" t="s">
        <v>15</v>
      </c>
      <c r="D552" s="62"/>
      <c r="E552" s="64">
        <v>46011</v>
      </c>
      <c r="G552" s="65">
        <f t="shared" si="168"/>
        <v>0</v>
      </c>
      <c r="M552" s="65">
        <f t="shared" si="169"/>
        <v>0</v>
      </c>
      <c r="W552" s="65">
        <f t="shared" si="157"/>
        <v>0</v>
      </c>
      <c r="AB552" s="65">
        <f t="shared" si="160"/>
        <v>0</v>
      </c>
      <c r="AD552" s="66">
        <f t="shared" si="161"/>
        <v>0</v>
      </c>
      <c r="AE552" s="65" t="s">
        <v>973</v>
      </c>
      <c r="AF552" s="66"/>
      <c r="AH552" s="66" t="str">
        <f>'St of Activites - GA Rev'!A552</f>
        <v>Union Local SD</v>
      </c>
      <c r="AI552" s="66" t="str">
        <f t="shared" si="162"/>
        <v>Union Local SD (CASH)</v>
      </c>
      <c r="AJ552" s="66" t="b">
        <f t="shared" si="163"/>
        <v>0</v>
      </c>
      <c r="AL552" s="66" t="str">
        <f>'St of Activities - GA Exp'!A552</f>
        <v>Union Local SD</v>
      </c>
      <c r="AN552" s="66" t="b">
        <f t="shared" si="165"/>
        <v>1</v>
      </c>
      <c r="AR552" s="66" t="str">
        <f t="shared" si="166"/>
        <v>Belmont</v>
      </c>
      <c r="AS552" s="66" t="str">
        <f>'St of Activites - GA Rev'!C552</f>
        <v>Belmont</v>
      </c>
      <c r="AT552" s="66" t="b">
        <f t="shared" si="164"/>
        <v>1</v>
      </c>
      <c r="AU552" s="66" t="str">
        <f>'St of Activities - GA Exp'!C552</f>
        <v>Belmont</v>
      </c>
      <c r="AV552" s="86"/>
      <c r="AW552" s="66" t="b">
        <f t="shared" si="167"/>
        <v>1</v>
      </c>
    </row>
    <row r="553" spans="1:49">
      <c r="A553" s="11" t="s">
        <v>491</v>
      </c>
      <c r="B553" s="11"/>
      <c r="C553" s="11" t="s">
        <v>58</v>
      </c>
      <c r="D553" s="11"/>
      <c r="E553" s="29">
        <v>49536</v>
      </c>
      <c r="G553" s="7">
        <f t="shared" si="168"/>
        <v>19520628</v>
      </c>
      <c r="I553" s="7">
        <f>444360+23154271</f>
        <v>23598631</v>
      </c>
      <c r="K553" s="7">
        <v>43119259</v>
      </c>
      <c r="M553" s="7">
        <f t="shared" si="169"/>
        <v>4131223</v>
      </c>
      <c r="O553" s="7">
        <v>401838</v>
      </c>
      <c r="Q553" s="7">
        <v>5769797</v>
      </c>
      <c r="S553" s="7">
        <v>10302858</v>
      </c>
      <c r="U553" s="7">
        <v>20407197</v>
      </c>
      <c r="W553" s="7">
        <f t="shared" si="157"/>
        <v>2758024</v>
      </c>
      <c r="Y553" s="7">
        <v>9651180</v>
      </c>
      <c r="AA553" s="7">
        <v>32816401</v>
      </c>
      <c r="AB553" s="7">
        <f t="shared" si="160"/>
        <v>0</v>
      </c>
      <c r="AD553" s="32">
        <f t="shared" si="161"/>
        <v>0</v>
      </c>
      <c r="AF553" s="32"/>
      <c r="AH553" s="32" t="str">
        <f>'St of Activites - GA Rev'!A553</f>
        <v>Union-Scioto Local SD</v>
      </c>
      <c r="AI553" s="32" t="str">
        <f t="shared" si="162"/>
        <v>Union-Scioto Local SD</v>
      </c>
      <c r="AJ553" s="32" t="b">
        <f t="shared" si="163"/>
        <v>1</v>
      </c>
      <c r="AL553" s="32" t="str">
        <f>'St of Activities - GA Exp'!A553</f>
        <v>Union-Scioto Local SD</v>
      </c>
      <c r="AN553" s="32" t="b">
        <f t="shared" si="165"/>
        <v>1</v>
      </c>
      <c r="AR553" s="32" t="str">
        <f t="shared" si="166"/>
        <v>Ross</v>
      </c>
      <c r="AS553" s="32" t="str">
        <f>'St of Activites - GA Rev'!C553</f>
        <v>Ross</v>
      </c>
      <c r="AT553" s="32" t="b">
        <f t="shared" si="164"/>
        <v>1</v>
      </c>
      <c r="AU553" s="32" t="str">
        <f>'St of Activities - GA Exp'!C553</f>
        <v>Ross</v>
      </c>
      <c r="AW553" s="32" t="b">
        <f t="shared" si="167"/>
        <v>1</v>
      </c>
    </row>
    <row r="554" spans="1:49">
      <c r="A554" s="11" t="s">
        <v>257</v>
      </c>
      <c r="B554" s="11"/>
      <c r="C554" s="11" t="s">
        <v>112</v>
      </c>
      <c r="D554" s="11"/>
      <c r="E554" s="29">
        <v>46458</v>
      </c>
      <c r="G554" s="7">
        <f t="shared" si="168"/>
        <v>9979041</v>
      </c>
      <c r="I554" s="7">
        <v>6644762</v>
      </c>
      <c r="K554" s="7">
        <v>16623803</v>
      </c>
      <c r="M554" s="7">
        <f t="shared" si="169"/>
        <v>4362825</v>
      </c>
      <c r="O554" s="7">
        <v>373421</v>
      </c>
      <c r="Q554" s="7">
        <v>982313</v>
      </c>
      <c r="S554" s="7">
        <v>5718559</v>
      </c>
      <c r="U554" s="7">
        <v>6629927</v>
      </c>
      <c r="W554" s="7">
        <f t="shared" si="157"/>
        <v>1554874</v>
      </c>
      <c r="Y554" s="7">
        <v>2720443</v>
      </c>
      <c r="AA554" s="7">
        <v>10905244</v>
      </c>
      <c r="AB554" s="7">
        <f t="shared" si="160"/>
        <v>0</v>
      </c>
      <c r="AD554" s="32">
        <f t="shared" si="161"/>
        <v>0</v>
      </c>
      <c r="AF554" s="32"/>
      <c r="AH554" s="32" t="str">
        <f>'St of Activites - GA Rev'!A554</f>
        <v>United Local SD</v>
      </c>
      <c r="AI554" s="32" t="str">
        <f t="shared" si="162"/>
        <v>United Local SD</v>
      </c>
      <c r="AJ554" s="32" t="b">
        <f t="shared" si="163"/>
        <v>1</v>
      </c>
      <c r="AL554" s="32" t="str">
        <f>'St of Activities - GA Exp'!A554</f>
        <v>United Local SD</v>
      </c>
      <c r="AN554" s="32" t="b">
        <f t="shared" si="165"/>
        <v>1</v>
      </c>
      <c r="AR554" s="32" t="str">
        <f t="shared" si="166"/>
        <v>Columbiana</v>
      </c>
      <c r="AS554" s="32" t="str">
        <f>'St of Activites - GA Rev'!C554</f>
        <v>Columbiana</v>
      </c>
      <c r="AT554" s="32" t="b">
        <f t="shared" si="164"/>
        <v>1</v>
      </c>
      <c r="AU554" s="32" t="str">
        <f>'St of Activities - GA Exp'!C554</f>
        <v>Columbiana</v>
      </c>
      <c r="AW554" s="32" t="b">
        <f t="shared" si="167"/>
        <v>1</v>
      </c>
    </row>
    <row r="555" spans="1:49">
      <c r="A555" s="11" t="s">
        <v>314</v>
      </c>
      <c r="B555" s="11"/>
      <c r="C555" s="11" t="s">
        <v>27</v>
      </c>
      <c r="D555" s="11"/>
      <c r="E555" s="29">
        <v>44933</v>
      </c>
      <c r="G555" s="7">
        <f t="shared" si="168"/>
        <v>113435994</v>
      </c>
      <c r="I555" s="7">
        <f>440083+51475512</f>
        <v>51915595</v>
      </c>
      <c r="K555" s="7">
        <v>165351589</v>
      </c>
      <c r="M555" s="7">
        <f t="shared" si="169"/>
        <v>49975806</v>
      </c>
      <c r="O555" s="7">
        <v>2453304</v>
      </c>
      <c r="Q555" s="7">
        <v>32859151</v>
      </c>
      <c r="S555" s="7">
        <v>85288261</v>
      </c>
      <c r="U555" s="7">
        <v>25955395</v>
      </c>
      <c r="W555" s="7">
        <f t="shared" si="157"/>
        <v>8240647</v>
      </c>
      <c r="Y555" s="7">
        <v>45867286</v>
      </c>
      <c r="AA555" s="7">
        <v>80063328</v>
      </c>
      <c r="AB555" s="7">
        <f t="shared" si="160"/>
        <v>0</v>
      </c>
      <c r="AD555" s="32">
        <f t="shared" si="161"/>
        <v>0</v>
      </c>
      <c r="AF555" s="32"/>
      <c r="AH555" s="32" t="str">
        <f>'St of Activites - GA Rev'!A555</f>
        <v>Upper Arlington City SD</v>
      </c>
      <c r="AI555" s="32" t="str">
        <f t="shared" si="162"/>
        <v>Upper Arlington City SD</v>
      </c>
      <c r="AJ555" s="32" t="b">
        <f t="shared" si="163"/>
        <v>1</v>
      </c>
      <c r="AL555" s="32" t="str">
        <f>'St of Activities - GA Exp'!A555</f>
        <v>Upper Arlington City SD</v>
      </c>
      <c r="AN555" s="32" t="b">
        <f t="shared" si="165"/>
        <v>1</v>
      </c>
      <c r="AR555" s="32" t="str">
        <f t="shared" si="166"/>
        <v>Franklin</v>
      </c>
      <c r="AS555" s="32" t="str">
        <f>'St of Activites - GA Rev'!C555</f>
        <v>Franklin</v>
      </c>
      <c r="AT555" s="32" t="b">
        <f t="shared" si="164"/>
        <v>1</v>
      </c>
      <c r="AU555" s="32" t="str">
        <f>'St of Activities - GA Exp'!C555</f>
        <v>Franklin</v>
      </c>
      <c r="AW555" s="32" t="b">
        <f t="shared" si="167"/>
        <v>1</v>
      </c>
    </row>
    <row r="556" spans="1:49" s="65" customFormat="1" hidden="1">
      <c r="A556" s="62" t="s">
        <v>888</v>
      </c>
      <c r="B556" s="62"/>
      <c r="C556" s="62" t="s">
        <v>577</v>
      </c>
      <c r="D556" s="62"/>
      <c r="E556" s="64">
        <v>45625</v>
      </c>
      <c r="F556" s="67"/>
      <c r="G556" s="65">
        <f t="shared" si="168"/>
        <v>0</v>
      </c>
      <c r="M556" s="65">
        <f t="shared" si="169"/>
        <v>0</v>
      </c>
      <c r="W556" s="65">
        <f t="shared" si="157"/>
        <v>0</v>
      </c>
      <c r="AB556" s="65">
        <f t="shared" si="160"/>
        <v>0</v>
      </c>
      <c r="AD556" s="66">
        <f t="shared" si="161"/>
        <v>0</v>
      </c>
      <c r="AE556" s="65" t="s">
        <v>789</v>
      </c>
      <c r="AF556" s="66"/>
      <c r="AH556" s="66" t="str">
        <f>'St of Activites - GA Rev'!A556</f>
        <v>Upper Sandusky Exempted Village SD (CASH)</v>
      </c>
      <c r="AI556" s="66" t="str">
        <f t="shared" si="162"/>
        <v>Upper Sandusky Exempted Village SD (CASH)</v>
      </c>
      <c r="AJ556" s="66" t="b">
        <f t="shared" si="163"/>
        <v>1</v>
      </c>
      <c r="AL556" s="66" t="str">
        <f>'St of Activities - GA Exp'!A556</f>
        <v>Upper Sandusky Exempted Village SD (CASH)</v>
      </c>
      <c r="AN556" s="66" t="b">
        <f t="shared" si="165"/>
        <v>1</v>
      </c>
      <c r="AR556" s="66" t="str">
        <f t="shared" si="166"/>
        <v>Wyandot</v>
      </c>
      <c r="AS556" s="66" t="str">
        <f>'St of Activites - GA Rev'!C556</f>
        <v>Wyandot</v>
      </c>
      <c r="AT556" s="66" t="b">
        <f t="shared" si="164"/>
        <v>1</v>
      </c>
      <c r="AU556" s="66" t="str">
        <f>'St of Activities - GA Exp'!C556</f>
        <v>Wyandot</v>
      </c>
      <c r="AV556" s="86"/>
      <c r="AW556" s="66" t="b">
        <f t="shared" si="167"/>
        <v>1</v>
      </c>
    </row>
    <row r="557" spans="1:49" s="65" customFormat="1" hidden="1">
      <c r="A557" s="62" t="s">
        <v>733</v>
      </c>
      <c r="B557" s="62"/>
      <c r="C557" s="62" t="s">
        <v>348</v>
      </c>
      <c r="D557" s="62"/>
      <c r="E557" s="64">
        <v>47522</v>
      </c>
      <c r="G557" s="65">
        <f t="shared" si="168"/>
        <v>0</v>
      </c>
      <c r="M557" s="65">
        <f t="shared" si="169"/>
        <v>0</v>
      </c>
      <c r="W557" s="65">
        <f t="shared" si="157"/>
        <v>0</v>
      </c>
      <c r="AB557" s="65">
        <f t="shared" si="160"/>
        <v>0</v>
      </c>
      <c r="AD557" s="66">
        <f t="shared" si="161"/>
        <v>0</v>
      </c>
      <c r="AE557" s="65" t="s">
        <v>789</v>
      </c>
      <c r="AF557" s="66"/>
      <c r="AH557" s="66" t="str">
        <f>'St of Activites - GA Rev'!A557</f>
        <v>Upper Scioto Valley Local SD (CASH)</v>
      </c>
      <c r="AI557" s="66" t="str">
        <f t="shared" si="162"/>
        <v>Upper Scioto Valley Local SD (CASH)</v>
      </c>
      <c r="AJ557" s="66" t="b">
        <f t="shared" si="163"/>
        <v>1</v>
      </c>
      <c r="AL557" s="66" t="str">
        <f>'St of Activities - GA Exp'!A557</f>
        <v>Upper Scioto Valley Local SD (CASH)</v>
      </c>
      <c r="AN557" s="66" t="b">
        <f t="shared" si="165"/>
        <v>1</v>
      </c>
      <c r="AR557" s="66" t="str">
        <f t="shared" si="166"/>
        <v>Hardin</v>
      </c>
      <c r="AS557" s="66" t="str">
        <f>'St of Activites - GA Rev'!C557</f>
        <v>Hardin</v>
      </c>
      <c r="AT557" s="66" t="b">
        <f t="shared" si="164"/>
        <v>1</v>
      </c>
      <c r="AU557" s="66" t="str">
        <f>'St of Activities - GA Exp'!C557</f>
        <v>Hardin</v>
      </c>
      <c r="AV557" s="86"/>
      <c r="AW557" s="66" t="b">
        <f t="shared" si="167"/>
        <v>1</v>
      </c>
    </row>
    <row r="558" spans="1:49">
      <c r="A558" s="11" t="s">
        <v>234</v>
      </c>
      <c r="B558" s="11"/>
      <c r="C558" s="11" t="s">
        <v>232</v>
      </c>
      <c r="D558" s="11"/>
      <c r="E558" s="29">
        <v>44941</v>
      </c>
      <c r="G558" s="7">
        <f t="shared" si="168"/>
        <v>17128526</v>
      </c>
      <c r="I558" s="7">
        <v>3791075</v>
      </c>
      <c r="K558" s="7">
        <v>20919601</v>
      </c>
      <c r="M558" s="7">
        <f t="shared" si="169"/>
        <v>7655887</v>
      </c>
      <c r="O558" s="7">
        <v>660131</v>
      </c>
      <c r="Q558" s="7">
        <v>2152065</v>
      </c>
      <c r="S558" s="7">
        <v>10468083</v>
      </c>
      <c r="U558" s="7">
        <v>3616580</v>
      </c>
      <c r="W558" s="7">
        <f t="shared" si="157"/>
        <v>2159637</v>
      </c>
      <c r="Y558" s="7">
        <v>4675301</v>
      </c>
      <c r="AA558" s="7">
        <v>10451518</v>
      </c>
      <c r="AB558" s="7">
        <f t="shared" si="160"/>
        <v>0</v>
      </c>
      <c r="AD558" s="32">
        <f t="shared" si="161"/>
        <v>0</v>
      </c>
      <c r="AF558" s="32"/>
      <c r="AH558" s="32" t="str">
        <f>'St of Activites - GA Rev'!A558</f>
        <v>Urbana City SD</v>
      </c>
      <c r="AI558" s="32" t="str">
        <f t="shared" si="162"/>
        <v>Urbana City SD</v>
      </c>
      <c r="AJ558" s="32" t="b">
        <f t="shared" si="163"/>
        <v>1</v>
      </c>
      <c r="AL558" s="32" t="str">
        <f>'St of Activities - GA Exp'!A558</f>
        <v>Urbana City SD</v>
      </c>
      <c r="AN558" s="32" t="b">
        <f t="shared" si="165"/>
        <v>1</v>
      </c>
      <c r="AR558" s="32" t="str">
        <f t="shared" si="166"/>
        <v>Champaign</v>
      </c>
      <c r="AS558" s="32" t="str">
        <f>'St of Activites - GA Rev'!C558</f>
        <v>Champaign</v>
      </c>
      <c r="AT558" s="32" t="b">
        <f t="shared" si="164"/>
        <v>1</v>
      </c>
      <c r="AU558" s="32" t="str">
        <f>'St of Activities - GA Exp'!C558</f>
        <v>Champaign</v>
      </c>
      <c r="AW558" s="32" t="b">
        <f t="shared" si="167"/>
        <v>1</v>
      </c>
    </row>
    <row r="559" spans="1:49" s="65" customFormat="1" hidden="1">
      <c r="A559" s="62" t="s">
        <v>734</v>
      </c>
      <c r="B559" s="62"/>
      <c r="C559" s="62" t="s">
        <v>59</v>
      </c>
      <c r="D559" s="62"/>
      <c r="E559" s="64">
        <v>49643</v>
      </c>
      <c r="F559" s="67"/>
      <c r="G559" s="65">
        <f t="shared" si="168"/>
        <v>0</v>
      </c>
      <c r="M559" s="65">
        <f t="shared" si="169"/>
        <v>0</v>
      </c>
      <c r="W559" s="65">
        <f t="shared" si="157"/>
        <v>0</v>
      </c>
      <c r="AB559" s="65">
        <f t="shared" si="160"/>
        <v>0</v>
      </c>
      <c r="AD559" s="66">
        <f t="shared" si="161"/>
        <v>0</v>
      </c>
      <c r="AE559" s="65" t="s">
        <v>789</v>
      </c>
      <c r="AF559" s="66"/>
      <c r="AH559" s="66" t="str">
        <f>'St of Activites - GA Rev'!A559</f>
        <v>Valley Local SD (CASH)</v>
      </c>
      <c r="AI559" s="66" t="str">
        <f t="shared" si="162"/>
        <v>Valley Local SD (CASH)</v>
      </c>
      <c r="AJ559" s="66" t="b">
        <f t="shared" si="163"/>
        <v>1</v>
      </c>
      <c r="AL559" s="66" t="str">
        <f>'St of Activities - GA Exp'!A559</f>
        <v>Valley Local SD (CASH)</v>
      </c>
      <c r="AN559" s="66" t="b">
        <f t="shared" si="165"/>
        <v>1</v>
      </c>
      <c r="AR559" s="66" t="str">
        <f t="shared" si="166"/>
        <v>Scioto</v>
      </c>
      <c r="AS559" s="66" t="str">
        <f>'St of Activites - GA Rev'!C559</f>
        <v>Scioto</v>
      </c>
      <c r="AT559" s="66" t="b">
        <f t="shared" si="164"/>
        <v>1</v>
      </c>
      <c r="AU559" s="66" t="str">
        <f>'St of Activities - GA Exp'!C559</f>
        <v>Scioto</v>
      </c>
      <c r="AV559" s="86"/>
      <c r="AW559" s="66" t="b">
        <f t="shared" si="167"/>
        <v>1</v>
      </c>
    </row>
    <row r="560" spans="1:49">
      <c r="A560" s="11" t="s">
        <v>450</v>
      </c>
      <c r="B560" s="11"/>
      <c r="C560" s="11" t="s">
        <v>50</v>
      </c>
      <c r="D560" s="11"/>
      <c r="E560" s="29">
        <v>48744</v>
      </c>
      <c r="G560" s="7">
        <f t="shared" si="168"/>
        <v>11264852</v>
      </c>
      <c r="I560" s="7">
        <v>5601186</v>
      </c>
      <c r="K560" s="7">
        <v>16866038</v>
      </c>
      <c r="M560" s="7">
        <f>+S560-O560-Q560</f>
        <v>8583578</v>
      </c>
      <c r="O560" s="7">
        <v>229991</v>
      </c>
      <c r="Q560" s="7">
        <v>1460209</v>
      </c>
      <c r="S560" s="7">
        <v>10273778</v>
      </c>
      <c r="U560" s="7">
        <v>4931337</v>
      </c>
      <c r="W560" s="7">
        <f t="shared" si="157"/>
        <v>791973</v>
      </c>
      <c r="Y560" s="7">
        <v>868950</v>
      </c>
      <c r="AA560" s="7">
        <v>6592260</v>
      </c>
      <c r="AB560" s="7">
        <f t="shared" si="160"/>
        <v>0</v>
      </c>
      <c r="AD560" s="32">
        <f t="shared" si="161"/>
        <v>0</v>
      </c>
      <c r="AF560" s="32"/>
      <c r="AH560" s="32" t="str">
        <f>'St of Activites - GA Rev'!A560</f>
        <v>Valley View Local SD</v>
      </c>
      <c r="AI560" s="32" t="str">
        <f t="shared" si="162"/>
        <v>Valley View Local SD</v>
      </c>
      <c r="AJ560" s="32" t="b">
        <f t="shared" si="163"/>
        <v>1</v>
      </c>
      <c r="AL560" s="32" t="str">
        <f>'St of Activities - GA Exp'!A560</f>
        <v>Valley View Local SD</v>
      </c>
      <c r="AN560" s="32" t="b">
        <f t="shared" si="165"/>
        <v>1</v>
      </c>
      <c r="AR560" s="32" t="str">
        <f t="shared" si="166"/>
        <v>Montgomery</v>
      </c>
      <c r="AS560" s="32" t="str">
        <f>'St of Activites - GA Rev'!C560</f>
        <v>Montgomery</v>
      </c>
      <c r="AT560" s="32" t="b">
        <f t="shared" si="164"/>
        <v>1</v>
      </c>
      <c r="AU560" s="32" t="str">
        <f>'St of Activities - GA Exp'!C560</f>
        <v>Montgomery</v>
      </c>
      <c r="AW560" s="32" t="b">
        <f t="shared" si="167"/>
        <v>1</v>
      </c>
    </row>
    <row r="561" spans="1:49">
      <c r="A561" s="11" t="s">
        <v>347</v>
      </c>
      <c r="B561" s="11"/>
      <c r="C561" s="11" t="s">
        <v>33</v>
      </c>
      <c r="D561" s="11"/>
      <c r="E561" s="29">
        <v>47464</v>
      </c>
      <c r="G561" s="7">
        <f t="shared" si="168"/>
        <v>16031039</v>
      </c>
      <c r="I561" s="7">
        <f>14485914+168329</f>
        <v>14654243</v>
      </c>
      <c r="K561" s="7">
        <v>30685282</v>
      </c>
      <c r="M561" s="7">
        <f t="shared" si="169"/>
        <v>7456520</v>
      </c>
      <c r="O561" s="7">
        <v>863433</v>
      </c>
      <c r="Q561" s="7">
        <v>7146798</v>
      </c>
      <c r="S561" s="7">
        <v>15466751</v>
      </c>
      <c r="U561" s="7">
        <v>7419244</v>
      </c>
      <c r="W561" s="7">
        <f>AA561-Y561-U561</f>
        <v>1803480</v>
      </c>
      <c r="Y561" s="7">
        <v>5995807</v>
      </c>
      <c r="AA561" s="7">
        <v>15218531</v>
      </c>
      <c r="AB561" s="7">
        <f t="shared" si="160"/>
        <v>0</v>
      </c>
      <c r="AD561" s="32">
        <f t="shared" si="161"/>
        <v>0</v>
      </c>
      <c r="AF561" s="32"/>
      <c r="AH561" s="32" t="str">
        <f>'St of Activites - GA Rev'!A561</f>
        <v>Van Buren Local SD</v>
      </c>
      <c r="AI561" s="32" t="str">
        <f t="shared" si="162"/>
        <v>Van Buren Local SD</v>
      </c>
      <c r="AJ561" s="32" t="b">
        <f t="shared" si="163"/>
        <v>1</v>
      </c>
      <c r="AL561" s="32" t="str">
        <f>'St of Activities - GA Exp'!A561</f>
        <v>Van Buren Local SD</v>
      </c>
      <c r="AN561" s="32" t="b">
        <f t="shared" si="165"/>
        <v>1</v>
      </c>
      <c r="AR561" s="32" t="str">
        <f t="shared" si="166"/>
        <v>Hancock</v>
      </c>
      <c r="AS561" s="32" t="str">
        <f>'St of Activites - GA Rev'!C561</f>
        <v>Hancock</v>
      </c>
      <c r="AT561" s="32" t="b">
        <f t="shared" si="164"/>
        <v>1</v>
      </c>
      <c r="AU561" s="32" t="str">
        <f>'St of Activities - GA Exp'!C561</f>
        <v>Hancock</v>
      </c>
      <c r="AW561" s="32" t="b">
        <f t="shared" si="167"/>
        <v>1</v>
      </c>
    </row>
    <row r="562" spans="1:49" s="65" customFormat="1" hidden="1">
      <c r="A562" s="62" t="s">
        <v>978</v>
      </c>
      <c r="B562" s="62"/>
      <c r="C562" s="62" t="s">
        <v>67</v>
      </c>
      <c r="D562" s="62"/>
      <c r="E562" s="64">
        <v>44966</v>
      </c>
      <c r="G562" s="65">
        <f t="shared" si="168"/>
        <v>0</v>
      </c>
      <c r="M562" s="65">
        <f t="shared" si="169"/>
        <v>0</v>
      </c>
      <c r="W562" s="65">
        <f t="shared" si="157"/>
        <v>0</v>
      </c>
      <c r="AB562" s="65">
        <f t="shared" si="160"/>
        <v>0</v>
      </c>
      <c r="AD562" s="66">
        <f t="shared" si="161"/>
        <v>0</v>
      </c>
      <c r="AE562" s="65" t="s">
        <v>979</v>
      </c>
      <c r="AF562" s="66"/>
      <c r="AH562" s="66" t="str">
        <f>'St of Activites - GA Rev'!A562</f>
        <v>Van Wert City SD (CASH)</v>
      </c>
      <c r="AI562" s="66" t="str">
        <f t="shared" si="162"/>
        <v>Van Wert City SD (CASH)</v>
      </c>
      <c r="AJ562" s="66" t="b">
        <f t="shared" si="163"/>
        <v>1</v>
      </c>
      <c r="AL562" s="66" t="str">
        <f>'St of Activities - GA Exp'!A562</f>
        <v>Van Wert City SD (CASH)</v>
      </c>
      <c r="AN562" s="66" t="b">
        <f t="shared" si="165"/>
        <v>1</v>
      </c>
      <c r="AR562" s="66" t="str">
        <f t="shared" si="166"/>
        <v>Van Wert</v>
      </c>
      <c r="AS562" s="66" t="str">
        <f>'St of Activites - GA Rev'!C562</f>
        <v>Van Wert</v>
      </c>
      <c r="AT562" s="66" t="b">
        <f t="shared" si="164"/>
        <v>1</v>
      </c>
      <c r="AU562" s="66" t="str">
        <f>'St of Activities - GA Exp'!C562</f>
        <v>Van Wert</v>
      </c>
      <c r="AV562" s="86"/>
      <c r="AW562" s="66" t="b">
        <f t="shared" si="167"/>
        <v>1</v>
      </c>
    </row>
    <row r="563" spans="1:49">
      <c r="A563" s="11" t="s">
        <v>451</v>
      </c>
      <c r="B563" s="11"/>
      <c r="C563" s="11" t="s">
        <v>50</v>
      </c>
      <c r="D563" s="11"/>
      <c r="E563" s="29">
        <v>44958</v>
      </c>
      <c r="G563" s="7">
        <f t="shared" si="168"/>
        <v>63699926</v>
      </c>
      <c r="I563" s="7">
        <v>40089395</v>
      </c>
      <c r="K563" s="7">
        <v>103789321</v>
      </c>
      <c r="M563" s="7">
        <f t="shared" si="169"/>
        <v>30183667</v>
      </c>
      <c r="O563" s="7">
        <v>2237802</v>
      </c>
      <c r="Q563" s="7">
        <v>57425577</v>
      </c>
      <c r="S563" s="7">
        <v>89847046</v>
      </c>
      <c r="U563" s="7">
        <v>3621319</v>
      </c>
      <c r="W563" s="7">
        <f t="shared" si="157"/>
        <v>3491345</v>
      </c>
      <c r="Y563" s="7">
        <v>6829611</v>
      </c>
      <c r="AA563" s="7">
        <v>13942275</v>
      </c>
      <c r="AB563" s="7">
        <f t="shared" si="160"/>
        <v>0</v>
      </c>
      <c r="AD563" s="32">
        <f t="shared" si="161"/>
        <v>0</v>
      </c>
      <c r="AF563" s="32"/>
      <c r="AH563" s="32" t="str">
        <f>'St of Activites - GA Rev'!A563</f>
        <v>Vandalia-Butler City SD</v>
      </c>
      <c r="AI563" s="32" t="str">
        <f t="shared" si="162"/>
        <v>Vandalia-Butler City SD</v>
      </c>
      <c r="AJ563" s="32" t="b">
        <f t="shared" si="163"/>
        <v>1</v>
      </c>
      <c r="AL563" s="32" t="str">
        <f>'St of Activities - GA Exp'!A563</f>
        <v>Vandalia-Butler City SD</v>
      </c>
      <c r="AN563" s="32" t="b">
        <f t="shared" si="165"/>
        <v>1</v>
      </c>
      <c r="AR563" s="32" t="str">
        <f t="shared" si="166"/>
        <v>Montgomery</v>
      </c>
      <c r="AS563" s="32" t="str">
        <f>'St of Activites - GA Rev'!C563</f>
        <v>Montgomery</v>
      </c>
      <c r="AT563" s="32" t="b">
        <f t="shared" si="164"/>
        <v>1</v>
      </c>
      <c r="AU563" s="32" t="str">
        <f>'St of Activities - GA Exp'!C563</f>
        <v>Montgomery</v>
      </c>
      <c r="AW563" s="32" t="b">
        <f t="shared" si="167"/>
        <v>1</v>
      </c>
    </row>
    <row r="564" spans="1:49" s="65" customFormat="1" hidden="1">
      <c r="A564" s="62" t="s">
        <v>736</v>
      </c>
      <c r="B564" s="62"/>
      <c r="C564" s="62" t="s">
        <v>33</v>
      </c>
      <c r="D564" s="62"/>
      <c r="E564" s="64">
        <v>47472</v>
      </c>
      <c r="G564" s="65">
        <f t="shared" si="168"/>
        <v>0</v>
      </c>
      <c r="M564" s="65">
        <f t="shared" si="169"/>
        <v>0</v>
      </c>
      <c r="W564" s="65">
        <f t="shared" si="157"/>
        <v>0</v>
      </c>
      <c r="AB564" s="65">
        <f t="shared" si="160"/>
        <v>0</v>
      </c>
      <c r="AD564" s="66">
        <f t="shared" si="161"/>
        <v>0</v>
      </c>
      <c r="AE564" s="65" t="s">
        <v>789</v>
      </c>
      <c r="AF564" s="66"/>
      <c r="AH564" s="66" t="str">
        <f>'St of Activites - GA Rev'!A564</f>
        <v>Vanlue Local SD (CASH)</v>
      </c>
      <c r="AI564" s="66" t="str">
        <f t="shared" si="162"/>
        <v>Vanlue Local SD (CASH)</v>
      </c>
      <c r="AJ564" s="66" t="b">
        <f t="shared" si="163"/>
        <v>1</v>
      </c>
      <c r="AL564" s="66" t="str">
        <f>'St of Activities - GA Exp'!A564</f>
        <v>Vanlue Local SD (CASH)</v>
      </c>
      <c r="AN564" s="66" t="b">
        <f t="shared" si="165"/>
        <v>1</v>
      </c>
      <c r="AR564" s="66" t="str">
        <f t="shared" si="166"/>
        <v>Hancock</v>
      </c>
      <c r="AS564" s="66" t="str">
        <f>'St of Activites - GA Rev'!C564</f>
        <v>Hancock</v>
      </c>
      <c r="AT564" s="66" t="b">
        <f t="shared" si="164"/>
        <v>1</v>
      </c>
      <c r="AU564" s="66" t="str">
        <f>'St of Activities - GA Exp'!C564</f>
        <v>Hancock</v>
      </c>
      <c r="AV564" s="86"/>
      <c r="AW564" s="66" t="b">
        <f t="shared" si="167"/>
        <v>1</v>
      </c>
    </row>
    <row r="565" spans="1:49">
      <c r="A565" s="11" t="s">
        <v>297</v>
      </c>
      <c r="B565" s="11"/>
      <c r="C565" s="11" t="s">
        <v>24</v>
      </c>
      <c r="D565" s="11"/>
      <c r="E565" s="29">
        <v>46821</v>
      </c>
      <c r="G565" s="7">
        <f t="shared" si="168"/>
        <v>33977591</v>
      </c>
      <c r="I565" s="7">
        <v>8477350</v>
      </c>
      <c r="K565" s="7">
        <v>42454941</v>
      </c>
      <c r="M565" s="7">
        <f t="shared" si="169"/>
        <v>16070570</v>
      </c>
      <c r="O565" s="7">
        <v>1920446</v>
      </c>
      <c r="Q565" s="7">
        <v>6998469</v>
      </c>
      <c r="S565" s="7">
        <v>24989485</v>
      </c>
      <c r="U565" s="7">
        <v>5869107</v>
      </c>
      <c r="W565" s="7">
        <f t="shared" si="157"/>
        <v>1715321</v>
      </c>
      <c r="Y565" s="7">
        <v>9881028</v>
      </c>
      <c r="AA565" s="7">
        <v>17465456</v>
      </c>
      <c r="AB565" s="7">
        <f t="shared" si="160"/>
        <v>0</v>
      </c>
      <c r="AD565" s="32">
        <f t="shared" si="161"/>
        <v>0</v>
      </c>
      <c r="AF565" s="32"/>
      <c r="AH565" s="32" t="str">
        <f>'St of Activites - GA Rev'!A565</f>
        <v>Vermilion Local SD</v>
      </c>
      <c r="AI565" s="32" t="str">
        <f t="shared" si="162"/>
        <v>Vermilion Local SD</v>
      </c>
      <c r="AJ565" s="32" t="b">
        <f t="shared" si="163"/>
        <v>1</v>
      </c>
      <c r="AL565" s="32" t="str">
        <f>'St of Activities - GA Exp'!A565</f>
        <v>Vermilion Local SD</v>
      </c>
      <c r="AN565" s="32" t="b">
        <f t="shared" si="165"/>
        <v>1</v>
      </c>
      <c r="AR565" s="32" t="str">
        <f t="shared" si="166"/>
        <v>Erie</v>
      </c>
      <c r="AS565" s="32" t="str">
        <f>'St of Activites - GA Rev'!C565</f>
        <v>Erie</v>
      </c>
      <c r="AT565" s="32" t="b">
        <f t="shared" si="164"/>
        <v>1</v>
      </c>
      <c r="AU565" s="32" t="str">
        <f>'St of Activities - GA Exp'!C565</f>
        <v>Erie</v>
      </c>
      <c r="AW565" s="32" t="b">
        <f t="shared" si="167"/>
        <v>1</v>
      </c>
    </row>
    <row r="566" spans="1:49" s="65" customFormat="1" hidden="1">
      <c r="A566" s="62" t="s">
        <v>737</v>
      </c>
      <c r="B566" s="62"/>
      <c r="C566" s="62" t="s">
        <v>21</v>
      </c>
      <c r="D566" s="62"/>
      <c r="E566" s="64"/>
      <c r="M566" s="65">
        <f t="shared" si="169"/>
        <v>0</v>
      </c>
      <c r="W566" s="65">
        <f t="shared" si="157"/>
        <v>0</v>
      </c>
      <c r="AB566" s="65">
        <f t="shared" si="160"/>
        <v>0</v>
      </c>
      <c r="AD566" s="66">
        <f t="shared" si="161"/>
        <v>0</v>
      </c>
      <c r="AE566" s="65" t="s">
        <v>789</v>
      </c>
      <c r="AF566" s="66"/>
      <c r="AH566" s="66" t="str">
        <f>'St of Activites - GA Rev'!A566</f>
        <v>Versailles Exempted Village SD (CASH)</v>
      </c>
      <c r="AI566" s="66" t="str">
        <f t="shared" si="162"/>
        <v>Versailles Exempted Village SD (CASH)</v>
      </c>
      <c r="AJ566" s="66" t="b">
        <f t="shared" si="163"/>
        <v>1</v>
      </c>
      <c r="AL566" s="66" t="str">
        <f>'St of Activities - GA Exp'!A566</f>
        <v>Versailles Exempted Village SD (CASH)</v>
      </c>
      <c r="AN566" s="66" t="b">
        <f t="shared" si="165"/>
        <v>1</v>
      </c>
      <c r="AR566" s="66" t="str">
        <f t="shared" si="166"/>
        <v>Darke</v>
      </c>
      <c r="AS566" s="66" t="str">
        <f>'St of Activites - GA Rev'!C566</f>
        <v>Darke</v>
      </c>
      <c r="AT566" s="66" t="b">
        <f t="shared" si="164"/>
        <v>1</v>
      </c>
      <c r="AU566" s="66" t="str">
        <f>'St of Activities - GA Exp'!C566</f>
        <v>Darke</v>
      </c>
      <c r="AV566" s="86"/>
      <c r="AW566" s="66" t="b">
        <f t="shared" si="167"/>
        <v>1</v>
      </c>
    </row>
    <row r="567" spans="1:49">
      <c r="A567" s="11" t="s">
        <v>559</v>
      </c>
      <c r="B567" s="11"/>
      <c r="C567" s="11" t="s">
        <v>68</v>
      </c>
      <c r="D567" s="11"/>
      <c r="E567" s="29">
        <v>50393</v>
      </c>
      <c r="G567" s="7">
        <f t="shared" si="168"/>
        <v>26603488</v>
      </c>
      <c r="I567" s="7">
        <f>1376059+59028074</f>
        <v>60404133</v>
      </c>
      <c r="K567" s="7">
        <v>87007621</v>
      </c>
      <c r="M567" s="7">
        <f t="shared" si="169"/>
        <v>9135525</v>
      </c>
      <c r="O567" s="7">
        <v>513360</v>
      </c>
      <c r="Q567" s="7">
        <v>7038264</v>
      </c>
      <c r="S567" s="7">
        <v>16687149</v>
      </c>
      <c r="U567" s="7">
        <v>53817620</v>
      </c>
      <c r="W567" s="7">
        <f t="shared" ref="W567:W618" si="170">AA567-Y567-U567</f>
        <v>6185756</v>
      </c>
      <c r="Y567" s="7">
        <v>10317096</v>
      </c>
      <c r="AA567" s="7">
        <v>70320472</v>
      </c>
      <c r="AB567" s="7">
        <f t="shared" si="160"/>
        <v>0</v>
      </c>
      <c r="AD567" s="32">
        <f t="shared" si="161"/>
        <v>0</v>
      </c>
      <c r="AF567" s="32"/>
      <c r="AH567" s="32" t="str">
        <f>'St of Activites - GA Rev'!A567</f>
        <v>Vinton County Local SD</v>
      </c>
      <c r="AI567" s="32" t="str">
        <f t="shared" si="162"/>
        <v>Vinton County Local SD</v>
      </c>
      <c r="AJ567" s="32" t="b">
        <f t="shared" si="163"/>
        <v>1</v>
      </c>
      <c r="AL567" s="32" t="str">
        <f>'St of Activities - GA Exp'!A567</f>
        <v>Vinton County Local SD</v>
      </c>
      <c r="AN567" s="32" t="b">
        <f t="shared" si="165"/>
        <v>1</v>
      </c>
      <c r="AR567" s="32" t="str">
        <f t="shared" si="166"/>
        <v>Vinton</v>
      </c>
      <c r="AS567" s="32" t="str">
        <f>'St of Activites - GA Rev'!C567</f>
        <v>Vinton</v>
      </c>
      <c r="AT567" s="32" t="b">
        <f t="shared" si="164"/>
        <v>1</v>
      </c>
      <c r="AU567" s="32" t="str">
        <f>'St of Activities - GA Exp'!C567</f>
        <v>Vinton</v>
      </c>
      <c r="AW567" s="32" t="b">
        <f t="shared" si="167"/>
        <v>1</v>
      </c>
    </row>
    <row r="568" spans="1:49">
      <c r="A568" s="11" t="s">
        <v>432</v>
      </c>
      <c r="B568" s="11"/>
      <c r="C568" s="11" t="s">
        <v>47</v>
      </c>
      <c r="D568" s="11"/>
      <c r="E568" s="29">
        <v>44974</v>
      </c>
      <c r="G568" s="7">
        <f t="shared" si="168"/>
        <v>142435802</v>
      </c>
      <c r="I568" s="7">
        <v>81450783</v>
      </c>
      <c r="K568" s="7">
        <v>223886585</v>
      </c>
      <c r="M568" s="7">
        <f t="shared" si="169"/>
        <v>27490010</v>
      </c>
      <c r="O568" s="7">
        <v>4429344</v>
      </c>
      <c r="Q568" s="7">
        <v>107882618</v>
      </c>
      <c r="S568" s="7">
        <v>139801972</v>
      </c>
      <c r="U568" s="7">
        <v>15880743</v>
      </c>
      <c r="W568" s="7">
        <f t="shared" si="170"/>
        <v>71042226</v>
      </c>
      <c r="Y568" s="7">
        <v>-2838356</v>
      </c>
      <c r="AA568" s="7">
        <v>84084613</v>
      </c>
      <c r="AB568" s="7">
        <f t="shared" ref="AB568:AB591" si="171">+K568-S568-AA568</f>
        <v>0</v>
      </c>
      <c r="AD568" s="32">
        <f t="shared" ref="AD568:AD591" si="172">+G568+I568+-M568-O568-U568-W568-Y568-Q568</f>
        <v>0</v>
      </c>
      <c r="AF568" s="32"/>
      <c r="AH568" s="32" t="str">
        <f>'St of Activites - GA Rev'!A568</f>
        <v>Wadsworth City SD</v>
      </c>
      <c r="AI568" s="32" t="str">
        <f t="shared" si="162"/>
        <v>Wadsworth City SD</v>
      </c>
      <c r="AJ568" s="32" t="b">
        <f t="shared" si="163"/>
        <v>1</v>
      </c>
      <c r="AL568" s="32" t="str">
        <f>'St of Activities - GA Exp'!A568</f>
        <v>Wadsworth City SD</v>
      </c>
      <c r="AN568" s="32" t="b">
        <f t="shared" si="165"/>
        <v>1</v>
      </c>
      <c r="AR568" s="32" t="str">
        <f t="shared" si="166"/>
        <v>Medina</v>
      </c>
      <c r="AS568" s="32" t="str">
        <f>'St of Activites - GA Rev'!C568</f>
        <v>Medina</v>
      </c>
      <c r="AT568" s="32" t="b">
        <f t="shared" si="164"/>
        <v>1</v>
      </c>
      <c r="AU568" s="32" t="str">
        <f>'St of Activities - GA Exp'!C568</f>
        <v>Medina</v>
      </c>
      <c r="AV568" s="56"/>
      <c r="AW568" s="32" t="b">
        <f t="shared" si="167"/>
        <v>1</v>
      </c>
    </row>
    <row r="569" spans="1:49">
      <c r="A569" s="11" t="s">
        <v>547</v>
      </c>
      <c r="B569" s="11"/>
      <c r="C569" s="11" t="s">
        <v>64</v>
      </c>
      <c r="D569" s="11"/>
      <c r="E569" s="29">
        <v>44990</v>
      </c>
      <c r="G569" s="7">
        <f t="shared" si="168"/>
        <v>70849473</v>
      </c>
      <c r="I569" s="7">
        <v>141735059</v>
      </c>
      <c r="K569" s="7">
        <v>212584532</v>
      </c>
      <c r="M569" s="7">
        <f t="shared" si="169"/>
        <v>26060360</v>
      </c>
      <c r="O569" s="7">
        <v>1679464</v>
      </c>
      <c r="Q569" s="7">
        <v>37352443</v>
      </c>
      <c r="S569" s="7">
        <v>65092267</v>
      </c>
      <c r="U569" s="7">
        <v>114524137</v>
      </c>
      <c r="W569" s="7">
        <f t="shared" si="170"/>
        <v>16592262</v>
      </c>
      <c r="Y569" s="7">
        <v>16375866</v>
      </c>
      <c r="AA569" s="7">
        <v>147492265</v>
      </c>
      <c r="AB569" s="7">
        <f t="shared" si="171"/>
        <v>0</v>
      </c>
      <c r="AD569" s="32">
        <f t="shared" si="172"/>
        <v>0</v>
      </c>
      <c r="AF569" s="32"/>
      <c r="AH569" s="32" t="str">
        <f>'St of Activites - GA Rev'!A569</f>
        <v>Warren City SD</v>
      </c>
      <c r="AI569" s="32" t="str">
        <f t="shared" si="162"/>
        <v>Warren City SD</v>
      </c>
      <c r="AJ569" s="32" t="b">
        <f t="shared" si="163"/>
        <v>1</v>
      </c>
      <c r="AL569" s="32" t="str">
        <f>'St of Activities - GA Exp'!A569</f>
        <v>Warren City SD</v>
      </c>
      <c r="AN569" s="32" t="b">
        <f t="shared" si="165"/>
        <v>1</v>
      </c>
      <c r="AR569" s="32" t="str">
        <f t="shared" si="166"/>
        <v>Trumbull</v>
      </c>
      <c r="AS569" s="32" t="str">
        <f>'St of Activites - GA Rev'!C569</f>
        <v>Trumbull</v>
      </c>
      <c r="AT569" s="32" t="b">
        <f t="shared" si="164"/>
        <v>1</v>
      </c>
      <c r="AU569" s="32" t="str">
        <f>'St of Activities - GA Exp'!C569</f>
        <v>Trumbull</v>
      </c>
      <c r="AV569" s="56"/>
      <c r="AW569" s="32" t="b">
        <f t="shared" si="167"/>
        <v>1</v>
      </c>
    </row>
    <row r="570" spans="1:49">
      <c r="A570" s="11" t="s">
        <v>566</v>
      </c>
      <c r="B570" s="11"/>
      <c r="C570" s="11" t="s">
        <v>70</v>
      </c>
      <c r="D570" s="11"/>
      <c r="E570" s="29">
        <v>50500</v>
      </c>
      <c r="F570" s="10"/>
      <c r="G570" s="7">
        <f t="shared" si="168"/>
        <v>14605758</v>
      </c>
      <c r="I570" s="7">
        <f>330057+5135208</f>
        <v>5465265</v>
      </c>
      <c r="K570" s="7">
        <v>20071023</v>
      </c>
      <c r="M570" s="7">
        <f t="shared" si="169"/>
        <v>8832875</v>
      </c>
      <c r="O570" s="7">
        <v>21879</v>
      </c>
      <c r="Q570" s="7">
        <v>2195340</v>
      </c>
      <c r="S570" s="7">
        <v>11050094</v>
      </c>
      <c r="U570" s="7">
        <v>5465265</v>
      </c>
      <c r="W570" s="7">
        <f t="shared" si="170"/>
        <v>1088903</v>
      </c>
      <c r="Y570" s="7">
        <v>2466761</v>
      </c>
      <c r="AA570" s="7">
        <v>9020929</v>
      </c>
      <c r="AB570" s="7">
        <f t="shared" si="171"/>
        <v>0</v>
      </c>
      <c r="AD570" s="32">
        <f t="shared" si="172"/>
        <v>0</v>
      </c>
      <c r="AF570" s="32"/>
      <c r="AH570" s="32" t="str">
        <f>'St of Activites - GA Rev'!A570</f>
        <v>Warren Local SD</v>
      </c>
      <c r="AI570" s="32" t="str">
        <f t="shared" si="162"/>
        <v>Warren Local SD</v>
      </c>
      <c r="AJ570" s="32" t="b">
        <f t="shared" si="163"/>
        <v>1</v>
      </c>
      <c r="AL570" s="32" t="str">
        <f>'St of Activities - GA Exp'!A570</f>
        <v>Warren Local SD</v>
      </c>
      <c r="AN570" s="32" t="b">
        <f t="shared" si="165"/>
        <v>1</v>
      </c>
      <c r="AR570" s="32" t="str">
        <f t="shared" si="166"/>
        <v>Washington</v>
      </c>
      <c r="AS570" s="32" t="str">
        <f>'St of Activites - GA Rev'!C570</f>
        <v>Washington</v>
      </c>
      <c r="AT570" s="32" t="b">
        <f t="shared" si="164"/>
        <v>1</v>
      </c>
      <c r="AU570" s="32" t="str">
        <f>'St of Activities - GA Exp'!C570</f>
        <v>Washington</v>
      </c>
      <c r="AV570" s="56"/>
      <c r="AW570" s="32" t="b">
        <f t="shared" si="167"/>
        <v>1</v>
      </c>
    </row>
    <row r="571" spans="1:49">
      <c r="A571" s="11" t="s">
        <v>286</v>
      </c>
      <c r="B571" s="11"/>
      <c r="C571" s="11" t="s">
        <v>20</v>
      </c>
      <c r="D571" s="11"/>
      <c r="E571" s="29">
        <v>45005</v>
      </c>
      <c r="G571" s="7">
        <f t="shared" si="168"/>
        <v>35120091</v>
      </c>
      <c r="I571" s="7">
        <f>414153+23924687</f>
        <v>24338840</v>
      </c>
      <c r="K571" s="7">
        <v>59458931</v>
      </c>
      <c r="M571" s="7">
        <f t="shared" si="169"/>
        <v>20898360</v>
      </c>
      <c r="O571" s="7">
        <v>1543875</v>
      </c>
      <c r="Q571" s="7">
        <v>20362068</v>
      </c>
      <c r="S571" s="7">
        <v>42804303</v>
      </c>
      <c r="U571" s="7">
        <v>5148836</v>
      </c>
      <c r="W571" s="7">
        <f t="shared" si="170"/>
        <v>5415556</v>
      </c>
      <c r="Y571" s="7">
        <v>6090236</v>
      </c>
      <c r="AA571" s="7">
        <v>16654628</v>
      </c>
      <c r="AB571" s="7">
        <f t="shared" si="171"/>
        <v>0</v>
      </c>
      <c r="AD571" s="32">
        <f t="shared" si="172"/>
        <v>0</v>
      </c>
      <c r="AF571" s="32"/>
      <c r="AH571" s="32" t="str">
        <f>'St of Activites - GA Rev'!A571</f>
        <v>Warrensville Heights City SD</v>
      </c>
      <c r="AI571" s="32" t="str">
        <f t="shared" si="162"/>
        <v>Warrensville Heights City SD</v>
      </c>
      <c r="AJ571" s="32" t="b">
        <f t="shared" si="163"/>
        <v>1</v>
      </c>
      <c r="AL571" s="32" t="str">
        <f>'St of Activities - GA Exp'!A571</f>
        <v>Warrensville Heights City SD</v>
      </c>
      <c r="AN571" s="32" t="b">
        <f t="shared" si="165"/>
        <v>1</v>
      </c>
      <c r="AR571" s="32" t="str">
        <f t="shared" si="166"/>
        <v>Cuyahoga</v>
      </c>
      <c r="AS571" s="32" t="str">
        <f>'St of Activites - GA Rev'!C571</f>
        <v>Cuyahoga</v>
      </c>
      <c r="AT571" s="32" t="b">
        <f t="shared" si="164"/>
        <v>1</v>
      </c>
      <c r="AU571" s="32" t="str">
        <f>'St of Activities - GA Exp'!C571</f>
        <v>Cuyahoga</v>
      </c>
      <c r="AV571" s="56"/>
      <c r="AW571" s="32" t="b">
        <f t="shared" si="167"/>
        <v>1</v>
      </c>
    </row>
    <row r="572" spans="1:49">
      <c r="A572" s="11" t="s">
        <v>304</v>
      </c>
      <c r="B572" s="11"/>
      <c r="C572" s="11" t="s">
        <v>26</v>
      </c>
      <c r="D572" s="11"/>
      <c r="E572" s="29">
        <v>45013</v>
      </c>
      <c r="G572" s="7">
        <f t="shared" si="168"/>
        <v>13214502</v>
      </c>
      <c r="I572" s="7">
        <f>477521+69372377</f>
        <v>69849898</v>
      </c>
      <c r="K572" s="7">
        <v>83064400</v>
      </c>
      <c r="M572" s="7">
        <f t="shared" si="169"/>
        <v>6604305</v>
      </c>
      <c r="O572" s="7">
        <v>588387</v>
      </c>
      <c r="Q572" s="7">
        <v>21276996</v>
      </c>
      <c r="S572" s="7">
        <v>28469688</v>
      </c>
      <c r="U572" s="7">
        <v>50554063</v>
      </c>
      <c r="W572" s="7">
        <f t="shared" si="170"/>
        <v>4653869</v>
      </c>
      <c r="Y572" s="7">
        <v>-613220</v>
      </c>
      <c r="AA572" s="7">
        <v>54594712</v>
      </c>
      <c r="AB572" s="7">
        <f t="shared" si="171"/>
        <v>0</v>
      </c>
      <c r="AD572" s="32">
        <f t="shared" si="172"/>
        <v>0</v>
      </c>
      <c r="AF572" s="32"/>
      <c r="AH572" s="32" t="str">
        <f>'St of Activites - GA Rev'!A572</f>
        <v>Washington Court House City SD</v>
      </c>
      <c r="AI572" s="32" t="str">
        <f t="shared" si="162"/>
        <v>Washington Court House City SD</v>
      </c>
      <c r="AJ572" s="32" t="b">
        <f t="shared" si="163"/>
        <v>1</v>
      </c>
      <c r="AL572" s="32" t="str">
        <f>'St of Activities - GA Exp'!A572</f>
        <v>Washington Court House City SD</v>
      </c>
      <c r="AN572" s="32" t="b">
        <f t="shared" si="165"/>
        <v>1</v>
      </c>
      <c r="AR572" s="32" t="str">
        <f t="shared" si="166"/>
        <v>Fayette</v>
      </c>
      <c r="AS572" s="32" t="str">
        <f>'St of Activites - GA Rev'!C572</f>
        <v>Fayette</v>
      </c>
      <c r="AT572" s="32" t="b">
        <f t="shared" si="164"/>
        <v>1</v>
      </c>
      <c r="AU572" s="32" t="str">
        <f>'St of Activities - GA Exp'!C572</f>
        <v>Fayette</v>
      </c>
      <c r="AV572" s="56"/>
      <c r="AW572" s="32" t="b">
        <f t="shared" si="167"/>
        <v>1</v>
      </c>
    </row>
    <row r="573" spans="1:49">
      <c r="A573" s="11" t="s">
        <v>409</v>
      </c>
      <c r="B573" s="11"/>
      <c r="C573" s="11" t="s">
        <v>115</v>
      </c>
      <c r="D573" s="11"/>
      <c r="E573" s="29">
        <v>48231</v>
      </c>
      <c r="G573" s="7">
        <f t="shared" si="168"/>
        <v>82969084</v>
      </c>
      <c r="I573" s="7">
        <v>26960921</v>
      </c>
      <c r="K573" s="7">
        <v>109930005</v>
      </c>
      <c r="M573" s="7">
        <f t="shared" si="169"/>
        <v>46981756</v>
      </c>
      <c r="O573" s="7">
        <v>1162432</v>
      </c>
      <c r="Q573" s="7">
        <v>4503015</v>
      </c>
      <c r="S573" s="7">
        <v>52647203</v>
      </c>
      <c r="U573" s="7">
        <v>25762921</v>
      </c>
      <c r="W573" s="7">
        <f t="shared" si="170"/>
        <v>4408707</v>
      </c>
      <c r="Y573" s="7">
        <v>27111174</v>
      </c>
      <c r="AA573" s="7">
        <v>57282802</v>
      </c>
      <c r="AB573" s="7">
        <f t="shared" si="171"/>
        <v>0</v>
      </c>
      <c r="AD573" s="32">
        <f t="shared" si="172"/>
        <v>0</v>
      </c>
      <c r="AF573" s="32"/>
      <c r="AH573" s="32" t="str">
        <f>'St of Activites - GA Rev'!A573</f>
        <v>Washington Local SD</v>
      </c>
      <c r="AI573" s="32" t="str">
        <f t="shared" si="162"/>
        <v>Washington Local SD</v>
      </c>
      <c r="AJ573" s="32" t="b">
        <f t="shared" si="163"/>
        <v>1</v>
      </c>
      <c r="AL573" s="32" t="str">
        <f>'St of Activities - GA Exp'!A573</f>
        <v>Washington Local SD</v>
      </c>
      <c r="AN573" s="32" t="b">
        <f t="shared" si="165"/>
        <v>1</v>
      </c>
      <c r="AR573" s="32" t="str">
        <f t="shared" si="166"/>
        <v>Lucas</v>
      </c>
      <c r="AS573" s="32" t="str">
        <f>'St of Activites - GA Rev'!C573</f>
        <v>Lucas</v>
      </c>
      <c r="AT573" s="32" t="b">
        <f t="shared" si="164"/>
        <v>1</v>
      </c>
      <c r="AU573" s="32" t="str">
        <f>'St of Activities - GA Exp'!C573</f>
        <v>Lucas</v>
      </c>
      <c r="AV573" s="56"/>
      <c r="AW573" s="32" t="b">
        <f t="shared" si="167"/>
        <v>1</v>
      </c>
    </row>
    <row r="574" spans="1:49">
      <c r="A574" s="11" t="s">
        <v>500</v>
      </c>
      <c r="B574" s="11"/>
      <c r="C574" s="11" t="s">
        <v>59</v>
      </c>
      <c r="D574" s="11"/>
      <c r="E574" s="29">
        <v>49650</v>
      </c>
      <c r="G574" s="7">
        <f t="shared" si="168"/>
        <v>10262260</v>
      </c>
      <c r="I574" s="7">
        <f>14826883+22523389</f>
        <v>37350272</v>
      </c>
      <c r="K574" s="7">
        <v>47612532</v>
      </c>
      <c r="M574" s="7">
        <f t="shared" si="169"/>
        <v>4392246</v>
      </c>
      <c r="O574" s="7">
        <v>129382</v>
      </c>
      <c r="Q574" s="7">
        <v>1040851</v>
      </c>
      <c r="S574" s="7">
        <v>5562479</v>
      </c>
      <c r="U574" s="7">
        <v>36808925</v>
      </c>
      <c r="W574" s="7">
        <f t="shared" si="170"/>
        <v>4140597</v>
      </c>
      <c r="Y574" s="7">
        <v>1100531</v>
      </c>
      <c r="AA574" s="7">
        <v>42050053</v>
      </c>
      <c r="AB574" s="7">
        <f t="shared" si="171"/>
        <v>0</v>
      </c>
      <c r="AD574" s="32">
        <f t="shared" si="172"/>
        <v>0</v>
      </c>
      <c r="AF574" s="32"/>
      <c r="AH574" s="32" t="str">
        <f>'St of Activites - GA Rev'!A574</f>
        <v>Washington-Nile Local SD</v>
      </c>
      <c r="AI574" s="32" t="str">
        <f t="shared" si="162"/>
        <v>Washington-Nile Local SD</v>
      </c>
      <c r="AJ574" s="32" t="b">
        <f t="shared" si="163"/>
        <v>1</v>
      </c>
      <c r="AL574" s="32" t="str">
        <f>'St of Activities - GA Exp'!A574</f>
        <v>Washington-Nile Local SD</v>
      </c>
      <c r="AN574" s="32" t="b">
        <f t="shared" si="165"/>
        <v>1</v>
      </c>
      <c r="AR574" s="32" t="str">
        <f t="shared" si="166"/>
        <v>Scioto</v>
      </c>
      <c r="AS574" s="32" t="str">
        <f>'St of Activites - GA Rev'!C574</f>
        <v>Scioto</v>
      </c>
      <c r="AT574" s="32" t="b">
        <f t="shared" si="164"/>
        <v>1</v>
      </c>
      <c r="AU574" s="32" t="str">
        <f>'St of Activities - GA Exp'!C574</f>
        <v>Scioto</v>
      </c>
      <c r="AV574" s="56"/>
      <c r="AW574" s="32" t="b">
        <f t="shared" si="167"/>
        <v>1</v>
      </c>
    </row>
    <row r="575" spans="1:49">
      <c r="A575" s="11" t="s">
        <v>480</v>
      </c>
      <c r="B575" s="11"/>
      <c r="C575" s="11" t="s">
        <v>56</v>
      </c>
      <c r="D575" s="11"/>
      <c r="E575" s="29">
        <v>49247</v>
      </c>
      <c r="G575" s="7">
        <f t="shared" si="168"/>
        <v>7517350</v>
      </c>
      <c r="I575" s="7">
        <v>16156395</v>
      </c>
      <c r="K575" s="7">
        <v>23673745</v>
      </c>
      <c r="M575" s="7">
        <f t="shared" si="169"/>
        <v>4714727</v>
      </c>
      <c r="O575" s="7">
        <v>643166</v>
      </c>
      <c r="Q575" s="7">
        <v>9314852</v>
      </c>
      <c r="S575" s="7">
        <v>14672745</v>
      </c>
      <c r="U575" s="7">
        <v>8337363</v>
      </c>
      <c r="W575" s="7">
        <f t="shared" si="170"/>
        <v>1900095</v>
      </c>
      <c r="Y575" s="7">
        <v>-1236458</v>
      </c>
      <c r="AA575" s="7">
        <v>9001000</v>
      </c>
      <c r="AB575" s="7">
        <f t="shared" si="171"/>
        <v>0</v>
      </c>
      <c r="AD575" s="32">
        <f t="shared" si="172"/>
        <v>0</v>
      </c>
      <c r="AF575" s="32"/>
      <c r="AH575" s="32" t="str">
        <f>'St of Activites - GA Rev'!A575</f>
        <v>Waterloo Local SD</v>
      </c>
      <c r="AI575" s="32" t="str">
        <f t="shared" si="162"/>
        <v>Waterloo Local SD</v>
      </c>
      <c r="AJ575" s="32" t="b">
        <f t="shared" si="163"/>
        <v>1</v>
      </c>
      <c r="AL575" s="32" t="str">
        <f>'St of Activities - GA Exp'!A575</f>
        <v>Waterloo Local SD</v>
      </c>
      <c r="AN575" s="32" t="b">
        <f t="shared" si="165"/>
        <v>1</v>
      </c>
      <c r="AR575" s="32" t="str">
        <f t="shared" si="166"/>
        <v>Portage</v>
      </c>
      <c r="AS575" s="32" t="str">
        <f>'St of Activites - GA Rev'!C575</f>
        <v>Portage</v>
      </c>
      <c r="AT575" s="32" t="b">
        <f t="shared" si="164"/>
        <v>1</v>
      </c>
      <c r="AU575" s="32" t="str">
        <f>'St of Activities - GA Exp'!C575</f>
        <v>Portage</v>
      </c>
      <c r="AV575" s="56"/>
      <c r="AW575" s="32" t="b">
        <f t="shared" si="167"/>
        <v>1</v>
      </c>
    </row>
    <row r="576" spans="1:49">
      <c r="A576" s="11" t="s">
        <v>889</v>
      </c>
      <c r="B576" s="11"/>
      <c r="C576" s="11" t="s">
        <v>28</v>
      </c>
      <c r="D576" s="11"/>
      <c r="E576" s="29">
        <v>45641</v>
      </c>
      <c r="G576" s="7">
        <f t="shared" si="168"/>
        <v>20845871</v>
      </c>
      <c r="I576" s="7">
        <v>49941518</v>
      </c>
      <c r="K576" s="7">
        <v>70787389</v>
      </c>
      <c r="M576" s="7">
        <f t="shared" si="169"/>
        <v>8776376</v>
      </c>
      <c r="O576" s="7">
        <v>1235518</v>
      </c>
      <c r="Q576" s="7">
        <v>25708791</v>
      </c>
      <c r="S576" s="7">
        <v>35720685</v>
      </c>
      <c r="U576" s="7">
        <v>26977848</v>
      </c>
      <c r="W576" s="7">
        <f t="shared" si="170"/>
        <v>7065570</v>
      </c>
      <c r="Y576" s="7">
        <v>1023286</v>
      </c>
      <c r="AA576" s="7">
        <v>35066704</v>
      </c>
      <c r="AB576" s="7">
        <f t="shared" si="171"/>
        <v>0</v>
      </c>
      <c r="AD576" s="32">
        <f t="shared" si="172"/>
        <v>0</v>
      </c>
      <c r="AF576" s="32"/>
      <c r="AH576" s="32" t="str">
        <f>'St of Activites - GA Rev'!A576</f>
        <v>Wauseon Exempted Village SD</v>
      </c>
      <c r="AI576" s="32" t="str">
        <f t="shared" si="162"/>
        <v>Wauseon Exempted Village SD</v>
      </c>
      <c r="AJ576" s="32" t="b">
        <f t="shared" si="163"/>
        <v>1</v>
      </c>
      <c r="AL576" s="32" t="str">
        <f>'St of Activities - GA Exp'!A576</f>
        <v>Wauseon Exempted Village SD</v>
      </c>
      <c r="AN576" s="32" t="b">
        <f t="shared" si="165"/>
        <v>1</v>
      </c>
      <c r="AR576" s="32" t="str">
        <f t="shared" si="166"/>
        <v>Fulton</v>
      </c>
      <c r="AS576" s="32" t="str">
        <f>'St of Activites - GA Rev'!C576</f>
        <v>Fulton</v>
      </c>
      <c r="AT576" s="32" t="b">
        <f t="shared" si="164"/>
        <v>1</v>
      </c>
      <c r="AU576" s="32" t="str">
        <f>'St of Activities - GA Exp'!C576</f>
        <v>Fulton</v>
      </c>
      <c r="AV576" s="56"/>
      <c r="AW576" s="32" t="b">
        <f t="shared" si="167"/>
        <v>1</v>
      </c>
    </row>
    <row r="577" spans="1:49">
      <c r="A577" s="11" t="s">
        <v>472</v>
      </c>
      <c r="B577" s="11"/>
      <c r="C577" s="11" t="s">
        <v>55</v>
      </c>
      <c r="D577" s="11"/>
      <c r="E577" s="29">
        <v>49148</v>
      </c>
      <c r="G577" s="7">
        <f t="shared" si="168"/>
        <v>9405557</v>
      </c>
      <c r="I577" s="7">
        <f>763100+38783196</f>
        <v>39546296</v>
      </c>
      <c r="K577" s="7">
        <v>48951853</v>
      </c>
      <c r="M577" s="7">
        <f t="shared" si="169"/>
        <v>5921647</v>
      </c>
      <c r="O577" s="7">
        <v>590911</v>
      </c>
      <c r="Q577" s="7">
        <v>8087569</v>
      </c>
      <c r="S577" s="7">
        <v>14600127</v>
      </c>
      <c r="U577" s="7">
        <v>32293373</v>
      </c>
      <c r="W577" s="7">
        <f t="shared" si="170"/>
        <v>2430046</v>
      </c>
      <c r="Y577" s="7">
        <v>-371693</v>
      </c>
      <c r="AA577" s="7">
        <v>34351726</v>
      </c>
      <c r="AB577" s="7">
        <f t="shared" si="171"/>
        <v>0</v>
      </c>
      <c r="AD577" s="32">
        <f t="shared" si="172"/>
        <v>0</v>
      </c>
      <c r="AF577" s="32"/>
      <c r="AH577" s="32" t="str">
        <f>'St of Activites - GA Rev'!A577</f>
        <v>Waverly City SD</v>
      </c>
      <c r="AI577" s="32" t="str">
        <f t="shared" si="162"/>
        <v>Waverly City SD</v>
      </c>
      <c r="AJ577" s="32" t="b">
        <f t="shared" si="163"/>
        <v>1</v>
      </c>
      <c r="AL577" s="32" t="str">
        <f>'St of Activities - GA Exp'!A577</f>
        <v>Waverly City SD</v>
      </c>
      <c r="AN577" s="32" t="b">
        <f t="shared" si="165"/>
        <v>1</v>
      </c>
      <c r="AR577" s="32" t="str">
        <f t="shared" si="166"/>
        <v>Pike</v>
      </c>
      <c r="AS577" s="32" t="str">
        <f>'St of Activites - GA Rev'!C577</f>
        <v>Pike</v>
      </c>
      <c r="AT577" s="32" t="b">
        <f t="shared" si="164"/>
        <v>1</v>
      </c>
      <c r="AU577" s="32" t="str">
        <f>'St of Activities - GA Exp'!C577</f>
        <v>Pike</v>
      </c>
      <c r="AV577" s="56"/>
      <c r="AW577" s="32" t="b">
        <f t="shared" si="167"/>
        <v>1</v>
      </c>
    </row>
    <row r="578" spans="1:49" s="65" customFormat="1" hidden="1">
      <c r="A578" s="62" t="s">
        <v>747</v>
      </c>
      <c r="B578" s="62"/>
      <c r="C578" s="62" t="s">
        <v>69</v>
      </c>
      <c r="D578" s="62"/>
      <c r="E578" s="64">
        <v>50468</v>
      </c>
      <c r="G578" s="65">
        <f t="shared" si="168"/>
        <v>0</v>
      </c>
      <c r="M578" s="65">
        <f t="shared" si="169"/>
        <v>0</v>
      </c>
      <c r="W578" s="65">
        <f t="shared" si="170"/>
        <v>0</v>
      </c>
      <c r="AB578" s="65">
        <f t="shared" si="171"/>
        <v>0</v>
      </c>
      <c r="AD578" s="66">
        <f t="shared" si="172"/>
        <v>0</v>
      </c>
      <c r="AF578" s="66"/>
      <c r="AH578" s="66" t="str">
        <f>'St of Activites - GA Rev'!A578</f>
        <v>Wayne Local SD (CASH)</v>
      </c>
      <c r="AI578" s="66" t="str">
        <f t="shared" si="162"/>
        <v>Wayne Local SD (CASH)</v>
      </c>
      <c r="AJ578" s="66" t="b">
        <f t="shared" si="163"/>
        <v>1</v>
      </c>
      <c r="AL578" s="66" t="str">
        <f>'St of Activities - GA Exp'!A578</f>
        <v>Wayne Local SD (CASH)</v>
      </c>
      <c r="AN578" s="66" t="b">
        <f t="shared" si="165"/>
        <v>1</v>
      </c>
      <c r="AR578" s="66" t="str">
        <f t="shared" si="166"/>
        <v>Warren</v>
      </c>
      <c r="AS578" s="66" t="str">
        <f>'St of Activites - GA Rev'!C578</f>
        <v>Warren</v>
      </c>
      <c r="AT578" s="66" t="b">
        <f t="shared" si="164"/>
        <v>1</v>
      </c>
      <c r="AU578" s="66" t="str">
        <f>'St of Activities - GA Exp'!C578</f>
        <v>Warren</v>
      </c>
      <c r="AV578" s="86"/>
      <c r="AW578" s="66" t="b">
        <f t="shared" si="167"/>
        <v>1</v>
      </c>
    </row>
    <row r="579" spans="1:49" s="65" customFormat="1" hidden="1">
      <c r="A579" s="62" t="s">
        <v>926</v>
      </c>
      <c r="B579" s="62"/>
      <c r="C579" s="62" t="s">
        <v>465</v>
      </c>
      <c r="D579" s="62"/>
      <c r="E579" s="64">
        <v>49031</v>
      </c>
      <c r="G579" s="65">
        <f t="shared" si="168"/>
        <v>0</v>
      </c>
      <c r="M579" s="65">
        <f t="shared" si="169"/>
        <v>0</v>
      </c>
      <c r="W579" s="65">
        <f t="shared" si="170"/>
        <v>0</v>
      </c>
      <c r="AB579" s="65">
        <f t="shared" si="171"/>
        <v>0</v>
      </c>
      <c r="AD579" s="66">
        <f t="shared" si="172"/>
        <v>0</v>
      </c>
      <c r="AF579" s="66"/>
      <c r="AH579" s="66" t="str">
        <f>'St of Activites - GA Rev'!A579</f>
        <v>Wayne Trace Local SD (CASH)</v>
      </c>
      <c r="AI579" s="66" t="str">
        <f t="shared" si="162"/>
        <v>Wayne Trace Local SD (CASH)</v>
      </c>
      <c r="AJ579" s="66" t="b">
        <f t="shared" si="163"/>
        <v>1</v>
      </c>
      <c r="AL579" s="66" t="str">
        <f>'St of Activities - GA Exp'!A579</f>
        <v>Wayne Trace Local SD (CASH)</v>
      </c>
      <c r="AN579" s="66" t="b">
        <f t="shared" si="165"/>
        <v>1</v>
      </c>
      <c r="AR579" s="66" t="str">
        <f t="shared" si="166"/>
        <v>Paulding</v>
      </c>
      <c r="AS579" s="66" t="str">
        <f>'St of Activites - GA Rev'!C579</f>
        <v>Paulding</v>
      </c>
      <c r="AT579" s="66" t="b">
        <f t="shared" si="164"/>
        <v>1</v>
      </c>
      <c r="AU579" s="66" t="str">
        <f>'St of Activities - GA Exp'!C579</f>
        <v>Paulding</v>
      </c>
      <c r="AV579" s="86"/>
      <c r="AW579" s="66" t="b">
        <f t="shared" si="167"/>
        <v>1</v>
      </c>
    </row>
    <row r="580" spans="1:49" s="65" customFormat="1" hidden="1">
      <c r="A580" s="62" t="s">
        <v>675</v>
      </c>
      <c r="B580" s="62"/>
      <c r="C580" s="62" t="s">
        <v>14</v>
      </c>
      <c r="D580" s="62"/>
      <c r="E580" s="64">
        <v>45971</v>
      </c>
      <c r="G580" s="65">
        <f t="shared" si="168"/>
        <v>0</v>
      </c>
      <c r="M580" s="65">
        <f t="shared" si="169"/>
        <v>0</v>
      </c>
      <c r="W580" s="65">
        <f t="shared" si="170"/>
        <v>0</v>
      </c>
      <c r="AB580" s="65">
        <f t="shared" si="171"/>
        <v>0</v>
      </c>
      <c r="AD580" s="66">
        <f t="shared" si="172"/>
        <v>0</v>
      </c>
      <c r="AF580" s="66"/>
      <c r="AH580" s="66" t="str">
        <f>'St of Activites - GA Rev'!A580</f>
        <v>Waynesfield-Goshen Local SD  (CASH)</v>
      </c>
      <c r="AI580" s="66" t="str">
        <f t="shared" si="162"/>
        <v>Waynesfield-Goshen Local SD  (CASH)</v>
      </c>
      <c r="AJ580" s="66" t="b">
        <f t="shared" si="163"/>
        <v>1</v>
      </c>
      <c r="AL580" s="66" t="str">
        <f>'St of Activities - GA Exp'!A580</f>
        <v>Waynesfield-Goshen Local SD  (CASH)</v>
      </c>
      <c r="AN580" s="66" t="b">
        <f t="shared" si="165"/>
        <v>1</v>
      </c>
      <c r="AR580" s="66" t="str">
        <f t="shared" si="166"/>
        <v>Auglaize</v>
      </c>
      <c r="AS580" s="66" t="str">
        <f>'St of Activites - GA Rev'!C580</f>
        <v>Auglaize</v>
      </c>
      <c r="AT580" s="66" t="b">
        <f t="shared" si="164"/>
        <v>1</v>
      </c>
      <c r="AU580" s="66" t="str">
        <f>'St of Activities - GA Exp'!C580</f>
        <v>Auglaize</v>
      </c>
      <c r="AV580" s="86"/>
      <c r="AW580" s="66" t="b">
        <f t="shared" si="167"/>
        <v>1</v>
      </c>
    </row>
    <row r="581" spans="1:49">
      <c r="A581" s="11" t="s">
        <v>548</v>
      </c>
      <c r="B581" s="11"/>
      <c r="C581" s="11" t="s">
        <v>64</v>
      </c>
      <c r="D581" s="11"/>
      <c r="E581" s="29">
        <v>50252</v>
      </c>
      <c r="G581" s="7">
        <f t="shared" si="168"/>
        <v>5831911</v>
      </c>
      <c r="I581" s="7">
        <v>3922705</v>
      </c>
      <c r="K581" s="7">
        <v>9754616</v>
      </c>
      <c r="M581" s="7">
        <f t="shared" si="169"/>
        <v>3597728</v>
      </c>
      <c r="O581" s="7">
        <v>359986</v>
      </c>
      <c r="Q581" s="7">
        <v>2222929</v>
      </c>
      <c r="S581" s="7">
        <v>6180643</v>
      </c>
      <c r="U581" s="7">
        <v>1900230</v>
      </c>
      <c r="W581" s="7">
        <f t="shared" si="170"/>
        <v>752146</v>
      </c>
      <c r="Y581" s="7">
        <v>921597</v>
      </c>
      <c r="AA581" s="7">
        <v>3573973</v>
      </c>
      <c r="AB581" s="7">
        <f t="shared" si="171"/>
        <v>0</v>
      </c>
      <c r="AD581" s="32">
        <f t="shared" si="172"/>
        <v>0</v>
      </c>
      <c r="AF581" s="32"/>
      <c r="AH581" s="32" t="str">
        <f>'St of Activites - GA Rev'!A581</f>
        <v>Weathersfield Local SD</v>
      </c>
      <c r="AI581" s="32" t="str">
        <f t="shared" si="162"/>
        <v>Weathersfield Local SD</v>
      </c>
      <c r="AJ581" s="32" t="b">
        <f t="shared" si="163"/>
        <v>1</v>
      </c>
      <c r="AL581" s="32" t="str">
        <f>'St of Activities - GA Exp'!A581</f>
        <v>Weathersfield Local SD</v>
      </c>
      <c r="AN581" s="32" t="b">
        <f t="shared" si="165"/>
        <v>1</v>
      </c>
      <c r="AR581" s="32" t="str">
        <f t="shared" si="166"/>
        <v>Trumbull</v>
      </c>
      <c r="AS581" s="32" t="str">
        <f>'St of Activites - GA Rev'!C581</f>
        <v>Trumbull</v>
      </c>
      <c r="AT581" s="32" t="b">
        <f t="shared" si="164"/>
        <v>1</v>
      </c>
      <c r="AU581" s="32" t="str">
        <f>'St of Activities - GA Exp'!C581</f>
        <v>Trumbull</v>
      </c>
      <c r="AV581" s="56"/>
      <c r="AW581" s="32" t="b">
        <f t="shared" si="167"/>
        <v>1</v>
      </c>
    </row>
    <row r="582" spans="1:49">
      <c r="A582" s="11" t="s">
        <v>890</v>
      </c>
      <c r="B582" s="11"/>
      <c r="C582" s="11" t="s">
        <v>44</v>
      </c>
      <c r="D582" s="11"/>
      <c r="E582" s="29">
        <v>45658</v>
      </c>
      <c r="G582" s="7">
        <f t="shared" si="168"/>
        <v>10311607</v>
      </c>
      <c r="I582" s="7">
        <v>4249673</v>
      </c>
      <c r="K582" s="7">
        <v>14561280</v>
      </c>
      <c r="M582" s="7">
        <f t="shared" si="169"/>
        <v>4972774</v>
      </c>
      <c r="O582" s="7">
        <v>300333</v>
      </c>
      <c r="Q582" s="7">
        <v>726371</v>
      </c>
      <c r="S582" s="7">
        <v>5999478</v>
      </c>
      <c r="U582" s="7">
        <v>4249673</v>
      </c>
      <c r="W582" s="7">
        <f t="shared" si="170"/>
        <v>1396952</v>
      </c>
      <c r="Y582" s="7">
        <v>2915177</v>
      </c>
      <c r="AA582" s="7">
        <v>8561802</v>
      </c>
      <c r="AB582" s="7">
        <f t="shared" si="171"/>
        <v>0</v>
      </c>
      <c r="AD582" s="32">
        <f t="shared" si="172"/>
        <v>0</v>
      </c>
      <c r="AF582" s="32"/>
      <c r="AH582" s="32" t="str">
        <f>'St of Activites - GA Rev'!A582</f>
        <v>Wellington Exempted Village SD</v>
      </c>
      <c r="AI582" s="32" t="str">
        <f t="shared" si="162"/>
        <v>Wellington Exempted Village SD</v>
      </c>
      <c r="AJ582" s="32" t="b">
        <f t="shared" si="163"/>
        <v>1</v>
      </c>
      <c r="AL582" s="32" t="str">
        <f>'St of Activities - GA Exp'!A582</f>
        <v>Wellington Exempted Village SD</v>
      </c>
      <c r="AN582" s="32" t="b">
        <f t="shared" si="165"/>
        <v>1</v>
      </c>
      <c r="AR582" s="32" t="str">
        <f t="shared" si="166"/>
        <v>Lorain</v>
      </c>
      <c r="AS582" s="32" t="str">
        <f>'St of Activites - GA Rev'!C582</f>
        <v>Lorain</v>
      </c>
      <c r="AT582" s="32" t="b">
        <f t="shared" si="164"/>
        <v>1</v>
      </c>
      <c r="AU582" s="32" t="str">
        <f>'St of Activities - GA Exp'!C582</f>
        <v>Lorain</v>
      </c>
      <c r="AV582" s="56"/>
      <c r="AW582" s="32" t="b">
        <f t="shared" si="167"/>
        <v>1</v>
      </c>
    </row>
    <row r="583" spans="1:49">
      <c r="A583" s="11" t="s">
        <v>371</v>
      </c>
      <c r="B583" s="11"/>
      <c r="C583" s="11" t="s">
        <v>38</v>
      </c>
      <c r="D583" s="11"/>
      <c r="E583" s="29">
        <v>45021</v>
      </c>
      <c r="G583" s="7">
        <f t="shared" si="168"/>
        <v>17609789</v>
      </c>
      <c r="I583" s="7">
        <f>2059712+35661918</f>
        <v>37721630</v>
      </c>
      <c r="K583" s="7">
        <v>55331419</v>
      </c>
      <c r="M583" s="7">
        <f t="shared" si="169"/>
        <v>4785506</v>
      </c>
      <c r="O583" s="7">
        <v>325613</v>
      </c>
      <c r="Q583" s="7">
        <v>4457424</v>
      </c>
      <c r="S583" s="7">
        <v>9568543</v>
      </c>
      <c r="U583" s="7">
        <v>34423938</v>
      </c>
      <c r="W583" s="7">
        <f t="shared" si="170"/>
        <v>5502402</v>
      </c>
      <c r="Y583" s="7">
        <v>5836536</v>
      </c>
      <c r="AA583" s="7">
        <v>45762876</v>
      </c>
      <c r="AB583" s="7">
        <f t="shared" si="171"/>
        <v>0</v>
      </c>
      <c r="AD583" s="32">
        <f t="shared" si="172"/>
        <v>0</v>
      </c>
      <c r="AF583" s="32"/>
      <c r="AH583" s="32" t="str">
        <f>'St of Activites - GA Rev'!A583</f>
        <v>Wellston City SD</v>
      </c>
      <c r="AI583" s="32" t="str">
        <f t="shared" si="162"/>
        <v>Wellston City SD</v>
      </c>
      <c r="AJ583" s="32" t="b">
        <f t="shared" si="163"/>
        <v>1</v>
      </c>
      <c r="AL583" s="32" t="str">
        <f>'St of Activities - GA Exp'!A583</f>
        <v>Wellston City SD</v>
      </c>
      <c r="AN583" s="32" t="b">
        <f t="shared" si="165"/>
        <v>1</v>
      </c>
      <c r="AR583" s="32" t="str">
        <f t="shared" si="166"/>
        <v>Jackson</v>
      </c>
      <c r="AS583" s="32" t="str">
        <f>'St of Activites - GA Rev'!C583</f>
        <v>Jackson</v>
      </c>
      <c r="AT583" s="32" t="b">
        <f t="shared" si="164"/>
        <v>1</v>
      </c>
      <c r="AU583" s="32" t="str">
        <f>'St of Activities - GA Exp'!C583</f>
        <v>Jackson</v>
      </c>
      <c r="AV583" s="56"/>
      <c r="AW583" s="32" t="b">
        <f t="shared" si="167"/>
        <v>1</v>
      </c>
    </row>
    <row r="584" spans="1:49">
      <c r="A584" s="11" t="s">
        <v>258</v>
      </c>
      <c r="B584" s="11"/>
      <c r="C584" s="11" t="s">
        <v>112</v>
      </c>
      <c r="D584" s="11"/>
      <c r="E584" s="29">
        <v>45039</v>
      </c>
      <c r="G584" s="7">
        <f t="shared" si="168"/>
        <v>5727929</v>
      </c>
      <c r="I584" s="7">
        <v>6526700</v>
      </c>
      <c r="J584" s="7" t="s">
        <v>980</v>
      </c>
      <c r="K584" s="7">
        <v>12254629</v>
      </c>
      <c r="M584" s="7">
        <f t="shared" si="169"/>
        <v>2221406</v>
      </c>
      <c r="O584" s="7">
        <v>211839</v>
      </c>
      <c r="Q584" s="7">
        <v>1522809</v>
      </c>
      <c r="S584" s="7">
        <v>3956054</v>
      </c>
      <c r="U584" s="7">
        <v>5344167</v>
      </c>
      <c r="W584" s="7">
        <f t="shared" si="170"/>
        <v>2154584</v>
      </c>
      <c r="Y584" s="7">
        <v>799824</v>
      </c>
      <c r="AA584" s="7">
        <v>8298575</v>
      </c>
      <c r="AB584" s="7">
        <f t="shared" si="171"/>
        <v>0</v>
      </c>
      <c r="AD584" s="32">
        <f t="shared" si="172"/>
        <v>0</v>
      </c>
      <c r="AF584" s="32"/>
      <c r="AH584" s="32" t="str">
        <f>'St of Activites - GA Rev'!A584</f>
        <v>Wellsville Local SD</v>
      </c>
      <c r="AI584" s="32" t="str">
        <f t="shared" si="162"/>
        <v>Wellsville Local SD</v>
      </c>
      <c r="AJ584" s="32" t="b">
        <f t="shared" si="163"/>
        <v>1</v>
      </c>
      <c r="AL584" s="32" t="str">
        <f>'St of Activities - GA Exp'!A584</f>
        <v>Wellsville Local SD</v>
      </c>
      <c r="AN584" s="32" t="b">
        <f t="shared" si="165"/>
        <v>1</v>
      </c>
      <c r="AR584" s="32" t="str">
        <f t="shared" si="166"/>
        <v>Columbiana</v>
      </c>
      <c r="AS584" s="32" t="str">
        <f>'St of Activites - GA Rev'!C584</f>
        <v>Columbiana</v>
      </c>
      <c r="AT584" s="32" t="b">
        <f t="shared" si="164"/>
        <v>1</v>
      </c>
      <c r="AU584" s="32" t="str">
        <f>'St of Activities - GA Exp'!C584</f>
        <v>Columbiana</v>
      </c>
      <c r="AV584" s="56"/>
      <c r="AW584" s="32" t="b">
        <f t="shared" si="167"/>
        <v>1</v>
      </c>
    </row>
    <row r="585" spans="1:49">
      <c r="A585" s="11" t="s">
        <v>421</v>
      </c>
      <c r="B585" s="11"/>
      <c r="C585" s="11" t="s">
        <v>45</v>
      </c>
      <c r="D585" s="11"/>
      <c r="E585" s="29">
        <v>48389</v>
      </c>
      <c r="G585" s="7">
        <f t="shared" si="168"/>
        <v>13262779</v>
      </c>
      <c r="I585" s="7">
        <v>41853000</v>
      </c>
      <c r="K585" s="7">
        <v>55115779</v>
      </c>
      <c r="M585" s="7">
        <f t="shared" si="169"/>
        <v>7938661</v>
      </c>
      <c r="O585" s="7">
        <v>616422</v>
      </c>
      <c r="Q585" s="7">
        <v>8345506</v>
      </c>
      <c r="S585" s="7">
        <v>16900589</v>
      </c>
      <c r="U585" s="7">
        <v>34179342</v>
      </c>
      <c r="W585" s="7">
        <f t="shared" si="170"/>
        <v>2777724</v>
      </c>
      <c r="Y585" s="7">
        <v>1258124</v>
      </c>
      <c r="AA585" s="7">
        <v>38215190</v>
      </c>
      <c r="AB585" s="7">
        <f t="shared" si="171"/>
        <v>0</v>
      </c>
      <c r="AD585" s="32">
        <f t="shared" si="172"/>
        <v>0</v>
      </c>
      <c r="AF585" s="32"/>
      <c r="AH585" s="32" t="str">
        <f>'St of Activites - GA Rev'!A585</f>
        <v>West Branch Local SD</v>
      </c>
      <c r="AI585" s="32" t="str">
        <f t="shared" si="162"/>
        <v>West Branch Local SD</v>
      </c>
      <c r="AJ585" s="32" t="b">
        <f t="shared" si="163"/>
        <v>1</v>
      </c>
      <c r="AL585" s="32" t="str">
        <f>'St of Activities - GA Exp'!A585</f>
        <v>West Branch Local SD</v>
      </c>
      <c r="AN585" s="32" t="b">
        <f t="shared" si="165"/>
        <v>1</v>
      </c>
      <c r="AR585" s="32" t="str">
        <f t="shared" si="166"/>
        <v>Mahoning</v>
      </c>
      <c r="AS585" s="32" t="str">
        <f>'St of Activites - GA Rev'!C585</f>
        <v>Mahoning</v>
      </c>
      <c r="AT585" s="32" t="b">
        <f t="shared" si="164"/>
        <v>1</v>
      </c>
      <c r="AU585" s="32" t="str">
        <f>'St of Activities - GA Exp'!C585</f>
        <v>Mahoning</v>
      </c>
      <c r="AV585" s="56"/>
      <c r="AW585" s="32" t="b">
        <f t="shared" si="167"/>
        <v>1</v>
      </c>
    </row>
    <row r="586" spans="1:49">
      <c r="A586" s="11" t="s">
        <v>746</v>
      </c>
      <c r="B586" s="11"/>
      <c r="C586" s="11" t="s">
        <v>50</v>
      </c>
      <c r="D586" s="11"/>
      <c r="E586" s="29"/>
      <c r="G586" s="7">
        <f t="shared" si="168"/>
        <v>36931712</v>
      </c>
      <c r="I586" s="7">
        <v>16112128</v>
      </c>
      <c r="K586" s="7">
        <v>53043840</v>
      </c>
      <c r="M586" s="7">
        <f t="shared" si="169"/>
        <v>20106126</v>
      </c>
      <c r="O586" s="7">
        <v>797997</v>
      </c>
      <c r="Q586" s="7">
        <v>4640535</v>
      </c>
      <c r="S586" s="7">
        <v>25544658</v>
      </c>
      <c r="U586" s="7">
        <v>12381198</v>
      </c>
      <c r="W586" s="7">
        <f t="shared" si="170"/>
        <v>1879690</v>
      </c>
      <c r="Y586" s="7">
        <v>13238294</v>
      </c>
      <c r="AA586" s="7">
        <v>27499182</v>
      </c>
      <c r="AB586" s="7">
        <f t="shared" si="171"/>
        <v>0</v>
      </c>
      <c r="AD586" s="32">
        <f t="shared" si="172"/>
        <v>0</v>
      </c>
      <c r="AF586" s="32"/>
      <c r="AH586" s="32" t="str">
        <f>'St of Activites - GA Rev'!A586</f>
        <v>West Carrollton City SD</v>
      </c>
      <c r="AI586" s="32" t="str">
        <f t="shared" si="162"/>
        <v>West Carrollton City SD</v>
      </c>
      <c r="AJ586" s="32" t="b">
        <f t="shared" si="163"/>
        <v>1</v>
      </c>
      <c r="AL586" s="32" t="str">
        <f>'St of Activities - GA Exp'!A586</f>
        <v>West Carrollton City SD</v>
      </c>
      <c r="AN586" s="32" t="b">
        <f t="shared" si="165"/>
        <v>1</v>
      </c>
      <c r="AR586" s="32" t="str">
        <f t="shared" si="166"/>
        <v>Montgomery</v>
      </c>
      <c r="AS586" s="32" t="str">
        <f>'St of Activites - GA Rev'!C586</f>
        <v>Montgomery</v>
      </c>
      <c r="AT586" s="32" t="b">
        <f t="shared" si="164"/>
        <v>1</v>
      </c>
      <c r="AU586" s="32" t="str">
        <f>'St of Activities - GA Exp'!C586</f>
        <v>Montgomery</v>
      </c>
      <c r="AV586" s="56"/>
      <c r="AW586" s="32" t="b">
        <f t="shared" si="167"/>
        <v>1</v>
      </c>
    </row>
    <row r="587" spans="1:49">
      <c r="A587" s="11" t="s">
        <v>246</v>
      </c>
      <c r="B587" s="11"/>
      <c r="C587" s="11" t="s">
        <v>113</v>
      </c>
      <c r="D587" s="11"/>
      <c r="E587" s="29">
        <v>46359</v>
      </c>
      <c r="G587" s="7">
        <f>+K587-I587</f>
        <v>58460579</v>
      </c>
      <c r="I587" s="7">
        <f>45663004+5328656</f>
        <v>50991660</v>
      </c>
      <c r="K587" s="7">
        <v>109452239</v>
      </c>
      <c r="M587" s="7">
        <f t="shared" si="169"/>
        <v>40955629</v>
      </c>
      <c r="O587" s="7">
        <v>3960160</v>
      </c>
      <c r="Q587" s="7">
        <v>39030068</v>
      </c>
      <c r="S587" s="7">
        <v>83945857</v>
      </c>
      <c r="U587" s="7">
        <v>12537235</v>
      </c>
      <c r="W587" s="7">
        <f t="shared" si="170"/>
        <v>11535197</v>
      </c>
      <c r="Y587" s="7">
        <v>1433950</v>
      </c>
      <c r="AA587" s="7">
        <v>25506382</v>
      </c>
      <c r="AB587" s="7">
        <f t="shared" si="171"/>
        <v>0</v>
      </c>
      <c r="AD587" s="32">
        <f t="shared" si="172"/>
        <v>0</v>
      </c>
      <c r="AF587" s="32"/>
      <c r="AH587" s="32" t="str">
        <f>'St of Activites - GA Rev'!A587</f>
        <v>West Clermont Local SD</v>
      </c>
      <c r="AI587" s="32" t="str">
        <f t="shared" ref="AI587:AI618" si="173">A587</f>
        <v>West Clermont Local SD</v>
      </c>
      <c r="AJ587" s="32" t="b">
        <f t="shared" si="163"/>
        <v>1</v>
      </c>
      <c r="AL587" s="32" t="str">
        <f>'St of Activities - GA Exp'!A587</f>
        <v>West Clermont Local SD</v>
      </c>
      <c r="AN587" s="32" t="b">
        <f t="shared" si="165"/>
        <v>1</v>
      </c>
      <c r="AR587" s="32" t="str">
        <f t="shared" si="166"/>
        <v>Clermont</v>
      </c>
      <c r="AS587" s="32" t="str">
        <f>'St of Activites - GA Rev'!C587</f>
        <v>Clermont</v>
      </c>
      <c r="AT587" s="32" t="b">
        <f t="shared" si="164"/>
        <v>1</v>
      </c>
      <c r="AU587" s="32" t="str">
        <f>'St of Activities - GA Exp'!C587</f>
        <v>Clermont</v>
      </c>
      <c r="AV587" s="56"/>
      <c r="AW587" s="32" t="b">
        <f t="shared" si="167"/>
        <v>1</v>
      </c>
    </row>
    <row r="588" spans="1:49">
      <c r="A588" s="11" t="s">
        <v>324</v>
      </c>
      <c r="B588" s="11"/>
      <c r="C588" s="11" t="s">
        <v>30</v>
      </c>
      <c r="D588" s="11"/>
      <c r="E588" s="29">
        <v>47225</v>
      </c>
      <c r="G588" s="7">
        <f>+K588-I588</f>
        <v>28027311</v>
      </c>
      <c r="I588" s="7">
        <v>16740120</v>
      </c>
      <c r="K588" s="7">
        <v>44767431</v>
      </c>
      <c r="M588" s="7">
        <f t="shared" si="169"/>
        <v>20134111</v>
      </c>
      <c r="O588" s="7">
        <v>2368695</v>
      </c>
      <c r="Q588" s="7">
        <v>4625881</v>
      </c>
      <c r="S588" s="7">
        <v>27128687</v>
      </c>
      <c r="U588" s="7">
        <v>11425267</v>
      </c>
      <c r="W588" s="7">
        <f t="shared" si="170"/>
        <v>2209131</v>
      </c>
      <c r="Y588" s="7">
        <v>4004346</v>
      </c>
      <c r="AA588" s="7">
        <v>17638744</v>
      </c>
      <c r="AB588" s="7">
        <f t="shared" si="171"/>
        <v>0</v>
      </c>
      <c r="AD588" s="32">
        <f t="shared" si="172"/>
        <v>0</v>
      </c>
      <c r="AF588" s="32"/>
      <c r="AH588" s="32" t="str">
        <f>'St of Activites - GA Rev'!A588</f>
        <v>West Geauga Local SD</v>
      </c>
      <c r="AI588" s="32" t="str">
        <f t="shared" si="173"/>
        <v>West Geauga Local SD</v>
      </c>
      <c r="AJ588" s="32" t="b">
        <f t="shared" si="163"/>
        <v>1</v>
      </c>
      <c r="AL588" s="32" t="str">
        <f>'St of Activities - GA Exp'!A588</f>
        <v>West Geauga Local SD</v>
      </c>
      <c r="AN588" s="32" t="b">
        <f t="shared" si="165"/>
        <v>1</v>
      </c>
      <c r="AR588" s="32" t="str">
        <f t="shared" si="166"/>
        <v>Geauga</v>
      </c>
      <c r="AS588" s="32" t="str">
        <f>'St of Activites - GA Rev'!C588</f>
        <v>Geauga</v>
      </c>
      <c r="AT588" s="32" t="b">
        <f t="shared" si="164"/>
        <v>1</v>
      </c>
      <c r="AU588" s="32" t="str">
        <f>'St of Activities - GA Exp'!C588</f>
        <v>Geauga</v>
      </c>
      <c r="AV588" s="56"/>
      <c r="AW588" s="32" t="b">
        <f t="shared" si="167"/>
        <v>1</v>
      </c>
    </row>
    <row r="589" spans="1:49">
      <c r="A589" s="11" t="s">
        <v>364</v>
      </c>
      <c r="B589" s="11"/>
      <c r="C589" s="11" t="s">
        <v>36</v>
      </c>
      <c r="D589" s="11"/>
      <c r="E589" s="29">
        <v>47696</v>
      </c>
      <c r="G589" s="7">
        <f>+K589-I589</f>
        <v>26154141</v>
      </c>
      <c r="I589" s="7">
        <f>643088+21625890</f>
        <v>22268978</v>
      </c>
      <c r="K589" s="7">
        <v>48423119</v>
      </c>
      <c r="M589" s="7">
        <f t="shared" si="169"/>
        <v>12599333</v>
      </c>
      <c r="O589" s="7">
        <v>732195</v>
      </c>
      <c r="Q589" s="7">
        <v>12724561</v>
      </c>
      <c r="S589" s="7">
        <v>26056089</v>
      </c>
      <c r="U589" s="7">
        <v>10983968</v>
      </c>
      <c r="W589" s="7">
        <f t="shared" si="170"/>
        <v>2682796</v>
      </c>
      <c r="Y589" s="7">
        <v>8700266</v>
      </c>
      <c r="AA589" s="7">
        <v>22367030</v>
      </c>
      <c r="AB589" s="7">
        <f t="shared" si="171"/>
        <v>0</v>
      </c>
      <c r="AD589" s="32">
        <f t="shared" si="172"/>
        <v>0</v>
      </c>
      <c r="AF589" s="32"/>
      <c r="AH589" s="32" t="str">
        <f>'St of Activites - GA Rev'!A589</f>
        <v>West Holmes Local SD</v>
      </c>
      <c r="AI589" s="32" t="str">
        <f t="shared" si="173"/>
        <v>West Holmes Local SD</v>
      </c>
      <c r="AJ589" s="32" t="b">
        <f t="shared" si="163"/>
        <v>1</v>
      </c>
      <c r="AL589" s="32" t="str">
        <f>'St of Activities - GA Exp'!A589</f>
        <v>West Holmes Local SD</v>
      </c>
      <c r="AN589" s="32" t="b">
        <f t="shared" si="165"/>
        <v>1</v>
      </c>
      <c r="AR589" s="32" t="str">
        <f t="shared" si="166"/>
        <v>Holmes</v>
      </c>
      <c r="AS589" s="32" t="str">
        <f>'St of Activites - GA Rev'!C589</f>
        <v>Holmes</v>
      </c>
      <c r="AT589" s="32" t="b">
        <f t="shared" si="164"/>
        <v>1</v>
      </c>
      <c r="AU589" s="32" t="str">
        <f>'St of Activities - GA Exp'!C589</f>
        <v>Holmes</v>
      </c>
      <c r="AV589" s="56"/>
      <c r="AW589" s="32" t="b">
        <f t="shared" si="167"/>
        <v>1</v>
      </c>
    </row>
    <row r="590" spans="1:49">
      <c r="A590" s="11" t="s">
        <v>235</v>
      </c>
      <c r="B590" s="11"/>
      <c r="C590" s="11" t="s">
        <v>232</v>
      </c>
      <c r="D590" s="11"/>
      <c r="E590" s="29">
        <v>46219</v>
      </c>
      <c r="G590" s="7">
        <f>+K590-I590</f>
        <v>5627191</v>
      </c>
      <c r="I590" s="7">
        <v>4103982</v>
      </c>
      <c r="K590" s="7">
        <v>9731173</v>
      </c>
      <c r="M590" s="7">
        <f t="shared" si="169"/>
        <v>3181736</v>
      </c>
      <c r="O590" s="7">
        <v>213110</v>
      </c>
      <c r="Q590" s="7">
        <v>567758</v>
      </c>
      <c r="S590" s="7">
        <v>3962604</v>
      </c>
      <c r="U590" s="7">
        <v>4072169</v>
      </c>
      <c r="W590" s="7">
        <f t="shared" si="170"/>
        <v>650611</v>
      </c>
      <c r="Y590" s="7">
        <v>1045789</v>
      </c>
      <c r="AA590" s="7">
        <v>5768569</v>
      </c>
      <c r="AB590" s="7">
        <f t="shared" si="171"/>
        <v>0</v>
      </c>
      <c r="AD590" s="32">
        <f t="shared" si="172"/>
        <v>0</v>
      </c>
      <c r="AF590" s="32"/>
      <c r="AH590" s="32" t="str">
        <f>'St of Activites - GA Rev'!A590</f>
        <v>West Liberty-Salem Local SD</v>
      </c>
      <c r="AI590" s="32" t="str">
        <f t="shared" si="173"/>
        <v>West Liberty-Salem Local SD</v>
      </c>
      <c r="AJ590" s="32" t="b">
        <f t="shared" si="163"/>
        <v>1</v>
      </c>
      <c r="AL590" s="32" t="str">
        <f>'St of Activities - GA Exp'!A590</f>
        <v>West Liberty-Salem Local SD</v>
      </c>
      <c r="AN590" s="32" t="b">
        <f t="shared" si="165"/>
        <v>1</v>
      </c>
      <c r="AR590" s="32" t="str">
        <f t="shared" si="166"/>
        <v>Champaign</v>
      </c>
      <c r="AS590" s="32" t="str">
        <f>'St of Activites - GA Rev'!C590</f>
        <v>Champaign</v>
      </c>
      <c r="AT590" s="32" t="b">
        <f t="shared" si="164"/>
        <v>1</v>
      </c>
      <c r="AU590" s="32" t="str">
        <f>'St of Activities - GA Exp'!C590</f>
        <v>Champaign</v>
      </c>
      <c r="AV590" s="56"/>
      <c r="AW590" s="32" t="b">
        <f t="shared" si="167"/>
        <v>1</v>
      </c>
    </row>
    <row r="591" spans="1:49">
      <c r="A591" s="11" t="s">
        <v>460</v>
      </c>
      <c r="B591" s="11"/>
      <c r="C591" s="11" t="s">
        <v>51</v>
      </c>
      <c r="D591" s="11"/>
      <c r="E591" s="29">
        <v>48884</v>
      </c>
      <c r="G591" s="7">
        <f>+K591-I591</f>
        <v>15595851</v>
      </c>
      <c r="I591" s="7">
        <f>669117+21921601</f>
        <v>22590718</v>
      </c>
      <c r="K591" s="7">
        <v>38186569</v>
      </c>
      <c r="M591" s="7">
        <f t="shared" si="169"/>
        <v>8836883</v>
      </c>
      <c r="O591" s="7">
        <v>549214</v>
      </c>
      <c r="Q591" s="7">
        <v>22516895</v>
      </c>
      <c r="S591" s="7">
        <v>31902992</v>
      </c>
      <c r="U591" s="7">
        <v>783857</v>
      </c>
      <c r="W591" s="7">
        <f t="shared" si="170"/>
        <v>4738703</v>
      </c>
      <c r="Y591" s="7">
        <v>761017</v>
      </c>
      <c r="AA591" s="7">
        <v>6283577</v>
      </c>
      <c r="AB591" s="7">
        <f t="shared" si="171"/>
        <v>0</v>
      </c>
      <c r="AD591" s="32">
        <f t="shared" si="172"/>
        <v>0</v>
      </c>
      <c r="AF591" s="32"/>
      <c r="AH591" s="32" t="str">
        <f>'St of Activites - GA Rev'!A591</f>
        <v>West Muskingum Local SD</v>
      </c>
      <c r="AI591" s="32" t="str">
        <f t="shared" si="173"/>
        <v>West Muskingum Local SD</v>
      </c>
      <c r="AJ591" s="32" t="b">
        <f t="shared" ref="AJ591:AJ618" si="174">AH591=AI591</f>
        <v>1</v>
      </c>
      <c r="AL591" s="32" t="str">
        <f>'St of Activities - GA Exp'!A591</f>
        <v>West Muskingum Local SD</v>
      </c>
      <c r="AN591" s="32" t="b">
        <f t="shared" si="165"/>
        <v>1</v>
      </c>
      <c r="AR591" s="32" t="str">
        <f t="shared" si="166"/>
        <v>Muskingum</v>
      </c>
      <c r="AS591" s="32" t="str">
        <f>'St of Activites - GA Rev'!C591</f>
        <v>Muskingum</v>
      </c>
      <c r="AT591" s="32" t="b">
        <f t="shared" ref="AT591:AT618" si="175">AR591=AS591</f>
        <v>1</v>
      </c>
      <c r="AU591" s="32" t="str">
        <f>'St of Activities - GA Exp'!C591</f>
        <v>Muskingum</v>
      </c>
      <c r="AV591" s="56"/>
      <c r="AW591" s="32" t="b">
        <f t="shared" si="167"/>
        <v>1</v>
      </c>
    </row>
    <row r="592" spans="1:49">
      <c r="A592" s="12" t="s">
        <v>222</v>
      </c>
      <c r="B592" s="12"/>
      <c r="C592" s="12" t="s">
        <v>77</v>
      </c>
      <c r="D592" s="12"/>
      <c r="E592" s="29">
        <v>46060</v>
      </c>
      <c r="G592" s="7">
        <f t="shared" ref="G592:G618" si="176">+K592-I592</f>
        <v>11728360</v>
      </c>
      <c r="I592" s="7">
        <f>2524314+13000+44537082</f>
        <v>47074396</v>
      </c>
      <c r="K592" s="7">
        <v>58802756</v>
      </c>
      <c r="M592" s="7">
        <f t="shared" si="169"/>
        <v>6887496</v>
      </c>
      <c r="O592" s="7">
        <v>713981</v>
      </c>
      <c r="Q592" s="7">
        <v>6275465</v>
      </c>
      <c r="S592" s="7">
        <v>13876942</v>
      </c>
      <c r="U592" s="7">
        <v>41732010</v>
      </c>
      <c r="W592" s="7">
        <f t="shared" si="170"/>
        <v>5156782</v>
      </c>
      <c r="Y592" s="7">
        <v>-1962978</v>
      </c>
      <c r="AA592" s="7">
        <v>44925814</v>
      </c>
      <c r="AB592" s="7">
        <f t="shared" ref="AB592:AB618" si="177">+K592-S592-AA592</f>
        <v>0</v>
      </c>
      <c r="AD592" s="7">
        <f t="shared" ref="AD592:AD615" si="178">+G592+I592+-M592-O592-U592-W592-Y592-Q592</f>
        <v>0</v>
      </c>
      <c r="AH592" s="32" t="str">
        <f>'St of Activites - GA Rev'!A592</f>
        <v>Western Brown Local SD</v>
      </c>
      <c r="AI592" s="32" t="str">
        <f t="shared" si="173"/>
        <v>Western Brown Local SD</v>
      </c>
      <c r="AJ592" s="32" t="b">
        <f t="shared" si="174"/>
        <v>1</v>
      </c>
      <c r="AL592" s="32" t="str">
        <f>'St of Activities - GA Exp'!A592</f>
        <v>Western Brown Local SD</v>
      </c>
      <c r="AN592" s="32" t="b">
        <f t="shared" ref="AN592:AN618" si="179">AH592=AL592</f>
        <v>1</v>
      </c>
      <c r="AR592" s="32" t="str">
        <f t="shared" ref="AR592:AR618" si="180">C592</f>
        <v>Brown</v>
      </c>
      <c r="AS592" s="32" t="str">
        <f>'St of Activites - GA Rev'!C592</f>
        <v>Brown</v>
      </c>
      <c r="AT592" s="32" t="b">
        <f t="shared" si="175"/>
        <v>1</v>
      </c>
      <c r="AU592" s="32" t="str">
        <f>'St of Activities - GA Exp'!C592</f>
        <v>Brown</v>
      </c>
      <c r="AV592" s="56"/>
      <c r="AW592" s="32" t="b">
        <f t="shared" ref="AW592:AW618" si="181">AU592=AS592</f>
        <v>1</v>
      </c>
    </row>
    <row r="593" spans="1:49">
      <c r="A593" s="11" t="s">
        <v>473</v>
      </c>
      <c r="B593" s="11"/>
      <c r="C593" s="11" t="s">
        <v>55</v>
      </c>
      <c r="D593" s="11"/>
      <c r="E593" s="29">
        <v>49155</v>
      </c>
      <c r="G593" s="7">
        <f t="shared" si="176"/>
        <v>6878652</v>
      </c>
      <c r="I593" s="7">
        <f>364219+16371018</f>
        <v>16735237</v>
      </c>
      <c r="K593" s="7">
        <v>23613889</v>
      </c>
      <c r="M593" s="7">
        <f t="shared" si="169"/>
        <v>1758454</v>
      </c>
      <c r="O593" s="7">
        <v>90749</v>
      </c>
      <c r="Q593" s="7">
        <v>1165286</v>
      </c>
      <c r="S593" s="7">
        <v>3014489</v>
      </c>
      <c r="U593" s="7">
        <v>15739150</v>
      </c>
      <c r="W593" s="7">
        <f t="shared" si="170"/>
        <v>1659579</v>
      </c>
      <c r="Y593" s="7">
        <v>3200671</v>
      </c>
      <c r="AA593" s="7">
        <v>20599400</v>
      </c>
      <c r="AB593" s="7">
        <f t="shared" si="177"/>
        <v>0</v>
      </c>
      <c r="AD593" s="32">
        <f t="shared" si="178"/>
        <v>0</v>
      </c>
      <c r="AF593" s="32"/>
      <c r="AH593" s="32" t="str">
        <f>'St of Activites - GA Rev'!A593</f>
        <v>Western Local SD</v>
      </c>
      <c r="AI593" s="32" t="str">
        <f t="shared" si="173"/>
        <v>Western Local SD</v>
      </c>
      <c r="AJ593" s="32" t="b">
        <f t="shared" si="174"/>
        <v>1</v>
      </c>
      <c r="AL593" s="32" t="str">
        <f>'St of Activities - GA Exp'!A593</f>
        <v>Western Local SD</v>
      </c>
      <c r="AN593" s="32" t="b">
        <f t="shared" si="179"/>
        <v>1</v>
      </c>
      <c r="AR593" s="32" t="str">
        <f t="shared" si="180"/>
        <v>Pike</v>
      </c>
      <c r="AS593" s="32" t="str">
        <f>'St of Activites - GA Rev'!C593</f>
        <v>Pike</v>
      </c>
      <c r="AT593" s="32" t="b">
        <f t="shared" si="175"/>
        <v>1</v>
      </c>
      <c r="AU593" s="32" t="str">
        <f>'St of Activities - GA Exp'!C593</f>
        <v>Pike</v>
      </c>
      <c r="AV593" s="56"/>
      <c r="AW593" s="32" t="b">
        <f t="shared" si="181"/>
        <v>1</v>
      </c>
    </row>
    <row r="594" spans="1:49">
      <c r="A594" s="11" t="s">
        <v>369</v>
      </c>
      <c r="B594" s="11"/>
      <c r="C594" s="11" t="s">
        <v>37</v>
      </c>
      <c r="D594" s="11"/>
      <c r="E594" s="29">
        <v>47746</v>
      </c>
      <c r="G594" s="7">
        <f t="shared" si="176"/>
        <v>5897860</v>
      </c>
      <c r="I594" s="7">
        <f>351793+15979101</f>
        <v>16330894</v>
      </c>
      <c r="K594" s="7">
        <v>22228754</v>
      </c>
      <c r="M594" s="7">
        <f t="shared" si="169"/>
        <v>3571931</v>
      </c>
      <c r="O594" s="7">
        <v>276899</v>
      </c>
      <c r="Q594" s="7">
        <v>3099834</v>
      </c>
      <c r="S594" s="7">
        <v>6948664</v>
      </c>
      <c r="U594" s="7">
        <v>13701573</v>
      </c>
      <c r="W594" s="7">
        <f t="shared" si="170"/>
        <v>899479</v>
      </c>
      <c r="Y594" s="7">
        <v>679038</v>
      </c>
      <c r="AA594" s="7">
        <v>15280090</v>
      </c>
      <c r="AB594" s="7">
        <f t="shared" si="177"/>
        <v>0</v>
      </c>
      <c r="AD594" s="32">
        <f t="shared" si="178"/>
        <v>0</v>
      </c>
      <c r="AF594" s="32"/>
      <c r="AH594" s="32" t="str">
        <f>'St of Activites - GA Rev'!A594</f>
        <v>Western Reserve Local SD</v>
      </c>
      <c r="AI594" s="32" t="str">
        <f t="shared" si="173"/>
        <v>Western Reserve Local SD</v>
      </c>
      <c r="AJ594" s="32" t="b">
        <f t="shared" si="174"/>
        <v>1</v>
      </c>
      <c r="AL594" s="32" t="str">
        <f>'St of Activities - GA Exp'!A594</f>
        <v>Western Reserve Local SD</v>
      </c>
      <c r="AN594" s="32" t="b">
        <f t="shared" si="179"/>
        <v>1</v>
      </c>
      <c r="AR594" s="32" t="str">
        <f t="shared" si="180"/>
        <v>Huron</v>
      </c>
      <c r="AS594" s="32" t="str">
        <f>'St of Activites - GA Rev'!C594</f>
        <v>Huron</v>
      </c>
      <c r="AT594" s="32" t="b">
        <f t="shared" si="175"/>
        <v>1</v>
      </c>
      <c r="AU594" s="32" t="str">
        <f>'St of Activities - GA Exp'!C594</f>
        <v>Huron</v>
      </c>
      <c r="AV594" s="56"/>
      <c r="AW594" s="32" t="b">
        <f t="shared" si="181"/>
        <v>1</v>
      </c>
    </row>
    <row r="595" spans="1:49">
      <c r="A595" s="11" t="s">
        <v>369</v>
      </c>
      <c r="B595" s="11"/>
      <c r="C595" s="11" t="s">
        <v>45</v>
      </c>
      <c r="D595" s="11"/>
      <c r="E595" s="29">
        <v>48397</v>
      </c>
      <c r="G595" s="7">
        <f t="shared" si="176"/>
        <v>13412168</v>
      </c>
      <c r="I595" s="7">
        <f>19235287+2363529</f>
        <v>21598816</v>
      </c>
      <c r="K595" s="7">
        <v>35010984</v>
      </c>
      <c r="M595" s="7">
        <f t="shared" si="169"/>
        <v>5825476</v>
      </c>
      <c r="O595" s="7">
        <v>214108</v>
      </c>
      <c r="Q595" s="7">
        <v>11363824</v>
      </c>
      <c r="S595" s="7">
        <v>17403408</v>
      </c>
      <c r="U595" s="7">
        <v>10660694</v>
      </c>
      <c r="W595" s="7">
        <f t="shared" si="170"/>
        <v>6411388</v>
      </c>
      <c r="Y595" s="7">
        <v>535494</v>
      </c>
      <c r="AA595" s="7">
        <v>17607576</v>
      </c>
      <c r="AB595" s="7">
        <f t="shared" si="177"/>
        <v>0</v>
      </c>
      <c r="AD595" s="32">
        <f t="shared" si="178"/>
        <v>0</v>
      </c>
      <c r="AF595" s="32"/>
      <c r="AH595" s="32" t="str">
        <f>'St of Activites - GA Rev'!A595</f>
        <v>Western Reserve Local SD</v>
      </c>
      <c r="AI595" s="32" t="str">
        <f t="shared" si="173"/>
        <v>Western Reserve Local SD</v>
      </c>
      <c r="AJ595" s="32" t="b">
        <f t="shared" si="174"/>
        <v>1</v>
      </c>
      <c r="AL595" s="32" t="str">
        <f>'St of Activities - GA Exp'!A595</f>
        <v>Western Reserve Local SD</v>
      </c>
      <c r="AN595" s="32" t="b">
        <f t="shared" si="179"/>
        <v>1</v>
      </c>
      <c r="AR595" s="32" t="str">
        <f t="shared" si="180"/>
        <v>Mahoning</v>
      </c>
      <c r="AS595" s="32" t="str">
        <f>'St of Activites - GA Rev'!C595</f>
        <v>Mahoning</v>
      </c>
      <c r="AT595" s="32" t="b">
        <f t="shared" si="175"/>
        <v>1</v>
      </c>
      <c r="AU595" s="32" t="str">
        <f>'St of Activities - GA Exp'!C595</f>
        <v>Mahoning</v>
      </c>
      <c r="AV595" s="56"/>
      <c r="AW595" s="32" t="b">
        <f t="shared" si="181"/>
        <v>1</v>
      </c>
    </row>
    <row r="596" spans="1:49">
      <c r="A596" s="11" t="s">
        <v>315</v>
      </c>
      <c r="B596" s="11"/>
      <c r="C596" s="11" t="s">
        <v>27</v>
      </c>
      <c r="D596" s="11"/>
      <c r="E596" s="29">
        <v>45047</v>
      </c>
      <c r="G596" s="7">
        <f t="shared" si="176"/>
        <v>147590985</v>
      </c>
      <c r="I596" s="7">
        <f>5813922+154166251</f>
        <v>159980173</v>
      </c>
      <c r="K596" s="7">
        <v>307571158</v>
      </c>
      <c r="M596" s="7">
        <f t="shared" si="169"/>
        <v>94024022</v>
      </c>
      <c r="O596" s="7">
        <v>6224295</v>
      </c>
      <c r="Q596" s="7">
        <v>123673329</v>
      </c>
      <c r="S596" s="7">
        <v>223921646</v>
      </c>
      <c r="U596" s="7">
        <v>46260204</v>
      </c>
      <c r="W596" s="7">
        <f t="shared" si="170"/>
        <v>17535881</v>
      </c>
      <c r="Y596" s="7">
        <v>19853427</v>
      </c>
      <c r="AA596" s="7">
        <v>83649512</v>
      </c>
      <c r="AB596" s="7">
        <f t="shared" si="177"/>
        <v>0</v>
      </c>
      <c r="AD596" s="32">
        <f t="shared" si="178"/>
        <v>0</v>
      </c>
      <c r="AF596" s="32"/>
      <c r="AH596" s="32" t="str">
        <f>'St of Activites - GA Rev'!A596</f>
        <v>Westerville City SD</v>
      </c>
      <c r="AI596" s="32" t="str">
        <f t="shared" si="173"/>
        <v>Westerville City SD</v>
      </c>
      <c r="AJ596" s="32" t="b">
        <f t="shared" si="174"/>
        <v>1</v>
      </c>
      <c r="AL596" s="32" t="str">
        <f>'St of Activities - GA Exp'!A596</f>
        <v>Westerville City SD</v>
      </c>
      <c r="AN596" s="32" t="b">
        <f t="shared" si="179"/>
        <v>1</v>
      </c>
      <c r="AR596" s="32" t="str">
        <f t="shared" si="180"/>
        <v>Franklin</v>
      </c>
      <c r="AS596" s="32" t="str">
        <f>'St of Activites - GA Rev'!C596</f>
        <v>Franklin</v>
      </c>
      <c r="AT596" s="32" t="b">
        <f t="shared" si="175"/>
        <v>1</v>
      </c>
      <c r="AU596" s="32" t="str">
        <f>'St of Activities - GA Exp'!C596</f>
        <v>Franklin</v>
      </c>
      <c r="AV596" s="56"/>
      <c r="AW596" s="32" t="b">
        <f t="shared" si="181"/>
        <v>1</v>
      </c>
    </row>
    <row r="597" spans="1:49">
      <c r="A597" s="11" t="s">
        <v>470</v>
      </c>
      <c r="B597" s="11"/>
      <c r="C597" s="11" t="s">
        <v>54</v>
      </c>
      <c r="D597" s="11"/>
      <c r="E597" s="29">
        <v>49106</v>
      </c>
      <c r="G597" s="7">
        <f t="shared" si="176"/>
        <v>13309673</v>
      </c>
      <c r="I597" s="7">
        <f>105604+10469957</f>
        <v>10575561</v>
      </c>
      <c r="K597" s="7">
        <v>23885234</v>
      </c>
      <c r="M597" s="7">
        <f t="shared" si="169"/>
        <v>5250645</v>
      </c>
      <c r="O597" s="7">
        <v>464186</v>
      </c>
      <c r="Q597" s="7">
        <v>5880979</v>
      </c>
      <c r="S597" s="7">
        <v>11595810</v>
      </c>
      <c r="U597" s="7">
        <v>5346347</v>
      </c>
      <c r="W597" s="7">
        <f t="shared" si="170"/>
        <v>4390805</v>
      </c>
      <c r="Y597" s="7">
        <v>2552272</v>
      </c>
      <c r="AA597" s="7">
        <v>12289424</v>
      </c>
      <c r="AB597" s="7">
        <f t="shared" si="177"/>
        <v>0</v>
      </c>
      <c r="AD597" s="32">
        <f t="shared" si="178"/>
        <v>0</v>
      </c>
      <c r="AF597" s="32"/>
      <c r="AH597" s="32" t="str">
        <f>'St of Activites - GA Rev'!A597</f>
        <v>Westfall Local SD</v>
      </c>
      <c r="AI597" s="32" t="str">
        <f t="shared" si="173"/>
        <v>Westfall Local SD</v>
      </c>
      <c r="AJ597" s="32" t="b">
        <f t="shared" si="174"/>
        <v>1</v>
      </c>
      <c r="AL597" s="32" t="str">
        <f>'St of Activities - GA Exp'!A597</f>
        <v>Westfall Local SD</v>
      </c>
      <c r="AN597" s="32" t="b">
        <f t="shared" si="179"/>
        <v>1</v>
      </c>
      <c r="AR597" s="32" t="str">
        <f t="shared" si="180"/>
        <v>Pickaway</v>
      </c>
      <c r="AS597" s="32" t="str">
        <f>'St of Activites - GA Rev'!C597</f>
        <v>Pickaway</v>
      </c>
      <c r="AT597" s="32" t="b">
        <f t="shared" si="175"/>
        <v>1</v>
      </c>
      <c r="AU597" s="32" t="str">
        <f>'St of Activities - GA Exp'!C597</f>
        <v>Pickaway</v>
      </c>
      <c r="AV597" s="56"/>
      <c r="AW597" s="32" t="b">
        <f t="shared" si="181"/>
        <v>1</v>
      </c>
    </row>
    <row r="598" spans="1:49">
      <c r="A598" s="11" t="s">
        <v>287</v>
      </c>
      <c r="B598" s="11"/>
      <c r="C598" s="11" t="s">
        <v>20</v>
      </c>
      <c r="D598" s="11"/>
      <c r="E598" s="29">
        <v>45062</v>
      </c>
      <c r="G598" s="7">
        <f t="shared" si="176"/>
        <v>162353458</v>
      </c>
      <c r="I598" s="7">
        <v>46177255</v>
      </c>
      <c r="K598" s="7">
        <v>208530713</v>
      </c>
      <c r="M598" s="7">
        <f t="shared" ref="M598:M618" si="182">+S598-O598-Q598</f>
        <v>47030602</v>
      </c>
      <c r="O598" s="7">
        <v>4470079</v>
      </c>
      <c r="Q598" s="7">
        <v>105350659</v>
      </c>
      <c r="S598" s="7">
        <v>156851340</v>
      </c>
      <c r="U598" s="7">
        <v>26697219</v>
      </c>
      <c r="W598" s="7">
        <f t="shared" si="170"/>
        <v>6752055</v>
      </c>
      <c r="Y598" s="7">
        <v>18230099</v>
      </c>
      <c r="AA598" s="7">
        <v>51679373</v>
      </c>
      <c r="AB598" s="7">
        <f t="shared" si="177"/>
        <v>0</v>
      </c>
      <c r="AD598" s="32">
        <f t="shared" si="178"/>
        <v>0</v>
      </c>
      <c r="AF598" s="32"/>
      <c r="AH598" s="32" t="str">
        <f>'St of Activites - GA Rev'!A598</f>
        <v>Westlake City SD</v>
      </c>
      <c r="AI598" s="32" t="str">
        <f t="shared" si="173"/>
        <v>Westlake City SD</v>
      </c>
      <c r="AJ598" s="32" t="b">
        <f t="shared" si="174"/>
        <v>1</v>
      </c>
      <c r="AL598" s="32" t="str">
        <f>'St of Activities - GA Exp'!A598</f>
        <v>Westlake City SD</v>
      </c>
      <c r="AN598" s="32" t="b">
        <f t="shared" si="179"/>
        <v>1</v>
      </c>
      <c r="AR598" s="32" t="str">
        <f t="shared" si="180"/>
        <v>Cuyahoga</v>
      </c>
      <c r="AS598" s="32" t="str">
        <f>'St of Activites - GA Rev'!C598</f>
        <v>Cuyahoga</v>
      </c>
      <c r="AT598" s="32" t="b">
        <f t="shared" si="175"/>
        <v>1</v>
      </c>
      <c r="AU598" s="32" t="str">
        <f>'St of Activities - GA Exp'!C598</f>
        <v>Cuyahoga</v>
      </c>
      <c r="AV598" s="56"/>
      <c r="AW598" s="32" t="b">
        <f t="shared" si="181"/>
        <v>1</v>
      </c>
    </row>
    <row r="599" spans="1:49" s="32" customFormat="1">
      <c r="A599" s="31" t="s">
        <v>501</v>
      </c>
      <c r="B599" s="31"/>
      <c r="C599" s="31" t="s">
        <v>59</v>
      </c>
      <c r="D599" s="31"/>
      <c r="E599" s="29">
        <v>49668</v>
      </c>
      <c r="G599" s="7">
        <f t="shared" si="176"/>
        <v>9498627</v>
      </c>
      <c r="H599" s="7"/>
      <c r="I599" s="7">
        <f>1073558+35075411</f>
        <v>36148969</v>
      </c>
      <c r="J599" s="7"/>
      <c r="K599" s="7">
        <v>45647596</v>
      </c>
      <c r="L599" s="7"/>
      <c r="M599" s="7">
        <f t="shared" si="182"/>
        <v>4851719</v>
      </c>
      <c r="N599" s="7"/>
      <c r="O599" s="7">
        <v>383708</v>
      </c>
      <c r="P599" s="7"/>
      <c r="Q599" s="7">
        <v>9931029</v>
      </c>
      <c r="R599" s="7"/>
      <c r="S599" s="7">
        <v>15166456</v>
      </c>
      <c r="T599" s="7"/>
      <c r="U599" s="7">
        <v>26951131</v>
      </c>
      <c r="V599" s="7"/>
      <c r="W599" s="7">
        <f t="shared" si="170"/>
        <v>3243824</v>
      </c>
      <c r="X599" s="7"/>
      <c r="Y599" s="7">
        <v>286185</v>
      </c>
      <c r="Z599" s="7"/>
      <c r="AA599" s="7">
        <v>30481140</v>
      </c>
      <c r="AB599" s="32">
        <f>+K599-S599-AA599</f>
        <v>0</v>
      </c>
      <c r="AD599" s="32">
        <f t="shared" si="178"/>
        <v>0</v>
      </c>
      <c r="AH599" s="32" t="str">
        <f>'St of Activites - GA Rev'!A599</f>
        <v>Wheelersburg Local SD</v>
      </c>
      <c r="AI599" s="32" t="str">
        <f t="shared" si="173"/>
        <v>Wheelersburg Local SD</v>
      </c>
      <c r="AJ599" s="32" t="b">
        <f t="shared" si="174"/>
        <v>1</v>
      </c>
      <c r="AL599" s="32" t="str">
        <f>'St of Activities - GA Exp'!A599</f>
        <v>Wheelersburg Local SD</v>
      </c>
      <c r="AN599" s="32" t="b">
        <f t="shared" si="179"/>
        <v>1</v>
      </c>
      <c r="AR599" s="32" t="str">
        <f t="shared" si="180"/>
        <v>Scioto</v>
      </c>
      <c r="AS599" s="32" t="str">
        <f>'St of Activites - GA Rev'!C599</f>
        <v>Scioto</v>
      </c>
      <c r="AT599" s="32" t="b">
        <f t="shared" si="175"/>
        <v>1</v>
      </c>
      <c r="AU599" s="32" t="str">
        <f>'St of Activities - GA Exp'!C599</f>
        <v>Scioto</v>
      </c>
      <c r="AW599" s="32" t="b">
        <f t="shared" si="181"/>
        <v>1</v>
      </c>
    </row>
    <row r="600" spans="1:49">
      <c r="A600" s="11" t="s">
        <v>316</v>
      </c>
      <c r="B600" s="11"/>
      <c r="C600" s="11" t="s">
        <v>27</v>
      </c>
      <c r="D600" s="11"/>
      <c r="E600" s="29">
        <v>45070</v>
      </c>
      <c r="G600" s="7">
        <f t="shared" si="176"/>
        <v>97469691</v>
      </c>
      <c r="I600" s="7">
        <f>23175044+6321005</f>
        <v>29496049</v>
      </c>
      <c r="K600" s="7">
        <v>126965740</v>
      </c>
      <c r="M600" s="7">
        <f t="shared" si="182"/>
        <v>15524471</v>
      </c>
      <c r="O600" s="7">
        <v>2027496</v>
      </c>
      <c r="Q600" s="7">
        <v>30102433</v>
      </c>
      <c r="S600" s="7">
        <v>47654400</v>
      </c>
      <c r="U600" s="7">
        <v>29898489</v>
      </c>
      <c r="W600" s="7">
        <f t="shared" si="170"/>
        <v>32164514</v>
      </c>
      <c r="Y600" s="7">
        <v>17248337</v>
      </c>
      <c r="AA600" s="7">
        <v>79311340</v>
      </c>
      <c r="AB600" s="7">
        <f>+K600-S600-AA600</f>
        <v>0</v>
      </c>
      <c r="AD600" s="32">
        <f t="shared" si="178"/>
        <v>0</v>
      </c>
      <c r="AF600" s="32"/>
      <c r="AH600" s="32" t="str">
        <f>'St of Activites - GA Rev'!A600</f>
        <v>Whitehall City SD</v>
      </c>
      <c r="AI600" s="32" t="str">
        <f t="shared" si="173"/>
        <v>Whitehall City SD</v>
      </c>
      <c r="AJ600" s="32" t="b">
        <f t="shared" si="174"/>
        <v>1</v>
      </c>
      <c r="AL600" s="32" t="str">
        <f>'St of Activities - GA Exp'!A600</f>
        <v>Whitehall City SD</v>
      </c>
      <c r="AN600" s="32" t="b">
        <f t="shared" si="179"/>
        <v>1</v>
      </c>
      <c r="AR600" s="32" t="str">
        <f t="shared" si="180"/>
        <v>Franklin</v>
      </c>
      <c r="AS600" s="32" t="str">
        <f>'St of Activites - GA Rev'!C600</f>
        <v>Franklin</v>
      </c>
      <c r="AT600" s="32" t="b">
        <f t="shared" si="175"/>
        <v>1</v>
      </c>
      <c r="AU600" s="32" t="str">
        <f>'St of Activities - GA Exp'!C600</f>
        <v>Franklin</v>
      </c>
      <c r="AV600" s="56"/>
      <c r="AW600" s="32" t="b">
        <f t="shared" si="181"/>
        <v>1</v>
      </c>
    </row>
    <row r="601" spans="1:49" s="65" customFormat="1" hidden="1">
      <c r="A601" s="62" t="s">
        <v>649</v>
      </c>
      <c r="B601" s="62"/>
      <c r="C601" s="62" t="s">
        <v>41</v>
      </c>
      <c r="D601" s="62"/>
      <c r="E601" s="64">
        <v>45088</v>
      </c>
      <c r="G601" s="65">
        <f t="shared" si="176"/>
        <v>0</v>
      </c>
      <c r="M601" s="65">
        <f t="shared" si="182"/>
        <v>0</v>
      </c>
      <c r="W601" s="65">
        <f t="shared" si="170"/>
        <v>0</v>
      </c>
      <c r="AB601" s="65">
        <f t="shared" si="177"/>
        <v>0</v>
      </c>
      <c r="AD601" s="66">
        <f t="shared" si="178"/>
        <v>0</v>
      </c>
      <c r="AF601" s="66"/>
      <c r="AH601" s="66" t="str">
        <f>'St of Activites - GA Rev'!A601</f>
        <v>Wickliffe City SD (CASH)</v>
      </c>
      <c r="AI601" s="66" t="str">
        <f t="shared" si="173"/>
        <v>Wickliffe City SD (CASH)</v>
      </c>
      <c r="AJ601" s="66" t="b">
        <f t="shared" si="174"/>
        <v>1</v>
      </c>
      <c r="AL601" s="66" t="str">
        <f>'St of Activities - GA Exp'!A601</f>
        <v>Wickliffe City SD (CASH)</v>
      </c>
      <c r="AN601" s="66" t="b">
        <f t="shared" si="179"/>
        <v>1</v>
      </c>
      <c r="AR601" s="66" t="str">
        <f t="shared" si="180"/>
        <v>Lake</v>
      </c>
      <c r="AS601" s="66" t="str">
        <f>'St of Activites - GA Rev'!C601</f>
        <v>Lake</v>
      </c>
      <c r="AT601" s="66" t="b">
        <f t="shared" si="175"/>
        <v>1</v>
      </c>
      <c r="AU601" s="66" t="str">
        <f>'St of Activities - GA Exp'!C601</f>
        <v>Lake</v>
      </c>
      <c r="AV601" s="86"/>
      <c r="AW601" s="66" t="b">
        <f t="shared" si="181"/>
        <v>1</v>
      </c>
    </row>
    <row r="602" spans="1:49">
      <c r="A602" s="11" t="s">
        <v>370</v>
      </c>
      <c r="B602" s="11"/>
      <c r="C602" s="11" t="s">
        <v>37</v>
      </c>
      <c r="D602" s="11"/>
      <c r="E602" s="29">
        <v>45096</v>
      </c>
      <c r="G602" s="7">
        <f t="shared" si="176"/>
        <v>10692695</v>
      </c>
      <c r="I602" s="7">
        <v>5164426</v>
      </c>
      <c r="K602" s="7">
        <v>15857121</v>
      </c>
      <c r="M602" s="7">
        <f t="shared" si="182"/>
        <v>6941882</v>
      </c>
      <c r="O602" s="7">
        <v>383545</v>
      </c>
      <c r="Q602" s="7">
        <v>3279320</v>
      </c>
      <c r="S602" s="7">
        <v>10604747</v>
      </c>
      <c r="U602" s="7">
        <v>2587827</v>
      </c>
      <c r="W602" s="7">
        <f t="shared" si="170"/>
        <v>2046857</v>
      </c>
      <c r="Y602" s="7">
        <v>617690</v>
      </c>
      <c r="AA602" s="7">
        <v>5252374</v>
      </c>
      <c r="AB602" s="7">
        <f t="shared" si="177"/>
        <v>0</v>
      </c>
      <c r="AD602" s="32">
        <f t="shared" si="178"/>
        <v>0</v>
      </c>
      <c r="AF602" s="32"/>
      <c r="AH602" s="32" t="str">
        <f>'St of Activites - GA Rev'!A602</f>
        <v>Willard City SD</v>
      </c>
      <c r="AI602" s="32" t="str">
        <f t="shared" si="173"/>
        <v>Willard City SD</v>
      </c>
      <c r="AJ602" s="32" t="b">
        <f t="shared" si="174"/>
        <v>1</v>
      </c>
      <c r="AL602" s="32" t="str">
        <f>'St of Activities - GA Exp'!A602</f>
        <v>Willard City SD</v>
      </c>
      <c r="AN602" s="32" t="b">
        <f t="shared" si="179"/>
        <v>1</v>
      </c>
      <c r="AR602" s="32" t="str">
        <f t="shared" si="180"/>
        <v>Huron</v>
      </c>
      <c r="AS602" s="32" t="str">
        <f>'St of Activites - GA Rev'!C602</f>
        <v>Huron</v>
      </c>
      <c r="AT602" s="32" t="b">
        <f t="shared" si="175"/>
        <v>1</v>
      </c>
      <c r="AU602" s="32" t="str">
        <f>'St of Activities - GA Exp'!C602</f>
        <v>Huron</v>
      </c>
      <c r="AV602" s="56"/>
      <c r="AW602" s="32" t="b">
        <f t="shared" si="181"/>
        <v>1</v>
      </c>
    </row>
    <row r="603" spans="1:49">
      <c r="A603" s="11" t="s">
        <v>247</v>
      </c>
      <c r="B603" s="11"/>
      <c r="C603" s="11" t="s">
        <v>113</v>
      </c>
      <c r="D603" s="11"/>
      <c r="E603" s="29">
        <v>46367</v>
      </c>
      <c r="G603" s="7">
        <f t="shared" si="176"/>
        <v>6830843</v>
      </c>
      <c r="I603" s="7">
        <f>99200+9456183</f>
        <v>9555383</v>
      </c>
      <c r="K603" s="7">
        <v>16386226</v>
      </c>
      <c r="M603" s="7">
        <f t="shared" si="182"/>
        <v>3785054</v>
      </c>
      <c r="O603" s="7">
        <v>346523</v>
      </c>
      <c r="Q603" s="7">
        <v>2920699</v>
      </c>
      <c r="S603" s="7">
        <v>7052276</v>
      </c>
      <c r="U603" s="7">
        <v>7099316</v>
      </c>
      <c r="W603" s="7">
        <f t="shared" si="170"/>
        <v>1300033</v>
      </c>
      <c r="Y603" s="7">
        <v>934601</v>
      </c>
      <c r="AA603" s="7">
        <v>9333950</v>
      </c>
      <c r="AB603" s="7">
        <f t="shared" si="177"/>
        <v>0</v>
      </c>
      <c r="AD603" s="32">
        <f t="shared" si="178"/>
        <v>0</v>
      </c>
      <c r="AF603" s="32"/>
      <c r="AH603" s="32" t="str">
        <f>'St of Activites - GA Rev'!A603</f>
        <v>Williamsburg Local SD</v>
      </c>
      <c r="AI603" s="32" t="str">
        <f t="shared" si="173"/>
        <v>Williamsburg Local SD</v>
      </c>
      <c r="AJ603" s="32" t="b">
        <f t="shared" si="174"/>
        <v>1</v>
      </c>
      <c r="AL603" s="32" t="str">
        <f>'St of Activities - GA Exp'!A603</f>
        <v>Williamsburg Local SD</v>
      </c>
      <c r="AN603" s="32" t="b">
        <f t="shared" si="179"/>
        <v>1</v>
      </c>
      <c r="AR603" s="32" t="str">
        <f t="shared" si="180"/>
        <v>Clermont</v>
      </c>
      <c r="AS603" s="32" t="str">
        <f>'St of Activites - GA Rev'!C603</f>
        <v>Clermont</v>
      </c>
      <c r="AT603" s="32" t="b">
        <f t="shared" si="175"/>
        <v>1</v>
      </c>
      <c r="AU603" s="32" t="str">
        <f>'St of Activities - GA Exp'!C603</f>
        <v>Clermont</v>
      </c>
      <c r="AV603" s="56"/>
      <c r="AW603" s="32" t="b">
        <f t="shared" si="181"/>
        <v>1</v>
      </c>
    </row>
    <row r="604" spans="1:49">
      <c r="A604" s="11" t="s">
        <v>376</v>
      </c>
      <c r="B604" s="11"/>
      <c r="C604" s="11" t="s">
        <v>41</v>
      </c>
      <c r="D604" s="11"/>
      <c r="E604" s="29">
        <v>45104</v>
      </c>
      <c r="G604" s="7">
        <f t="shared" si="176"/>
        <v>104414342</v>
      </c>
      <c r="I604" s="7">
        <f>1473479+14945902</f>
        <v>16419381</v>
      </c>
      <c r="K604" s="7">
        <v>120833723</v>
      </c>
      <c r="M604" s="7">
        <f t="shared" si="182"/>
        <v>64266472</v>
      </c>
      <c r="O604" s="7">
        <v>2065341</v>
      </c>
      <c r="Q604" s="7">
        <v>34706095</v>
      </c>
      <c r="S604" s="7">
        <v>101037908</v>
      </c>
      <c r="U604" s="7">
        <v>15886925</v>
      </c>
      <c r="W604" s="7">
        <f t="shared" si="170"/>
        <v>2253024</v>
      </c>
      <c r="Y604" s="7">
        <v>1655866</v>
      </c>
      <c r="AA604" s="7">
        <v>19795815</v>
      </c>
      <c r="AB604" s="7">
        <f t="shared" si="177"/>
        <v>0</v>
      </c>
      <c r="AD604" s="32">
        <f t="shared" si="178"/>
        <v>0</v>
      </c>
      <c r="AF604" s="32"/>
      <c r="AH604" s="32" t="str">
        <f>'St of Activites - GA Rev'!A604</f>
        <v>Willoughby-Eastlake City SD</v>
      </c>
      <c r="AI604" s="32" t="str">
        <f t="shared" si="173"/>
        <v>Willoughby-Eastlake City SD</v>
      </c>
      <c r="AJ604" s="32" t="b">
        <f t="shared" si="174"/>
        <v>1</v>
      </c>
      <c r="AL604" s="32" t="str">
        <f>'St of Activities - GA Exp'!A604</f>
        <v>Willoughby-Eastlake City SD</v>
      </c>
      <c r="AN604" s="32" t="b">
        <f t="shared" si="179"/>
        <v>1</v>
      </c>
      <c r="AR604" s="32" t="str">
        <f t="shared" si="180"/>
        <v>Lake</v>
      </c>
      <c r="AS604" s="32" t="str">
        <f>'St of Activites - GA Rev'!C604</f>
        <v>Lake</v>
      </c>
      <c r="AT604" s="32" t="b">
        <f t="shared" si="175"/>
        <v>1</v>
      </c>
      <c r="AU604" s="32" t="str">
        <f>'St of Activities - GA Exp'!C604</f>
        <v>Lake</v>
      </c>
      <c r="AV604" s="56"/>
      <c r="AW604" s="32" t="b">
        <f t="shared" si="181"/>
        <v>1</v>
      </c>
    </row>
    <row r="605" spans="1:49">
      <c r="A605" s="11" t="s">
        <v>251</v>
      </c>
      <c r="B605" s="11"/>
      <c r="C605" s="11" t="s">
        <v>18</v>
      </c>
      <c r="D605" s="11"/>
      <c r="E605" s="29">
        <v>45112</v>
      </c>
      <c r="G605" s="7">
        <f t="shared" si="176"/>
        <v>26515054</v>
      </c>
      <c r="I605" s="7">
        <f>624927+16494712</f>
        <v>17119639</v>
      </c>
      <c r="K605" s="7">
        <v>43634693</v>
      </c>
      <c r="M605" s="7">
        <f t="shared" si="182"/>
        <v>18038408</v>
      </c>
      <c r="O605" s="7">
        <v>1021698</v>
      </c>
      <c r="Q605" s="7">
        <v>6873281</v>
      </c>
      <c r="S605" s="7">
        <v>25933387</v>
      </c>
      <c r="U605" s="7">
        <v>10321711</v>
      </c>
      <c r="W605" s="7">
        <f t="shared" si="170"/>
        <v>3667059</v>
      </c>
      <c r="Y605" s="7">
        <v>3712536</v>
      </c>
      <c r="AA605" s="7">
        <v>17701306</v>
      </c>
      <c r="AB605" s="7">
        <f t="shared" si="177"/>
        <v>0</v>
      </c>
      <c r="AD605" s="32">
        <f t="shared" si="178"/>
        <v>0</v>
      </c>
      <c r="AF605" s="32"/>
      <c r="AH605" s="32" t="str">
        <f>'St of Activites - GA Rev'!A605</f>
        <v>Wilmington City SD</v>
      </c>
      <c r="AI605" s="32" t="str">
        <f t="shared" si="173"/>
        <v>Wilmington City SD</v>
      </c>
      <c r="AJ605" s="32" t="b">
        <f t="shared" si="174"/>
        <v>1</v>
      </c>
      <c r="AL605" s="32" t="str">
        <f>'St of Activities - GA Exp'!A605</f>
        <v>Wilmington City SD</v>
      </c>
      <c r="AN605" s="32" t="b">
        <f t="shared" si="179"/>
        <v>1</v>
      </c>
      <c r="AR605" s="32" t="str">
        <f t="shared" si="180"/>
        <v>Clinton</v>
      </c>
      <c r="AS605" s="32" t="str">
        <f>'St of Activites - GA Rev'!C605</f>
        <v>Clinton</v>
      </c>
      <c r="AT605" s="32" t="b">
        <f t="shared" si="175"/>
        <v>1</v>
      </c>
      <c r="AU605" s="32" t="str">
        <f>'St of Activities - GA Exp'!C605</f>
        <v>Clinton</v>
      </c>
      <c r="AV605" s="56"/>
      <c r="AW605" s="32" t="b">
        <f t="shared" si="181"/>
        <v>1</v>
      </c>
    </row>
    <row r="606" spans="1:49">
      <c r="A606" s="11" t="s">
        <v>891</v>
      </c>
      <c r="B606" s="11"/>
      <c r="C606" s="11" t="s">
        <v>56</v>
      </c>
      <c r="D606" s="11"/>
      <c r="E606" s="29">
        <v>45666</v>
      </c>
      <c r="G606" s="7">
        <f t="shared" si="176"/>
        <v>4601258</v>
      </c>
      <c r="I606" s="7">
        <v>16908362</v>
      </c>
      <c r="K606" s="7">
        <v>21509620</v>
      </c>
      <c r="M606" s="7">
        <f t="shared" si="182"/>
        <v>2383620</v>
      </c>
      <c r="O606" s="7">
        <v>197161</v>
      </c>
      <c r="Q606" s="7">
        <v>1041518</v>
      </c>
      <c r="S606" s="7">
        <v>3622299</v>
      </c>
      <c r="U606" s="7">
        <v>16281769</v>
      </c>
      <c r="W606" s="7">
        <f t="shared" si="170"/>
        <v>625426</v>
      </c>
      <c r="Y606" s="7">
        <v>980126</v>
      </c>
      <c r="AA606" s="7">
        <v>17887321</v>
      </c>
      <c r="AB606" s="7">
        <f t="shared" si="177"/>
        <v>0</v>
      </c>
      <c r="AD606" s="32">
        <f t="shared" si="178"/>
        <v>0</v>
      </c>
      <c r="AF606" s="32"/>
      <c r="AH606" s="32" t="str">
        <f>'St of Activites - GA Rev'!A606</f>
        <v>Windham Exempted Village SD</v>
      </c>
      <c r="AI606" s="32" t="str">
        <f t="shared" si="173"/>
        <v>Windham Exempted Village SD</v>
      </c>
      <c r="AJ606" s="32" t="b">
        <f t="shared" si="174"/>
        <v>1</v>
      </c>
      <c r="AL606" s="32" t="str">
        <f>'St of Activities - GA Exp'!A606</f>
        <v>Windham Exempted Village SD</v>
      </c>
      <c r="AN606" s="32" t="b">
        <f t="shared" si="179"/>
        <v>1</v>
      </c>
      <c r="AR606" s="32" t="str">
        <f t="shared" si="180"/>
        <v>Portage</v>
      </c>
      <c r="AS606" s="32" t="str">
        <f>'St of Activites - GA Rev'!C606</f>
        <v>Portage</v>
      </c>
      <c r="AT606" s="32" t="b">
        <f t="shared" si="175"/>
        <v>1</v>
      </c>
      <c r="AU606" s="32" t="str">
        <f>'St of Activities - GA Exp'!C606</f>
        <v>Portage</v>
      </c>
      <c r="AV606" s="56"/>
      <c r="AW606" s="32" t="b">
        <f t="shared" si="181"/>
        <v>1</v>
      </c>
    </row>
    <row r="607" spans="1:49">
      <c r="A607" s="11" t="s">
        <v>341</v>
      </c>
      <c r="B607" s="11"/>
      <c r="C607" s="11" t="s">
        <v>32</v>
      </c>
      <c r="D607" s="11"/>
      <c r="E607" s="29">
        <v>44081</v>
      </c>
      <c r="G607" s="7">
        <f t="shared" si="176"/>
        <v>31801034</v>
      </c>
      <c r="I607" s="7">
        <f>821208+6844144</f>
        <v>7665352</v>
      </c>
      <c r="K607" s="7">
        <v>39466386</v>
      </c>
      <c r="M607" s="7">
        <f t="shared" si="182"/>
        <v>18041587</v>
      </c>
      <c r="O607" s="7">
        <v>1059694</v>
      </c>
      <c r="Q607" s="7">
        <v>5277035</v>
      </c>
      <c r="S607" s="7">
        <v>24378316</v>
      </c>
      <c r="U607" s="7">
        <v>4011509</v>
      </c>
      <c r="W607" s="7">
        <f t="shared" si="170"/>
        <v>1657777</v>
      </c>
      <c r="Y607" s="7">
        <v>9418784</v>
      </c>
      <c r="AA607" s="7">
        <v>15088070</v>
      </c>
      <c r="AB607" s="7">
        <f t="shared" si="177"/>
        <v>0</v>
      </c>
      <c r="AD607" s="32">
        <f t="shared" si="178"/>
        <v>0</v>
      </c>
      <c r="AF607" s="32"/>
      <c r="AH607" s="32" t="str">
        <f>'St of Activites - GA Rev'!A607</f>
        <v>Winton Woods City SD</v>
      </c>
      <c r="AI607" s="32" t="str">
        <f t="shared" si="173"/>
        <v>Winton Woods City SD</v>
      </c>
      <c r="AJ607" s="32" t="b">
        <f t="shared" si="174"/>
        <v>1</v>
      </c>
      <c r="AL607" s="32" t="str">
        <f>'St of Activities - GA Exp'!A607</f>
        <v>Winton Woods City SD</v>
      </c>
      <c r="AN607" s="32" t="b">
        <f t="shared" si="179"/>
        <v>1</v>
      </c>
      <c r="AR607" s="32" t="str">
        <f t="shared" si="180"/>
        <v>Hamilton</v>
      </c>
      <c r="AS607" s="32" t="str">
        <f>'St of Activites - GA Rev'!C607</f>
        <v>Hamilton</v>
      </c>
      <c r="AT607" s="32" t="b">
        <f t="shared" si="175"/>
        <v>1</v>
      </c>
      <c r="AU607" s="32" t="str">
        <f>'St of Activities - GA Exp'!C607</f>
        <v>Hamilton</v>
      </c>
      <c r="AV607" s="56"/>
      <c r="AW607" s="32" t="b">
        <f t="shared" si="181"/>
        <v>1</v>
      </c>
    </row>
    <row r="608" spans="1:49">
      <c r="A608" s="11" t="s">
        <v>567</v>
      </c>
      <c r="B608" s="11"/>
      <c r="C608" s="11" t="s">
        <v>70</v>
      </c>
      <c r="D608" s="11"/>
      <c r="E608" s="29">
        <v>50518</v>
      </c>
      <c r="G608" s="7">
        <f t="shared" si="176"/>
        <v>14425286</v>
      </c>
      <c r="I608" s="7">
        <f>386320+7545685</f>
        <v>7932005</v>
      </c>
      <c r="K608" s="7">
        <v>22357291</v>
      </c>
      <c r="M608" s="7">
        <f t="shared" si="182"/>
        <v>5720591</v>
      </c>
      <c r="O608" s="7">
        <v>180000</v>
      </c>
      <c r="Q608" s="7">
        <v>6281531</v>
      </c>
      <c r="S608" s="7">
        <v>12182122</v>
      </c>
      <c r="U608" s="7">
        <v>2550209</v>
      </c>
      <c r="W608" s="7">
        <f t="shared" si="170"/>
        <v>1336585</v>
      </c>
      <c r="Y608" s="7">
        <v>6288375</v>
      </c>
      <c r="AA608" s="7">
        <v>10175169</v>
      </c>
      <c r="AB608" s="7">
        <f t="shared" si="177"/>
        <v>0</v>
      </c>
      <c r="AD608" s="32">
        <f t="shared" si="178"/>
        <v>0</v>
      </c>
      <c r="AF608" s="32"/>
      <c r="AH608" s="32" t="str">
        <f>'St of Activites - GA Rev'!A608</f>
        <v>Wolf Creek Local SD</v>
      </c>
      <c r="AI608" s="32" t="str">
        <f t="shared" si="173"/>
        <v>Wolf Creek Local SD</v>
      </c>
      <c r="AJ608" s="32" t="b">
        <f t="shared" si="174"/>
        <v>1</v>
      </c>
      <c r="AL608" s="32" t="str">
        <f>'St of Activities - GA Exp'!A608</f>
        <v>Wolf Creek Local SD</v>
      </c>
      <c r="AN608" s="32" t="b">
        <f t="shared" si="179"/>
        <v>1</v>
      </c>
      <c r="AR608" s="32" t="str">
        <f t="shared" si="180"/>
        <v>Washington</v>
      </c>
      <c r="AS608" s="32" t="str">
        <f>'St of Activites - GA Rev'!C608</f>
        <v>Washington</v>
      </c>
      <c r="AT608" s="32" t="b">
        <f t="shared" si="175"/>
        <v>1</v>
      </c>
      <c r="AU608" s="32" t="str">
        <f>'St of Activities - GA Exp'!C608</f>
        <v>Washington</v>
      </c>
      <c r="AV608" s="56"/>
      <c r="AW608" s="32" t="b">
        <f t="shared" si="181"/>
        <v>1</v>
      </c>
    </row>
    <row r="609" spans="1:49">
      <c r="A609" s="11" t="s">
        <v>493</v>
      </c>
      <c r="B609" s="11"/>
      <c r="C609" s="11" t="s">
        <v>79</v>
      </c>
      <c r="D609" s="11"/>
      <c r="E609" s="29">
        <v>49577</v>
      </c>
      <c r="G609" s="7">
        <f t="shared" si="176"/>
        <v>7347386</v>
      </c>
      <c r="I609" s="7">
        <v>5395451</v>
      </c>
      <c r="K609" s="7">
        <v>12742837</v>
      </c>
      <c r="M609" s="7">
        <f t="shared" si="182"/>
        <v>4445219</v>
      </c>
      <c r="O609" s="7">
        <v>171694</v>
      </c>
      <c r="Q609" s="7">
        <v>704214</v>
      </c>
      <c r="S609" s="7">
        <v>5321127</v>
      </c>
      <c r="U609" s="7">
        <v>5362625</v>
      </c>
      <c r="W609" s="7">
        <f t="shared" si="170"/>
        <v>1328109</v>
      </c>
      <c r="Y609" s="7">
        <v>730976</v>
      </c>
      <c r="AA609" s="7">
        <v>7421710</v>
      </c>
      <c r="AB609" s="7">
        <f t="shared" si="177"/>
        <v>0</v>
      </c>
      <c r="AD609" s="32">
        <f t="shared" si="178"/>
        <v>0</v>
      </c>
      <c r="AF609" s="32"/>
      <c r="AH609" s="32" t="str">
        <f>'St of Activites - GA Rev'!A609</f>
        <v>Woodmore Local SD</v>
      </c>
      <c r="AI609" s="32" t="str">
        <f t="shared" si="173"/>
        <v>Woodmore Local SD</v>
      </c>
      <c r="AJ609" s="32" t="b">
        <f t="shared" si="174"/>
        <v>1</v>
      </c>
      <c r="AL609" s="32" t="str">
        <f>'St of Activities - GA Exp'!A609</f>
        <v>Woodmore Local SD</v>
      </c>
      <c r="AN609" s="32" t="b">
        <f t="shared" si="179"/>
        <v>1</v>
      </c>
      <c r="AR609" s="32" t="str">
        <f t="shared" si="180"/>
        <v>Sandusky</v>
      </c>
      <c r="AS609" s="32" t="str">
        <f>'St of Activites - GA Rev'!C609</f>
        <v>Sandusky</v>
      </c>
      <c r="AT609" s="32" t="b">
        <f t="shared" si="175"/>
        <v>1</v>
      </c>
      <c r="AU609" s="32" t="str">
        <f>'St of Activities - GA Exp'!C609</f>
        <v>Sandusky</v>
      </c>
      <c r="AV609" s="56"/>
      <c r="AW609" s="32" t="b">
        <f t="shared" si="181"/>
        <v>1</v>
      </c>
    </row>
    <row r="610" spans="1:49">
      <c r="A610" s="11" t="s">
        <v>533</v>
      </c>
      <c r="B610" s="11"/>
      <c r="C610" s="11" t="s">
        <v>63</v>
      </c>
      <c r="D610" s="11"/>
      <c r="E610" s="29">
        <v>49973</v>
      </c>
      <c r="G610" s="7">
        <f t="shared" si="176"/>
        <v>25234416</v>
      </c>
      <c r="I610" s="7">
        <v>15862867</v>
      </c>
      <c r="K610" s="7">
        <v>41097283</v>
      </c>
      <c r="M610" s="7">
        <f t="shared" si="182"/>
        <v>17080278</v>
      </c>
      <c r="O610" s="7">
        <v>1379455</v>
      </c>
      <c r="Q610" s="7">
        <v>10895146</v>
      </c>
      <c r="S610" s="7">
        <v>29354879</v>
      </c>
      <c r="U610" s="7">
        <v>4538106</v>
      </c>
      <c r="W610" s="7">
        <f t="shared" si="170"/>
        <v>777746</v>
      </c>
      <c r="Y610" s="7">
        <v>6426552</v>
      </c>
      <c r="AA610" s="7">
        <v>11742404</v>
      </c>
      <c r="AB610" s="7">
        <f t="shared" si="177"/>
        <v>0</v>
      </c>
      <c r="AD610" s="32">
        <f t="shared" si="178"/>
        <v>0</v>
      </c>
      <c r="AF610" s="32"/>
      <c r="AH610" s="32" t="str">
        <f>'St of Activites - GA Rev'!A610</f>
        <v>Woodridge Local SD</v>
      </c>
      <c r="AI610" s="32" t="str">
        <f t="shared" si="173"/>
        <v>Woodridge Local SD</v>
      </c>
      <c r="AJ610" s="32" t="b">
        <f t="shared" si="174"/>
        <v>1</v>
      </c>
      <c r="AL610" s="32" t="str">
        <f>'St of Activities - GA Exp'!A610</f>
        <v>Woodridge Local SD</v>
      </c>
      <c r="AN610" s="32" t="b">
        <f t="shared" si="179"/>
        <v>1</v>
      </c>
      <c r="AR610" s="32" t="str">
        <f t="shared" si="180"/>
        <v>Summit</v>
      </c>
      <c r="AS610" s="32" t="str">
        <f>'St of Activites - GA Rev'!C610</f>
        <v>Summit</v>
      </c>
      <c r="AT610" s="32" t="b">
        <f t="shared" si="175"/>
        <v>1</v>
      </c>
      <c r="AU610" s="32" t="str">
        <f>'St of Activities - GA Exp'!C610</f>
        <v>Summit</v>
      </c>
      <c r="AV610" s="56"/>
      <c r="AW610" s="32" t="b">
        <f t="shared" si="181"/>
        <v>1</v>
      </c>
    </row>
    <row r="611" spans="1:49">
      <c r="A611" s="11" t="s">
        <v>650</v>
      </c>
      <c r="B611" s="11"/>
      <c r="C611" s="11" t="s">
        <v>71</v>
      </c>
      <c r="D611" s="11"/>
      <c r="E611" s="29">
        <v>45138</v>
      </c>
      <c r="G611" s="7">
        <f t="shared" si="176"/>
        <v>53715842</v>
      </c>
      <c r="I611" s="7">
        <f>2676543+32834337</f>
        <v>35510880</v>
      </c>
      <c r="K611" s="7">
        <v>89226722</v>
      </c>
      <c r="M611" s="7">
        <f t="shared" si="182"/>
        <v>30501336</v>
      </c>
      <c r="O611" s="7">
        <v>3353331</v>
      </c>
      <c r="Q611" s="7">
        <v>21895388</v>
      </c>
      <c r="S611" s="7">
        <v>55750055</v>
      </c>
      <c r="U611" s="7">
        <v>21536231</v>
      </c>
      <c r="W611" s="7">
        <f t="shared" si="170"/>
        <v>3569657</v>
      </c>
      <c r="Y611" s="7">
        <v>8370779</v>
      </c>
      <c r="AA611" s="7">
        <v>33476667</v>
      </c>
      <c r="AB611" s="7">
        <f t="shared" si="177"/>
        <v>0</v>
      </c>
      <c r="AD611" s="32">
        <f t="shared" si="178"/>
        <v>0</v>
      </c>
      <c r="AF611" s="32"/>
      <c r="AH611" s="32" t="str">
        <f>'St of Activites - GA Rev'!A611</f>
        <v>Wooster City SD</v>
      </c>
      <c r="AI611" s="32" t="str">
        <f t="shared" si="173"/>
        <v>Wooster City SD</v>
      </c>
      <c r="AJ611" s="32" t="b">
        <f t="shared" si="174"/>
        <v>1</v>
      </c>
      <c r="AL611" s="32" t="str">
        <f>'St of Activities - GA Exp'!A611</f>
        <v>Wooster City SD</v>
      </c>
      <c r="AN611" s="32" t="b">
        <f t="shared" si="179"/>
        <v>1</v>
      </c>
      <c r="AR611" s="32" t="str">
        <f t="shared" si="180"/>
        <v>Wayne</v>
      </c>
      <c r="AS611" s="32" t="str">
        <f>'St of Activites - GA Rev'!C611</f>
        <v>Wayne</v>
      </c>
      <c r="AT611" s="32" t="b">
        <f t="shared" si="175"/>
        <v>1</v>
      </c>
      <c r="AU611" s="32" t="str">
        <f>'St of Activities - GA Exp'!C611</f>
        <v>Wayne</v>
      </c>
      <c r="AV611" s="56"/>
      <c r="AW611" s="32" t="b">
        <f t="shared" si="181"/>
        <v>1</v>
      </c>
    </row>
    <row r="612" spans="1:49">
      <c r="A612" s="11" t="s">
        <v>317</v>
      </c>
      <c r="B612" s="11"/>
      <c r="C612" s="11" t="s">
        <v>27</v>
      </c>
      <c r="D612" s="11"/>
      <c r="E612" s="29">
        <v>46524</v>
      </c>
      <c r="G612" s="7">
        <f t="shared" si="176"/>
        <v>150458345</v>
      </c>
      <c r="I612" s="7">
        <f>10410904+56051540</f>
        <v>66462444</v>
      </c>
      <c r="K612" s="7">
        <v>216920789</v>
      </c>
      <c r="M612" s="7">
        <f t="shared" si="182"/>
        <v>67166523</v>
      </c>
      <c r="O612" s="7">
        <v>7197538</v>
      </c>
      <c r="Q612" s="7">
        <v>61159791</v>
      </c>
      <c r="S612" s="7">
        <v>135523852</v>
      </c>
      <c r="U612" s="7">
        <v>20534189</v>
      </c>
      <c r="W612" s="7">
        <f t="shared" si="170"/>
        <v>4356661</v>
      </c>
      <c r="Y612" s="7">
        <v>56506087</v>
      </c>
      <c r="AA612" s="7">
        <v>81396937</v>
      </c>
      <c r="AB612" s="7">
        <f t="shared" si="177"/>
        <v>0</v>
      </c>
      <c r="AD612" s="32">
        <f t="shared" si="178"/>
        <v>0</v>
      </c>
      <c r="AF612" s="32"/>
      <c r="AH612" s="32" t="str">
        <f>'St of Activites - GA Rev'!A612</f>
        <v>Worthington City SD</v>
      </c>
      <c r="AI612" s="32" t="str">
        <f t="shared" si="173"/>
        <v>Worthington City SD</v>
      </c>
      <c r="AJ612" s="32" t="b">
        <f t="shared" si="174"/>
        <v>1</v>
      </c>
      <c r="AL612" s="32" t="str">
        <f>'St of Activities - GA Exp'!A612</f>
        <v>Worthington City SD</v>
      </c>
      <c r="AN612" s="32" t="b">
        <f t="shared" si="179"/>
        <v>1</v>
      </c>
      <c r="AR612" s="32" t="str">
        <f t="shared" si="180"/>
        <v>Franklin</v>
      </c>
      <c r="AS612" s="32" t="str">
        <f>'St of Activites - GA Rev'!C612</f>
        <v>Franklin</v>
      </c>
      <c r="AT612" s="32" t="b">
        <f t="shared" si="175"/>
        <v>1</v>
      </c>
      <c r="AU612" s="32" t="str">
        <f>'St of Activities - GA Exp'!C612</f>
        <v>Franklin</v>
      </c>
      <c r="AV612" s="56"/>
      <c r="AW612" s="32" t="b">
        <f t="shared" si="181"/>
        <v>1</v>
      </c>
    </row>
    <row r="613" spans="1:49">
      <c r="A613" s="11" t="s">
        <v>266</v>
      </c>
      <c r="B613" s="11"/>
      <c r="C613" s="11" t="s">
        <v>111</v>
      </c>
      <c r="D613" s="11"/>
      <c r="E613" s="29">
        <v>45146</v>
      </c>
      <c r="G613" s="7">
        <f t="shared" si="176"/>
        <v>6520125</v>
      </c>
      <c r="I613" s="7">
        <v>7633133</v>
      </c>
      <c r="K613" s="7">
        <v>14153258</v>
      </c>
      <c r="M613" s="7">
        <f t="shared" si="182"/>
        <v>3706033</v>
      </c>
      <c r="O613" s="7">
        <v>386884</v>
      </c>
      <c r="Q613" s="7">
        <v>5827443</v>
      </c>
      <c r="S613" s="7">
        <v>9920360</v>
      </c>
      <c r="U613" s="7">
        <v>2096237</v>
      </c>
      <c r="W613" s="7">
        <f t="shared" si="170"/>
        <v>1250412</v>
      </c>
      <c r="Y613" s="7">
        <v>886249</v>
      </c>
      <c r="AA613" s="7">
        <v>4232898</v>
      </c>
      <c r="AB613" s="7">
        <f t="shared" si="177"/>
        <v>0</v>
      </c>
      <c r="AD613" s="32">
        <f t="shared" si="178"/>
        <v>0</v>
      </c>
      <c r="AF613" s="32"/>
      <c r="AH613" s="32" t="str">
        <f>'St of Activites - GA Rev'!A613</f>
        <v>Wynford Local SD</v>
      </c>
      <c r="AI613" s="32" t="str">
        <f t="shared" si="173"/>
        <v>Wynford Local SD</v>
      </c>
      <c r="AJ613" s="32" t="b">
        <f t="shared" si="174"/>
        <v>1</v>
      </c>
      <c r="AL613" s="32" t="str">
        <f>'St of Activities - GA Exp'!A613</f>
        <v>Wynford Local SD</v>
      </c>
      <c r="AN613" s="32" t="b">
        <f t="shared" si="179"/>
        <v>1</v>
      </c>
      <c r="AR613" s="32" t="str">
        <f t="shared" si="180"/>
        <v>Crawford</v>
      </c>
      <c r="AS613" s="32" t="str">
        <f>'St of Activites - GA Rev'!C613</f>
        <v>Crawford</v>
      </c>
      <c r="AT613" s="32" t="b">
        <f t="shared" si="175"/>
        <v>1</v>
      </c>
      <c r="AU613" s="32" t="str">
        <f>'St of Activities - GA Exp'!C613</f>
        <v>Crawford</v>
      </c>
      <c r="AV613" s="56"/>
      <c r="AW613" s="32" t="b">
        <f t="shared" si="181"/>
        <v>1</v>
      </c>
    </row>
    <row r="614" spans="1:49">
      <c r="A614" s="11" t="s">
        <v>342</v>
      </c>
      <c r="B614" s="11"/>
      <c r="C614" s="11" t="s">
        <v>32</v>
      </c>
      <c r="D614" s="11"/>
      <c r="E614" s="29">
        <v>45153</v>
      </c>
      <c r="G614" s="7">
        <f t="shared" si="176"/>
        <v>27089807</v>
      </c>
      <c r="I614" s="7">
        <f>629493+21325951</f>
        <v>21955444</v>
      </c>
      <c r="K614" s="7">
        <v>49045251</v>
      </c>
      <c r="M614" s="7">
        <f t="shared" si="182"/>
        <v>8793580</v>
      </c>
      <c r="O614" s="7">
        <v>1301494</v>
      </c>
      <c r="Q614" s="7">
        <v>21861764</v>
      </c>
      <c r="S614" s="7">
        <v>31956838</v>
      </c>
      <c r="U614" s="7">
        <v>699662</v>
      </c>
      <c r="W614" s="7">
        <f t="shared" si="170"/>
        <v>3413214</v>
      </c>
      <c r="Y614" s="7">
        <v>12975537</v>
      </c>
      <c r="AA614" s="7">
        <v>17088413</v>
      </c>
      <c r="AB614" s="7">
        <f t="shared" si="177"/>
        <v>0</v>
      </c>
      <c r="AD614" s="32">
        <f t="shared" si="178"/>
        <v>0</v>
      </c>
      <c r="AF614" s="32"/>
      <c r="AH614" s="32" t="str">
        <f>'St of Activites - GA Rev'!A614</f>
        <v>Wyoming City SD</v>
      </c>
      <c r="AI614" s="32" t="str">
        <f t="shared" si="173"/>
        <v>Wyoming City SD</v>
      </c>
      <c r="AJ614" s="32" t="b">
        <f t="shared" si="174"/>
        <v>1</v>
      </c>
      <c r="AL614" s="32" t="str">
        <f>'St of Activities - GA Exp'!A614</f>
        <v>Wyoming City SD</v>
      </c>
      <c r="AN614" s="32" t="b">
        <f t="shared" si="179"/>
        <v>1</v>
      </c>
      <c r="AR614" s="32" t="str">
        <f t="shared" si="180"/>
        <v>Hamilton</v>
      </c>
      <c r="AS614" s="32" t="str">
        <f>'St of Activites - GA Rev'!C614</f>
        <v>Hamilton</v>
      </c>
      <c r="AT614" s="32" t="b">
        <f t="shared" si="175"/>
        <v>1</v>
      </c>
      <c r="AU614" s="32" t="str">
        <f>'St of Activities - GA Exp'!C614</f>
        <v>Hamilton</v>
      </c>
      <c r="AV614" s="56"/>
      <c r="AW614" s="32" t="b">
        <f t="shared" si="181"/>
        <v>1</v>
      </c>
    </row>
    <row r="615" spans="1:49">
      <c r="A615" s="11" t="s">
        <v>892</v>
      </c>
      <c r="B615" s="11"/>
      <c r="C615" s="11" t="s">
        <v>114</v>
      </c>
      <c r="D615" s="11"/>
      <c r="E615" s="29">
        <v>45674</v>
      </c>
      <c r="G615" s="7">
        <f t="shared" si="176"/>
        <v>6586025</v>
      </c>
      <c r="I615" s="7">
        <f>1238340+4882322</f>
        <v>6120662</v>
      </c>
      <c r="K615" s="7">
        <v>12706687</v>
      </c>
      <c r="M615" s="7">
        <f t="shared" si="182"/>
        <v>3910299</v>
      </c>
      <c r="O615" s="7">
        <v>520747</v>
      </c>
      <c r="Q615" s="7">
        <v>4635554</v>
      </c>
      <c r="S615" s="7">
        <v>9066600</v>
      </c>
      <c r="U615" s="7">
        <v>1952481</v>
      </c>
      <c r="W615" s="7">
        <f t="shared" si="170"/>
        <v>416140</v>
      </c>
      <c r="Y615" s="7">
        <v>1271466</v>
      </c>
      <c r="AA615" s="7">
        <v>3640087</v>
      </c>
      <c r="AB615" s="7">
        <f t="shared" si="177"/>
        <v>0</v>
      </c>
      <c r="AD615" s="32">
        <f t="shared" si="178"/>
        <v>0</v>
      </c>
      <c r="AF615" s="32"/>
      <c r="AH615" s="32" t="str">
        <f>'St of Activites - GA Rev'!A615</f>
        <v>Yellow Springs Exempted Village SD</v>
      </c>
      <c r="AI615" s="32" t="str">
        <f t="shared" si="173"/>
        <v>Yellow Springs Exempted Village SD</v>
      </c>
      <c r="AJ615" s="32" t="b">
        <f t="shared" si="174"/>
        <v>1</v>
      </c>
      <c r="AL615" s="32" t="str">
        <f>'St of Activities - GA Exp'!A615</f>
        <v>Yellow Springs Exempted Village SD</v>
      </c>
      <c r="AN615" s="32" t="b">
        <f t="shared" si="179"/>
        <v>1</v>
      </c>
      <c r="AR615" s="32" t="str">
        <f t="shared" si="180"/>
        <v>Greene</v>
      </c>
      <c r="AS615" s="32" t="str">
        <f>'St of Activites - GA Rev'!C615</f>
        <v>Greene</v>
      </c>
      <c r="AT615" s="32" t="b">
        <f t="shared" si="175"/>
        <v>1</v>
      </c>
      <c r="AU615" s="32" t="str">
        <f>'St of Activities - GA Exp'!C615</f>
        <v>Greene</v>
      </c>
      <c r="AV615" s="56"/>
      <c r="AW615" s="32" t="b">
        <f t="shared" si="181"/>
        <v>1</v>
      </c>
    </row>
    <row r="616" spans="1:49">
      <c r="A616" s="11" t="s">
        <v>422</v>
      </c>
      <c r="B616" s="11"/>
      <c r="C616" s="11" t="s">
        <v>45</v>
      </c>
      <c r="D616" s="11"/>
      <c r="E616" s="29">
        <v>45161</v>
      </c>
      <c r="G616" s="7">
        <f t="shared" si="176"/>
        <v>71930311</v>
      </c>
      <c r="I616" s="7">
        <f>1002781+155592668</f>
        <v>156595449</v>
      </c>
      <c r="K616" s="7">
        <v>228525760</v>
      </c>
      <c r="M616" s="7">
        <f t="shared" si="182"/>
        <v>48024041</v>
      </c>
      <c r="O616" s="7">
        <v>1964936</v>
      </c>
      <c r="Q616" s="7">
        <v>42667443</v>
      </c>
      <c r="S616" s="7">
        <v>92656420</v>
      </c>
      <c r="U616" s="7">
        <v>121222546</v>
      </c>
      <c r="W616" s="7">
        <f t="shared" si="170"/>
        <v>23005916</v>
      </c>
      <c r="Y616" s="7">
        <v>-8359122</v>
      </c>
      <c r="AA616" s="7">
        <v>135869340</v>
      </c>
      <c r="AB616" s="7">
        <f t="shared" si="177"/>
        <v>0</v>
      </c>
      <c r="AD616" s="32">
        <f>+G616+I616+-M616-O616-U616-W616-Y616-Q616</f>
        <v>0</v>
      </c>
      <c r="AF616" s="32"/>
      <c r="AH616" s="32" t="str">
        <f>'St of Activites - GA Rev'!A616</f>
        <v>Youngstown City SD</v>
      </c>
      <c r="AI616" s="32" t="str">
        <f t="shared" si="173"/>
        <v>Youngstown City SD</v>
      </c>
      <c r="AJ616" s="32" t="b">
        <f t="shared" si="174"/>
        <v>1</v>
      </c>
      <c r="AL616" s="32" t="str">
        <f>'St of Activities - GA Exp'!A616</f>
        <v>Youngstown City SD</v>
      </c>
      <c r="AN616" s="32" t="b">
        <f t="shared" si="179"/>
        <v>1</v>
      </c>
      <c r="AR616" s="32" t="str">
        <f t="shared" si="180"/>
        <v>Mahoning</v>
      </c>
      <c r="AS616" s="32" t="str">
        <f>'St of Activites - GA Rev'!C616</f>
        <v>Mahoning</v>
      </c>
      <c r="AT616" s="32" t="b">
        <f t="shared" si="175"/>
        <v>1</v>
      </c>
      <c r="AU616" s="32" t="str">
        <f>'St of Activities - GA Exp'!C616</f>
        <v>Mahoning</v>
      </c>
      <c r="AV616" s="56"/>
      <c r="AW616" s="32" t="b">
        <f t="shared" si="181"/>
        <v>1</v>
      </c>
    </row>
    <row r="617" spans="1:49">
      <c r="A617" s="11" t="s">
        <v>492</v>
      </c>
      <c r="B617" s="11"/>
      <c r="C617" s="11" t="s">
        <v>58</v>
      </c>
      <c r="D617" s="11"/>
      <c r="E617" s="29">
        <v>49544</v>
      </c>
      <c r="G617" s="7">
        <f t="shared" si="176"/>
        <v>10895206</v>
      </c>
      <c r="I617" s="7">
        <f>14783652+137750</f>
        <v>14921402</v>
      </c>
      <c r="K617" s="7">
        <v>25816608</v>
      </c>
      <c r="M617" s="7">
        <f t="shared" si="182"/>
        <v>5232086</v>
      </c>
      <c r="O617" s="7">
        <v>379276</v>
      </c>
      <c r="Q617" s="7">
        <v>5751954</v>
      </c>
      <c r="S617" s="7">
        <v>11363316</v>
      </c>
      <c r="U617" s="7">
        <v>9508485</v>
      </c>
      <c r="W617" s="7">
        <f t="shared" si="170"/>
        <v>2300297</v>
      </c>
      <c r="Y617" s="7">
        <v>2644510</v>
      </c>
      <c r="AA617" s="7">
        <v>14453292</v>
      </c>
      <c r="AB617" s="7">
        <f t="shared" si="177"/>
        <v>0</v>
      </c>
      <c r="AD617" s="32">
        <f>+G617+I617+-M617-O617-U617-W617-Y617-Q617</f>
        <v>0</v>
      </c>
      <c r="AF617" s="32"/>
      <c r="AH617" s="32" t="str">
        <f>'St of Activites - GA Rev'!A617</f>
        <v>Zane Trace Local SD</v>
      </c>
      <c r="AI617" s="32" t="str">
        <f t="shared" si="173"/>
        <v>Zane Trace Local SD</v>
      </c>
      <c r="AJ617" s="32" t="b">
        <f t="shared" si="174"/>
        <v>1</v>
      </c>
      <c r="AL617" s="32" t="str">
        <f>'St of Activities - GA Exp'!A617</f>
        <v>Zane Trace Local SD</v>
      </c>
      <c r="AN617" s="32" t="b">
        <f t="shared" si="179"/>
        <v>1</v>
      </c>
      <c r="AR617" s="32" t="str">
        <f t="shared" si="180"/>
        <v>Ross</v>
      </c>
      <c r="AS617" s="32" t="str">
        <f>'St of Activites - GA Rev'!C617</f>
        <v>Ross</v>
      </c>
      <c r="AT617" s="32" t="b">
        <f t="shared" si="175"/>
        <v>1</v>
      </c>
      <c r="AU617" s="32" t="str">
        <f>'St of Activities - GA Exp'!C617</f>
        <v>Ross</v>
      </c>
      <c r="AV617" s="56"/>
      <c r="AW617" s="32" t="b">
        <f t="shared" si="181"/>
        <v>1</v>
      </c>
    </row>
    <row r="618" spans="1:49">
      <c r="A618" s="11" t="s">
        <v>461</v>
      </c>
      <c r="B618" s="11"/>
      <c r="C618" s="11" t="s">
        <v>51</v>
      </c>
      <c r="D618" s="11"/>
      <c r="E618" s="29">
        <v>45179</v>
      </c>
      <c r="G618" s="7">
        <f t="shared" si="176"/>
        <v>41008392</v>
      </c>
      <c r="I618" s="7">
        <f>2694240+84853114</f>
        <v>87547354</v>
      </c>
      <c r="K618" s="7">
        <v>128555746</v>
      </c>
      <c r="M618" s="7">
        <f t="shared" si="182"/>
        <v>20322097</v>
      </c>
      <c r="O618" s="7">
        <v>1202208</v>
      </c>
      <c r="Q618" s="7">
        <v>30860658</v>
      </c>
      <c r="S618" s="7">
        <v>52384963</v>
      </c>
      <c r="U618" s="7">
        <v>57800142</v>
      </c>
      <c r="W618" s="7">
        <f t="shared" si="170"/>
        <v>12260769</v>
      </c>
      <c r="Y618" s="7">
        <v>6109872</v>
      </c>
      <c r="AA618" s="7">
        <v>76170783</v>
      </c>
      <c r="AB618" s="7">
        <f t="shared" si="177"/>
        <v>0</v>
      </c>
      <c r="AD618" s="32">
        <f>+G618+I618+-M618-O618-U618-W618-Y618-Q618</f>
        <v>0</v>
      </c>
      <c r="AF618" s="32"/>
      <c r="AH618" s="32" t="str">
        <f>'St of Activites - GA Rev'!A618</f>
        <v>Zanesville City SD</v>
      </c>
      <c r="AI618" s="32" t="str">
        <f t="shared" si="173"/>
        <v>Zanesville City SD</v>
      </c>
      <c r="AJ618" s="32" t="b">
        <f t="shared" si="174"/>
        <v>1</v>
      </c>
      <c r="AL618" s="32" t="str">
        <f>'St of Activities - GA Exp'!A618</f>
        <v>Zanesville City SD</v>
      </c>
      <c r="AN618" s="32" t="b">
        <f t="shared" si="179"/>
        <v>1</v>
      </c>
      <c r="AR618" s="32" t="str">
        <f t="shared" si="180"/>
        <v>Muskingum</v>
      </c>
      <c r="AS618" s="32" t="str">
        <f>'St of Activites - GA Rev'!C618</f>
        <v>Muskingum</v>
      </c>
      <c r="AT618" s="32" t="b">
        <f t="shared" si="175"/>
        <v>1</v>
      </c>
      <c r="AU618" s="32" t="str">
        <f>'St of Activities - GA Exp'!C618</f>
        <v>Muskingum</v>
      </c>
      <c r="AV618" s="56"/>
      <c r="AW618" s="32" t="b">
        <f t="shared" si="181"/>
        <v>1</v>
      </c>
    </row>
    <row r="619" spans="1:49">
      <c r="AH619" s="32"/>
    </row>
    <row r="620" spans="1:49">
      <c r="AH620" s="32"/>
    </row>
    <row r="621" spans="1:49">
      <c r="AH621" s="32"/>
    </row>
    <row r="622" spans="1:49">
      <c r="AH622" s="32"/>
    </row>
    <row r="623" spans="1:49">
      <c r="AH623" s="32"/>
    </row>
    <row r="626" spans="31:31">
      <c r="AE626" s="32"/>
    </row>
  </sheetData>
  <mergeCells count="4">
    <mergeCell ref="A1:I1"/>
    <mergeCell ref="U7:Y7"/>
    <mergeCell ref="G7:J7"/>
    <mergeCell ref="O7:Q7"/>
  </mergeCells>
  <phoneticPr fontId="3" type="noConversion"/>
  <pageMargins left="0.9" right="0.75" top="0.5" bottom="0.5" header="0.25" footer="0.25"/>
  <pageSetup scale="77" firstPageNumber="6" pageOrder="overThenDown" orientation="portrait" useFirstPageNumber="1" r:id="rId1"/>
  <headerFooter scaleWithDoc="0" alignWithMargins="0"/>
  <colBreaks count="1" manualBreakCount="1">
    <brk id="14" max="617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19"/>
  <sheetViews>
    <sheetView view="pageBreakPreview" zoomScaleNormal="100" zoomScaleSheetLayoutView="100" workbookViewId="0">
      <pane xSplit="6" ySplit="9" topLeftCell="G553" activePane="bottomRight" state="frozen"/>
      <selection pane="topRight" activeCell="G1" sqref="G1"/>
      <selection pane="bottomLeft" activeCell="A10" sqref="A10"/>
      <selection pane="bottomRight" activeCell="I569" sqref="I569"/>
    </sheetView>
  </sheetViews>
  <sheetFormatPr defaultColWidth="9.140625" defaultRowHeight="12"/>
  <cols>
    <col min="1" max="1" width="32" style="7" customWidth="1"/>
    <col min="2" max="2" width="1.7109375" style="7" customWidth="1"/>
    <col min="3" max="3" width="11.7109375" style="7" customWidth="1"/>
    <col min="4" max="4" width="1.7109375" style="7" customWidth="1"/>
    <col min="5" max="5" width="11.7109375" style="7" hidden="1" customWidth="1"/>
    <col min="6" max="6" width="1.7109375" style="7" hidden="1" customWidth="1"/>
    <col min="7" max="7" width="11.7109375" style="7" customWidth="1"/>
    <col min="8" max="8" width="1.7109375" style="7" customWidth="1"/>
    <col min="9" max="9" width="11.7109375" style="7" customWidth="1"/>
    <col min="10" max="10" width="1.7109375" style="7" customWidth="1"/>
    <col min="11" max="11" width="11.7109375" style="7" customWidth="1"/>
    <col min="12" max="12" width="1.7109375" style="7" customWidth="1"/>
    <col min="13" max="13" width="11.7109375" style="7" customWidth="1"/>
    <col min="14" max="14" width="1.7109375" style="7" customWidth="1"/>
    <col min="15" max="15" width="11.7109375" style="7" customWidth="1"/>
    <col min="16" max="16" width="1.7109375" style="7" customWidth="1"/>
    <col min="17" max="17" width="11.7109375" style="7" customWidth="1"/>
    <col min="18" max="18" width="1.7109375" style="7" customWidth="1"/>
    <col min="19" max="19" width="12.28515625" style="7" customWidth="1"/>
    <col min="20" max="20" width="1.7109375" style="7" customWidth="1"/>
    <col min="21" max="21" width="11.7109375" style="7" customWidth="1"/>
    <col min="22" max="22" width="14.28515625" style="7" bestFit="1" customWidth="1"/>
    <col min="23" max="23" width="3.28515625" style="7" customWidth="1"/>
    <col min="24" max="24" width="16.5703125" style="7" customWidth="1"/>
    <col min="25" max="25" width="1.7109375" style="7" customWidth="1"/>
    <col min="26" max="26" width="14.7109375" style="7" customWidth="1"/>
    <col min="27" max="27" width="16.28515625" style="7" customWidth="1"/>
    <col min="28" max="28" width="18" style="7" customWidth="1"/>
    <col min="29" max="16384" width="9.140625" style="7"/>
  </cols>
  <sheetData>
    <row r="1" spans="1:30" s="14" customFormat="1">
      <c r="A1" s="39" t="s">
        <v>80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</row>
    <row r="2" spans="1:30" s="14" customFormat="1">
      <c r="A2" s="39" t="s">
        <v>769</v>
      </c>
      <c r="B2" s="39"/>
      <c r="C2" s="39"/>
      <c r="D2" s="39"/>
      <c r="E2" s="39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</row>
    <row r="3" spans="1:30" s="14" customFormat="1">
      <c r="A3" s="39" t="s">
        <v>622</v>
      </c>
      <c r="B3" s="25"/>
      <c r="C3" s="25"/>
      <c r="D3" s="25"/>
      <c r="E3" s="25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</row>
    <row r="4" spans="1:30">
      <c r="A4" s="14" t="s">
        <v>169</v>
      </c>
    </row>
    <row r="5" spans="1:30" s="14" customFormat="1">
      <c r="A5" s="25"/>
      <c r="B5" s="10"/>
      <c r="C5" s="10"/>
      <c r="D5" s="10"/>
      <c r="E5" s="10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</row>
    <row r="6" spans="1:30">
      <c r="A6" s="59" t="s">
        <v>767</v>
      </c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15" t="s">
        <v>586</v>
      </c>
      <c r="W6" s="15"/>
      <c r="X6" s="15"/>
    </row>
    <row r="7" spans="1:30">
      <c r="A7" s="100"/>
      <c r="B7" s="100"/>
      <c r="C7" s="100"/>
      <c r="D7" s="100"/>
      <c r="E7" s="100"/>
      <c r="F7" s="100"/>
      <c r="G7" s="100" t="s">
        <v>81</v>
      </c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 t="s">
        <v>584</v>
      </c>
      <c r="V7" s="15" t="s">
        <v>587</v>
      </c>
      <c r="W7" s="15"/>
      <c r="X7" s="15"/>
    </row>
    <row r="8" spans="1:30">
      <c r="A8" s="100"/>
      <c r="B8" s="100"/>
      <c r="C8" s="100"/>
      <c r="D8" s="100"/>
      <c r="E8" s="100"/>
      <c r="F8" s="100"/>
      <c r="G8" s="100" t="s">
        <v>83</v>
      </c>
      <c r="H8" s="100"/>
      <c r="I8" s="100"/>
      <c r="J8" s="100"/>
      <c r="K8" s="100" t="s">
        <v>95</v>
      </c>
      <c r="L8" s="100"/>
      <c r="M8" s="100" t="s">
        <v>73</v>
      </c>
      <c r="N8" s="100"/>
      <c r="O8" s="100" t="s">
        <v>94</v>
      </c>
      <c r="P8" s="100"/>
      <c r="Q8" s="100" t="s">
        <v>127</v>
      </c>
      <c r="R8" s="100"/>
      <c r="S8" s="100" t="s">
        <v>1001</v>
      </c>
      <c r="T8" s="100"/>
      <c r="U8" s="15" t="s">
        <v>585</v>
      </c>
      <c r="V8" s="15" t="s">
        <v>588</v>
      </c>
      <c r="W8" s="15"/>
      <c r="X8" s="15"/>
    </row>
    <row r="9" spans="1:30">
      <c r="A9" s="99" t="s">
        <v>200</v>
      </c>
      <c r="B9" s="15"/>
      <c r="C9" s="99" t="s">
        <v>4</v>
      </c>
      <c r="D9" s="15"/>
      <c r="E9" s="99" t="s">
        <v>199</v>
      </c>
      <c r="F9" s="100"/>
      <c r="G9" s="99" t="s">
        <v>84</v>
      </c>
      <c r="H9" s="100"/>
      <c r="I9" s="99" t="s">
        <v>85</v>
      </c>
      <c r="J9" s="100"/>
      <c r="K9" s="99" t="s">
        <v>98</v>
      </c>
      <c r="L9" s="100"/>
      <c r="M9" s="99" t="s">
        <v>96</v>
      </c>
      <c r="N9" s="100"/>
      <c r="O9" s="99" t="s">
        <v>97</v>
      </c>
      <c r="P9" s="100"/>
      <c r="Q9" s="99" t="s">
        <v>86</v>
      </c>
      <c r="R9" s="100"/>
      <c r="S9" s="99" t="s">
        <v>86</v>
      </c>
      <c r="T9" s="100"/>
      <c r="U9" s="99" t="s">
        <v>116</v>
      </c>
      <c r="V9" s="15" t="s">
        <v>100</v>
      </c>
      <c r="W9" s="15"/>
      <c r="X9" s="15"/>
      <c r="Z9" s="7" t="s">
        <v>816</v>
      </c>
      <c r="AA9" s="7" t="s">
        <v>823</v>
      </c>
      <c r="AC9" s="7" t="s">
        <v>815</v>
      </c>
      <c r="AD9" s="7" t="s">
        <v>836</v>
      </c>
    </row>
    <row r="10" spans="1:30">
      <c r="A10" s="12"/>
      <c r="B10" s="12"/>
      <c r="C10" s="12"/>
      <c r="D10" s="12"/>
      <c r="E10" s="12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</row>
    <row r="11" spans="1:30" s="32" customFormat="1">
      <c r="A11" s="31" t="s">
        <v>898</v>
      </c>
      <c r="B11" s="31"/>
      <c r="C11" s="31" t="s">
        <v>201</v>
      </c>
      <c r="D11" s="31"/>
      <c r="E11" s="31">
        <v>61903</v>
      </c>
      <c r="G11" s="32">
        <v>32692885</v>
      </c>
      <c r="I11" s="32">
        <v>0</v>
      </c>
      <c r="K11" s="32">
        <v>0</v>
      </c>
      <c r="M11" s="32">
        <v>0</v>
      </c>
      <c r="O11" s="32">
        <v>2334326</v>
      </c>
      <c r="Q11" s="32">
        <v>0</v>
      </c>
      <c r="S11" s="36">
        <f>SUM(G11:R11)</f>
        <v>35027211</v>
      </c>
      <c r="U11" s="32">
        <v>1703863</v>
      </c>
      <c r="V11" s="32">
        <f>+'St of Net Assets - GA'!O11-'LT _Lia - GA'!U11</f>
        <v>0</v>
      </c>
      <c r="Z11" s="32" t="str">
        <f>A11</f>
        <v>Adams County/Ohio Valley Local SD</v>
      </c>
      <c r="AA11" s="32" t="str">
        <f>'Gov Fnd Exp'!A11</f>
        <v>Adams County/Ohio Valley Local SD</v>
      </c>
      <c r="AB11" s="32" t="b">
        <f>Z11=AA11</f>
        <v>1</v>
      </c>
      <c r="AC11" s="32" t="str">
        <f>C11</f>
        <v>Adams</v>
      </c>
      <c r="AD11" s="32" t="b">
        <f>C11='Gov Fnd Exp'!C11</f>
        <v>1</v>
      </c>
    </row>
    <row r="12" spans="1:30">
      <c r="A12" s="12" t="s">
        <v>607</v>
      </c>
      <c r="B12" s="12"/>
      <c r="C12" s="12" t="s">
        <v>58</v>
      </c>
      <c r="D12" s="12"/>
      <c r="E12" s="12">
        <v>49494</v>
      </c>
      <c r="G12" s="7">
        <f>665000+1085000+25873</f>
        <v>1775873</v>
      </c>
      <c r="I12" s="7">
        <v>0</v>
      </c>
      <c r="K12" s="7">
        <v>0</v>
      </c>
      <c r="M12" s="7">
        <v>1565481</v>
      </c>
      <c r="O12" s="7">
        <v>662482</v>
      </c>
      <c r="Q12" s="7">
        <v>0</v>
      </c>
      <c r="S12" s="8">
        <f t="shared" ref="S12:S68" si="0">SUM(G12:R12)</f>
        <v>4003836</v>
      </c>
      <c r="U12" s="7">
        <v>276214</v>
      </c>
      <c r="V12" s="7">
        <f>+'St of Net Assets - GA'!O12-'LT _Lia - GA'!U12</f>
        <v>0</v>
      </c>
      <c r="Z12" s="7" t="str">
        <f t="shared" ref="Z12:Z76" si="1">A12</f>
        <v xml:space="preserve">Adena Local SD </v>
      </c>
      <c r="AA12" s="7" t="str">
        <f>'Gov Fnd Exp'!A12</f>
        <v xml:space="preserve">Adena Local SD </v>
      </c>
      <c r="AB12" s="7" t="b">
        <f t="shared" ref="AB12:AB76" si="2">Z12=AA12</f>
        <v>1</v>
      </c>
      <c r="AC12" s="7" t="str">
        <f t="shared" ref="AC12:AC75" si="3">C12</f>
        <v>Ross</v>
      </c>
      <c r="AD12" s="7" t="b">
        <f>C12='Gov Fnd Exp'!C12</f>
        <v>1</v>
      </c>
    </row>
    <row r="13" spans="1:30">
      <c r="A13" s="12" t="s">
        <v>522</v>
      </c>
      <c r="B13" s="12"/>
      <c r="C13" s="12" t="s">
        <v>63</v>
      </c>
      <c r="D13" s="12"/>
      <c r="E13" s="12">
        <v>43489</v>
      </c>
      <c r="G13" s="7">
        <v>0</v>
      </c>
      <c r="I13" s="7">
        <v>0</v>
      </c>
      <c r="K13" s="7">
        <v>0</v>
      </c>
      <c r="M13" s="7">
        <v>0</v>
      </c>
      <c r="O13" s="7">
        <v>28614812</v>
      </c>
      <c r="Q13" s="7">
        <v>0</v>
      </c>
      <c r="S13" s="8">
        <f t="shared" si="0"/>
        <v>28614812</v>
      </c>
      <c r="U13" s="7">
        <v>1606535</v>
      </c>
      <c r="V13" s="7">
        <f>+'St of Net Assets - GA'!O13-'LT _Lia - GA'!U13</f>
        <v>0</v>
      </c>
      <c r="Z13" s="7" t="str">
        <f t="shared" si="1"/>
        <v>Akron City SD</v>
      </c>
      <c r="AA13" s="7" t="str">
        <f>'Gov Fnd Exp'!A13</f>
        <v>Akron City SD</v>
      </c>
      <c r="AB13" s="7" t="b">
        <f t="shared" si="2"/>
        <v>1</v>
      </c>
      <c r="AC13" s="7" t="str">
        <f t="shared" si="3"/>
        <v>Summit</v>
      </c>
      <c r="AD13" s="7" t="b">
        <f>C13='Gov Fnd Exp'!C13</f>
        <v>1</v>
      </c>
    </row>
    <row r="14" spans="1:30" hidden="1">
      <c r="A14" s="12" t="s">
        <v>643</v>
      </c>
      <c r="B14" s="12"/>
      <c r="C14" s="12" t="s">
        <v>13</v>
      </c>
      <c r="D14" s="12"/>
      <c r="E14" s="12">
        <v>45906</v>
      </c>
      <c r="S14" s="8">
        <f t="shared" si="0"/>
        <v>0</v>
      </c>
      <c r="V14" s="7">
        <f>+'St of Net Assets - GA'!O14-'LT _Lia - GA'!U14</f>
        <v>0</v>
      </c>
      <c r="X14" s="7" t="s">
        <v>778</v>
      </c>
      <c r="Z14" s="7" t="str">
        <f t="shared" si="1"/>
        <v>Alexander Local SD (CASH)</v>
      </c>
      <c r="AA14" s="7" t="str">
        <f>'Gov Fnd Exp'!A14</f>
        <v>Alexander Local SD (CASH)</v>
      </c>
      <c r="AB14" s="7" t="b">
        <f t="shared" si="2"/>
        <v>1</v>
      </c>
      <c r="AC14" s="7" t="str">
        <f t="shared" si="3"/>
        <v>Athens</v>
      </c>
      <c r="AD14" s="7" t="b">
        <f>C14='Gov Fnd Exp'!C14</f>
        <v>1</v>
      </c>
    </row>
    <row r="15" spans="1:30">
      <c r="A15" s="12" t="s">
        <v>508</v>
      </c>
      <c r="B15" s="12"/>
      <c r="C15" s="12" t="s">
        <v>62</v>
      </c>
      <c r="D15" s="12"/>
      <c r="E15" s="12">
        <v>43497</v>
      </c>
      <c r="G15" s="7">
        <f>14351917-3620948</f>
        <v>10730969</v>
      </c>
      <c r="I15" s="7">
        <v>0</v>
      </c>
      <c r="K15" s="7">
        <v>0</v>
      </c>
      <c r="M15" s="7">
        <v>0</v>
      </c>
      <c r="O15" s="7">
        <v>3620948</v>
      </c>
      <c r="Q15" s="7">
        <v>0</v>
      </c>
      <c r="S15" s="8">
        <f t="shared" si="0"/>
        <v>14351917</v>
      </c>
      <c r="U15" s="7">
        <v>582041</v>
      </c>
      <c r="V15" s="7">
        <f>+'St of Net Assets - GA'!O15-'LT _Lia - GA'!U15</f>
        <v>0</v>
      </c>
      <c r="Z15" s="7" t="str">
        <f t="shared" si="1"/>
        <v>Alliance City SD</v>
      </c>
      <c r="AA15" s="7" t="str">
        <f>'Gov Fnd Exp'!A15</f>
        <v>Alliance City SD</v>
      </c>
      <c r="AB15" s="7" t="b">
        <f t="shared" si="2"/>
        <v>1</v>
      </c>
      <c r="AC15" s="7" t="str">
        <f t="shared" si="3"/>
        <v>Stark</v>
      </c>
      <c r="AD15" s="7" t="b">
        <f>C15='Gov Fnd Exp'!C15</f>
        <v>1</v>
      </c>
    </row>
    <row r="16" spans="1:30">
      <c r="A16" s="12" t="s">
        <v>298</v>
      </c>
      <c r="B16" s="12"/>
      <c r="C16" s="12" t="s">
        <v>25</v>
      </c>
      <c r="D16" s="12"/>
      <c r="E16" s="12">
        <v>46847</v>
      </c>
      <c r="G16" s="7">
        <f>780000+2084998+290435</f>
        <v>3155433</v>
      </c>
      <c r="I16" s="7">
        <v>0</v>
      </c>
      <c r="K16" s="7">
        <v>0</v>
      </c>
      <c r="M16" s="7">
        <v>78644</v>
      </c>
      <c r="O16" s="7">
        <v>366547</v>
      </c>
      <c r="Q16" s="7">
        <v>0</v>
      </c>
      <c r="S16" s="8">
        <f t="shared" si="0"/>
        <v>3600624</v>
      </c>
      <c r="U16" s="7">
        <v>304593</v>
      </c>
      <c r="V16" s="7">
        <f>+'St of Net Assets - GA'!O16-'LT _Lia - GA'!U16</f>
        <v>0</v>
      </c>
      <c r="Z16" s="7" t="str">
        <f t="shared" si="1"/>
        <v>Amanda-Clearcreek Local SD</v>
      </c>
      <c r="AA16" s="7" t="str">
        <f>'Gov Fnd Exp'!A16</f>
        <v>Amanda-Clearcreek Local SD</v>
      </c>
      <c r="AB16" s="7" t="b">
        <f t="shared" si="2"/>
        <v>1</v>
      </c>
      <c r="AC16" s="7" t="str">
        <f t="shared" si="3"/>
        <v>Fairfield</v>
      </c>
      <c r="AD16" s="7" t="b">
        <f>C16='Gov Fnd Exp'!C16</f>
        <v>1</v>
      </c>
    </row>
    <row r="17" spans="1:30">
      <c r="A17" s="12" t="s">
        <v>858</v>
      </c>
      <c r="B17" s="12"/>
      <c r="C17" s="12" t="s">
        <v>44</v>
      </c>
      <c r="D17" s="12"/>
      <c r="E17" s="12">
        <v>45195</v>
      </c>
      <c r="G17" s="7">
        <v>17697187</v>
      </c>
      <c r="I17" s="7">
        <v>0</v>
      </c>
      <c r="K17" s="7">
        <v>0</v>
      </c>
      <c r="M17" s="7">
        <v>0</v>
      </c>
      <c r="O17" s="7">
        <v>3863690</v>
      </c>
      <c r="Q17" s="7">
        <v>0</v>
      </c>
      <c r="S17" s="8">
        <f>SUM(G17:R17)</f>
        <v>21560877</v>
      </c>
      <c r="U17" s="7">
        <v>1583331</v>
      </c>
      <c r="V17" s="7">
        <f>+'St of Net Assets - GA'!O17-'LT _Lia - GA'!U17</f>
        <v>0</v>
      </c>
      <c r="Z17" s="7" t="str">
        <f t="shared" si="1"/>
        <v xml:space="preserve">Amherst Exempted Village SD </v>
      </c>
      <c r="AA17" s="7" t="str">
        <f>'Gov Fnd Exp'!A17</f>
        <v xml:space="preserve">Amherst Exempted Village SD </v>
      </c>
      <c r="AB17" s="7" t="b">
        <f t="shared" si="2"/>
        <v>1</v>
      </c>
      <c r="AC17" s="7" t="str">
        <f t="shared" si="3"/>
        <v>Lorain</v>
      </c>
      <c r="AD17" s="7" t="b">
        <f>C17='Gov Fnd Exp'!C17</f>
        <v>1</v>
      </c>
    </row>
    <row r="18" spans="1:30">
      <c r="A18" s="12" t="s">
        <v>928</v>
      </c>
      <c r="B18" s="12"/>
      <c r="C18" s="12" t="s">
        <v>61</v>
      </c>
      <c r="D18" s="12"/>
      <c r="E18" s="12">
        <v>49759</v>
      </c>
      <c r="G18" s="7">
        <v>3675867</v>
      </c>
      <c r="I18" s="7">
        <v>0</v>
      </c>
      <c r="K18" s="7">
        <v>0</v>
      </c>
      <c r="M18" s="7">
        <v>0</v>
      </c>
      <c r="O18" s="7">
        <v>679420</v>
      </c>
      <c r="Q18" s="7">
        <v>0</v>
      </c>
      <c r="S18" s="8">
        <f t="shared" si="0"/>
        <v>4355287</v>
      </c>
      <c r="U18" s="7">
        <v>313370</v>
      </c>
      <c r="V18" s="7">
        <f>+'St of Net Assets - GA'!O18-'LT _Lia - GA'!U18</f>
        <v>0</v>
      </c>
      <c r="X18" s="7" t="s">
        <v>929</v>
      </c>
      <c r="Z18" s="7" t="str">
        <f t="shared" si="1"/>
        <v>Anna Local SD</v>
      </c>
      <c r="AA18" s="7" t="str">
        <f>'Gov Fnd Exp'!A18</f>
        <v>Anna Local SD</v>
      </c>
      <c r="AB18" s="7" t="b">
        <f t="shared" si="2"/>
        <v>1</v>
      </c>
      <c r="AC18" s="7" t="str">
        <f t="shared" si="3"/>
        <v>Shelby</v>
      </c>
      <c r="AD18" s="7" t="b">
        <f>C18='Gov Fnd Exp'!C18</f>
        <v>1</v>
      </c>
    </row>
    <row r="19" spans="1:30" hidden="1">
      <c r="A19" s="12" t="s">
        <v>727</v>
      </c>
      <c r="B19" s="12"/>
      <c r="C19" s="12" t="s">
        <v>628</v>
      </c>
      <c r="D19" s="12"/>
      <c r="E19" s="12"/>
      <c r="S19" s="8">
        <f t="shared" si="0"/>
        <v>0</v>
      </c>
      <c r="V19" s="7">
        <f>+'St of Net Assets - GA'!O19-'LT _Lia - GA'!U19</f>
        <v>0</v>
      </c>
      <c r="X19" s="7" t="s">
        <v>778</v>
      </c>
      <c r="Z19" s="7" t="str">
        <f t="shared" si="1"/>
        <v>Ansonia Local SD (CASH)</v>
      </c>
      <c r="AA19" s="7" t="str">
        <f>'Gov Fnd Exp'!A19</f>
        <v>Ansonia Local SD (CASH)</v>
      </c>
      <c r="AB19" s="7" t="b">
        <f t="shared" si="2"/>
        <v>1</v>
      </c>
      <c r="AC19" s="7" t="str">
        <f t="shared" si="3"/>
        <v xml:space="preserve">Darke </v>
      </c>
      <c r="AD19" s="7" t="b">
        <f>C19='Gov Fnd Exp'!C19</f>
        <v>1</v>
      </c>
    </row>
    <row r="20" spans="1:30">
      <c r="A20" s="12" t="s">
        <v>402</v>
      </c>
      <c r="B20" s="12"/>
      <c r="C20" s="12" t="s">
        <v>115</v>
      </c>
      <c r="D20" s="12"/>
      <c r="E20" s="12">
        <v>48207</v>
      </c>
      <c r="G20" s="7">
        <v>22892046</v>
      </c>
      <c r="I20" s="7">
        <v>0</v>
      </c>
      <c r="K20" s="7">
        <v>0</v>
      </c>
      <c r="M20" s="7">
        <v>0</v>
      </c>
      <c r="O20" s="7">
        <v>1680355</v>
      </c>
      <c r="Q20" s="7">
        <v>0</v>
      </c>
      <c r="S20" s="8">
        <f t="shared" si="0"/>
        <v>24572401</v>
      </c>
      <c r="U20" s="7">
        <v>1512923</v>
      </c>
      <c r="V20" s="7">
        <f>+'St of Net Assets - GA'!O20-'LT _Lia - GA'!U20</f>
        <v>0</v>
      </c>
      <c r="Z20" s="7" t="str">
        <f t="shared" si="1"/>
        <v>Anthony Wayne Local SD</v>
      </c>
      <c r="AA20" s="7" t="str">
        <f>'Gov Fnd Exp'!A20</f>
        <v>Anthony Wayne Local SD</v>
      </c>
      <c r="AB20" s="7" t="b">
        <f t="shared" si="2"/>
        <v>1</v>
      </c>
      <c r="AC20" s="7" t="str">
        <f t="shared" si="3"/>
        <v>Lucas</v>
      </c>
      <c r="AD20" s="7" t="b">
        <f>C20='Gov Fnd Exp'!C20</f>
        <v>1</v>
      </c>
    </row>
    <row r="21" spans="1:30">
      <c r="A21" s="12" t="s">
        <v>343</v>
      </c>
      <c r="B21" s="12"/>
      <c r="C21" s="12" t="s">
        <v>33</v>
      </c>
      <c r="D21" s="12"/>
      <c r="E21" s="12">
        <v>47415</v>
      </c>
      <c r="G21" s="7">
        <v>0</v>
      </c>
      <c r="I21" s="7">
        <v>0</v>
      </c>
      <c r="K21" s="7">
        <v>0</v>
      </c>
      <c r="M21" s="7">
        <v>0</v>
      </c>
      <c r="O21" s="7">
        <v>368448</v>
      </c>
      <c r="Q21" s="7">
        <v>0</v>
      </c>
      <c r="S21" s="8">
        <f t="shared" si="0"/>
        <v>368448</v>
      </c>
      <c r="U21" s="7">
        <v>8565</v>
      </c>
      <c r="V21" s="7">
        <f>+'St of Net Assets - GA'!O21-'LT _Lia - GA'!U21</f>
        <v>0</v>
      </c>
      <c r="Z21" s="7" t="str">
        <f t="shared" si="1"/>
        <v>Arcadia Local SD</v>
      </c>
      <c r="AA21" s="7" t="str">
        <f>'Gov Fnd Exp'!A21</f>
        <v>Arcadia Local SD</v>
      </c>
      <c r="AB21" s="7" t="b">
        <f t="shared" si="2"/>
        <v>1</v>
      </c>
      <c r="AC21" s="7" t="str">
        <f t="shared" si="3"/>
        <v>Hancock</v>
      </c>
      <c r="AD21" s="7" t="b">
        <f>C21='Gov Fnd Exp'!C21</f>
        <v>1</v>
      </c>
    </row>
    <row r="22" spans="1:30" hidden="1">
      <c r="A22" s="12" t="s">
        <v>702</v>
      </c>
      <c r="B22" s="12"/>
      <c r="C22" s="12" t="s">
        <v>21</v>
      </c>
      <c r="D22" s="12"/>
      <c r="E22" s="12">
        <v>46631</v>
      </c>
      <c r="S22" s="8">
        <f t="shared" si="0"/>
        <v>0</v>
      </c>
      <c r="V22" s="7">
        <f>+'St of Net Assets - GA'!O22-'LT _Lia - GA'!U22</f>
        <v>0</v>
      </c>
      <c r="X22" s="7" t="s">
        <v>778</v>
      </c>
      <c r="Z22" s="7" t="str">
        <f t="shared" si="1"/>
        <v>Arcanum Butler Local SD (CASH)</v>
      </c>
      <c r="AA22" s="7" t="str">
        <f>'Gov Fnd Exp'!A22</f>
        <v>Arcanum Butler Local SD (CASH)</v>
      </c>
      <c r="AB22" s="7" t="b">
        <f t="shared" si="2"/>
        <v>1</v>
      </c>
      <c r="AC22" s="7" t="str">
        <f t="shared" si="3"/>
        <v>Darke</v>
      </c>
      <c r="AD22" s="7" t="b">
        <f>C22='Gov Fnd Exp'!C22</f>
        <v>1</v>
      </c>
    </row>
    <row r="23" spans="1:30">
      <c r="A23" s="12" t="s">
        <v>318</v>
      </c>
      <c r="B23" s="12"/>
      <c r="C23" s="12" t="s">
        <v>28</v>
      </c>
      <c r="D23" s="12"/>
      <c r="E23" s="12">
        <v>47043</v>
      </c>
      <c r="G23" s="7">
        <v>10853389</v>
      </c>
      <c r="I23" s="7">
        <v>0</v>
      </c>
      <c r="K23" s="7">
        <v>0</v>
      </c>
      <c r="M23" s="7">
        <v>0</v>
      </c>
      <c r="O23" s="7">
        <v>963181</v>
      </c>
      <c r="Q23" s="7">
        <v>0</v>
      </c>
      <c r="S23" s="8">
        <f t="shared" si="0"/>
        <v>11816570</v>
      </c>
      <c r="U23" s="7">
        <v>1346007</v>
      </c>
      <c r="V23" s="7">
        <f>+'St of Net Assets - GA'!O23-'LT _Lia - GA'!U23</f>
        <v>0</v>
      </c>
      <c r="Z23" s="7" t="str">
        <f t="shared" si="1"/>
        <v>Archbold-Area Local SD</v>
      </c>
      <c r="AA23" s="7" t="str">
        <f>'Gov Fnd Exp'!A23</f>
        <v>Archbold-Area Local SD</v>
      </c>
      <c r="AB23" s="7" t="b">
        <f t="shared" si="2"/>
        <v>1</v>
      </c>
      <c r="AC23" s="7" t="str">
        <f t="shared" si="3"/>
        <v>Fulton</v>
      </c>
      <c r="AD23" s="7" t="b">
        <f>C23='Gov Fnd Exp'!C23</f>
        <v>1</v>
      </c>
    </row>
    <row r="24" spans="1:30">
      <c r="A24" s="12" t="s">
        <v>344</v>
      </c>
      <c r="B24" s="12"/>
      <c r="C24" s="12" t="s">
        <v>33</v>
      </c>
      <c r="D24" s="12"/>
      <c r="E24" s="12">
        <v>47423</v>
      </c>
      <c r="G24" s="7">
        <v>880000</v>
      </c>
      <c r="I24" s="7">
        <v>0</v>
      </c>
      <c r="K24" s="7">
        <v>0</v>
      </c>
      <c r="M24" s="7">
        <v>0</v>
      </c>
      <c r="O24" s="7">
        <v>539225</v>
      </c>
      <c r="Q24" s="7">
        <v>0</v>
      </c>
      <c r="S24" s="8">
        <f t="shared" si="0"/>
        <v>1419225</v>
      </c>
      <c r="U24" s="7">
        <v>154574</v>
      </c>
      <c r="V24" s="7">
        <f>+'St of Net Assets - GA'!O24-'LT _Lia - GA'!U24</f>
        <v>0</v>
      </c>
      <c r="Z24" s="7" t="str">
        <f t="shared" si="1"/>
        <v>Arlington Local SD</v>
      </c>
      <c r="AA24" s="7" t="str">
        <f>'Gov Fnd Exp'!A24</f>
        <v>Arlington Local SD</v>
      </c>
      <c r="AB24" s="7" t="b">
        <f t="shared" si="2"/>
        <v>1</v>
      </c>
      <c r="AC24" s="7" t="str">
        <f t="shared" si="3"/>
        <v>Hancock</v>
      </c>
      <c r="AD24" s="7" t="b">
        <f>C24='Gov Fnd Exp'!C24</f>
        <v>1</v>
      </c>
    </row>
    <row r="25" spans="1:30">
      <c r="A25" s="12" t="s">
        <v>204</v>
      </c>
      <c r="B25" s="12"/>
      <c r="C25" s="12" t="s">
        <v>11</v>
      </c>
      <c r="D25" s="12"/>
      <c r="E25" s="12">
        <v>43505</v>
      </c>
      <c r="G25" s="7">
        <v>3400955</v>
      </c>
      <c r="I25" s="7">
        <v>86000</v>
      </c>
      <c r="K25" s="7">
        <v>0</v>
      </c>
      <c r="M25" s="7">
        <v>0</v>
      </c>
      <c r="O25" s="7">
        <v>2517218</v>
      </c>
      <c r="Q25" s="7">
        <v>0</v>
      </c>
      <c r="S25" s="8">
        <f t="shared" si="0"/>
        <v>6004173</v>
      </c>
      <c r="U25" s="7">
        <v>554089</v>
      </c>
      <c r="V25" s="7">
        <f>+'St of Net Assets - GA'!O25-'LT _Lia - GA'!U25</f>
        <v>0</v>
      </c>
      <c r="Z25" s="7" t="str">
        <f t="shared" si="1"/>
        <v>Ashland City SD</v>
      </c>
      <c r="AA25" s="7" t="str">
        <f>'Gov Fnd Exp'!A25</f>
        <v>Ashland City SD</v>
      </c>
      <c r="AB25" s="7" t="b">
        <f t="shared" si="2"/>
        <v>1</v>
      </c>
      <c r="AC25" s="7" t="str">
        <f t="shared" si="3"/>
        <v>Ashland</v>
      </c>
      <c r="AD25" s="7" t="b">
        <f>C25='Gov Fnd Exp'!C25</f>
        <v>1</v>
      </c>
    </row>
    <row r="26" spans="1:30">
      <c r="A26" s="12" t="s">
        <v>701</v>
      </c>
      <c r="B26" s="12"/>
      <c r="C26" s="12" t="s">
        <v>12</v>
      </c>
      <c r="D26" s="12"/>
      <c r="E26" s="12">
        <v>43513</v>
      </c>
      <c r="G26" s="7">
        <f>35475000+208699+258383</f>
        <v>35942082</v>
      </c>
      <c r="I26" s="7">
        <v>0</v>
      </c>
      <c r="K26" s="7">
        <v>0</v>
      </c>
      <c r="M26" s="7">
        <v>0</v>
      </c>
      <c r="O26" s="7">
        <v>3032561</v>
      </c>
      <c r="Q26" s="7">
        <v>336193</v>
      </c>
      <c r="S26" s="8">
        <f t="shared" si="0"/>
        <v>39310836</v>
      </c>
      <c r="U26" s="7">
        <v>2346449</v>
      </c>
      <c r="V26" s="7">
        <f>+'St of Net Assets - GA'!O26-'LT _Lia - GA'!U26</f>
        <v>0</v>
      </c>
      <c r="Z26" s="7" t="str">
        <f t="shared" si="1"/>
        <v xml:space="preserve">Ashtabula Area City SD </v>
      </c>
      <c r="AA26" s="7" t="str">
        <f>'Gov Fnd Exp'!A26</f>
        <v xml:space="preserve">Ashtabula Area City SD </v>
      </c>
      <c r="AB26" s="7" t="b">
        <f t="shared" si="2"/>
        <v>1</v>
      </c>
      <c r="AC26" s="7" t="str">
        <f t="shared" si="3"/>
        <v>Ashtabula</v>
      </c>
      <c r="AD26" s="7" t="b">
        <f>C26='Gov Fnd Exp'!C26</f>
        <v>1</v>
      </c>
    </row>
    <row r="27" spans="1:30">
      <c r="A27" s="12" t="s">
        <v>211</v>
      </c>
      <c r="B27" s="12"/>
      <c r="C27" s="12" t="s">
        <v>13</v>
      </c>
      <c r="D27" s="12"/>
      <c r="E27" s="12">
        <v>43521</v>
      </c>
      <c r="G27" s="7">
        <f>2815000+8405000+140000+660482+852230</f>
        <v>12872712</v>
      </c>
      <c r="I27" s="7">
        <v>0</v>
      </c>
      <c r="K27" s="7">
        <v>0</v>
      </c>
      <c r="M27" s="7">
        <v>0</v>
      </c>
      <c r="O27" s="7">
        <v>1606110</v>
      </c>
      <c r="Q27" s="7">
        <v>0</v>
      </c>
      <c r="S27" s="8">
        <f t="shared" si="0"/>
        <v>14478822</v>
      </c>
      <c r="U27" s="7">
        <v>944322</v>
      </c>
      <c r="V27" s="7">
        <f>+'St of Net Assets - GA'!O27-'LT _Lia - GA'!U27</f>
        <v>0</v>
      </c>
      <c r="Z27" s="7" t="str">
        <f t="shared" si="1"/>
        <v>Athens City SD</v>
      </c>
      <c r="AA27" s="7" t="str">
        <f>'Gov Fnd Exp'!A27</f>
        <v>Athens City SD</v>
      </c>
      <c r="AB27" s="7" t="b">
        <f t="shared" si="2"/>
        <v>1</v>
      </c>
      <c r="AC27" s="7" t="str">
        <f t="shared" si="3"/>
        <v>Athens</v>
      </c>
      <c r="AD27" s="7" t="b">
        <f>C27='Gov Fnd Exp'!C27</f>
        <v>1</v>
      </c>
    </row>
    <row r="28" spans="1:30">
      <c r="A28" s="12" t="s">
        <v>474</v>
      </c>
      <c r="B28" s="12"/>
      <c r="C28" s="12" t="s">
        <v>56</v>
      </c>
      <c r="D28" s="12"/>
      <c r="E28" s="12">
        <v>49171</v>
      </c>
      <c r="G28" s="7">
        <v>24282735</v>
      </c>
      <c r="I28" s="7">
        <v>0</v>
      </c>
      <c r="K28" s="7">
        <v>0</v>
      </c>
      <c r="M28" s="7">
        <v>0</v>
      </c>
      <c r="O28" s="7">
        <v>2266146</v>
      </c>
      <c r="Q28" s="7">
        <v>9202338</v>
      </c>
      <c r="S28" s="8">
        <f t="shared" si="0"/>
        <v>35751219</v>
      </c>
      <c r="U28" s="7">
        <v>2177475</v>
      </c>
      <c r="V28" s="7">
        <f>+'St of Net Assets - GA'!O28-'LT _Lia - GA'!U28</f>
        <v>0</v>
      </c>
      <c r="Z28" s="7" t="str">
        <f t="shared" si="1"/>
        <v>Aurora City SD</v>
      </c>
      <c r="AA28" s="7" t="str">
        <f>'Gov Fnd Exp'!A28</f>
        <v>Aurora City SD</v>
      </c>
      <c r="AB28" s="7" t="b">
        <f t="shared" si="2"/>
        <v>1</v>
      </c>
      <c r="AC28" s="7" t="str">
        <f t="shared" si="3"/>
        <v>Portage</v>
      </c>
      <c r="AD28" s="7" t="b">
        <f>C28='Gov Fnd Exp'!C28</f>
        <v>1</v>
      </c>
    </row>
    <row r="29" spans="1:30">
      <c r="A29" s="12" t="s">
        <v>414</v>
      </c>
      <c r="B29" s="12"/>
      <c r="C29" s="12" t="s">
        <v>45</v>
      </c>
      <c r="D29" s="12"/>
      <c r="E29" s="12">
        <v>48298</v>
      </c>
      <c r="G29" s="7">
        <v>49907750</v>
      </c>
      <c r="I29" s="7">
        <v>295855</v>
      </c>
      <c r="K29" s="7">
        <v>0</v>
      </c>
      <c r="M29" s="7">
        <v>0</v>
      </c>
      <c r="O29" s="7">
        <v>3149718</v>
      </c>
      <c r="Q29" s="7">
        <v>128000</v>
      </c>
      <c r="S29" s="8">
        <f t="shared" si="0"/>
        <v>53481323</v>
      </c>
      <c r="U29" s="7">
        <v>1751688</v>
      </c>
      <c r="V29" s="7">
        <f>+'St of Net Assets - GA'!O29-'LT _Lia - GA'!U29</f>
        <v>0</v>
      </c>
      <c r="Z29" s="7" t="str">
        <f t="shared" si="1"/>
        <v>Austintown Local SD</v>
      </c>
      <c r="AA29" s="7" t="str">
        <f>'Gov Fnd Exp'!A29</f>
        <v>Austintown Local SD</v>
      </c>
      <c r="AB29" s="7" t="b">
        <f t="shared" si="2"/>
        <v>1</v>
      </c>
      <c r="AC29" s="7" t="str">
        <f t="shared" si="3"/>
        <v>Mahoning</v>
      </c>
      <c r="AD29" s="7" t="b">
        <f>C29='Gov Fnd Exp'!C29</f>
        <v>1</v>
      </c>
    </row>
    <row r="30" spans="1:30">
      <c r="A30" s="12" t="s">
        <v>392</v>
      </c>
      <c r="B30" s="12"/>
      <c r="C30" s="12" t="s">
        <v>44</v>
      </c>
      <c r="D30" s="12"/>
      <c r="E30" s="12">
        <v>48124</v>
      </c>
      <c r="G30" s="7">
        <v>56888584</v>
      </c>
      <c r="I30" s="7">
        <v>0</v>
      </c>
      <c r="K30" s="7">
        <v>220000</v>
      </c>
      <c r="M30" s="7">
        <v>148517</v>
      </c>
      <c r="O30" s="7">
        <v>4366807</v>
      </c>
      <c r="Q30" s="7">
        <v>0</v>
      </c>
      <c r="S30" s="8">
        <f t="shared" si="0"/>
        <v>61623908</v>
      </c>
      <c r="U30" s="7">
        <v>2247711</v>
      </c>
      <c r="V30" s="7">
        <f>+'St of Net Assets - GA'!O30-'LT _Lia - GA'!U30</f>
        <v>0</v>
      </c>
      <c r="Z30" s="7" t="str">
        <f t="shared" si="1"/>
        <v>Avon Lake City SD</v>
      </c>
      <c r="AA30" s="7" t="str">
        <f>'Gov Fnd Exp'!A30</f>
        <v>Avon Lake City SD</v>
      </c>
      <c r="AB30" s="7" t="b">
        <f t="shared" si="2"/>
        <v>1</v>
      </c>
      <c r="AC30" s="7" t="str">
        <f t="shared" si="3"/>
        <v>Lorain</v>
      </c>
      <c r="AD30" s="7" t="b">
        <f>C30='Gov Fnd Exp'!C30</f>
        <v>1</v>
      </c>
    </row>
    <row r="31" spans="1:30">
      <c r="A31" s="12" t="s">
        <v>393</v>
      </c>
      <c r="B31" s="12"/>
      <c r="C31" s="12" t="s">
        <v>44</v>
      </c>
      <c r="D31" s="12"/>
      <c r="E31" s="12">
        <v>48116</v>
      </c>
      <c r="G31" s="7">
        <f>32540000+1099964+1260803</f>
        <v>34900767</v>
      </c>
      <c r="I31" s="7">
        <v>0</v>
      </c>
      <c r="K31" s="7">
        <v>110000</v>
      </c>
      <c r="M31" s="7">
        <v>0</v>
      </c>
      <c r="O31" s="7">
        <v>2595919</v>
      </c>
      <c r="Q31" s="7">
        <v>0</v>
      </c>
      <c r="S31" s="8">
        <f t="shared" si="0"/>
        <v>37606686</v>
      </c>
      <c r="U31" s="7">
        <v>2165870</v>
      </c>
      <c r="V31" s="7">
        <f>+'St of Net Assets - GA'!O31-'LT _Lia - GA'!U31</f>
        <v>0</v>
      </c>
      <c r="Z31" s="7" t="str">
        <f t="shared" si="1"/>
        <v>Avon Local SD</v>
      </c>
      <c r="AA31" s="7" t="str">
        <f>'Gov Fnd Exp'!A31</f>
        <v>Avon Local SD</v>
      </c>
      <c r="AB31" s="7" t="b">
        <f t="shared" si="2"/>
        <v>1</v>
      </c>
      <c r="AC31" s="7" t="str">
        <f t="shared" si="3"/>
        <v>Lorain</v>
      </c>
      <c r="AD31" s="7" t="b">
        <f>C31='Gov Fnd Exp'!C31</f>
        <v>1</v>
      </c>
    </row>
    <row r="32" spans="1:30">
      <c r="A32" s="12" t="s">
        <v>289</v>
      </c>
      <c r="B32" s="12"/>
      <c r="C32" s="12" t="s">
        <v>22</v>
      </c>
      <c r="D32" s="12"/>
      <c r="E32" s="12">
        <v>46706</v>
      </c>
      <c r="G32" s="7">
        <v>0</v>
      </c>
      <c r="I32" s="7">
        <v>0</v>
      </c>
      <c r="K32" s="7">
        <v>0</v>
      </c>
      <c r="M32" s="7">
        <f>60591+85627</f>
        <v>146218</v>
      </c>
      <c r="O32" s="7">
        <v>704327</v>
      </c>
      <c r="Q32" s="7">
        <v>0</v>
      </c>
      <c r="S32" s="8">
        <f t="shared" si="0"/>
        <v>850545</v>
      </c>
      <c r="U32" s="7">
        <v>172635</v>
      </c>
      <c r="V32" s="7">
        <f>+'St of Net Assets - GA'!O32-'LT _Lia - GA'!U32</f>
        <v>0</v>
      </c>
      <c r="Z32" s="7" t="str">
        <f t="shared" si="1"/>
        <v>Ayersville Local SD</v>
      </c>
      <c r="AA32" s="7" t="str">
        <f>'Gov Fnd Exp'!A32</f>
        <v>Ayersville Local SD</v>
      </c>
      <c r="AB32" s="7" t="b">
        <f t="shared" si="2"/>
        <v>1</v>
      </c>
      <c r="AC32" s="7" t="str">
        <f t="shared" si="3"/>
        <v>Defiance</v>
      </c>
      <c r="AD32" s="7" t="b">
        <f>C32='Gov Fnd Exp'!C32</f>
        <v>1</v>
      </c>
    </row>
    <row r="33" spans="1:30">
      <c r="A33" s="12" t="s">
        <v>523</v>
      </c>
      <c r="B33" s="12"/>
      <c r="C33" s="12" t="s">
        <v>63</v>
      </c>
      <c r="D33" s="12"/>
      <c r="E33" s="12">
        <v>43539</v>
      </c>
      <c r="G33" s="7">
        <f>54067639+1935790-805793</f>
        <v>55197636</v>
      </c>
      <c r="I33" s="7">
        <v>0</v>
      </c>
      <c r="K33" s="7">
        <v>145000</v>
      </c>
      <c r="M33" s="7">
        <v>0</v>
      </c>
      <c r="O33" s="7">
        <v>2018556</v>
      </c>
      <c r="Q33" s="7">
        <v>0</v>
      </c>
      <c r="S33" s="8">
        <f t="shared" si="0"/>
        <v>57361192</v>
      </c>
      <c r="U33" s="7">
        <v>2424320</v>
      </c>
      <c r="V33" s="7">
        <f>+'St of Net Assets - GA'!O33-'LT _Lia - GA'!U33</f>
        <v>0</v>
      </c>
      <c r="Z33" s="7" t="str">
        <f t="shared" si="1"/>
        <v>Barberton City SD</v>
      </c>
      <c r="AA33" s="7" t="str">
        <f>'Gov Fnd Exp'!A33</f>
        <v>Barberton City SD</v>
      </c>
      <c r="AB33" s="7" t="b">
        <f t="shared" si="2"/>
        <v>1</v>
      </c>
      <c r="AC33" s="7" t="str">
        <f t="shared" si="3"/>
        <v>Summit</v>
      </c>
      <c r="AD33" s="7" t="b">
        <f>C33='Gov Fnd Exp'!C33</f>
        <v>1</v>
      </c>
    </row>
    <row r="34" spans="1:30">
      <c r="A34" s="12" t="s">
        <v>859</v>
      </c>
      <c r="B34" s="12"/>
      <c r="C34" s="12" t="s">
        <v>15</v>
      </c>
      <c r="D34" s="12"/>
      <c r="E34" s="12"/>
      <c r="G34" s="7">
        <f>745000+1470000+94999+132737+83694+-88619+670000</f>
        <v>3107811</v>
      </c>
      <c r="I34" s="7">
        <v>0</v>
      </c>
      <c r="K34" s="7">
        <v>0</v>
      </c>
      <c r="M34" s="7">
        <v>26485</v>
      </c>
      <c r="O34" s="7">
        <v>674076</v>
      </c>
      <c r="Q34" s="7">
        <v>0</v>
      </c>
      <c r="S34" s="8">
        <f t="shared" ref="S34" si="4">SUM(G34:R34)</f>
        <v>3808372</v>
      </c>
      <c r="U34" s="7">
        <v>275741</v>
      </c>
      <c r="V34" s="7">
        <f>+'St of Net Assets - GA'!O34-'LT _Lia - GA'!U34</f>
        <v>0</v>
      </c>
      <c r="Z34" s="7" t="str">
        <f t="shared" si="1"/>
        <v>Barnesville Exempted Village SD</v>
      </c>
      <c r="AA34" s="7" t="str">
        <f>'Gov Fnd Exp'!A34</f>
        <v>Barnesville Exempted Village SD</v>
      </c>
      <c r="AB34" s="7" t="b">
        <f t="shared" si="2"/>
        <v>1</v>
      </c>
      <c r="AC34" s="7" t="str">
        <f t="shared" si="3"/>
        <v>Belmont</v>
      </c>
      <c r="AD34" s="7" t="b">
        <f>C34='Gov Fnd Exp'!C34</f>
        <v>1</v>
      </c>
    </row>
    <row r="35" spans="1:30">
      <c r="A35" s="12" t="s">
        <v>242</v>
      </c>
      <c r="B35" s="12"/>
      <c r="C35" s="12" t="s">
        <v>113</v>
      </c>
      <c r="D35" s="12"/>
      <c r="E35" s="12">
        <v>46300</v>
      </c>
      <c r="G35" s="7">
        <f>5356415+568983</f>
        <v>5925398</v>
      </c>
      <c r="I35" s="7">
        <v>0</v>
      </c>
      <c r="K35" s="7">
        <v>0</v>
      </c>
      <c r="M35" s="7">
        <v>480000</v>
      </c>
      <c r="O35" s="7">
        <v>917749</v>
      </c>
      <c r="Q35" s="7">
        <v>0</v>
      </c>
      <c r="S35" s="8">
        <f t="shared" si="0"/>
        <v>7323147</v>
      </c>
      <c r="U35" s="7">
        <v>523886</v>
      </c>
      <c r="V35" s="7">
        <f>+'St of Net Assets - GA'!O35-'LT _Lia - GA'!U35</f>
        <v>0</v>
      </c>
      <c r="Z35" s="7" t="str">
        <f t="shared" si="1"/>
        <v>Batavia Local SD</v>
      </c>
      <c r="AA35" s="7" t="str">
        <f>'Gov Fnd Exp'!A35</f>
        <v>Batavia Local SD</v>
      </c>
      <c r="AB35" s="7" t="b">
        <f t="shared" si="2"/>
        <v>1</v>
      </c>
      <c r="AC35" s="7" t="str">
        <f t="shared" si="3"/>
        <v>Clermont</v>
      </c>
      <c r="AD35" s="7" t="b">
        <f>C35='Gov Fnd Exp'!C35</f>
        <v>1</v>
      </c>
    </row>
    <row r="36" spans="1:30" hidden="1">
      <c r="A36" s="12" t="s">
        <v>703</v>
      </c>
      <c r="B36" s="12"/>
      <c r="C36" s="12" t="s">
        <v>10</v>
      </c>
      <c r="D36" s="12"/>
      <c r="E36" s="12">
        <v>45765</v>
      </c>
      <c r="S36" s="8">
        <f t="shared" ref="S36" si="5">SUM(G36:R36)</f>
        <v>0</v>
      </c>
      <c r="V36" s="7">
        <f>+'St of Net Assets - GA'!O36-'LT _Lia - GA'!U36</f>
        <v>0</v>
      </c>
      <c r="X36" s="7" t="s">
        <v>778</v>
      </c>
      <c r="Z36" s="7" t="str">
        <f t="shared" si="1"/>
        <v>Bath Local SD (CASH)</v>
      </c>
      <c r="AA36" s="7" t="str">
        <f>'Gov Fnd Exp'!A36</f>
        <v>Bath Local SD (CASH)</v>
      </c>
      <c r="AB36" s="7" t="b">
        <f t="shared" si="2"/>
        <v>1</v>
      </c>
      <c r="AC36" s="7" t="str">
        <f t="shared" si="3"/>
        <v>Allen</v>
      </c>
      <c r="AD36" s="7" t="b">
        <f>C36='Gov Fnd Exp'!C36</f>
        <v>1</v>
      </c>
    </row>
    <row r="37" spans="1:30">
      <c r="A37" s="12" t="s">
        <v>661</v>
      </c>
      <c r="B37" s="12"/>
      <c r="C37" s="12" t="s">
        <v>20</v>
      </c>
      <c r="D37" s="12"/>
      <c r="E37" s="12">
        <v>43547</v>
      </c>
      <c r="G37" s="7">
        <v>14571384</v>
      </c>
      <c r="I37" s="7">
        <v>0</v>
      </c>
      <c r="K37" s="7">
        <v>0</v>
      </c>
      <c r="M37" s="7">
        <v>0</v>
      </c>
      <c r="O37" s="7">
        <v>3819501</v>
      </c>
      <c r="Q37" s="7">
        <v>1835000</v>
      </c>
      <c r="S37" s="8">
        <f t="shared" si="0"/>
        <v>20225885</v>
      </c>
      <c r="U37" s="7">
        <v>1397811</v>
      </c>
      <c r="V37" s="7">
        <f>+'St of Net Assets - GA'!O37-'LT _Lia - GA'!U37</f>
        <v>0</v>
      </c>
      <c r="Z37" s="7" t="str">
        <f t="shared" si="1"/>
        <v xml:space="preserve">Bay Village City SD </v>
      </c>
      <c r="AA37" s="7" t="str">
        <f>'Gov Fnd Exp'!A37</f>
        <v xml:space="preserve">Bay Village City SD </v>
      </c>
      <c r="AB37" s="7" t="b">
        <f t="shared" si="2"/>
        <v>1</v>
      </c>
      <c r="AC37" s="7" t="str">
        <f t="shared" si="3"/>
        <v>Cuyahoga</v>
      </c>
      <c r="AD37" s="7" t="b">
        <f>C37='Gov Fnd Exp'!C37</f>
        <v>1</v>
      </c>
    </row>
    <row r="38" spans="1:30">
      <c r="A38" s="12" t="s">
        <v>267</v>
      </c>
      <c r="B38" s="12"/>
      <c r="C38" s="12" t="s">
        <v>20</v>
      </c>
      <c r="D38" s="12"/>
      <c r="E38" s="12">
        <v>43554</v>
      </c>
      <c r="G38" s="7">
        <v>41606009</v>
      </c>
      <c r="I38" s="7">
        <v>0</v>
      </c>
      <c r="K38" s="7">
        <v>5105000</v>
      </c>
      <c r="M38" s="7">
        <v>178426</v>
      </c>
      <c r="O38" s="7">
        <v>2511678</v>
      </c>
      <c r="Q38" s="7">
        <v>0</v>
      </c>
      <c r="S38" s="8">
        <f t="shared" si="0"/>
        <v>49401113</v>
      </c>
      <c r="U38" s="7">
        <v>2528610</v>
      </c>
      <c r="V38" s="7">
        <f>+'St of Net Assets - GA'!O38-'LT _Lia - GA'!U38</f>
        <v>0</v>
      </c>
      <c r="Z38" s="7" t="str">
        <f t="shared" si="1"/>
        <v>Beachwood City SD</v>
      </c>
      <c r="AA38" s="7" t="str">
        <f>'Gov Fnd Exp'!A38</f>
        <v>Beachwood City SD</v>
      </c>
      <c r="AB38" s="7" t="b">
        <f t="shared" si="2"/>
        <v>1</v>
      </c>
      <c r="AC38" s="7" t="str">
        <f t="shared" si="3"/>
        <v>Cuyahoga</v>
      </c>
      <c r="AD38" s="7" t="b">
        <f>C38='Gov Fnd Exp'!C38</f>
        <v>1</v>
      </c>
    </row>
    <row r="39" spans="1:30">
      <c r="A39" s="12" t="s">
        <v>252</v>
      </c>
      <c r="B39" s="12"/>
      <c r="C39" s="12" t="s">
        <v>112</v>
      </c>
      <c r="D39" s="12"/>
      <c r="E39" s="12">
        <v>46425</v>
      </c>
      <c r="G39" s="7">
        <v>0</v>
      </c>
      <c r="I39" s="7">
        <f>155335+444500</f>
        <v>599835</v>
      </c>
      <c r="K39" s="7">
        <v>0</v>
      </c>
      <c r="M39" s="7">
        <v>313297</v>
      </c>
      <c r="O39" s="7">
        <v>934409</v>
      </c>
      <c r="Q39" s="7">
        <v>0</v>
      </c>
      <c r="S39" s="8">
        <f t="shared" si="0"/>
        <v>1847541</v>
      </c>
      <c r="U39" s="7">
        <v>538822</v>
      </c>
      <c r="V39" s="7">
        <f>+'St of Net Assets - GA'!O39-'LT _Lia - GA'!U39</f>
        <v>0</v>
      </c>
      <c r="Z39" s="7" t="str">
        <f t="shared" si="1"/>
        <v>Beaver Local SD</v>
      </c>
      <c r="AA39" s="7" t="str">
        <f>'Gov Fnd Exp'!A39</f>
        <v>Beaver Local SD</v>
      </c>
      <c r="AB39" s="7" t="b">
        <f t="shared" si="2"/>
        <v>1</v>
      </c>
      <c r="AC39" s="7" t="str">
        <f t="shared" si="3"/>
        <v>Columbiana</v>
      </c>
      <c r="AD39" s="7" t="b">
        <f>C39='Gov Fnd Exp'!C39</f>
        <v>1</v>
      </c>
    </row>
    <row r="40" spans="1:30">
      <c r="A40" s="12" t="s">
        <v>325</v>
      </c>
      <c r="B40" s="12"/>
      <c r="C40" s="12" t="s">
        <v>114</v>
      </c>
      <c r="D40" s="12"/>
      <c r="E40" s="12">
        <v>47241</v>
      </c>
      <c r="G40" s="7">
        <f>80895000+16685000+7760000+1596405-192639</f>
        <v>106743766</v>
      </c>
      <c r="I40" s="7">
        <v>0</v>
      </c>
      <c r="K40" s="7">
        <v>0</v>
      </c>
      <c r="M40" s="7">
        <v>3180000</v>
      </c>
      <c r="O40" s="7">
        <v>5008584</v>
      </c>
      <c r="Q40" s="7">
        <v>0</v>
      </c>
      <c r="S40" s="8">
        <f t="shared" si="0"/>
        <v>114932350</v>
      </c>
      <c r="U40" s="7">
        <v>3731925</v>
      </c>
      <c r="V40" s="7">
        <f>+'St of Net Assets - GA'!O40-'LT _Lia - GA'!U40</f>
        <v>0</v>
      </c>
      <c r="Z40" s="7" t="str">
        <f t="shared" si="1"/>
        <v>Beavercreek City SD</v>
      </c>
      <c r="AA40" s="7" t="str">
        <f>'Gov Fnd Exp'!A40</f>
        <v>Beavercreek City SD</v>
      </c>
      <c r="AB40" s="7" t="b">
        <f t="shared" si="2"/>
        <v>1</v>
      </c>
      <c r="AC40" s="7" t="str">
        <f t="shared" si="3"/>
        <v>Greene</v>
      </c>
      <c r="AD40" s="7" t="b">
        <f>C40='Gov Fnd Exp'!C40</f>
        <v>1</v>
      </c>
    </row>
    <row r="41" spans="1:30">
      <c r="A41" s="12" t="s">
        <v>268</v>
      </c>
      <c r="B41" s="12"/>
      <c r="C41" s="12" t="s">
        <v>20</v>
      </c>
      <c r="D41" s="12"/>
      <c r="E41" s="12">
        <v>43562</v>
      </c>
      <c r="G41" s="7">
        <v>5161954</v>
      </c>
      <c r="I41" s="7">
        <v>143000</v>
      </c>
      <c r="K41" s="7">
        <v>0</v>
      </c>
      <c r="M41" s="7">
        <v>570586</v>
      </c>
      <c r="O41" s="7">
        <v>3256511</v>
      </c>
      <c r="Q41" s="7">
        <v>0</v>
      </c>
      <c r="S41" s="8">
        <f t="shared" si="0"/>
        <v>9132051</v>
      </c>
      <c r="U41" s="7">
        <v>2810335</v>
      </c>
      <c r="V41" s="7">
        <f>+'St of Net Assets - GA'!O41-'LT _Lia - GA'!U41</f>
        <v>0</v>
      </c>
      <c r="Z41" s="7" t="str">
        <f t="shared" si="1"/>
        <v>Bedford City SD</v>
      </c>
      <c r="AA41" s="7" t="str">
        <f>'Gov Fnd Exp'!A41</f>
        <v>Bedford City SD</v>
      </c>
      <c r="AB41" s="7" t="b">
        <f t="shared" si="2"/>
        <v>1</v>
      </c>
      <c r="AC41" s="7" t="str">
        <f t="shared" si="3"/>
        <v>Cuyahoga</v>
      </c>
      <c r="AD41" s="7" t="b">
        <f>C41='Gov Fnd Exp'!C41</f>
        <v>1</v>
      </c>
    </row>
    <row r="42" spans="1:30">
      <c r="A42" s="12" t="s">
        <v>216</v>
      </c>
      <c r="B42" s="12"/>
      <c r="C42" s="12" t="s">
        <v>15</v>
      </c>
      <c r="D42" s="12"/>
      <c r="E42" s="12">
        <v>43570</v>
      </c>
      <c r="G42" s="7">
        <v>2746677</v>
      </c>
      <c r="I42" s="7">
        <v>0</v>
      </c>
      <c r="K42" s="7">
        <v>0</v>
      </c>
      <c r="M42" s="7">
        <v>55964</v>
      </c>
      <c r="O42" s="7">
        <v>1473278</v>
      </c>
      <c r="Q42" s="7">
        <v>0</v>
      </c>
      <c r="S42" s="8">
        <f t="shared" si="0"/>
        <v>4275919</v>
      </c>
      <c r="U42" s="7">
        <v>379457</v>
      </c>
      <c r="V42" s="7">
        <f>+'St of Net Assets - GA'!O42-'LT _Lia - GA'!U42</f>
        <v>0</v>
      </c>
      <c r="Z42" s="7" t="str">
        <f t="shared" si="1"/>
        <v>Bellaire Local SD</v>
      </c>
      <c r="AA42" s="7" t="str">
        <f>'Gov Fnd Exp'!A42</f>
        <v>Bellaire Local SD</v>
      </c>
      <c r="AB42" s="7" t="b">
        <f t="shared" si="2"/>
        <v>1</v>
      </c>
      <c r="AC42" s="7" t="str">
        <f t="shared" si="3"/>
        <v>Belmont</v>
      </c>
      <c r="AD42" s="7" t="b">
        <f>C42='Gov Fnd Exp'!C42</f>
        <v>1</v>
      </c>
    </row>
    <row r="43" spans="1:30">
      <c r="A43" s="12" t="s">
        <v>796</v>
      </c>
      <c r="B43" s="12"/>
      <c r="C43" s="12" t="s">
        <v>114</v>
      </c>
      <c r="D43" s="12"/>
      <c r="E43" s="12"/>
      <c r="G43" s="7">
        <v>42181447</v>
      </c>
      <c r="I43" s="7">
        <v>0</v>
      </c>
      <c r="K43" s="7">
        <v>0</v>
      </c>
      <c r="M43" s="7">
        <v>4497068</v>
      </c>
      <c r="O43" s="7">
        <v>1588166</v>
      </c>
      <c r="Q43" s="7">
        <v>0</v>
      </c>
      <c r="S43" s="8">
        <f t="shared" si="0"/>
        <v>48266681</v>
      </c>
      <c r="U43" s="7">
        <v>1884523</v>
      </c>
      <c r="V43" s="7">
        <f>+'St of Net Assets - GA'!O43-'LT _Lia - GA'!U43</f>
        <v>0</v>
      </c>
      <c r="X43" s="7" t="s">
        <v>780</v>
      </c>
      <c r="Z43" s="7" t="str">
        <f t="shared" ref="Z43" si="6">A43</f>
        <v>Bellbrook-Sugarcreek Local SD</v>
      </c>
      <c r="AA43" s="7" t="str">
        <f>'Gov Fnd Exp'!A43</f>
        <v>Bellbrook-Sugarcreek Local SD</v>
      </c>
      <c r="AB43" s="7" t="b">
        <f t="shared" ref="AB43" si="7">Z43=AA43</f>
        <v>1</v>
      </c>
      <c r="AC43" s="7" t="str">
        <f t="shared" si="3"/>
        <v>Greene</v>
      </c>
      <c r="AD43" s="7" t="b">
        <f>C43='Gov Fnd Exp'!C43</f>
        <v>1</v>
      </c>
    </row>
    <row r="44" spans="1:30">
      <c r="A44" s="12" t="s">
        <v>365</v>
      </c>
      <c r="B44" s="12"/>
      <c r="C44" s="12" t="s">
        <v>37</v>
      </c>
      <c r="D44" s="12"/>
      <c r="E44" s="12">
        <v>43596</v>
      </c>
      <c r="G44" s="7">
        <f>9255000+14040819+340003</f>
        <v>23635822</v>
      </c>
      <c r="I44" s="7">
        <v>0</v>
      </c>
      <c r="K44" s="7">
        <v>1123000</v>
      </c>
      <c r="M44" s="7">
        <v>150161</v>
      </c>
      <c r="O44" s="7">
        <v>1849346</v>
      </c>
      <c r="Q44" s="7">
        <v>0</v>
      </c>
      <c r="S44" s="8">
        <f t="shared" si="0"/>
        <v>26758329</v>
      </c>
      <c r="U44" s="7">
        <v>989709</v>
      </c>
      <c r="V44" s="7">
        <f>+'St of Net Assets - GA'!O44-'LT _Lia - GA'!U44</f>
        <v>0</v>
      </c>
      <c r="Z44" s="7" t="str">
        <f t="shared" si="1"/>
        <v>Bellevue City SD</v>
      </c>
      <c r="AA44" s="7" t="str">
        <f>'Gov Fnd Exp'!A44</f>
        <v>Bellevue City SD</v>
      </c>
      <c r="AB44" s="7" t="b">
        <f t="shared" si="2"/>
        <v>1</v>
      </c>
      <c r="AC44" s="7" t="str">
        <f t="shared" si="3"/>
        <v>Huron</v>
      </c>
      <c r="AD44" s="7" t="b">
        <f>C44='Gov Fnd Exp'!C44</f>
        <v>1</v>
      </c>
    </row>
    <row r="45" spans="1:30">
      <c r="A45" s="12" t="s">
        <v>564</v>
      </c>
      <c r="B45" s="12"/>
      <c r="C45" s="12" t="s">
        <v>70</v>
      </c>
      <c r="D45" s="12"/>
      <c r="E45" s="12">
        <v>43604</v>
      </c>
      <c r="G45" s="7">
        <v>0</v>
      </c>
      <c r="I45" s="7">
        <v>0</v>
      </c>
      <c r="K45" s="7">
        <v>0</v>
      </c>
      <c r="M45" s="7">
        <v>0</v>
      </c>
      <c r="O45" s="7">
        <v>568731</v>
      </c>
      <c r="Q45" s="7">
        <v>0</v>
      </c>
      <c r="S45" s="8">
        <f t="shared" si="0"/>
        <v>568731</v>
      </c>
      <c r="U45" s="7">
        <v>46025</v>
      </c>
      <c r="V45" s="7">
        <f>+'St of Net Assets - GA'!O45-'LT _Lia - GA'!U45</f>
        <v>0</v>
      </c>
      <c r="Z45" s="7" t="str">
        <f t="shared" si="1"/>
        <v>Belpre City SD</v>
      </c>
      <c r="AA45" s="7" t="str">
        <f>'Gov Fnd Exp'!A45</f>
        <v>Belpre City SD</v>
      </c>
      <c r="AB45" s="7" t="b">
        <f t="shared" si="2"/>
        <v>1</v>
      </c>
      <c r="AC45" s="7" t="str">
        <f t="shared" si="3"/>
        <v>Washington</v>
      </c>
      <c r="AD45" s="7" t="b">
        <f>C45='Gov Fnd Exp'!C45</f>
        <v>1</v>
      </c>
    </row>
    <row r="46" spans="1:30">
      <c r="A46" s="12" t="s">
        <v>463</v>
      </c>
      <c r="B46" s="12"/>
      <c r="C46" s="12" t="s">
        <v>53</v>
      </c>
      <c r="D46" s="12"/>
      <c r="E46" s="12">
        <v>48926</v>
      </c>
      <c r="G46" s="7">
        <v>0</v>
      </c>
      <c r="I46" s="7">
        <v>0</v>
      </c>
      <c r="K46" s="7">
        <v>0</v>
      </c>
      <c r="M46" s="7">
        <v>0</v>
      </c>
      <c r="O46" s="7">
        <v>1733216</v>
      </c>
      <c r="Q46" s="7">
        <v>5000</v>
      </c>
      <c r="S46" s="8">
        <f t="shared" si="0"/>
        <v>1738216</v>
      </c>
      <c r="U46" s="7">
        <v>132283</v>
      </c>
      <c r="V46" s="7">
        <f>+'St of Net Assets - GA'!O46-'LT _Lia - GA'!U46</f>
        <v>0</v>
      </c>
      <c r="Z46" s="7" t="str">
        <f t="shared" si="1"/>
        <v>Benton Carroll Salem Local SD</v>
      </c>
      <c r="AA46" s="7" t="str">
        <f>'Gov Fnd Exp'!A46</f>
        <v>Benton Carroll Salem Local SD</v>
      </c>
      <c r="AB46" s="7" t="b">
        <f t="shared" si="2"/>
        <v>1</v>
      </c>
      <c r="AC46" s="7" t="str">
        <f t="shared" si="3"/>
        <v>Ottawa</v>
      </c>
      <c r="AD46" s="7" t="b">
        <f>C46='Gov Fnd Exp'!C46</f>
        <v>1</v>
      </c>
    </row>
    <row r="47" spans="1:30">
      <c r="A47" s="12" t="s">
        <v>269</v>
      </c>
      <c r="B47" s="12"/>
      <c r="C47" s="12" t="s">
        <v>20</v>
      </c>
      <c r="D47" s="12"/>
      <c r="E47" s="12">
        <v>43612</v>
      </c>
      <c r="G47" s="7">
        <v>12131033</v>
      </c>
      <c r="I47" s="7">
        <v>0</v>
      </c>
      <c r="K47" s="7">
        <v>0</v>
      </c>
      <c r="M47" s="7">
        <v>0</v>
      </c>
      <c r="O47" s="7">
        <v>3993363</v>
      </c>
      <c r="Q47" s="7">
        <v>25742839</v>
      </c>
      <c r="S47" s="8">
        <f t="shared" si="0"/>
        <v>41867235</v>
      </c>
      <c r="U47" s="7">
        <v>1996412</v>
      </c>
      <c r="V47" s="7">
        <f>+'St of Net Assets - GA'!O47-'LT _Lia - GA'!U47</f>
        <v>0</v>
      </c>
      <c r="Z47" s="7" t="str">
        <f t="shared" si="1"/>
        <v>Berea City SD</v>
      </c>
      <c r="AA47" s="7" t="str">
        <f>'Gov Fnd Exp'!A47</f>
        <v>Berea City SD</v>
      </c>
      <c r="AB47" s="7" t="b">
        <f t="shared" si="2"/>
        <v>1</v>
      </c>
      <c r="AC47" s="7" t="str">
        <f t="shared" si="3"/>
        <v>Cuyahoga</v>
      </c>
      <c r="AD47" s="7" t="b">
        <f>C47='Gov Fnd Exp'!C47</f>
        <v>1</v>
      </c>
    </row>
    <row r="48" spans="1:30">
      <c r="A48" s="12" t="s">
        <v>668</v>
      </c>
      <c r="B48" s="12"/>
      <c r="C48" s="12" t="s">
        <v>30</v>
      </c>
      <c r="D48" s="12"/>
      <c r="E48" s="12">
        <v>47167</v>
      </c>
      <c r="G48" s="7">
        <v>0</v>
      </c>
      <c r="I48" s="7">
        <v>0</v>
      </c>
      <c r="K48" s="7">
        <v>0</v>
      </c>
      <c r="M48" s="7">
        <v>0</v>
      </c>
      <c r="O48" s="7">
        <v>1027056</v>
      </c>
      <c r="Q48" s="7">
        <v>0</v>
      </c>
      <c r="S48" s="8">
        <f t="shared" si="0"/>
        <v>1027056</v>
      </c>
      <c r="U48" s="7">
        <v>279315</v>
      </c>
      <c r="V48" s="7">
        <f>+'St of Net Assets - GA'!O48-'LT _Lia - GA'!U48</f>
        <v>0</v>
      </c>
      <c r="Z48" s="7" t="str">
        <f t="shared" si="1"/>
        <v xml:space="preserve">Berkshire Local SD </v>
      </c>
      <c r="AA48" s="7" t="str">
        <f>'Gov Fnd Exp'!A48</f>
        <v xml:space="preserve">Berkshire Local SD </v>
      </c>
      <c r="AB48" s="7" t="b">
        <f t="shared" si="2"/>
        <v>1</v>
      </c>
      <c r="AC48" s="7" t="str">
        <f t="shared" si="3"/>
        <v>Geauga</v>
      </c>
      <c r="AD48" s="7" t="b">
        <f>C48='Gov Fnd Exp'!C48</f>
        <v>1</v>
      </c>
    </row>
    <row r="49" spans="1:30">
      <c r="A49" s="12" t="s">
        <v>291</v>
      </c>
      <c r="B49" s="12"/>
      <c r="C49" s="12" t="s">
        <v>24</v>
      </c>
      <c r="D49" s="12"/>
      <c r="E49" s="12">
        <v>46789</v>
      </c>
      <c r="G49" s="7">
        <v>0</v>
      </c>
      <c r="I49" s="7">
        <v>0</v>
      </c>
      <c r="K49" s="7">
        <v>0</v>
      </c>
      <c r="M49" s="7">
        <v>132833</v>
      </c>
      <c r="O49" s="7">
        <v>637102</v>
      </c>
      <c r="Q49" s="7">
        <v>0</v>
      </c>
      <c r="S49" s="8">
        <f t="shared" si="0"/>
        <v>769935</v>
      </c>
      <c r="U49" s="7">
        <v>46500</v>
      </c>
      <c r="V49" s="7">
        <f>+'St of Net Assets - GA'!O49-'LT _Lia - GA'!U49</f>
        <v>0</v>
      </c>
      <c r="Z49" s="7" t="str">
        <f t="shared" si="1"/>
        <v>Berlin-Milan Local SD</v>
      </c>
      <c r="AA49" s="7" t="str">
        <f>'Gov Fnd Exp'!A49</f>
        <v>Berlin-Milan Local SD</v>
      </c>
      <c r="AB49" s="7" t="b">
        <f t="shared" si="2"/>
        <v>1</v>
      </c>
      <c r="AC49" s="7" t="str">
        <f t="shared" si="3"/>
        <v>Erie</v>
      </c>
      <c r="AD49" s="7" t="b">
        <f>C49='Gov Fnd Exp'!C49</f>
        <v>1</v>
      </c>
    </row>
    <row r="50" spans="1:30" hidden="1">
      <c r="A50" s="12" t="s">
        <v>905</v>
      </c>
      <c r="B50" s="12"/>
      <c r="C50" s="12" t="s">
        <v>25</v>
      </c>
      <c r="D50" s="12"/>
      <c r="E50" s="12">
        <v>46854</v>
      </c>
      <c r="S50" s="8">
        <f t="shared" si="0"/>
        <v>0</v>
      </c>
      <c r="V50" s="7">
        <f>+'St of Net Assets - GA'!O50-'LT _Lia - GA'!U50</f>
        <v>0</v>
      </c>
      <c r="X50" s="7" t="s">
        <v>903</v>
      </c>
      <c r="Z50" s="7" t="str">
        <f t="shared" si="1"/>
        <v>Berne Union Local SD (CASH)</v>
      </c>
      <c r="AA50" s="7" t="str">
        <f>'Gov Fnd Exp'!A50</f>
        <v>Berne Union Local SD (CASH)</v>
      </c>
      <c r="AB50" s="7" t="b">
        <f t="shared" si="2"/>
        <v>1</v>
      </c>
      <c r="AC50" s="7" t="str">
        <f t="shared" si="3"/>
        <v>Fairfield</v>
      </c>
      <c r="AD50" s="7" t="b">
        <f>C50='Gov Fnd Exp'!C50</f>
        <v>1</v>
      </c>
    </row>
    <row r="51" spans="1:30">
      <c r="A51" s="12" t="s">
        <v>436</v>
      </c>
      <c r="B51" s="12"/>
      <c r="C51" s="12" t="s">
        <v>48</v>
      </c>
      <c r="D51" s="12"/>
      <c r="E51" s="12">
        <v>48611</v>
      </c>
      <c r="G51" s="7">
        <v>0</v>
      </c>
      <c r="I51" s="7">
        <v>0</v>
      </c>
      <c r="K51" s="7">
        <v>685090</v>
      </c>
      <c r="M51" s="7">
        <v>848000</v>
      </c>
      <c r="O51" s="7">
        <v>395785</v>
      </c>
      <c r="Q51" s="7">
        <v>0</v>
      </c>
      <c r="S51" s="8">
        <f t="shared" si="0"/>
        <v>1928875</v>
      </c>
      <c r="U51" s="7">
        <v>173350</v>
      </c>
      <c r="V51" s="7">
        <f>+'St of Net Assets - GA'!O51-'LT _Lia - GA'!U51</f>
        <v>0</v>
      </c>
      <c r="Z51" s="7" t="str">
        <f t="shared" si="1"/>
        <v>Bethel Local SD</v>
      </c>
      <c r="AA51" s="7" t="str">
        <f>'Gov Fnd Exp'!A51</f>
        <v>Bethel Local SD</v>
      </c>
      <c r="AB51" s="7" t="b">
        <f t="shared" si="2"/>
        <v>1</v>
      </c>
      <c r="AC51" s="7" t="str">
        <f t="shared" si="3"/>
        <v>Miami</v>
      </c>
      <c r="AD51" s="7" t="b">
        <f>C51='Gov Fnd Exp'!C51</f>
        <v>1</v>
      </c>
    </row>
    <row r="52" spans="1:30">
      <c r="A52" s="12" t="s">
        <v>243</v>
      </c>
      <c r="B52" s="12"/>
      <c r="C52" s="12" t="s">
        <v>113</v>
      </c>
      <c r="D52" s="12"/>
      <c r="E52" s="12">
        <v>46318</v>
      </c>
      <c r="G52" s="7">
        <v>4208630</v>
      </c>
      <c r="I52" s="7">
        <v>0</v>
      </c>
      <c r="K52" s="7">
        <v>0</v>
      </c>
      <c r="M52" s="7">
        <v>300569</v>
      </c>
      <c r="O52" s="7">
        <v>1015972</v>
      </c>
      <c r="Q52" s="7">
        <v>2248000</v>
      </c>
      <c r="S52" s="8">
        <f t="shared" si="0"/>
        <v>7773171</v>
      </c>
      <c r="U52" s="7">
        <v>449419</v>
      </c>
      <c r="V52" s="7">
        <f>+'St of Net Assets - GA'!O52-'LT _Lia - GA'!U52</f>
        <v>0</v>
      </c>
      <c r="Z52" s="7" t="str">
        <f t="shared" si="1"/>
        <v>Bethel-Tate Local SD</v>
      </c>
      <c r="AA52" s="7" t="str">
        <f>'Gov Fnd Exp'!A52</f>
        <v>Bethel-Tate Local SD</v>
      </c>
      <c r="AB52" s="7" t="b">
        <f t="shared" si="2"/>
        <v>1</v>
      </c>
      <c r="AC52" s="7" t="str">
        <f t="shared" si="3"/>
        <v>Clermont</v>
      </c>
      <c r="AD52" s="7" t="b">
        <f>C52='Gov Fnd Exp'!C52</f>
        <v>1</v>
      </c>
    </row>
    <row r="53" spans="1:30" hidden="1">
      <c r="A53" s="12" t="s">
        <v>705</v>
      </c>
      <c r="B53" s="12"/>
      <c r="C53" s="12" t="s">
        <v>60</v>
      </c>
      <c r="D53" s="12"/>
      <c r="E53" s="12">
        <v>49692</v>
      </c>
      <c r="S53" s="8">
        <f t="shared" ref="S53" si="8">SUM(G53:R53)</f>
        <v>0</v>
      </c>
      <c r="V53" s="7">
        <f>+'St of Net Assets - GA'!O53-'LT _Lia - GA'!U53</f>
        <v>0</v>
      </c>
      <c r="X53" s="7" t="s">
        <v>778</v>
      </c>
      <c r="Z53" s="7" t="str">
        <f t="shared" si="1"/>
        <v>Bettsville Local SD (CASH)</v>
      </c>
      <c r="AA53" s="7" t="str">
        <f>'Gov Fnd Exp'!A53</f>
        <v>Bettsville Local SD (CASH)</v>
      </c>
      <c r="AB53" s="7" t="b">
        <f t="shared" si="2"/>
        <v>1</v>
      </c>
      <c r="AC53" s="7" t="str">
        <f t="shared" si="3"/>
        <v>Seneca</v>
      </c>
      <c r="AD53" s="7" t="b">
        <f>C53='Gov Fnd Exp'!C53</f>
        <v>1</v>
      </c>
    </row>
    <row r="54" spans="1:30">
      <c r="A54" s="12" t="s">
        <v>305</v>
      </c>
      <c r="B54" s="12"/>
      <c r="C54" s="12" t="s">
        <v>27</v>
      </c>
      <c r="D54" s="12"/>
      <c r="E54" s="12">
        <v>43620</v>
      </c>
      <c r="G54" s="7">
        <v>25009996</v>
      </c>
      <c r="I54" s="7">
        <v>0</v>
      </c>
      <c r="K54" s="7">
        <v>0</v>
      </c>
      <c r="M54" s="7">
        <v>0</v>
      </c>
      <c r="O54" s="7">
        <v>1972337</v>
      </c>
      <c r="Q54" s="7">
        <v>0</v>
      </c>
      <c r="S54" s="8">
        <f t="shared" si="0"/>
        <v>26982333</v>
      </c>
      <c r="U54" s="7">
        <v>2290000</v>
      </c>
      <c r="V54" s="7">
        <f>+'St of Net Assets - GA'!O54-'LT _Lia - GA'!U54</f>
        <v>0</v>
      </c>
      <c r="Z54" s="7" t="str">
        <f t="shared" si="1"/>
        <v>Bexley City SD</v>
      </c>
      <c r="AA54" s="7" t="str">
        <f>'Gov Fnd Exp'!A54</f>
        <v>Bexley City SD</v>
      </c>
      <c r="AB54" s="7" t="b">
        <f t="shared" si="2"/>
        <v>1</v>
      </c>
      <c r="AC54" s="7" t="str">
        <f t="shared" si="3"/>
        <v>Franklin</v>
      </c>
      <c r="AD54" s="7" t="b">
        <f>C54='Gov Fnd Exp'!C54</f>
        <v>1</v>
      </c>
    </row>
    <row r="55" spans="1:30">
      <c r="A55" s="12" t="s">
        <v>664</v>
      </c>
      <c r="B55" s="12"/>
      <c r="C55" s="12" t="s">
        <v>23</v>
      </c>
      <c r="D55" s="12"/>
      <c r="E55" s="12">
        <v>46748</v>
      </c>
      <c r="G55" s="7">
        <v>45357906</v>
      </c>
      <c r="I55" s="7">
        <v>0</v>
      </c>
      <c r="K55" s="7">
        <v>0</v>
      </c>
      <c r="M55" s="7">
        <v>30210</v>
      </c>
      <c r="O55" s="7">
        <v>1589338</v>
      </c>
      <c r="Q55" s="7">
        <v>0</v>
      </c>
      <c r="S55" s="8">
        <f t="shared" si="0"/>
        <v>46977454</v>
      </c>
      <c r="U55" s="7">
        <v>1033757</v>
      </c>
      <c r="V55" s="7">
        <f>+'St of Net Assets - GA'!O55-'LT _Lia - GA'!U55</f>
        <v>0</v>
      </c>
      <c r="Z55" s="7" t="str">
        <f t="shared" si="1"/>
        <v xml:space="preserve">Big Walnut Local SD </v>
      </c>
      <c r="AA55" s="7" t="str">
        <f>'Gov Fnd Exp'!A55</f>
        <v xml:space="preserve">Big Walnut Local SD </v>
      </c>
      <c r="AB55" s="7" t="b">
        <f t="shared" si="2"/>
        <v>1</v>
      </c>
      <c r="AC55" s="7" t="str">
        <f t="shared" si="3"/>
        <v>Delaware</v>
      </c>
      <c r="AD55" s="7" t="b">
        <f>C55='Gov Fnd Exp'!C55</f>
        <v>1</v>
      </c>
    </row>
    <row r="56" spans="1:30">
      <c r="A56" s="12" t="s">
        <v>427</v>
      </c>
      <c r="B56" s="12"/>
      <c r="C56" s="12" t="s">
        <v>47</v>
      </c>
      <c r="D56" s="12"/>
      <c r="E56" s="12">
        <v>48462</v>
      </c>
      <c r="G56" s="7">
        <v>3130000</v>
      </c>
      <c r="I56" s="7">
        <v>0</v>
      </c>
      <c r="K56" s="7">
        <v>0</v>
      </c>
      <c r="M56" s="7">
        <v>55130</v>
      </c>
      <c r="O56" s="7">
        <v>753013</v>
      </c>
      <c r="Q56" s="7">
        <v>0</v>
      </c>
      <c r="S56" s="8">
        <f t="shared" si="0"/>
        <v>3938143</v>
      </c>
      <c r="U56" s="7">
        <v>563588</v>
      </c>
      <c r="V56" s="7">
        <f>+'St of Net Assets - GA'!O56-'LT _Lia - GA'!U56</f>
        <v>0</v>
      </c>
      <c r="Z56" s="7" t="str">
        <f t="shared" si="1"/>
        <v>Black River Local SD</v>
      </c>
      <c r="AA56" s="7" t="str">
        <f>'Gov Fnd Exp'!A56</f>
        <v>Black River Local SD</v>
      </c>
      <c r="AB56" s="7" t="b">
        <f t="shared" si="2"/>
        <v>1</v>
      </c>
      <c r="AC56" s="7" t="str">
        <f t="shared" si="3"/>
        <v>Medina</v>
      </c>
      <c r="AD56" s="7" t="b">
        <f>C56='Gov Fnd Exp'!C56</f>
        <v>1</v>
      </c>
    </row>
    <row r="57" spans="1:30">
      <c r="A57" s="12" t="s">
        <v>248</v>
      </c>
      <c r="B57" s="12"/>
      <c r="C57" s="12" t="s">
        <v>18</v>
      </c>
      <c r="D57" s="12"/>
      <c r="E57" s="12">
        <v>46383</v>
      </c>
      <c r="G57" s="7">
        <v>2986797</v>
      </c>
      <c r="I57" s="7">
        <v>0</v>
      </c>
      <c r="K57" s="7">
        <v>0</v>
      </c>
      <c r="M57" s="7">
        <v>0</v>
      </c>
      <c r="O57" s="7">
        <v>423951</v>
      </c>
      <c r="Q57" s="7">
        <v>0</v>
      </c>
      <c r="S57" s="8">
        <f t="shared" si="0"/>
        <v>3410748</v>
      </c>
      <c r="U57" s="7">
        <v>307938</v>
      </c>
      <c r="V57" s="7">
        <f>+'St of Net Assets - GA'!O57-'LT _Lia - GA'!U57</f>
        <v>0</v>
      </c>
      <c r="Z57" s="7" t="str">
        <f t="shared" si="1"/>
        <v>Blanchester Local SD</v>
      </c>
      <c r="AA57" s="7" t="str">
        <f>'Gov Fnd Exp'!A57</f>
        <v>Blanchester Local SD</v>
      </c>
      <c r="AB57" s="7" t="b">
        <f t="shared" si="2"/>
        <v>1</v>
      </c>
      <c r="AC57" s="7" t="str">
        <f t="shared" si="3"/>
        <v>Clinton</v>
      </c>
      <c r="AD57" s="7" t="b">
        <f>C57='Gov Fnd Exp'!C57</f>
        <v>1</v>
      </c>
    </row>
    <row r="58" spans="1:30">
      <c r="A58" s="12" t="s">
        <v>299</v>
      </c>
      <c r="B58" s="12"/>
      <c r="C58" s="12" t="s">
        <v>25</v>
      </c>
      <c r="D58" s="12"/>
      <c r="E58" s="12">
        <v>46862</v>
      </c>
      <c r="G58" s="7">
        <f>25510000+194490</f>
        <v>25704490</v>
      </c>
      <c r="I58" s="7">
        <v>0</v>
      </c>
      <c r="K58" s="7">
        <v>0</v>
      </c>
      <c r="M58" s="7">
        <v>0</v>
      </c>
      <c r="O58" s="7">
        <v>640165</v>
      </c>
      <c r="Q58" s="7">
        <v>0</v>
      </c>
      <c r="S58" s="8">
        <f t="shared" si="0"/>
        <v>26344655</v>
      </c>
      <c r="U58" s="7">
        <v>884495</v>
      </c>
      <c r="V58" s="7">
        <f>+'St of Net Assets - GA'!O58-'LT _Lia - GA'!U58</f>
        <v>0</v>
      </c>
      <c r="Z58" s="7" t="str">
        <f t="shared" si="1"/>
        <v>Bloom-Carroll Local SD</v>
      </c>
      <c r="AA58" s="7" t="str">
        <f>'Gov Fnd Exp'!A58</f>
        <v>Bloom-Carroll Local SD</v>
      </c>
      <c r="AB58" s="7" t="b">
        <f t="shared" si="2"/>
        <v>1</v>
      </c>
      <c r="AC58" s="7" t="str">
        <f t="shared" si="3"/>
        <v>Fairfield</v>
      </c>
      <c r="AD58" s="7" t="b">
        <f>C58='Gov Fnd Exp'!C58</f>
        <v>1</v>
      </c>
    </row>
    <row r="59" spans="1:30">
      <c r="A59" s="12" t="s">
        <v>534</v>
      </c>
      <c r="B59" s="12"/>
      <c r="C59" s="12" t="s">
        <v>64</v>
      </c>
      <c r="D59" s="12"/>
      <c r="E59" s="12">
        <v>50096</v>
      </c>
      <c r="G59" s="7">
        <v>0</v>
      </c>
      <c r="I59" s="7">
        <v>0</v>
      </c>
      <c r="K59" s="7">
        <v>264533</v>
      </c>
      <c r="M59" s="7">
        <v>10489</v>
      </c>
      <c r="O59" s="7">
        <v>196329</v>
      </c>
      <c r="Q59" s="7">
        <v>0</v>
      </c>
      <c r="S59" s="8">
        <f t="shared" si="0"/>
        <v>471351</v>
      </c>
      <c r="U59" s="7">
        <v>77764</v>
      </c>
      <c r="V59" s="7">
        <f>+'St of Net Assets - GA'!O59-'LT _Lia - GA'!U59</f>
        <v>0</v>
      </c>
      <c r="Z59" s="7" t="str">
        <f t="shared" si="1"/>
        <v>Bloomfield-Mespo Local SD</v>
      </c>
      <c r="AA59" s="7" t="str">
        <f>'Gov Fnd Exp'!A59</f>
        <v>Bloomfield-Mespo Local SD</v>
      </c>
      <c r="AB59" s="7" t="b">
        <f t="shared" si="2"/>
        <v>1</v>
      </c>
      <c r="AC59" s="7" t="str">
        <f t="shared" si="3"/>
        <v>Trumbull</v>
      </c>
      <c r="AD59" s="7" t="b">
        <f>C59='Gov Fnd Exp'!C59</f>
        <v>1</v>
      </c>
    </row>
    <row r="60" spans="1:30">
      <c r="A60" s="12" t="s">
        <v>494</v>
      </c>
      <c r="B60" s="12"/>
      <c r="C60" s="12" t="s">
        <v>59</v>
      </c>
      <c r="D60" s="12"/>
      <c r="E60" s="12">
        <v>49593</v>
      </c>
      <c r="G60" s="7">
        <f>510000+500000</f>
        <v>1010000</v>
      </c>
      <c r="I60" s="7">
        <v>0</v>
      </c>
      <c r="K60" s="7">
        <v>0</v>
      </c>
      <c r="M60" s="7">
        <v>0</v>
      </c>
      <c r="O60" s="7">
        <v>733692</v>
      </c>
      <c r="Q60" s="7">
        <v>0</v>
      </c>
      <c r="S60" s="8">
        <f>SUM(G60:R60)</f>
        <v>1743692</v>
      </c>
      <c r="U60" s="7">
        <v>177842</v>
      </c>
      <c r="V60" s="7">
        <f>+'St of Net Assets - GA'!O60-'LT _Lia - GA'!U60</f>
        <v>0</v>
      </c>
      <c r="Z60" s="7" t="str">
        <f t="shared" si="1"/>
        <v>Bloom-Vernon Local SD</v>
      </c>
      <c r="AA60" s="7" t="str">
        <f>'Gov Fnd Exp'!A60</f>
        <v>Bloom-Vernon Local SD</v>
      </c>
      <c r="AB60" s="7" t="b">
        <f t="shared" si="2"/>
        <v>1</v>
      </c>
      <c r="AC60" s="7" t="str">
        <f t="shared" si="3"/>
        <v>Scioto</v>
      </c>
      <c r="AD60" s="7" t="b">
        <f>C60='Gov Fnd Exp'!C60</f>
        <v>1</v>
      </c>
    </row>
    <row r="61" spans="1:30" hidden="1">
      <c r="A61" s="12" t="s">
        <v>676</v>
      </c>
      <c r="B61" s="12"/>
      <c r="C61" s="12" t="s">
        <v>10</v>
      </c>
      <c r="D61" s="12"/>
      <c r="E61" s="12">
        <v>49593</v>
      </c>
      <c r="S61" s="8">
        <f t="shared" si="0"/>
        <v>0</v>
      </c>
      <c r="V61" s="7">
        <f>+'St of Net Assets - GA'!O61-'LT _Lia - GA'!U61</f>
        <v>0</v>
      </c>
      <c r="X61" s="7" t="s">
        <v>778</v>
      </c>
      <c r="Z61" s="7" t="str">
        <f t="shared" si="1"/>
        <v>Bluffton Ex Vill SD (OCBOA)</v>
      </c>
      <c r="AA61" s="7" t="str">
        <f>'Gov Fnd Exp'!A61</f>
        <v>Bluffton Ex Vill SD (OCBOA)</v>
      </c>
      <c r="AB61" s="7" t="b">
        <f t="shared" si="2"/>
        <v>1</v>
      </c>
      <c r="AC61" s="7" t="str">
        <f t="shared" si="3"/>
        <v>Allen</v>
      </c>
      <c r="AD61" s="7" t="b">
        <f>C61='Gov Fnd Exp'!C61</f>
        <v>1</v>
      </c>
    </row>
    <row r="62" spans="1:30">
      <c r="A62" s="12" t="s">
        <v>415</v>
      </c>
      <c r="B62" s="12"/>
      <c r="C62" s="12" t="s">
        <v>45</v>
      </c>
      <c r="D62" s="12"/>
      <c r="E62" s="12">
        <v>48306</v>
      </c>
      <c r="G62" s="7">
        <f>143074+3190943</f>
        <v>3334017</v>
      </c>
      <c r="I62" s="7">
        <v>0</v>
      </c>
      <c r="K62" s="7">
        <v>0</v>
      </c>
      <c r="M62" s="7">
        <v>6320000</v>
      </c>
      <c r="O62" s="7">
        <v>3076668</v>
      </c>
      <c r="Q62" s="7">
        <v>425000</v>
      </c>
      <c r="S62" s="8">
        <f t="shared" si="0"/>
        <v>13155685</v>
      </c>
      <c r="U62" s="7">
        <v>1341396</v>
      </c>
      <c r="V62" s="7">
        <f>+'St of Net Assets - GA'!O62-'LT _Lia - GA'!U62</f>
        <v>0</v>
      </c>
      <c r="Z62" s="7" t="str">
        <f t="shared" si="1"/>
        <v>Boardman Local SD</v>
      </c>
      <c r="AA62" s="7" t="str">
        <f>'Gov Fnd Exp'!A62</f>
        <v>Boardman Local SD</v>
      </c>
      <c r="AB62" s="7" t="b">
        <f t="shared" si="2"/>
        <v>1</v>
      </c>
      <c r="AC62" s="7" t="str">
        <f t="shared" si="3"/>
        <v>Mahoning</v>
      </c>
      <c r="AD62" s="7" t="b">
        <f>C62='Gov Fnd Exp'!C62</f>
        <v>1</v>
      </c>
    </row>
    <row r="63" spans="1:30">
      <c r="A63" s="12" t="s">
        <v>504</v>
      </c>
      <c r="B63" s="12"/>
      <c r="C63" s="12" t="s">
        <v>61</v>
      </c>
      <c r="D63" s="12"/>
      <c r="E63" s="12">
        <v>49767</v>
      </c>
      <c r="G63" s="7">
        <v>210000</v>
      </c>
      <c r="I63" s="7">
        <v>31921</v>
      </c>
      <c r="K63" s="7">
        <v>0</v>
      </c>
      <c r="M63" s="7">
        <v>0</v>
      </c>
      <c r="O63" s="7">
        <v>169268</v>
      </c>
      <c r="Q63" s="7">
        <v>0</v>
      </c>
      <c r="S63" s="8">
        <f t="shared" si="0"/>
        <v>411189</v>
      </c>
      <c r="U63" s="7">
        <v>53845</v>
      </c>
      <c r="V63" s="7">
        <f>+'St of Net Assets - GA'!O63-'LT _Lia - GA'!U63</f>
        <v>0</v>
      </c>
      <c r="Z63" s="7" t="str">
        <f t="shared" si="1"/>
        <v>Botkins Local SD</v>
      </c>
      <c r="AA63" s="7" t="str">
        <f>'Gov Fnd Exp'!A63</f>
        <v>Botkins Local SD</v>
      </c>
      <c r="AB63" s="7" t="b">
        <f t="shared" si="2"/>
        <v>1</v>
      </c>
      <c r="AC63" s="7" t="str">
        <f t="shared" si="3"/>
        <v>Shelby</v>
      </c>
      <c r="AD63" s="7" t="b">
        <f>C63='Gov Fnd Exp'!C63</f>
        <v>1</v>
      </c>
    </row>
    <row r="64" spans="1:30">
      <c r="A64" s="12" t="s">
        <v>572</v>
      </c>
      <c r="B64" s="12"/>
      <c r="C64" s="12" t="s">
        <v>72</v>
      </c>
      <c r="D64" s="12"/>
      <c r="E64" s="12">
        <v>43638</v>
      </c>
      <c r="G64" s="7">
        <f>25845000+1246810</f>
        <v>27091810</v>
      </c>
      <c r="I64" s="7">
        <v>0</v>
      </c>
      <c r="K64" s="7">
        <v>0</v>
      </c>
      <c r="M64" s="7">
        <v>0</v>
      </c>
      <c r="O64" s="7">
        <f>2658722+271556</f>
        <v>2930278</v>
      </c>
      <c r="Q64" s="7">
        <v>0</v>
      </c>
      <c r="S64" s="8">
        <f t="shared" si="0"/>
        <v>30022088</v>
      </c>
      <c r="U64" s="7">
        <v>746497</v>
      </c>
      <c r="V64" s="7">
        <f>+'St of Net Assets - GA'!O64-'LT _Lia - GA'!U64</f>
        <v>0</v>
      </c>
      <c r="Z64" s="7" t="str">
        <f t="shared" si="1"/>
        <v>Bowling Green City SD</v>
      </c>
      <c r="AA64" s="7" t="str">
        <f>'Gov Fnd Exp'!A64</f>
        <v>Bowling Green City SD</v>
      </c>
      <c r="AB64" s="7" t="b">
        <f t="shared" si="2"/>
        <v>1</v>
      </c>
      <c r="AC64" s="7" t="str">
        <f t="shared" si="3"/>
        <v>Wood</v>
      </c>
      <c r="AD64" s="7" t="b">
        <f>C64='Gov Fnd Exp'!C64</f>
        <v>1</v>
      </c>
    </row>
    <row r="65" spans="1:30" hidden="1">
      <c r="A65" s="12" t="s">
        <v>704</v>
      </c>
      <c r="B65" s="12"/>
      <c r="C65" s="12" t="s">
        <v>48</v>
      </c>
      <c r="D65" s="12"/>
      <c r="E65" s="12">
        <v>43646</v>
      </c>
      <c r="S65" s="8">
        <f t="shared" ref="S65" si="9">SUM(G65:R65)</f>
        <v>0</v>
      </c>
      <c r="V65" s="7">
        <f>+'St of Net Assets - GA'!O65-'LT _Lia - GA'!U65</f>
        <v>0</v>
      </c>
      <c r="X65" s="7" t="s">
        <v>778</v>
      </c>
      <c r="Z65" s="7" t="str">
        <f t="shared" si="1"/>
        <v>Bradford Ex Vill SD (cash) Two year audit</v>
      </c>
      <c r="AA65" s="7" t="str">
        <f>'Gov Fnd Exp'!A65</f>
        <v>Bradford Ex Vill SD (cash) Two year audit</v>
      </c>
      <c r="AB65" s="7" t="b">
        <f t="shared" si="2"/>
        <v>1</v>
      </c>
      <c r="AC65" s="7" t="str">
        <f t="shared" si="3"/>
        <v>Miami</v>
      </c>
      <c r="AD65" s="7" t="b">
        <f>C65='Gov Fnd Exp'!C65</f>
        <v>1</v>
      </c>
    </row>
    <row r="66" spans="1:30">
      <c r="A66" s="12" t="s">
        <v>895</v>
      </c>
      <c r="B66" s="12"/>
      <c r="C66" s="12" t="s">
        <v>20</v>
      </c>
      <c r="D66" s="12"/>
      <c r="E66" s="12">
        <v>43646</v>
      </c>
      <c r="G66" s="7">
        <f>9175845+12648704</f>
        <v>21824549</v>
      </c>
      <c r="I66" s="7">
        <v>0</v>
      </c>
      <c r="K66" s="7">
        <v>0</v>
      </c>
      <c r="M66" s="7">
        <v>0</v>
      </c>
      <c r="O66" s="7">
        <v>4811146</v>
      </c>
      <c r="Q66" s="7">
        <f>540000+22500</f>
        <v>562500</v>
      </c>
      <c r="S66" s="8">
        <f t="shared" si="0"/>
        <v>27198195</v>
      </c>
      <c r="U66" s="7">
        <v>2128808</v>
      </c>
      <c r="V66" s="7">
        <f>+'St of Net Assets - GA'!O66-'LT _Lia - GA'!U66</f>
        <v>0</v>
      </c>
      <c r="Z66" s="7" t="str">
        <f t="shared" si="1"/>
        <v>Brecksville-Broadview Heights City SD</v>
      </c>
      <c r="AA66" s="7" t="str">
        <f>'Gov Fnd Exp'!A66</f>
        <v>Brecksville-Broadview Heights City SD</v>
      </c>
      <c r="AB66" s="7" t="b">
        <f t="shared" si="2"/>
        <v>1</v>
      </c>
      <c r="AC66" s="7" t="str">
        <f t="shared" si="3"/>
        <v>Cuyahoga</v>
      </c>
      <c r="AD66" s="7" t="b">
        <f>C66='Gov Fnd Exp'!C66</f>
        <v>1</v>
      </c>
    </row>
    <row r="67" spans="1:30">
      <c r="A67" s="12" t="s">
        <v>860</v>
      </c>
      <c r="B67" s="12"/>
      <c r="C67" s="12" t="s">
        <v>15</v>
      </c>
      <c r="D67" s="12"/>
      <c r="E67" s="12">
        <v>45237</v>
      </c>
      <c r="G67" s="7">
        <f>525000+3710000+127058</f>
        <v>4362058</v>
      </c>
      <c r="I67" s="7">
        <v>0</v>
      </c>
      <c r="K67" s="7">
        <v>0</v>
      </c>
      <c r="M67" s="7">
        <v>6569</v>
      </c>
      <c r="O67" s="7">
        <v>367887</v>
      </c>
      <c r="Q67" s="7">
        <v>0</v>
      </c>
      <c r="S67" s="8">
        <f t="shared" si="0"/>
        <v>4736514</v>
      </c>
      <c r="U67" s="7">
        <v>177122</v>
      </c>
      <c r="V67" s="7">
        <f>+'St of Net Assets - GA'!O67-'LT _Lia - GA'!U67</f>
        <v>0</v>
      </c>
      <c r="Z67" s="7" t="str">
        <f t="shared" si="1"/>
        <v>Bridgeport Exempted Village SD</v>
      </c>
      <c r="AA67" s="7" t="str">
        <f>'Gov Fnd Exp'!A67</f>
        <v>Bridgeport Exempted Village SD</v>
      </c>
      <c r="AB67" s="7" t="b">
        <f t="shared" si="2"/>
        <v>1</v>
      </c>
      <c r="AC67" s="7" t="str">
        <f t="shared" si="3"/>
        <v>Belmont</v>
      </c>
      <c r="AD67" s="7" t="b">
        <f>C67='Gov Fnd Exp'!C67</f>
        <v>1</v>
      </c>
    </row>
    <row r="68" spans="1:30" hidden="1">
      <c r="A68" s="12" t="s">
        <v>906</v>
      </c>
      <c r="B68" s="12"/>
      <c r="C68" s="12" t="s">
        <v>358</v>
      </c>
      <c r="D68" s="12"/>
      <c r="E68" s="12">
        <v>47613</v>
      </c>
      <c r="S68" s="8">
        <f t="shared" si="0"/>
        <v>0</v>
      </c>
      <c r="V68" s="7">
        <f>+'St of Net Assets - GA'!O68-'LT _Lia - GA'!U68</f>
        <v>0</v>
      </c>
      <c r="X68" s="7" t="s">
        <v>903</v>
      </c>
      <c r="Z68" s="7" t="str">
        <f t="shared" si="1"/>
        <v>Bright Local SD (CASH)</v>
      </c>
      <c r="AA68" s="7" t="str">
        <f>'Gov Fnd Exp'!A68</f>
        <v>Bright Local SD (CASH)</v>
      </c>
      <c r="AB68" s="7" t="b">
        <f t="shared" si="2"/>
        <v>1</v>
      </c>
      <c r="AC68" s="7" t="str">
        <f t="shared" si="3"/>
        <v>Highland</v>
      </c>
      <c r="AD68" s="7" t="b">
        <f>C68='Gov Fnd Exp'!C68</f>
        <v>1</v>
      </c>
    </row>
    <row r="69" spans="1:30">
      <c r="A69" s="12" t="s">
        <v>535</v>
      </c>
      <c r="B69" s="12"/>
      <c r="C69" s="12" t="s">
        <v>64</v>
      </c>
      <c r="D69" s="12"/>
      <c r="E69" s="12">
        <v>50112</v>
      </c>
      <c r="G69" s="7">
        <f>1420585+76220-28462</f>
        <v>1468343</v>
      </c>
      <c r="I69" s="7">
        <v>16558</v>
      </c>
      <c r="K69" s="7">
        <v>0</v>
      </c>
      <c r="M69" s="7">
        <v>0</v>
      </c>
      <c r="O69" s="7">
        <v>579471</v>
      </c>
      <c r="Q69" s="7">
        <v>0</v>
      </c>
      <c r="S69" s="8">
        <f>SUM(G69:R69)</f>
        <v>2064372</v>
      </c>
      <c r="U69" s="7">
        <v>299665</v>
      </c>
      <c r="V69" s="7">
        <f>+'St of Net Assets - GA'!O69-'LT _Lia - GA'!U69</f>
        <v>0</v>
      </c>
      <c r="Z69" s="7" t="str">
        <f t="shared" si="1"/>
        <v>Bristol Local SD</v>
      </c>
      <c r="AA69" s="7" t="str">
        <f>'Gov Fnd Exp'!A69</f>
        <v>Bristol Local SD</v>
      </c>
      <c r="AB69" s="7" t="b">
        <f t="shared" si="2"/>
        <v>1</v>
      </c>
      <c r="AC69" s="7" t="str">
        <f t="shared" si="3"/>
        <v>Trumbull</v>
      </c>
      <c r="AD69" s="7" t="b">
        <f>C69='Gov Fnd Exp'!C69</f>
        <v>1</v>
      </c>
    </row>
    <row r="70" spans="1:30">
      <c r="A70" s="12" t="s">
        <v>706</v>
      </c>
      <c r="B70" s="12"/>
      <c r="C70" s="12" t="s">
        <v>64</v>
      </c>
      <c r="D70" s="12"/>
      <c r="E70" s="12">
        <v>50120</v>
      </c>
      <c r="G70" s="7">
        <f>13880000+215729+31734+270156</f>
        <v>14397619</v>
      </c>
      <c r="I70" s="7">
        <v>0</v>
      </c>
      <c r="K70" s="7">
        <v>0</v>
      </c>
      <c r="M70" s="7">
        <v>52588</v>
      </c>
      <c r="O70" s="7">
        <v>945713</v>
      </c>
      <c r="Q70" s="7">
        <f>55000+259565</f>
        <v>314565</v>
      </c>
      <c r="S70" s="8">
        <f t="shared" ref="S70:S82" si="10">SUM(G70:R70)</f>
        <v>15710485</v>
      </c>
      <c r="U70" s="7">
        <v>567217</v>
      </c>
      <c r="V70" s="7">
        <f>+'St of Net Assets - GA'!O70-'LT _Lia - GA'!U70</f>
        <v>0</v>
      </c>
      <c r="Z70" s="7" t="str">
        <f t="shared" si="1"/>
        <v xml:space="preserve">Brookfield Local SD </v>
      </c>
      <c r="AA70" s="7" t="str">
        <f>'Gov Fnd Exp'!A70</f>
        <v xml:space="preserve">Brookfield Local SD </v>
      </c>
      <c r="AB70" s="7" t="b">
        <f t="shared" si="2"/>
        <v>1</v>
      </c>
      <c r="AC70" s="7" t="str">
        <f t="shared" si="3"/>
        <v>Trumbull</v>
      </c>
      <c r="AD70" s="7" t="b">
        <f>C70='Gov Fnd Exp'!C70</f>
        <v>1</v>
      </c>
    </row>
    <row r="71" spans="1:30">
      <c r="A71" s="12" t="s">
        <v>270</v>
      </c>
      <c r="B71" s="12"/>
      <c r="C71" s="12" t="s">
        <v>20</v>
      </c>
      <c r="D71" s="12"/>
      <c r="E71" s="12">
        <v>43653</v>
      </c>
      <c r="G71" s="7">
        <v>0</v>
      </c>
      <c r="I71" s="7">
        <v>0</v>
      </c>
      <c r="K71" s="7">
        <v>0</v>
      </c>
      <c r="M71" s="7">
        <v>0</v>
      </c>
      <c r="O71" s="7">
        <v>1215732</v>
      </c>
      <c r="Q71" s="7">
        <v>0</v>
      </c>
      <c r="S71" s="8">
        <f t="shared" si="10"/>
        <v>1215732</v>
      </c>
      <c r="U71" s="7">
        <v>208155</v>
      </c>
      <c r="V71" s="7">
        <f>+'St of Net Assets - GA'!O71-'LT _Lia - GA'!U71</f>
        <v>0</v>
      </c>
      <c r="Z71" s="7" t="str">
        <f t="shared" si="1"/>
        <v>Brooklyn City SD</v>
      </c>
      <c r="AA71" s="7" t="str">
        <f>'Gov Fnd Exp'!A71</f>
        <v>Brooklyn City SD</v>
      </c>
      <c r="AB71" s="7" t="b">
        <f t="shared" si="2"/>
        <v>1</v>
      </c>
      <c r="AC71" s="7" t="str">
        <f t="shared" si="3"/>
        <v>Cuyahoga</v>
      </c>
      <c r="AD71" s="7" t="b">
        <f>C71='Gov Fnd Exp'!C71</f>
        <v>1</v>
      </c>
    </row>
    <row r="72" spans="1:30">
      <c r="A72" s="12" t="s">
        <v>441</v>
      </c>
      <c r="B72" s="12"/>
      <c r="C72" s="12" t="s">
        <v>50</v>
      </c>
      <c r="D72" s="12"/>
      <c r="E72" s="12">
        <v>48678</v>
      </c>
      <c r="G72" s="7">
        <v>21012247</v>
      </c>
      <c r="I72" s="7">
        <v>0</v>
      </c>
      <c r="K72" s="7">
        <v>0</v>
      </c>
      <c r="M72" s="7">
        <v>0</v>
      </c>
      <c r="O72" s="7">
        <v>882135</v>
      </c>
      <c r="Q72" s="7">
        <v>0</v>
      </c>
      <c r="S72" s="8">
        <f t="shared" si="10"/>
        <v>21894382</v>
      </c>
      <c r="U72" s="7">
        <v>701962</v>
      </c>
      <c r="V72" s="7">
        <f>+'St of Net Assets - GA'!O72-'LT _Lia - GA'!U72</f>
        <v>0</v>
      </c>
      <c r="Z72" s="7" t="str">
        <f t="shared" si="1"/>
        <v>Brookville Local SD</v>
      </c>
      <c r="AA72" s="7" t="str">
        <f>'Gov Fnd Exp'!A72</f>
        <v>Brookville Local SD</v>
      </c>
      <c r="AB72" s="7" t="b">
        <f t="shared" si="2"/>
        <v>1</v>
      </c>
      <c r="AC72" s="7" t="str">
        <f t="shared" si="3"/>
        <v>Montgomery</v>
      </c>
      <c r="AD72" s="7" t="b">
        <f>C72='Gov Fnd Exp'!C72</f>
        <v>1</v>
      </c>
    </row>
    <row r="73" spans="1:30">
      <c r="A73" s="12" t="s">
        <v>231</v>
      </c>
      <c r="B73" s="12"/>
      <c r="C73" s="12" t="s">
        <v>16</v>
      </c>
      <c r="D73" s="12"/>
      <c r="E73" s="12">
        <v>46177</v>
      </c>
      <c r="G73" s="7">
        <v>0</v>
      </c>
      <c r="I73" s="7">
        <v>0</v>
      </c>
      <c r="K73" s="7">
        <v>0</v>
      </c>
      <c r="M73" s="7">
        <v>37801</v>
      </c>
      <c r="O73" s="7">
        <v>363039</v>
      </c>
      <c r="Q73" s="7">
        <v>0</v>
      </c>
      <c r="S73" s="8">
        <f t="shared" si="10"/>
        <v>400840</v>
      </c>
      <c r="U73" s="7">
        <v>81159</v>
      </c>
      <c r="V73" s="7">
        <f>+'St of Net Assets - GA'!O73-'LT _Lia - GA'!U73</f>
        <v>0</v>
      </c>
      <c r="Z73" s="7" t="str">
        <f t="shared" si="1"/>
        <v>Brown Local SD</v>
      </c>
      <c r="AA73" s="7" t="str">
        <f>'Gov Fnd Exp'!A73</f>
        <v>Brown Local SD</v>
      </c>
      <c r="AB73" s="7" t="b">
        <f t="shared" si="2"/>
        <v>1</v>
      </c>
      <c r="AC73" s="7" t="str">
        <f t="shared" si="3"/>
        <v>Carroll</v>
      </c>
      <c r="AD73" s="7" t="b">
        <f>C73='Gov Fnd Exp'!C73</f>
        <v>1</v>
      </c>
    </row>
    <row r="74" spans="1:30">
      <c r="A74" s="12" t="s">
        <v>428</v>
      </c>
      <c r="B74" s="12"/>
      <c r="C74" s="12" t="s">
        <v>47</v>
      </c>
      <c r="D74" s="12"/>
      <c r="E74" s="12">
        <v>43661</v>
      </c>
      <c r="G74" s="7">
        <v>39341188</v>
      </c>
      <c r="I74" s="7">
        <v>0</v>
      </c>
      <c r="K74" s="7">
        <v>0</v>
      </c>
      <c r="M74" s="7">
        <v>390284</v>
      </c>
      <c r="O74" s="7">
        <v>5852407</v>
      </c>
      <c r="Q74" s="7">
        <v>0</v>
      </c>
      <c r="S74" s="8">
        <f t="shared" si="10"/>
        <v>45583879</v>
      </c>
      <c r="U74" s="7">
        <v>2384635</v>
      </c>
      <c r="V74" s="7">
        <f>+'St of Net Assets - GA'!O74-'LT _Lia - GA'!U74</f>
        <v>0</v>
      </c>
      <c r="Z74" s="7" t="str">
        <f t="shared" si="1"/>
        <v>Brunswick City SD</v>
      </c>
      <c r="AA74" s="7" t="str">
        <f>'Gov Fnd Exp'!A74</f>
        <v>Brunswick City SD</v>
      </c>
      <c r="AB74" s="7" t="b">
        <f t="shared" si="2"/>
        <v>1</v>
      </c>
      <c r="AC74" s="7" t="str">
        <f t="shared" si="3"/>
        <v>Medina</v>
      </c>
      <c r="AD74" s="7" t="b">
        <f>C74='Gov Fnd Exp'!C74</f>
        <v>1</v>
      </c>
    </row>
    <row r="75" spans="1:30" hidden="1">
      <c r="A75" s="12" t="s">
        <v>707</v>
      </c>
      <c r="B75" s="12"/>
      <c r="C75" s="12" t="s">
        <v>570</v>
      </c>
      <c r="D75" s="12"/>
      <c r="E75" s="12">
        <v>43679</v>
      </c>
      <c r="S75" s="8">
        <f t="shared" si="10"/>
        <v>0</v>
      </c>
      <c r="V75" s="7">
        <f>+'St of Net Assets - GA'!O75-'LT _Lia - GA'!U75</f>
        <v>0</v>
      </c>
      <c r="X75" s="7" t="s">
        <v>778</v>
      </c>
      <c r="Z75" s="7" t="str">
        <f t="shared" si="1"/>
        <v>Bryan City SD (CASH)</v>
      </c>
      <c r="AA75" s="7" t="str">
        <f>'Gov Fnd Exp'!A75</f>
        <v>Bryan City SD (CASH)</v>
      </c>
      <c r="AB75" s="7" t="b">
        <f t="shared" si="2"/>
        <v>1</v>
      </c>
      <c r="AC75" s="7" t="str">
        <f t="shared" si="3"/>
        <v>Williams</v>
      </c>
      <c r="AD75" s="7" t="b">
        <f>C75='Gov Fnd Exp'!C75</f>
        <v>1</v>
      </c>
    </row>
    <row r="76" spans="1:30">
      <c r="A76" s="12" t="s">
        <v>262</v>
      </c>
      <c r="B76" s="12"/>
      <c r="C76" s="12" t="s">
        <v>111</v>
      </c>
      <c r="D76" s="12"/>
      <c r="E76" s="12">
        <v>46508</v>
      </c>
      <c r="G76" s="7">
        <v>8150463</v>
      </c>
      <c r="I76" s="7">
        <v>409878</v>
      </c>
      <c r="K76" s="7">
        <v>0</v>
      </c>
      <c r="M76" s="7">
        <v>77407</v>
      </c>
      <c r="O76" s="7">
        <v>359009</v>
      </c>
      <c r="Q76" s="7">
        <v>0</v>
      </c>
      <c r="S76" s="8">
        <f t="shared" si="10"/>
        <v>8996757</v>
      </c>
      <c r="U76" s="7">
        <v>298527</v>
      </c>
      <c r="V76" s="7">
        <f>+'St of Net Assets - GA'!O76-'LT _Lia - GA'!U76</f>
        <v>0</v>
      </c>
      <c r="Z76" s="7" t="str">
        <f t="shared" si="1"/>
        <v>Buckeye Central Local SD</v>
      </c>
      <c r="AA76" s="7" t="str">
        <f>'Gov Fnd Exp'!A76</f>
        <v>Buckeye Central Local SD</v>
      </c>
      <c r="AB76" s="7" t="b">
        <f t="shared" si="2"/>
        <v>1</v>
      </c>
      <c r="AC76" s="7" t="str">
        <f t="shared" ref="AC76:AC139" si="11">C76</f>
        <v>Crawford</v>
      </c>
      <c r="AD76" s="7" t="b">
        <f>C76='Gov Fnd Exp'!C76</f>
        <v>1</v>
      </c>
    </row>
    <row r="77" spans="1:30">
      <c r="A77" s="12" t="s">
        <v>207</v>
      </c>
      <c r="B77" s="12"/>
      <c r="C77" s="12" t="s">
        <v>12</v>
      </c>
      <c r="D77" s="12"/>
      <c r="E77" s="12">
        <v>45856</v>
      </c>
      <c r="G77" s="7">
        <v>55000</v>
      </c>
      <c r="I77" s="7">
        <v>0</v>
      </c>
      <c r="K77" s="7">
        <v>0</v>
      </c>
      <c r="M77" s="7">
        <v>74310</v>
      </c>
      <c r="O77" s="7">
        <v>990808</v>
      </c>
      <c r="Q77" s="7">
        <v>0</v>
      </c>
      <c r="S77" s="8">
        <f t="shared" si="10"/>
        <v>1120118</v>
      </c>
      <c r="U77" s="7">
        <v>122945</v>
      </c>
      <c r="V77" s="7">
        <f>+'St of Net Assets - GA'!O77-'LT _Lia - GA'!U77</f>
        <v>0</v>
      </c>
      <c r="Z77" s="7" t="str">
        <f t="shared" ref="Z77:Z139" si="12">A77</f>
        <v>Buckeye Local SD</v>
      </c>
      <c r="AA77" s="7" t="str">
        <f>'Gov Fnd Exp'!A77</f>
        <v>Buckeye Local SD</v>
      </c>
      <c r="AB77" s="7" t="b">
        <f t="shared" ref="AB77:AB140" si="13">Z77=AA77</f>
        <v>1</v>
      </c>
      <c r="AC77" s="7" t="str">
        <f t="shared" si="11"/>
        <v>Ashtabula</v>
      </c>
      <c r="AD77" s="7" t="b">
        <f>C77='Gov Fnd Exp'!C77</f>
        <v>1</v>
      </c>
    </row>
    <row r="78" spans="1:30">
      <c r="A78" s="12" t="s">
        <v>207</v>
      </c>
      <c r="B78" s="12"/>
      <c r="C78" s="12" t="s">
        <v>39</v>
      </c>
      <c r="D78" s="12"/>
      <c r="E78" s="12">
        <v>47787</v>
      </c>
      <c r="G78" s="7">
        <v>747396</v>
      </c>
      <c r="I78" s="7">
        <v>0</v>
      </c>
      <c r="K78" s="7">
        <v>0</v>
      </c>
      <c r="M78" s="7">
        <v>0</v>
      </c>
      <c r="O78" s="7">
        <v>1334153</v>
      </c>
      <c r="Q78" s="7">
        <v>0</v>
      </c>
      <c r="S78" s="8">
        <f t="shared" si="10"/>
        <v>2081549</v>
      </c>
      <c r="U78" s="7">
        <v>866506</v>
      </c>
      <c r="V78" s="7">
        <f>+'St of Net Assets - GA'!O78-'LT _Lia - GA'!U78</f>
        <v>0</v>
      </c>
      <c r="Z78" s="7" t="str">
        <f t="shared" si="12"/>
        <v>Buckeye Local SD</v>
      </c>
      <c r="AA78" s="7" t="str">
        <f>'Gov Fnd Exp'!A78</f>
        <v>Buckeye Local SD</v>
      </c>
      <c r="AB78" s="7" t="b">
        <f t="shared" si="13"/>
        <v>1</v>
      </c>
      <c r="AC78" s="7" t="str">
        <f t="shared" si="11"/>
        <v>Jefferson</v>
      </c>
      <c r="AD78" s="7" t="b">
        <f>C78='Gov Fnd Exp'!C78</f>
        <v>1</v>
      </c>
    </row>
    <row r="79" spans="1:30">
      <c r="A79" s="12" t="s">
        <v>708</v>
      </c>
      <c r="B79" s="12"/>
      <c r="C79" s="12" t="s">
        <v>47</v>
      </c>
      <c r="D79" s="12"/>
      <c r="E79" s="12">
        <v>48470</v>
      </c>
      <c r="G79" s="7">
        <v>18195413</v>
      </c>
      <c r="I79" s="7">
        <v>0</v>
      </c>
      <c r="K79" s="7">
        <v>0</v>
      </c>
      <c r="M79" s="7">
        <v>3431988</v>
      </c>
      <c r="O79" s="7">
        <v>372020</v>
      </c>
      <c r="Q79" s="7">
        <v>0</v>
      </c>
      <c r="S79" s="8">
        <f t="shared" si="10"/>
        <v>21999421</v>
      </c>
      <c r="U79" s="7">
        <v>1325058</v>
      </c>
      <c r="V79" s="7">
        <f>+'St of Net Assets - GA'!O79-'LT _Lia - GA'!U79</f>
        <v>0</v>
      </c>
      <c r="Z79" s="7" t="str">
        <f t="shared" si="12"/>
        <v xml:space="preserve">Buckeye Local SD </v>
      </c>
      <c r="AA79" s="7" t="str">
        <f>'Gov Fnd Exp'!A79</f>
        <v xml:space="preserve">Buckeye Local SD </v>
      </c>
      <c r="AB79" s="7" t="b">
        <f t="shared" si="13"/>
        <v>1</v>
      </c>
      <c r="AC79" s="7" t="str">
        <f t="shared" si="11"/>
        <v>Medina</v>
      </c>
      <c r="AD79" s="7" t="b">
        <f>C79='Gov Fnd Exp'!C79</f>
        <v>1</v>
      </c>
    </row>
    <row r="80" spans="1:30" hidden="1">
      <c r="A80" s="54" t="s">
        <v>908</v>
      </c>
      <c r="B80" s="12"/>
      <c r="C80" s="12" t="s">
        <v>112</v>
      </c>
      <c r="D80" s="12"/>
      <c r="E80" s="12">
        <v>46755</v>
      </c>
      <c r="S80" s="8">
        <f>SUM(G80:R80)</f>
        <v>0</v>
      </c>
      <c r="V80" s="7">
        <f>+'St of Net Assets - GA'!O80-'LT _Lia - GA'!U80</f>
        <v>0</v>
      </c>
      <c r="X80" s="7" t="s">
        <v>907</v>
      </c>
      <c r="Z80" s="7" t="str">
        <f t="shared" si="12"/>
        <v>Buckeye Online School for Success (now Community School)</v>
      </c>
      <c r="AA80" s="7" t="str">
        <f>'Gov Fnd Exp'!A80</f>
        <v>Buckeye Online School for Success (now Community School)</v>
      </c>
      <c r="AB80" s="7" t="b">
        <f t="shared" si="13"/>
        <v>1</v>
      </c>
      <c r="AC80" s="7" t="str">
        <f t="shared" si="11"/>
        <v>Columbiana</v>
      </c>
      <c r="AD80" s="7" t="b">
        <f>C80='Gov Fnd Exp'!C80</f>
        <v>1</v>
      </c>
    </row>
    <row r="81" spans="1:30">
      <c r="A81" s="12" t="s">
        <v>665</v>
      </c>
      <c r="B81" s="12"/>
      <c r="C81" s="12" t="s">
        <v>23</v>
      </c>
      <c r="D81" s="12"/>
      <c r="E81" s="12">
        <v>46755</v>
      </c>
      <c r="G81" s="7">
        <v>23115379</v>
      </c>
      <c r="I81" s="7">
        <v>0</v>
      </c>
      <c r="K81" s="7">
        <v>0</v>
      </c>
      <c r="M81" s="7">
        <v>18401</v>
      </c>
      <c r="O81" s="7">
        <v>1659220</v>
      </c>
      <c r="Q81" s="7">
        <v>0</v>
      </c>
      <c r="S81" s="8">
        <f t="shared" si="10"/>
        <v>24793000</v>
      </c>
      <c r="U81" s="7">
        <v>1389316</v>
      </c>
      <c r="V81" s="7">
        <f>+'St of Net Assets - GA'!O81-'LT _Lia - GA'!U81</f>
        <v>0</v>
      </c>
      <c r="Z81" s="7" t="str">
        <f t="shared" si="12"/>
        <v xml:space="preserve">Buckeye Valley Local SD </v>
      </c>
      <c r="AA81" s="7" t="str">
        <f>'Gov Fnd Exp'!A81</f>
        <v xml:space="preserve">Buckeye Valley Local SD </v>
      </c>
      <c r="AB81" s="7" t="b">
        <f t="shared" si="13"/>
        <v>1</v>
      </c>
      <c r="AC81" s="7" t="str">
        <f t="shared" si="11"/>
        <v>Delaware</v>
      </c>
      <c r="AD81" s="7" t="b">
        <f>C81='Gov Fnd Exp'!C81</f>
        <v>1</v>
      </c>
    </row>
    <row r="82" spans="1:30">
      <c r="A82" s="12" t="s">
        <v>263</v>
      </c>
      <c r="B82" s="12"/>
      <c r="C82" s="12" t="s">
        <v>111</v>
      </c>
      <c r="D82" s="12"/>
      <c r="E82" s="12">
        <v>43687</v>
      </c>
      <c r="G82" s="7">
        <v>12781336</v>
      </c>
      <c r="I82" s="7">
        <v>0</v>
      </c>
      <c r="K82" s="7">
        <v>0</v>
      </c>
      <c r="M82" s="7">
        <v>0</v>
      </c>
      <c r="O82" s="7">
        <v>1338692</v>
      </c>
      <c r="Q82" s="7">
        <v>0</v>
      </c>
      <c r="S82" s="8">
        <f t="shared" si="10"/>
        <v>14120028</v>
      </c>
      <c r="U82" s="7">
        <v>447159</v>
      </c>
      <c r="V82" s="7">
        <f>+'St of Net Assets - GA'!O82-'LT _Lia - GA'!U82</f>
        <v>0</v>
      </c>
      <c r="Z82" s="7" t="str">
        <f t="shared" si="12"/>
        <v>Bucyrus City SD</v>
      </c>
      <c r="AA82" s="7" t="str">
        <f>'Gov Fnd Exp'!A82</f>
        <v>Bucyrus City SD</v>
      </c>
      <c r="AB82" s="7" t="b">
        <f t="shared" si="13"/>
        <v>1</v>
      </c>
      <c r="AC82" s="7" t="str">
        <f t="shared" si="11"/>
        <v>Crawford</v>
      </c>
      <c r="AD82" s="7" t="b">
        <f>C82='Gov Fnd Exp'!C82</f>
        <v>1</v>
      </c>
    </row>
    <row r="83" spans="1:30">
      <c r="A83" s="12" t="s">
        <v>861</v>
      </c>
      <c r="B83" s="12"/>
      <c r="C83" s="12" t="s">
        <v>52</v>
      </c>
      <c r="D83" s="12"/>
      <c r="E83" s="12">
        <v>45252</v>
      </c>
      <c r="G83" s="7">
        <v>0</v>
      </c>
      <c r="I83" s="7">
        <v>0</v>
      </c>
      <c r="K83" s="7">
        <v>0</v>
      </c>
      <c r="M83" s="7">
        <v>0</v>
      </c>
      <c r="O83" s="7">
        <v>362438</v>
      </c>
      <c r="Q83" s="7">
        <v>0</v>
      </c>
      <c r="S83" s="8">
        <f t="shared" ref="S83:S136" si="14">SUM(G83:R83)</f>
        <v>362438</v>
      </c>
      <c r="U83" s="7">
        <v>9741</v>
      </c>
      <c r="V83" s="7">
        <f>+'St of Net Assets - GA'!O83-'LT _Lia - GA'!U83</f>
        <v>0</v>
      </c>
      <c r="Z83" s="7" t="str">
        <f t="shared" si="12"/>
        <v>Caldwell Exempted Village SD</v>
      </c>
      <c r="AA83" s="7" t="str">
        <f>'Gov Fnd Exp'!A83</f>
        <v>Caldwell Exempted Village SD</v>
      </c>
      <c r="AB83" s="7" t="b">
        <f t="shared" si="13"/>
        <v>1</v>
      </c>
      <c r="AC83" s="7" t="str">
        <f t="shared" si="11"/>
        <v>Noble</v>
      </c>
      <c r="AD83" s="7" t="b">
        <f>C83='Gov Fnd Exp'!C83</f>
        <v>1</v>
      </c>
    </row>
    <row r="84" spans="1:30">
      <c r="A84" s="12" t="s">
        <v>327</v>
      </c>
      <c r="B84" s="12"/>
      <c r="C84" s="12" t="s">
        <v>31</v>
      </c>
      <c r="D84" s="12"/>
      <c r="E84" s="12">
        <v>43695</v>
      </c>
      <c r="G84" s="7">
        <v>5939632</v>
      </c>
      <c r="I84" s="7">
        <v>0</v>
      </c>
      <c r="K84" s="7">
        <v>0</v>
      </c>
      <c r="M84" s="7">
        <v>25240</v>
      </c>
      <c r="O84" s="7">
        <v>1348759</v>
      </c>
      <c r="Q84" s="7">
        <v>0</v>
      </c>
      <c r="S84" s="8">
        <f t="shared" si="14"/>
        <v>7313631</v>
      </c>
      <c r="U84" s="7">
        <v>567314</v>
      </c>
      <c r="V84" s="7">
        <f>+'St of Net Assets - GA'!O84-'LT _Lia - GA'!U84</f>
        <v>0</v>
      </c>
      <c r="Z84" s="7" t="str">
        <f t="shared" si="12"/>
        <v>Cambridge City SD</v>
      </c>
      <c r="AA84" s="7" t="str">
        <f>'Gov Fnd Exp'!A84</f>
        <v>Cambridge City SD</v>
      </c>
      <c r="AB84" s="7" t="b">
        <f t="shared" si="13"/>
        <v>1</v>
      </c>
      <c r="AC84" s="7" t="str">
        <f t="shared" si="11"/>
        <v>Guernsey</v>
      </c>
      <c r="AD84" s="7" t="b">
        <f>C84='Gov Fnd Exp'!C84</f>
        <v>1</v>
      </c>
    </row>
    <row r="85" spans="1:30">
      <c r="A85" s="12" t="s">
        <v>677</v>
      </c>
      <c r="B85" s="12"/>
      <c r="C85" s="12" t="s">
        <v>45</v>
      </c>
      <c r="D85" s="12"/>
      <c r="E85" s="12">
        <v>43703</v>
      </c>
      <c r="G85" s="7">
        <v>2027745</v>
      </c>
      <c r="I85" s="7">
        <v>0</v>
      </c>
      <c r="K85" s="7">
        <v>0</v>
      </c>
      <c r="M85" s="7">
        <v>2078000</v>
      </c>
      <c r="O85" s="7">
        <v>677820</v>
      </c>
      <c r="Q85" s="7">
        <v>0</v>
      </c>
      <c r="S85" s="8">
        <f t="shared" si="14"/>
        <v>4783565</v>
      </c>
      <c r="U85" s="7">
        <v>439597</v>
      </c>
      <c r="V85" s="7">
        <f>+'St of Net Assets - GA'!O85-'LT _Lia - GA'!U85</f>
        <v>0</v>
      </c>
      <c r="Z85" s="7" t="str">
        <f t="shared" si="12"/>
        <v xml:space="preserve">Campbell City SD </v>
      </c>
      <c r="AA85" s="7" t="str">
        <f>'Gov Fnd Exp'!A85</f>
        <v xml:space="preserve">Campbell City SD </v>
      </c>
      <c r="AB85" s="7" t="b">
        <f t="shared" si="13"/>
        <v>1</v>
      </c>
      <c r="AC85" s="7" t="str">
        <f t="shared" si="11"/>
        <v>Mahoning</v>
      </c>
      <c r="AD85" s="7" t="b">
        <f>C85='Gov Fnd Exp'!C85</f>
        <v>1</v>
      </c>
    </row>
    <row r="86" spans="1:30">
      <c r="A86" s="12" t="s">
        <v>306</v>
      </c>
      <c r="B86" s="12"/>
      <c r="C86" s="12" t="s">
        <v>27</v>
      </c>
      <c r="D86" s="12"/>
      <c r="E86" s="12">
        <v>46946</v>
      </c>
      <c r="G86" s="7">
        <f>60402000+2670000+1077224</f>
        <v>64149224</v>
      </c>
      <c r="I86" s="7">
        <v>0</v>
      </c>
      <c r="K86" s="7">
        <v>0</v>
      </c>
      <c r="M86" s="7">
        <v>188166</v>
      </c>
      <c r="O86" s="7">
        <v>487766</v>
      </c>
      <c r="Q86" s="7">
        <v>0</v>
      </c>
      <c r="S86" s="8">
        <f t="shared" si="14"/>
        <v>64825156</v>
      </c>
      <c r="U86" s="7">
        <v>4147601</v>
      </c>
      <c r="V86" s="7">
        <f>+'St of Net Assets - GA'!O86-'LT _Lia - GA'!U86</f>
        <v>0</v>
      </c>
      <c r="Z86" s="7" t="str">
        <f t="shared" si="12"/>
        <v>Canal Winchester Local SD</v>
      </c>
      <c r="AA86" s="7" t="str">
        <f>'Gov Fnd Exp'!A86</f>
        <v>Canal Winchester Local SD</v>
      </c>
      <c r="AB86" s="7" t="b">
        <f t="shared" si="13"/>
        <v>1</v>
      </c>
      <c r="AC86" s="7" t="str">
        <f t="shared" si="11"/>
        <v>Franklin</v>
      </c>
      <c r="AD86" s="7" t="b">
        <f>C86='Gov Fnd Exp'!C86</f>
        <v>1</v>
      </c>
    </row>
    <row r="87" spans="1:30">
      <c r="A87" s="12" t="s">
        <v>416</v>
      </c>
      <c r="B87" s="12"/>
      <c r="C87" s="12" t="s">
        <v>45</v>
      </c>
      <c r="D87" s="12"/>
      <c r="E87" s="12">
        <v>48314</v>
      </c>
      <c r="G87" s="7">
        <f>36000+80000+183879</f>
        <v>299879</v>
      </c>
      <c r="I87" s="7">
        <v>0</v>
      </c>
      <c r="K87" s="7">
        <v>2160000</v>
      </c>
      <c r="M87" s="7">
        <v>0</v>
      </c>
      <c r="O87" s="7">
        <v>3134508</v>
      </c>
      <c r="Q87" s="7">
        <v>0</v>
      </c>
      <c r="S87" s="8">
        <f t="shared" si="14"/>
        <v>5594387</v>
      </c>
      <c r="U87" s="7">
        <v>251235</v>
      </c>
      <c r="V87" s="7">
        <f>+'St of Net Assets - GA'!O87-'LT _Lia - GA'!U87</f>
        <v>0</v>
      </c>
      <c r="Z87" s="7" t="str">
        <f t="shared" si="12"/>
        <v>Canfield Local SD</v>
      </c>
      <c r="AA87" s="7" t="str">
        <f>'Gov Fnd Exp'!A87</f>
        <v>Canfield Local SD</v>
      </c>
      <c r="AB87" s="7" t="b">
        <f t="shared" si="13"/>
        <v>1</v>
      </c>
      <c r="AC87" s="7" t="str">
        <f t="shared" si="11"/>
        <v>Mahoning</v>
      </c>
      <c r="AD87" s="7" t="b">
        <f>C87='Gov Fnd Exp'!C87</f>
        <v>1</v>
      </c>
    </row>
    <row r="88" spans="1:30">
      <c r="A88" s="12" t="s">
        <v>509</v>
      </c>
      <c r="B88" s="12"/>
      <c r="C88" s="12" t="s">
        <v>62</v>
      </c>
      <c r="D88" s="12"/>
      <c r="E88" s="12">
        <v>49833</v>
      </c>
      <c r="G88" s="7">
        <v>0</v>
      </c>
      <c r="I88" s="7">
        <v>86385</v>
      </c>
      <c r="K88" s="7">
        <v>701767</v>
      </c>
      <c r="M88" s="7">
        <v>74747</v>
      </c>
      <c r="O88" s="7">
        <f>2245536+35159</f>
        <v>2280695</v>
      </c>
      <c r="Q88" s="7">
        <v>0</v>
      </c>
      <c r="S88" s="8">
        <f>SUM(G88:R88)</f>
        <v>3143594</v>
      </c>
      <c r="U88" s="7">
        <v>438726</v>
      </c>
      <c r="V88" s="7">
        <f>+'St of Net Assets - GA'!O88-'LT _Lia - GA'!U88</f>
        <v>0</v>
      </c>
      <c r="Z88" s="7" t="str">
        <f>A88</f>
        <v>Canton City SD</v>
      </c>
      <c r="AA88" s="7" t="str">
        <f>'Gov Fnd Exp'!A88</f>
        <v>Canton City SD</v>
      </c>
      <c r="AB88" s="7" t="b">
        <f>Z88=AA88</f>
        <v>1</v>
      </c>
      <c r="AC88" s="7" t="str">
        <f>C88</f>
        <v>Stark</v>
      </c>
      <c r="AD88" s="7" t="b">
        <f>C88='Gov Fnd Exp'!C88</f>
        <v>1</v>
      </c>
    </row>
    <row r="89" spans="1:30">
      <c r="A89" s="12" t="s">
        <v>510</v>
      </c>
      <c r="B89" s="12"/>
      <c r="C89" s="12" t="s">
        <v>62</v>
      </c>
      <c r="D89" s="12"/>
      <c r="E89" s="12">
        <v>43711</v>
      </c>
      <c r="G89" s="7">
        <v>44135000</v>
      </c>
      <c r="I89" s="7">
        <v>0</v>
      </c>
      <c r="K89" s="7">
        <v>1430000</v>
      </c>
      <c r="M89" s="7">
        <v>673000</v>
      </c>
      <c r="O89" s="7">
        <v>5821000</v>
      </c>
      <c r="Q89" s="7">
        <f>6729000+4751000</f>
        <v>11480000</v>
      </c>
      <c r="S89" s="8">
        <f t="shared" si="14"/>
        <v>63539000</v>
      </c>
      <c r="U89" s="7">
        <v>3384000</v>
      </c>
      <c r="V89" s="7">
        <f>+'St of Net Assets - GA'!O89-'LT _Lia - GA'!U89</f>
        <v>0</v>
      </c>
      <c r="Z89" s="7" t="str">
        <f t="shared" si="12"/>
        <v>Canton Local SD</v>
      </c>
      <c r="AA89" s="7" t="str">
        <f>'Gov Fnd Exp'!A89</f>
        <v>Canton Local SD</v>
      </c>
      <c r="AB89" s="7" t="b">
        <f t="shared" si="13"/>
        <v>1</v>
      </c>
      <c r="AC89" s="7" t="str">
        <f t="shared" si="11"/>
        <v>Stark</v>
      </c>
      <c r="AD89" s="7" t="b">
        <f>C89='Gov Fnd Exp'!C89</f>
        <v>1</v>
      </c>
    </row>
    <row r="90" spans="1:30">
      <c r="A90" s="12" t="s">
        <v>678</v>
      </c>
      <c r="B90" s="12"/>
      <c r="C90" s="12" t="s">
        <v>30</v>
      </c>
      <c r="D90" s="12"/>
      <c r="E90" s="12">
        <v>47175</v>
      </c>
      <c r="G90" s="7">
        <v>9688847</v>
      </c>
      <c r="I90" s="7">
        <v>0</v>
      </c>
      <c r="K90" s="7">
        <v>0</v>
      </c>
      <c r="M90" s="7">
        <v>0</v>
      </c>
      <c r="O90" s="7">
        <v>973165</v>
      </c>
      <c r="Q90" s="7">
        <v>1131504</v>
      </c>
      <c r="S90" s="8">
        <f t="shared" si="14"/>
        <v>11793516</v>
      </c>
      <c r="U90" s="7">
        <v>1126388</v>
      </c>
      <c r="V90" s="7">
        <f>+'St of Net Assets - GA'!O90-'LT _Lia - GA'!U90</f>
        <v>0</v>
      </c>
      <c r="Z90" s="7" t="str">
        <f t="shared" si="12"/>
        <v xml:space="preserve">Cardinal Local SD </v>
      </c>
      <c r="AA90" s="7" t="str">
        <f>'Gov Fnd Exp'!A90</f>
        <v xml:space="preserve">Cardinal Local SD </v>
      </c>
      <c r="AB90" s="7" t="b">
        <f t="shared" si="13"/>
        <v>1</v>
      </c>
      <c r="AC90" s="7" t="str">
        <f t="shared" si="11"/>
        <v>Geauga</v>
      </c>
      <c r="AD90" s="7" t="b">
        <f>C90='Gov Fnd Exp'!C90</f>
        <v>1</v>
      </c>
    </row>
    <row r="91" spans="1:30" hidden="1">
      <c r="A91" s="12" t="s">
        <v>454</v>
      </c>
      <c r="B91" s="12"/>
      <c r="C91" s="12" t="s">
        <v>78</v>
      </c>
      <c r="D91" s="12"/>
      <c r="E91" s="12">
        <v>48793</v>
      </c>
      <c r="S91" s="8">
        <f>SUM(G91:R91)</f>
        <v>0</v>
      </c>
      <c r="V91" s="7">
        <f>+'St of Net Assets - GA'!O91-'LT _Lia - GA'!U91</f>
        <v>0</v>
      </c>
      <c r="X91" s="7" t="s">
        <v>981</v>
      </c>
      <c r="Z91" s="7" t="str">
        <f t="shared" si="12"/>
        <v>Cardington-Lincoln Local SD</v>
      </c>
      <c r="AA91" s="7" t="str">
        <f>'Gov Fnd Exp'!A91</f>
        <v>Cardington-Lincoln Local SD</v>
      </c>
      <c r="AB91" s="7" t="b">
        <f t="shared" si="13"/>
        <v>1</v>
      </c>
      <c r="AC91" s="7" t="str">
        <f t="shared" si="11"/>
        <v>Morrow</v>
      </c>
      <c r="AD91" s="7" t="b">
        <f>C91='Gov Fnd Exp'!C91</f>
        <v>1</v>
      </c>
    </row>
    <row r="92" spans="1:30" hidden="1">
      <c r="A92" s="12" t="s">
        <v>644</v>
      </c>
      <c r="B92" s="12"/>
      <c r="C92" s="12" t="s">
        <v>577</v>
      </c>
      <c r="D92" s="12"/>
      <c r="E92" s="12">
        <v>45260</v>
      </c>
      <c r="S92" s="8">
        <f t="shared" si="14"/>
        <v>0</v>
      </c>
      <c r="V92" s="7">
        <f>+'St of Net Assets - GA'!O92-'LT _Lia - GA'!U92</f>
        <v>0</v>
      </c>
      <c r="X92" s="7" t="s">
        <v>778</v>
      </c>
      <c r="Z92" s="7" t="str">
        <f t="shared" si="12"/>
        <v>Carey Ex Vill SD (CASH)</v>
      </c>
      <c r="AA92" s="7" t="str">
        <f>'Gov Fnd Exp'!A92</f>
        <v>Carey Ex Vill SD (CASH)</v>
      </c>
      <c r="AB92" s="7" t="b">
        <f t="shared" si="13"/>
        <v>1</v>
      </c>
      <c r="AC92" s="7" t="str">
        <f t="shared" si="11"/>
        <v>Wyandot</v>
      </c>
      <c r="AD92" s="7" t="b">
        <f>C92='Gov Fnd Exp'!C92</f>
        <v>1</v>
      </c>
    </row>
    <row r="93" spans="1:30" s="32" customFormat="1">
      <c r="A93" s="31" t="s">
        <v>560</v>
      </c>
      <c r="B93" s="31"/>
      <c r="C93" s="31" t="s">
        <v>69</v>
      </c>
      <c r="D93" s="31"/>
      <c r="E93" s="31">
        <v>50419</v>
      </c>
      <c r="G93" s="32">
        <v>0</v>
      </c>
      <c r="I93" s="32">
        <v>0</v>
      </c>
      <c r="K93" s="32">
        <v>166647</v>
      </c>
      <c r="M93" s="32">
        <v>0</v>
      </c>
      <c r="O93" s="32">
        <v>858272</v>
      </c>
      <c r="Q93" s="32">
        <v>0</v>
      </c>
      <c r="S93" s="36">
        <f t="shared" si="14"/>
        <v>1024919</v>
      </c>
      <c r="U93" s="32">
        <v>148397</v>
      </c>
      <c r="V93" s="32">
        <f>+'St of Net Assets - GA'!O93-'LT _Lia - GA'!U93</f>
        <v>0</v>
      </c>
      <c r="Z93" s="32" t="str">
        <f t="shared" si="12"/>
        <v>Carlisle Local SD</v>
      </c>
      <c r="AA93" s="32" t="str">
        <f>'Gov Fnd Exp'!A93</f>
        <v>Carlisle Local SD</v>
      </c>
      <c r="AB93" s="32" t="b">
        <f t="shared" si="13"/>
        <v>1</v>
      </c>
      <c r="AC93" s="32" t="str">
        <f t="shared" si="11"/>
        <v>Warren</v>
      </c>
      <c r="AD93" s="32" t="b">
        <f>C93='Gov Fnd Exp'!C93</f>
        <v>1</v>
      </c>
    </row>
    <row r="94" spans="1:30">
      <c r="A94" s="12" t="s">
        <v>862</v>
      </c>
      <c r="B94" s="12"/>
      <c r="C94" s="12" t="s">
        <v>16</v>
      </c>
      <c r="D94" s="12"/>
      <c r="E94" s="12">
        <v>45278</v>
      </c>
      <c r="G94" s="7">
        <v>0</v>
      </c>
      <c r="I94" s="7">
        <v>0</v>
      </c>
      <c r="K94" s="7">
        <v>0</v>
      </c>
      <c r="M94" s="7">
        <v>0</v>
      </c>
      <c r="O94" s="7">
        <v>1359326</v>
      </c>
      <c r="Q94" s="7">
        <v>0</v>
      </c>
      <c r="S94" s="8">
        <f t="shared" si="14"/>
        <v>1359326</v>
      </c>
      <c r="U94" s="7">
        <v>52076</v>
      </c>
      <c r="V94" s="7">
        <f>+'St of Net Assets - GA'!O94-'LT _Lia - GA'!U94</f>
        <v>0</v>
      </c>
      <c r="Z94" s="7" t="str">
        <f t="shared" si="12"/>
        <v>Carrollton Exempted Village SD</v>
      </c>
      <c r="AA94" s="7" t="str">
        <f>'Gov Fnd Exp'!A94</f>
        <v>Carrollton Exempted Village SD</v>
      </c>
      <c r="AB94" s="7" t="b">
        <f t="shared" si="13"/>
        <v>1</v>
      </c>
      <c r="AC94" s="7" t="str">
        <f t="shared" si="11"/>
        <v>Carroll</v>
      </c>
      <c r="AD94" s="7" t="b">
        <f>C94='Gov Fnd Exp'!C94</f>
        <v>1</v>
      </c>
    </row>
    <row r="95" spans="1:30">
      <c r="A95" s="12" t="s">
        <v>679</v>
      </c>
      <c r="B95" s="12"/>
      <c r="C95" s="12" t="s">
        <v>114</v>
      </c>
      <c r="D95" s="12"/>
      <c r="E95" s="12">
        <v>47258</v>
      </c>
      <c r="G95" s="7">
        <f>7910000+3440000</f>
        <v>11350000</v>
      </c>
      <c r="I95" s="7">
        <v>0</v>
      </c>
      <c r="K95" s="7">
        <v>0</v>
      </c>
      <c r="M95" s="7">
        <v>2310000</v>
      </c>
      <c r="O95" s="7">
        <v>442266</v>
      </c>
      <c r="Q95" s="7">
        <v>0</v>
      </c>
      <c r="S95" s="8">
        <f t="shared" si="14"/>
        <v>14102266</v>
      </c>
      <c r="U95" s="7">
        <v>70000</v>
      </c>
      <c r="V95" s="7">
        <f>+'St of Net Assets - GA'!O95-'LT _Lia - GA'!U95</f>
        <v>0</v>
      </c>
      <c r="X95" s="7" t="s">
        <v>783</v>
      </c>
      <c r="Z95" s="7" t="str">
        <f t="shared" si="12"/>
        <v xml:space="preserve">Cedar Cliff Local SD </v>
      </c>
      <c r="AA95" s="7" t="str">
        <f>'Gov Fnd Exp'!A95</f>
        <v xml:space="preserve">Cedar Cliff Local SD </v>
      </c>
      <c r="AB95" s="7" t="b">
        <f t="shared" si="13"/>
        <v>1</v>
      </c>
      <c r="AC95" s="7" t="str">
        <f t="shared" si="11"/>
        <v>Greene</v>
      </c>
      <c r="AD95" s="7" t="b">
        <f>C95='Gov Fnd Exp'!C95</f>
        <v>1</v>
      </c>
    </row>
    <row r="96" spans="1:30" hidden="1">
      <c r="A96" s="12" t="s">
        <v>645</v>
      </c>
      <c r="B96" s="12"/>
      <c r="C96" s="12" t="s">
        <v>435</v>
      </c>
      <c r="D96" s="12"/>
      <c r="E96" s="12">
        <v>43729</v>
      </c>
      <c r="S96" s="8">
        <f t="shared" ref="S96" si="15">SUM(G96:R96)</f>
        <v>0</v>
      </c>
      <c r="V96" s="7">
        <f>+'St of Net Assets - GA'!O96-'LT _Lia - GA'!U96</f>
        <v>0</v>
      </c>
      <c r="X96" s="7" t="s">
        <v>778</v>
      </c>
      <c r="Z96" s="7" t="str">
        <f t="shared" si="12"/>
        <v>Celina City SD (CASH)</v>
      </c>
      <c r="AA96" s="7" t="str">
        <f>'Gov Fnd Exp'!A96</f>
        <v>Celina City SD (CASH)</v>
      </c>
      <c r="AB96" s="7" t="b">
        <f t="shared" si="13"/>
        <v>1</v>
      </c>
      <c r="AC96" s="7" t="str">
        <f t="shared" si="11"/>
        <v>Mercer</v>
      </c>
      <c r="AD96" s="7" t="b">
        <f>C96='Gov Fnd Exp'!C96</f>
        <v>1</v>
      </c>
    </row>
    <row r="97" spans="1:30">
      <c r="A97" s="12" t="s">
        <v>680</v>
      </c>
      <c r="B97" s="12"/>
      <c r="C97" s="12" t="s">
        <v>40</v>
      </c>
      <c r="D97" s="12"/>
      <c r="E97" s="12">
        <v>47829</v>
      </c>
      <c r="G97" s="7">
        <v>5091718</v>
      </c>
      <c r="I97" s="7">
        <v>0</v>
      </c>
      <c r="K97" s="7">
        <v>0</v>
      </c>
      <c r="M97" s="7">
        <v>0</v>
      </c>
      <c r="O97" s="7">
        <v>388146</v>
      </c>
      <c r="Q97" s="7">
        <v>0</v>
      </c>
      <c r="S97" s="8">
        <f t="shared" si="14"/>
        <v>5479864</v>
      </c>
      <c r="U97" s="7">
        <v>338858</v>
      </c>
      <c r="V97" s="7">
        <f>+'St of Net Assets - GA'!O97-'LT _Lia - GA'!U97</f>
        <v>0</v>
      </c>
      <c r="Z97" s="7" t="str">
        <f t="shared" si="12"/>
        <v xml:space="preserve">Centerburg Local SD </v>
      </c>
      <c r="AA97" s="7" t="str">
        <f>'Gov Fnd Exp'!A97</f>
        <v xml:space="preserve">Centerburg Local SD </v>
      </c>
      <c r="AB97" s="7" t="b">
        <f t="shared" si="13"/>
        <v>1</v>
      </c>
      <c r="AC97" s="7" t="str">
        <f t="shared" si="11"/>
        <v>Knox</v>
      </c>
      <c r="AD97" s="7" t="b">
        <f>C97='Gov Fnd Exp'!C97</f>
        <v>1</v>
      </c>
    </row>
    <row r="98" spans="1:30">
      <c r="A98" s="12" t="s">
        <v>681</v>
      </c>
      <c r="B98" s="12"/>
      <c r="C98" s="12" t="s">
        <v>50</v>
      </c>
      <c r="D98" s="12"/>
      <c r="E98" s="12">
        <v>43737</v>
      </c>
      <c r="G98" s="7">
        <v>64171609</v>
      </c>
      <c r="I98" s="7">
        <v>0</v>
      </c>
      <c r="K98" s="7">
        <v>0</v>
      </c>
      <c r="M98" s="7">
        <v>0</v>
      </c>
      <c r="O98" s="7">
        <v>2741665</v>
      </c>
      <c r="Q98" s="7">
        <v>0</v>
      </c>
      <c r="S98" s="8">
        <f t="shared" si="14"/>
        <v>66913274</v>
      </c>
      <c r="U98" s="7">
        <v>4679199</v>
      </c>
      <c r="V98" s="7">
        <f>+'St of Net Assets - GA'!O98-'LT _Lia - GA'!U98</f>
        <v>0</v>
      </c>
      <c r="Z98" s="7" t="str">
        <f t="shared" si="12"/>
        <v xml:space="preserve">Centerville City SD </v>
      </c>
      <c r="AA98" s="7" t="str">
        <f>'Gov Fnd Exp'!A98</f>
        <v xml:space="preserve">Centerville City SD </v>
      </c>
      <c r="AB98" s="7" t="b">
        <f t="shared" si="13"/>
        <v>1</v>
      </c>
      <c r="AC98" s="7" t="str">
        <f t="shared" si="11"/>
        <v>Montgomery</v>
      </c>
      <c r="AD98" s="7" t="b">
        <f>C98='Gov Fnd Exp'!C98</f>
        <v>1</v>
      </c>
    </row>
    <row r="99" spans="1:30" hidden="1">
      <c r="A99" s="12" t="s">
        <v>797</v>
      </c>
      <c r="B99" s="12"/>
      <c r="C99" s="12" t="s">
        <v>22</v>
      </c>
      <c r="D99" s="12"/>
      <c r="E99" s="12">
        <v>46714</v>
      </c>
      <c r="S99" s="8">
        <f t="shared" si="14"/>
        <v>0</v>
      </c>
      <c r="V99" s="7">
        <f>+'St of Net Assets - GA'!O99-'LT _Lia - GA'!U99</f>
        <v>0</v>
      </c>
      <c r="X99" s="7" t="s">
        <v>779</v>
      </c>
      <c r="Z99" s="7" t="str">
        <f t="shared" si="12"/>
        <v>Central Local SD (CASH)</v>
      </c>
      <c r="AA99" s="7" t="str">
        <f>'Gov Fnd Exp'!A99</f>
        <v>Central Local SD (CASH)</v>
      </c>
      <c r="AB99" s="7" t="b">
        <f t="shared" si="13"/>
        <v>1</v>
      </c>
      <c r="AC99" s="7" t="str">
        <f t="shared" si="11"/>
        <v>Defiance</v>
      </c>
      <c r="AD99" s="7" t="b">
        <f>C99='Gov Fnd Exp'!C99</f>
        <v>1</v>
      </c>
    </row>
    <row r="100" spans="1:30">
      <c r="A100" s="12" t="s">
        <v>863</v>
      </c>
      <c r="B100" s="12"/>
      <c r="C100" s="12" t="s">
        <v>20</v>
      </c>
      <c r="D100" s="12"/>
      <c r="E100" s="12">
        <v>45286</v>
      </c>
      <c r="G100" s="7">
        <v>26812943</v>
      </c>
      <c r="I100" s="7">
        <v>0</v>
      </c>
      <c r="K100" s="7">
        <v>0</v>
      </c>
      <c r="M100" s="7">
        <v>83063</v>
      </c>
      <c r="O100" s="7">
        <v>1423725</v>
      </c>
      <c r="Q100" s="7">
        <v>0</v>
      </c>
      <c r="S100" s="8">
        <f t="shared" si="14"/>
        <v>28319731</v>
      </c>
      <c r="U100" s="7">
        <v>1362045</v>
      </c>
      <c r="V100" s="7">
        <f>+'St of Net Assets - GA'!O100-'LT _Lia - GA'!U100</f>
        <v>0</v>
      </c>
      <c r="Z100" s="7" t="str">
        <f t="shared" si="12"/>
        <v>Chagrin Falls Exempted Village SD</v>
      </c>
      <c r="AA100" s="7" t="str">
        <f>'Gov Fnd Exp'!A100</f>
        <v>Chagrin Falls Exempted Village SD</v>
      </c>
      <c r="AB100" s="7" t="b">
        <f t="shared" si="13"/>
        <v>1</v>
      </c>
      <c r="AC100" s="7" t="str">
        <f t="shared" si="11"/>
        <v>Cuyahoga</v>
      </c>
      <c r="AD100" s="7" t="b">
        <f>C100='Gov Fnd Exp'!C100</f>
        <v>1</v>
      </c>
    </row>
    <row r="101" spans="1:30">
      <c r="A101" s="12" t="s">
        <v>536</v>
      </c>
      <c r="B101" s="12"/>
      <c r="C101" s="12" t="s">
        <v>64</v>
      </c>
      <c r="D101" s="12"/>
      <c r="E101" s="12">
        <v>50138</v>
      </c>
      <c r="G101" s="7">
        <f>535000+1051500</f>
        <v>1586500</v>
      </c>
      <c r="I101" s="7">
        <v>0</v>
      </c>
      <c r="K101" s="7">
        <v>40396</v>
      </c>
      <c r="M101" s="7">
        <v>916394</v>
      </c>
      <c r="O101" s="7">
        <v>766324</v>
      </c>
      <c r="Q101" s="7">
        <v>0</v>
      </c>
      <c r="S101" s="8">
        <f t="shared" si="14"/>
        <v>3309614</v>
      </c>
      <c r="U101" s="7">
        <v>471959</v>
      </c>
      <c r="V101" s="7">
        <f>+'St of Net Assets - GA'!O101-'LT _Lia - GA'!U101</f>
        <v>0</v>
      </c>
      <c r="Z101" s="7" t="str">
        <f t="shared" si="12"/>
        <v>Champion Local SD</v>
      </c>
      <c r="AA101" s="7" t="str">
        <f>'Gov Fnd Exp'!A101</f>
        <v>Champion Local SD</v>
      </c>
      <c r="AB101" s="7" t="b">
        <f t="shared" si="13"/>
        <v>1</v>
      </c>
      <c r="AC101" s="7" t="str">
        <f t="shared" si="11"/>
        <v>Trumbull</v>
      </c>
      <c r="AD101" s="7" t="b">
        <f>C101='Gov Fnd Exp'!C101</f>
        <v>1</v>
      </c>
    </row>
    <row r="102" spans="1:30" hidden="1">
      <c r="A102" s="12" t="s">
        <v>798</v>
      </c>
      <c r="B102" s="12"/>
      <c r="C102" s="12" t="s">
        <v>30</v>
      </c>
      <c r="D102" s="12"/>
      <c r="E102" s="12">
        <v>47183</v>
      </c>
      <c r="S102" s="8">
        <f t="shared" si="14"/>
        <v>0</v>
      </c>
      <c r="V102" s="7">
        <f>+'St of Net Assets - GA'!O102-'LT _Lia - GA'!U102</f>
        <v>0</v>
      </c>
      <c r="X102" s="7" t="s">
        <v>779</v>
      </c>
      <c r="Z102" s="7" t="str">
        <f t="shared" si="12"/>
        <v>Chardon Local SD (CASH)</v>
      </c>
      <c r="AA102" s="7" t="str">
        <f>'Gov Fnd Exp'!A102</f>
        <v>Chardon Local SD (CASH)</v>
      </c>
      <c r="AB102" s="7" t="b">
        <f t="shared" si="13"/>
        <v>1</v>
      </c>
      <c r="AC102" s="7" t="str">
        <f t="shared" si="11"/>
        <v>Geauga</v>
      </c>
      <c r="AD102" s="7" t="b">
        <f>C102='Gov Fnd Exp'!C102</f>
        <v>1</v>
      </c>
    </row>
    <row r="103" spans="1:30">
      <c r="A103" s="12" t="s">
        <v>864</v>
      </c>
      <c r="B103" s="12"/>
      <c r="C103" s="12" t="s">
        <v>377</v>
      </c>
      <c r="D103" s="12"/>
      <c r="E103" s="12">
        <v>45294</v>
      </c>
      <c r="G103" s="7">
        <v>1559568</v>
      </c>
      <c r="I103" s="7">
        <v>0</v>
      </c>
      <c r="K103" s="7">
        <v>0</v>
      </c>
      <c r="M103" s="7">
        <v>29389</v>
      </c>
      <c r="O103" s="7">
        <v>585756</v>
      </c>
      <c r="Q103" s="7">
        <v>461161</v>
      </c>
      <c r="S103" s="8">
        <f t="shared" si="14"/>
        <v>2635874</v>
      </c>
      <c r="U103" s="7">
        <v>333762</v>
      </c>
      <c r="V103" s="7">
        <f>+'St of Net Assets - GA'!O103-'LT _Lia - GA'!U103</f>
        <v>0</v>
      </c>
      <c r="Z103" s="7" t="str">
        <f t="shared" si="12"/>
        <v>Chesapeake Union Exempted Village SD</v>
      </c>
      <c r="AA103" s="7" t="str">
        <f>'Gov Fnd Exp'!A103</f>
        <v>Chesapeake Union Exempted Village SD</v>
      </c>
      <c r="AB103" s="7" t="b">
        <f t="shared" si="13"/>
        <v>1</v>
      </c>
      <c r="AC103" s="7" t="str">
        <f t="shared" si="11"/>
        <v>Lawrence</v>
      </c>
      <c r="AD103" s="7" t="b">
        <f>C103='Gov Fnd Exp'!C103</f>
        <v>1</v>
      </c>
    </row>
    <row r="104" spans="1:30">
      <c r="A104" s="12" t="s">
        <v>488</v>
      </c>
      <c r="B104" s="12"/>
      <c r="C104" s="12" t="s">
        <v>58</v>
      </c>
      <c r="D104" s="12"/>
      <c r="E104" s="12">
        <v>43745</v>
      </c>
      <c r="G104" s="7">
        <v>32838654</v>
      </c>
      <c r="I104" s="7">
        <v>0</v>
      </c>
      <c r="K104" s="7">
        <v>0</v>
      </c>
      <c r="M104" s="7">
        <v>0</v>
      </c>
      <c r="O104" s="7">
        <v>2438867</v>
      </c>
      <c r="Q104" s="7">
        <v>0</v>
      </c>
      <c r="S104" s="8">
        <f t="shared" si="14"/>
        <v>35277521</v>
      </c>
      <c r="U104" s="7">
        <v>1246459</v>
      </c>
      <c r="V104" s="7">
        <f>+'St of Net Assets - GA'!O104-'LT _Lia - GA'!U104</f>
        <v>0</v>
      </c>
      <c r="Z104" s="7" t="str">
        <f t="shared" si="12"/>
        <v>Chillicothe City SD</v>
      </c>
      <c r="AA104" s="7" t="str">
        <f>'Gov Fnd Exp'!A104</f>
        <v>Chillicothe City SD</v>
      </c>
      <c r="AB104" s="7" t="b">
        <f t="shared" si="13"/>
        <v>1</v>
      </c>
      <c r="AC104" s="7" t="str">
        <f t="shared" si="11"/>
        <v>Ross</v>
      </c>
      <c r="AD104" s="7" t="b">
        <f>C104='Gov Fnd Exp'!C104</f>
        <v>1</v>
      </c>
    </row>
    <row r="105" spans="1:30">
      <c r="A105" s="12" t="s">
        <v>568</v>
      </c>
      <c r="B105" s="12"/>
      <c r="C105" s="12" t="s">
        <v>71</v>
      </c>
      <c r="D105" s="12"/>
      <c r="E105" s="12">
        <v>50534</v>
      </c>
      <c r="G105" s="7">
        <v>0</v>
      </c>
      <c r="I105" s="7">
        <v>0</v>
      </c>
      <c r="K105" s="7">
        <v>0</v>
      </c>
      <c r="M105" s="7">
        <v>0</v>
      </c>
      <c r="O105" s="7">
        <v>597795</v>
      </c>
      <c r="Q105" s="7">
        <v>0</v>
      </c>
      <c r="S105" s="8">
        <f t="shared" si="14"/>
        <v>597795</v>
      </c>
      <c r="U105" s="7">
        <v>103271</v>
      </c>
      <c r="V105" s="7">
        <f>+'St of Net Assets - GA'!O105-'LT _Lia - GA'!U105</f>
        <v>0</v>
      </c>
      <c r="Z105" s="7" t="str">
        <f t="shared" si="12"/>
        <v>Chippewa Local SD</v>
      </c>
      <c r="AA105" s="7" t="str">
        <f>'Gov Fnd Exp'!A105</f>
        <v>Chippewa Local SD</v>
      </c>
      <c r="AB105" s="7" t="b">
        <f t="shared" si="13"/>
        <v>1</v>
      </c>
      <c r="AC105" s="7" t="str">
        <f t="shared" si="11"/>
        <v>Wayne</v>
      </c>
      <c r="AD105" s="7" t="b">
        <f>C105='Gov Fnd Exp'!C105</f>
        <v>1</v>
      </c>
    </row>
    <row r="106" spans="1:30">
      <c r="A106" s="12" t="s">
        <v>683</v>
      </c>
      <c r="B106" s="12"/>
      <c r="C106" s="12" t="s">
        <v>32</v>
      </c>
      <c r="D106" s="12"/>
      <c r="E106" s="12">
        <v>43752</v>
      </c>
      <c r="G106" s="7">
        <v>624312582</v>
      </c>
      <c r="I106" s="7">
        <v>0</v>
      </c>
      <c r="K106" s="7">
        <v>0</v>
      </c>
      <c r="M106" s="7">
        <v>114960560</v>
      </c>
      <c r="O106" s="7">
        <v>55036867</v>
      </c>
      <c r="Q106" s="7">
        <v>0</v>
      </c>
      <c r="S106" s="8">
        <f t="shared" si="14"/>
        <v>794310009</v>
      </c>
      <c r="U106" s="7">
        <v>28866880</v>
      </c>
      <c r="V106" s="7">
        <f>+'St of Net Assets - GA'!O106-'LT _Lia - GA'!U106</f>
        <v>0</v>
      </c>
      <c r="Z106" s="7" t="str">
        <f t="shared" si="12"/>
        <v>Cincinnati City SD/Cincinnati Public SD</v>
      </c>
      <c r="AA106" s="7" t="str">
        <f>'Gov Fnd Exp'!A106</f>
        <v>Cincinnati City SD/Cincinnati Public SD</v>
      </c>
      <c r="AB106" s="7" t="b">
        <f t="shared" si="13"/>
        <v>1</v>
      </c>
      <c r="AC106" s="7" t="str">
        <f t="shared" si="11"/>
        <v>Hamilton</v>
      </c>
      <c r="AD106" s="7" t="b">
        <f>C106='Gov Fnd Exp'!C106</f>
        <v>1</v>
      </c>
    </row>
    <row r="107" spans="1:30">
      <c r="A107" s="12" t="s">
        <v>467</v>
      </c>
      <c r="B107" s="12"/>
      <c r="C107" s="12" t="s">
        <v>54</v>
      </c>
      <c r="D107" s="12"/>
      <c r="E107" s="12">
        <v>43760</v>
      </c>
      <c r="G107" s="7">
        <v>37980154</v>
      </c>
      <c r="I107" s="7">
        <v>0</v>
      </c>
      <c r="K107" s="7">
        <v>299000</v>
      </c>
      <c r="M107" s="7">
        <v>331058</v>
      </c>
      <c r="O107" s="7">
        <v>1603188</v>
      </c>
      <c r="Q107" s="7">
        <v>7000000</v>
      </c>
      <c r="S107" s="8">
        <f t="shared" si="14"/>
        <v>47213400</v>
      </c>
      <c r="U107" s="7">
        <v>528458</v>
      </c>
      <c r="V107" s="7">
        <f>+'St of Net Assets - GA'!O107-'LT _Lia - GA'!U107</f>
        <v>0</v>
      </c>
      <c r="Z107" s="7" t="str">
        <f t="shared" si="12"/>
        <v>Circleville City SD</v>
      </c>
      <c r="AA107" s="7" t="str">
        <f>'Gov Fnd Exp'!A107</f>
        <v>Circleville City SD</v>
      </c>
      <c r="AB107" s="7" t="b">
        <f t="shared" si="13"/>
        <v>1</v>
      </c>
      <c r="AC107" s="7" t="str">
        <f t="shared" si="11"/>
        <v>Pickaway</v>
      </c>
      <c r="AD107" s="7" t="b">
        <f>C107='Gov Fnd Exp'!C107</f>
        <v>1</v>
      </c>
    </row>
    <row r="108" spans="1:30">
      <c r="A108" s="12" t="s">
        <v>236</v>
      </c>
      <c r="B108" s="12"/>
      <c r="C108" s="12" t="s">
        <v>17</v>
      </c>
      <c r="D108" s="12"/>
      <c r="E108" s="12">
        <v>46284</v>
      </c>
      <c r="G108" s="7">
        <v>0</v>
      </c>
      <c r="I108" s="7">
        <v>0</v>
      </c>
      <c r="K108" s="7">
        <v>0</v>
      </c>
      <c r="M108" s="7">
        <v>24693</v>
      </c>
      <c r="O108" s="7">
        <v>1286382</v>
      </c>
      <c r="Q108" s="7">
        <v>0</v>
      </c>
      <c r="S108" s="8">
        <f t="shared" si="14"/>
        <v>1311075</v>
      </c>
      <c r="U108" s="7">
        <v>182028</v>
      </c>
      <c r="V108" s="7">
        <f>+'St of Net Assets - GA'!O108-'LT _Lia - GA'!U108</f>
        <v>0</v>
      </c>
      <c r="Z108" s="7" t="str">
        <f t="shared" si="12"/>
        <v>Clark-Shawnee Local SD</v>
      </c>
      <c r="AA108" s="7" t="str">
        <f>'Gov Fnd Exp'!A108</f>
        <v>Clark-Shawnee Local SD</v>
      </c>
      <c r="AB108" s="7" t="b">
        <f t="shared" si="13"/>
        <v>1</v>
      </c>
      <c r="AC108" s="7" t="str">
        <f t="shared" si="11"/>
        <v>Clark</v>
      </c>
      <c r="AD108" s="7" t="b">
        <f>C108='Gov Fnd Exp'!C108</f>
        <v>1</v>
      </c>
    </row>
    <row r="109" spans="1:30">
      <c r="A109" s="12" t="s">
        <v>495</v>
      </c>
      <c r="B109" s="12"/>
      <c r="C109" s="12" t="s">
        <v>59</v>
      </c>
      <c r="D109" s="12"/>
      <c r="E109" s="12">
        <v>49601</v>
      </c>
      <c r="G109" s="7">
        <f>225000+4800000+130000+91933+201913</f>
        <v>5448846</v>
      </c>
      <c r="I109" s="7">
        <v>0</v>
      </c>
      <c r="K109" s="7">
        <v>0</v>
      </c>
      <c r="M109" s="7">
        <v>95000</v>
      </c>
      <c r="O109" s="7">
        <v>407473</v>
      </c>
      <c r="Q109" s="7">
        <v>0</v>
      </c>
      <c r="S109" s="8">
        <f t="shared" si="14"/>
        <v>5951319</v>
      </c>
      <c r="U109" s="7">
        <v>146659</v>
      </c>
      <c r="V109" s="7">
        <f>+'St of Net Assets - GA'!O109-'LT _Lia - GA'!U109</f>
        <v>0</v>
      </c>
      <c r="Z109" s="7" t="str">
        <f t="shared" si="12"/>
        <v>Clay Local SD</v>
      </c>
      <c r="AA109" s="7" t="str">
        <f>'Gov Fnd Exp'!A109</f>
        <v>Clay Local SD</v>
      </c>
      <c r="AB109" s="7" t="b">
        <f t="shared" si="13"/>
        <v>1</v>
      </c>
      <c r="AC109" s="7" t="str">
        <f t="shared" si="11"/>
        <v>Scioto</v>
      </c>
      <c r="AD109" s="7" t="b">
        <f>C109='Gov Fnd Exp'!C109</f>
        <v>1</v>
      </c>
    </row>
    <row r="110" spans="1:30">
      <c r="A110" s="12" t="s">
        <v>549</v>
      </c>
      <c r="B110" s="12"/>
      <c r="C110" s="12" t="s">
        <v>65</v>
      </c>
      <c r="D110" s="12"/>
      <c r="E110" s="12">
        <v>43778</v>
      </c>
      <c r="G110" s="7">
        <v>3129397</v>
      </c>
      <c r="I110" s="7">
        <v>0</v>
      </c>
      <c r="K110" s="7">
        <v>0</v>
      </c>
      <c r="M110" s="7">
        <v>143231</v>
      </c>
      <c r="O110" s="7">
        <v>1165279</v>
      </c>
      <c r="Q110" s="7">
        <v>0</v>
      </c>
      <c r="S110" s="8">
        <f t="shared" si="14"/>
        <v>4437907</v>
      </c>
      <c r="U110" s="7">
        <v>526916</v>
      </c>
      <c r="V110" s="7">
        <f>+'St of Net Assets - GA'!O110-'LT _Lia - GA'!U110</f>
        <v>0</v>
      </c>
      <c r="Z110" s="7" t="str">
        <f t="shared" si="12"/>
        <v>Claymont City SD</v>
      </c>
      <c r="AA110" s="7" t="str">
        <f>'Gov Fnd Exp'!A110</f>
        <v>Claymont City SD</v>
      </c>
      <c r="AB110" s="7" t="b">
        <f t="shared" si="13"/>
        <v>1</v>
      </c>
      <c r="AC110" s="7" t="str">
        <f t="shared" si="11"/>
        <v>Tuscarawas</v>
      </c>
      <c r="AD110" s="7" t="b">
        <f>C110='Gov Fnd Exp'!C110</f>
        <v>1</v>
      </c>
    </row>
    <row r="111" spans="1:30">
      <c r="A111" s="12" t="s">
        <v>483</v>
      </c>
      <c r="B111" s="12"/>
      <c r="C111" s="12" t="s">
        <v>110</v>
      </c>
      <c r="D111" s="12"/>
      <c r="E111" s="12">
        <v>49411</v>
      </c>
      <c r="G111" s="7">
        <v>6551577</v>
      </c>
      <c r="I111" s="7">
        <v>0</v>
      </c>
      <c r="K111" s="7">
        <v>0</v>
      </c>
      <c r="M111" s="7">
        <v>0</v>
      </c>
      <c r="O111" s="7">
        <v>696502</v>
      </c>
      <c r="Q111" s="7">
        <v>0</v>
      </c>
      <c r="S111" s="8">
        <f t="shared" si="14"/>
        <v>7248079</v>
      </c>
      <c r="U111" s="7">
        <v>474182</v>
      </c>
      <c r="V111" s="7">
        <f>+'St of Net Assets - GA'!O111-'LT _Lia - GA'!U111</f>
        <v>0</v>
      </c>
      <c r="Z111" s="7" t="str">
        <f t="shared" si="12"/>
        <v>Clear Fork Valley Local SD</v>
      </c>
      <c r="AA111" s="7" t="str">
        <f>'Gov Fnd Exp'!A111</f>
        <v>Clear Fork Valley Local SD</v>
      </c>
      <c r="AB111" s="7" t="b">
        <f t="shared" si="13"/>
        <v>1</v>
      </c>
      <c r="AC111" s="7" t="str">
        <f t="shared" si="11"/>
        <v>Richland</v>
      </c>
      <c r="AD111" s="7" t="b">
        <f>C111='Gov Fnd Exp'!C111</f>
        <v>1</v>
      </c>
    </row>
    <row r="112" spans="1:30">
      <c r="A112" s="12" t="s">
        <v>394</v>
      </c>
      <c r="B112" s="12"/>
      <c r="C112" s="12" t="s">
        <v>44</v>
      </c>
      <c r="D112" s="12"/>
      <c r="E112" s="12">
        <v>48132</v>
      </c>
      <c r="G112" s="7">
        <v>4450000</v>
      </c>
      <c r="I112" s="7">
        <v>30315</v>
      </c>
      <c r="K112" s="7">
        <v>0</v>
      </c>
      <c r="M112" s="7">
        <v>35832</v>
      </c>
      <c r="O112" s="7">
        <v>5762107</v>
      </c>
      <c r="Q112" s="7">
        <v>0</v>
      </c>
      <c r="S112" s="8">
        <f t="shared" si="14"/>
        <v>10278254</v>
      </c>
      <c r="U112" s="7">
        <v>404853</v>
      </c>
      <c r="V112" s="7">
        <f>+'St of Net Assets - GA'!O112-'LT _Lia - GA'!U112</f>
        <v>0</v>
      </c>
      <c r="Z112" s="7" t="str">
        <f t="shared" si="12"/>
        <v>Clearview Local SD</v>
      </c>
      <c r="AA112" s="7" t="str">
        <f>'Gov Fnd Exp'!A112</f>
        <v>Clearview Local SD</v>
      </c>
      <c r="AB112" s="7" t="b">
        <f t="shared" si="13"/>
        <v>1</v>
      </c>
      <c r="AC112" s="7" t="str">
        <f t="shared" si="11"/>
        <v>Lorain</v>
      </c>
      <c r="AD112" s="7" t="b">
        <f>C112='Gov Fnd Exp'!C112</f>
        <v>1</v>
      </c>
    </row>
    <row r="113" spans="1:30">
      <c r="A113" s="12" t="s">
        <v>684</v>
      </c>
      <c r="B113" s="12"/>
      <c r="C113" s="12" t="s">
        <v>113</v>
      </c>
      <c r="D113" s="12"/>
      <c r="E113" s="12"/>
      <c r="G113" s="7">
        <v>700000</v>
      </c>
      <c r="I113" s="7">
        <v>0</v>
      </c>
      <c r="K113" s="7">
        <v>0</v>
      </c>
      <c r="M113" s="7">
        <v>0</v>
      </c>
      <c r="O113" s="7">
        <v>1038492</v>
      </c>
      <c r="Q113" s="7">
        <v>0</v>
      </c>
      <c r="S113" s="8">
        <f t="shared" si="14"/>
        <v>1738492</v>
      </c>
      <c r="U113" s="7">
        <v>384001</v>
      </c>
      <c r="V113" s="7">
        <f>+'St of Net Assets - GA'!O113-'LT _Lia - GA'!U113</f>
        <v>0</v>
      </c>
      <c r="Z113" s="7" t="str">
        <f t="shared" si="12"/>
        <v>Clermont Northeastern Local SD</v>
      </c>
      <c r="AA113" s="7" t="str">
        <f>'Gov Fnd Exp'!A113</f>
        <v>Clermont Northeastern Local SD</v>
      </c>
      <c r="AB113" s="7" t="b">
        <f t="shared" si="13"/>
        <v>1</v>
      </c>
      <c r="AC113" s="7" t="str">
        <f t="shared" si="11"/>
        <v>Clermont</v>
      </c>
      <c r="AD113" s="7" t="b">
        <f>C113='Gov Fnd Exp'!C113</f>
        <v>1</v>
      </c>
    </row>
    <row r="114" spans="1:30">
      <c r="A114" s="12" t="s">
        <v>682</v>
      </c>
      <c r="B114" s="12"/>
      <c r="C114" s="12" t="s">
        <v>20</v>
      </c>
      <c r="D114" s="12"/>
      <c r="E114" s="12">
        <v>43794</v>
      </c>
      <c r="G114" s="7">
        <f>1910000+7480000+5500000</f>
        <v>14890000</v>
      </c>
      <c r="I114" s="7">
        <v>0</v>
      </c>
      <c r="K114" s="7">
        <v>0</v>
      </c>
      <c r="M114" s="7">
        <v>1544828</v>
      </c>
      <c r="O114" s="7">
        <f>1288000+5608573</f>
        <v>6896573</v>
      </c>
      <c r="Q114" s="7">
        <v>0</v>
      </c>
      <c r="S114" s="8">
        <f t="shared" si="14"/>
        <v>23331401</v>
      </c>
      <c r="U114" s="7">
        <v>2101453</v>
      </c>
      <c r="V114" s="7">
        <f>+'St of Net Assets - GA'!O114-'LT _Lia - GA'!U114</f>
        <v>0</v>
      </c>
      <c r="Z114" s="7" t="str">
        <f t="shared" si="12"/>
        <v>Cleveland Heights-University Heights City SD</v>
      </c>
      <c r="AA114" s="7" t="str">
        <f>'Gov Fnd Exp'!A114</f>
        <v>Cleveland Heights-University Heights City SD</v>
      </c>
      <c r="AB114" s="7" t="b">
        <f t="shared" si="13"/>
        <v>1</v>
      </c>
      <c r="AC114" s="7" t="str">
        <f t="shared" si="11"/>
        <v>Cuyahoga</v>
      </c>
      <c r="AD114" s="7" t="b">
        <f>C114='Gov Fnd Exp'!C114</f>
        <v>1</v>
      </c>
    </row>
    <row r="115" spans="1:30">
      <c r="A115" s="12" t="s">
        <v>271</v>
      </c>
      <c r="B115" s="12"/>
      <c r="C115" s="12" t="s">
        <v>20</v>
      </c>
      <c r="D115" s="12"/>
      <c r="E115" s="12">
        <v>43786</v>
      </c>
      <c r="G115" s="7">
        <f>188490629+21250000</f>
        <v>209740629</v>
      </c>
      <c r="I115" s="7">
        <v>0</v>
      </c>
      <c r="K115" s="7">
        <v>0</v>
      </c>
      <c r="M115" s="7">
        <v>0</v>
      </c>
      <c r="O115" s="7">
        <v>48238153</v>
      </c>
      <c r="Q115" s="7">
        <v>7932898</v>
      </c>
      <c r="S115" s="8">
        <f t="shared" si="14"/>
        <v>265911680</v>
      </c>
      <c r="U115" s="7">
        <v>16567030</v>
      </c>
      <c r="V115" s="7">
        <f>+'St of Net Assets - GA'!O115-'LT _Lia - GA'!U115</f>
        <v>0</v>
      </c>
      <c r="Z115" s="7" t="str">
        <f t="shared" si="12"/>
        <v>Cleveland Municipal SD</v>
      </c>
      <c r="AA115" s="7" t="str">
        <f>'Gov Fnd Exp'!A115</f>
        <v>Cleveland Municipal SD</v>
      </c>
      <c r="AB115" s="7" t="b">
        <f t="shared" si="13"/>
        <v>1</v>
      </c>
      <c r="AC115" s="7" t="str">
        <f t="shared" si="11"/>
        <v>Cuyahoga</v>
      </c>
      <c r="AD115" s="7" t="b">
        <f>C115='Gov Fnd Exp'!C115</f>
        <v>1</v>
      </c>
    </row>
    <row r="116" spans="1:30">
      <c r="A116" s="12" t="s">
        <v>249</v>
      </c>
      <c r="B116" s="12"/>
      <c r="C116" s="12" t="s">
        <v>18</v>
      </c>
      <c r="D116" s="12"/>
      <c r="E116" s="12">
        <v>46391</v>
      </c>
      <c r="G116" s="7">
        <f>9140597-754328-97426</f>
        <v>8288843</v>
      </c>
      <c r="I116" s="7">
        <v>0</v>
      </c>
      <c r="K116" s="7">
        <v>0</v>
      </c>
      <c r="M116" s="7">
        <v>97426</v>
      </c>
      <c r="O116" s="7">
        <v>754328</v>
      </c>
      <c r="Q116" s="7">
        <v>0</v>
      </c>
      <c r="S116" s="8">
        <f t="shared" si="14"/>
        <v>9140597</v>
      </c>
      <c r="U116" s="7">
        <v>691497</v>
      </c>
      <c r="V116" s="7">
        <f>+'St of Net Assets - GA'!O116-'LT _Lia - GA'!U116</f>
        <v>0</v>
      </c>
      <c r="Z116" s="7" t="str">
        <f t="shared" si="12"/>
        <v>Clinton-Massie Local SD</v>
      </c>
      <c r="AA116" s="7" t="str">
        <f>'Gov Fnd Exp'!A116</f>
        <v>Clinton-Massie Local SD</v>
      </c>
      <c r="AB116" s="7" t="b">
        <f t="shared" si="13"/>
        <v>1</v>
      </c>
      <c r="AC116" s="7" t="str">
        <f t="shared" si="11"/>
        <v>Clinton</v>
      </c>
      <c r="AD116" s="7" t="b">
        <f>C116='Gov Fnd Exp'!C116</f>
        <v>1</v>
      </c>
    </row>
    <row r="117" spans="1:30">
      <c r="A117" s="12" t="s">
        <v>429</v>
      </c>
      <c r="B117" s="12"/>
      <c r="C117" s="12" t="s">
        <v>47</v>
      </c>
      <c r="D117" s="12"/>
      <c r="E117" s="12">
        <v>48488</v>
      </c>
      <c r="G117" s="7">
        <v>0</v>
      </c>
      <c r="I117" s="7">
        <v>0</v>
      </c>
      <c r="K117" s="7">
        <v>0</v>
      </c>
      <c r="M117" s="7">
        <f>25660000-643087</f>
        <v>25016913</v>
      </c>
      <c r="O117" s="7">
        <v>2384212</v>
      </c>
      <c r="Q117" s="7">
        <v>0</v>
      </c>
      <c r="S117" s="8">
        <f t="shared" si="14"/>
        <v>27401125</v>
      </c>
      <c r="U117" s="7">
        <v>282544</v>
      </c>
      <c r="V117" s="7">
        <f>+'St of Net Assets - GA'!O117-'LT _Lia - GA'!U117</f>
        <v>0</v>
      </c>
      <c r="Z117" s="7" t="str">
        <f t="shared" si="12"/>
        <v>Cloverleaf Local SD</v>
      </c>
      <c r="AA117" s="7" t="str">
        <f>'Gov Fnd Exp'!A117</f>
        <v>Cloverleaf Local SD</v>
      </c>
      <c r="AB117" s="7" t="b">
        <f t="shared" si="13"/>
        <v>1</v>
      </c>
      <c r="AC117" s="7" t="str">
        <f t="shared" si="11"/>
        <v>Medina</v>
      </c>
      <c r="AD117" s="7" t="b">
        <f>C117='Gov Fnd Exp'!C117</f>
        <v>1</v>
      </c>
    </row>
    <row r="118" spans="1:30">
      <c r="A118" s="12" t="s">
        <v>865</v>
      </c>
      <c r="B118" s="12"/>
      <c r="C118" s="12" t="s">
        <v>79</v>
      </c>
      <c r="D118" s="12"/>
      <c r="E118" s="12">
        <v>45302</v>
      </c>
      <c r="G118" s="7">
        <v>25080286</v>
      </c>
      <c r="I118" s="7">
        <v>0</v>
      </c>
      <c r="K118" s="7">
        <v>0</v>
      </c>
      <c r="M118" s="7">
        <v>2164905</v>
      </c>
      <c r="O118" s="7">
        <v>1935817</v>
      </c>
      <c r="Q118" s="7">
        <v>0</v>
      </c>
      <c r="S118" s="8">
        <f t="shared" si="14"/>
        <v>29181008</v>
      </c>
      <c r="U118" s="7">
        <v>1456058</v>
      </c>
      <c r="V118" s="7">
        <f>+'St of Net Assets - GA'!O118-'LT _Lia - GA'!U118</f>
        <v>0</v>
      </c>
      <c r="Z118" s="7" t="str">
        <f t="shared" si="12"/>
        <v>Clyde-Green Springs Exempted Village SD</v>
      </c>
      <c r="AA118" s="7" t="str">
        <f>'Gov Fnd Exp'!A118</f>
        <v>Clyde-Green Springs Exempted Village SD</v>
      </c>
      <c r="AB118" s="7" t="b">
        <f t="shared" si="13"/>
        <v>1</v>
      </c>
      <c r="AC118" s="7" t="str">
        <f t="shared" si="11"/>
        <v>Sandusky</v>
      </c>
      <c r="AD118" s="7" t="b">
        <f>C118='Gov Fnd Exp'!C118</f>
        <v>1</v>
      </c>
    </row>
    <row r="119" spans="1:30" hidden="1">
      <c r="A119" s="12" t="s">
        <v>685</v>
      </c>
      <c r="B119" s="12"/>
      <c r="C119" s="12" t="s">
        <v>435</v>
      </c>
      <c r="D119" s="12"/>
      <c r="E119" s="12"/>
      <c r="S119" s="8">
        <f t="shared" si="14"/>
        <v>0</v>
      </c>
      <c r="V119" s="7">
        <f>+'St of Net Assets - GA'!O119-'LT _Lia - GA'!U119</f>
        <v>0</v>
      </c>
      <c r="X119" s="7" t="s">
        <v>778</v>
      </c>
      <c r="Z119" s="7" t="str">
        <f t="shared" si="12"/>
        <v>Coldwater Exempted Village SD (CASH)</v>
      </c>
      <c r="AA119" s="7" t="str">
        <f>'Gov Fnd Exp'!A119</f>
        <v>Coldwater Exempted Village SD (CASH)</v>
      </c>
      <c r="AB119" s="7" t="b">
        <f t="shared" si="13"/>
        <v>1</v>
      </c>
      <c r="AC119" s="7" t="str">
        <f t="shared" si="11"/>
        <v>Mercer</v>
      </c>
      <c r="AD119" s="7" t="b">
        <f>C119='Gov Fnd Exp'!C119</f>
        <v>1</v>
      </c>
    </row>
    <row r="120" spans="1:30" hidden="1">
      <c r="A120" s="12" t="s">
        <v>636</v>
      </c>
      <c r="B120" s="12"/>
      <c r="C120" s="12" t="s">
        <v>57</v>
      </c>
      <c r="D120" s="12"/>
      <c r="E120" s="12">
        <v>64964</v>
      </c>
      <c r="S120" s="8">
        <f>SUM(G120:R120)</f>
        <v>0</v>
      </c>
      <c r="V120" s="7">
        <f>+'St of Net Assets - GA'!O120-'LT _Lia - GA'!U120</f>
        <v>0</v>
      </c>
      <c r="X120" s="7" t="s">
        <v>778</v>
      </c>
      <c r="Z120" s="7" t="str">
        <f t="shared" si="12"/>
        <v>College Corner Local SD (CASH)</v>
      </c>
      <c r="AA120" s="7" t="str">
        <f>'Gov Fnd Exp'!A120</f>
        <v>College Corner Local SD (CASH)</v>
      </c>
      <c r="AB120" s="7" t="b">
        <f t="shared" si="13"/>
        <v>1</v>
      </c>
      <c r="AC120" s="7" t="str">
        <f t="shared" si="11"/>
        <v>Preble</v>
      </c>
      <c r="AD120" s="7" t="b">
        <f>C120='Gov Fnd Exp'!C120</f>
        <v>1</v>
      </c>
    </row>
    <row r="121" spans="1:30">
      <c r="A121" s="12" t="s">
        <v>264</v>
      </c>
      <c r="B121" s="12"/>
      <c r="C121" s="12" t="s">
        <v>111</v>
      </c>
      <c r="D121" s="12"/>
      <c r="E121" s="12">
        <v>46516</v>
      </c>
      <c r="G121" s="7">
        <v>13354314</v>
      </c>
      <c r="I121" s="7">
        <v>0</v>
      </c>
      <c r="K121" s="7">
        <v>0</v>
      </c>
      <c r="M121" s="7">
        <v>0</v>
      </c>
      <c r="O121" s="7">
        <v>483324</v>
      </c>
      <c r="Q121" s="7">
        <v>108385</v>
      </c>
      <c r="S121" s="8">
        <f t="shared" si="14"/>
        <v>13946023</v>
      </c>
      <c r="U121" s="7">
        <v>453978</v>
      </c>
      <c r="V121" s="7">
        <f>+'St of Net Assets - GA'!O121-'LT _Lia - GA'!U121</f>
        <v>0</v>
      </c>
      <c r="Z121" s="7" t="str">
        <f t="shared" si="12"/>
        <v>Colonel Crawford Local SD</v>
      </c>
      <c r="AA121" s="7" t="str">
        <f>'Gov Fnd Exp'!A121</f>
        <v>Colonel Crawford Local SD</v>
      </c>
      <c r="AB121" s="7" t="b">
        <f t="shared" si="13"/>
        <v>1</v>
      </c>
      <c r="AC121" s="7" t="str">
        <f t="shared" si="11"/>
        <v>Crawford</v>
      </c>
      <c r="AD121" s="7" t="b">
        <f>C121='Gov Fnd Exp'!C121</f>
        <v>1</v>
      </c>
    </row>
    <row r="122" spans="1:30">
      <c r="A122" s="12" t="s">
        <v>395</v>
      </c>
      <c r="B122" s="12"/>
      <c r="C122" s="12" t="s">
        <v>44</v>
      </c>
      <c r="D122" s="12"/>
      <c r="E122" s="12">
        <v>48140</v>
      </c>
      <c r="G122" s="7">
        <v>0</v>
      </c>
      <c r="I122" s="7">
        <v>0</v>
      </c>
      <c r="K122" s="7">
        <v>0</v>
      </c>
      <c r="M122" s="7">
        <v>65095</v>
      </c>
      <c r="O122" s="7">
        <v>886628</v>
      </c>
      <c r="Q122" s="7">
        <v>0</v>
      </c>
      <c r="S122" s="8">
        <f t="shared" si="14"/>
        <v>951723</v>
      </c>
      <c r="U122" s="7">
        <v>145530</v>
      </c>
      <c r="V122" s="7">
        <f>+'St of Net Assets - GA'!O122-'LT _Lia - GA'!U122</f>
        <v>0</v>
      </c>
      <c r="Z122" s="7" t="str">
        <f t="shared" si="12"/>
        <v>Columbia Local SD</v>
      </c>
      <c r="AA122" s="7" t="str">
        <f>'Gov Fnd Exp'!A122</f>
        <v>Columbia Local SD</v>
      </c>
      <c r="AB122" s="7" t="b">
        <f t="shared" si="13"/>
        <v>1</v>
      </c>
      <c r="AC122" s="7" t="str">
        <f t="shared" si="11"/>
        <v>Lorain</v>
      </c>
      <c r="AD122" s="7" t="b">
        <f>C122='Gov Fnd Exp'!C122</f>
        <v>1</v>
      </c>
    </row>
    <row r="123" spans="1:30">
      <c r="A123" s="12" t="s">
        <v>866</v>
      </c>
      <c r="B123" s="12"/>
      <c r="C123" s="12" t="s">
        <v>112</v>
      </c>
      <c r="D123" s="12"/>
      <c r="E123" s="12">
        <v>45328</v>
      </c>
      <c r="G123" s="7">
        <v>13761635</v>
      </c>
      <c r="I123" s="7">
        <v>126301</v>
      </c>
      <c r="K123" s="7">
        <v>0</v>
      </c>
      <c r="M123" s="7">
        <v>40970</v>
      </c>
      <c r="O123" s="7">
        <v>590321</v>
      </c>
      <c r="Q123" s="7">
        <v>965000</v>
      </c>
      <c r="S123" s="8">
        <f t="shared" si="14"/>
        <v>15484227</v>
      </c>
      <c r="U123" s="7">
        <v>327663</v>
      </c>
      <c r="V123" s="7">
        <f>+'St of Net Assets - GA'!O123-'LT _Lia - GA'!U123</f>
        <v>0</v>
      </c>
      <c r="Z123" s="7" t="str">
        <f t="shared" si="12"/>
        <v>Columbiana Exempted Village SD</v>
      </c>
      <c r="AA123" s="7" t="str">
        <f>'Gov Fnd Exp'!A123</f>
        <v>Columbiana Exempted Village SD</v>
      </c>
      <c r="AB123" s="7" t="b">
        <f t="shared" si="13"/>
        <v>1</v>
      </c>
      <c r="AC123" s="7" t="str">
        <f t="shared" si="11"/>
        <v>Columbiana</v>
      </c>
      <c r="AD123" s="7" t="b">
        <f>C123='Gov Fnd Exp'!C123</f>
        <v>1</v>
      </c>
    </row>
    <row r="124" spans="1:30">
      <c r="A124" s="12" t="s">
        <v>307</v>
      </c>
      <c r="B124" s="12"/>
      <c r="C124" s="12" t="s">
        <v>27</v>
      </c>
      <c r="D124" s="12"/>
      <c r="E124" s="12">
        <v>43802</v>
      </c>
      <c r="G124" s="7">
        <f>612596396-64985015</f>
        <v>547611381</v>
      </c>
      <c r="I124" s="7">
        <v>0</v>
      </c>
      <c r="K124" s="7">
        <v>0</v>
      </c>
      <c r="M124" s="7">
        <v>0</v>
      </c>
      <c r="O124" s="7">
        <v>64985015</v>
      </c>
      <c r="Q124" s="7">
        <v>0</v>
      </c>
      <c r="S124" s="8">
        <f t="shared" si="14"/>
        <v>612596396</v>
      </c>
      <c r="U124" s="7">
        <v>27491083</v>
      </c>
      <c r="V124" s="7">
        <f>+'St of Net Assets - GA'!O124-'LT _Lia - GA'!U124</f>
        <v>0</v>
      </c>
      <c r="Z124" s="7" t="str">
        <f t="shared" si="12"/>
        <v>Columbus City SD</v>
      </c>
      <c r="AA124" s="7" t="str">
        <f>'Gov Fnd Exp'!A124</f>
        <v>Columbus City SD</v>
      </c>
      <c r="AB124" s="7" t="b">
        <f t="shared" si="13"/>
        <v>1</v>
      </c>
      <c r="AC124" s="7" t="str">
        <f t="shared" si="11"/>
        <v>Franklin</v>
      </c>
      <c r="AD124" s="7" t="b">
        <f>C124='Gov Fnd Exp'!C124</f>
        <v>1</v>
      </c>
    </row>
    <row r="125" spans="1:30" hidden="1">
      <c r="A125" s="12" t="s">
        <v>637</v>
      </c>
      <c r="B125" s="12"/>
      <c r="C125" s="12" t="s">
        <v>482</v>
      </c>
      <c r="D125" s="12"/>
      <c r="E125" s="12">
        <v>49312</v>
      </c>
      <c r="S125" s="8">
        <f t="shared" ref="S125" si="16">SUM(G125:R125)</f>
        <v>0</v>
      </c>
      <c r="V125" s="7">
        <f>+'St of Net Assets - GA'!O125-'LT _Lia - GA'!U125</f>
        <v>0</v>
      </c>
      <c r="X125" s="7" t="s">
        <v>778</v>
      </c>
      <c r="Z125" s="7" t="str">
        <f t="shared" si="12"/>
        <v>Columbus Grove Local SD (CASH)</v>
      </c>
      <c r="AA125" s="7" t="str">
        <f>'Gov Fnd Exp'!A125</f>
        <v>Columbus Grove Local SD (CASH)</v>
      </c>
      <c r="AB125" s="7" t="b">
        <f t="shared" si="13"/>
        <v>1</v>
      </c>
      <c r="AC125" s="7" t="str">
        <f t="shared" si="11"/>
        <v>Putnam</v>
      </c>
      <c r="AD125" s="7" t="b">
        <f>C125='Gov Fnd Exp'!C125</f>
        <v>1</v>
      </c>
    </row>
    <row r="126" spans="1:30">
      <c r="A126" s="12" t="s">
        <v>208</v>
      </c>
      <c r="B126" s="12"/>
      <c r="C126" s="12" t="s">
        <v>12</v>
      </c>
      <c r="D126" s="12"/>
      <c r="E126" s="12">
        <v>43810</v>
      </c>
      <c r="G126" s="7">
        <v>6434850</v>
      </c>
      <c r="I126" s="7">
        <v>0</v>
      </c>
      <c r="K126" s="7">
        <v>0</v>
      </c>
      <c r="M126" s="7">
        <v>0</v>
      </c>
      <c r="O126" s="7">
        <v>1063904</v>
      </c>
      <c r="Q126" s="7">
        <v>0</v>
      </c>
      <c r="S126" s="8">
        <f t="shared" si="14"/>
        <v>7498754</v>
      </c>
      <c r="U126" s="7">
        <v>485000</v>
      </c>
      <c r="V126" s="7">
        <f>+'St of Net Assets - GA'!O126-'LT _Lia - GA'!U126</f>
        <v>0</v>
      </c>
      <c r="Z126" s="7" t="str">
        <f t="shared" si="12"/>
        <v>Conneaut Area City SD</v>
      </c>
      <c r="AA126" s="7" t="str">
        <f>'Gov Fnd Exp'!A126</f>
        <v>Conneaut Area City SD</v>
      </c>
      <c r="AB126" s="7" t="b">
        <f t="shared" si="13"/>
        <v>1</v>
      </c>
      <c r="AC126" s="7" t="str">
        <f t="shared" si="11"/>
        <v>Ashtabula</v>
      </c>
      <c r="AD126" s="7" t="b">
        <f>C126='Gov Fnd Exp'!C126</f>
        <v>1</v>
      </c>
    </row>
    <row r="127" spans="1:30">
      <c r="A127" s="12" t="s">
        <v>351</v>
      </c>
      <c r="B127" s="12"/>
      <c r="C127" s="12" t="s">
        <v>352</v>
      </c>
      <c r="D127" s="12"/>
      <c r="E127" s="12">
        <v>47548</v>
      </c>
      <c r="G127" s="7">
        <v>0</v>
      </c>
      <c r="I127" s="7">
        <v>0</v>
      </c>
      <c r="K127" s="7">
        <v>0</v>
      </c>
      <c r="M127" s="7">
        <v>0</v>
      </c>
      <c r="O127" s="7">
        <v>205665</v>
      </c>
      <c r="Q127" s="7">
        <v>0</v>
      </c>
      <c r="S127" s="8">
        <f t="shared" si="14"/>
        <v>205665</v>
      </c>
      <c r="U127" s="7">
        <v>19110</v>
      </c>
      <c r="V127" s="7">
        <f>+'St of Net Assets - GA'!O127-'LT _Lia - GA'!U127</f>
        <v>0</v>
      </c>
      <c r="Z127" s="7" t="str">
        <f t="shared" si="12"/>
        <v>Conotton Valley Union Local SD</v>
      </c>
      <c r="AA127" s="7" t="str">
        <f>'Gov Fnd Exp'!A127</f>
        <v>Conotton Valley Union Local SD</v>
      </c>
      <c r="AB127" s="7" t="b">
        <f t="shared" si="13"/>
        <v>1</v>
      </c>
      <c r="AC127" s="7" t="str">
        <f t="shared" si="11"/>
        <v>Harrison</v>
      </c>
      <c r="AD127" s="7" t="b">
        <f>C127='Gov Fnd Exp'!C127</f>
        <v>1</v>
      </c>
    </row>
    <row r="128" spans="1:30" hidden="1">
      <c r="A128" s="12" t="s">
        <v>709</v>
      </c>
      <c r="B128" s="12"/>
      <c r="C128" s="12" t="s">
        <v>482</v>
      </c>
      <c r="D128" s="12"/>
      <c r="E128" s="12">
        <v>49320</v>
      </c>
      <c r="S128" s="8">
        <f t="shared" si="14"/>
        <v>0</v>
      </c>
      <c r="V128" s="7">
        <f>+'St of Net Assets - GA'!O128-'LT _Lia - GA'!U128</f>
        <v>0</v>
      </c>
      <c r="X128" s="7" t="s">
        <v>778</v>
      </c>
      <c r="Z128" s="7" t="str">
        <f t="shared" si="12"/>
        <v>Continental Local SD (CASH) Two year Audit</v>
      </c>
      <c r="AA128" s="7" t="str">
        <f>'Gov Fnd Exp'!A128</f>
        <v>Continental Local SD (CASH) Two year Audit</v>
      </c>
      <c r="AB128" s="7" t="b">
        <f t="shared" si="13"/>
        <v>1</v>
      </c>
      <c r="AC128" s="7" t="str">
        <f t="shared" si="11"/>
        <v>Putnam</v>
      </c>
      <c r="AD128" s="7" t="b">
        <f>C128='Gov Fnd Exp'!C128</f>
        <v>1</v>
      </c>
    </row>
    <row r="129" spans="1:30">
      <c r="A129" s="12" t="s">
        <v>524</v>
      </c>
      <c r="B129" s="12"/>
      <c r="C129" s="12" t="s">
        <v>63</v>
      </c>
      <c r="D129" s="12"/>
      <c r="E129" s="12">
        <v>49981</v>
      </c>
      <c r="G129" s="7">
        <v>2734163</v>
      </c>
      <c r="I129" s="7">
        <v>0</v>
      </c>
      <c r="K129" s="7">
        <v>1537006</v>
      </c>
      <c r="M129" s="7">
        <v>0</v>
      </c>
      <c r="O129" s="7">
        <v>1803591</v>
      </c>
      <c r="Q129" s="7">
        <v>0</v>
      </c>
      <c r="S129" s="8">
        <f t="shared" si="14"/>
        <v>6074760</v>
      </c>
      <c r="U129" s="7">
        <v>1780026</v>
      </c>
      <c r="V129" s="7">
        <f>+'St of Net Assets - GA'!O129-'LT _Lia - GA'!U129</f>
        <v>0</v>
      </c>
      <c r="Z129" s="7" t="str">
        <f t="shared" si="12"/>
        <v>Copley-Fairlawn City SD</v>
      </c>
      <c r="AA129" s="7" t="str">
        <f>'Gov Fnd Exp'!A129</f>
        <v>Copley-Fairlawn City SD</v>
      </c>
      <c r="AB129" s="7" t="b">
        <f t="shared" si="13"/>
        <v>1</v>
      </c>
      <c r="AC129" s="7" t="str">
        <f t="shared" si="11"/>
        <v>Summit</v>
      </c>
      <c r="AD129" s="7" t="b">
        <f>C129='Gov Fnd Exp'!C129</f>
        <v>1</v>
      </c>
    </row>
    <row r="130" spans="1:30">
      <c r="A130" s="12" t="s">
        <v>345</v>
      </c>
      <c r="B130" s="12"/>
      <c r="C130" s="12" t="s">
        <v>33</v>
      </c>
      <c r="D130" s="12"/>
      <c r="E130" s="12">
        <v>47431</v>
      </c>
      <c r="G130" s="7">
        <v>0</v>
      </c>
      <c r="I130" s="7">
        <v>0</v>
      </c>
      <c r="K130" s="7">
        <v>0</v>
      </c>
      <c r="M130" s="7">
        <v>0</v>
      </c>
      <c r="O130" s="7">
        <v>530509</v>
      </c>
      <c r="Q130" s="7">
        <v>0</v>
      </c>
      <c r="S130" s="8">
        <f t="shared" si="14"/>
        <v>530509</v>
      </c>
      <c r="U130" s="7">
        <v>175728</v>
      </c>
      <c r="V130" s="7">
        <f>+'St of Net Assets - GA'!O130-'LT _Lia - GA'!U130</f>
        <v>0</v>
      </c>
      <c r="Z130" s="7" t="str">
        <f t="shared" si="12"/>
        <v>Cory-Rawson Local SD</v>
      </c>
      <c r="AA130" s="7" t="str">
        <f>'Gov Fnd Exp'!A130</f>
        <v>Cory-Rawson Local SD</v>
      </c>
      <c r="AB130" s="7" t="b">
        <f t="shared" si="13"/>
        <v>1</v>
      </c>
      <c r="AC130" s="7" t="str">
        <f t="shared" si="11"/>
        <v>Hancock</v>
      </c>
      <c r="AD130" s="7" t="b">
        <f>C130='Gov Fnd Exp'!C130</f>
        <v>1</v>
      </c>
    </row>
    <row r="131" spans="1:30">
      <c r="A131" s="12" t="s">
        <v>259</v>
      </c>
      <c r="B131" s="12"/>
      <c r="C131" s="12" t="s">
        <v>19</v>
      </c>
      <c r="D131" s="12"/>
      <c r="E131" s="12">
        <v>43828</v>
      </c>
      <c r="G131" s="7">
        <v>9644523</v>
      </c>
      <c r="I131" s="7">
        <v>0</v>
      </c>
      <c r="K131" s="7">
        <v>0</v>
      </c>
      <c r="M131" s="7">
        <v>137058</v>
      </c>
      <c r="O131" s="7">
        <v>1494455</v>
      </c>
      <c r="Q131" s="7">
        <v>0</v>
      </c>
      <c r="S131" s="8">
        <f t="shared" si="14"/>
        <v>11276036</v>
      </c>
      <c r="U131" s="7">
        <v>336125</v>
      </c>
      <c r="V131" s="7">
        <f>+'St of Net Assets - GA'!O131-'LT _Lia - GA'!U131</f>
        <v>0</v>
      </c>
      <c r="Z131" s="7" t="str">
        <f t="shared" si="12"/>
        <v>Coshocton City SD</v>
      </c>
      <c r="AA131" s="7" t="str">
        <f>'Gov Fnd Exp'!A131</f>
        <v>Coshocton City SD</v>
      </c>
      <c r="AB131" s="7" t="b">
        <f t="shared" si="13"/>
        <v>1</v>
      </c>
      <c r="AC131" s="7" t="str">
        <f t="shared" si="11"/>
        <v>Coshocton</v>
      </c>
      <c r="AD131" s="7" t="b">
        <f>C131='Gov Fnd Exp'!C131</f>
        <v>1</v>
      </c>
    </row>
    <row r="132" spans="1:30">
      <c r="A132" s="12" t="s">
        <v>629</v>
      </c>
      <c r="B132" s="12"/>
      <c r="C132" s="12" t="s">
        <v>63</v>
      </c>
      <c r="D132" s="12"/>
      <c r="E132" s="12"/>
      <c r="G132" s="7">
        <v>900000</v>
      </c>
      <c r="I132" s="7">
        <v>1137490</v>
      </c>
      <c r="K132" s="7">
        <v>0</v>
      </c>
      <c r="M132" s="7">
        <v>2870000</v>
      </c>
      <c r="O132" s="7">
        <v>1056875</v>
      </c>
      <c r="Q132" s="7">
        <v>252800</v>
      </c>
      <c r="S132" s="8">
        <f t="shared" si="14"/>
        <v>6217165</v>
      </c>
      <c r="U132" s="7">
        <v>828797</v>
      </c>
      <c r="V132" s="7">
        <f>+'St of Net Assets - GA'!O132-'LT _Lia - GA'!U132</f>
        <v>0</v>
      </c>
      <c r="Z132" s="7" t="str">
        <f t="shared" si="12"/>
        <v>Coventry Local SD</v>
      </c>
      <c r="AA132" s="7" t="str">
        <f>'Gov Fnd Exp'!A132</f>
        <v>Coventry Local SD</v>
      </c>
      <c r="AB132" s="7" t="b">
        <f t="shared" si="13"/>
        <v>1</v>
      </c>
      <c r="AC132" s="7" t="str">
        <f t="shared" si="11"/>
        <v>Summit</v>
      </c>
      <c r="AD132" s="7" t="b">
        <f>C132='Gov Fnd Exp'!C132</f>
        <v>1</v>
      </c>
    </row>
    <row r="133" spans="1:30">
      <c r="A133" s="12" t="s">
        <v>867</v>
      </c>
      <c r="B133" s="12"/>
      <c r="C133" s="12" t="s">
        <v>48</v>
      </c>
      <c r="D133" s="12"/>
      <c r="E133" s="12">
        <v>45336</v>
      </c>
      <c r="G133" s="7">
        <v>0</v>
      </c>
      <c r="I133" s="7">
        <v>0</v>
      </c>
      <c r="K133" s="7">
        <v>118100</v>
      </c>
      <c r="M133" s="7">
        <v>65580</v>
      </c>
      <c r="O133" s="7">
        <v>640767</v>
      </c>
      <c r="Q133" s="7">
        <v>0</v>
      </c>
      <c r="S133" s="8">
        <f t="shared" si="14"/>
        <v>824447</v>
      </c>
      <c r="U133" s="7">
        <v>105333</v>
      </c>
      <c r="V133" s="7">
        <f>+'St of Net Assets - GA'!O133-'LT _Lia - GA'!U133</f>
        <v>0</v>
      </c>
      <c r="Z133" s="7" t="str">
        <f t="shared" si="12"/>
        <v>Covington Exempted Village SD</v>
      </c>
      <c r="AA133" s="7" t="str">
        <f>'Gov Fnd Exp'!A133</f>
        <v>Covington Exempted Village SD</v>
      </c>
      <c r="AB133" s="7" t="b">
        <f t="shared" si="13"/>
        <v>1</v>
      </c>
      <c r="AC133" s="7" t="str">
        <f t="shared" si="11"/>
        <v>Miami</v>
      </c>
      <c r="AD133" s="7" t="b">
        <f>C133='Gov Fnd Exp'!C133</f>
        <v>1</v>
      </c>
    </row>
    <row r="134" spans="1:30" hidden="1">
      <c r="A134" s="12" t="s">
        <v>982</v>
      </c>
      <c r="B134" s="12"/>
      <c r="C134" s="12" t="s">
        <v>111</v>
      </c>
      <c r="D134" s="12"/>
      <c r="E134" s="12">
        <v>45344</v>
      </c>
      <c r="S134" s="8">
        <f t="shared" si="14"/>
        <v>0</v>
      </c>
      <c r="V134" s="7">
        <f>+'St of Net Assets - GA'!O134-'LT _Lia - GA'!U134</f>
        <v>0</v>
      </c>
      <c r="X134" s="7" t="s">
        <v>903</v>
      </c>
      <c r="Z134" s="7" t="str">
        <f t="shared" si="12"/>
        <v>Crestline Exempted Village SD (CASH)</v>
      </c>
      <c r="AA134" s="7" t="str">
        <f>'Gov Fnd Exp'!A134</f>
        <v>Crestline Exempted Village SD (CASH)</v>
      </c>
      <c r="AB134" s="7" t="b">
        <f t="shared" si="13"/>
        <v>1</v>
      </c>
      <c r="AC134" s="7" t="str">
        <f t="shared" si="11"/>
        <v>Crawford</v>
      </c>
      <c r="AD134" s="7" t="b">
        <f>C134='Gov Fnd Exp'!C134</f>
        <v>1</v>
      </c>
    </row>
    <row r="135" spans="1:30">
      <c r="A135" s="12" t="s">
        <v>253</v>
      </c>
      <c r="B135" s="12"/>
      <c r="C135" s="12" t="s">
        <v>112</v>
      </c>
      <c r="D135" s="12"/>
      <c r="E135" s="12">
        <v>46433</v>
      </c>
      <c r="G135" s="7">
        <f>4787180+944958</f>
        <v>5732138</v>
      </c>
      <c r="I135" s="7">
        <v>0</v>
      </c>
      <c r="K135" s="7">
        <v>0</v>
      </c>
      <c r="M135" s="7">
        <v>224000</v>
      </c>
      <c r="O135" s="7">
        <v>404166</v>
      </c>
      <c r="Q135" s="7">
        <v>0</v>
      </c>
      <c r="S135" s="8">
        <f t="shared" si="14"/>
        <v>6360304</v>
      </c>
      <c r="U135" s="7">
        <v>603725</v>
      </c>
      <c r="V135" s="7">
        <f>+'St of Net Assets - GA'!O135-'LT _Lia - GA'!U135</f>
        <v>0</v>
      </c>
      <c r="Z135" s="7" t="str">
        <f t="shared" si="12"/>
        <v>Crestview Local SD</v>
      </c>
      <c r="AA135" s="7" t="str">
        <f>'Gov Fnd Exp'!A135</f>
        <v>Crestview Local SD</v>
      </c>
      <c r="AB135" s="7" t="b">
        <f t="shared" si="13"/>
        <v>1</v>
      </c>
      <c r="AC135" s="7" t="str">
        <f t="shared" si="11"/>
        <v>Columbiana</v>
      </c>
      <c r="AD135" s="7" t="b">
        <f>C135='Gov Fnd Exp'!C135</f>
        <v>1</v>
      </c>
    </row>
    <row r="136" spans="1:30">
      <c r="A136" s="12" t="s">
        <v>253</v>
      </c>
      <c r="B136" s="12"/>
      <c r="C136" s="12" t="s">
        <v>110</v>
      </c>
      <c r="D136" s="12"/>
      <c r="E136" s="12">
        <v>49429</v>
      </c>
      <c r="G136" s="7">
        <v>3520858</v>
      </c>
      <c r="I136" s="7">
        <v>0</v>
      </c>
      <c r="K136" s="7">
        <v>0</v>
      </c>
      <c r="M136" s="7">
        <v>0</v>
      </c>
      <c r="O136" s="7">
        <v>491888</v>
      </c>
      <c r="Q136" s="7">
        <v>0</v>
      </c>
      <c r="S136" s="8">
        <f t="shared" si="14"/>
        <v>4012746</v>
      </c>
      <c r="U136" s="7">
        <v>345893</v>
      </c>
      <c r="V136" s="7">
        <f>+'St of Net Assets - GA'!O136-'LT _Lia - GA'!U136</f>
        <v>0</v>
      </c>
      <c r="Z136" s="7" t="str">
        <f t="shared" si="12"/>
        <v>Crestview Local SD</v>
      </c>
      <c r="AA136" s="7" t="str">
        <f>'Gov Fnd Exp'!A136</f>
        <v>Crestview Local SD</v>
      </c>
      <c r="AB136" s="7" t="b">
        <f t="shared" si="13"/>
        <v>1</v>
      </c>
      <c r="AC136" s="7" t="str">
        <f t="shared" si="11"/>
        <v>Richland</v>
      </c>
      <c r="AD136" s="7" t="b">
        <f>C136='Gov Fnd Exp'!C136</f>
        <v>1</v>
      </c>
    </row>
    <row r="137" spans="1:30" hidden="1">
      <c r="A137" s="12" t="s">
        <v>686</v>
      </c>
      <c r="B137" s="12"/>
      <c r="C137" s="12" t="s">
        <v>67</v>
      </c>
      <c r="D137" s="12"/>
      <c r="E137" s="12"/>
      <c r="S137" s="8">
        <f t="shared" ref="S137:S142" si="17">SUM(G137:R137)</f>
        <v>0</v>
      </c>
      <c r="V137" s="7">
        <f>+'St of Net Assets - GA'!O137-'LT _Lia - GA'!U137</f>
        <v>0</v>
      </c>
      <c r="X137" s="7" t="s">
        <v>778</v>
      </c>
      <c r="Z137" s="7" t="str">
        <f t="shared" si="12"/>
        <v>Crestview Local SD (CASH)</v>
      </c>
      <c r="AA137" s="7" t="str">
        <f>'Gov Fnd Exp'!A137</f>
        <v>Crestview Local SD (CASH)</v>
      </c>
      <c r="AB137" s="7" t="b">
        <f t="shared" si="13"/>
        <v>1</v>
      </c>
      <c r="AC137" s="7" t="str">
        <f t="shared" si="11"/>
        <v>Van Wert</v>
      </c>
      <c r="AD137" s="7" t="b">
        <f>C137='Gov Fnd Exp'!C137</f>
        <v>1</v>
      </c>
    </row>
    <row r="138" spans="1:30">
      <c r="A138" s="12" t="s">
        <v>758</v>
      </c>
      <c r="B138" s="12"/>
      <c r="C138" s="12" t="s">
        <v>56</v>
      </c>
      <c r="D138" s="12"/>
      <c r="E138" s="12">
        <v>49189</v>
      </c>
      <c r="G138" s="7">
        <v>6271258</v>
      </c>
      <c r="I138" s="7">
        <v>13805</v>
      </c>
      <c r="K138" s="7">
        <v>0</v>
      </c>
      <c r="M138" s="7">
        <v>0</v>
      </c>
      <c r="O138" s="7">
        <v>1506464</v>
      </c>
      <c r="Q138" s="7">
        <v>740667</v>
      </c>
      <c r="S138" s="8">
        <f t="shared" si="17"/>
        <v>8532194</v>
      </c>
      <c r="U138" s="7">
        <v>702904</v>
      </c>
      <c r="V138" s="7">
        <f>+'St of Net Assets - GA'!O138-'LT _Lia - GA'!U138</f>
        <v>0</v>
      </c>
      <c r="Z138" s="7" t="str">
        <f t="shared" si="12"/>
        <v xml:space="preserve">Crestwood Local SD </v>
      </c>
      <c r="AA138" s="7" t="str">
        <f>'Gov Fnd Exp'!A138</f>
        <v xml:space="preserve">Crestwood Local SD </v>
      </c>
      <c r="AB138" s="7" t="b">
        <f t="shared" si="13"/>
        <v>1</v>
      </c>
      <c r="AC138" s="7" t="str">
        <f t="shared" si="11"/>
        <v>Portage</v>
      </c>
      <c r="AD138" s="7" t="b">
        <f>C138='Gov Fnd Exp'!C138</f>
        <v>1</v>
      </c>
    </row>
    <row r="139" spans="1:30">
      <c r="A139" s="12" t="s">
        <v>868</v>
      </c>
      <c r="B139" s="12"/>
      <c r="C139" s="12" t="s">
        <v>466</v>
      </c>
      <c r="D139" s="12"/>
      <c r="E139" s="12"/>
      <c r="G139" s="7">
        <v>936000</v>
      </c>
      <c r="I139" s="7">
        <v>0</v>
      </c>
      <c r="K139" s="7">
        <v>0</v>
      </c>
      <c r="M139" s="7">
        <v>44510</v>
      </c>
      <c r="O139" s="7">
        <v>524357</v>
      </c>
      <c r="Q139" s="7">
        <v>0</v>
      </c>
      <c r="S139" s="8">
        <f t="shared" si="17"/>
        <v>1504867</v>
      </c>
      <c r="U139" s="7">
        <v>195957</v>
      </c>
      <c r="V139" s="7">
        <f>+'St of Net Assets - GA'!O139-'LT _Lia - GA'!U139</f>
        <v>0</v>
      </c>
      <c r="Z139" s="7" t="str">
        <f t="shared" si="12"/>
        <v>Crooksville Exempted Village SD</v>
      </c>
      <c r="AA139" s="7" t="str">
        <f>'Gov Fnd Exp'!A139</f>
        <v>Crooksville Exempted Village SD</v>
      </c>
      <c r="AB139" s="7" t="b">
        <f t="shared" si="13"/>
        <v>1</v>
      </c>
      <c r="AC139" s="7" t="str">
        <f t="shared" si="11"/>
        <v>Perry</v>
      </c>
      <c r="AD139" s="7" t="b">
        <f>C139='Gov Fnd Exp'!C139</f>
        <v>1</v>
      </c>
    </row>
    <row r="140" spans="1:30">
      <c r="A140" s="12" t="s">
        <v>687</v>
      </c>
      <c r="B140" s="12"/>
      <c r="C140" s="12" t="s">
        <v>63</v>
      </c>
      <c r="D140" s="12"/>
      <c r="E140" s="12">
        <v>43836</v>
      </c>
      <c r="G140" s="7">
        <v>4010000</v>
      </c>
      <c r="I140" s="7">
        <v>39542</v>
      </c>
      <c r="K140" s="7">
        <v>0</v>
      </c>
      <c r="M140" s="7">
        <v>124460</v>
      </c>
      <c r="O140" s="7">
        <v>2446281</v>
      </c>
      <c r="Q140" s="7">
        <v>0</v>
      </c>
      <c r="S140" s="8">
        <f t="shared" si="17"/>
        <v>6620283</v>
      </c>
      <c r="U140" s="7">
        <v>879609</v>
      </c>
      <c r="V140" s="7">
        <f>+'St of Net Assets - GA'!O140-'LT _Lia - GA'!U140</f>
        <v>0</v>
      </c>
      <c r="Z140" s="7" t="str">
        <f t="shared" ref="Z140:Z203" si="18">A140</f>
        <v xml:space="preserve">Cuyahoga Falls City SD </v>
      </c>
      <c r="AA140" s="7" t="str">
        <f>'Gov Fnd Exp'!A140</f>
        <v xml:space="preserve">Cuyahoga Falls City SD </v>
      </c>
      <c r="AB140" s="7" t="b">
        <f t="shared" si="13"/>
        <v>1</v>
      </c>
      <c r="AC140" s="7" t="str">
        <f t="shared" ref="AC140:AC203" si="19">C140</f>
        <v>Summit</v>
      </c>
      <c r="AD140" s="7" t="b">
        <f>C140='Gov Fnd Exp'!C140</f>
        <v>1</v>
      </c>
    </row>
    <row r="141" spans="1:30">
      <c r="A141" s="12" t="s">
        <v>759</v>
      </c>
      <c r="B141" s="12"/>
      <c r="C141" s="12" t="s">
        <v>20</v>
      </c>
      <c r="D141" s="12"/>
      <c r="E141" s="12">
        <v>46557</v>
      </c>
      <c r="G141" s="7">
        <v>675614</v>
      </c>
      <c r="I141" s="7">
        <v>0</v>
      </c>
      <c r="K141" s="7">
        <v>0</v>
      </c>
      <c r="M141" s="7">
        <v>1769198</v>
      </c>
      <c r="O141" s="7">
        <v>1205725</v>
      </c>
      <c r="Q141" s="7">
        <v>0</v>
      </c>
      <c r="S141" s="8">
        <f t="shared" si="17"/>
        <v>3650537</v>
      </c>
      <c r="U141" s="7">
        <v>796068</v>
      </c>
      <c r="V141" s="7">
        <f>+'St of Net Assets - GA'!O141-'LT _Lia - GA'!U141</f>
        <v>0</v>
      </c>
      <c r="Z141" s="7" t="str">
        <f t="shared" si="18"/>
        <v xml:space="preserve">Cuyahoga Heights Local SD </v>
      </c>
      <c r="AA141" s="7" t="str">
        <f>'Gov Fnd Exp'!A141</f>
        <v xml:space="preserve">Cuyahoga Heights Local SD </v>
      </c>
      <c r="AB141" s="7" t="b">
        <f t="shared" ref="AB141:AB204" si="20">Z141=AA141</f>
        <v>1</v>
      </c>
      <c r="AC141" s="7" t="str">
        <f t="shared" si="19"/>
        <v>Cuyahoga</v>
      </c>
      <c r="AD141" s="7" t="b">
        <f>C141='Gov Fnd Exp'!C141</f>
        <v>1</v>
      </c>
    </row>
    <row r="142" spans="1:30">
      <c r="A142" s="12" t="s">
        <v>635</v>
      </c>
      <c r="B142" s="12"/>
      <c r="C142" s="12" t="s">
        <v>71</v>
      </c>
      <c r="D142" s="12"/>
      <c r="E142" s="12">
        <v>48934</v>
      </c>
      <c r="G142" s="7">
        <v>0</v>
      </c>
      <c r="I142" s="7">
        <v>0</v>
      </c>
      <c r="K142" s="7">
        <v>0</v>
      </c>
      <c r="M142" s="7">
        <v>23430</v>
      </c>
      <c r="O142" s="7">
        <v>751406</v>
      </c>
      <c r="Q142" s="7">
        <v>0</v>
      </c>
      <c r="S142" s="8">
        <f t="shared" si="17"/>
        <v>774836</v>
      </c>
      <c r="U142" s="7">
        <v>98837</v>
      </c>
      <c r="V142" s="7">
        <f>+'St of Net Assets - GA'!O142-'LT _Lia - GA'!U142</f>
        <v>0</v>
      </c>
      <c r="Z142" s="7" t="str">
        <f t="shared" si="18"/>
        <v>Dalton Local SD</v>
      </c>
      <c r="AA142" s="7" t="str">
        <f>'Gov Fnd Exp'!A142</f>
        <v>Dalton Local SD</v>
      </c>
      <c r="AB142" s="7" t="b">
        <f t="shared" si="20"/>
        <v>1</v>
      </c>
      <c r="AC142" s="7" t="str">
        <f t="shared" si="19"/>
        <v>Wayne</v>
      </c>
      <c r="AD142" s="7" t="b">
        <f>C142='Gov Fnd Exp'!C142</f>
        <v>1</v>
      </c>
    </row>
    <row r="143" spans="1:30" hidden="1">
      <c r="A143" s="12" t="s">
        <v>838</v>
      </c>
      <c r="B143" s="12"/>
      <c r="C143" s="12" t="s">
        <v>53</v>
      </c>
      <c r="D143" s="12"/>
      <c r="E143" s="12">
        <v>48934</v>
      </c>
      <c r="S143" s="8">
        <f t="shared" ref="S143:S154" si="21">SUM(G143:R143)</f>
        <v>0</v>
      </c>
      <c r="V143" s="7">
        <f>+'St of Net Assets - GA'!O143-'LT _Lia - GA'!U143</f>
        <v>0</v>
      </c>
      <c r="X143" s="7" t="s">
        <v>837</v>
      </c>
      <c r="Z143" s="7" t="str">
        <f t="shared" si="18"/>
        <v>Danbury Local SD (CASH)</v>
      </c>
      <c r="AA143" s="7" t="str">
        <f>'Gov Fnd Exp'!A143</f>
        <v>Danbury Local SD (CASH)</v>
      </c>
      <c r="AB143" s="7" t="b">
        <f t="shared" si="20"/>
        <v>1</v>
      </c>
      <c r="AC143" s="7" t="str">
        <f t="shared" si="19"/>
        <v>Ottawa</v>
      </c>
      <c r="AD143" s="7" t="b">
        <f>C143='Gov Fnd Exp'!C143</f>
        <v>1</v>
      </c>
    </row>
    <row r="144" spans="1:30" hidden="1">
      <c r="A144" s="12" t="s">
        <v>688</v>
      </c>
      <c r="B144" s="12"/>
      <c r="C144" s="12" t="s">
        <v>40</v>
      </c>
      <c r="D144" s="12"/>
      <c r="E144" s="12">
        <v>47837</v>
      </c>
      <c r="S144" s="8">
        <f t="shared" si="21"/>
        <v>0</v>
      </c>
      <c r="V144" s="7">
        <f>+'St of Net Assets - GA'!O144-'LT _Lia - GA'!U144</f>
        <v>0</v>
      </c>
      <c r="X144" s="7" t="s">
        <v>839</v>
      </c>
      <c r="Z144" s="7" t="str">
        <f t="shared" si="18"/>
        <v>Danville Local SD (CASH)</v>
      </c>
      <c r="AA144" s="7" t="str">
        <f>'Gov Fnd Exp'!A144</f>
        <v>Danville Local SD (CASH)</v>
      </c>
      <c r="AB144" s="7" t="b">
        <f t="shared" si="20"/>
        <v>1</v>
      </c>
      <c r="AC144" s="7" t="str">
        <f t="shared" si="19"/>
        <v>Knox</v>
      </c>
      <c r="AD144" s="7" t="b">
        <f>C144='Gov Fnd Exp'!C144</f>
        <v>1</v>
      </c>
    </row>
    <row r="145" spans="1:30">
      <c r="A145" s="12" t="s">
        <v>378</v>
      </c>
      <c r="B145" s="12"/>
      <c r="C145" s="12" t="s">
        <v>377</v>
      </c>
      <c r="D145" s="12"/>
      <c r="E145" s="12">
        <v>47928</v>
      </c>
      <c r="G145" s="7">
        <f>415000+700000+49560-18906+705000</f>
        <v>1850654</v>
      </c>
      <c r="I145" s="7">
        <v>0</v>
      </c>
      <c r="K145" s="7">
        <v>0</v>
      </c>
      <c r="M145" s="7">
        <v>0</v>
      </c>
      <c r="O145" s="7">
        <v>361619</v>
      </c>
      <c r="Q145" s="7">
        <v>940000</v>
      </c>
      <c r="S145" s="8">
        <f t="shared" si="21"/>
        <v>3152273</v>
      </c>
      <c r="U145" s="7">
        <v>252467</v>
      </c>
      <c r="V145" s="7">
        <f>+'St of Net Assets - GA'!O145-'LT _Lia - GA'!U145</f>
        <v>0</v>
      </c>
      <c r="Z145" s="7" t="str">
        <f t="shared" si="18"/>
        <v>Dawson-Bryant Local SD</v>
      </c>
      <c r="AA145" s="7" t="str">
        <f>'Gov Fnd Exp'!A145</f>
        <v>Dawson-Bryant Local SD</v>
      </c>
      <c r="AB145" s="7" t="b">
        <f t="shared" si="20"/>
        <v>1</v>
      </c>
      <c r="AC145" s="7" t="str">
        <f t="shared" si="19"/>
        <v>Lawrence</v>
      </c>
      <c r="AD145" s="7" t="b">
        <f>C145='Gov Fnd Exp'!C145</f>
        <v>1</v>
      </c>
    </row>
    <row r="146" spans="1:30">
      <c r="A146" s="12" t="s">
        <v>442</v>
      </c>
      <c r="B146" s="12"/>
      <c r="C146" s="12" t="s">
        <v>50</v>
      </c>
      <c r="D146" s="12"/>
      <c r="E146" s="12">
        <v>43844</v>
      </c>
      <c r="G146" s="7">
        <v>214669313</v>
      </c>
      <c r="I146" s="7">
        <v>0</v>
      </c>
      <c r="K146" s="7">
        <v>1400000</v>
      </c>
      <c r="M146" s="7">
        <v>2072257</v>
      </c>
      <c r="O146" s="7">
        <v>5081741</v>
      </c>
      <c r="Q146" s="7">
        <f>10000000+13313481+14760000+5004101</f>
        <v>43077582</v>
      </c>
      <c r="S146" s="8">
        <f t="shared" si="21"/>
        <v>266300893</v>
      </c>
      <c r="U146" s="7">
        <v>11685982</v>
      </c>
      <c r="V146" s="7">
        <f>+'St of Net Assets - GA'!O146-'LT _Lia - GA'!U146</f>
        <v>0</v>
      </c>
      <c r="X146" s="7" t="s">
        <v>843</v>
      </c>
      <c r="Z146" s="7" t="str">
        <f t="shared" si="18"/>
        <v>Dayton City SD</v>
      </c>
      <c r="AA146" s="7" t="str">
        <f>'Gov Fnd Exp'!A146</f>
        <v>Dayton City SD</v>
      </c>
      <c r="AB146" s="7" t="b">
        <f t="shared" si="20"/>
        <v>1</v>
      </c>
      <c r="AC146" s="7" t="str">
        <f t="shared" si="19"/>
        <v>Montgomery</v>
      </c>
      <c r="AD146" s="7" t="b">
        <f>C146='Gov Fnd Exp'!C146</f>
        <v>1</v>
      </c>
    </row>
    <row r="147" spans="1:30">
      <c r="A147" s="12" t="s">
        <v>689</v>
      </c>
      <c r="B147" s="12"/>
      <c r="C147" s="12" t="s">
        <v>32</v>
      </c>
      <c r="D147" s="12"/>
      <c r="E147" s="12">
        <v>43851</v>
      </c>
      <c r="G147" s="7">
        <v>0</v>
      </c>
      <c r="I147" s="7">
        <v>0</v>
      </c>
      <c r="K147" s="7">
        <v>0</v>
      </c>
      <c r="M147" s="7">
        <v>413707</v>
      </c>
      <c r="O147" s="7">
        <v>961317</v>
      </c>
      <c r="Q147" s="7">
        <v>0</v>
      </c>
      <c r="S147" s="8">
        <f t="shared" si="21"/>
        <v>1375024</v>
      </c>
      <c r="U147" s="7">
        <v>462540</v>
      </c>
      <c r="V147" s="7">
        <f>+'St of Net Assets - GA'!O147-'LT _Lia - GA'!U147</f>
        <v>0</v>
      </c>
      <c r="Z147" s="7" t="str">
        <f t="shared" si="18"/>
        <v>Deer Park City SD</v>
      </c>
      <c r="AA147" s="7" t="str">
        <f>'Gov Fnd Exp'!A147</f>
        <v>Deer Park City SD</v>
      </c>
      <c r="AB147" s="7" t="b">
        <f t="shared" si="20"/>
        <v>1</v>
      </c>
      <c r="AC147" s="7" t="str">
        <f t="shared" si="19"/>
        <v>Hamilton</v>
      </c>
      <c r="AD147" s="7" t="b">
        <f>C147='Gov Fnd Exp'!C147</f>
        <v>1</v>
      </c>
    </row>
    <row r="148" spans="1:30" hidden="1">
      <c r="A148" s="12" t="s">
        <v>690</v>
      </c>
      <c r="B148" s="12"/>
      <c r="C148" s="12" t="s">
        <v>22</v>
      </c>
      <c r="D148" s="12"/>
      <c r="E148" s="12">
        <v>43869</v>
      </c>
      <c r="S148" s="8">
        <f t="shared" si="21"/>
        <v>0</v>
      </c>
      <c r="V148" s="7">
        <f>+'St of Net Assets - GA'!O148-'LT _Lia - GA'!U148</f>
        <v>0</v>
      </c>
      <c r="X148" s="7" t="s">
        <v>839</v>
      </c>
      <c r="Z148" s="7" t="str">
        <f t="shared" si="18"/>
        <v>Defiance City SD (CASH)</v>
      </c>
      <c r="AA148" s="7" t="str">
        <f>'Gov Fnd Exp'!A148</f>
        <v>Defiance City SD (CASH)</v>
      </c>
      <c r="AB148" s="7" t="b">
        <f t="shared" si="20"/>
        <v>1</v>
      </c>
      <c r="AC148" s="7" t="str">
        <f t="shared" si="19"/>
        <v>Defiance</v>
      </c>
      <c r="AD148" s="7" t="b">
        <f>C148='Gov Fnd Exp'!C148</f>
        <v>1</v>
      </c>
    </row>
    <row r="149" spans="1:30">
      <c r="A149" s="12" t="s">
        <v>840</v>
      </c>
      <c r="B149" s="12"/>
      <c r="C149" s="12" t="s">
        <v>23</v>
      </c>
      <c r="D149" s="12"/>
      <c r="E149" s="12"/>
      <c r="G149" s="7">
        <v>31203221</v>
      </c>
      <c r="I149" s="7">
        <v>0</v>
      </c>
      <c r="K149" s="7">
        <v>0</v>
      </c>
      <c r="M149" s="7">
        <v>72154</v>
      </c>
      <c r="O149" s="7">
        <v>1550825</v>
      </c>
      <c r="Q149" s="7">
        <v>0</v>
      </c>
      <c r="S149" s="8">
        <f t="shared" si="21"/>
        <v>32826200</v>
      </c>
      <c r="U149" s="7">
        <v>2682197</v>
      </c>
      <c r="V149" s="7">
        <f>+'St of Net Assets - GA'!O149-'LT _Lia - GA'!U149</f>
        <v>0</v>
      </c>
      <c r="Z149" s="7" t="str">
        <f t="shared" si="18"/>
        <v>Delaware City SD</v>
      </c>
      <c r="AA149" s="7" t="str">
        <f>'Gov Fnd Exp'!A149</f>
        <v>Delaware City SD</v>
      </c>
      <c r="AB149" s="7" t="b">
        <f t="shared" si="20"/>
        <v>1</v>
      </c>
      <c r="AC149" s="7" t="str">
        <f t="shared" si="19"/>
        <v>Delaware</v>
      </c>
      <c r="AD149" s="7" t="b">
        <f>C149='Gov Fnd Exp'!C149</f>
        <v>1</v>
      </c>
    </row>
    <row r="150" spans="1:30">
      <c r="A150" s="12" t="s">
        <v>202</v>
      </c>
      <c r="B150" s="12"/>
      <c r="C150" s="12" t="s">
        <v>10</v>
      </c>
      <c r="D150" s="12"/>
      <c r="E150" s="12">
        <v>43885</v>
      </c>
      <c r="G150" s="7">
        <v>0</v>
      </c>
      <c r="I150" s="7">
        <v>0</v>
      </c>
      <c r="K150" s="7">
        <v>0</v>
      </c>
      <c r="M150" s="7">
        <v>0</v>
      </c>
      <c r="O150" s="7">
        <v>515257</v>
      </c>
      <c r="Q150" s="7">
        <v>0</v>
      </c>
      <c r="S150" s="8">
        <f t="shared" si="21"/>
        <v>515257</v>
      </c>
      <c r="U150" s="7">
        <v>14412</v>
      </c>
      <c r="V150" s="7">
        <f>+'St of Net Assets - GA'!O150-'LT _Lia - GA'!U150</f>
        <v>0</v>
      </c>
      <c r="Z150" s="7" t="str">
        <f t="shared" si="18"/>
        <v>Delphos City SD</v>
      </c>
      <c r="AA150" s="7" t="str">
        <f>'Gov Fnd Exp'!A150</f>
        <v>Delphos City SD</v>
      </c>
      <c r="AB150" s="7" t="b">
        <f t="shared" si="20"/>
        <v>1</v>
      </c>
      <c r="AC150" s="7" t="str">
        <f t="shared" si="19"/>
        <v>Allen</v>
      </c>
      <c r="AD150" s="7" t="b">
        <f>C150='Gov Fnd Exp'!C150</f>
        <v>1</v>
      </c>
    </row>
    <row r="151" spans="1:30">
      <c r="A151" s="12" t="s">
        <v>550</v>
      </c>
      <c r="B151" s="12"/>
      <c r="C151" s="12" t="s">
        <v>65</v>
      </c>
      <c r="D151" s="12"/>
      <c r="E151" s="12">
        <v>43893</v>
      </c>
      <c r="G151" s="7">
        <v>3661797</v>
      </c>
      <c r="I151" s="7">
        <v>0</v>
      </c>
      <c r="K151" s="7">
        <v>0</v>
      </c>
      <c r="M151" s="7">
        <v>67799</v>
      </c>
      <c r="O151" s="7">
        <v>1772491</v>
      </c>
      <c r="Q151" s="7">
        <v>0</v>
      </c>
      <c r="S151" s="8">
        <f t="shared" si="21"/>
        <v>5502087</v>
      </c>
      <c r="U151" s="7">
        <v>737341</v>
      </c>
      <c r="V151" s="7">
        <f>+'St of Net Assets - GA'!O151-'LT _Lia - GA'!U151</f>
        <v>0</v>
      </c>
      <c r="Z151" s="7" t="str">
        <f t="shared" si="18"/>
        <v>Dover City SD</v>
      </c>
      <c r="AA151" s="7" t="str">
        <f>'Gov Fnd Exp'!A151</f>
        <v>Dover City SD</v>
      </c>
      <c r="AB151" s="7" t="b">
        <f t="shared" si="20"/>
        <v>1</v>
      </c>
      <c r="AC151" s="7" t="str">
        <f t="shared" si="19"/>
        <v>Tuscarawas</v>
      </c>
      <c r="AD151" s="7" t="b">
        <f>C151='Gov Fnd Exp'!C151</f>
        <v>1</v>
      </c>
    </row>
    <row r="152" spans="1:30">
      <c r="A152" s="12" t="s">
        <v>308</v>
      </c>
      <c r="B152" s="12"/>
      <c r="C152" s="12" t="s">
        <v>27</v>
      </c>
      <c r="D152" s="12"/>
      <c r="E152" s="12">
        <v>47027</v>
      </c>
      <c r="G152" s="7">
        <f>151981000+48831468+5924957+5500000</f>
        <v>212237425</v>
      </c>
      <c r="I152" s="7">
        <v>0</v>
      </c>
      <c r="K152" s="7">
        <v>0</v>
      </c>
      <c r="M152" s="7">
        <v>113538</v>
      </c>
      <c r="O152" s="7">
        <f>77489+11445631</f>
        <v>11523120</v>
      </c>
      <c r="Q152" s="7">
        <v>0</v>
      </c>
      <c r="S152" s="8">
        <f t="shared" si="21"/>
        <v>223874083</v>
      </c>
      <c r="U152" s="7">
        <v>23753182</v>
      </c>
      <c r="V152" s="7">
        <f>+'St of Net Assets - GA'!O152-'LT _Lia - GA'!U152</f>
        <v>0</v>
      </c>
      <c r="Z152" s="7" t="str">
        <f t="shared" si="18"/>
        <v>Dublin City SD</v>
      </c>
      <c r="AA152" s="7" t="str">
        <f>'Gov Fnd Exp'!A152</f>
        <v>Dublin City SD</v>
      </c>
      <c r="AB152" s="7" t="b">
        <f t="shared" si="20"/>
        <v>1</v>
      </c>
      <c r="AC152" s="7" t="str">
        <f t="shared" si="19"/>
        <v>Franklin</v>
      </c>
      <c r="AD152" s="7" t="b">
        <f>C152='Gov Fnd Exp'!C152</f>
        <v>1</v>
      </c>
    </row>
    <row r="153" spans="1:30">
      <c r="A153" s="12" t="s">
        <v>272</v>
      </c>
      <c r="B153" s="12"/>
      <c r="C153" s="12" t="s">
        <v>20</v>
      </c>
      <c r="D153" s="12"/>
      <c r="E153" s="12">
        <v>43901</v>
      </c>
      <c r="G153" s="7">
        <v>6271623</v>
      </c>
      <c r="I153" s="7">
        <v>0</v>
      </c>
      <c r="K153" s="7">
        <v>0</v>
      </c>
      <c r="M153" s="7">
        <v>0</v>
      </c>
      <c r="O153" s="7">
        <v>5570973</v>
      </c>
      <c r="Q153" s="7">
        <v>0</v>
      </c>
      <c r="S153" s="8">
        <f t="shared" si="21"/>
        <v>11842596</v>
      </c>
      <c r="U153" s="7">
        <v>1744425</v>
      </c>
      <c r="V153" s="7">
        <f>+'St of Net Assets - GA'!O153-'LT _Lia - GA'!U153</f>
        <v>0</v>
      </c>
      <c r="X153" s="7" t="s">
        <v>843</v>
      </c>
      <c r="Z153" s="7" t="str">
        <f t="shared" si="18"/>
        <v>East Cleveland City SD</v>
      </c>
      <c r="AA153" s="7" t="str">
        <f>'Gov Fnd Exp'!A153</f>
        <v>East Cleveland City SD</v>
      </c>
      <c r="AB153" s="7" t="b">
        <f t="shared" si="20"/>
        <v>1</v>
      </c>
      <c r="AC153" s="7" t="str">
        <f t="shared" si="19"/>
        <v>Cuyahoga</v>
      </c>
      <c r="AD153" s="7" t="b">
        <f>C153='Gov Fnd Exp'!C153</f>
        <v>1</v>
      </c>
    </row>
    <row r="154" spans="1:30">
      <c r="A154" s="12" t="s">
        <v>250</v>
      </c>
      <c r="B154" s="12"/>
      <c r="C154" s="12" t="s">
        <v>18</v>
      </c>
      <c r="D154" s="12"/>
      <c r="E154" s="12">
        <v>46409</v>
      </c>
      <c r="G154" s="7">
        <f>1100000+144998+396856+154740-136322+555000</f>
        <v>2215272</v>
      </c>
      <c r="I154" s="7">
        <v>0</v>
      </c>
      <c r="K154" s="7">
        <v>0</v>
      </c>
      <c r="M154" s="7">
        <v>0</v>
      </c>
      <c r="O154" s="7">
        <v>364406</v>
      </c>
      <c r="Q154" s="7">
        <v>0</v>
      </c>
      <c r="S154" s="8">
        <f t="shared" si="21"/>
        <v>2579678</v>
      </c>
      <c r="U154" s="7">
        <v>331425</v>
      </c>
      <c r="V154" s="7">
        <f>+'St of Net Assets - GA'!O154-'LT _Lia - GA'!U154</f>
        <v>0</v>
      </c>
      <c r="Z154" s="7" t="str">
        <f t="shared" si="18"/>
        <v>East Clinton Local SD</v>
      </c>
      <c r="AA154" s="7" t="str">
        <f>'Gov Fnd Exp'!A154</f>
        <v>East Clinton Local SD</v>
      </c>
      <c r="AB154" s="7" t="b">
        <f t="shared" si="20"/>
        <v>1</v>
      </c>
      <c r="AC154" s="7" t="str">
        <f t="shared" si="19"/>
        <v>Clinton</v>
      </c>
      <c r="AD154" s="7" t="b">
        <f>C154='Gov Fnd Exp'!C154</f>
        <v>1</v>
      </c>
    </row>
    <row r="155" spans="1:30">
      <c r="A155" s="12" t="s">
        <v>328</v>
      </c>
      <c r="B155" s="12"/>
      <c r="C155" s="12" t="s">
        <v>31</v>
      </c>
      <c r="D155" s="12"/>
      <c r="E155" s="12">
        <v>69682</v>
      </c>
      <c r="G155" s="7">
        <v>2732108</v>
      </c>
      <c r="I155" s="7">
        <v>0</v>
      </c>
      <c r="K155" s="7">
        <v>0</v>
      </c>
      <c r="M155" s="7">
        <v>83716</v>
      </c>
      <c r="O155" s="7">
        <v>618560</v>
      </c>
      <c r="Q155" s="7">
        <v>0</v>
      </c>
      <c r="S155" s="8">
        <f t="shared" ref="S155:S213" si="22">SUM(G155:R155)</f>
        <v>3434384</v>
      </c>
      <c r="U155" s="7">
        <v>363907</v>
      </c>
      <c r="V155" s="7">
        <f>+'St of Net Assets - GA'!O155-'LT _Lia - GA'!U155</f>
        <v>0</v>
      </c>
      <c r="Z155" s="7" t="str">
        <f t="shared" si="18"/>
        <v>East Guernsey Local SD</v>
      </c>
      <c r="AA155" s="7" t="str">
        <f>'Gov Fnd Exp'!A155</f>
        <v>East Guernsey Local SD</v>
      </c>
      <c r="AB155" s="7" t="b">
        <f t="shared" si="20"/>
        <v>1</v>
      </c>
      <c r="AC155" s="7" t="str">
        <f t="shared" si="19"/>
        <v>Guernsey</v>
      </c>
      <c r="AD155" s="7" t="b">
        <f>C155='Gov Fnd Exp'!C155</f>
        <v>1</v>
      </c>
    </row>
    <row r="156" spans="1:30">
      <c r="A156" s="12" t="s">
        <v>363</v>
      </c>
      <c r="B156" s="12"/>
      <c r="C156" s="12" t="s">
        <v>36</v>
      </c>
      <c r="D156" s="12"/>
      <c r="E156" s="12">
        <v>47688</v>
      </c>
      <c r="G156" s="7">
        <f>3222296-1293570</f>
        <v>1928726</v>
      </c>
      <c r="I156" s="7">
        <v>0</v>
      </c>
      <c r="K156" s="7">
        <v>0</v>
      </c>
      <c r="M156" s="7">
        <v>0</v>
      </c>
      <c r="O156" s="7">
        <v>1293570</v>
      </c>
      <c r="Q156" s="7">
        <v>0</v>
      </c>
      <c r="S156" s="8">
        <f t="shared" si="22"/>
        <v>3222296</v>
      </c>
      <c r="U156" s="7">
        <v>286745</v>
      </c>
      <c r="V156" s="7">
        <f>+'St of Net Assets - GA'!O156-'LT _Lia - GA'!U156</f>
        <v>0</v>
      </c>
      <c r="X156" s="7" t="s">
        <v>843</v>
      </c>
      <c r="Z156" s="7" t="str">
        <f t="shared" si="18"/>
        <v>East Holmes Local SD</v>
      </c>
      <c r="AA156" s="7" t="str">
        <f>'Gov Fnd Exp'!A156</f>
        <v>East Holmes Local SD</v>
      </c>
      <c r="AB156" s="7" t="b">
        <f t="shared" si="20"/>
        <v>1</v>
      </c>
      <c r="AC156" s="7" t="str">
        <f t="shared" si="19"/>
        <v>Holmes</v>
      </c>
      <c r="AD156" s="7" t="b">
        <f>C156='Gov Fnd Exp'!C156</f>
        <v>1</v>
      </c>
    </row>
    <row r="157" spans="1:30" hidden="1">
      <c r="A157" s="12" t="s">
        <v>691</v>
      </c>
      <c r="B157" s="12"/>
      <c r="C157" s="12" t="s">
        <v>40</v>
      </c>
      <c r="D157" s="12"/>
      <c r="E157" s="12"/>
      <c r="S157" s="8">
        <f t="shared" si="22"/>
        <v>0</v>
      </c>
      <c r="V157" s="7">
        <f>+'St of Net Assets - GA'!O157-'LT _Lia - GA'!U157</f>
        <v>0</v>
      </c>
      <c r="X157" s="7" t="s">
        <v>839</v>
      </c>
      <c r="Z157" s="7" t="str">
        <f t="shared" si="18"/>
        <v>East Knox Local SD (CASH)</v>
      </c>
      <c r="AA157" s="7" t="str">
        <f>'Gov Fnd Exp'!A157</f>
        <v>East Knox Local SD (CASH)</v>
      </c>
      <c r="AB157" s="7" t="b">
        <f t="shared" si="20"/>
        <v>1</v>
      </c>
      <c r="AC157" s="7" t="str">
        <f t="shared" si="19"/>
        <v>Knox</v>
      </c>
      <c r="AD157" s="7" t="b">
        <f>C157='Gov Fnd Exp'!C157</f>
        <v>1</v>
      </c>
    </row>
    <row r="158" spans="1:30">
      <c r="A158" s="12" t="s">
        <v>254</v>
      </c>
      <c r="B158" s="12"/>
      <c r="C158" s="12" t="s">
        <v>112</v>
      </c>
      <c r="D158" s="12"/>
      <c r="E158" s="12">
        <v>43919</v>
      </c>
      <c r="G158" s="7">
        <v>7900000</v>
      </c>
      <c r="I158" s="7">
        <v>0</v>
      </c>
      <c r="K158" s="7">
        <v>0</v>
      </c>
      <c r="M158" s="7">
        <v>2253148</v>
      </c>
      <c r="O158" s="7">
        <v>1253173</v>
      </c>
      <c r="Q158" s="7">
        <v>577885</v>
      </c>
      <c r="S158" s="8">
        <f t="shared" si="22"/>
        <v>11984206</v>
      </c>
      <c r="U158" s="7">
        <v>722730</v>
      </c>
      <c r="V158" s="7">
        <f>+'St of Net Assets - GA'!O158-'LT _Lia - GA'!U158</f>
        <v>0</v>
      </c>
      <c r="Z158" s="7" t="str">
        <f t="shared" si="18"/>
        <v>East Liverpool City SD</v>
      </c>
      <c r="AA158" s="7" t="str">
        <f>'Gov Fnd Exp'!A158</f>
        <v>East Liverpool City SD</v>
      </c>
      <c r="AB158" s="7" t="b">
        <f t="shared" si="20"/>
        <v>1</v>
      </c>
      <c r="AC158" s="7" t="str">
        <f t="shared" si="19"/>
        <v>Columbiana</v>
      </c>
      <c r="AD158" s="7" t="b">
        <f>C158='Gov Fnd Exp'!C158</f>
        <v>1</v>
      </c>
    </row>
    <row r="159" spans="1:30">
      <c r="A159" s="12" t="s">
        <v>456</v>
      </c>
      <c r="B159" s="12"/>
      <c r="C159" s="12" t="s">
        <v>51</v>
      </c>
      <c r="D159" s="12"/>
      <c r="E159" s="12">
        <v>48835</v>
      </c>
      <c r="G159" s="7">
        <v>5305000</v>
      </c>
      <c r="I159" s="7">
        <v>0</v>
      </c>
      <c r="K159" s="7">
        <v>357303</v>
      </c>
      <c r="M159" s="7">
        <v>60198</v>
      </c>
      <c r="O159" s="7">
        <v>509368</v>
      </c>
      <c r="Q159" s="7">
        <v>897012</v>
      </c>
      <c r="S159" s="8">
        <f t="shared" si="22"/>
        <v>7128881</v>
      </c>
      <c r="U159" s="7">
        <v>539809</v>
      </c>
      <c r="V159" s="7">
        <f>+'St of Net Assets - GA'!O159-'LT _Lia - GA'!U159</f>
        <v>0</v>
      </c>
      <c r="Z159" s="7" t="str">
        <f t="shared" si="18"/>
        <v>East Muskingum Local SD</v>
      </c>
      <c r="AA159" s="7" t="str">
        <f>'Gov Fnd Exp'!A159</f>
        <v>East Muskingum Local SD</v>
      </c>
      <c r="AB159" s="7" t="b">
        <f t="shared" si="20"/>
        <v>1</v>
      </c>
      <c r="AC159" s="7" t="str">
        <f t="shared" si="19"/>
        <v>Muskingum</v>
      </c>
      <c r="AD159" s="7" t="b">
        <f>C159='Gov Fnd Exp'!C159</f>
        <v>1</v>
      </c>
    </row>
    <row r="160" spans="1:30">
      <c r="A160" s="12" t="s">
        <v>255</v>
      </c>
      <c r="B160" s="12"/>
      <c r="C160" s="12" t="s">
        <v>112</v>
      </c>
      <c r="D160" s="12"/>
      <c r="E160" s="12">
        <v>43927</v>
      </c>
      <c r="G160" s="7">
        <v>0</v>
      </c>
      <c r="I160" s="7">
        <v>0</v>
      </c>
      <c r="K160" s="7">
        <v>0</v>
      </c>
      <c r="M160" s="7">
        <v>1810398</v>
      </c>
      <c r="O160" s="7">
        <v>488481</v>
      </c>
      <c r="Q160" s="7">
        <v>0</v>
      </c>
      <c r="S160" s="8">
        <f t="shared" si="22"/>
        <v>2298879</v>
      </c>
      <c r="U160" s="7">
        <v>330056</v>
      </c>
      <c r="V160" s="7">
        <f>+'St of Net Assets - GA'!O160-'LT _Lia - GA'!U160</f>
        <v>0</v>
      </c>
      <c r="Z160" s="7" t="str">
        <f t="shared" si="18"/>
        <v>East Palestine City SD</v>
      </c>
      <c r="AA160" s="7" t="str">
        <f>'Gov Fnd Exp'!A160</f>
        <v>East Palestine City SD</v>
      </c>
      <c r="AB160" s="7" t="b">
        <f t="shared" si="20"/>
        <v>1</v>
      </c>
      <c r="AC160" s="7" t="str">
        <f t="shared" si="19"/>
        <v>Columbiana</v>
      </c>
      <c r="AD160" s="7" t="b">
        <f>C160='Gov Fnd Exp'!C160</f>
        <v>1</v>
      </c>
    </row>
    <row r="161" spans="1:30">
      <c r="A161" s="12" t="s">
        <v>220</v>
      </c>
      <c r="B161" s="12"/>
      <c r="C161" s="12" t="s">
        <v>77</v>
      </c>
      <c r="D161" s="12"/>
      <c r="E161" s="12">
        <v>46037</v>
      </c>
      <c r="G161" s="7">
        <f>1840000+6445000+152050</f>
        <v>8437050</v>
      </c>
      <c r="I161" s="7">
        <v>0</v>
      </c>
      <c r="K161" s="7">
        <v>0</v>
      </c>
      <c r="M161" s="7">
        <v>0</v>
      </c>
      <c r="O161" s="7">
        <v>739794</v>
      </c>
      <c r="Q161" s="7">
        <v>85883</v>
      </c>
      <c r="S161" s="8">
        <f t="shared" si="22"/>
        <v>9262727</v>
      </c>
      <c r="U161" s="7">
        <v>552800</v>
      </c>
      <c r="V161" s="7">
        <f>+'St of Net Assets - GA'!O161-'LT _Lia - GA'!U161</f>
        <v>0</v>
      </c>
      <c r="Z161" s="7" t="str">
        <f t="shared" si="18"/>
        <v>Eastern Local SD</v>
      </c>
      <c r="AA161" s="7" t="str">
        <f>'Gov Fnd Exp'!A161</f>
        <v>Eastern Local SD</v>
      </c>
      <c r="AB161" s="7" t="b">
        <f t="shared" si="20"/>
        <v>1</v>
      </c>
      <c r="AC161" s="7" t="str">
        <f t="shared" si="19"/>
        <v>Brown</v>
      </c>
      <c r="AD161" s="7" t="b">
        <f>C161='Gov Fnd Exp'!C161</f>
        <v>1</v>
      </c>
    </row>
    <row r="162" spans="1:30">
      <c r="A162" s="12" t="s">
        <v>220</v>
      </c>
      <c r="B162" s="12"/>
      <c r="C162" s="12" t="s">
        <v>433</v>
      </c>
      <c r="D162" s="12"/>
      <c r="E162" s="12">
        <v>48512</v>
      </c>
      <c r="G162" s="7">
        <f>860000+57723</f>
        <v>917723</v>
      </c>
      <c r="I162" s="7">
        <v>0</v>
      </c>
      <c r="K162" s="7">
        <v>0</v>
      </c>
      <c r="M162" s="7">
        <v>0</v>
      </c>
      <c r="O162" s="7">
        <v>191960</v>
      </c>
      <c r="Q162" s="7">
        <v>0</v>
      </c>
      <c r="S162" s="8">
        <f t="shared" si="22"/>
        <v>1109683</v>
      </c>
      <c r="U162" s="7">
        <v>100474</v>
      </c>
      <c r="V162" s="7">
        <f>+'St of Net Assets - GA'!O162-'LT _Lia - GA'!U162</f>
        <v>0</v>
      </c>
      <c r="Z162" s="7" t="str">
        <f t="shared" si="18"/>
        <v>Eastern Local SD</v>
      </c>
      <c r="AA162" s="7" t="str">
        <f>'Gov Fnd Exp'!A162</f>
        <v>Eastern Local SD</v>
      </c>
      <c r="AB162" s="7" t="b">
        <f t="shared" si="20"/>
        <v>1</v>
      </c>
      <c r="AC162" s="7" t="str">
        <f t="shared" si="19"/>
        <v>Meigs</v>
      </c>
      <c r="AD162" s="7" t="b">
        <f>C162='Gov Fnd Exp'!C162</f>
        <v>1</v>
      </c>
    </row>
    <row r="163" spans="1:30" hidden="1">
      <c r="A163" s="12" t="s">
        <v>692</v>
      </c>
      <c r="B163" s="12"/>
      <c r="C163" s="12" t="s">
        <v>55</v>
      </c>
      <c r="D163" s="12"/>
      <c r="E163" s="12">
        <v>49122</v>
      </c>
      <c r="S163" s="8">
        <f t="shared" ref="S163:S164" si="23">SUM(G163:R163)</f>
        <v>0</v>
      </c>
      <c r="V163" s="7">
        <f>+'St of Net Assets - GA'!O163-'LT _Lia - GA'!U163</f>
        <v>0</v>
      </c>
      <c r="X163" s="7" t="s">
        <v>839</v>
      </c>
      <c r="Z163" s="7" t="str">
        <f t="shared" si="18"/>
        <v>Eastern Local SD (CASH)</v>
      </c>
      <c r="AA163" s="7" t="str">
        <f>'Gov Fnd Exp'!A163</f>
        <v>Eastern Local SD (CASH)</v>
      </c>
      <c r="AB163" s="7" t="b">
        <f t="shared" si="20"/>
        <v>1</v>
      </c>
      <c r="AC163" s="7" t="str">
        <f t="shared" si="19"/>
        <v>Pike</v>
      </c>
      <c r="AD163" s="7" t="b">
        <f>C163='Gov Fnd Exp'!C163</f>
        <v>1</v>
      </c>
    </row>
    <row r="164" spans="1:30">
      <c r="A164" s="12" t="s">
        <v>573</v>
      </c>
      <c r="B164" s="12"/>
      <c r="C164" s="12" t="s">
        <v>72</v>
      </c>
      <c r="D164" s="12"/>
      <c r="E164" s="12">
        <v>50674</v>
      </c>
      <c r="G164" s="7">
        <v>2958810</v>
      </c>
      <c r="I164" s="7">
        <v>0</v>
      </c>
      <c r="K164" s="7">
        <v>690000</v>
      </c>
      <c r="M164" s="7">
        <v>0</v>
      </c>
      <c r="O164" s="7">
        <v>919301</v>
      </c>
      <c r="Q164" s="7">
        <v>0</v>
      </c>
      <c r="S164" s="8">
        <f t="shared" si="23"/>
        <v>4568111</v>
      </c>
      <c r="U164" s="7">
        <v>293279</v>
      </c>
      <c r="V164" s="7">
        <f>+'St of Net Assets - GA'!O164-'LT _Lia - GA'!U164</f>
        <v>0</v>
      </c>
      <c r="X164" s="7" t="s">
        <v>845</v>
      </c>
      <c r="Z164" s="7" t="str">
        <f t="shared" si="18"/>
        <v>Eastwood Local SD</v>
      </c>
      <c r="AA164" s="7" t="str">
        <f>'Gov Fnd Exp'!A164</f>
        <v>Eastwood Local SD</v>
      </c>
      <c r="AB164" s="7" t="b">
        <f t="shared" si="20"/>
        <v>1</v>
      </c>
      <c r="AC164" s="7" t="str">
        <f t="shared" si="19"/>
        <v>Wood</v>
      </c>
      <c r="AD164" s="7" t="b">
        <f>C164='Gov Fnd Exp'!C164</f>
        <v>1</v>
      </c>
    </row>
    <row r="165" spans="1:30">
      <c r="A165" s="12" t="s">
        <v>712</v>
      </c>
      <c r="B165" s="12"/>
      <c r="C165" s="12" t="s">
        <v>57</v>
      </c>
      <c r="D165" s="12"/>
      <c r="E165" s="12">
        <v>43935</v>
      </c>
      <c r="G165" s="7">
        <f>25988962+1854928+3770000+3080000+2030000</f>
        <v>36723890</v>
      </c>
      <c r="I165" s="7">
        <v>0</v>
      </c>
      <c r="K165" s="7">
        <v>0</v>
      </c>
      <c r="M165" s="7">
        <v>0</v>
      </c>
      <c r="O165" s="7">
        <f>1784197+50686</f>
        <v>1834883</v>
      </c>
      <c r="Q165" s="7">
        <v>0</v>
      </c>
      <c r="S165" s="8">
        <f t="shared" si="22"/>
        <v>38558773</v>
      </c>
      <c r="U165" s="7">
        <v>875560</v>
      </c>
      <c r="V165" s="7">
        <f>+'St of Net Assets - GA'!O165-'LT _Lia - GA'!U165</f>
        <v>0</v>
      </c>
      <c r="X165" s="7" t="s">
        <v>846</v>
      </c>
      <c r="Z165" s="7" t="str">
        <f t="shared" si="18"/>
        <v>Eaton Community SD</v>
      </c>
      <c r="AA165" s="7" t="str">
        <f>'Gov Fnd Exp'!A165</f>
        <v>Eaton Community SD</v>
      </c>
      <c r="AB165" s="7" t="b">
        <f t="shared" si="20"/>
        <v>1</v>
      </c>
      <c r="AC165" s="7" t="str">
        <f t="shared" si="19"/>
        <v>Preble</v>
      </c>
      <c r="AD165" s="7" t="b">
        <f>C165='Gov Fnd Exp'!C165</f>
        <v>1</v>
      </c>
    </row>
    <row r="166" spans="1:30" hidden="1">
      <c r="A166" s="12" t="s">
        <v>693</v>
      </c>
      <c r="B166" s="12"/>
      <c r="C166" s="12" t="s">
        <v>570</v>
      </c>
      <c r="D166" s="12"/>
      <c r="E166" s="12">
        <v>50617</v>
      </c>
      <c r="Q166" s="7">
        <v>0</v>
      </c>
      <c r="S166" s="8">
        <f t="shared" si="22"/>
        <v>0</v>
      </c>
      <c r="V166" s="7">
        <f>+'St of Net Assets - GA'!O166-'LT _Lia - GA'!U166</f>
        <v>0</v>
      </c>
      <c r="X166" s="7" t="s">
        <v>839</v>
      </c>
      <c r="Z166" s="7" t="str">
        <f t="shared" si="18"/>
        <v>Edgerton Local SD (CASH)</v>
      </c>
      <c r="AA166" s="7" t="str">
        <f>'Gov Fnd Exp'!A166</f>
        <v>Edgerton Local SD (CASH)</v>
      </c>
      <c r="AB166" s="7" t="b">
        <f t="shared" si="20"/>
        <v>1</v>
      </c>
      <c r="AC166" s="7" t="str">
        <f t="shared" si="19"/>
        <v>Williams</v>
      </c>
      <c r="AD166" s="7" t="b">
        <f>C166='Gov Fnd Exp'!C166</f>
        <v>1</v>
      </c>
    </row>
    <row r="167" spans="1:30">
      <c r="A167" s="12" t="s">
        <v>694</v>
      </c>
      <c r="B167" s="12"/>
      <c r="C167" s="12" t="s">
        <v>223</v>
      </c>
      <c r="D167" s="12"/>
      <c r="E167" s="12">
        <v>46094</v>
      </c>
      <c r="G167" s="7">
        <f>780000+1848576+3210589+7570000+2199979+761848+1405000+21590000</f>
        <v>39365992</v>
      </c>
      <c r="I167" s="7">
        <v>0</v>
      </c>
      <c r="K167" s="7">
        <v>2990000</v>
      </c>
      <c r="M167" s="7">
        <f>237000+163577</f>
        <v>400577</v>
      </c>
      <c r="O167" s="7">
        <v>1312494</v>
      </c>
      <c r="Q167" s="7">
        <v>0</v>
      </c>
      <c r="S167" s="8">
        <f t="shared" si="22"/>
        <v>44069063</v>
      </c>
      <c r="U167" s="7">
        <v>4817349</v>
      </c>
      <c r="V167" s="7">
        <f>+'St of Net Assets - GA'!O167-'LT _Lia - GA'!U167</f>
        <v>0</v>
      </c>
      <c r="Z167" s="7" t="str">
        <f t="shared" si="18"/>
        <v xml:space="preserve">Edgewood City SD </v>
      </c>
      <c r="AA167" s="7" t="str">
        <f>'Gov Fnd Exp'!A167</f>
        <v xml:space="preserve">Edgewood City SD </v>
      </c>
      <c r="AB167" s="7" t="b">
        <f t="shared" si="20"/>
        <v>1</v>
      </c>
      <c r="AC167" s="7" t="str">
        <f t="shared" si="19"/>
        <v>Butler</v>
      </c>
      <c r="AD167" s="7" t="b">
        <f>C167='Gov Fnd Exp'!C167</f>
        <v>1</v>
      </c>
    </row>
    <row r="168" spans="1:30">
      <c r="A168" s="12" t="s">
        <v>372</v>
      </c>
      <c r="B168" s="12"/>
      <c r="C168" s="12" t="s">
        <v>39</v>
      </c>
      <c r="D168" s="12"/>
      <c r="E168" s="12">
        <v>47795</v>
      </c>
      <c r="G168" s="7">
        <v>0</v>
      </c>
      <c r="I168" s="7">
        <v>0</v>
      </c>
      <c r="K168" s="7">
        <v>0</v>
      </c>
      <c r="M168" s="7">
        <v>184861</v>
      </c>
      <c r="O168" s="7">
        <v>1419369</v>
      </c>
      <c r="Q168" s="7">
        <v>50000</v>
      </c>
      <c r="S168" s="8">
        <f t="shared" si="22"/>
        <v>1654230</v>
      </c>
      <c r="U168" s="7">
        <v>358836</v>
      </c>
      <c r="V168" s="7">
        <f>+'St of Net Assets - GA'!O168-'LT _Lia - GA'!U168</f>
        <v>0</v>
      </c>
      <c r="Z168" s="7" t="str">
        <f t="shared" si="18"/>
        <v>Edison Local SD</v>
      </c>
      <c r="AA168" s="7" t="str">
        <f>'Gov Fnd Exp'!A168</f>
        <v>Edison Local SD</v>
      </c>
      <c r="AB168" s="7" t="b">
        <f t="shared" si="20"/>
        <v>1</v>
      </c>
      <c r="AC168" s="7" t="str">
        <f t="shared" si="19"/>
        <v>Jefferson</v>
      </c>
      <c r="AD168" s="7" t="b">
        <f>C168='Gov Fnd Exp'!C168</f>
        <v>1</v>
      </c>
    </row>
    <row r="169" spans="1:30" hidden="1">
      <c r="A169" s="12" t="s">
        <v>847</v>
      </c>
      <c r="B169" s="12"/>
      <c r="C169" s="12" t="s">
        <v>570</v>
      </c>
      <c r="D169" s="12"/>
      <c r="E169" s="12">
        <v>50625</v>
      </c>
      <c r="S169" s="8">
        <f t="shared" si="22"/>
        <v>0</v>
      </c>
      <c r="V169" s="7">
        <f>+'St of Net Assets - GA'!O169-'LT _Lia - GA'!U169</f>
        <v>0</v>
      </c>
      <c r="X169" s="7" t="s">
        <v>837</v>
      </c>
      <c r="Z169" s="7" t="str">
        <f t="shared" si="18"/>
        <v>Edon-Northwest Local SD (CASH)</v>
      </c>
      <c r="AA169" s="7" t="str">
        <f>'Gov Fnd Exp'!A169</f>
        <v>Edon-Northwest Local SD (CASH)</v>
      </c>
      <c r="AB169" s="7" t="b">
        <f t="shared" si="20"/>
        <v>1</v>
      </c>
      <c r="AC169" s="7" t="str">
        <f t="shared" si="19"/>
        <v>Williams</v>
      </c>
      <c r="AD169" s="7" t="b">
        <f>C169='Gov Fnd Exp'!C169</f>
        <v>1</v>
      </c>
    </row>
    <row r="170" spans="1:30" hidden="1">
      <c r="A170" s="12" t="s">
        <v>695</v>
      </c>
      <c r="B170" s="12"/>
      <c r="C170" s="12" t="s">
        <v>10</v>
      </c>
      <c r="D170" s="12"/>
      <c r="E170" s="12"/>
      <c r="S170" s="8">
        <f t="shared" ref="S170" si="24">SUM(G170:R170)</f>
        <v>0</v>
      </c>
      <c r="V170" s="7">
        <f>+'St of Net Assets - GA'!O170-'LT _Lia - GA'!U170</f>
        <v>0</v>
      </c>
      <c r="X170" s="7" t="s">
        <v>839</v>
      </c>
      <c r="Z170" s="7" t="str">
        <f t="shared" si="18"/>
        <v>Elida Local SD (CASH)</v>
      </c>
      <c r="AA170" s="7" t="str">
        <f>'Gov Fnd Exp'!A170</f>
        <v>Elida Local SD (CASH)</v>
      </c>
      <c r="AB170" s="7" t="b">
        <f t="shared" si="20"/>
        <v>1</v>
      </c>
      <c r="AC170" s="7" t="str">
        <f t="shared" si="19"/>
        <v>Allen</v>
      </c>
      <c r="AD170" s="7" t="b">
        <f>C170='Gov Fnd Exp'!C170</f>
        <v>1</v>
      </c>
    </row>
    <row r="171" spans="1:30">
      <c r="A171" s="12" t="s">
        <v>713</v>
      </c>
      <c r="B171" s="12"/>
      <c r="C171" s="12" t="s">
        <v>46</v>
      </c>
      <c r="D171" s="12"/>
      <c r="E171" s="12">
        <v>48413</v>
      </c>
      <c r="G171" s="7">
        <v>16240366</v>
      </c>
      <c r="I171" s="7">
        <v>207393</v>
      </c>
      <c r="K171" s="7">
        <v>0</v>
      </c>
      <c r="M171" s="7">
        <v>0</v>
      </c>
      <c r="O171" s="7">
        <v>895987</v>
      </c>
      <c r="Q171" s="7">
        <v>0</v>
      </c>
      <c r="S171" s="8">
        <f t="shared" si="22"/>
        <v>17343746</v>
      </c>
      <c r="U171" s="7">
        <v>787744</v>
      </c>
      <c r="V171" s="7">
        <f>+'St of Net Assets - GA'!O171-'LT _Lia - GA'!U171</f>
        <v>0</v>
      </c>
      <c r="Z171" s="7" t="str">
        <f t="shared" si="18"/>
        <v xml:space="preserve">Elgin Local SD </v>
      </c>
      <c r="AA171" s="7" t="str">
        <f>'Gov Fnd Exp'!A171</f>
        <v xml:space="preserve">Elgin Local SD </v>
      </c>
      <c r="AB171" s="7" t="b">
        <f t="shared" si="20"/>
        <v>1</v>
      </c>
      <c r="AC171" s="7" t="str">
        <f t="shared" si="19"/>
        <v>Marion</v>
      </c>
      <c r="AD171" s="7" t="b">
        <f>C171='Gov Fnd Exp'!C171</f>
        <v>1</v>
      </c>
    </row>
    <row r="172" spans="1:30" hidden="1">
      <c r="A172" s="12" t="s">
        <v>728</v>
      </c>
      <c r="B172" s="12"/>
      <c r="C172" s="12" t="s">
        <v>72</v>
      </c>
      <c r="D172" s="12"/>
      <c r="E172" s="12"/>
      <c r="S172" s="8">
        <f t="shared" ref="S172" si="25">SUM(G172:R172)</f>
        <v>0</v>
      </c>
      <c r="V172" s="7">
        <f>+'St of Net Assets - GA'!O172-'LT _Lia - GA'!U172</f>
        <v>0</v>
      </c>
      <c r="X172" s="7" t="s">
        <v>839</v>
      </c>
      <c r="Z172" s="7" t="str">
        <f t="shared" si="18"/>
        <v>Elmwood Local SD (CASH)</v>
      </c>
      <c r="AA172" s="7" t="str">
        <f>'Gov Fnd Exp'!A172</f>
        <v>Elmwood Local SD (CASH)</v>
      </c>
      <c r="AB172" s="7" t="b">
        <f t="shared" si="20"/>
        <v>1</v>
      </c>
      <c r="AC172" s="7" t="str">
        <f t="shared" si="19"/>
        <v>Wood</v>
      </c>
      <c r="AD172" s="7" t="b">
        <f>C172='Gov Fnd Exp'!C172</f>
        <v>1</v>
      </c>
    </row>
    <row r="173" spans="1:30">
      <c r="A173" s="12" t="s">
        <v>396</v>
      </c>
      <c r="B173" s="12"/>
      <c r="C173" s="12" t="s">
        <v>44</v>
      </c>
      <c r="D173" s="12"/>
      <c r="E173" s="12">
        <v>43943</v>
      </c>
      <c r="G173" s="7">
        <v>44837324</v>
      </c>
      <c r="I173" s="7">
        <v>0</v>
      </c>
      <c r="K173" s="7">
        <v>0</v>
      </c>
      <c r="M173" s="7">
        <v>4830417</v>
      </c>
      <c r="O173" s="7">
        <v>5092176</v>
      </c>
      <c r="Q173" s="7">
        <v>1171984</v>
      </c>
      <c r="S173" s="8">
        <f t="shared" si="22"/>
        <v>55931901</v>
      </c>
      <c r="U173" s="7">
        <v>2422635</v>
      </c>
      <c r="V173" s="7">
        <f>+'St of Net Assets - GA'!O173-'LT _Lia - GA'!U173</f>
        <v>0</v>
      </c>
      <c r="Z173" s="7" t="str">
        <f t="shared" si="18"/>
        <v>Elyria City SD</v>
      </c>
      <c r="AA173" s="7" t="str">
        <f>'Gov Fnd Exp'!A173</f>
        <v>Elyria City SD</v>
      </c>
      <c r="AB173" s="7" t="b">
        <f t="shared" si="20"/>
        <v>1</v>
      </c>
      <c r="AC173" s="7" t="str">
        <f t="shared" si="19"/>
        <v>Lorain</v>
      </c>
      <c r="AD173" s="7" t="b">
        <f>C173='Gov Fnd Exp'!C173</f>
        <v>1</v>
      </c>
    </row>
    <row r="174" spans="1:30">
      <c r="A174" s="12" t="s">
        <v>273</v>
      </c>
      <c r="B174" s="12"/>
      <c r="C174" s="12" t="s">
        <v>20</v>
      </c>
      <c r="D174" s="12"/>
      <c r="E174" s="12">
        <v>43950</v>
      </c>
      <c r="G174" s="7">
        <f>44846032+222915</f>
        <v>45068947</v>
      </c>
      <c r="I174" s="7">
        <v>0</v>
      </c>
      <c r="K174" s="7">
        <v>2950000</v>
      </c>
      <c r="M174" s="7">
        <v>0</v>
      </c>
      <c r="O174" s="7">
        <v>2657045</v>
      </c>
      <c r="Q174" s="7">
        <f>492010+1555430</f>
        <v>2047440</v>
      </c>
      <c r="S174" s="8">
        <f t="shared" si="22"/>
        <v>52723432</v>
      </c>
      <c r="U174" s="7">
        <v>6030479</v>
      </c>
      <c r="V174" s="7">
        <f>+'St of Net Assets - GA'!O174-'LT _Lia - GA'!U174</f>
        <v>0</v>
      </c>
      <c r="Z174" s="7" t="str">
        <f t="shared" si="18"/>
        <v>Euclid City SD</v>
      </c>
      <c r="AA174" s="7" t="str">
        <f>'Gov Fnd Exp'!A174</f>
        <v>Euclid City SD</v>
      </c>
      <c r="AB174" s="7" t="b">
        <f t="shared" si="20"/>
        <v>1</v>
      </c>
      <c r="AC174" s="7" t="str">
        <f t="shared" si="19"/>
        <v>Cuyahoga</v>
      </c>
      <c r="AD174" s="7" t="b">
        <f>C174='Gov Fnd Exp'!C174</f>
        <v>1</v>
      </c>
    </row>
    <row r="175" spans="1:30" hidden="1">
      <c r="A175" s="12" t="s">
        <v>646</v>
      </c>
      <c r="B175" s="12"/>
      <c r="C175" s="12" t="s">
        <v>28</v>
      </c>
      <c r="D175" s="12"/>
      <c r="E175" s="12">
        <v>47050</v>
      </c>
      <c r="S175" s="8">
        <f t="shared" si="22"/>
        <v>0</v>
      </c>
      <c r="V175" s="7">
        <f>+'St of Net Assets - GA'!O175-'LT _Lia - GA'!U175</f>
        <v>0</v>
      </c>
      <c r="X175" s="7" t="s">
        <v>839</v>
      </c>
      <c r="Z175" s="7" t="str">
        <f t="shared" si="18"/>
        <v>Evergreen Local SD (CASH)</v>
      </c>
      <c r="AA175" s="7" t="str">
        <f>'Gov Fnd Exp'!A175</f>
        <v>Evergreen Local SD (CASH)</v>
      </c>
      <c r="AB175" s="7" t="b">
        <f t="shared" si="20"/>
        <v>1</v>
      </c>
      <c r="AC175" s="7" t="str">
        <f t="shared" si="19"/>
        <v>Fulton</v>
      </c>
      <c r="AD175" s="7" t="b">
        <f>C175='Gov Fnd Exp'!C175</f>
        <v>1</v>
      </c>
    </row>
    <row r="176" spans="1:30">
      <c r="A176" s="12" t="s">
        <v>555</v>
      </c>
      <c r="B176" s="12"/>
      <c r="C176" s="12" t="s">
        <v>66</v>
      </c>
      <c r="D176" s="12"/>
      <c r="E176" s="12">
        <v>50328</v>
      </c>
      <c r="G176" s="7">
        <v>10801599</v>
      </c>
      <c r="I176" s="7">
        <v>0</v>
      </c>
      <c r="K176" s="7">
        <v>111000</v>
      </c>
      <c r="M176" s="7">
        <f>6849+255000</f>
        <v>261849</v>
      </c>
      <c r="O176" s="7">
        <v>421055</v>
      </c>
      <c r="Q176" s="7">
        <v>0</v>
      </c>
      <c r="S176" s="8">
        <f t="shared" si="22"/>
        <v>11595503</v>
      </c>
      <c r="U176" s="7">
        <v>717795</v>
      </c>
      <c r="V176" s="7">
        <f>+'St of Net Assets - GA'!O176-'LT _Lia - GA'!U176</f>
        <v>0</v>
      </c>
      <c r="Z176" s="7" t="str">
        <f t="shared" si="18"/>
        <v>Fairbanks Local SD</v>
      </c>
      <c r="AA176" s="7" t="str">
        <f>'Gov Fnd Exp'!A176</f>
        <v>Fairbanks Local SD</v>
      </c>
      <c r="AB176" s="7" t="b">
        <f t="shared" si="20"/>
        <v>1</v>
      </c>
      <c r="AC176" s="7" t="str">
        <f t="shared" si="19"/>
        <v>Union</v>
      </c>
      <c r="AD176" s="7" t="b">
        <f>C176='Gov Fnd Exp'!C176</f>
        <v>1</v>
      </c>
    </row>
    <row r="177" spans="1:30">
      <c r="A177" s="12" t="s">
        <v>653</v>
      </c>
      <c r="B177" s="12"/>
      <c r="C177" s="12" t="s">
        <v>114</v>
      </c>
      <c r="D177" s="12"/>
      <c r="E177" s="12">
        <v>46102</v>
      </c>
      <c r="G177" s="7">
        <f>14570000+99987+491740+1202014</f>
        <v>16363741</v>
      </c>
      <c r="I177" s="7">
        <v>0</v>
      </c>
      <c r="K177" s="7">
        <v>515000</v>
      </c>
      <c r="M177" s="7">
        <v>0</v>
      </c>
      <c r="O177" s="7">
        <v>3526988</v>
      </c>
      <c r="Q177" s="7">
        <v>0</v>
      </c>
      <c r="S177" s="8">
        <f>SUM(G177:R177)</f>
        <v>20405729</v>
      </c>
      <c r="U177" s="7">
        <v>1551398</v>
      </c>
      <c r="V177" s="7">
        <f>+'St of Net Assets - GA'!O177-'LT _Lia - GA'!U177</f>
        <v>0</v>
      </c>
      <c r="Z177" s="7" t="str">
        <f t="shared" si="18"/>
        <v>Fairborn City SD</v>
      </c>
      <c r="AA177" s="7" t="str">
        <f>'Gov Fnd Exp'!A177</f>
        <v>Fairborn City SD</v>
      </c>
      <c r="AB177" s="7" t="b">
        <f t="shared" si="20"/>
        <v>1</v>
      </c>
      <c r="AC177" s="7" t="str">
        <f t="shared" si="19"/>
        <v>Greene</v>
      </c>
      <c r="AD177" s="7" t="b">
        <f>C177='Gov Fnd Exp'!C177</f>
        <v>1</v>
      </c>
    </row>
    <row r="178" spans="1:30">
      <c r="A178" s="12" t="s">
        <v>224</v>
      </c>
      <c r="B178" s="12"/>
      <c r="C178" s="12" t="s">
        <v>223</v>
      </c>
      <c r="D178" s="12"/>
      <c r="E178" s="12">
        <v>46102</v>
      </c>
      <c r="G178" s="7">
        <v>29470841</v>
      </c>
      <c r="I178" s="7">
        <v>0</v>
      </c>
      <c r="K178" s="7">
        <v>0</v>
      </c>
      <c r="M178" s="7">
        <v>214396</v>
      </c>
      <c r="O178" s="7">
        <v>7954518</v>
      </c>
      <c r="Q178" s="7">
        <v>0</v>
      </c>
      <c r="S178" s="8">
        <f t="shared" si="22"/>
        <v>37639755</v>
      </c>
      <c r="U178" s="7">
        <v>1582586</v>
      </c>
      <c r="V178" s="7">
        <f>+'St of Net Assets - GA'!O178-'LT _Lia - GA'!U178</f>
        <v>0</v>
      </c>
      <c r="Z178" s="7" t="str">
        <f t="shared" si="18"/>
        <v>Fairfield City SD</v>
      </c>
      <c r="AA178" s="7" t="str">
        <f>'Gov Fnd Exp'!A178</f>
        <v>Fairfield City SD</v>
      </c>
      <c r="AB178" s="7" t="b">
        <f t="shared" si="20"/>
        <v>1</v>
      </c>
      <c r="AC178" s="7" t="str">
        <f t="shared" si="19"/>
        <v>Butler</v>
      </c>
      <c r="AD178" s="7" t="b">
        <f>C178='Gov Fnd Exp'!C178</f>
        <v>1</v>
      </c>
    </row>
    <row r="179" spans="1:30">
      <c r="A179" s="12" t="s">
        <v>359</v>
      </c>
      <c r="B179" s="12"/>
      <c r="C179" s="12" t="s">
        <v>358</v>
      </c>
      <c r="D179" s="12"/>
      <c r="E179" s="12">
        <v>47621</v>
      </c>
      <c r="G179" s="7">
        <f>250000+1240000+174999+140424+108940-69413</f>
        <v>1844950</v>
      </c>
      <c r="I179" s="7">
        <v>0</v>
      </c>
      <c r="K179" s="7">
        <v>0</v>
      </c>
      <c r="M179" s="7">
        <v>0</v>
      </c>
      <c r="O179" s="7">
        <v>469558</v>
      </c>
      <c r="Q179" s="7">
        <v>0</v>
      </c>
      <c r="S179" s="8">
        <f t="shared" si="22"/>
        <v>2314508</v>
      </c>
      <c r="U179" s="7">
        <v>179057</v>
      </c>
      <c r="V179" s="7">
        <f>+'St of Net Assets - GA'!O179-'LT _Lia - GA'!U179</f>
        <v>0</v>
      </c>
      <c r="Z179" s="7" t="str">
        <f t="shared" si="18"/>
        <v>Fairfield Local SD</v>
      </c>
      <c r="AA179" s="7" t="str">
        <f>'Gov Fnd Exp'!A179</f>
        <v>Fairfield Local SD</v>
      </c>
      <c r="AB179" s="7" t="b">
        <f t="shared" si="20"/>
        <v>1</v>
      </c>
      <c r="AC179" s="7" t="str">
        <f t="shared" si="19"/>
        <v>Highland</v>
      </c>
      <c r="AD179" s="7" t="b">
        <f>C179='Gov Fnd Exp'!C179</f>
        <v>1</v>
      </c>
    </row>
    <row r="180" spans="1:30">
      <c r="A180" s="12" t="s">
        <v>300</v>
      </c>
      <c r="B180" s="12"/>
      <c r="C180" s="12" t="s">
        <v>25</v>
      </c>
      <c r="D180" s="12"/>
      <c r="E180" s="12">
        <v>46870</v>
      </c>
      <c r="G180" s="7">
        <f>7789550+595000+180000+7760000+9514998</f>
        <v>25839548</v>
      </c>
      <c r="I180" s="7">
        <v>0</v>
      </c>
      <c r="K180" s="7">
        <v>170000</v>
      </c>
      <c r="M180" s="7">
        <v>319752</v>
      </c>
      <c r="O180" s="7">
        <v>1266220</v>
      </c>
      <c r="Q180" s="7">
        <v>0</v>
      </c>
      <c r="S180" s="8">
        <f t="shared" si="22"/>
        <v>27595520</v>
      </c>
      <c r="U180" s="7">
        <v>852298</v>
      </c>
      <c r="V180" s="7">
        <f>+'St of Net Assets - GA'!O180-'LT _Lia - GA'!U180</f>
        <v>0</v>
      </c>
      <c r="Z180" s="7" t="str">
        <f t="shared" si="18"/>
        <v>Fairfield Union Local SD</v>
      </c>
      <c r="AA180" s="7" t="str">
        <f>'Gov Fnd Exp'!A180</f>
        <v>Fairfield Union Local SD</v>
      </c>
      <c r="AB180" s="7" t="b">
        <f t="shared" si="20"/>
        <v>1</v>
      </c>
      <c r="AC180" s="7" t="str">
        <f t="shared" si="19"/>
        <v>Fairfield</v>
      </c>
      <c r="AD180" s="7" t="b">
        <f>C180='Gov Fnd Exp'!C180</f>
        <v>1</v>
      </c>
    </row>
    <row r="181" spans="1:30" s="32" customFormat="1">
      <c r="A181" s="31" t="s">
        <v>379</v>
      </c>
      <c r="B181" s="31"/>
      <c r="C181" s="31" t="s">
        <v>377</v>
      </c>
      <c r="D181" s="31"/>
      <c r="E181" s="31">
        <v>47936</v>
      </c>
      <c r="G181" s="32">
        <v>2460000</v>
      </c>
      <c r="I181" s="32">
        <v>0</v>
      </c>
      <c r="K181" s="32">
        <v>0</v>
      </c>
      <c r="M181" s="32">
        <v>0</v>
      </c>
      <c r="O181" s="32">
        <v>1184636</v>
      </c>
      <c r="Q181" s="32">
        <v>0</v>
      </c>
      <c r="S181" s="36">
        <f t="shared" si="22"/>
        <v>3644636</v>
      </c>
      <c r="U181" s="32">
        <v>271582</v>
      </c>
      <c r="V181" s="32">
        <f>+'St of Net Assets - GA'!O181-'LT _Lia - GA'!U181</f>
        <v>0</v>
      </c>
      <c r="Z181" s="32" t="str">
        <f t="shared" si="18"/>
        <v>Fairland Local SD</v>
      </c>
      <c r="AA181" s="32" t="str">
        <f>'Gov Fnd Exp'!A181</f>
        <v>Fairland Local SD</v>
      </c>
      <c r="AB181" s="32" t="b">
        <f t="shared" si="20"/>
        <v>1</v>
      </c>
      <c r="AC181" s="32" t="str">
        <f t="shared" si="19"/>
        <v>Lawrence</v>
      </c>
      <c r="AD181" s="32" t="b">
        <f>C181='Gov Fnd Exp'!C181</f>
        <v>1</v>
      </c>
    </row>
    <row r="182" spans="1:30" hidden="1">
      <c r="A182" s="12" t="s">
        <v>647</v>
      </c>
      <c r="B182" s="12"/>
      <c r="C182" s="12" t="s">
        <v>61</v>
      </c>
      <c r="D182" s="12"/>
      <c r="E182" s="12">
        <v>49775</v>
      </c>
      <c r="S182" s="8">
        <f t="shared" si="22"/>
        <v>0</v>
      </c>
      <c r="V182" s="7">
        <f>+'St of Net Assets - GA'!O182-'LT _Lia - GA'!U182</f>
        <v>0</v>
      </c>
      <c r="X182" s="7" t="s">
        <v>839</v>
      </c>
      <c r="Z182" s="7" t="str">
        <f t="shared" si="18"/>
        <v>Fairlawn Local SD (CASH)</v>
      </c>
      <c r="AA182" s="7" t="str">
        <f>'Gov Fnd Exp'!A182</f>
        <v>Fairlawn Local SD (CASH)</v>
      </c>
      <c r="AB182" s="7" t="b">
        <f t="shared" si="20"/>
        <v>1</v>
      </c>
      <c r="AC182" s="7" t="str">
        <f t="shared" si="19"/>
        <v>Shelby</v>
      </c>
      <c r="AD182" s="7" t="b">
        <f>C182='Gov Fnd Exp'!C182</f>
        <v>1</v>
      </c>
    </row>
    <row r="183" spans="1:30">
      <c r="A183" s="12" t="s">
        <v>511</v>
      </c>
      <c r="B183" s="12"/>
      <c r="C183" s="12" t="s">
        <v>62</v>
      </c>
      <c r="D183" s="12"/>
      <c r="E183" s="12">
        <v>49841</v>
      </c>
      <c r="G183" s="7">
        <v>12440000</v>
      </c>
      <c r="I183" s="7">
        <v>0</v>
      </c>
      <c r="K183" s="7">
        <v>0</v>
      </c>
      <c r="M183" s="7">
        <v>0</v>
      </c>
      <c r="O183" s="7">
        <v>695065</v>
      </c>
      <c r="Q183" s="7">
        <v>0</v>
      </c>
      <c r="S183" s="8">
        <f t="shared" si="22"/>
        <v>13135065</v>
      </c>
      <c r="U183" s="7">
        <v>458223</v>
      </c>
      <c r="V183" s="7">
        <f>+'St of Net Assets - GA'!O183-'LT _Lia - GA'!U183</f>
        <v>0</v>
      </c>
      <c r="Z183" s="7" t="str">
        <f t="shared" si="18"/>
        <v>Fairless Local SD</v>
      </c>
      <c r="AA183" s="7" t="str">
        <f>'Gov Fnd Exp'!A183</f>
        <v>Fairless Local SD</v>
      </c>
      <c r="AB183" s="7" t="b">
        <f t="shared" si="20"/>
        <v>1</v>
      </c>
      <c r="AC183" s="7" t="str">
        <f t="shared" si="19"/>
        <v>Stark</v>
      </c>
      <c r="AD183" s="7" t="b">
        <f>C183='Gov Fnd Exp'!C183</f>
        <v>1</v>
      </c>
    </row>
    <row r="184" spans="1:30" hidden="1">
      <c r="A184" s="12" t="s">
        <v>711</v>
      </c>
      <c r="B184" s="12"/>
      <c r="C184" s="12" t="s">
        <v>41</v>
      </c>
      <c r="D184" s="12"/>
      <c r="E184" s="12">
        <v>45369</v>
      </c>
      <c r="S184" s="8">
        <f t="shared" si="22"/>
        <v>0</v>
      </c>
      <c r="V184" s="7">
        <f>+'St of Net Assets - GA'!O184-'LT _Lia - GA'!U184</f>
        <v>0</v>
      </c>
      <c r="X184" s="7" t="s">
        <v>848</v>
      </c>
      <c r="Z184" s="7" t="str">
        <f t="shared" si="18"/>
        <v>Fairport Harbor Ex Vill SD - Two Year Audit</v>
      </c>
      <c r="AA184" s="7" t="str">
        <f>'Gov Fnd Exp'!A184</f>
        <v>Fairport Harbor Ex Vill SD - Two Year Audit</v>
      </c>
      <c r="AB184" s="7" t="b">
        <f t="shared" si="20"/>
        <v>1</v>
      </c>
      <c r="AC184" s="7" t="str">
        <f t="shared" si="19"/>
        <v>Lake</v>
      </c>
      <c r="AD184" s="7" t="b">
        <f>C184='Gov Fnd Exp'!C184</f>
        <v>1</v>
      </c>
    </row>
    <row r="185" spans="1:30">
      <c r="A185" s="12" t="s">
        <v>274</v>
      </c>
      <c r="B185" s="12"/>
      <c r="C185" s="12" t="s">
        <v>20</v>
      </c>
      <c r="D185" s="12"/>
      <c r="E185" s="12">
        <v>43976</v>
      </c>
      <c r="G185" s="7">
        <f>27796136+887207</f>
        <v>28683343</v>
      </c>
      <c r="I185" s="7">
        <v>0</v>
      </c>
      <c r="K185" s="7">
        <v>0</v>
      </c>
      <c r="M185" s="7">
        <v>0</v>
      </c>
      <c r="O185" s="7">
        <v>1262495</v>
      </c>
      <c r="Q185" s="7">
        <v>69269</v>
      </c>
      <c r="S185" s="8">
        <f t="shared" si="22"/>
        <v>30015107</v>
      </c>
      <c r="U185" s="7">
        <v>1484808</v>
      </c>
      <c r="V185" s="7">
        <f>+'St of Net Assets - GA'!O185-'LT _Lia - GA'!U185</f>
        <v>0</v>
      </c>
      <c r="Z185" s="7" t="str">
        <f t="shared" si="18"/>
        <v>Fairview Park City SD</v>
      </c>
      <c r="AA185" s="7" t="str">
        <f>'Gov Fnd Exp'!A185</f>
        <v>Fairview Park City SD</v>
      </c>
      <c r="AB185" s="7" t="b">
        <f t="shared" si="20"/>
        <v>1</v>
      </c>
      <c r="AC185" s="7" t="str">
        <f t="shared" si="19"/>
        <v>Cuyahoga</v>
      </c>
      <c r="AD185" s="7" t="b">
        <f>C185='Gov Fnd Exp'!C185</f>
        <v>1</v>
      </c>
    </row>
    <row r="186" spans="1:30" hidden="1">
      <c r="A186" s="12" t="s">
        <v>849</v>
      </c>
      <c r="B186" s="12"/>
      <c r="C186" s="12" t="s">
        <v>28</v>
      </c>
      <c r="D186" s="12"/>
      <c r="E186" s="12">
        <v>47068</v>
      </c>
      <c r="S186" s="8">
        <f t="shared" si="22"/>
        <v>0</v>
      </c>
      <c r="V186" s="7">
        <f>+'St of Net Assets - GA'!O186-'LT _Lia - GA'!U186</f>
        <v>0</v>
      </c>
      <c r="X186" s="7" t="s">
        <v>837</v>
      </c>
      <c r="Z186" s="7" t="str">
        <f t="shared" si="18"/>
        <v>Fayette Local SD (CASH)</v>
      </c>
      <c r="AA186" s="7" t="str">
        <f>'Gov Fnd Exp'!A186</f>
        <v>Fayette Local SD (CASH)</v>
      </c>
      <c r="AB186" s="7" t="b">
        <f t="shared" si="20"/>
        <v>1</v>
      </c>
      <c r="AC186" s="7" t="str">
        <f t="shared" si="19"/>
        <v>Fulton</v>
      </c>
      <c r="AD186" s="7" t="b">
        <f>C186='Gov Fnd Exp'!C186</f>
        <v>1</v>
      </c>
    </row>
    <row r="187" spans="1:30">
      <c r="A187" s="12" t="s">
        <v>221</v>
      </c>
      <c r="B187" s="12"/>
      <c r="C187" s="12" t="s">
        <v>77</v>
      </c>
      <c r="D187" s="12"/>
      <c r="E187" s="12">
        <v>46045</v>
      </c>
      <c r="G187" s="7">
        <f>7760000+105846-84973</f>
        <v>7780873</v>
      </c>
      <c r="I187" s="7">
        <v>0</v>
      </c>
      <c r="K187" s="7">
        <v>0</v>
      </c>
      <c r="M187" s="7">
        <v>0</v>
      </c>
      <c r="O187" s="7">
        <v>414272</v>
      </c>
      <c r="Q187" s="7">
        <v>0</v>
      </c>
      <c r="S187" s="8">
        <f t="shared" si="22"/>
        <v>8195145</v>
      </c>
      <c r="U187" s="7">
        <v>393594</v>
      </c>
      <c r="V187" s="7">
        <f>+'St of Net Assets - GA'!O187-'LT _Lia - GA'!U187</f>
        <v>0</v>
      </c>
      <c r="X187" s="7" t="s">
        <v>850</v>
      </c>
      <c r="Z187" s="7" t="str">
        <f t="shared" si="18"/>
        <v>Fayetteville-Perry Local SD</v>
      </c>
      <c r="AA187" s="7" t="str">
        <f>'Gov Fnd Exp'!A187</f>
        <v>Fayetteville-Perry Local SD</v>
      </c>
      <c r="AB187" s="7" t="b">
        <f t="shared" si="20"/>
        <v>1</v>
      </c>
      <c r="AC187" s="7" t="str">
        <f t="shared" si="19"/>
        <v>Brown</v>
      </c>
      <c r="AD187" s="7" t="b">
        <f>C187='Gov Fnd Exp'!C187</f>
        <v>1</v>
      </c>
    </row>
    <row r="188" spans="1:30">
      <c r="A188" s="12" t="s">
        <v>841</v>
      </c>
      <c r="B188" s="12"/>
      <c r="C188" s="12" t="s">
        <v>13</v>
      </c>
      <c r="D188" s="12"/>
      <c r="E188" s="12"/>
      <c r="G188" s="7">
        <v>553419</v>
      </c>
      <c r="I188" s="7">
        <v>0</v>
      </c>
      <c r="K188" s="7">
        <v>0</v>
      </c>
      <c r="M188" s="7">
        <v>0</v>
      </c>
      <c r="O188" s="7">
        <v>571120</v>
      </c>
      <c r="Q188" s="7">
        <v>0</v>
      </c>
      <c r="S188" s="8">
        <f t="shared" si="22"/>
        <v>1124539</v>
      </c>
      <c r="U188" s="7">
        <v>163652</v>
      </c>
      <c r="V188" s="7">
        <f>+'St of Net Assets - GA'!O188-'LT _Lia - GA'!U188</f>
        <v>0</v>
      </c>
      <c r="Z188" s="7" t="str">
        <f t="shared" si="18"/>
        <v>Federal Hocking Local SD</v>
      </c>
      <c r="AA188" s="7" t="str">
        <f>'Gov Fnd Exp'!A188</f>
        <v>Federal Hocking Local SD</v>
      </c>
      <c r="AB188" s="7" t="b">
        <f t="shared" si="20"/>
        <v>1</v>
      </c>
      <c r="AC188" s="7" t="str">
        <f t="shared" si="19"/>
        <v>Athens</v>
      </c>
      <c r="AD188" s="7" t="b">
        <f>C188='Gov Fnd Exp'!C188</f>
        <v>1</v>
      </c>
    </row>
    <row r="189" spans="1:30">
      <c r="A189" s="12" t="s">
        <v>244</v>
      </c>
      <c r="B189" s="12"/>
      <c r="C189" s="12" t="s">
        <v>113</v>
      </c>
      <c r="D189" s="12"/>
      <c r="E189" s="12">
        <v>46334</v>
      </c>
      <c r="G189" s="7">
        <v>2015000</v>
      </c>
      <c r="I189" s="7">
        <v>0</v>
      </c>
      <c r="K189" s="7">
        <v>0</v>
      </c>
      <c r="M189" s="7">
        <v>92373</v>
      </c>
      <c r="O189" s="7">
        <v>472714</v>
      </c>
      <c r="Q189" s="7">
        <v>0</v>
      </c>
      <c r="S189" s="8">
        <f t="shared" si="22"/>
        <v>2580087</v>
      </c>
      <c r="U189" s="7">
        <v>292924</v>
      </c>
      <c r="V189" s="7">
        <f>+'St of Net Assets - GA'!O189-'LT _Lia - GA'!U189</f>
        <v>0</v>
      </c>
      <c r="Z189" s="7" t="str">
        <f t="shared" si="18"/>
        <v>Felicity-Franklin Local SD</v>
      </c>
      <c r="AA189" s="7" t="str">
        <f>'Gov Fnd Exp'!A189</f>
        <v>Felicity-Franklin Local SD</v>
      </c>
      <c r="AB189" s="7" t="b">
        <f t="shared" si="20"/>
        <v>1</v>
      </c>
      <c r="AC189" s="7" t="str">
        <f t="shared" si="19"/>
        <v>Clermont</v>
      </c>
      <c r="AD189" s="7" t="b">
        <f>C189='Gov Fnd Exp'!C189</f>
        <v>1</v>
      </c>
    </row>
    <row r="190" spans="1:30">
      <c r="A190" s="12" t="s">
        <v>760</v>
      </c>
      <c r="B190" s="12"/>
      <c r="C190" s="12" t="s">
        <v>56</v>
      </c>
      <c r="D190" s="12"/>
      <c r="E190" s="12">
        <v>49197</v>
      </c>
      <c r="G190" s="7">
        <f>23810000+346689</f>
        <v>24156689</v>
      </c>
      <c r="I190" s="7">
        <v>34078</v>
      </c>
      <c r="K190" s="7">
        <v>1140000</v>
      </c>
      <c r="M190" s="7">
        <v>95102</v>
      </c>
      <c r="O190" s="7">
        <v>1046821</v>
      </c>
      <c r="Q190" s="7">
        <v>0</v>
      </c>
      <c r="S190" s="8">
        <f t="shared" si="22"/>
        <v>26472690</v>
      </c>
      <c r="U190" s="7">
        <v>618612</v>
      </c>
      <c r="V190" s="7">
        <f>+'St of Net Assets - GA'!O190-'LT _Lia - GA'!U190</f>
        <v>0</v>
      </c>
      <c r="X190" s="7" t="s">
        <v>850</v>
      </c>
      <c r="Z190" s="7" t="str">
        <f t="shared" si="18"/>
        <v xml:space="preserve">Field Local SD </v>
      </c>
      <c r="AA190" s="7" t="str">
        <f>'Gov Fnd Exp'!A190</f>
        <v xml:space="preserve">Field Local SD </v>
      </c>
      <c r="AB190" s="7" t="b">
        <f t="shared" si="20"/>
        <v>1</v>
      </c>
      <c r="AC190" s="7" t="str">
        <f t="shared" si="19"/>
        <v>Portage</v>
      </c>
      <c r="AD190" s="7" t="b">
        <f>C190='Gov Fnd Exp'!C190</f>
        <v>1</v>
      </c>
    </row>
    <row r="191" spans="1:30">
      <c r="A191" s="12" t="s">
        <v>346</v>
      </c>
      <c r="B191" s="12"/>
      <c r="C191" s="12" t="s">
        <v>33</v>
      </c>
      <c r="D191" s="12"/>
      <c r="E191" s="12">
        <v>43984</v>
      </c>
      <c r="G191" s="7">
        <v>53406232</v>
      </c>
      <c r="I191" s="7">
        <v>103101</v>
      </c>
      <c r="K191" s="7">
        <v>0</v>
      </c>
      <c r="M191" s="7">
        <v>1017528</v>
      </c>
      <c r="O191" s="7">
        <v>4242625</v>
      </c>
      <c r="Q191" s="7">
        <v>0</v>
      </c>
      <c r="S191" s="8">
        <f t="shared" si="22"/>
        <v>58769486</v>
      </c>
      <c r="U191" s="7">
        <v>2421832</v>
      </c>
      <c r="V191" s="7">
        <f>+'St of Net Assets - GA'!O191-'LT _Lia - GA'!U191</f>
        <v>0</v>
      </c>
      <c r="Z191" s="7" t="str">
        <f t="shared" si="18"/>
        <v>Findlay City SD</v>
      </c>
      <c r="AA191" s="7" t="str">
        <f>'Gov Fnd Exp'!A191</f>
        <v>Findlay City SD</v>
      </c>
      <c r="AB191" s="7" t="b">
        <f t="shared" si="20"/>
        <v>1</v>
      </c>
      <c r="AC191" s="7" t="str">
        <f t="shared" si="19"/>
        <v>Hancock</v>
      </c>
      <c r="AD191" s="7" t="b">
        <f>C191='Gov Fnd Exp'!C191</f>
        <v>1</v>
      </c>
    </row>
    <row r="192" spans="1:30">
      <c r="A192" s="12" t="s">
        <v>330</v>
      </c>
      <c r="B192" s="12"/>
      <c r="C192" s="12" t="s">
        <v>32</v>
      </c>
      <c r="D192" s="12"/>
      <c r="E192" s="12">
        <v>47332</v>
      </c>
      <c r="G192" s="7">
        <v>6197714</v>
      </c>
      <c r="I192" s="7">
        <v>0</v>
      </c>
      <c r="K192" s="7">
        <v>0</v>
      </c>
      <c r="M192" s="7">
        <v>471000</v>
      </c>
      <c r="O192" s="7">
        <v>1294840</v>
      </c>
      <c r="Q192" s="7">
        <v>0</v>
      </c>
      <c r="S192" s="8">
        <f t="shared" si="22"/>
        <v>7963554</v>
      </c>
      <c r="U192" s="7">
        <v>649271</v>
      </c>
      <c r="V192" s="7">
        <f>+'St of Net Assets - GA'!O192-'LT _Lia - GA'!U192</f>
        <v>0</v>
      </c>
      <c r="X192" s="7" t="s">
        <v>850</v>
      </c>
      <c r="Z192" s="7" t="str">
        <f t="shared" si="18"/>
        <v>Finneytown Local SD</v>
      </c>
      <c r="AA192" s="7" t="str">
        <f>'Gov Fnd Exp'!A192</f>
        <v>Finneytown Local SD</v>
      </c>
      <c r="AB192" s="7" t="b">
        <f t="shared" si="20"/>
        <v>1</v>
      </c>
      <c r="AC192" s="7" t="str">
        <f t="shared" si="19"/>
        <v>Hamilton</v>
      </c>
      <c r="AD192" s="7" t="b">
        <f>C192='Gov Fnd Exp'!C192</f>
        <v>1</v>
      </c>
    </row>
    <row r="193" spans="1:30">
      <c r="A193" s="12" t="s">
        <v>397</v>
      </c>
      <c r="B193" s="12"/>
      <c r="C193" s="12" t="s">
        <v>44</v>
      </c>
      <c r="D193" s="12"/>
      <c r="E193" s="12">
        <v>48157</v>
      </c>
      <c r="G193" s="7">
        <v>0</v>
      </c>
      <c r="I193" s="7">
        <v>0</v>
      </c>
      <c r="K193" s="7">
        <v>995000</v>
      </c>
      <c r="M193" s="7">
        <v>110488</v>
      </c>
      <c r="O193" s="7">
        <v>1066577</v>
      </c>
      <c r="Q193" s="7">
        <v>0</v>
      </c>
      <c r="S193" s="8">
        <f t="shared" si="22"/>
        <v>2172065</v>
      </c>
      <c r="U193" s="7">
        <v>296919</v>
      </c>
      <c r="V193" s="7">
        <f>+'St of Net Assets - GA'!O193-'LT _Lia - GA'!U193</f>
        <v>0</v>
      </c>
      <c r="Z193" s="7" t="str">
        <f t="shared" si="18"/>
        <v>Firelands Local SD</v>
      </c>
      <c r="AA193" s="7" t="str">
        <f>'Gov Fnd Exp'!A193</f>
        <v>Firelands Local SD</v>
      </c>
      <c r="AB193" s="7" t="b">
        <f t="shared" si="20"/>
        <v>1</v>
      </c>
      <c r="AC193" s="7" t="str">
        <f t="shared" si="19"/>
        <v>Lorain</v>
      </c>
      <c r="AD193" s="7" t="b">
        <f>C193='Gov Fnd Exp'!C193</f>
        <v>1</v>
      </c>
    </row>
    <row r="194" spans="1:30">
      <c r="A194" s="12" t="s">
        <v>331</v>
      </c>
      <c r="B194" s="12"/>
      <c r="C194" s="12" t="s">
        <v>32</v>
      </c>
      <c r="D194" s="12"/>
      <c r="E194" s="12">
        <v>47340</v>
      </c>
      <c r="G194" s="7">
        <f>11000000+97394</f>
        <v>11097394</v>
      </c>
      <c r="I194" s="7">
        <v>0</v>
      </c>
      <c r="K194" s="7">
        <v>0</v>
      </c>
      <c r="M194" s="7">
        <v>0</v>
      </c>
      <c r="O194" s="7">
        <v>2753727</v>
      </c>
      <c r="Q194" s="7">
        <v>0</v>
      </c>
      <c r="S194" s="8">
        <f t="shared" si="22"/>
        <v>13851121</v>
      </c>
      <c r="U194" s="7">
        <v>3033743</v>
      </c>
      <c r="V194" s="7">
        <f>+'St of Net Assets - GA'!O194-'LT _Lia - GA'!U194</f>
        <v>0</v>
      </c>
      <c r="X194" s="7" t="s">
        <v>852</v>
      </c>
      <c r="Z194" s="7" t="str">
        <f t="shared" si="18"/>
        <v>Forest Hills Local SD</v>
      </c>
      <c r="AA194" s="7" t="str">
        <f>'Gov Fnd Exp'!A194</f>
        <v>Forest Hills Local SD</v>
      </c>
      <c r="AB194" s="7" t="b">
        <f t="shared" si="20"/>
        <v>1</v>
      </c>
      <c r="AC194" s="7" t="str">
        <f t="shared" si="19"/>
        <v>Hamilton</v>
      </c>
      <c r="AD194" s="7" t="b">
        <f>C194='Gov Fnd Exp'!C194</f>
        <v>1</v>
      </c>
    </row>
    <row r="195" spans="1:30" hidden="1">
      <c r="A195" s="12" t="s">
        <v>642</v>
      </c>
      <c r="B195" s="12"/>
      <c r="C195" s="12" t="s">
        <v>70</v>
      </c>
      <c r="D195" s="12"/>
      <c r="E195" s="12">
        <v>50484</v>
      </c>
      <c r="S195" s="8">
        <f t="shared" si="22"/>
        <v>0</v>
      </c>
      <c r="V195" s="7">
        <f>+'St of Net Assets - GA'!O195-'LT _Lia - GA'!U195</f>
        <v>0</v>
      </c>
      <c r="X195" s="7" t="s">
        <v>839</v>
      </c>
      <c r="Z195" s="7" t="str">
        <f t="shared" si="18"/>
        <v>Fort Frye Local SD (CASH)</v>
      </c>
      <c r="AA195" s="7" t="str">
        <f>'Gov Fnd Exp'!A195</f>
        <v>Fort Frye Local SD (CASH)</v>
      </c>
      <c r="AB195" s="7" t="b">
        <f t="shared" si="20"/>
        <v>1</v>
      </c>
      <c r="AC195" s="7" t="str">
        <f t="shared" si="19"/>
        <v>Washington</v>
      </c>
      <c r="AD195" s="7" t="b">
        <f>C195='Gov Fnd Exp'!C195</f>
        <v>1</v>
      </c>
    </row>
    <row r="196" spans="1:30">
      <c r="A196" s="12" t="s">
        <v>505</v>
      </c>
      <c r="B196" s="12"/>
      <c r="C196" s="12" t="s">
        <v>61</v>
      </c>
      <c r="D196" s="12"/>
      <c r="E196" s="12">
        <v>49783</v>
      </c>
      <c r="G196" s="7">
        <v>9780864</v>
      </c>
      <c r="I196" s="7">
        <v>0</v>
      </c>
      <c r="K196" s="7">
        <v>1240000</v>
      </c>
      <c r="M196" s="7">
        <v>0</v>
      </c>
      <c r="O196" s="7">
        <v>372526</v>
      </c>
      <c r="Q196" s="7">
        <v>0</v>
      </c>
      <c r="S196" s="8">
        <f t="shared" si="22"/>
        <v>11393390</v>
      </c>
      <c r="U196" s="7">
        <v>482356</v>
      </c>
      <c r="V196" s="7">
        <f>+'St of Net Assets - GA'!O196-'LT _Lia - GA'!U196</f>
        <v>0</v>
      </c>
      <c r="X196" s="7" t="s">
        <v>853</v>
      </c>
      <c r="Z196" s="7" t="str">
        <f t="shared" si="18"/>
        <v>Fort Loramie Local SD</v>
      </c>
      <c r="AA196" s="7" t="str">
        <f>'Gov Fnd Exp'!A196</f>
        <v>Fort Loramie Local SD</v>
      </c>
      <c r="AB196" s="7" t="b">
        <f t="shared" si="20"/>
        <v>1</v>
      </c>
      <c r="AC196" s="7" t="str">
        <f t="shared" si="19"/>
        <v>Shelby</v>
      </c>
      <c r="AD196" s="7" t="b">
        <f>C196='Gov Fnd Exp'!C196</f>
        <v>1</v>
      </c>
    </row>
    <row r="197" spans="1:30" hidden="1">
      <c r="A197" s="12" t="s">
        <v>873</v>
      </c>
      <c r="B197" s="12"/>
      <c r="C197" s="12" t="s">
        <v>435</v>
      </c>
      <c r="D197" s="12"/>
      <c r="E197" s="12"/>
      <c r="S197" s="8">
        <f t="shared" si="22"/>
        <v>0</v>
      </c>
      <c r="V197" s="7">
        <f>+'St of Net Assets - GA'!O197-'LT _Lia - GA'!U197</f>
        <v>0</v>
      </c>
      <c r="X197" s="7" t="s">
        <v>839</v>
      </c>
      <c r="Z197" s="7" t="str">
        <f t="shared" si="18"/>
        <v>Fort Recovery Local SD (CASH)</v>
      </c>
      <c r="AA197" s="7" t="str">
        <f>'Gov Fnd Exp'!A197</f>
        <v>Fort Recovery Local SD (CASH)</v>
      </c>
      <c r="AB197" s="7" t="b">
        <f t="shared" si="20"/>
        <v>1</v>
      </c>
      <c r="AC197" s="7" t="str">
        <f t="shared" si="19"/>
        <v>Mercer</v>
      </c>
      <c r="AD197" s="7" t="b">
        <f>C197='Gov Fnd Exp'!C197</f>
        <v>1</v>
      </c>
    </row>
    <row r="198" spans="1:30" hidden="1">
      <c r="A198" s="12" t="s">
        <v>854</v>
      </c>
      <c r="B198" s="12"/>
      <c r="C198" s="12" t="s">
        <v>60</v>
      </c>
      <c r="D198" s="12"/>
      <c r="E198" s="12">
        <v>43992</v>
      </c>
      <c r="S198" s="8">
        <f t="shared" si="22"/>
        <v>0</v>
      </c>
      <c r="V198" s="7">
        <f>+'St of Net Assets - GA'!O198-'LT _Lia - GA'!U198</f>
        <v>0</v>
      </c>
      <c r="X198" s="7" t="s">
        <v>855</v>
      </c>
      <c r="Z198" s="7" t="str">
        <f t="shared" si="18"/>
        <v>Fostoria City SD (CASH)</v>
      </c>
      <c r="AA198" s="7" t="str">
        <f>'Gov Fnd Exp'!A198</f>
        <v>Fostoria City SD (CASH)</v>
      </c>
      <c r="AB198" s="7" t="b">
        <f t="shared" si="20"/>
        <v>1</v>
      </c>
      <c r="AC198" s="7" t="str">
        <f t="shared" si="19"/>
        <v>Seneca</v>
      </c>
      <c r="AD198" s="7" t="b">
        <f>C198='Gov Fnd Exp'!C198</f>
        <v>1</v>
      </c>
    </row>
    <row r="199" spans="1:30">
      <c r="A199" s="12" t="s">
        <v>561</v>
      </c>
      <c r="B199" s="12"/>
      <c r="C199" s="12" t="s">
        <v>69</v>
      </c>
      <c r="D199" s="12"/>
      <c r="E199" s="12">
        <v>44008</v>
      </c>
      <c r="G199" s="7">
        <v>3745595</v>
      </c>
      <c r="I199" s="7">
        <v>0</v>
      </c>
      <c r="K199" s="7">
        <v>0</v>
      </c>
      <c r="M199" s="7">
        <v>0</v>
      </c>
      <c r="O199" s="7">
        <v>1938383</v>
      </c>
      <c r="Q199" s="7">
        <v>0</v>
      </c>
      <c r="S199" s="8">
        <f t="shared" si="22"/>
        <v>5683978</v>
      </c>
      <c r="U199" s="7">
        <v>495650</v>
      </c>
      <c r="V199" s="7">
        <f>+'St of Net Assets - GA'!O199-'LT _Lia - GA'!U199</f>
        <v>0</v>
      </c>
      <c r="Z199" s="7" t="str">
        <f t="shared" si="18"/>
        <v>Franklin City SD</v>
      </c>
      <c r="AA199" s="7" t="str">
        <f>'Gov Fnd Exp'!A199</f>
        <v>Franklin City SD</v>
      </c>
      <c r="AB199" s="7" t="b">
        <f t="shared" si="20"/>
        <v>1</v>
      </c>
      <c r="AC199" s="7" t="str">
        <f t="shared" si="19"/>
        <v>Warren</v>
      </c>
      <c r="AD199" s="7" t="b">
        <f>C199='Gov Fnd Exp'!C199</f>
        <v>1</v>
      </c>
    </row>
    <row r="200" spans="1:30">
      <c r="A200" s="12" t="s">
        <v>457</v>
      </c>
      <c r="B200" s="12"/>
      <c r="C200" s="12" t="s">
        <v>51</v>
      </c>
      <c r="D200" s="12"/>
      <c r="E200" s="12">
        <v>48843</v>
      </c>
      <c r="G200" s="7">
        <v>5469217</v>
      </c>
      <c r="I200" s="7">
        <v>0</v>
      </c>
      <c r="K200" s="7">
        <v>305000</v>
      </c>
      <c r="M200" s="7">
        <v>53493</v>
      </c>
      <c r="O200" s="7">
        <v>1650100</v>
      </c>
      <c r="Q200" s="7">
        <v>0</v>
      </c>
      <c r="S200" s="8">
        <f t="shared" si="22"/>
        <v>7477810</v>
      </c>
      <c r="U200" s="7">
        <v>542593</v>
      </c>
      <c r="V200" s="7">
        <f>+'St of Net Assets - GA'!O200-'LT _Lia - GA'!U200</f>
        <v>0</v>
      </c>
      <c r="Z200" s="7" t="str">
        <f t="shared" si="18"/>
        <v>Franklin Local SD</v>
      </c>
      <c r="AA200" s="7" t="str">
        <f>'Gov Fnd Exp'!A200</f>
        <v>Franklin Local SD</v>
      </c>
      <c r="AB200" s="7" t="b">
        <f t="shared" si="20"/>
        <v>1</v>
      </c>
      <c r="AC200" s="7" t="str">
        <f t="shared" si="19"/>
        <v>Muskingum</v>
      </c>
      <c r="AD200" s="7" t="b">
        <f>C200='Gov Fnd Exp'!C200</f>
        <v>1</v>
      </c>
    </row>
    <row r="201" spans="1:30" hidden="1">
      <c r="A201" s="12" t="s">
        <v>641</v>
      </c>
      <c r="B201" s="12"/>
      <c r="C201" s="12" t="s">
        <v>21</v>
      </c>
      <c r="D201" s="12"/>
      <c r="E201" s="12">
        <v>46649</v>
      </c>
      <c r="S201" s="8">
        <f t="shared" si="22"/>
        <v>0</v>
      </c>
      <c r="V201" s="7">
        <f>+'St of Net Assets - GA'!O201-'LT _Lia - GA'!U201</f>
        <v>0</v>
      </c>
      <c r="X201" s="7" t="s">
        <v>839</v>
      </c>
      <c r="Z201" s="7" t="str">
        <f t="shared" si="18"/>
        <v>Franklin Monroe Local SD (CASH)</v>
      </c>
      <c r="AA201" s="7" t="str">
        <f>'Gov Fnd Exp'!A201</f>
        <v>Franklin Monroe Local SD (CASH)</v>
      </c>
      <c r="AB201" s="7" t="b">
        <f t="shared" si="20"/>
        <v>1</v>
      </c>
      <c r="AC201" s="7" t="str">
        <f t="shared" si="19"/>
        <v>Darke</v>
      </c>
      <c r="AD201" s="7" t="b">
        <f>C201='Gov Fnd Exp'!C201</f>
        <v>1</v>
      </c>
    </row>
    <row r="202" spans="1:30" hidden="1">
      <c r="A202" s="12" t="s">
        <v>696</v>
      </c>
      <c r="B202" s="12"/>
      <c r="C202" s="12" t="s">
        <v>40</v>
      </c>
      <c r="D202" s="12"/>
      <c r="E202" s="12">
        <v>47852</v>
      </c>
      <c r="S202" s="8">
        <f t="shared" si="22"/>
        <v>0</v>
      </c>
      <c r="V202" s="7">
        <f>+'St of Net Assets - GA'!O202-'LT _Lia - GA'!U202</f>
        <v>0</v>
      </c>
      <c r="X202" s="7" t="s">
        <v>839</v>
      </c>
      <c r="Z202" s="7" t="str">
        <f t="shared" si="18"/>
        <v>Fredericktown Local SD (CASH)</v>
      </c>
      <c r="AA202" s="7" t="str">
        <f>'Gov Fnd Exp'!A202</f>
        <v>Fredericktown Local SD (CASH)</v>
      </c>
      <c r="AB202" s="7" t="b">
        <f t="shared" si="20"/>
        <v>1</v>
      </c>
      <c r="AC202" s="7" t="str">
        <f t="shared" si="19"/>
        <v>Knox</v>
      </c>
      <c r="AD202" s="7" t="b">
        <f>C202='Gov Fnd Exp'!C202</f>
        <v>1</v>
      </c>
    </row>
    <row r="203" spans="1:30">
      <c r="A203" s="12" t="s">
        <v>673</v>
      </c>
      <c r="B203" s="12"/>
      <c r="C203" s="12" t="s">
        <v>79</v>
      </c>
      <c r="D203" s="12"/>
      <c r="E203" s="12">
        <v>44016</v>
      </c>
      <c r="G203" s="7">
        <v>18307913</v>
      </c>
      <c r="I203" s="7">
        <v>0</v>
      </c>
      <c r="K203" s="7">
        <v>0</v>
      </c>
      <c r="M203" s="7">
        <v>9239</v>
      </c>
      <c r="O203" s="7">
        <v>3090853</v>
      </c>
      <c r="Q203" s="7">
        <v>0</v>
      </c>
      <c r="S203" s="8">
        <f t="shared" si="22"/>
        <v>21408005</v>
      </c>
      <c r="U203" s="7">
        <v>446106</v>
      </c>
      <c r="V203" s="7">
        <f>+'St of Net Assets - GA'!O203-'LT _Lia - GA'!U203</f>
        <v>0</v>
      </c>
      <c r="Z203" s="7" t="str">
        <f t="shared" si="18"/>
        <v xml:space="preserve">Fremont City SD </v>
      </c>
      <c r="AA203" s="7" t="str">
        <f>'Gov Fnd Exp'!A203</f>
        <v xml:space="preserve">Fremont City SD </v>
      </c>
      <c r="AB203" s="7" t="b">
        <f t="shared" si="20"/>
        <v>1</v>
      </c>
      <c r="AC203" s="7" t="str">
        <f t="shared" si="19"/>
        <v>Sandusky</v>
      </c>
      <c r="AD203" s="7" t="b">
        <f>C203='Gov Fnd Exp'!C203</f>
        <v>1</v>
      </c>
    </row>
    <row r="204" spans="1:30">
      <c r="A204" s="12" t="s">
        <v>565</v>
      </c>
      <c r="B204" s="12"/>
      <c r="C204" s="12" t="s">
        <v>70</v>
      </c>
      <c r="D204" s="12"/>
      <c r="E204" s="12">
        <v>50492</v>
      </c>
      <c r="G204" s="7">
        <v>1543555</v>
      </c>
      <c r="I204" s="7">
        <v>64732</v>
      </c>
      <c r="K204" s="7">
        <v>108000</v>
      </c>
      <c r="M204" s="7">
        <v>25971</v>
      </c>
      <c r="O204" s="7">
        <v>788365</v>
      </c>
      <c r="Q204" s="7">
        <v>0</v>
      </c>
      <c r="S204" s="8">
        <f t="shared" si="22"/>
        <v>2530623</v>
      </c>
      <c r="U204" s="7">
        <v>191088</v>
      </c>
      <c r="V204" s="7">
        <f>+'St of Net Assets - GA'!O204-'LT _Lia - GA'!U204</f>
        <v>0</v>
      </c>
      <c r="Z204" s="7" t="str">
        <f t="shared" ref="Z204:Z267" si="26">A204</f>
        <v>Frontier Local SD</v>
      </c>
      <c r="AA204" s="7" t="str">
        <f>'Gov Fnd Exp'!A204</f>
        <v>Frontier Local SD</v>
      </c>
      <c r="AB204" s="7" t="b">
        <f t="shared" si="20"/>
        <v>1</v>
      </c>
      <c r="AC204" s="7" t="str">
        <f t="shared" ref="AC204:AC267" si="27">C204</f>
        <v>Washington</v>
      </c>
      <c r="AD204" s="7" t="b">
        <f>C204='Gov Fnd Exp'!C204</f>
        <v>1</v>
      </c>
    </row>
    <row r="205" spans="1:30">
      <c r="A205" s="12" t="s">
        <v>670</v>
      </c>
      <c r="B205" s="12"/>
      <c r="C205" s="12" t="s">
        <v>27</v>
      </c>
      <c r="D205" s="12"/>
      <c r="E205" s="12">
        <v>46961</v>
      </c>
      <c r="G205" s="7">
        <v>30420060</v>
      </c>
      <c r="I205" s="7">
        <v>0</v>
      </c>
      <c r="K205" s="7">
        <v>6095000</v>
      </c>
      <c r="M205" s="7">
        <v>2174673</v>
      </c>
      <c r="O205" s="7">
        <v>6597736</v>
      </c>
      <c r="Q205" s="7">
        <v>386129</v>
      </c>
      <c r="S205" s="8">
        <f t="shared" si="22"/>
        <v>45673598</v>
      </c>
      <c r="U205" s="7">
        <v>4466189</v>
      </c>
      <c r="V205" s="7">
        <f>+'St of Net Assets - GA'!O205-'LT _Lia - GA'!U205</f>
        <v>0</v>
      </c>
      <c r="Z205" s="7" t="str">
        <f t="shared" si="26"/>
        <v xml:space="preserve">Gahanna-Jefferson City SD </v>
      </c>
      <c r="AA205" s="7" t="str">
        <f>'Gov Fnd Exp'!A205</f>
        <v xml:space="preserve">Gahanna-Jefferson City SD </v>
      </c>
      <c r="AB205" s="7" t="b">
        <f t="shared" ref="AB205:AB268" si="28">Z205=AA205</f>
        <v>1</v>
      </c>
      <c r="AC205" s="7" t="str">
        <f t="shared" si="27"/>
        <v>Franklin</v>
      </c>
      <c r="AD205" s="7" t="b">
        <f>C205='Gov Fnd Exp'!C205</f>
        <v>1</v>
      </c>
    </row>
    <row r="206" spans="1:30">
      <c r="A206" s="12" t="s">
        <v>265</v>
      </c>
      <c r="B206" s="12"/>
      <c r="C206" s="12" t="s">
        <v>111</v>
      </c>
      <c r="D206" s="12"/>
      <c r="E206" s="12">
        <v>44024</v>
      </c>
      <c r="G206" s="7">
        <v>18148091</v>
      </c>
      <c r="I206" s="7">
        <v>0</v>
      </c>
      <c r="K206" s="7">
        <v>0</v>
      </c>
      <c r="M206" s="7">
        <v>38158</v>
      </c>
      <c r="O206" s="7">
        <v>1376980</v>
      </c>
      <c r="Q206" s="7">
        <v>0</v>
      </c>
      <c r="S206" s="8">
        <f t="shared" si="22"/>
        <v>19563229</v>
      </c>
      <c r="U206" s="7">
        <v>537407</v>
      </c>
      <c r="V206" s="7">
        <f>+'St of Net Assets - GA'!O206-'LT _Lia - GA'!U206</f>
        <v>0</v>
      </c>
      <c r="Z206" s="7" t="str">
        <f t="shared" si="26"/>
        <v>Galion City SD</v>
      </c>
      <c r="AA206" s="7" t="str">
        <f>'Gov Fnd Exp'!A206</f>
        <v>Galion City SD</v>
      </c>
      <c r="AB206" s="7" t="b">
        <f t="shared" si="28"/>
        <v>1</v>
      </c>
      <c r="AC206" s="7" t="str">
        <f t="shared" si="27"/>
        <v>Crawford</v>
      </c>
      <c r="AD206" s="7" t="b">
        <f>C206='Gov Fnd Exp'!C206</f>
        <v>1</v>
      </c>
    </row>
    <row r="207" spans="1:30" hidden="1">
      <c r="A207" s="12" t="s">
        <v>671</v>
      </c>
      <c r="B207" s="12"/>
      <c r="C207" s="12" t="s">
        <v>29</v>
      </c>
      <c r="D207" s="12"/>
      <c r="E207" s="12">
        <v>65680</v>
      </c>
      <c r="S207" s="8">
        <f t="shared" si="22"/>
        <v>0</v>
      </c>
      <c r="V207" s="7">
        <f>+'St of Net Assets - GA'!O207-'LT _Lia - GA'!U207</f>
        <v>0</v>
      </c>
      <c r="X207" s="7" t="s">
        <v>856</v>
      </c>
      <c r="Z207" s="7" t="str">
        <f t="shared" si="26"/>
        <v xml:space="preserve">Gallia County Local SD </v>
      </c>
      <c r="AA207" s="7" t="str">
        <f>'Gov Fnd Exp'!A207</f>
        <v xml:space="preserve">Gallia County Local SD </v>
      </c>
      <c r="AB207" s="7" t="b">
        <f t="shared" si="28"/>
        <v>1</v>
      </c>
      <c r="AC207" s="7" t="str">
        <f t="shared" si="27"/>
        <v>Gallia</v>
      </c>
      <c r="AD207" s="7" t="b">
        <f>C207='Gov Fnd Exp'!C207</f>
        <v>1</v>
      </c>
    </row>
    <row r="208" spans="1:30">
      <c r="A208" s="12" t="s">
        <v>320</v>
      </c>
      <c r="B208" s="12"/>
      <c r="C208" s="12" t="s">
        <v>29</v>
      </c>
      <c r="D208" s="12"/>
      <c r="E208" s="12">
        <v>44032</v>
      </c>
      <c r="G208" s="7">
        <f>22625000+282739</f>
        <v>22907739</v>
      </c>
      <c r="I208" s="7">
        <v>0</v>
      </c>
      <c r="K208" s="7">
        <v>0</v>
      </c>
      <c r="M208" s="7">
        <v>0</v>
      </c>
      <c r="O208" s="7">
        <v>1585315</v>
      </c>
      <c r="Q208" s="7">
        <v>0</v>
      </c>
      <c r="S208" s="8">
        <f t="shared" si="22"/>
        <v>24493054</v>
      </c>
      <c r="U208" s="7">
        <v>739460</v>
      </c>
      <c r="V208" s="7">
        <f>+'St of Net Assets - GA'!O208-'LT _Lia - GA'!U208</f>
        <v>0</v>
      </c>
      <c r="Z208" s="7" t="str">
        <f t="shared" si="26"/>
        <v>Gallipolis City SD</v>
      </c>
      <c r="AA208" s="7" t="str">
        <f>'Gov Fnd Exp'!A208</f>
        <v>Gallipolis City SD</v>
      </c>
      <c r="AB208" s="7" t="b">
        <f t="shared" si="28"/>
        <v>1</v>
      </c>
      <c r="AC208" s="7" t="str">
        <f t="shared" si="27"/>
        <v>Gallia</v>
      </c>
      <c r="AD208" s="7" t="b">
        <f>C208='Gov Fnd Exp'!C208</f>
        <v>1</v>
      </c>
    </row>
    <row r="209" spans="1:30">
      <c r="A209" s="12" t="s">
        <v>551</v>
      </c>
      <c r="B209" s="12"/>
      <c r="C209" s="12" t="s">
        <v>65</v>
      </c>
      <c r="D209" s="12"/>
      <c r="E209" s="12">
        <v>50278</v>
      </c>
      <c r="G209" s="7">
        <v>615000</v>
      </c>
      <c r="I209" s="7">
        <v>0</v>
      </c>
      <c r="K209" s="7">
        <v>167678</v>
      </c>
      <c r="M209" s="7">
        <v>0</v>
      </c>
      <c r="O209" s="7">
        <v>952881</v>
      </c>
      <c r="Q209" s="7">
        <v>0</v>
      </c>
      <c r="S209" s="8">
        <f t="shared" si="22"/>
        <v>1735559</v>
      </c>
      <c r="U209" s="7">
        <v>239251</v>
      </c>
      <c r="V209" s="7">
        <f>+'St of Net Assets - GA'!O209-'LT _Lia - GA'!U209</f>
        <v>0</v>
      </c>
      <c r="Z209" s="7" t="str">
        <f t="shared" si="26"/>
        <v>Garaway Local SD</v>
      </c>
      <c r="AA209" s="7" t="str">
        <f>'Gov Fnd Exp'!A209</f>
        <v>Garaway Local SD</v>
      </c>
      <c r="AB209" s="7" t="b">
        <f t="shared" si="28"/>
        <v>1</v>
      </c>
      <c r="AC209" s="7" t="str">
        <f t="shared" si="27"/>
        <v>Tuscarawas</v>
      </c>
      <c r="AD209" s="7" t="b">
        <f>C209='Gov Fnd Exp'!C209</f>
        <v>1</v>
      </c>
    </row>
    <row r="210" spans="1:30">
      <c r="A210" s="12" t="s">
        <v>714</v>
      </c>
      <c r="B210" s="12"/>
      <c r="C210" s="12" t="s">
        <v>20</v>
      </c>
      <c r="D210" s="12"/>
      <c r="E210" s="12">
        <v>44040</v>
      </c>
      <c r="G210" s="7">
        <v>45374111</v>
      </c>
      <c r="I210" s="7">
        <v>0</v>
      </c>
      <c r="K210" s="7">
        <v>0</v>
      </c>
      <c r="M210" s="7">
        <v>4473354</v>
      </c>
      <c r="O210" s="7">
        <v>4512182</v>
      </c>
      <c r="Q210" s="7">
        <v>93333</v>
      </c>
      <c r="S210" s="8">
        <f t="shared" si="22"/>
        <v>54452980</v>
      </c>
      <c r="U210" s="7">
        <v>2675407</v>
      </c>
      <c r="V210" s="7">
        <f>+'St of Net Assets - GA'!O210-'LT _Lia - GA'!U210</f>
        <v>0</v>
      </c>
      <c r="X210" s="7" t="s">
        <v>850</v>
      </c>
      <c r="Z210" s="7" t="str">
        <f t="shared" si="26"/>
        <v xml:space="preserve">Garfield Heights City SD </v>
      </c>
      <c r="AA210" s="7" t="str">
        <f>'Gov Fnd Exp'!A210</f>
        <v xml:space="preserve">Garfield Heights City SD </v>
      </c>
      <c r="AB210" s="7" t="b">
        <f t="shared" si="28"/>
        <v>1</v>
      </c>
      <c r="AC210" s="7" t="str">
        <f t="shared" si="27"/>
        <v>Cuyahoga</v>
      </c>
      <c r="AD210" s="7" t="b">
        <f>C210='Gov Fnd Exp'!C210</f>
        <v>1</v>
      </c>
    </row>
    <row r="211" spans="1:30">
      <c r="A211" s="12" t="s">
        <v>672</v>
      </c>
      <c r="B211" s="12"/>
      <c r="C211" s="12" t="s">
        <v>12</v>
      </c>
      <c r="D211" s="12"/>
      <c r="E211" s="12">
        <v>44057</v>
      </c>
      <c r="G211" s="7">
        <v>18733929</v>
      </c>
      <c r="I211" s="7">
        <v>0</v>
      </c>
      <c r="K211" s="7">
        <v>0</v>
      </c>
      <c r="M211" s="7">
        <v>0</v>
      </c>
      <c r="O211" s="7">
        <v>1710551</v>
      </c>
      <c r="Q211" s="7">
        <v>0</v>
      </c>
      <c r="S211" s="8">
        <f t="shared" si="22"/>
        <v>20444480</v>
      </c>
      <c r="U211" s="7">
        <v>1531212</v>
      </c>
      <c r="V211" s="7">
        <f>+'St of Net Assets - GA'!O211-'LT _Lia - GA'!U211</f>
        <v>0</v>
      </c>
      <c r="Z211" s="7" t="str">
        <f t="shared" si="26"/>
        <v>Geneva Area City SD</v>
      </c>
      <c r="AA211" s="7" t="str">
        <f>'Gov Fnd Exp'!A211</f>
        <v>Geneva Area City SD</v>
      </c>
      <c r="AB211" s="7" t="b">
        <f t="shared" si="28"/>
        <v>1</v>
      </c>
      <c r="AC211" s="7" t="str">
        <f t="shared" si="27"/>
        <v>Ashtabula</v>
      </c>
      <c r="AD211" s="7" t="b">
        <f>C211='Gov Fnd Exp'!C211</f>
        <v>1</v>
      </c>
    </row>
    <row r="212" spans="1:30" hidden="1">
      <c r="A212" s="12" t="s">
        <v>983</v>
      </c>
      <c r="B212" s="12"/>
      <c r="C212" s="12" t="s">
        <v>53</v>
      </c>
      <c r="D212" s="12"/>
      <c r="E212" s="12">
        <v>48942</v>
      </c>
      <c r="S212" s="8">
        <f t="shared" si="22"/>
        <v>0</v>
      </c>
      <c r="V212" s="7">
        <f>+'St of Net Assets - GA'!O212-'LT _Lia - GA'!U212</f>
        <v>0</v>
      </c>
      <c r="X212" s="7" t="s">
        <v>984</v>
      </c>
      <c r="Z212" s="7" t="str">
        <f t="shared" si="26"/>
        <v>Genoa Area Local SD (CASH)</v>
      </c>
      <c r="AA212" s="7" t="str">
        <f>'Gov Fnd Exp'!A212</f>
        <v>Genoa Area Local SD (CASH)</v>
      </c>
      <c r="AB212" s="7" t="b">
        <f t="shared" si="28"/>
        <v>1</v>
      </c>
      <c r="AC212" s="7" t="str">
        <f t="shared" si="27"/>
        <v>Ottawa</v>
      </c>
      <c r="AD212" s="7" t="b">
        <f>C212='Gov Fnd Exp'!C212</f>
        <v>1</v>
      </c>
    </row>
    <row r="213" spans="1:30" hidden="1">
      <c r="A213" s="12" t="s">
        <v>697</v>
      </c>
      <c r="B213" s="12"/>
      <c r="C213" s="12" t="s">
        <v>77</v>
      </c>
      <c r="D213" s="12"/>
      <c r="E213" s="12">
        <v>45377</v>
      </c>
      <c r="S213" s="8">
        <f t="shared" si="22"/>
        <v>0</v>
      </c>
      <c r="V213" s="7">
        <f>+'St of Net Assets - GA'!O213-'LT _Lia - GA'!U213</f>
        <v>0</v>
      </c>
      <c r="X213" s="7" t="s">
        <v>839</v>
      </c>
      <c r="Z213" s="7" t="str">
        <f t="shared" si="26"/>
        <v>Georgetown Exempted Village SD (CASH)</v>
      </c>
      <c r="AA213" s="7" t="str">
        <f>'Gov Fnd Exp'!A213</f>
        <v>Georgetown Exempted Village SD (CASH)</v>
      </c>
      <c r="AB213" s="7" t="b">
        <f t="shared" si="28"/>
        <v>1</v>
      </c>
      <c r="AC213" s="7" t="str">
        <f t="shared" si="27"/>
        <v>Brown</v>
      </c>
      <c r="AD213" s="7" t="b">
        <f>C213='Gov Fnd Exp'!C213</f>
        <v>1</v>
      </c>
    </row>
    <row r="214" spans="1:30">
      <c r="A214" s="12" t="s">
        <v>857</v>
      </c>
      <c r="B214" s="12"/>
      <c r="C214" s="12" t="s">
        <v>79</v>
      </c>
      <c r="D214" s="12"/>
      <c r="E214" s="12">
        <v>45385</v>
      </c>
      <c r="G214" s="7">
        <v>3963544</v>
      </c>
      <c r="I214" s="7">
        <v>0</v>
      </c>
      <c r="K214" s="7">
        <v>0</v>
      </c>
      <c r="M214" s="7">
        <f>132000+30887</f>
        <v>162887</v>
      </c>
      <c r="O214" s="7">
        <v>463024</v>
      </c>
      <c r="Q214" s="7">
        <v>0</v>
      </c>
      <c r="S214" s="8">
        <f t="shared" ref="S214:S219" si="29">SUM(G214:R214)</f>
        <v>4589455</v>
      </c>
      <c r="U214" s="7">
        <v>384423</v>
      </c>
      <c r="V214" s="7">
        <f>+'St of Net Assets - GA'!O214-'LT _Lia - GA'!U214</f>
        <v>0</v>
      </c>
      <c r="Z214" s="7" t="str">
        <f t="shared" si="26"/>
        <v>Gibsonburg Exempted Village SD</v>
      </c>
      <c r="AA214" s="7" t="str">
        <f>'Gov Fnd Exp'!A214</f>
        <v>Gibsonburg Exempted Village SD</v>
      </c>
      <c r="AB214" s="7" t="b">
        <f t="shared" si="28"/>
        <v>1</v>
      </c>
      <c r="AC214" s="7" t="str">
        <f t="shared" si="27"/>
        <v>Sandusky</v>
      </c>
      <c r="AD214" s="7" t="b">
        <f>C214='Gov Fnd Exp'!C214</f>
        <v>1</v>
      </c>
    </row>
    <row r="215" spans="1:30">
      <c r="A215" s="12" t="s">
        <v>537</v>
      </c>
      <c r="B215" s="12"/>
      <c r="C215" s="12" t="s">
        <v>64</v>
      </c>
      <c r="D215" s="12"/>
      <c r="E215" s="12">
        <v>44065</v>
      </c>
      <c r="G215" s="7">
        <v>11410421</v>
      </c>
      <c r="I215" s="7">
        <v>0</v>
      </c>
      <c r="K215" s="7">
        <v>0</v>
      </c>
      <c r="M215" s="7">
        <v>700000</v>
      </c>
      <c r="O215" s="7">
        <v>1133165</v>
      </c>
      <c r="Q215" s="7">
        <v>0</v>
      </c>
      <c r="S215" s="8">
        <f t="shared" si="29"/>
        <v>13243586</v>
      </c>
      <c r="U215" s="7">
        <v>812078</v>
      </c>
      <c r="V215" s="7">
        <f>+'St of Net Assets - GA'!O215-'LT _Lia - GA'!U215</f>
        <v>0</v>
      </c>
      <c r="Z215" s="7" t="str">
        <f t="shared" si="26"/>
        <v>Girard City SD</v>
      </c>
      <c r="AA215" s="7" t="str">
        <f>'Gov Fnd Exp'!A215</f>
        <v>Girard City SD</v>
      </c>
      <c r="AB215" s="7" t="b">
        <f t="shared" si="28"/>
        <v>1</v>
      </c>
      <c r="AC215" s="7" t="str">
        <f t="shared" si="27"/>
        <v>Trumbull</v>
      </c>
      <c r="AD215" s="7" t="b">
        <f>C215='Gov Fnd Exp'!C215</f>
        <v>1</v>
      </c>
    </row>
    <row r="216" spans="1:30" hidden="1">
      <c r="A216" s="12" t="s">
        <v>900</v>
      </c>
      <c r="B216" s="12"/>
      <c r="C216" s="12" t="s">
        <v>28</v>
      </c>
      <c r="D216" s="12"/>
      <c r="E216" s="12">
        <v>47068</v>
      </c>
      <c r="S216" s="8">
        <f t="shared" si="29"/>
        <v>0</v>
      </c>
      <c r="V216" s="7">
        <f>+'St of Net Assets - GA'!O216-'LT _Lia - GA'!U216</f>
        <v>0</v>
      </c>
      <c r="X216" s="7" t="s">
        <v>787</v>
      </c>
      <c r="Z216" s="7" t="str">
        <f t="shared" si="26"/>
        <v>Gorham Fayette Local SD - name changed to Fayette Local.  See above</v>
      </c>
      <c r="AA216" s="7" t="str">
        <f>'Gov Fnd Exp'!A216</f>
        <v>Gorham Fayette Local SD - name changed to Fayette Local.  See below</v>
      </c>
      <c r="AB216" s="7" t="b">
        <f t="shared" si="28"/>
        <v>0</v>
      </c>
      <c r="AC216" s="7" t="str">
        <f t="shared" si="27"/>
        <v>Fulton</v>
      </c>
      <c r="AD216" s="7" t="b">
        <f>C216='Gov Fnd Exp'!C216</f>
        <v>1</v>
      </c>
    </row>
    <row r="217" spans="1:30">
      <c r="A217" s="12" t="s">
        <v>245</v>
      </c>
      <c r="B217" s="12"/>
      <c r="C217" s="12" t="s">
        <v>113</v>
      </c>
      <c r="D217" s="12"/>
      <c r="E217" s="12">
        <v>46342</v>
      </c>
      <c r="G217" s="7">
        <f>1620000+1995000+200000+200352-152376+380229</f>
        <v>4243205</v>
      </c>
      <c r="I217" s="7">
        <v>0</v>
      </c>
      <c r="K217" s="7">
        <f>4985000+2400-125917</f>
        <v>4861483</v>
      </c>
      <c r="M217" s="7">
        <v>321483</v>
      </c>
      <c r="O217" s="7">
        <v>1510977</v>
      </c>
      <c r="Q217" s="7">
        <v>0</v>
      </c>
      <c r="S217" s="8">
        <f t="shared" si="29"/>
        <v>10937148</v>
      </c>
      <c r="U217" s="7">
        <v>648515</v>
      </c>
      <c r="V217" s="7">
        <f>+'St of Net Assets - GA'!O217-'LT _Lia - GA'!U217</f>
        <v>0</v>
      </c>
      <c r="Z217" s="7" t="str">
        <f t="shared" si="26"/>
        <v>Goshen Local SD</v>
      </c>
      <c r="AA217" s="7" t="str">
        <f>'Gov Fnd Exp'!A217</f>
        <v>Goshen Local SD</v>
      </c>
      <c r="AB217" s="7" t="b">
        <f t="shared" si="28"/>
        <v>1</v>
      </c>
      <c r="AC217" s="7" t="str">
        <f t="shared" si="27"/>
        <v>Clermont</v>
      </c>
      <c r="AD217" s="7" t="b">
        <f>C217='Gov Fnd Exp'!C217</f>
        <v>1</v>
      </c>
    </row>
    <row r="218" spans="1:30" hidden="1">
      <c r="A218" s="12" t="s">
        <v>902</v>
      </c>
      <c r="B218" s="12"/>
      <c r="C218" s="12" t="s">
        <v>232</v>
      </c>
      <c r="D218" s="12"/>
      <c r="E218" s="12">
        <v>46193</v>
      </c>
      <c r="S218" s="8">
        <f t="shared" si="29"/>
        <v>0</v>
      </c>
      <c r="V218" s="7">
        <f>+'St of Net Assets - GA'!O218-'LT _Lia - GA'!U218</f>
        <v>0</v>
      </c>
      <c r="X218" s="7" t="s">
        <v>901</v>
      </c>
      <c r="Z218" s="7" t="str">
        <f t="shared" si="26"/>
        <v>Graham Local SD (CASH)</v>
      </c>
      <c r="AA218" s="7" t="str">
        <f>'Gov Fnd Exp'!A218</f>
        <v>Graham Local SD (CASH)</v>
      </c>
      <c r="AB218" s="7" t="b">
        <f t="shared" si="28"/>
        <v>1</v>
      </c>
      <c r="AC218" s="7" t="str">
        <f t="shared" si="27"/>
        <v>Champaign</v>
      </c>
      <c r="AD218" s="7" t="b">
        <f>C218='Gov Fnd Exp'!C218</f>
        <v>1</v>
      </c>
    </row>
    <row r="219" spans="1:30">
      <c r="A219" s="12" t="s">
        <v>209</v>
      </c>
      <c r="B219" s="12"/>
      <c r="C219" s="12" t="s">
        <v>12</v>
      </c>
      <c r="D219" s="12"/>
      <c r="E219" s="12">
        <v>45864</v>
      </c>
      <c r="G219" s="7">
        <v>9725000</v>
      </c>
      <c r="I219" s="7">
        <v>0</v>
      </c>
      <c r="K219" s="7">
        <v>0</v>
      </c>
      <c r="M219" s="7">
        <v>1203000</v>
      </c>
      <c r="O219" s="7">
        <v>594419</v>
      </c>
      <c r="Q219" s="7">
        <v>0</v>
      </c>
      <c r="S219" s="8">
        <f t="shared" si="29"/>
        <v>11522419</v>
      </c>
      <c r="U219" s="7">
        <v>699008</v>
      </c>
      <c r="V219" s="7">
        <f>+'St of Net Assets - GA'!O219-'LT _Lia - GA'!U219</f>
        <v>0</v>
      </c>
      <c r="Z219" s="7" t="str">
        <f t="shared" si="26"/>
        <v>Grand Valley Local SD</v>
      </c>
      <c r="AA219" s="7" t="str">
        <f>'Gov Fnd Exp'!A219</f>
        <v>Grand Valley Local SD</v>
      </c>
      <c r="AB219" s="7" t="b">
        <f t="shared" si="28"/>
        <v>1</v>
      </c>
      <c r="AC219" s="7" t="str">
        <f t="shared" si="27"/>
        <v>Ashtabula</v>
      </c>
      <c r="AD219" s="7" t="b">
        <f>C219='Gov Fnd Exp'!C219</f>
        <v>1</v>
      </c>
    </row>
    <row r="220" spans="1:30">
      <c r="A220" s="12" t="s">
        <v>309</v>
      </c>
      <c r="B220" s="12"/>
      <c r="C220" s="12" t="s">
        <v>27</v>
      </c>
      <c r="D220" s="12"/>
      <c r="E220" s="12">
        <v>44073</v>
      </c>
      <c r="G220" s="7">
        <v>5004989</v>
      </c>
      <c r="I220" s="7">
        <v>0</v>
      </c>
      <c r="K220" s="7">
        <v>105000</v>
      </c>
      <c r="M220" s="7">
        <v>156308</v>
      </c>
      <c r="O220" s="7">
        <v>1136063</v>
      </c>
      <c r="Q220" s="7">
        <v>20180</v>
      </c>
      <c r="S220" s="8">
        <f t="shared" ref="S220:S286" si="30">SUM(G220:R220)</f>
        <v>6422540</v>
      </c>
      <c r="U220" s="7">
        <v>968094</v>
      </c>
      <c r="V220" s="7">
        <f>+'St of Net Assets - GA'!O220-'LT _Lia - GA'!U220</f>
        <v>0</v>
      </c>
      <c r="Z220" s="7" t="str">
        <f t="shared" si="26"/>
        <v>Grandview Heights City SD</v>
      </c>
      <c r="AA220" s="7" t="str">
        <f>'Gov Fnd Exp'!A220</f>
        <v>Grandview Heights City SD</v>
      </c>
      <c r="AB220" s="7" t="b">
        <f t="shared" si="28"/>
        <v>1</v>
      </c>
      <c r="AC220" s="7" t="str">
        <f t="shared" si="27"/>
        <v>Franklin</v>
      </c>
      <c r="AD220" s="7" t="b">
        <f>C220='Gov Fnd Exp'!C220</f>
        <v>1</v>
      </c>
    </row>
    <row r="221" spans="1:30">
      <c r="A221" s="12" t="s">
        <v>698</v>
      </c>
      <c r="B221" s="12"/>
      <c r="C221" s="12" t="s">
        <v>42</v>
      </c>
      <c r="D221" s="12"/>
      <c r="E221" s="12">
        <v>45393</v>
      </c>
      <c r="G221" s="7">
        <v>31973466</v>
      </c>
      <c r="I221" s="7">
        <v>0</v>
      </c>
      <c r="K221" s="7">
        <v>1469166</v>
      </c>
      <c r="M221" s="7">
        <v>14250</v>
      </c>
      <c r="O221" s="7">
        <v>1220696</v>
      </c>
      <c r="Q221" s="7">
        <v>0</v>
      </c>
      <c r="S221" s="8">
        <f t="shared" si="30"/>
        <v>34677578</v>
      </c>
      <c r="U221" s="7">
        <v>1021185</v>
      </c>
      <c r="V221" s="7">
        <f>+'St of Net Assets - GA'!O221-'LT _Lia - GA'!U221</f>
        <v>0</v>
      </c>
      <c r="Z221" s="7" t="str">
        <f t="shared" si="26"/>
        <v>Granville Exempted Village SD</v>
      </c>
      <c r="AA221" s="7" t="str">
        <f>'Gov Fnd Exp'!A221</f>
        <v>Granville Exempted Village SD</v>
      </c>
      <c r="AB221" s="7" t="b">
        <f t="shared" si="28"/>
        <v>1</v>
      </c>
      <c r="AC221" s="7" t="str">
        <f t="shared" si="27"/>
        <v>Licking</v>
      </c>
      <c r="AD221" s="7" t="b">
        <f>C221='Gov Fnd Exp'!C221</f>
        <v>1</v>
      </c>
    </row>
    <row r="222" spans="1:30">
      <c r="A222" s="12" t="s">
        <v>496</v>
      </c>
      <c r="B222" s="12"/>
      <c r="C222" s="12" t="s">
        <v>59</v>
      </c>
      <c r="D222" s="12"/>
      <c r="E222" s="12">
        <v>49619</v>
      </c>
      <c r="G222" s="7">
        <v>0</v>
      </c>
      <c r="I222" s="7">
        <v>0</v>
      </c>
      <c r="K222" s="7">
        <v>182961</v>
      </c>
      <c r="M222" s="7">
        <v>105312</v>
      </c>
      <c r="O222" s="7">
        <v>414773</v>
      </c>
      <c r="Q222" s="7">
        <v>0</v>
      </c>
      <c r="S222" s="8">
        <f t="shared" si="30"/>
        <v>703046</v>
      </c>
      <c r="U222" s="7">
        <v>88656</v>
      </c>
      <c r="V222" s="7">
        <f>+'St of Net Assets - GA'!O222-'LT _Lia - GA'!U222</f>
        <v>0</v>
      </c>
      <c r="Z222" s="7" t="str">
        <f t="shared" si="26"/>
        <v>Green Local SD</v>
      </c>
      <c r="AA222" s="7" t="str">
        <f>'Gov Fnd Exp'!A222</f>
        <v>Green Local SD</v>
      </c>
      <c r="AB222" s="7" t="b">
        <f t="shared" si="28"/>
        <v>1</v>
      </c>
      <c r="AC222" s="7" t="str">
        <f t="shared" si="27"/>
        <v>Scioto</v>
      </c>
      <c r="AD222" s="7" t="b">
        <f>C222='Gov Fnd Exp'!C222</f>
        <v>1</v>
      </c>
    </row>
    <row r="223" spans="1:30">
      <c r="A223" s="12" t="s">
        <v>496</v>
      </c>
      <c r="B223" s="12"/>
      <c r="C223" s="12" t="s">
        <v>63</v>
      </c>
      <c r="D223" s="12"/>
      <c r="E223" s="12">
        <v>50013</v>
      </c>
      <c r="G223" s="7">
        <v>12362128</v>
      </c>
      <c r="I223" s="7">
        <v>8268803</v>
      </c>
      <c r="K223" s="7">
        <v>0</v>
      </c>
      <c r="M223" s="7">
        <v>239084</v>
      </c>
      <c r="O223" s="7">
        <v>1575896</v>
      </c>
      <c r="Q223" s="7">
        <f>13451193+581463</f>
        <v>14032656</v>
      </c>
      <c r="S223" s="8">
        <f t="shared" si="30"/>
        <v>36478567</v>
      </c>
      <c r="U223" s="7">
        <v>2602178</v>
      </c>
      <c r="V223" s="7">
        <f>+'St of Net Assets - GA'!O223-'LT _Lia - GA'!U223</f>
        <v>0</v>
      </c>
      <c r="Z223" s="7" t="str">
        <f t="shared" si="26"/>
        <v>Green Local SD</v>
      </c>
      <c r="AA223" s="7" t="str">
        <f>'Gov Fnd Exp'!A223</f>
        <v>Green Local SD</v>
      </c>
      <c r="AB223" s="7" t="b">
        <f t="shared" si="28"/>
        <v>1</v>
      </c>
      <c r="AC223" s="7" t="str">
        <f t="shared" si="27"/>
        <v>Summit</v>
      </c>
      <c r="AD223" s="7" t="b">
        <f>C223='Gov Fnd Exp'!C223</f>
        <v>1</v>
      </c>
    </row>
    <row r="224" spans="1:30" hidden="1">
      <c r="A224" s="12" t="s">
        <v>496</v>
      </c>
      <c r="B224" s="12"/>
      <c r="C224" s="12" t="s">
        <v>71</v>
      </c>
      <c r="D224" s="12"/>
      <c r="E224" s="12">
        <v>50559</v>
      </c>
      <c r="S224" s="8">
        <f t="shared" si="30"/>
        <v>0</v>
      </c>
      <c r="V224" s="7">
        <f>+'St of Net Assets - GA'!O224-'LT _Lia - GA'!U224</f>
        <v>0</v>
      </c>
      <c r="X224" s="7" t="s">
        <v>839</v>
      </c>
      <c r="Z224" s="7" t="str">
        <f t="shared" si="26"/>
        <v>Green Local SD</v>
      </c>
      <c r="AA224" s="7" t="str">
        <f>'Gov Fnd Exp'!A224</f>
        <v>Green Local SD</v>
      </c>
      <c r="AB224" s="7" t="b">
        <f t="shared" si="28"/>
        <v>1</v>
      </c>
      <c r="AC224" s="7" t="str">
        <f t="shared" si="27"/>
        <v>Wayne</v>
      </c>
      <c r="AD224" s="7" t="b">
        <f>C224='Gov Fnd Exp'!C224</f>
        <v>1</v>
      </c>
    </row>
    <row r="225" spans="1:30">
      <c r="A225" s="12" t="s">
        <v>326</v>
      </c>
      <c r="B225" s="12"/>
      <c r="C225" s="12" t="s">
        <v>114</v>
      </c>
      <c r="D225" s="12"/>
      <c r="E225" s="12">
        <v>47266</v>
      </c>
      <c r="G225" s="7">
        <v>6872791</v>
      </c>
      <c r="I225" s="7">
        <v>0</v>
      </c>
      <c r="K225" s="7">
        <v>0</v>
      </c>
      <c r="M225" s="7">
        <v>0</v>
      </c>
      <c r="O225" s="7">
        <v>687617</v>
      </c>
      <c r="Q225" s="7">
        <v>0</v>
      </c>
      <c r="S225" s="8">
        <f t="shared" si="30"/>
        <v>7560408</v>
      </c>
      <c r="U225" s="7">
        <v>472928</v>
      </c>
      <c r="V225" s="7">
        <f>+'St of Net Assets - GA'!O225-'LT _Lia - GA'!U225</f>
        <v>0</v>
      </c>
      <c r="Z225" s="7" t="str">
        <f t="shared" si="26"/>
        <v>Greeneview Local SD</v>
      </c>
      <c r="AA225" s="7" t="str">
        <f>'Gov Fnd Exp'!A225</f>
        <v>Greeneview Local SD</v>
      </c>
      <c r="AB225" s="7" t="b">
        <f t="shared" si="28"/>
        <v>1</v>
      </c>
      <c r="AC225" s="7" t="str">
        <f t="shared" si="27"/>
        <v>Greene</v>
      </c>
      <c r="AD225" s="7" t="b">
        <f>C225='Gov Fnd Exp'!C225</f>
        <v>1</v>
      </c>
    </row>
    <row r="226" spans="1:30">
      <c r="A226" s="12" t="s">
        <v>869</v>
      </c>
      <c r="B226" s="12"/>
      <c r="C226" s="12" t="s">
        <v>358</v>
      </c>
      <c r="D226" s="12"/>
      <c r="E226" s="12">
        <v>45401</v>
      </c>
      <c r="G226" s="7">
        <f>760000+1095000+66023+354998+20531-18189</f>
        <v>2278363</v>
      </c>
      <c r="I226" s="7">
        <v>0</v>
      </c>
      <c r="K226" s="7">
        <v>0</v>
      </c>
      <c r="M226" s="7">
        <v>27026</v>
      </c>
      <c r="O226" s="7">
        <v>1715274</v>
      </c>
      <c r="Q226" s="7">
        <v>0</v>
      </c>
      <c r="S226" s="8">
        <f t="shared" si="30"/>
        <v>4020663</v>
      </c>
      <c r="U226" s="7">
        <v>308942</v>
      </c>
      <c r="V226" s="7">
        <f>+'St of Net Assets - GA'!O226-'LT _Lia - GA'!U226</f>
        <v>0</v>
      </c>
      <c r="Z226" s="7" t="str">
        <f t="shared" si="26"/>
        <v>Greenfield Exempted Village SD</v>
      </c>
      <c r="AA226" s="7" t="str">
        <f>'Gov Fnd Exp'!A226</f>
        <v>Greenfield Exempted Village SD</v>
      </c>
      <c r="AB226" s="7" t="b">
        <f t="shared" si="28"/>
        <v>1</v>
      </c>
      <c r="AC226" s="7" t="str">
        <f t="shared" si="27"/>
        <v>Highland</v>
      </c>
      <c r="AD226" s="7" t="b">
        <f>C226='Gov Fnd Exp'!C226</f>
        <v>1</v>
      </c>
    </row>
    <row r="227" spans="1:30">
      <c r="A227" s="12" t="s">
        <v>237</v>
      </c>
      <c r="B227" s="12"/>
      <c r="C227" s="12" t="s">
        <v>17</v>
      </c>
      <c r="D227" s="12"/>
      <c r="E227" s="12">
        <v>46235</v>
      </c>
      <c r="G227" s="7">
        <v>0</v>
      </c>
      <c r="I227" s="7">
        <v>0</v>
      </c>
      <c r="K227" s="7">
        <v>0</v>
      </c>
      <c r="M227" s="7">
        <v>0</v>
      </c>
      <c r="O227" s="7">
        <v>1138837</v>
      </c>
      <c r="Q227" s="7">
        <v>77400</v>
      </c>
      <c r="S227" s="8">
        <f t="shared" si="30"/>
        <v>1216237</v>
      </c>
      <c r="U227" s="7">
        <v>143132</v>
      </c>
      <c r="V227" s="7">
        <f>+'St of Net Assets - GA'!O227-'LT _Lia - GA'!U227</f>
        <v>0</v>
      </c>
      <c r="X227" s="14"/>
      <c r="Z227" s="7" t="str">
        <f t="shared" si="26"/>
        <v>Greenon Local SD</v>
      </c>
      <c r="AA227" s="7" t="str">
        <f>'Gov Fnd Exp'!A227</f>
        <v>Greenon Local SD</v>
      </c>
      <c r="AB227" s="7" t="b">
        <f t="shared" si="28"/>
        <v>1</v>
      </c>
      <c r="AC227" s="7" t="str">
        <f t="shared" si="27"/>
        <v>Clark</v>
      </c>
      <c r="AD227" s="7" t="b">
        <f>C227='Gov Fnd Exp'!C227</f>
        <v>1</v>
      </c>
    </row>
    <row r="228" spans="1:30">
      <c r="A228" s="12" t="s">
        <v>288</v>
      </c>
      <c r="B228" s="12"/>
      <c r="C228" s="12" t="s">
        <v>21</v>
      </c>
      <c r="D228" s="12"/>
      <c r="E228" s="12">
        <v>44099</v>
      </c>
      <c r="G228" s="7">
        <v>0</v>
      </c>
      <c r="I228" s="7">
        <v>0</v>
      </c>
      <c r="K228" s="7">
        <v>0</v>
      </c>
      <c r="M228" s="7">
        <v>0</v>
      </c>
      <c r="O228" s="7">
        <v>1143577</v>
      </c>
      <c r="Q228" s="7">
        <v>0</v>
      </c>
      <c r="S228" s="8">
        <f t="shared" si="30"/>
        <v>1143577</v>
      </c>
      <c r="U228" s="7">
        <v>165105</v>
      </c>
      <c r="V228" s="7">
        <f>+'St of Net Assets - GA'!O228-'LT _Lia - GA'!U228</f>
        <v>0</v>
      </c>
      <c r="Z228" s="7" t="str">
        <f t="shared" si="26"/>
        <v>Greenville City SD</v>
      </c>
      <c r="AA228" s="7" t="str">
        <f>'Gov Fnd Exp'!A228</f>
        <v>Greenville City SD</v>
      </c>
      <c r="AB228" s="7" t="b">
        <f t="shared" si="28"/>
        <v>1</v>
      </c>
      <c r="AC228" s="7" t="str">
        <f t="shared" si="27"/>
        <v>Darke</v>
      </c>
      <c r="AD228" s="7" t="b">
        <f>C228='Gov Fnd Exp'!C228</f>
        <v>1</v>
      </c>
    </row>
    <row r="229" spans="1:30">
      <c r="A229" s="12" t="s">
        <v>310</v>
      </c>
      <c r="B229" s="12"/>
      <c r="C229" s="12" t="s">
        <v>27</v>
      </c>
      <c r="D229" s="12"/>
      <c r="E229" s="12">
        <v>46979</v>
      </c>
      <c r="G229" s="7">
        <v>0</v>
      </c>
      <c r="I229" s="7">
        <v>0</v>
      </c>
      <c r="K229" s="7">
        <v>160000</v>
      </c>
      <c r="M229" s="7">
        <v>0</v>
      </c>
      <c r="O229" s="7">
        <v>3215663</v>
      </c>
      <c r="Q229" s="7">
        <v>0</v>
      </c>
      <c r="S229" s="8">
        <f t="shared" si="30"/>
        <v>3375663</v>
      </c>
      <c r="U229" s="7">
        <v>1027832</v>
      </c>
      <c r="V229" s="7">
        <f>+'St of Net Assets - GA'!O229-'LT _Lia - GA'!U229</f>
        <v>3</v>
      </c>
      <c r="X229" s="14"/>
      <c r="Z229" s="7" t="str">
        <f t="shared" si="26"/>
        <v>Groveport Madison Local SD</v>
      </c>
      <c r="AA229" s="7" t="str">
        <f>'Gov Fnd Exp'!A229</f>
        <v>Groveport Madison Local SD</v>
      </c>
      <c r="AB229" s="7" t="b">
        <f t="shared" si="28"/>
        <v>1</v>
      </c>
      <c r="AC229" s="7" t="str">
        <f t="shared" si="27"/>
        <v>Franklin</v>
      </c>
      <c r="AD229" s="7" t="b">
        <f>C229='Gov Fnd Exp'!C229</f>
        <v>1</v>
      </c>
    </row>
    <row r="230" spans="1:30" hidden="1">
      <c r="A230" s="12" t="s">
        <v>225</v>
      </c>
      <c r="B230" s="12"/>
      <c r="C230" s="12" t="s">
        <v>223</v>
      </c>
      <c r="D230" s="12"/>
      <c r="E230" s="12">
        <v>44107</v>
      </c>
      <c r="S230" s="8">
        <f t="shared" si="30"/>
        <v>0</v>
      </c>
      <c r="V230" s="7">
        <f>+'St of Net Assets - GA'!O230-'LT _Lia - GA'!U230</f>
        <v>0</v>
      </c>
      <c r="X230" s="7" t="s">
        <v>903</v>
      </c>
      <c r="Z230" s="7" t="str">
        <f t="shared" si="26"/>
        <v>Hamilton City SD</v>
      </c>
      <c r="AA230" s="7" t="str">
        <f>'Gov Fnd Exp'!A230</f>
        <v>Hamilton City SD</v>
      </c>
      <c r="AB230" s="7" t="b">
        <f t="shared" si="28"/>
        <v>1</v>
      </c>
      <c r="AC230" s="7" t="str">
        <f t="shared" si="27"/>
        <v>Butler</v>
      </c>
      <c r="AD230" s="7" t="b">
        <f>C230='Gov Fnd Exp'!C230</f>
        <v>1</v>
      </c>
    </row>
    <row r="231" spans="1:30">
      <c r="A231" s="12" t="s">
        <v>925</v>
      </c>
      <c r="B231" s="12"/>
      <c r="C231" s="12" t="s">
        <v>27</v>
      </c>
      <c r="D231" s="12"/>
      <c r="E231" s="12">
        <v>46953</v>
      </c>
      <c r="G231" s="7">
        <v>25223619</v>
      </c>
      <c r="I231" s="7">
        <v>0</v>
      </c>
      <c r="K231" s="7">
        <v>0</v>
      </c>
      <c r="M231" s="7">
        <v>104052</v>
      </c>
      <c r="O231" s="7">
        <v>590551</v>
      </c>
      <c r="Q231" s="7">
        <v>0</v>
      </c>
      <c r="S231" s="8">
        <f t="shared" si="30"/>
        <v>25918222</v>
      </c>
      <c r="U231" s="7">
        <v>1060693</v>
      </c>
      <c r="V231" s="7">
        <f>+'St of Net Assets - GA'!O231-'LT _Lia - GA'!U231</f>
        <v>0</v>
      </c>
      <c r="Z231" s="7" t="str">
        <f t="shared" si="26"/>
        <v>Hamilton Local SD</v>
      </c>
      <c r="AA231" s="7" t="str">
        <f>'Gov Fnd Exp'!A231</f>
        <v>Hamilton Local SD</v>
      </c>
      <c r="AB231" s="7" t="b">
        <f t="shared" si="28"/>
        <v>1</v>
      </c>
      <c r="AC231" s="7" t="str">
        <f t="shared" si="27"/>
        <v>Franklin</v>
      </c>
      <c r="AD231" s="7" t="b">
        <f>C231='Gov Fnd Exp'!C231</f>
        <v>1</v>
      </c>
    </row>
    <row r="232" spans="1:30">
      <c r="A232" s="12" t="s">
        <v>349</v>
      </c>
      <c r="B232" s="12"/>
      <c r="C232" s="12" t="s">
        <v>348</v>
      </c>
      <c r="D232" s="12"/>
      <c r="E232" s="12">
        <v>47498</v>
      </c>
      <c r="G232" s="7">
        <v>3410000</v>
      </c>
      <c r="I232" s="7">
        <v>0</v>
      </c>
      <c r="K232" s="7">
        <v>0</v>
      </c>
      <c r="M232" s="7">
        <v>895001</v>
      </c>
      <c r="O232" s="7">
        <v>113692</v>
      </c>
      <c r="Q232" s="7">
        <v>0</v>
      </c>
      <c r="S232" s="8">
        <f t="shared" si="30"/>
        <v>4418693</v>
      </c>
      <c r="U232" s="7">
        <v>102385</v>
      </c>
      <c r="V232" s="7">
        <f>+'St of Net Assets - GA'!O232-'LT _Lia - GA'!U232</f>
        <v>0</v>
      </c>
      <c r="X232" s="14"/>
      <c r="Z232" s="7" t="str">
        <f t="shared" si="26"/>
        <v>Hardin Northern Local SD</v>
      </c>
      <c r="AA232" s="7" t="str">
        <f>'Gov Fnd Exp'!A232</f>
        <v>Hardin Northern Local SD</v>
      </c>
      <c r="AB232" s="7" t="b">
        <f t="shared" si="28"/>
        <v>1</v>
      </c>
      <c r="AC232" s="7" t="str">
        <f t="shared" si="27"/>
        <v>Hardin</v>
      </c>
      <c r="AD232" s="7" t="b">
        <f>C232='Gov Fnd Exp'!C232</f>
        <v>1</v>
      </c>
    </row>
    <row r="233" spans="1:30">
      <c r="A233" s="12" t="s">
        <v>506</v>
      </c>
      <c r="B233" s="12"/>
      <c r="C233" s="12" t="s">
        <v>61</v>
      </c>
      <c r="D233" s="12"/>
      <c r="E233" s="12">
        <v>49791</v>
      </c>
      <c r="G233" s="7">
        <f>30000+5050000+3750000+255384+255143</f>
        <v>9340527</v>
      </c>
      <c r="I233" s="7">
        <v>38119</v>
      </c>
      <c r="K233" s="7">
        <v>0</v>
      </c>
      <c r="M233" s="7">
        <v>0</v>
      </c>
      <c r="O233" s="7">
        <v>417704</v>
      </c>
      <c r="Q233" s="7">
        <v>0</v>
      </c>
      <c r="S233" s="8">
        <f t="shared" si="30"/>
        <v>9796350</v>
      </c>
      <c r="U233" s="7">
        <v>314514</v>
      </c>
      <c r="V233" s="7">
        <f>+'St of Net Assets - GA'!O233-'LT _Lia - GA'!U233</f>
        <v>0</v>
      </c>
      <c r="Z233" s="7" t="str">
        <f t="shared" si="26"/>
        <v>Hardin-Houston Local SD</v>
      </c>
      <c r="AA233" s="7" t="str">
        <f>'Gov Fnd Exp'!A233</f>
        <v>Hardin-Houston Local SD</v>
      </c>
      <c r="AB233" s="7" t="b">
        <f t="shared" si="28"/>
        <v>1</v>
      </c>
      <c r="AC233" s="7" t="str">
        <f t="shared" si="27"/>
        <v>Shelby</v>
      </c>
      <c r="AD233" s="7" t="b">
        <f>C233='Gov Fnd Exp'!C233</f>
        <v>1</v>
      </c>
    </row>
    <row r="234" spans="1:30" hidden="1">
      <c r="A234" s="12" t="s">
        <v>353</v>
      </c>
      <c r="B234" s="12"/>
      <c r="C234" s="12" t="s">
        <v>352</v>
      </c>
      <c r="D234" s="12"/>
      <c r="E234" s="12">
        <v>45245</v>
      </c>
      <c r="S234" s="8">
        <f t="shared" si="30"/>
        <v>0</v>
      </c>
      <c r="V234" s="7">
        <f>+'St of Net Assets - GA'!O234-'LT _Lia - GA'!U234</f>
        <v>0</v>
      </c>
      <c r="X234" s="7" t="s">
        <v>903</v>
      </c>
      <c r="Z234" s="7" t="str">
        <f t="shared" si="26"/>
        <v>Harrison Hills City SD</v>
      </c>
      <c r="AA234" s="7" t="str">
        <f>'Gov Fnd Exp'!A234</f>
        <v>Harrison Hills City SD</v>
      </c>
      <c r="AB234" s="7" t="b">
        <f t="shared" si="28"/>
        <v>1</v>
      </c>
      <c r="AC234" s="7" t="str">
        <f t="shared" si="27"/>
        <v>Harrison</v>
      </c>
      <c r="AD234" s="7" t="b">
        <f>C234='Gov Fnd Exp'!C234</f>
        <v>1</v>
      </c>
    </row>
    <row r="235" spans="1:30">
      <c r="A235" s="12" t="s">
        <v>384</v>
      </c>
      <c r="B235" s="12"/>
      <c r="C235" s="12" t="s">
        <v>42</v>
      </c>
      <c r="D235" s="12"/>
      <c r="E235" s="12">
        <v>44115</v>
      </c>
      <c r="G235" s="7">
        <v>15120402</v>
      </c>
      <c r="I235" s="7">
        <v>0</v>
      </c>
      <c r="K235" s="7">
        <v>0</v>
      </c>
      <c r="M235" s="7">
        <v>120833</v>
      </c>
      <c r="O235" s="7">
        <v>1410351</v>
      </c>
      <c r="Q235" s="7">
        <v>0</v>
      </c>
      <c r="S235" s="8">
        <f t="shared" si="30"/>
        <v>16651586</v>
      </c>
      <c r="U235" s="7">
        <v>1053835</v>
      </c>
      <c r="V235" s="7">
        <f>+'St of Net Assets - GA'!O235-'LT _Lia - GA'!U235</f>
        <v>0</v>
      </c>
      <c r="Z235" s="7" t="str">
        <f t="shared" si="26"/>
        <v>Heath City SD</v>
      </c>
      <c r="AA235" s="7" t="str">
        <f>'Gov Fnd Exp'!A235</f>
        <v>Heath City SD</v>
      </c>
      <c r="AB235" s="7" t="b">
        <f t="shared" si="28"/>
        <v>1</v>
      </c>
      <c r="AC235" s="7" t="str">
        <f t="shared" si="27"/>
        <v>Licking</v>
      </c>
      <c r="AD235" s="7" t="b">
        <f>C235='Gov Fnd Exp'!C235</f>
        <v>1</v>
      </c>
    </row>
    <row r="236" spans="1:30" hidden="1">
      <c r="A236" s="12" t="s">
        <v>699</v>
      </c>
      <c r="B236" s="12"/>
      <c r="C236" s="12" t="s">
        <v>22</v>
      </c>
      <c r="D236" s="12"/>
      <c r="E236" s="12">
        <v>45419</v>
      </c>
      <c r="S236" s="8">
        <f t="shared" si="30"/>
        <v>0</v>
      </c>
      <c r="V236" s="7">
        <f>+'St of Net Assets - GA'!O236-'LT _Lia - GA'!U236</f>
        <v>0</v>
      </c>
      <c r="X236" s="7" t="s">
        <v>904</v>
      </c>
      <c r="Z236" s="7" t="str">
        <f t="shared" si="26"/>
        <v>Hicksville Ex Vill SD  (CASH)</v>
      </c>
      <c r="AA236" s="7" t="str">
        <f>'Gov Fnd Exp'!A236</f>
        <v>Hicksville Ex Vill SD  (CASH)</v>
      </c>
      <c r="AB236" s="7" t="b">
        <f t="shared" si="28"/>
        <v>1</v>
      </c>
      <c r="AC236" s="7" t="str">
        <f t="shared" si="27"/>
        <v>Defiance</v>
      </c>
      <c r="AD236" s="7" t="b">
        <f>C236='Gov Fnd Exp'!C236</f>
        <v>1</v>
      </c>
    </row>
    <row r="237" spans="1:30">
      <c r="A237" s="12" t="s">
        <v>430</v>
      </c>
      <c r="B237" s="12"/>
      <c r="C237" s="12" t="s">
        <v>47</v>
      </c>
      <c r="D237" s="12"/>
      <c r="E237" s="12">
        <v>48496</v>
      </c>
      <c r="G237" s="7">
        <v>31871418</v>
      </c>
      <c r="I237" s="7">
        <v>0</v>
      </c>
      <c r="K237" s="7">
        <v>0</v>
      </c>
      <c r="M237" s="7">
        <v>46976</v>
      </c>
      <c r="O237" s="7">
        <v>1472481</v>
      </c>
      <c r="Q237" s="7">
        <v>0</v>
      </c>
      <c r="S237" s="8">
        <f t="shared" si="30"/>
        <v>33390875</v>
      </c>
      <c r="U237" s="7">
        <v>2288896</v>
      </c>
      <c r="V237" s="7">
        <f>+'St of Net Assets - GA'!O237-'LT _Lia - GA'!U237</f>
        <v>0</v>
      </c>
      <c r="Z237" s="7" t="str">
        <f t="shared" si="26"/>
        <v>Highland Local SD</v>
      </c>
      <c r="AA237" s="7" t="str">
        <f>'Gov Fnd Exp'!A237</f>
        <v>Highland Local SD</v>
      </c>
      <c r="AB237" s="7" t="b">
        <f t="shared" si="28"/>
        <v>1</v>
      </c>
      <c r="AC237" s="7" t="str">
        <f t="shared" si="27"/>
        <v>Medina</v>
      </c>
      <c r="AD237" s="7" t="b">
        <f>C237='Gov Fnd Exp'!C237</f>
        <v>1</v>
      </c>
    </row>
    <row r="238" spans="1:30">
      <c r="A238" s="12" t="s">
        <v>430</v>
      </c>
      <c r="B238" s="12"/>
      <c r="C238" s="12" t="s">
        <v>78</v>
      </c>
      <c r="D238" s="12"/>
      <c r="E238" s="12">
        <v>48801</v>
      </c>
      <c r="G238" s="7">
        <v>15348110</v>
      </c>
      <c r="I238" s="7">
        <v>0</v>
      </c>
      <c r="K238" s="7">
        <v>0</v>
      </c>
      <c r="M238" s="7">
        <v>34358</v>
      </c>
      <c r="O238" s="7">
        <v>924716</v>
      </c>
      <c r="Q238" s="7">
        <v>0</v>
      </c>
      <c r="S238" s="8">
        <f t="shared" si="30"/>
        <v>16307184</v>
      </c>
      <c r="U238" s="7">
        <v>262751</v>
      </c>
      <c r="V238" s="7">
        <f>+'St of Net Assets - GA'!O238-'LT _Lia - GA'!U238</f>
        <v>0</v>
      </c>
      <c r="Z238" s="7" t="str">
        <f t="shared" si="26"/>
        <v>Highland Local SD</v>
      </c>
      <c r="AA238" s="7" t="str">
        <f>'Gov Fnd Exp'!A238</f>
        <v>Highland Local SD</v>
      </c>
      <c r="AB238" s="7" t="b">
        <f t="shared" si="28"/>
        <v>1</v>
      </c>
      <c r="AC238" s="7" t="str">
        <f t="shared" si="27"/>
        <v>Morrow</v>
      </c>
      <c r="AD238" s="7" t="b">
        <f>C238='Gov Fnd Exp'!C238</f>
        <v>1</v>
      </c>
    </row>
    <row r="239" spans="1:30">
      <c r="A239" s="12" t="s">
        <v>311</v>
      </c>
      <c r="B239" s="12"/>
      <c r="C239" s="12" t="s">
        <v>27</v>
      </c>
      <c r="D239" s="12"/>
      <c r="E239" s="12">
        <v>47019</v>
      </c>
      <c r="G239" s="7">
        <v>183091693</v>
      </c>
      <c r="I239" s="7">
        <v>0</v>
      </c>
      <c r="K239" s="7">
        <f>6605000+3231</f>
        <v>6608231</v>
      </c>
      <c r="M239" s="7">
        <v>7840</v>
      </c>
      <c r="O239" s="7">
        <v>11836980</v>
      </c>
      <c r="Q239" s="7">
        <v>0</v>
      </c>
      <c r="S239" s="8">
        <f t="shared" si="30"/>
        <v>201544744</v>
      </c>
      <c r="U239" s="7">
        <v>13360942</v>
      </c>
      <c r="V239" s="7">
        <f>+'St of Net Assets - GA'!O239-'LT _Lia - GA'!U239</f>
        <v>0</v>
      </c>
      <c r="Z239" s="7" t="str">
        <f t="shared" si="26"/>
        <v>Hilliard City SD</v>
      </c>
      <c r="AA239" s="7" t="str">
        <f>'Gov Fnd Exp'!A239</f>
        <v>Hilliard City SD</v>
      </c>
      <c r="AB239" s="7" t="b">
        <f t="shared" si="28"/>
        <v>1</v>
      </c>
      <c r="AC239" s="7" t="str">
        <f t="shared" si="27"/>
        <v>Franklin</v>
      </c>
      <c r="AD239" s="7" t="b">
        <f>C239='Gov Fnd Exp'!C239</f>
        <v>1</v>
      </c>
    </row>
    <row r="240" spans="1:30">
      <c r="A240" s="12" t="s">
        <v>360</v>
      </c>
      <c r="B240" s="12"/>
      <c r="C240" s="12" t="s">
        <v>358</v>
      </c>
      <c r="D240" s="12"/>
      <c r="E240" s="12">
        <v>44123</v>
      </c>
      <c r="G240" s="7">
        <f>2060000+2820000+5395000+435000+242947-138516+3209</f>
        <v>10817640</v>
      </c>
      <c r="I240" s="7">
        <v>0</v>
      </c>
      <c r="K240" s="7">
        <v>0</v>
      </c>
      <c r="M240" s="7">
        <v>739000</v>
      </c>
      <c r="O240" s="7">
        <v>912497</v>
      </c>
      <c r="Q240" s="7">
        <v>320000</v>
      </c>
      <c r="S240" s="8">
        <f t="shared" si="30"/>
        <v>12789137</v>
      </c>
      <c r="U240" s="7">
        <v>582420</v>
      </c>
      <c r="V240" s="7">
        <f>+'St of Net Assets - GA'!O240-'LT _Lia - GA'!U240</f>
        <v>0</v>
      </c>
      <c r="Z240" s="7" t="str">
        <f t="shared" si="26"/>
        <v>Hillsboro City SD</v>
      </c>
      <c r="AA240" s="7" t="str">
        <f>'Gov Fnd Exp'!A240</f>
        <v>Hillsboro City SD</v>
      </c>
      <c r="AB240" s="7" t="b">
        <f t="shared" si="28"/>
        <v>1</v>
      </c>
      <c r="AC240" s="7" t="str">
        <f t="shared" si="27"/>
        <v>Highland</v>
      </c>
      <c r="AD240" s="7" t="b">
        <f>C240='Gov Fnd Exp'!C240</f>
        <v>1</v>
      </c>
    </row>
    <row r="241" spans="1:30">
      <c r="A241" s="12" t="s">
        <v>205</v>
      </c>
      <c r="B241" s="12"/>
      <c r="C241" s="12" t="s">
        <v>11</v>
      </c>
      <c r="D241" s="12"/>
      <c r="E241" s="12">
        <v>45823</v>
      </c>
      <c r="G241" s="7">
        <v>121500</v>
      </c>
      <c r="I241" s="7">
        <v>0</v>
      </c>
      <c r="K241" s="7">
        <f>105350+242352</f>
        <v>347702</v>
      </c>
      <c r="M241" s="7">
        <v>0</v>
      </c>
      <c r="O241" s="7">
        <v>960746</v>
      </c>
      <c r="Q241" s="7">
        <v>0</v>
      </c>
      <c r="S241" s="8">
        <f t="shared" si="30"/>
        <v>1429948</v>
      </c>
      <c r="U241" s="7">
        <v>456659</v>
      </c>
      <c r="V241" s="7">
        <f>+'St of Net Assets - GA'!O241-'LT _Lia - GA'!U241</f>
        <v>0</v>
      </c>
      <c r="Z241" s="7" t="str">
        <f t="shared" si="26"/>
        <v>Hillsdale Local SD</v>
      </c>
      <c r="AA241" s="7" t="str">
        <f>'Gov Fnd Exp'!A241</f>
        <v>Hillsdale Local SD</v>
      </c>
      <c r="AB241" s="7" t="b">
        <f t="shared" si="28"/>
        <v>1</v>
      </c>
      <c r="AC241" s="7" t="str">
        <f t="shared" si="27"/>
        <v>Ashland</v>
      </c>
      <c r="AD241" s="7" t="b">
        <f>C241='Gov Fnd Exp'!C241</f>
        <v>1</v>
      </c>
    </row>
    <row r="242" spans="1:30">
      <c r="A242" s="12" t="s">
        <v>354</v>
      </c>
      <c r="B242" s="12"/>
      <c r="C242" s="12" t="s">
        <v>34</v>
      </c>
      <c r="D242" s="12"/>
      <c r="E242" s="12">
        <v>47571</v>
      </c>
      <c r="G242" s="7">
        <v>2355000</v>
      </c>
      <c r="I242" s="7">
        <v>1858803</v>
      </c>
      <c r="K242" s="7">
        <v>0</v>
      </c>
      <c r="M242" s="7">
        <v>0</v>
      </c>
      <c r="O242" s="7">
        <v>268081</v>
      </c>
      <c r="Q242" s="7">
        <v>0</v>
      </c>
      <c r="S242" s="8">
        <f t="shared" si="30"/>
        <v>4481884</v>
      </c>
      <c r="U242" s="7">
        <v>157062</v>
      </c>
      <c r="V242" s="7">
        <f>+'St of Net Assets - GA'!O242-'LT _Lia - GA'!U242</f>
        <v>0</v>
      </c>
      <c r="Z242" s="7" t="str">
        <f t="shared" si="26"/>
        <v>Holgate Local SD</v>
      </c>
      <c r="AA242" s="7" t="str">
        <f>'Gov Fnd Exp'!A242</f>
        <v>Holgate Local SD</v>
      </c>
      <c r="AB242" s="7" t="b">
        <f t="shared" si="28"/>
        <v>1</v>
      </c>
      <c r="AC242" s="7" t="str">
        <f t="shared" si="27"/>
        <v>Henry</v>
      </c>
      <c r="AD242" s="7" t="b">
        <f>C242='Gov Fnd Exp'!C242</f>
        <v>1</v>
      </c>
    </row>
    <row r="243" spans="1:30">
      <c r="A243" s="12" t="s">
        <v>538</v>
      </c>
      <c r="B243" s="12"/>
      <c r="C243" s="12" t="s">
        <v>64</v>
      </c>
      <c r="D243" s="12"/>
      <c r="E243" s="12">
        <v>50161</v>
      </c>
      <c r="G243" s="7">
        <v>1294380</v>
      </c>
      <c r="I243" s="7">
        <v>0</v>
      </c>
      <c r="K243" s="7">
        <v>0</v>
      </c>
      <c r="M243" s="7">
        <v>0</v>
      </c>
      <c r="O243" s="7">
        <v>3331706</v>
      </c>
      <c r="Q243" s="7">
        <v>0</v>
      </c>
      <c r="S243" s="8">
        <f t="shared" si="30"/>
        <v>4626086</v>
      </c>
      <c r="U243" s="7">
        <v>543009</v>
      </c>
      <c r="V243" s="7">
        <f>+'St of Net Assets - GA'!O243-'LT _Lia - GA'!U243</f>
        <v>0</v>
      </c>
      <c r="Z243" s="7" t="str">
        <f t="shared" si="26"/>
        <v>Howland Local SD</v>
      </c>
      <c r="AA243" s="7" t="str">
        <f>'Gov Fnd Exp'!A243</f>
        <v>Howland Local SD</v>
      </c>
      <c r="AB243" s="7" t="b">
        <f t="shared" si="28"/>
        <v>1</v>
      </c>
      <c r="AC243" s="7" t="str">
        <f t="shared" si="27"/>
        <v>Trumbull</v>
      </c>
      <c r="AD243" s="7" t="b">
        <f>C243='Gov Fnd Exp'!C243</f>
        <v>1</v>
      </c>
    </row>
    <row r="244" spans="1:30">
      <c r="A244" s="12" t="s">
        <v>870</v>
      </c>
      <c r="B244" s="12"/>
      <c r="C244" s="12" t="s">
        <v>64</v>
      </c>
      <c r="D244" s="12"/>
      <c r="E244" s="12">
        <v>45427</v>
      </c>
      <c r="G244" s="7">
        <v>17640655</v>
      </c>
      <c r="I244" s="7">
        <v>0</v>
      </c>
      <c r="K244" s="7">
        <v>0</v>
      </c>
      <c r="M244" s="7">
        <v>0</v>
      </c>
      <c r="O244" s="7">
        <v>1062164</v>
      </c>
      <c r="Q244" s="7">
        <v>0</v>
      </c>
      <c r="S244" s="8">
        <f t="shared" si="30"/>
        <v>18702819</v>
      </c>
      <c r="U244" s="7">
        <v>650541</v>
      </c>
      <c r="V244" s="7">
        <f>+'St of Net Assets - GA'!O244-'LT _Lia - GA'!U244</f>
        <v>0</v>
      </c>
      <c r="Z244" s="7" t="str">
        <f t="shared" si="26"/>
        <v>Hubbard Exempted Village SD</v>
      </c>
      <c r="AA244" s="7" t="str">
        <f>'Gov Fnd Exp'!A244</f>
        <v>Hubbard Exempted Village SD</v>
      </c>
      <c r="AB244" s="7" t="b">
        <f t="shared" si="28"/>
        <v>1</v>
      </c>
      <c r="AC244" s="7" t="str">
        <f t="shared" si="27"/>
        <v>Trumbull</v>
      </c>
      <c r="AD244" s="7" t="b">
        <f>C244='Gov Fnd Exp'!C244</f>
        <v>1</v>
      </c>
    </row>
    <row r="245" spans="1:30">
      <c r="A245" s="12" t="s">
        <v>443</v>
      </c>
      <c r="B245" s="12"/>
      <c r="C245" s="12" t="s">
        <v>50</v>
      </c>
      <c r="D245" s="12"/>
      <c r="E245" s="12">
        <v>48751</v>
      </c>
      <c r="G245" s="7">
        <v>79160000</v>
      </c>
      <c r="I245" s="7">
        <v>0</v>
      </c>
      <c r="K245" s="7">
        <f>121460+1640000</f>
        <v>1761460</v>
      </c>
      <c r="M245" s="7">
        <v>229100</v>
      </c>
      <c r="O245" s="7">
        <v>1561306</v>
      </c>
      <c r="Q245" s="7">
        <v>1448619</v>
      </c>
      <c r="S245" s="8">
        <f t="shared" si="30"/>
        <v>84160485</v>
      </c>
      <c r="U245" s="7">
        <v>1831189</v>
      </c>
      <c r="V245" s="7">
        <f>+'St of Net Assets - GA'!O245-'LT _Lia - GA'!U245</f>
        <v>0</v>
      </c>
      <c r="Z245" s="7" t="str">
        <f t="shared" si="26"/>
        <v>Huber Heights City SD</v>
      </c>
      <c r="AA245" s="7" t="str">
        <f>'Gov Fnd Exp'!A245</f>
        <v>Huber Heights City SD</v>
      </c>
      <c r="AB245" s="7" t="b">
        <f t="shared" si="28"/>
        <v>1</v>
      </c>
      <c r="AC245" s="7" t="str">
        <f t="shared" si="27"/>
        <v>Montgomery</v>
      </c>
      <c r="AD245" s="7" t="b">
        <f>C245='Gov Fnd Exp'!C245</f>
        <v>1</v>
      </c>
    </row>
    <row r="246" spans="1:30">
      <c r="A246" s="12" t="s">
        <v>525</v>
      </c>
      <c r="B246" s="12"/>
      <c r="C246" s="12" t="s">
        <v>63</v>
      </c>
      <c r="D246" s="12"/>
      <c r="E246" s="12">
        <v>50021</v>
      </c>
      <c r="G246" s="7">
        <f>31628780-19935000+49028</f>
        <v>11742808</v>
      </c>
      <c r="I246" s="7">
        <v>0</v>
      </c>
      <c r="K246" s="7">
        <v>19935000</v>
      </c>
      <c r="M246" s="7">
        <v>697927</v>
      </c>
      <c r="O246" s="7">
        <v>2961675</v>
      </c>
      <c r="Q246" s="7">
        <v>0</v>
      </c>
      <c r="S246" s="8">
        <f t="shared" si="30"/>
        <v>35337410</v>
      </c>
      <c r="U246" s="7">
        <v>3470184</v>
      </c>
      <c r="V246" s="7">
        <f>+'St of Net Assets - GA'!O246-'LT _Lia - GA'!U246</f>
        <v>0</v>
      </c>
      <c r="Z246" s="7" t="str">
        <f t="shared" si="26"/>
        <v>Hudson City SD</v>
      </c>
      <c r="AA246" s="7" t="str">
        <f>'Gov Fnd Exp'!A246</f>
        <v>Hudson City SD</v>
      </c>
      <c r="AB246" s="7" t="b">
        <f t="shared" si="28"/>
        <v>1</v>
      </c>
      <c r="AC246" s="7" t="str">
        <f t="shared" si="27"/>
        <v>Summit</v>
      </c>
      <c r="AD246" s="7" t="b">
        <f>C246='Gov Fnd Exp'!C246</f>
        <v>1</v>
      </c>
    </row>
    <row r="247" spans="1:30">
      <c r="A247" s="12" t="s">
        <v>489</v>
      </c>
      <c r="B247" s="12"/>
      <c r="C247" s="12" t="s">
        <v>58</v>
      </c>
      <c r="D247" s="12"/>
      <c r="E247" s="12">
        <v>49502</v>
      </c>
      <c r="G247" s="7">
        <v>630000</v>
      </c>
      <c r="I247" s="7">
        <v>0</v>
      </c>
      <c r="K247" s="7">
        <v>0</v>
      </c>
      <c r="M247" s="7">
        <v>109251</v>
      </c>
      <c r="O247" s="7">
        <v>717358</v>
      </c>
      <c r="Q247" s="7">
        <v>0</v>
      </c>
      <c r="S247" s="8">
        <f t="shared" si="30"/>
        <v>1456609</v>
      </c>
      <c r="U247" s="7">
        <v>197109</v>
      </c>
      <c r="V247" s="7">
        <f>+'St of Net Assets - GA'!O247-'LT _Lia - GA'!U247</f>
        <v>0</v>
      </c>
      <c r="Z247" s="7" t="str">
        <f t="shared" si="26"/>
        <v>Huntington Local SD</v>
      </c>
      <c r="AA247" s="7" t="str">
        <f>'Gov Fnd Exp'!A247</f>
        <v>Huntington Local SD</v>
      </c>
      <c r="AB247" s="7" t="b">
        <f t="shared" si="28"/>
        <v>1</v>
      </c>
      <c r="AC247" s="7" t="str">
        <f t="shared" si="27"/>
        <v>Ross</v>
      </c>
      <c r="AD247" s="7" t="b">
        <f>C247='Gov Fnd Exp'!C247</f>
        <v>1</v>
      </c>
    </row>
    <row r="248" spans="1:30">
      <c r="A248" s="12" t="s">
        <v>292</v>
      </c>
      <c r="B248" s="12"/>
      <c r="C248" s="12" t="s">
        <v>24</v>
      </c>
      <c r="D248" s="12"/>
      <c r="E248" s="12">
        <v>44131</v>
      </c>
      <c r="G248" s="7">
        <f>3273782-134028+278261</f>
        <v>3418015</v>
      </c>
      <c r="I248" s="7">
        <v>0</v>
      </c>
      <c r="K248" s="7">
        <v>1440000</v>
      </c>
      <c r="M248" s="7">
        <v>3803168</v>
      </c>
      <c r="O248" s="7">
        <v>854646</v>
      </c>
      <c r="Q248" s="7">
        <v>0</v>
      </c>
      <c r="S248" s="8">
        <f t="shared" si="30"/>
        <v>9515829</v>
      </c>
      <c r="U248" s="7">
        <v>1001237</v>
      </c>
      <c r="V248" s="7">
        <f>+'St of Net Assets - GA'!O248-'LT _Lia - GA'!U248</f>
        <v>0</v>
      </c>
      <c r="Z248" s="7" t="str">
        <f t="shared" si="26"/>
        <v>Huron City SD</v>
      </c>
      <c r="AA248" s="7" t="str">
        <f>'Gov Fnd Exp'!A248</f>
        <v>Huron City SD</v>
      </c>
      <c r="AB248" s="7" t="b">
        <f t="shared" si="28"/>
        <v>1</v>
      </c>
      <c r="AC248" s="7" t="str">
        <f t="shared" si="27"/>
        <v>Erie</v>
      </c>
      <c r="AD248" s="7" t="b">
        <f>C248='Gov Fnd Exp'!C248</f>
        <v>1</v>
      </c>
    </row>
    <row r="249" spans="1:30">
      <c r="A249" s="12" t="s">
        <v>275</v>
      </c>
      <c r="B249" s="12"/>
      <c r="C249" s="12" t="s">
        <v>20</v>
      </c>
      <c r="D249" s="12"/>
      <c r="E249" s="12">
        <v>46565</v>
      </c>
      <c r="G249" s="7">
        <v>14726709</v>
      </c>
      <c r="I249" s="7">
        <v>0</v>
      </c>
      <c r="K249" s="7">
        <v>0</v>
      </c>
      <c r="M249" s="7">
        <v>0</v>
      </c>
      <c r="O249" s="7">
        <v>1268600</v>
      </c>
      <c r="Q249" s="7">
        <v>0</v>
      </c>
      <c r="S249" s="8">
        <f t="shared" si="30"/>
        <v>15995309</v>
      </c>
      <c r="U249" s="7">
        <v>226912</v>
      </c>
      <c r="V249" s="7">
        <f>+'St of Net Assets - GA'!O249-'LT _Lia - GA'!U249</f>
        <v>0</v>
      </c>
      <c r="Z249" s="7" t="str">
        <f t="shared" si="26"/>
        <v>Independence Local SD</v>
      </c>
      <c r="AA249" s="7" t="str">
        <f>'Gov Fnd Exp'!A249</f>
        <v>Independence Local SD</v>
      </c>
      <c r="AB249" s="7" t="b">
        <f t="shared" si="28"/>
        <v>1</v>
      </c>
      <c r="AC249" s="7" t="str">
        <f t="shared" si="27"/>
        <v>Cuyahoga</v>
      </c>
      <c r="AD249" s="7" t="b">
        <f>C249='Gov Fnd Exp'!C249</f>
        <v>1</v>
      </c>
    </row>
    <row r="250" spans="1:30" ht="12" customHeight="1">
      <c r="A250" s="12" t="s">
        <v>373</v>
      </c>
      <c r="B250" s="12"/>
      <c r="C250" s="12" t="s">
        <v>39</v>
      </c>
      <c r="D250" s="12"/>
      <c r="E250" s="12">
        <v>47803</v>
      </c>
      <c r="G250" s="7">
        <v>11805037</v>
      </c>
      <c r="I250" s="7">
        <v>0</v>
      </c>
      <c r="K250" s="7">
        <v>0</v>
      </c>
      <c r="M250" s="7">
        <v>125620</v>
      </c>
      <c r="O250" s="7">
        <v>1234697</v>
      </c>
      <c r="Q250" s="7">
        <v>0</v>
      </c>
      <c r="S250" s="8">
        <f t="shared" si="30"/>
        <v>13165354</v>
      </c>
      <c r="U250" s="7">
        <v>709330</v>
      </c>
      <c r="V250" s="7">
        <f>+'St of Net Assets - GA'!O250-'LT _Lia - GA'!U250</f>
        <v>0</v>
      </c>
      <c r="Z250" s="7" t="str">
        <f t="shared" si="26"/>
        <v>Indian Creek Local SD</v>
      </c>
      <c r="AA250" s="7" t="str">
        <f>'Gov Fnd Exp'!A250</f>
        <v>Indian Creek Local SD</v>
      </c>
      <c r="AB250" s="7" t="b">
        <f t="shared" si="28"/>
        <v>1</v>
      </c>
      <c r="AC250" s="7" t="str">
        <f t="shared" si="27"/>
        <v>Jefferson</v>
      </c>
      <c r="AD250" s="7" t="b">
        <f>C250='Gov Fnd Exp'!C250</f>
        <v>1</v>
      </c>
    </row>
    <row r="251" spans="1:30" ht="12" customHeight="1">
      <c r="A251" s="12" t="s">
        <v>871</v>
      </c>
      <c r="B251" s="12"/>
      <c r="C251" s="12" t="s">
        <v>32</v>
      </c>
      <c r="D251" s="12"/>
      <c r="E251" s="12">
        <v>45435</v>
      </c>
      <c r="G251" s="7">
        <f>34800608-1406800+1099156</f>
        <v>34492964</v>
      </c>
      <c r="I251" s="7">
        <v>0</v>
      </c>
      <c r="K251" s="7">
        <v>0</v>
      </c>
      <c r="M251" s="7">
        <v>1069000</v>
      </c>
      <c r="O251" s="7">
        <v>1885807</v>
      </c>
      <c r="Q251" s="7">
        <v>0</v>
      </c>
      <c r="S251" s="8">
        <f t="shared" si="30"/>
        <v>37447771</v>
      </c>
      <c r="U251" s="7">
        <v>2707895</v>
      </c>
      <c r="V251" s="7">
        <f>+'St of Net Assets - GA'!O251-'LT _Lia - GA'!U251</f>
        <v>0</v>
      </c>
      <c r="Z251" s="7" t="str">
        <f t="shared" si="26"/>
        <v>Indian Hill Exempted Village SD</v>
      </c>
      <c r="AA251" s="7" t="str">
        <f>'Gov Fnd Exp'!A251</f>
        <v>Indian Hill Exempted Village SD</v>
      </c>
      <c r="AB251" s="7" t="b">
        <f t="shared" si="28"/>
        <v>1</v>
      </c>
      <c r="AC251" s="7" t="str">
        <f t="shared" si="27"/>
        <v>Hamilton</v>
      </c>
      <c r="AD251" s="7" t="b">
        <f>C251='Gov Fnd Exp'!C251</f>
        <v>1</v>
      </c>
    </row>
    <row r="252" spans="1:30" ht="12" hidden="1" customHeight="1">
      <c r="A252" s="12" t="s">
        <v>909</v>
      </c>
      <c r="B252" s="12"/>
      <c r="C252" s="12" t="s">
        <v>43</v>
      </c>
      <c r="D252" s="12"/>
      <c r="E252" s="12"/>
      <c r="S252" s="8">
        <v>0</v>
      </c>
      <c r="V252" s="7">
        <f>+'St of Net Assets - GA'!O252-'LT _Lia - GA'!U252</f>
        <v>0</v>
      </c>
      <c r="X252" s="7" t="s">
        <v>904</v>
      </c>
      <c r="Z252" s="7" t="str">
        <f t="shared" si="26"/>
        <v>Indian Lake Local SD (CASH)</v>
      </c>
      <c r="AA252" s="7" t="str">
        <f>'Gov Fnd Exp'!A252</f>
        <v>Indian Lake Local SD (CASH)</v>
      </c>
      <c r="AB252" s="7" t="b">
        <f t="shared" si="28"/>
        <v>1</v>
      </c>
      <c r="AC252" s="7" t="str">
        <f t="shared" si="27"/>
        <v>Logan</v>
      </c>
      <c r="AD252" s="7" t="b">
        <f>C252='Gov Fnd Exp'!C252</f>
        <v>1</v>
      </c>
    </row>
    <row r="253" spans="1:30" ht="12" customHeight="1">
      <c r="A253" s="12" t="s">
        <v>552</v>
      </c>
      <c r="B253" s="12"/>
      <c r="C253" s="12" t="s">
        <v>65</v>
      </c>
      <c r="D253" s="12"/>
      <c r="E253" s="12">
        <v>50286</v>
      </c>
      <c r="G253" s="7">
        <f>7190000+87994+222430+222998+2645000+1059989+518518+188733-133909</f>
        <v>12001753</v>
      </c>
      <c r="I253" s="7">
        <v>13000</v>
      </c>
      <c r="K253" s="7">
        <v>0</v>
      </c>
      <c r="M253" s="7">
        <v>185278</v>
      </c>
      <c r="O253" s="7">
        <v>1298438</v>
      </c>
      <c r="Q253" s="7">
        <v>0</v>
      </c>
      <c r="S253" s="8">
        <f t="shared" si="30"/>
        <v>13498469</v>
      </c>
      <c r="U253" s="7">
        <v>812218</v>
      </c>
      <c r="V253" s="7">
        <f>+'St of Net Assets - GA'!O253-'LT _Lia - GA'!U253</f>
        <v>0</v>
      </c>
      <c r="X253" s="14"/>
      <c r="Z253" s="7" t="str">
        <f t="shared" si="26"/>
        <v>Indian Valley Local SD</v>
      </c>
      <c r="AA253" s="7" t="str">
        <f>'Gov Fnd Exp'!A253</f>
        <v>Indian Valley Local SD</v>
      </c>
      <c r="AB253" s="7" t="b">
        <f t="shared" si="28"/>
        <v>1</v>
      </c>
      <c r="AC253" s="7" t="str">
        <f t="shared" si="27"/>
        <v>Tuscarawas</v>
      </c>
      <c r="AD253" s="7" t="b">
        <f>C253='Gov Fnd Exp'!C253</f>
        <v>1</v>
      </c>
    </row>
    <row r="254" spans="1:30" ht="12" customHeight="1">
      <c r="A254" s="12" t="s">
        <v>380</v>
      </c>
      <c r="B254" s="12"/>
      <c r="C254" s="12" t="s">
        <v>377</v>
      </c>
      <c r="D254" s="12"/>
      <c r="E254" s="12">
        <v>44149</v>
      </c>
      <c r="G254" s="7">
        <v>17602588</v>
      </c>
      <c r="I254" s="7">
        <v>0</v>
      </c>
      <c r="K254" s="7">
        <v>0</v>
      </c>
      <c r="M254" s="7">
        <v>0</v>
      </c>
      <c r="O254" s="7">
        <v>967918</v>
      </c>
      <c r="Q254" s="7">
        <v>0</v>
      </c>
      <c r="S254" s="8">
        <f t="shared" si="30"/>
        <v>18570506</v>
      </c>
      <c r="U254" s="7">
        <v>329922</v>
      </c>
      <c r="V254" s="7">
        <f>+'St of Net Assets - GA'!O254-'LT _Lia - GA'!U254</f>
        <v>0</v>
      </c>
      <c r="Z254" s="7" t="str">
        <f t="shared" si="26"/>
        <v>Ironton City SD</v>
      </c>
      <c r="AA254" s="7" t="str">
        <f>'Gov Fnd Exp'!A254</f>
        <v>Ironton City SD</v>
      </c>
      <c r="AB254" s="7" t="b">
        <f t="shared" si="28"/>
        <v>1</v>
      </c>
      <c r="AC254" s="7" t="str">
        <f t="shared" si="27"/>
        <v>Lawrence</v>
      </c>
      <c r="AD254" s="7" t="b">
        <f>C254='Gov Fnd Exp'!C254</f>
        <v>1</v>
      </c>
    </row>
    <row r="255" spans="1:30" ht="12" hidden="1" customHeight="1">
      <c r="A255" s="12" t="s">
        <v>700</v>
      </c>
      <c r="B255" s="12"/>
      <c r="C255" s="12" t="s">
        <v>61</v>
      </c>
      <c r="D255" s="12"/>
      <c r="E255" s="12">
        <v>49809</v>
      </c>
      <c r="S255" s="8">
        <f t="shared" si="30"/>
        <v>0</v>
      </c>
      <c r="V255" s="7">
        <f>+'St of Net Assets - GA'!O255-'LT _Lia - GA'!U255</f>
        <v>0</v>
      </c>
      <c r="X255" s="7" t="s">
        <v>904</v>
      </c>
      <c r="Z255" s="7" t="str">
        <f t="shared" si="26"/>
        <v>Jackson Center Local SD (CASH)</v>
      </c>
      <c r="AA255" s="7" t="str">
        <f>'Gov Fnd Exp'!A255</f>
        <v>Jackson Center Local SD (CASH)</v>
      </c>
      <c r="AB255" s="7" t="b">
        <f t="shared" si="28"/>
        <v>1</v>
      </c>
      <c r="AC255" s="7" t="str">
        <f t="shared" si="27"/>
        <v>Shelby</v>
      </c>
      <c r="AD255" s="7" t="b">
        <f>C255='Gov Fnd Exp'!C255</f>
        <v>1</v>
      </c>
    </row>
    <row r="256" spans="1:30" ht="12" hidden="1" customHeight="1">
      <c r="A256" s="12" t="s">
        <v>715</v>
      </c>
      <c r="B256" s="12"/>
      <c r="C256" s="12" t="s">
        <v>38</v>
      </c>
      <c r="D256" s="12"/>
      <c r="E256" s="12"/>
      <c r="S256" s="8">
        <f t="shared" si="30"/>
        <v>0</v>
      </c>
      <c r="V256" s="7">
        <f>+'St of Net Assets - GA'!O256-'LT _Lia - GA'!U256</f>
        <v>0</v>
      </c>
      <c r="X256" s="7" t="s">
        <v>904</v>
      </c>
      <c r="Z256" s="7" t="str">
        <f t="shared" si="26"/>
        <v>Jackson City SD (CASH)</v>
      </c>
      <c r="AA256" s="7" t="str">
        <f>'Gov Fnd Exp'!A256</f>
        <v>Jackson City SD (CASH)</v>
      </c>
      <c r="AB256" s="7" t="b">
        <f t="shared" si="28"/>
        <v>1</v>
      </c>
      <c r="AC256" s="7" t="str">
        <f t="shared" si="27"/>
        <v>Jackson</v>
      </c>
      <c r="AD256" s="7" t="b">
        <f>C256='Gov Fnd Exp'!C256</f>
        <v>1</v>
      </c>
    </row>
    <row r="257" spans="1:30" ht="12" customHeight="1">
      <c r="A257" s="12" t="s">
        <v>512</v>
      </c>
      <c r="B257" s="12"/>
      <c r="C257" s="12" t="s">
        <v>62</v>
      </c>
      <c r="D257" s="12"/>
      <c r="E257" s="12">
        <v>49858</v>
      </c>
      <c r="G257" s="7">
        <f>65170490-2213829+3726418</f>
        <v>66683079</v>
      </c>
      <c r="I257" s="7">
        <v>0</v>
      </c>
      <c r="K257" s="7">
        <v>0</v>
      </c>
      <c r="M257" s="7">
        <v>29694</v>
      </c>
      <c r="O257" s="7">
        <v>4462743</v>
      </c>
      <c r="Q257" s="7">
        <v>175000</v>
      </c>
      <c r="S257" s="8">
        <f t="shared" si="30"/>
        <v>71350516</v>
      </c>
      <c r="U257" s="7">
        <v>5141371</v>
      </c>
      <c r="V257" s="7">
        <f>+'St of Net Assets - GA'!O257-'LT _Lia - GA'!U257</f>
        <v>0</v>
      </c>
      <c r="Z257" s="7" t="str">
        <f t="shared" si="26"/>
        <v>Jackson Local SD</v>
      </c>
      <c r="AA257" s="7" t="str">
        <f>'Gov Fnd Exp'!A257</f>
        <v>Jackson Local SD</v>
      </c>
      <c r="AB257" s="7" t="b">
        <f t="shared" si="28"/>
        <v>1</v>
      </c>
      <c r="AC257" s="7" t="str">
        <f t="shared" si="27"/>
        <v>Stark</v>
      </c>
      <c r="AD257" s="7" t="b">
        <f>C257='Gov Fnd Exp'!C257</f>
        <v>1</v>
      </c>
    </row>
    <row r="258" spans="1:30" ht="12" customHeight="1">
      <c r="A258" s="12" t="s">
        <v>417</v>
      </c>
      <c r="B258" s="12"/>
      <c r="C258" s="12" t="s">
        <v>45</v>
      </c>
      <c r="D258" s="12"/>
      <c r="E258" s="12">
        <v>48322</v>
      </c>
      <c r="G258" s="7">
        <v>0</v>
      </c>
      <c r="I258" s="7">
        <v>0</v>
      </c>
      <c r="K258" s="7">
        <f>55004+14925000-173047</f>
        <v>14806957</v>
      </c>
      <c r="M258" s="7">
        <v>0</v>
      </c>
      <c r="O258" s="7">
        <v>647938</v>
      </c>
      <c r="Q258" s="7">
        <v>0</v>
      </c>
      <c r="S258" s="8">
        <f t="shared" si="30"/>
        <v>15454895</v>
      </c>
      <c r="U258" s="7">
        <v>455414</v>
      </c>
      <c r="V258" s="7">
        <f>+'St of Net Assets - GA'!O258-'LT _Lia - GA'!U258</f>
        <v>0</v>
      </c>
      <c r="Z258" s="7" t="str">
        <f t="shared" si="26"/>
        <v>Jackson-Milton Local SD</v>
      </c>
      <c r="AA258" s="7" t="str">
        <f>'Gov Fnd Exp'!A258</f>
        <v>Jackson-Milton Local SD</v>
      </c>
      <c r="AB258" s="7" t="b">
        <f t="shared" si="28"/>
        <v>1</v>
      </c>
      <c r="AC258" s="7" t="str">
        <f t="shared" si="27"/>
        <v>Mahoning</v>
      </c>
      <c r="AD258" s="7" t="b">
        <f>C258='Gov Fnd Exp'!C258</f>
        <v>1</v>
      </c>
    </row>
    <row r="259" spans="1:30" ht="12" customHeight="1">
      <c r="A259" s="12" t="s">
        <v>475</v>
      </c>
      <c r="B259" s="12"/>
      <c r="C259" s="12" t="s">
        <v>56</v>
      </c>
      <c r="D259" s="12"/>
      <c r="E259" s="12">
        <v>49205</v>
      </c>
      <c r="G259" s="7">
        <f>4967221-116064+201625</f>
        <v>5052782</v>
      </c>
      <c r="I259" s="7">
        <v>0</v>
      </c>
      <c r="K259" s="7">
        <v>0</v>
      </c>
      <c r="M259" s="7">
        <v>8373</v>
      </c>
      <c r="O259" s="7">
        <v>808976</v>
      </c>
      <c r="Q259" s="7">
        <v>0</v>
      </c>
      <c r="S259" s="8">
        <f t="shared" si="30"/>
        <v>5870131</v>
      </c>
      <c r="U259" s="7">
        <v>352681</v>
      </c>
      <c r="V259" s="7">
        <f>+'St of Net Assets - GA'!O259-'LT _Lia - GA'!U259</f>
        <v>0</v>
      </c>
      <c r="Z259" s="7" t="str">
        <f t="shared" si="26"/>
        <v>James A Garfield Local SD</v>
      </c>
      <c r="AA259" s="7" t="str">
        <f>'Gov Fnd Exp'!A259</f>
        <v>James A Garfield Local SD</v>
      </c>
      <c r="AB259" s="7" t="b">
        <f t="shared" si="28"/>
        <v>1</v>
      </c>
      <c r="AC259" s="7" t="str">
        <f t="shared" si="27"/>
        <v>Portage</v>
      </c>
      <c r="AD259" s="7" t="b">
        <f>C259='Gov Fnd Exp'!C259</f>
        <v>1</v>
      </c>
    </row>
    <row r="260" spans="1:30">
      <c r="A260" s="12" t="s">
        <v>210</v>
      </c>
      <c r="B260" s="12"/>
      <c r="C260" s="12" t="s">
        <v>12</v>
      </c>
      <c r="D260" s="12"/>
      <c r="E260" s="12">
        <v>45872</v>
      </c>
      <c r="G260" s="7">
        <v>19514807</v>
      </c>
      <c r="I260" s="7">
        <v>0</v>
      </c>
      <c r="K260" s="7">
        <v>105000</v>
      </c>
      <c r="M260" s="7">
        <v>0</v>
      </c>
      <c r="O260" s="7">
        <v>1009061</v>
      </c>
      <c r="Q260" s="7">
        <v>0</v>
      </c>
      <c r="S260" s="8">
        <f t="shared" si="30"/>
        <v>20628868</v>
      </c>
      <c r="U260" s="7">
        <v>608652</v>
      </c>
      <c r="V260" s="7">
        <f>+'St of Net Assets - GA'!O260-'LT _Lia - GA'!U260</f>
        <v>0</v>
      </c>
      <c r="Z260" s="7" t="str">
        <f t="shared" si="26"/>
        <v>Jefferson Area Local SD</v>
      </c>
      <c r="AA260" s="7" t="str">
        <f>'Gov Fnd Exp'!A260</f>
        <v>Jefferson Area Local SD</v>
      </c>
      <c r="AB260" s="7" t="b">
        <f t="shared" si="28"/>
        <v>1</v>
      </c>
      <c r="AC260" s="7" t="str">
        <f t="shared" si="27"/>
        <v>Ashtabula</v>
      </c>
      <c r="AD260" s="7" t="b">
        <f>C260='Gov Fnd Exp'!C260</f>
        <v>1</v>
      </c>
    </row>
    <row r="261" spans="1:30">
      <c r="A261" s="12" t="s">
        <v>410</v>
      </c>
      <c r="B261" s="12"/>
      <c r="C261" s="12" t="s">
        <v>411</v>
      </c>
      <c r="D261" s="12"/>
      <c r="E261" s="12">
        <v>48256</v>
      </c>
      <c r="G261" s="7">
        <f>295671+12630000+142037</f>
        <v>13067708</v>
      </c>
      <c r="I261" s="7">
        <v>0</v>
      </c>
      <c r="K261" s="7">
        <v>900000</v>
      </c>
      <c r="M261" s="7">
        <v>0</v>
      </c>
      <c r="O261" s="7">
        <v>1020840</v>
      </c>
      <c r="Q261" s="7">
        <v>60000</v>
      </c>
      <c r="S261" s="8">
        <f t="shared" si="30"/>
        <v>15048548</v>
      </c>
      <c r="U261" s="7">
        <v>1521931</v>
      </c>
      <c r="V261" s="7">
        <f>+'St of Net Assets - GA'!O261-'LT _Lia - GA'!U261</f>
        <v>0</v>
      </c>
      <c r="Z261" s="7" t="str">
        <f t="shared" si="26"/>
        <v>Jefferson Local SD</v>
      </c>
      <c r="AA261" s="7" t="str">
        <f>'Gov Fnd Exp'!A261</f>
        <v>Jefferson Local SD</v>
      </c>
      <c r="AB261" s="7" t="b">
        <f t="shared" si="28"/>
        <v>1</v>
      </c>
      <c r="AC261" s="7" t="str">
        <f t="shared" si="27"/>
        <v>Madison</v>
      </c>
      <c r="AD261" s="7" t="b">
        <f>C261='Gov Fnd Exp'!C261</f>
        <v>1</v>
      </c>
    </row>
    <row r="262" spans="1:30">
      <c r="A262" s="12" t="s">
        <v>716</v>
      </c>
      <c r="B262" s="12"/>
      <c r="C262" s="12" t="s">
        <v>50</v>
      </c>
      <c r="D262" s="12"/>
      <c r="E262" s="12">
        <v>48686</v>
      </c>
      <c r="G262" s="7">
        <v>0</v>
      </c>
      <c r="I262" s="7">
        <v>0</v>
      </c>
      <c r="K262" s="7">
        <v>604000</v>
      </c>
      <c r="M262" s="7">
        <v>0</v>
      </c>
      <c r="O262" s="7">
        <v>226343</v>
      </c>
      <c r="Q262" s="7">
        <v>0</v>
      </c>
      <c r="S262" s="8">
        <f t="shared" si="30"/>
        <v>830343</v>
      </c>
      <c r="U262" s="7">
        <v>63781</v>
      </c>
      <c r="V262" s="7">
        <f>+'St of Net Assets - GA'!O262-'LT _Lia - GA'!U262</f>
        <v>0</v>
      </c>
      <c r="Z262" s="7" t="str">
        <f t="shared" si="26"/>
        <v xml:space="preserve">Jefferson Township Local SD </v>
      </c>
      <c r="AA262" s="7" t="str">
        <f>'Gov Fnd Exp'!A262</f>
        <v xml:space="preserve">Jefferson Township Local SD </v>
      </c>
      <c r="AB262" s="7" t="b">
        <f t="shared" si="28"/>
        <v>1</v>
      </c>
      <c r="AC262" s="7" t="str">
        <f t="shared" si="27"/>
        <v>Montgomery</v>
      </c>
      <c r="AD262" s="7" t="b">
        <f>C262='Gov Fnd Exp'!C262</f>
        <v>1</v>
      </c>
    </row>
    <row r="263" spans="1:30" hidden="1">
      <c r="A263" s="12" t="s">
        <v>910</v>
      </c>
      <c r="B263" s="12"/>
      <c r="C263" s="12" t="s">
        <v>482</v>
      </c>
      <c r="D263" s="12"/>
      <c r="E263" s="12"/>
      <c r="S263" s="8">
        <f t="shared" si="30"/>
        <v>0</v>
      </c>
      <c r="V263" s="7">
        <f>+'St of Net Assets - GA'!O263-'LT _Lia - GA'!U263</f>
        <v>0</v>
      </c>
      <c r="X263" s="7" t="s">
        <v>904</v>
      </c>
      <c r="Z263" s="7" t="str">
        <f t="shared" si="26"/>
        <v xml:space="preserve">Jennings Local SD (CASH) </v>
      </c>
      <c r="AA263" s="7" t="str">
        <f>'Gov Fnd Exp'!A263</f>
        <v xml:space="preserve">Jennings Local SD (CASH) </v>
      </c>
      <c r="AB263" s="7" t="b">
        <f t="shared" si="28"/>
        <v>1</v>
      </c>
      <c r="AC263" s="7" t="str">
        <f t="shared" si="27"/>
        <v>Putnam</v>
      </c>
      <c r="AD263" s="7" t="b">
        <f>C263='Gov Fnd Exp'!C263</f>
        <v>1</v>
      </c>
    </row>
    <row r="264" spans="1:30">
      <c r="A264" s="12" t="s">
        <v>385</v>
      </c>
      <c r="B264" s="12"/>
      <c r="C264" s="12" t="s">
        <v>42</v>
      </c>
      <c r="D264" s="12"/>
      <c r="E264" s="12">
        <v>47985</v>
      </c>
      <c r="G264" s="7">
        <v>0</v>
      </c>
      <c r="I264" s="7">
        <v>0</v>
      </c>
      <c r="K264" s="7">
        <v>435658</v>
      </c>
      <c r="M264" s="7">
        <v>0</v>
      </c>
      <c r="O264" s="7">
        <v>491127</v>
      </c>
      <c r="Q264" s="7">
        <v>0</v>
      </c>
      <c r="S264" s="8">
        <f t="shared" si="30"/>
        <v>926785</v>
      </c>
      <c r="U264" s="7">
        <v>186052</v>
      </c>
      <c r="V264" s="7">
        <f>+'St of Net Assets - GA'!O264-'LT _Lia - GA'!U264</f>
        <v>0</v>
      </c>
      <c r="Z264" s="7" t="str">
        <f t="shared" si="26"/>
        <v>Johnstown-Monroe Local SD</v>
      </c>
      <c r="AA264" s="7" t="str">
        <f>'Gov Fnd Exp'!A264</f>
        <v>Johnstown-Monroe Local SD</v>
      </c>
      <c r="AB264" s="7" t="b">
        <f t="shared" si="28"/>
        <v>1</v>
      </c>
      <c r="AC264" s="7" t="str">
        <f t="shared" si="27"/>
        <v>Licking</v>
      </c>
      <c r="AD264" s="7" t="b">
        <f>C264='Gov Fnd Exp'!C264</f>
        <v>1</v>
      </c>
    </row>
    <row r="265" spans="1:30">
      <c r="A265" s="12" t="s">
        <v>412</v>
      </c>
      <c r="B265" s="12"/>
      <c r="C265" s="12" t="s">
        <v>411</v>
      </c>
      <c r="D265" s="12"/>
      <c r="E265" s="12">
        <v>48264</v>
      </c>
      <c r="G265" s="7">
        <f>21839567+968467-844195</f>
        <v>21963839</v>
      </c>
      <c r="I265" s="7">
        <v>0</v>
      </c>
      <c r="K265" s="7">
        <v>0</v>
      </c>
      <c r="M265" s="7">
        <v>0</v>
      </c>
      <c r="O265" s="7">
        <v>973573</v>
      </c>
      <c r="Q265" s="7">
        <v>0</v>
      </c>
      <c r="S265" s="8">
        <f t="shared" si="30"/>
        <v>22937412</v>
      </c>
      <c r="U265" s="7">
        <v>1046106</v>
      </c>
      <c r="V265" s="7">
        <f>+'St of Net Assets - GA'!O265-'LT _Lia - GA'!U265</f>
        <v>0</v>
      </c>
      <c r="Z265" s="7" t="str">
        <f t="shared" si="26"/>
        <v>Jonathan Alder Local SD</v>
      </c>
      <c r="AA265" s="7" t="str">
        <f>'Gov Fnd Exp'!A265</f>
        <v>Jonathan Alder Local SD</v>
      </c>
      <c r="AB265" s="7" t="b">
        <f t="shared" si="28"/>
        <v>1</v>
      </c>
      <c r="AC265" s="7" t="str">
        <f t="shared" si="27"/>
        <v>Madison</v>
      </c>
      <c r="AD265" s="7" t="b">
        <f>C265='Gov Fnd Exp'!C265</f>
        <v>1</v>
      </c>
    </row>
    <row r="266" spans="1:30">
      <c r="A266" s="12" t="s">
        <v>539</v>
      </c>
      <c r="B266" s="12"/>
      <c r="C266" s="12" t="s">
        <v>64</v>
      </c>
      <c r="D266" s="12"/>
      <c r="E266" s="12">
        <v>50179</v>
      </c>
      <c r="G266" s="7">
        <v>8283735</v>
      </c>
      <c r="I266" s="7">
        <v>0</v>
      </c>
      <c r="K266" s="7">
        <v>0</v>
      </c>
      <c r="M266" s="7">
        <v>0</v>
      </c>
      <c r="O266" s="7">
        <v>638861</v>
      </c>
      <c r="Q266" s="7">
        <v>0</v>
      </c>
      <c r="S266" s="8">
        <f t="shared" si="30"/>
        <v>8922596</v>
      </c>
      <c r="U266" s="7">
        <v>656092</v>
      </c>
      <c r="V266" s="7">
        <f>+'St of Net Assets - GA'!O266-'LT _Lia - GA'!U266</f>
        <v>0</v>
      </c>
      <c r="Z266" s="7" t="str">
        <f t="shared" si="26"/>
        <v>Joseph Badger Local SD</v>
      </c>
      <c r="AA266" s="7" t="str">
        <f>'Gov Fnd Exp'!A266</f>
        <v>Joseph Badger Local SD</v>
      </c>
      <c r="AB266" s="7" t="b">
        <f t="shared" si="28"/>
        <v>1</v>
      </c>
      <c r="AC266" s="7" t="str">
        <f t="shared" si="27"/>
        <v>Trumbull</v>
      </c>
      <c r="AD266" s="7" t="b">
        <f>C266='Gov Fnd Exp'!C266</f>
        <v>1</v>
      </c>
    </row>
    <row r="267" spans="1:30">
      <c r="A267" s="12" t="s">
        <v>293</v>
      </c>
      <c r="B267" s="12"/>
      <c r="C267" s="12" t="s">
        <v>24</v>
      </c>
      <c r="D267" s="12"/>
      <c r="E267" s="12">
        <v>46797</v>
      </c>
      <c r="G267" s="7">
        <v>0</v>
      </c>
      <c r="I267" s="7">
        <v>0</v>
      </c>
      <c r="K267" s="7">
        <v>0</v>
      </c>
      <c r="M267" s="7">
        <v>0</v>
      </c>
      <c r="O267" s="7">
        <v>9731</v>
      </c>
      <c r="Q267" s="7">
        <v>0</v>
      </c>
      <c r="S267" s="8">
        <f t="shared" si="30"/>
        <v>9731</v>
      </c>
      <c r="U267" s="7">
        <v>0</v>
      </c>
      <c r="V267" s="7">
        <f>+'St of Net Assets - GA'!O267-'LT _Lia - GA'!U267</f>
        <v>0</v>
      </c>
      <c r="Z267" s="7" t="str">
        <f t="shared" si="26"/>
        <v>Kelleys Island Local SD</v>
      </c>
      <c r="AA267" s="7" t="str">
        <f>'Gov Fnd Exp'!A267</f>
        <v>Kelleys Island Local SD</v>
      </c>
      <c r="AB267" s="7" t="b">
        <f t="shared" si="28"/>
        <v>1</v>
      </c>
      <c r="AC267" s="7" t="str">
        <f t="shared" si="27"/>
        <v>Erie</v>
      </c>
      <c r="AD267" s="7" t="b">
        <f>C267='Gov Fnd Exp'!C267</f>
        <v>1</v>
      </c>
    </row>
    <row r="268" spans="1:30">
      <c r="A268" s="12" t="s">
        <v>321</v>
      </c>
      <c r="B268" s="12"/>
      <c r="C268" s="12" t="s">
        <v>30</v>
      </c>
      <c r="D268" s="12"/>
      <c r="E268" s="12">
        <v>47191</v>
      </c>
      <c r="G268" s="7">
        <f>43210000+284269+141005-39136</f>
        <v>43596138</v>
      </c>
      <c r="I268" s="7">
        <v>0</v>
      </c>
      <c r="K268" s="7">
        <v>0</v>
      </c>
      <c r="M268" s="7">
        <v>253241</v>
      </c>
      <c r="O268" s="7">
        <v>2981552</v>
      </c>
      <c r="Q268" s="7">
        <v>0</v>
      </c>
      <c r="S268" s="8">
        <f t="shared" si="30"/>
        <v>46830931</v>
      </c>
      <c r="U268" s="7">
        <v>2626086</v>
      </c>
      <c r="V268" s="7">
        <f>+'St of Net Assets - GA'!O268-'LT _Lia - GA'!U268</f>
        <v>0</v>
      </c>
      <c r="Z268" s="7" t="str">
        <f t="shared" ref="Z268:Z333" si="31">A268</f>
        <v>Kenston Local SD</v>
      </c>
      <c r="AA268" s="7" t="str">
        <f>'Gov Fnd Exp'!A268</f>
        <v>Kenston Local SD</v>
      </c>
      <c r="AB268" s="7" t="b">
        <f t="shared" si="28"/>
        <v>1</v>
      </c>
      <c r="AC268" s="7" t="str">
        <f t="shared" ref="AC268:AC332" si="32">C268</f>
        <v>Geauga</v>
      </c>
      <c r="AD268" s="7" t="b">
        <f>C268='Gov Fnd Exp'!C268</f>
        <v>1</v>
      </c>
    </row>
    <row r="269" spans="1:30">
      <c r="A269" s="12" t="s">
        <v>476</v>
      </c>
      <c r="B269" s="12"/>
      <c r="C269" s="12" t="s">
        <v>56</v>
      </c>
      <c r="D269" s="12"/>
      <c r="E269" s="12">
        <v>44164</v>
      </c>
      <c r="G269" s="7">
        <v>24236415</v>
      </c>
      <c r="I269" s="7">
        <v>0</v>
      </c>
      <c r="K269" s="7">
        <v>0</v>
      </c>
      <c r="M269" s="7">
        <v>1181028</v>
      </c>
      <c r="O269" s="7">
        <v>2981469</v>
      </c>
      <c r="Q269" s="7">
        <v>0</v>
      </c>
      <c r="S269" s="8">
        <f t="shared" si="30"/>
        <v>28398912</v>
      </c>
      <c r="U269" s="7">
        <v>2371021</v>
      </c>
      <c r="V269" s="7">
        <f>+'St of Net Assets - GA'!O269-'LT _Lia - GA'!U269</f>
        <v>0</v>
      </c>
      <c r="Z269" s="7" t="str">
        <f t="shared" si="31"/>
        <v>Kent City SD</v>
      </c>
      <c r="AA269" s="7" t="str">
        <f>'Gov Fnd Exp'!A269</f>
        <v>Kent City SD</v>
      </c>
      <c r="AB269" s="7" t="b">
        <f t="shared" ref="AB269:AB334" si="33">Z269=AA269</f>
        <v>1</v>
      </c>
      <c r="AC269" s="7" t="str">
        <f t="shared" si="32"/>
        <v>Portage</v>
      </c>
      <c r="AD269" s="7" t="b">
        <f>C269='Gov Fnd Exp'!C269</f>
        <v>1</v>
      </c>
    </row>
    <row r="270" spans="1:30">
      <c r="A270" s="12" t="s">
        <v>350</v>
      </c>
      <c r="B270" s="12"/>
      <c r="C270" s="12" t="s">
        <v>348</v>
      </c>
      <c r="D270" s="12"/>
      <c r="E270" s="12">
        <v>44172</v>
      </c>
      <c r="G270" s="7">
        <v>0</v>
      </c>
      <c r="I270" s="7">
        <v>0</v>
      </c>
      <c r="K270" s="7">
        <v>0</v>
      </c>
      <c r="M270" s="7">
        <v>67857</v>
      </c>
      <c r="O270" s="7">
        <v>1069451</v>
      </c>
      <c r="Q270" s="7">
        <v>0</v>
      </c>
      <c r="S270" s="8">
        <f t="shared" si="30"/>
        <v>1137308</v>
      </c>
      <c r="U270" s="7">
        <v>109314</v>
      </c>
      <c r="V270" s="7">
        <f>+'St of Net Assets - GA'!O270-'LT _Lia - GA'!U270</f>
        <v>0</v>
      </c>
      <c r="Z270" s="7" t="str">
        <f t="shared" si="31"/>
        <v>Kenton City SD</v>
      </c>
      <c r="AA270" s="7" t="str">
        <f>'Gov Fnd Exp'!A270</f>
        <v>Kenton City SD</v>
      </c>
      <c r="AB270" s="7" t="b">
        <f t="shared" si="33"/>
        <v>1</v>
      </c>
      <c r="AC270" s="7" t="str">
        <f t="shared" si="32"/>
        <v>Hardin</v>
      </c>
      <c r="AD270" s="7" t="b">
        <f>C270='Gov Fnd Exp'!C270</f>
        <v>1</v>
      </c>
    </row>
    <row r="271" spans="1:30" s="32" customFormat="1">
      <c r="A271" s="31" t="s">
        <v>444</v>
      </c>
      <c r="B271" s="31"/>
      <c r="C271" s="31" t="s">
        <v>50</v>
      </c>
      <c r="D271" s="31"/>
      <c r="E271" s="31">
        <v>44180</v>
      </c>
      <c r="G271" s="32">
        <v>95327159</v>
      </c>
      <c r="I271" s="32">
        <v>0</v>
      </c>
      <c r="K271" s="32">
        <v>0</v>
      </c>
      <c r="M271" s="32">
        <v>172361</v>
      </c>
      <c r="O271" s="32">
        <v>8413349</v>
      </c>
      <c r="Q271" s="32">
        <v>0</v>
      </c>
      <c r="S271" s="36">
        <f t="shared" si="30"/>
        <v>103912869</v>
      </c>
      <c r="U271" s="32">
        <v>3930427</v>
      </c>
      <c r="V271" s="32">
        <f>+'St of Net Assets - GA'!O271-'LT _Lia - GA'!U271</f>
        <v>0</v>
      </c>
      <c r="Z271" s="32" t="str">
        <f t="shared" si="31"/>
        <v>Kettering City SD</v>
      </c>
      <c r="AA271" s="32" t="str">
        <f>'Gov Fnd Exp'!A271</f>
        <v>Kettering City SD</v>
      </c>
      <c r="AB271" s="32" t="b">
        <f t="shared" si="33"/>
        <v>1</v>
      </c>
      <c r="AC271" s="32" t="str">
        <f t="shared" si="32"/>
        <v>Montgomery</v>
      </c>
      <c r="AD271" s="32" t="b">
        <f>C271='Gov Fnd Exp'!C271</f>
        <v>1</v>
      </c>
    </row>
    <row r="272" spans="1:30">
      <c r="A272" s="12" t="s">
        <v>666</v>
      </c>
      <c r="B272" s="12"/>
      <c r="C272" s="12" t="s">
        <v>44</v>
      </c>
      <c r="D272" s="12"/>
      <c r="E272" s="12">
        <v>48165</v>
      </c>
      <c r="G272" s="7">
        <f>25131649+222773</f>
        <v>25354422</v>
      </c>
      <c r="I272" s="7">
        <v>0</v>
      </c>
      <c r="K272" s="7">
        <v>800000</v>
      </c>
      <c r="M272" s="7">
        <v>340081</v>
      </c>
      <c r="O272" s="7">
        <v>769424</v>
      </c>
      <c r="Q272" s="7">
        <f>50000+38156</f>
        <v>88156</v>
      </c>
      <c r="S272" s="8">
        <f t="shared" si="30"/>
        <v>27352083</v>
      </c>
      <c r="U272" s="7">
        <v>490931</v>
      </c>
      <c r="V272" s="7">
        <f>+'St of Net Assets - GA'!O272-'LT _Lia - GA'!U272</f>
        <v>0</v>
      </c>
      <c r="Z272" s="7" t="str">
        <f t="shared" si="31"/>
        <v xml:space="preserve">Keystone Local SD </v>
      </c>
      <c r="AA272" s="7" t="str">
        <f>'Gov Fnd Exp'!A272</f>
        <v xml:space="preserve">Keystone Local SD </v>
      </c>
      <c r="AB272" s="7" t="b">
        <f t="shared" si="33"/>
        <v>1</v>
      </c>
      <c r="AC272" s="7" t="str">
        <f t="shared" si="32"/>
        <v>Lorain</v>
      </c>
      <c r="AD272" s="7" t="b">
        <f>C272='Gov Fnd Exp'!C272</f>
        <v>1</v>
      </c>
    </row>
    <row r="273" spans="1:30">
      <c r="A273" s="12" t="s">
        <v>761</v>
      </c>
      <c r="B273" s="12"/>
      <c r="C273" s="12" t="s">
        <v>69</v>
      </c>
      <c r="D273" s="12"/>
      <c r="E273" s="12">
        <v>50435</v>
      </c>
      <c r="G273" s="7">
        <f>3110000+14718+2440000+4220000+15515000+1551424+115000+657610+26480000+753482</f>
        <v>54857234</v>
      </c>
      <c r="I273" s="7">
        <v>0</v>
      </c>
      <c r="K273" s="7">
        <v>0</v>
      </c>
      <c r="M273" s="7">
        <v>0</v>
      </c>
      <c r="O273" s="7">
        <v>3570534</v>
      </c>
      <c r="Q273" s="7">
        <v>0</v>
      </c>
      <c r="S273" s="8">
        <f t="shared" si="30"/>
        <v>58427768</v>
      </c>
      <c r="U273" s="7">
        <v>1415169</v>
      </c>
      <c r="V273" s="7">
        <f>+'St of Net Assets - GA'!O273-'LT _Lia - GA'!U273</f>
        <v>0</v>
      </c>
      <c r="X273" s="14"/>
      <c r="Z273" s="7" t="str">
        <f t="shared" si="31"/>
        <v xml:space="preserve">Kings Local SD  </v>
      </c>
      <c r="AA273" s="7" t="str">
        <f>'Gov Fnd Exp'!A273</f>
        <v xml:space="preserve">Kings Local SD  </v>
      </c>
      <c r="AB273" s="7" t="b">
        <f t="shared" si="33"/>
        <v>1</v>
      </c>
      <c r="AC273" s="7" t="str">
        <f t="shared" si="32"/>
        <v>Warren</v>
      </c>
      <c r="AD273" s="7" t="b">
        <f>C273='Gov Fnd Exp'!C273</f>
        <v>1</v>
      </c>
    </row>
    <row r="274" spans="1:30" hidden="1">
      <c r="A274" s="12" t="s">
        <v>729</v>
      </c>
      <c r="B274" s="12"/>
      <c r="C274" s="12" t="s">
        <v>41</v>
      </c>
      <c r="D274" s="12"/>
      <c r="E274" s="12">
        <v>47878</v>
      </c>
      <c r="S274" s="8">
        <f t="shared" si="30"/>
        <v>0</v>
      </c>
      <c r="V274" s="7">
        <f>+'St of Net Assets - GA'!O274-'LT _Lia - GA'!U274</f>
        <v>0</v>
      </c>
      <c r="X274" s="7" t="s">
        <v>916</v>
      </c>
      <c r="Z274" s="7" t="str">
        <f t="shared" si="31"/>
        <v>Kirtland Local SD (CASH)</v>
      </c>
      <c r="AA274" s="7" t="str">
        <f>'Gov Fnd Exp'!A274</f>
        <v>Kirtland Local SD (CASH)</v>
      </c>
      <c r="AB274" s="7" t="b">
        <f t="shared" si="33"/>
        <v>1</v>
      </c>
      <c r="AC274" s="7" t="str">
        <f t="shared" si="32"/>
        <v>Lake</v>
      </c>
      <c r="AD274" s="7" t="b">
        <f>C274='Gov Fnd Exp'!C274</f>
        <v>1</v>
      </c>
    </row>
    <row r="275" spans="1:30">
      <c r="A275" s="12" t="s">
        <v>540</v>
      </c>
      <c r="B275" s="12"/>
      <c r="C275" s="12" t="s">
        <v>64</v>
      </c>
      <c r="D275" s="12"/>
      <c r="E275" s="12">
        <v>50245</v>
      </c>
      <c r="G275" s="7">
        <f>5805000+213994+313633</f>
        <v>6332627</v>
      </c>
      <c r="I275" s="7">
        <v>1795000</v>
      </c>
      <c r="K275" s="7">
        <v>0</v>
      </c>
      <c r="M275" s="7">
        <v>0</v>
      </c>
      <c r="O275" s="7">
        <v>571122</v>
      </c>
      <c r="Q275" s="7">
        <v>0</v>
      </c>
      <c r="S275" s="8">
        <f t="shared" si="30"/>
        <v>8698749</v>
      </c>
      <c r="U275" s="7">
        <v>433155</v>
      </c>
      <c r="V275" s="7">
        <f>+'St of Net Assets - GA'!O275-'LT _Lia - GA'!U275</f>
        <v>0</v>
      </c>
      <c r="Z275" s="7" t="str">
        <f t="shared" si="31"/>
        <v>LaBrae Local SD</v>
      </c>
      <c r="AA275" s="7" t="str">
        <f>'Gov Fnd Exp'!A275</f>
        <v>LaBrae Local SD</v>
      </c>
      <c r="AB275" s="7" t="b">
        <f t="shared" si="33"/>
        <v>1</v>
      </c>
      <c r="AC275" s="7" t="str">
        <f t="shared" si="32"/>
        <v>Trumbull</v>
      </c>
      <c r="AD275" s="7" t="b">
        <f>C275='Gov Fnd Exp'!C275</f>
        <v>1</v>
      </c>
    </row>
    <row r="276" spans="1:30">
      <c r="A276" s="12" t="s">
        <v>513</v>
      </c>
      <c r="B276" s="12"/>
      <c r="C276" s="12" t="s">
        <v>62</v>
      </c>
      <c r="D276" s="12"/>
      <c r="E276" s="12">
        <v>49866</v>
      </c>
      <c r="G276" s="7">
        <v>23782860</v>
      </c>
      <c r="I276" s="7">
        <v>0</v>
      </c>
      <c r="K276" s="7">
        <v>0</v>
      </c>
      <c r="M276" s="7">
        <v>0</v>
      </c>
      <c r="O276" s="7">
        <v>1020660</v>
      </c>
      <c r="Q276" s="7">
        <v>0</v>
      </c>
      <c r="S276" s="8">
        <f t="shared" si="30"/>
        <v>24803520</v>
      </c>
      <c r="U276" s="7">
        <v>1375123</v>
      </c>
      <c r="V276" s="7">
        <f>+'St of Net Assets - GA'!O276-'LT _Lia - GA'!U276</f>
        <v>0</v>
      </c>
      <c r="Z276" s="7" t="str">
        <f t="shared" si="31"/>
        <v>Lake Local SD</v>
      </c>
      <c r="AA276" s="7" t="str">
        <f>'Gov Fnd Exp'!A276</f>
        <v>Lake Local SD</v>
      </c>
      <c r="AB276" s="7" t="b">
        <f t="shared" si="33"/>
        <v>1</v>
      </c>
      <c r="AC276" s="7" t="str">
        <f t="shared" si="32"/>
        <v>Stark</v>
      </c>
      <c r="AD276" s="7" t="b">
        <f>C276='Gov Fnd Exp'!C276</f>
        <v>1</v>
      </c>
    </row>
    <row r="277" spans="1:30" hidden="1">
      <c r="A277" s="12" t="s">
        <v>913</v>
      </c>
      <c r="B277" s="12"/>
      <c r="C277" s="12" t="s">
        <v>72</v>
      </c>
      <c r="D277" s="12"/>
      <c r="E277" s="12">
        <v>50690</v>
      </c>
      <c r="S277" s="8">
        <f t="shared" si="30"/>
        <v>0</v>
      </c>
      <c r="V277" s="7">
        <f>+'St of Net Assets - GA'!O277-'LT _Lia - GA'!U277</f>
        <v>0</v>
      </c>
      <c r="X277" s="7" t="s">
        <v>912</v>
      </c>
      <c r="Z277" s="7" t="str">
        <f t="shared" si="31"/>
        <v>Lake Local SD (CASH)</v>
      </c>
      <c r="AA277" s="7" t="str">
        <f>'Gov Fnd Exp'!A277</f>
        <v>Lake Local SD (CASH)</v>
      </c>
      <c r="AB277" s="7" t="b">
        <f t="shared" si="33"/>
        <v>1</v>
      </c>
      <c r="AC277" s="7" t="str">
        <f t="shared" si="32"/>
        <v>Wood</v>
      </c>
      <c r="AD277" s="7" t="b">
        <f>C277='Gov Fnd Exp'!C277</f>
        <v>1</v>
      </c>
    </row>
    <row r="278" spans="1:30">
      <c r="A278" s="12" t="s">
        <v>541</v>
      </c>
      <c r="B278" s="12"/>
      <c r="C278" s="12" t="s">
        <v>64</v>
      </c>
      <c r="D278" s="12"/>
      <c r="E278" s="12">
        <v>50187</v>
      </c>
      <c r="G278" s="7">
        <v>3098860</v>
      </c>
      <c r="I278" s="7">
        <v>0</v>
      </c>
      <c r="K278" s="7">
        <v>61601</v>
      </c>
      <c r="M278" s="7">
        <v>448000</v>
      </c>
      <c r="O278" s="7">
        <v>1640719</v>
      </c>
      <c r="Q278" s="7">
        <v>0</v>
      </c>
      <c r="S278" s="8">
        <f t="shared" si="30"/>
        <v>5249180</v>
      </c>
      <c r="U278" s="7">
        <v>756528</v>
      </c>
      <c r="V278" s="7">
        <f>+'St of Net Assets - GA'!O278-'LT _Lia - GA'!U278</f>
        <v>0</v>
      </c>
      <c r="Z278" s="7" t="str">
        <f t="shared" si="31"/>
        <v>Lakeview Local SD</v>
      </c>
      <c r="AA278" s="7" t="str">
        <f>'Gov Fnd Exp'!A278</f>
        <v>Lakeview Local SD</v>
      </c>
      <c r="AB278" s="7" t="b">
        <f t="shared" si="33"/>
        <v>1</v>
      </c>
      <c r="AC278" s="7" t="str">
        <f t="shared" si="32"/>
        <v>Trumbull</v>
      </c>
      <c r="AD278" s="7" t="b">
        <f>C278='Gov Fnd Exp'!C278</f>
        <v>1</v>
      </c>
    </row>
    <row r="279" spans="1:30">
      <c r="A279" s="12" t="s">
        <v>276</v>
      </c>
      <c r="B279" s="12"/>
      <c r="C279" s="12" t="s">
        <v>20</v>
      </c>
      <c r="D279" s="12"/>
      <c r="E279" s="12">
        <v>44198</v>
      </c>
      <c r="G279" s="7">
        <f>124815058-2391329+5388821</f>
        <v>127812550</v>
      </c>
      <c r="I279" s="7">
        <v>0</v>
      </c>
      <c r="K279" s="7">
        <v>0</v>
      </c>
      <c r="M279" s="7">
        <v>1755818</v>
      </c>
      <c r="O279" s="7">
        <v>6059636</v>
      </c>
      <c r="Q279" s="7">
        <v>5330392</v>
      </c>
      <c r="S279" s="8">
        <f t="shared" si="30"/>
        <v>140958396</v>
      </c>
      <c r="U279" s="7">
        <v>6229522</v>
      </c>
      <c r="V279" s="7">
        <f>+'St of Net Assets - GA'!O279-'LT _Lia - GA'!U279</f>
        <v>0</v>
      </c>
      <c r="X279" s="7" t="s">
        <v>914</v>
      </c>
      <c r="Z279" s="7" t="str">
        <f t="shared" si="31"/>
        <v>Lakewood City SD</v>
      </c>
      <c r="AA279" s="7" t="str">
        <f>'Gov Fnd Exp'!A279</f>
        <v>Lakewood City SD</v>
      </c>
      <c r="AB279" s="7" t="b">
        <f t="shared" si="33"/>
        <v>1</v>
      </c>
      <c r="AC279" s="7" t="str">
        <f t="shared" si="32"/>
        <v>Cuyahoga</v>
      </c>
      <c r="AD279" s="7" t="b">
        <f>C279='Gov Fnd Exp'!C279</f>
        <v>1</v>
      </c>
    </row>
    <row r="280" spans="1:30">
      <c r="A280" s="12" t="s">
        <v>657</v>
      </c>
      <c r="B280" s="12"/>
      <c r="C280" s="12" t="s">
        <v>42</v>
      </c>
      <c r="D280" s="12"/>
      <c r="E280" s="12">
        <v>47993</v>
      </c>
      <c r="G280" s="7">
        <v>11369250</v>
      </c>
      <c r="I280" s="7">
        <v>0</v>
      </c>
      <c r="K280" s="7">
        <v>635398</v>
      </c>
      <c r="M280" s="7">
        <v>85262</v>
      </c>
      <c r="O280" s="7">
        <v>921644</v>
      </c>
      <c r="Q280" s="7">
        <v>0</v>
      </c>
      <c r="S280" s="8">
        <f>SUM(G280:R280)</f>
        <v>13011554</v>
      </c>
      <c r="U280" s="7">
        <v>934208</v>
      </c>
      <c r="V280" s="7">
        <f>+'St of Net Assets - GA'!O280-'LT _Lia - GA'!U280</f>
        <v>0</v>
      </c>
      <c r="Z280" s="7" t="str">
        <f t="shared" si="31"/>
        <v>Lakewood Local  SD</v>
      </c>
      <c r="AA280" s="7" t="str">
        <f>'Gov Fnd Exp'!A280</f>
        <v>Lakewood Local  SD</v>
      </c>
      <c r="AB280" s="7" t="b">
        <f t="shared" si="33"/>
        <v>1</v>
      </c>
      <c r="AC280" s="7" t="str">
        <f t="shared" si="32"/>
        <v>Licking</v>
      </c>
      <c r="AD280" s="7" t="b">
        <f>C280='Gov Fnd Exp'!C280</f>
        <v>1</v>
      </c>
    </row>
    <row r="281" spans="1:30">
      <c r="A281" s="12" t="s">
        <v>226</v>
      </c>
      <c r="B281" s="12"/>
      <c r="C281" s="12" t="s">
        <v>223</v>
      </c>
      <c r="D281" s="12"/>
      <c r="E281" s="12">
        <v>46110</v>
      </c>
      <c r="G281" s="7">
        <v>167757868</v>
      </c>
      <c r="I281" s="7">
        <v>0</v>
      </c>
      <c r="K281" s="7">
        <v>0</v>
      </c>
      <c r="M281" s="7">
        <v>0</v>
      </c>
      <c r="O281" s="7">
        <v>7943638</v>
      </c>
      <c r="Q281" s="7">
        <v>0</v>
      </c>
      <c r="S281" s="8">
        <f t="shared" si="30"/>
        <v>175701506</v>
      </c>
      <c r="U281" s="7">
        <v>5853513</v>
      </c>
      <c r="V281" s="7">
        <f>+'St of Net Assets - GA'!O281-'LT _Lia - GA'!U281</f>
        <v>0</v>
      </c>
      <c r="Z281" s="7" t="str">
        <f t="shared" si="31"/>
        <v>Lakota Local SD</v>
      </c>
      <c r="AA281" s="7" t="str">
        <f>'Gov Fnd Exp'!A281</f>
        <v>Lakota Local SD</v>
      </c>
      <c r="AB281" s="7" t="b">
        <f t="shared" si="33"/>
        <v>1</v>
      </c>
      <c r="AC281" s="7" t="str">
        <f t="shared" si="32"/>
        <v>Butler</v>
      </c>
      <c r="AD281" s="7" t="b">
        <f>C281='Gov Fnd Exp'!C281</f>
        <v>1</v>
      </c>
    </row>
    <row r="282" spans="1:30" hidden="1">
      <c r="A282" s="12" t="s">
        <v>915</v>
      </c>
      <c r="B282" s="12"/>
      <c r="C282" s="12" t="s">
        <v>79</v>
      </c>
      <c r="D282" s="12"/>
      <c r="E282" s="12">
        <v>49569</v>
      </c>
      <c r="S282" s="8">
        <f t="shared" si="30"/>
        <v>0</v>
      </c>
      <c r="V282" s="7">
        <f>+'St of Net Assets - GA'!O282-'LT _Lia - GA'!U282</f>
        <v>0</v>
      </c>
      <c r="X282" s="7" t="s">
        <v>903</v>
      </c>
      <c r="Z282" s="7" t="str">
        <f t="shared" si="31"/>
        <v>Lakota Local SD (CASH)</v>
      </c>
      <c r="AA282" s="7" t="str">
        <f>'Gov Fnd Exp'!A282</f>
        <v>Lakota Local SD (CASH)</v>
      </c>
      <c r="AB282" s="7" t="b">
        <f t="shared" si="33"/>
        <v>1</v>
      </c>
      <c r="AC282" s="7" t="str">
        <f t="shared" si="32"/>
        <v>Sandusky</v>
      </c>
      <c r="AD282" s="7" t="b">
        <f>C282='Gov Fnd Exp'!C282</f>
        <v>1</v>
      </c>
    </row>
    <row r="283" spans="1:30">
      <c r="A283" s="12" t="s">
        <v>301</v>
      </c>
      <c r="B283" s="12"/>
      <c r="C283" s="12" t="s">
        <v>25</v>
      </c>
      <c r="D283" s="12"/>
      <c r="E283" s="12">
        <v>44206</v>
      </c>
      <c r="G283" s="7">
        <v>0</v>
      </c>
      <c r="I283" s="7">
        <v>0</v>
      </c>
      <c r="K283" s="7">
        <v>0</v>
      </c>
      <c r="M283" s="7">
        <v>525754</v>
      </c>
      <c r="O283" s="7">
        <v>2858938</v>
      </c>
      <c r="Q283" s="7">
        <v>6309</v>
      </c>
      <c r="S283" s="8">
        <f t="shared" si="30"/>
        <v>3391001</v>
      </c>
      <c r="U283" s="7">
        <v>494510</v>
      </c>
      <c r="V283" s="7">
        <f>+'St of Net Assets - GA'!O283-'LT _Lia - GA'!U283</f>
        <v>0</v>
      </c>
      <c r="Z283" s="7" t="str">
        <f t="shared" si="31"/>
        <v>Lancaster City SD</v>
      </c>
      <c r="AA283" s="7" t="str">
        <f>'Gov Fnd Exp'!A283</f>
        <v>Lancaster City SD</v>
      </c>
      <c r="AB283" s="7" t="b">
        <f t="shared" si="33"/>
        <v>1</v>
      </c>
      <c r="AC283" s="7" t="str">
        <f t="shared" si="32"/>
        <v>Fairfield</v>
      </c>
      <c r="AD283" s="7" t="b">
        <f>C283='Gov Fnd Exp'!C283</f>
        <v>1</v>
      </c>
    </row>
    <row r="284" spans="1:30" hidden="1">
      <c r="A284" s="12" t="s">
        <v>771</v>
      </c>
      <c r="B284" s="12"/>
      <c r="C284" s="12" t="s">
        <v>69</v>
      </c>
      <c r="D284" s="12"/>
      <c r="E284" s="12">
        <v>44214</v>
      </c>
      <c r="S284" s="8">
        <f t="shared" si="30"/>
        <v>0</v>
      </c>
      <c r="V284" s="7">
        <f>+'St of Net Assets - GA'!O284-'LT _Lia - GA'!U284</f>
        <v>0</v>
      </c>
      <c r="X284" s="7" t="s">
        <v>839</v>
      </c>
      <c r="Z284" s="7" t="str">
        <f t="shared" si="31"/>
        <v xml:space="preserve">Lebanon City SD (CASH) </v>
      </c>
      <c r="AA284" s="7" t="str">
        <f>'Gov Fnd Exp'!A284</f>
        <v xml:space="preserve">Lebanon City SD (CASH) </v>
      </c>
      <c r="AB284" s="7" t="b">
        <f t="shared" si="33"/>
        <v>1</v>
      </c>
      <c r="AC284" s="7" t="str">
        <f t="shared" si="32"/>
        <v>Warren</v>
      </c>
      <c r="AD284" s="7" t="b">
        <f>C284='Gov Fnd Exp'!C284</f>
        <v>1</v>
      </c>
    </row>
    <row r="285" spans="1:30">
      <c r="A285" s="12" t="s">
        <v>322</v>
      </c>
      <c r="B285" s="12"/>
      <c r="C285" s="12" t="s">
        <v>30</v>
      </c>
      <c r="D285" s="12"/>
      <c r="E285" s="12">
        <v>47209</v>
      </c>
      <c r="G285" s="7">
        <v>0</v>
      </c>
      <c r="I285" s="7">
        <v>0</v>
      </c>
      <c r="K285" s="7">
        <v>0</v>
      </c>
      <c r="M285" s="7">
        <v>0</v>
      </c>
      <c r="O285" s="7">
        <v>353622</v>
      </c>
      <c r="Q285" s="7">
        <v>0</v>
      </c>
      <c r="S285" s="8">
        <f t="shared" si="30"/>
        <v>353622</v>
      </c>
      <c r="U285" s="7">
        <v>27464</v>
      </c>
      <c r="V285" s="7">
        <f>+'St of Net Assets - GA'!O285-'LT _Lia - GA'!U285</f>
        <v>0</v>
      </c>
      <c r="Z285" s="7" t="str">
        <f t="shared" si="31"/>
        <v>Ledgemont Local SD</v>
      </c>
      <c r="AA285" s="7" t="str">
        <f>'Gov Fnd Exp'!A285</f>
        <v>Ledgemont Local SD</v>
      </c>
      <c r="AB285" s="7" t="b">
        <f t="shared" si="33"/>
        <v>1</v>
      </c>
      <c r="AC285" s="7" t="str">
        <f t="shared" si="32"/>
        <v>Geauga</v>
      </c>
      <c r="AD285" s="7" t="b">
        <f>C285='Gov Fnd Exp'!C285</f>
        <v>1</v>
      </c>
    </row>
    <row r="286" spans="1:30" hidden="1">
      <c r="A286" s="12" t="s">
        <v>872</v>
      </c>
      <c r="B286" s="12"/>
      <c r="C286" s="12" t="s">
        <v>112</v>
      </c>
      <c r="D286" s="12"/>
      <c r="E286" s="12"/>
      <c r="S286" s="8">
        <f t="shared" si="30"/>
        <v>0</v>
      </c>
      <c r="X286" s="7" t="s">
        <v>917</v>
      </c>
      <c r="Z286" s="7" t="str">
        <f t="shared" ref="Z286" si="34">A286</f>
        <v>Leetonia Exempted Village SD (CASH)</v>
      </c>
      <c r="AA286" s="7" t="str">
        <f>'Gov Fnd Exp'!A286</f>
        <v>Leetonia Exempted Village SD (CASH)</v>
      </c>
      <c r="AB286" s="7" t="b">
        <f t="shared" ref="AB286" si="35">Z286=AA286</f>
        <v>1</v>
      </c>
      <c r="AC286" s="7" t="str">
        <f t="shared" si="32"/>
        <v>Columbiana</v>
      </c>
      <c r="AD286" s="7" t="b">
        <f>C286='Gov Fnd Exp'!C286</f>
        <v>1</v>
      </c>
    </row>
    <row r="287" spans="1:30" hidden="1">
      <c r="A287" s="12" t="s">
        <v>717</v>
      </c>
      <c r="B287" s="12"/>
      <c r="C287" s="12" t="s">
        <v>482</v>
      </c>
      <c r="D287" s="12"/>
      <c r="E287" s="12">
        <v>49353</v>
      </c>
      <c r="S287" s="8">
        <f>SUM(G287:R287)</f>
        <v>0</v>
      </c>
      <c r="V287" s="7">
        <f>+'St of Net Assets - GA'!O287-'LT _Lia - GA'!U287</f>
        <v>0</v>
      </c>
      <c r="X287" s="7" t="s">
        <v>839</v>
      </c>
      <c r="Z287" s="7" t="str">
        <f t="shared" si="31"/>
        <v>Leipsic Local SD (CASH)</v>
      </c>
      <c r="AA287" s="7" t="str">
        <f>'Gov Fnd Exp'!A287</f>
        <v>Leipsic Local SD (CASH)</v>
      </c>
      <c r="AB287" s="7" t="b">
        <f t="shared" si="33"/>
        <v>1</v>
      </c>
      <c r="AC287" s="7" t="str">
        <f t="shared" si="32"/>
        <v>Putnam</v>
      </c>
      <c r="AD287" s="7" t="b">
        <f>C287='Gov Fnd Exp'!C287</f>
        <v>1</v>
      </c>
    </row>
    <row r="288" spans="1:30" hidden="1">
      <c r="A288" s="12" t="s">
        <v>918</v>
      </c>
      <c r="B288" s="12"/>
      <c r="C288" s="12" t="s">
        <v>110</v>
      </c>
      <c r="D288" s="12"/>
      <c r="E288" s="12">
        <v>49437</v>
      </c>
      <c r="S288" s="8">
        <f>SUM(G288:R288)</f>
        <v>0</v>
      </c>
      <c r="V288" s="7">
        <f>+'St of Net Assets - GA'!O288-'LT _Lia - GA'!U288</f>
        <v>0</v>
      </c>
      <c r="X288" s="7" t="s">
        <v>912</v>
      </c>
      <c r="Z288" s="7" t="str">
        <f t="shared" si="31"/>
        <v>Lexington Local SD (CASH)</v>
      </c>
      <c r="AA288" s="7" t="str">
        <f>'Gov Fnd Exp'!A288</f>
        <v>Lexington Local SD (CASH)</v>
      </c>
      <c r="AB288" s="7" t="b">
        <f t="shared" si="33"/>
        <v>1</v>
      </c>
      <c r="AC288" s="7" t="str">
        <f t="shared" si="32"/>
        <v>Richland</v>
      </c>
      <c r="AD288" s="7" t="b">
        <f>C288='Gov Fnd Exp'!C288</f>
        <v>1</v>
      </c>
    </row>
    <row r="289" spans="1:30">
      <c r="A289" s="12" t="s">
        <v>920</v>
      </c>
      <c r="B289" s="12"/>
      <c r="C289" s="12" t="s">
        <v>33</v>
      </c>
      <c r="D289" s="12"/>
      <c r="E289" s="12">
        <v>47449</v>
      </c>
      <c r="G289" s="7">
        <v>3835443</v>
      </c>
      <c r="I289" s="7">
        <v>0</v>
      </c>
      <c r="K289" s="7">
        <v>0</v>
      </c>
      <c r="M289" s="7">
        <v>0</v>
      </c>
      <c r="O289" s="7">
        <v>842559</v>
      </c>
      <c r="Q289" s="7">
        <v>0</v>
      </c>
      <c r="S289" s="8">
        <f>SUM(G289:R289)</f>
        <v>4678002</v>
      </c>
      <c r="U289" s="7">
        <v>106870</v>
      </c>
      <c r="V289" s="7">
        <f>+'St of Net Assets - GA'!O289-'LT _Lia - GA'!U289</f>
        <v>0</v>
      </c>
      <c r="Z289" s="7" t="str">
        <f>A289</f>
        <v>Liberty Benton Local SD</v>
      </c>
      <c r="AA289" s="7" t="str">
        <f>'Gov Fnd Exp'!A289</f>
        <v>Liberty Benton Local SD</v>
      </c>
      <c r="AB289" s="7" t="b">
        <f>Z289=AA289</f>
        <v>1</v>
      </c>
      <c r="AC289" s="7" t="str">
        <f>C289</f>
        <v>Hancock</v>
      </c>
      <c r="AD289" s="7" t="b">
        <f>C289='Gov Fnd Exp'!C289</f>
        <v>1</v>
      </c>
    </row>
    <row r="290" spans="1:30">
      <c r="A290" s="12" t="s">
        <v>355</v>
      </c>
      <c r="B290" s="12"/>
      <c r="C290" s="12" t="s">
        <v>34</v>
      </c>
      <c r="D290" s="12"/>
      <c r="E290" s="12">
        <v>47589</v>
      </c>
      <c r="G290" s="7">
        <f>1844204-137640+216760</f>
        <v>1923324</v>
      </c>
      <c r="I290" s="7">
        <v>0</v>
      </c>
      <c r="K290" s="7">
        <v>873852</v>
      </c>
      <c r="M290" s="7">
        <v>0</v>
      </c>
      <c r="O290" s="7">
        <v>651126</v>
      </c>
      <c r="Q290" s="7">
        <v>0</v>
      </c>
      <c r="S290" s="8">
        <f>SUM(G290:R290)</f>
        <v>3448302</v>
      </c>
      <c r="U290" s="7">
        <v>387856</v>
      </c>
      <c r="V290" s="7">
        <f>+'St of Net Assets - GA'!O290-'LT _Lia - GA'!U290</f>
        <v>0</v>
      </c>
      <c r="Z290" s="7" t="str">
        <f t="shared" si="31"/>
        <v>Liberty Center Local SD</v>
      </c>
      <c r="AA290" s="7" t="str">
        <f>'Gov Fnd Exp'!A290</f>
        <v>Liberty Center Local SD</v>
      </c>
      <c r="AB290" s="7" t="b">
        <f t="shared" si="33"/>
        <v>1</v>
      </c>
      <c r="AC290" s="7" t="str">
        <f t="shared" si="32"/>
        <v>Henry</v>
      </c>
      <c r="AD290" s="7" t="b">
        <f>C290='Gov Fnd Exp'!C290</f>
        <v>1</v>
      </c>
    </row>
    <row r="291" spans="1:30">
      <c r="A291" s="12" t="s">
        <v>542</v>
      </c>
      <c r="B291" s="12"/>
      <c r="C291" s="12" t="s">
        <v>64</v>
      </c>
      <c r="D291" s="12"/>
      <c r="E291" s="12">
        <v>50195</v>
      </c>
      <c r="G291" s="7">
        <f>7424245+276614-191595</f>
        <v>7509264</v>
      </c>
      <c r="I291" s="7">
        <v>0</v>
      </c>
      <c r="K291" s="7">
        <v>2327350</v>
      </c>
      <c r="M291" s="7">
        <v>0</v>
      </c>
      <c r="O291" s="7">
        <v>994684</v>
      </c>
      <c r="Q291" s="7">
        <v>0</v>
      </c>
      <c r="S291" s="8">
        <f t="shared" ref="S291:S358" si="36">SUM(G291:R291)</f>
        <v>10831298</v>
      </c>
      <c r="U291" s="7">
        <v>937055</v>
      </c>
      <c r="V291" s="7">
        <f>+'St of Net Assets - GA'!O291-'LT _Lia - GA'!U291</f>
        <v>0</v>
      </c>
      <c r="Z291" s="7" t="str">
        <f t="shared" si="31"/>
        <v>Liberty Local SD</v>
      </c>
      <c r="AA291" s="7" t="str">
        <f>'Gov Fnd Exp'!A291</f>
        <v>Liberty Local SD</v>
      </c>
      <c r="AB291" s="7" t="b">
        <f t="shared" si="33"/>
        <v>1</v>
      </c>
      <c r="AC291" s="7" t="str">
        <f t="shared" si="32"/>
        <v>Trumbull</v>
      </c>
      <c r="AD291" s="7" t="b">
        <f>C291='Gov Fnd Exp'!C291</f>
        <v>1</v>
      </c>
    </row>
    <row r="292" spans="1:30">
      <c r="A292" s="12" t="s">
        <v>842</v>
      </c>
      <c r="B292" s="12"/>
      <c r="C292" s="12" t="s">
        <v>25</v>
      </c>
      <c r="D292" s="12"/>
      <c r="E292" s="12">
        <v>46888</v>
      </c>
      <c r="G292" s="7">
        <f>11359602+166246+375771</f>
        <v>11901619</v>
      </c>
      <c r="I292" s="7">
        <v>0</v>
      </c>
      <c r="K292" s="7">
        <v>0</v>
      </c>
      <c r="M292" s="7">
        <v>33964</v>
      </c>
      <c r="O292" s="7">
        <v>962896</v>
      </c>
      <c r="Q292" s="7">
        <v>0</v>
      </c>
      <c r="S292" s="8">
        <f>SUM(G292:R292)</f>
        <v>12898479</v>
      </c>
      <c r="U292" s="7">
        <v>875286</v>
      </c>
      <c r="V292" s="7">
        <f>+'St of Net Assets - GA'!O292-'LT _Lia - GA'!U292</f>
        <v>0</v>
      </c>
      <c r="Z292" s="7" t="str">
        <f t="shared" si="31"/>
        <v>Liberty Union-Thurston Local SD</v>
      </c>
      <c r="AA292" s="7" t="str">
        <f>'Gov Fnd Exp'!A292</f>
        <v>Liberty Union-Thurston Local SD</v>
      </c>
      <c r="AB292" s="7" t="b">
        <f t="shared" si="33"/>
        <v>1</v>
      </c>
      <c r="AC292" s="7" t="str">
        <f t="shared" si="32"/>
        <v>Fairfield</v>
      </c>
      <c r="AD292" s="7" t="b">
        <f>C292='Gov Fnd Exp'!C292</f>
        <v>1</v>
      </c>
    </row>
    <row r="293" spans="1:30">
      <c r="A293" s="12" t="s">
        <v>386</v>
      </c>
      <c r="B293" s="12"/>
      <c r="C293" s="12" t="s">
        <v>42</v>
      </c>
      <c r="D293" s="12"/>
      <c r="E293" s="12">
        <v>48009</v>
      </c>
      <c r="G293" s="7">
        <f>900000+74032+906934+7820000+70000+1009190+828263+6515000+3170000+483216+485000+9194+14470000+2110000+174994+251387+1223034-1073808+3515000+5350000+29993+134855+606148-484672+7485000+1685000+49998+74295+457168+287894+2210000+35699+4000000+4020000</f>
        <v>68882814</v>
      </c>
      <c r="I293" s="7">
        <v>0</v>
      </c>
      <c r="K293" s="7">
        <v>0</v>
      </c>
      <c r="M293" s="7">
        <v>10590</v>
      </c>
      <c r="O293" s="7">
        <v>912459</v>
      </c>
      <c r="Q293" s="7">
        <v>0</v>
      </c>
      <c r="S293" s="8">
        <f t="shared" ref="S293:S310" si="37">SUM(G293:R293)</f>
        <v>69805863</v>
      </c>
      <c r="U293" s="7">
        <v>1084433</v>
      </c>
      <c r="V293" s="7">
        <f>+'St of Net Assets - GA'!O293-'LT _Lia - GA'!U293</f>
        <v>0</v>
      </c>
      <c r="Z293" s="7" t="str">
        <f t="shared" si="31"/>
        <v>Licking Heights Local SD</v>
      </c>
      <c r="AA293" s="7" t="str">
        <f>'Gov Fnd Exp'!A293</f>
        <v>Licking Heights Local SD</v>
      </c>
      <c r="AB293" s="7" t="b">
        <f t="shared" si="33"/>
        <v>1</v>
      </c>
      <c r="AC293" s="7" t="str">
        <f t="shared" si="32"/>
        <v>Licking</v>
      </c>
      <c r="AD293" s="7" t="b">
        <f>C293='Gov Fnd Exp'!C293</f>
        <v>1</v>
      </c>
    </row>
    <row r="294" spans="1:30">
      <c r="A294" s="12" t="s">
        <v>387</v>
      </c>
      <c r="B294" s="12"/>
      <c r="C294" s="12" t="s">
        <v>42</v>
      </c>
      <c r="D294" s="12"/>
      <c r="E294" s="12">
        <v>48017</v>
      </c>
      <c r="G294" s="7">
        <v>13333050</v>
      </c>
      <c r="I294" s="7">
        <v>0</v>
      </c>
      <c r="K294" s="7">
        <v>0</v>
      </c>
      <c r="M294" s="7">
        <v>434919</v>
      </c>
      <c r="O294" s="7">
        <v>918618</v>
      </c>
      <c r="Q294" s="7">
        <v>0</v>
      </c>
      <c r="S294" s="8">
        <f t="shared" si="37"/>
        <v>14686587</v>
      </c>
      <c r="U294" s="7">
        <v>1134862</v>
      </c>
      <c r="V294" s="7">
        <f>+'St of Net Assets - GA'!O294-'LT _Lia - GA'!U294</f>
        <v>0</v>
      </c>
      <c r="X294" s="101"/>
      <c r="Z294" s="7" t="str">
        <f t="shared" si="31"/>
        <v>Licking Valley Local SD</v>
      </c>
      <c r="AA294" s="7" t="str">
        <f>'Gov Fnd Exp'!A294</f>
        <v>Licking Valley Local SD</v>
      </c>
      <c r="AB294" s="7" t="b">
        <f t="shared" si="33"/>
        <v>1</v>
      </c>
      <c r="AC294" s="7" t="str">
        <f t="shared" si="32"/>
        <v>Licking</v>
      </c>
      <c r="AD294" s="7" t="b">
        <f>C294='Gov Fnd Exp'!C294</f>
        <v>1</v>
      </c>
    </row>
    <row r="295" spans="1:30" hidden="1">
      <c r="A295" s="12" t="s">
        <v>718</v>
      </c>
      <c r="B295" s="12"/>
      <c r="C295" s="12" t="s">
        <v>10</v>
      </c>
      <c r="D295" s="12"/>
      <c r="E295" s="12"/>
      <c r="S295" s="8">
        <f t="shared" si="37"/>
        <v>0</v>
      </c>
      <c r="V295" s="7">
        <f>+'St of Net Assets - GA'!O295-'LT _Lia - GA'!U295</f>
        <v>0</v>
      </c>
      <c r="X295" s="7" t="s">
        <v>921</v>
      </c>
      <c r="Z295" s="7" t="str">
        <f t="shared" si="31"/>
        <v>Lima City School District (CASH)</v>
      </c>
      <c r="AA295" s="7" t="str">
        <f>'Gov Fnd Exp'!A295</f>
        <v>Lima City School District (CASH)</v>
      </c>
      <c r="AB295" s="7" t="b">
        <f t="shared" si="33"/>
        <v>1</v>
      </c>
      <c r="AC295" s="7" t="str">
        <f t="shared" si="32"/>
        <v>Allen</v>
      </c>
      <c r="AD295" s="7" t="b">
        <f>C295='Gov Fnd Exp'!C295</f>
        <v>1</v>
      </c>
    </row>
    <row r="296" spans="1:30">
      <c r="A296" s="12" t="s">
        <v>557</v>
      </c>
      <c r="B296" s="12"/>
      <c r="C296" s="12" t="s">
        <v>67</v>
      </c>
      <c r="D296" s="12"/>
      <c r="E296" s="12">
        <v>50369</v>
      </c>
      <c r="G296" s="7">
        <f>11692337-360711+488732</f>
        <v>11820358</v>
      </c>
      <c r="I296" s="7">
        <v>0</v>
      </c>
      <c r="K296" s="7">
        <v>0</v>
      </c>
      <c r="M296" s="7">
        <v>0</v>
      </c>
      <c r="O296" s="7">
        <v>384242</v>
      </c>
      <c r="Q296" s="7">
        <v>0</v>
      </c>
      <c r="S296" s="8">
        <f t="shared" si="37"/>
        <v>12204600</v>
      </c>
      <c r="U296" s="7">
        <v>429362</v>
      </c>
      <c r="V296" s="7">
        <f>+'St of Net Assets - GA'!O296-'LT _Lia - GA'!U296</f>
        <v>0</v>
      </c>
      <c r="Z296" s="7" t="str">
        <f t="shared" si="31"/>
        <v>Lincolnview Local SD</v>
      </c>
      <c r="AA296" s="7" t="str">
        <f>'Gov Fnd Exp'!A296</f>
        <v>Lincolnview Local SD</v>
      </c>
      <c r="AB296" s="7" t="b">
        <f t="shared" si="33"/>
        <v>1</v>
      </c>
      <c r="AC296" s="7" t="str">
        <f t="shared" si="32"/>
        <v>Van Wert</v>
      </c>
      <c r="AD296" s="7" t="b">
        <f>C296='Gov Fnd Exp'!C296</f>
        <v>1</v>
      </c>
    </row>
    <row r="297" spans="1:30">
      <c r="A297" s="12" t="s">
        <v>875</v>
      </c>
      <c r="B297" s="12"/>
      <c r="C297" s="12" t="s">
        <v>112</v>
      </c>
      <c r="D297" s="12"/>
      <c r="E297" s="12">
        <v>45450</v>
      </c>
      <c r="G297" s="7">
        <f>1250000+128707</f>
        <v>1378707</v>
      </c>
      <c r="I297" s="7">
        <v>0</v>
      </c>
      <c r="K297" s="7">
        <v>0</v>
      </c>
      <c r="M297" s="7">
        <v>4783999</v>
      </c>
      <c r="O297" s="7">
        <v>508613</v>
      </c>
      <c r="Q297" s="7">
        <v>0</v>
      </c>
      <c r="S297" s="8">
        <f t="shared" si="37"/>
        <v>6671319</v>
      </c>
      <c r="U297" s="7">
        <v>289227</v>
      </c>
      <c r="V297" s="7">
        <f>+'St of Net Assets - GA'!O297-'LT _Lia - GA'!U297</f>
        <v>0</v>
      </c>
      <c r="Z297" s="7" t="str">
        <f t="shared" si="31"/>
        <v>Lisbon Exempted Village SD</v>
      </c>
      <c r="AA297" s="7" t="str">
        <f>'Gov Fnd Exp'!A297</f>
        <v>Lisbon Exempted Village SD</v>
      </c>
      <c r="AB297" s="7" t="b">
        <f t="shared" si="33"/>
        <v>1</v>
      </c>
      <c r="AC297" s="7" t="str">
        <f t="shared" si="32"/>
        <v>Columbiana</v>
      </c>
      <c r="AD297" s="7" t="b">
        <f>C297='Gov Fnd Exp'!C297</f>
        <v>1</v>
      </c>
    </row>
    <row r="298" spans="1:30">
      <c r="A298" s="12" t="s">
        <v>562</v>
      </c>
      <c r="B298" s="12"/>
      <c r="C298" s="12" t="s">
        <v>69</v>
      </c>
      <c r="D298" s="12"/>
      <c r="E298" s="12">
        <v>50443</v>
      </c>
      <c r="G298" s="7">
        <v>75273847</v>
      </c>
      <c r="I298" s="7">
        <v>0</v>
      </c>
      <c r="K298" s="7">
        <v>0</v>
      </c>
      <c r="M298" s="7">
        <f>650000+410000</f>
        <v>1060000</v>
      </c>
      <c r="O298" s="7">
        <v>1741836</v>
      </c>
      <c r="Q298" s="7">
        <v>0</v>
      </c>
      <c r="S298" s="8">
        <f t="shared" si="37"/>
        <v>78075683</v>
      </c>
      <c r="U298" s="7">
        <v>2848927</v>
      </c>
      <c r="V298" s="7">
        <f>+'St of Net Assets - GA'!O298-'LT _Lia - GA'!U298</f>
        <v>0</v>
      </c>
      <c r="X298" s="101"/>
      <c r="Z298" s="7" t="str">
        <f t="shared" si="31"/>
        <v>Little Miami Local SD</v>
      </c>
      <c r="AA298" s="7" t="str">
        <f>'Gov Fnd Exp'!A298</f>
        <v>Little Miami Local SD</v>
      </c>
      <c r="AB298" s="7" t="b">
        <f t="shared" si="33"/>
        <v>1</v>
      </c>
      <c r="AC298" s="7" t="str">
        <f t="shared" si="32"/>
        <v>Warren</v>
      </c>
      <c r="AD298" s="7" t="b">
        <f>C298='Gov Fnd Exp'!C298</f>
        <v>1</v>
      </c>
    </row>
    <row r="299" spans="1:30" hidden="1">
      <c r="A299" s="12" t="s">
        <v>922</v>
      </c>
      <c r="B299" s="12"/>
      <c r="C299" s="12" t="s">
        <v>32</v>
      </c>
      <c r="D299" s="12"/>
      <c r="E299" s="12">
        <v>44230</v>
      </c>
      <c r="S299" s="8">
        <f t="shared" si="37"/>
        <v>0</v>
      </c>
      <c r="V299" s="7">
        <f>+'St of Net Assets - GA'!O299-'LT _Lia - GA'!U299</f>
        <v>0</v>
      </c>
      <c r="X299" s="7" t="s">
        <v>839</v>
      </c>
      <c r="Z299" s="7" t="str">
        <f t="shared" si="31"/>
        <v>Lockland Local SD (CASH)</v>
      </c>
      <c r="AA299" s="7" t="str">
        <f>'Gov Fnd Exp'!A299</f>
        <v>Lockland Local SD (CASH)</v>
      </c>
      <c r="AB299" s="7" t="b">
        <f t="shared" si="33"/>
        <v>1</v>
      </c>
      <c r="AC299" s="7" t="str">
        <f t="shared" si="32"/>
        <v>Hamilton</v>
      </c>
      <c r="AD299" s="7" t="b">
        <f>C299='Gov Fnd Exp'!C299</f>
        <v>1</v>
      </c>
    </row>
    <row r="300" spans="1:30">
      <c r="A300" s="12" t="s">
        <v>468</v>
      </c>
      <c r="B300" s="12"/>
      <c r="C300" s="12" t="s">
        <v>54</v>
      </c>
      <c r="D300" s="12"/>
      <c r="E300" s="12">
        <v>49080</v>
      </c>
      <c r="G300" s="7">
        <v>0</v>
      </c>
      <c r="I300" s="7">
        <v>0</v>
      </c>
      <c r="K300" s="7">
        <v>0</v>
      </c>
      <c r="M300" s="7">
        <v>0</v>
      </c>
      <c r="O300" s="7">
        <v>1255285</v>
      </c>
      <c r="Q300" s="7">
        <v>0</v>
      </c>
      <c r="S300" s="8">
        <f t="shared" si="37"/>
        <v>1255285</v>
      </c>
      <c r="U300" s="7">
        <v>105000</v>
      </c>
      <c r="V300" s="7">
        <f>+'St of Net Assets - GA'!O300-'LT _Lia - GA'!U300</f>
        <v>0</v>
      </c>
      <c r="Z300" s="7" t="str">
        <f t="shared" si="31"/>
        <v>Logan Elm Local SD</v>
      </c>
      <c r="AA300" s="7" t="str">
        <f>'Gov Fnd Exp'!A300</f>
        <v>Logan Elm Local SD</v>
      </c>
      <c r="AB300" s="7" t="b">
        <f t="shared" si="33"/>
        <v>1</v>
      </c>
      <c r="AC300" s="7" t="str">
        <f t="shared" si="32"/>
        <v>Pickaway</v>
      </c>
      <c r="AD300" s="7" t="b">
        <f>C300='Gov Fnd Exp'!C300</f>
        <v>1</v>
      </c>
    </row>
    <row r="301" spans="1:30">
      <c r="A301" s="12" t="s">
        <v>362</v>
      </c>
      <c r="B301" s="12"/>
      <c r="C301" s="12" t="s">
        <v>35</v>
      </c>
      <c r="D301" s="12"/>
      <c r="E301" s="12">
        <v>44248</v>
      </c>
      <c r="G301" s="7">
        <v>20966347</v>
      </c>
      <c r="I301" s="7">
        <v>0</v>
      </c>
      <c r="K301" s="7">
        <v>0</v>
      </c>
      <c r="M301" s="7">
        <v>3432000</v>
      </c>
      <c r="O301" s="7">
        <v>2251821</v>
      </c>
      <c r="Q301" s="7">
        <v>0</v>
      </c>
      <c r="S301" s="8">
        <f t="shared" si="37"/>
        <v>26650168</v>
      </c>
      <c r="U301" s="7">
        <v>2586604</v>
      </c>
      <c r="V301" s="7">
        <f>+'St of Net Assets - GA'!O301-'LT _Lia - GA'!U301</f>
        <v>0</v>
      </c>
      <c r="Z301" s="7" t="str">
        <f t="shared" si="31"/>
        <v>Logan-Hocking Local SD</v>
      </c>
      <c r="AA301" s="7" t="str">
        <f>'Gov Fnd Exp'!A301</f>
        <v>Logan-Hocking Local SD</v>
      </c>
      <c r="AB301" s="7" t="b">
        <f t="shared" si="33"/>
        <v>1</v>
      </c>
      <c r="AC301" s="7" t="str">
        <f t="shared" si="32"/>
        <v>Hocking</v>
      </c>
      <c r="AD301" s="7" t="b">
        <f>C301='Gov Fnd Exp'!C301</f>
        <v>1</v>
      </c>
    </row>
    <row r="302" spans="1:30">
      <c r="A302" s="12" t="s">
        <v>413</v>
      </c>
      <c r="B302" s="12"/>
      <c r="C302" s="12" t="s">
        <v>411</v>
      </c>
      <c r="D302" s="12"/>
      <c r="E302" s="12">
        <v>44255</v>
      </c>
      <c r="G302" s="7">
        <f>5845000+6390000+750000+909909+694880+526766-178556+5390000+1070000+999955+707764+530889-199125</f>
        <v>23437482</v>
      </c>
      <c r="I302" s="7">
        <v>0</v>
      </c>
      <c r="K302" s="7">
        <v>0</v>
      </c>
      <c r="M302" s="7">
        <v>192335</v>
      </c>
      <c r="O302" s="7">
        <v>942233</v>
      </c>
      <c r="Q302" s="7">
        <v>0</v>
      </c>
      <c r="S302" s="8">
        <f t="shared" si="37"/>
        <v>24572050</v>
      </c>
      <c r="U302" s="7">
        <v>2211673</v>
      </c>
      <c r="V302" s="7">
        <f>+'St of Net Assets - GA'!O302-'LT _Lia - GA'!U302</f>
        <v>0</v>
      </c>
      <c r="Z302" s="7" t="str">
        <f t="shared" si="31"/>
        <v>London City SD</v>
      </c>
      <c r="AA302" s="7" t="str">
        <f>'Gov Fnd Exp'!A302</f>
        <v>London City SD</v>
      </c>
      <c r="AB302" s="7" t="b">
        <f t="shared" si="33"/>
        <v>1</v>
      </c>
      <c r="AC302" s="7" t="str">
        <f t="shared" si="32"/>
        <v>Madison</v>
      </c>
      <c r="AD302" s="7" t="b">
        <f>C302='Gov Fnd Exp'!C302</f>
        <v>1</v>
      </c>
    </row>
    <row r="303" spans="1:30">
      <c r="A303" s="12" t="s">
        <v>398</v>
      </c>
      <c r="B303" s="12"/>
      <c r="C303" s="12" t="s">
        <v>44</v>
      </c>
      <c r="D303" s="12"/>
      <c r="E303" s="12">
        <v>44263</v>
      </c>
      <c r="G303" s="7">
        <v>39198250</v>
      </c>
      <c r="I303" s="7">
        <v>0</v>
      </c>
      <c r="K303" s="7">
        <v>0</v>
      </c>
      <c r="M303" s="7">
        <v>0</v>
      </c>
      <c r="O303" s="7">
        <v>10942435</v>
      </c>
      <c r="Q303" s="7">
        <v>101963</v>
      </c>
      <c r="S303" s="8">
        <f t="shared" si="37"/>
        <v>50242648</v>
      </c>
      <c r="U303" s="7">
        <v>4352103</v>
      </c>
      <c r="V303" s="7">
        <f>+'St of Net Assets - GA'!O303-'LT _Lia - GA'!U303</f>
        <v>0</v>
      </c>
      <c r="X303" s="101"/>
      <c r="Z303" s="7" t="str">
        <f t="shared" si="31"/>
        <v>Lorain City SD</v>
      </c>
      <c r="AA303" s="7" t="str">
        <f>'Gov Fnd Exp'!A303</f>
        <v>Lorain City SD</v>
      </c>
      <c r="AB303" s="7" t="b">
        <f t="shared" si="33"/>
        <v>1</v>
      </c>
      <c r="AC303" s="7" t="str">
        <f t="shared" si="32"/>
        <v>Lorain</v>
      </c>
      <c r="AD303" s="7" t="b">
        <f>C303='Gov Fnd Exp'!C303</f>
        <v>1</v>
      </c>
    </row>
    <row r="304" spans="1:30">
      <c r="A304" s="12" t="s">
        <v>543</v>
      </c>
      <c r="B304" s="12"/>
      <c r="C304" s="12" t="s">
        <v>64</v>
      </c>
      <c r="D304" s="12"/>
      <c r="E304" s="12">
        <v>50203</v>
      </c>
      <c r="G304" s="7">
        <v>0</v>
      </c>
      <c r="I304" s="7">
        <v>0</v>
      </c>
      <c r="K304" s="7">
        <f>523400+1800000</f>
        <v>2323400</v>
      </c>
      <c r="M304" s="7">
        <v>10000</v>
      </c>
      <c r="O304" s="7">
        <v>431120</v>
      </c>
      <c r="Q304" s="7">
        <v>0</v>
      </c>
      <c r="S304" s="8">
        <f t="shared" si="37"/>
        <v>2764520</v>
      </c>
      <c r="U304" s="7">
        <v>195755</v>
      </c>
      <c r="V304" s="7">
        <f>+'St of Net Assets - GA'!O304-'LT _Lia - GA'!U304</f>
        <v>0</v>
      </c>
      <c r="Z304" s="7" t="str">
        <f t="shared" si="31"/>
        <v>Lordstown Local SD</v>
      </c>
      <c r="AA304" s="7" t="str">
        <f>'Gov Fnd Exp'!A304</f>
        <v>Lordstown Local SD</v>
      </c>
      <c r="AB304" s="7" t="b">
        <f t="shared" si="33"/>
        <v>1</v>
      </c>
      <c r="AC304" s="7" t="str">
        <f t="shared" si="32"/>
        <v>Trumbull</v>
      </c>
      <c r="AD304" s="7" t="b">
        <f>C304='Gov Fnd Exp'!C304</f>
        <v>1</v>
      </c>
    </row>
    <row r="305" spans="1:30">
      <c r="A305" s="12" t="s">
        <v>719</v>
      </c>
      <c r="B305" s="12"/>
      <c r="C305" s="12" t="s">
        <v>11</v>
      </c>
      <c r="D305" s="12"/>
      <c r="E305" s="12">
        <v>45468</v>
      </c>
      <c r="G305" s="7">
        <v>0</v>
      </c>
      <c r="I305" s="7">
        <v>1066060</v>
      </c>
      <c r="K305" s="7">
        <v>0</v>
      </c>
      <c r="M305" s="7">
        <v>3159</v>
      </c>
      <c r="O305" s="7">
        <v>1538828</v>
      </c>
      <c r="Q305" s="7">
        <v>0</v>
      </c>
      <c r="S305" s="8">
        <f t="shared" si="37"/>
        <v>2608047</v>
      </c>
      <c r="U305" s="7">
        <v>369073</v>
      </c>
      <c r="V305" s="7">
        <f>+'St of Net Assets - GA'!O305-'LT _Lia - GA'!U305</f>
        <v>0</v>
      </c>
      <c r="X305" s="7" t="s">
        <v>914</v>
      </c>
      <c r="Z305" s="7" t="str">
        <f t="shared" si="31"/>
        <v>Loudonville-Perrysville Exempted Village SD</v>
      </c>
      <c r="AA305" s="7" t="str">
        <f>'Gov Fnd Exp'!A305</f>
        <v>Loudonville-Perrysville Exempted Village SD</v>
      </c>
      <c r="AB305" s="7" t="b">
        <f t="shared" si="33"/>
        <v>1</v>
      </c>
      <c r="AC305" s="7" t="str">
        <f t="shared" si="32"/>
        <v>Ashland</v>
      </c>
      <c r="AD305" s="7" t="b">
        <f>C305='Gov Fnd Exp'!C305</f>
        <v>1</v>
      </c>
    </row>
    <row r="306" spans="1:30">
      <c r="A306" s="12" t="s">
        <v>514</v>
      </c>
      <c r="B306" s="12"/>
      <c r="C306" s="12" t="s">
        <v>62</v>
      </c>
      <c r="D306" s="12"/>
      <c r="E306" s="12">
        <v>49874</v>
      </c>
      <c r="G306" s="7">
        <f>350000+8392676+200000+22249340</f>
        <v>31192016</v>
      </c>
      <c r="I306" s="7">
        <v>0</v>
      </c>
      <c r="K306" s="7">
        <v>0</v>
      </c>
      <c r="M306" s="7">
        <v>1078607</v>
      </c>
      <c r="O306" s="7">
        <v>1085633</v>
      </c>
      <c r="Q306" s="7">
        <f>342087</f>
        <v>342087</v>
      </c>
      <c r="S306" s="8">
        <f t="shared" si="37"/>
        <v>33698343</v>
      </c>
      <c r="U306" s="7">
        <v>1309509</v>
      </c>
      <c r="V306" s="7">
        <f>+'St of Net Assets - GA'!O306-'LT _Lia - GA'!U306</f>
        <v>0</v>
      </c>
      <c r="X306" s="7" t="s">
        <v>923</v>
      </c>
      <c r="Z306" s="7" t="str">
        <f t="shared" si="31"/>
        <v>Louisville City SD</v>
      </c>
      <c r="AA306" s="7" t="str">
        <f>'Gov Fnd Exp'!A306</f>
        <v>Louisville City SD</v>
      </c>
      <c r="AB306" s="7" t="b">
        <f t="shared" si="33"/>
        <v>1</v>
      </c>
      <c r="AC306" s="7" t="str">
        <f t="shared" si="32"/>
        <v>Stark</v>
      </c>
      <c r="AD306" s="7" t="b">
        <f>C306='Gov Fnd Exp'!C306</f>
        <v>1</v>
      </c>
    </row>
    <row r="307" spans="1:30">
      <c r="A307" s="12" t="s">
        <v>332</v>
      </c>
      <c r="B307" s="12"/>
      <c r="C307" s="12" t="s">
        <v>32</v>
      </c>
      <c r="D307" s="12"/>
      <c r="E307" s="12">
        <v>44271</v>
      </c>
      <c r="G307" s="7">
        <v>25028037</v>
      </c>
      <c r="I307" s="7">
        <v>0</v>
      </c>
      <c r="K307" s="7">
        <v>0</v>
      </c>
      <c r="M307" s="7">
        <v>0</v>
      </c>
      <c r="O307" s="7">
        <v>1844620</v>
      </c>
      <c r="Q307" s="7">
        <v>0</v>
      </c>
      <c r="S307" s="8">
        <f t="shared" si="37"/>
        <v>26872657</v>
      </c>
      <c r="U307" s="7">
        <v>1695347</v>
      </c>
      <c r="V307" s="7">
        <f>+'St of Net Assets - GA'!O307-'LT _Lia - GA'!U307</f>
        <v>0</v>
      </c>
      <c r="Z307" s="7" t="str">
        <f t="shared" si="31"/>
        <v>Loveland City SD</v>
      </c>
      <c r="AA307" s="7" t="str">
        <f>'Gov Fnd Exp'!A307</f>
        <v>Loveland City SD</v>
      </c>
      <c r="AB307" s="7" t="b">
        <f t="shared" si="33"/>
        <v>1</v>
      </c>
      <c r="AC307" s="7" t="str">
        <f t="shared" si="32"/>
        <v>Hamilton</v>
      </c>
      <c r="AD307" s="7" t="b">
        <f>C307='Gov Fnd Exp'!C307</f>
        <v>1</v>
      </c>
    </row>
    <row r="308" spans="1:30">
      <c r="A308" s="12" t="s">
        <v>720</v>
      </c>
      <c r="B308" s="12"/>
      <c r="C308" s="12" t="s">
        <v>45</v>
      </c>
      <c r="D308" s="12"/>
      <c r="E308" s="12">
        <v>48330</v>
      </c>
      <c r="G308" s="7">
        <f>635000+955000+71628-48692</f>
        <v>1612936</v>
      </c>
      <c r="I308" s="7">
        <v>0</v>
      </c>
      <c r="K308" s="7">
        <v>0</v>
      </c>
      <c r="M308" s="7">
        <v>0</v>
      </c>
      <c r="O308" s="7">
        <v>331622</v>
      </c>
      <c r="Q308" s="7">
        <v>25000</v>
      </c>
      <c r="S308" s="8">
        <f t="shared" si="37"/>
        <v>1969558</v>
      </c>
      <c r="U308" s="7">
        <v>138251</v>
      </c>
      <c r="V308" s="7">
        <f>+'St of Net Assets - GA'!O308-'LT _Lia - GA'!U308</f>
        <v>0</v>
      </c>
      <c r="Z308" s="7" t="str">
        <f t="shared" si="31"/>
        <v xml:space="preserve">Lowellville Local SD </v>
      </c>
      <c r="AA308" s="7" t="str">
        <f>'Gov Fnd Exp'!A308</f>
        <v xml:space="preserve">Lowellville Local SD </v>
      </c>
      <c r="AB308" s="7" t="b">
        <f t="shared" si="33"/>
        <v>1</v>
      </c>
      <c r="AC308" s="7" t="str">
        <f t="shared" si="32"/>
        <v>Mahoning</v>
      </c>
      <c r="AD308" s="7" t="b">
        <f>C308='Gov Fnd Exp'!C308</f>
        <v>1</v>
      </c>
    </row>
    <row r="309" spans="1:30">
      <c r="A309" s="12" t="s">
        <v>924</v>
      </c>
      <c r="B309" s="12"/>
      <c r="C309" s="12" t="s">
        <v>110</v>
      </c>
      <c r="D309" s="12"/>
      <c r="E309" s="12">
        <v>49445</v>
      </c>
      <c r="G309" s="7">
        <v>553055</v>
      </c>
      <c r="I309" s="7">
        <v>0</v>
      </c>
      <c r="K309" s="7">
        <v>0</v>
      </c>
      <c r="M309" s="7">
        <v>0</v>
      </c>
      <c r="O309" s="7">
        <v>198787</v>
      </c>
      <c r="Q309" s="7">
        <v>0</v>
      </c>
      <c r="S309" s="8">
        <f t="shared" si="37"/>
        <v>751842</v>
      </c>
      <c r="U309" s="7">
        <v>57906</v>
      </c>
      <c r="V309" s="7">
        <f>+'St of Net Assets - GA'!O309-'LT _Lia - GA'!U309</f>
        <v>0</v>
      </c>
      <c r="Z309" s="7" t="str">
        <f t="shared" si="31"/>
        <v>Lucas Local SD</v>
      </c>
      <c r="AA309" s="7" t="str">
        <f>'Gov Fnd Exp'!A309</f>
        <v>Lucas Local SD</v>
      </c>
      <c r="AB309" s="7" t="b">
        <f t="shared" si="33"/>
        <v>1</v>
      </c>
      <c r="AC309" s="7" t="str">
        <f t="shared" si="32"/>
        <v>Richland</v>
      </c>
      <c r="AD309" s="7" t="b">
        <f>C309='Gov Fnd Exp'!C309</f>
        <v>1</v>
      </c>
    </row>
    <row r="310" spans="1:30">
      <c r="A310" s="12" t="s">
        <v>361</v>
      </c>
      <c r="B310" s="12"/>
      <c r="C310" s="12" t="s">
        <v>358</v>
      </c>
      <c r="D310" s="12"/>
      <c r="E310" s="12">
        <v>47639</v>
      </c>
      <c r="G310" s="7">
        <f>555000+775000+23237-5266</f>
        <v>1347971</v>
      </c>
      <c r="I310" s="7">
        <v>0</v>
      </c>
      <c r="K310" s="7">
        <v>0</v>
      </c>
      <c r="M310" s="7">
        <v>0</v>
      </c>
      <c r="O310" s="7">
        <v>619702</v>
      </c>
      <c r="Q310" s="7">
        <v>0</v>
      </c>
      <c r="S310" s="8">
        <f t="shared" si="37"/>
        <v>1967673</v>
      </c>
      <c r="U310" s="7">
        <v>152286</v>
      </c>
      <c r="V310" s="7">
        <f>+'St of Net Assets - GA'!O310-'LT _Lia - GA'!U310</f>
        <v>0</v>
      </c>
      <c r="X310" s="7" t="s">
        <v>927</v>
      </c>
      <c r="Z310" s="7" t="str">
        <f t="shared" si="31"/>
        <v>Lynchburg-Clay Local SD</v>
      </c>
      <c r="AA310" s="7" t="str">
        <f>'Gov Fnd Exp'!A310</f>
        <v>Lynchburg-Clay Local SD</v>
      </c>
      <c r="AB310" s="7" t="b">
        <f t="shared" si="33"/>
        <v>1</v>
      </c>
      <c r="AC310" s="7" t="str">
        <f t="shared" si="32"/>
        <v>Highland</v>
      </c>
      <c r="AD310" s="7" t="b">
        <f>C310='Gov Fnd Exp'!C310</f>
        <v>1</v>
      </c>
    </row>
    <row r="311" spans="1:30">
      <c r="A311" s="12" t="s">
        <v>750</v>
      </c>
      <c r="B311" s="12"/>
      <c r="C311" s="12" t="s">
        <v>50</v>
      </c>
      <c r="D311" s="12"/>
      <c r="E311" s="12">
        <v>48702</v>
      </c>
      <c r="G311" s="7">
        <v>12517198</v>
      </c>
      <c r="I311" s="7">
        <v>0</v>
      </c>
      <c r="K311" s="7">
        <v>0</v>
      </c>
      <c r="M311" s="7">
        <v>1466516</v>
      </c>
      <c r="O311" s="7">
        <v>2159373</v>
      </c>
      <c r="Q311" s="7">
        <v>0</v>
      </c>
      <c r="S311" s="8">
        <f t="shared" si="36"/>
        <v>16143087</v>
      </c>
      <c r="U311" s="7">
        <v>1565662</v>
      </c>
      <c r="V311" s="7">
        <f>+'St of Net Assets - GA'!O311-'LT _Lia - GA'!U311</f>
        <v>0</v>
      </c>
      <c r="X311" s="14"/>
      <c r="Z311" s="7" t="str">
        <f t="shared" si="31"/>
        <v xml:space="preserve">Mad River Local SD </v>
      </c>
      <c r="AA311" s="7" t="str">
        <f>'Gov Fnd Exp'!A311</f>
        <v xml:space="preserve">Mad River Local SD </v>
      </c>
      <c r="AB311" s="7" t="b">
        <f t="shared" si="33"/>
        <v>1</v>
      </c>
      <c r="AC311" s="7" t="str">
        <f t="shared" si="32"/>
        <v>Montgomery</v>
      </c>
      <c r="AD311" s="7" t="b">
        <f>C311='Gov Fnd Exp'!C311</f>
        <v>1</v>
      </c>
    </row>
    <row r="312" spans="1:30">
      <c r="A312" s="12" t="s">
        <v>333</v>
      </c>
      <c r="B312" s="12"/>
      <c r="C312" s="12" t="s">
        <v>32</v>
      </c>
      <c r="D312" s="12"/>
      <c r="E312" s="12">
        <v>44289</v>
      </c>
      <c r="G312" s="7">
        <v>28290253</v>
      </c>
      <c r="I312" s="7">
        <v>0</v>
      </c>
      <c r="K312" s="7">
        <v>0</v>
      </c>
      <c r="M312" s="7">
        <v>338212</v>
      </c>
      <c r="O312" s="7">
        <v>772506</v>
      </c>
      <c r="Q312" s="7">
        <v>0</v>
      </c>
      <c r="S312" s="8">
        <f t="shared" si="36"/>
        <v>29400971</v>
      </c>
      <c r="U312" s="7">
        <v>1672866</v>
      </c>
      <c r="V312" s="7">
        <f>+'St of Net Assets - GA'!O312-'LT _Lia - GA'!U312</f>
        <v>0</v>
      </c>
      <c r="Z312" s="7" t="str">
        <f t="shared" si="31"/>
        <v>Madeira City SD</v>
      </c>
      <c r="AA312" s="7" t="str">
        <f>'Gov Fnd Exp'!A312</f>
        <v>Madeira City SD</v>
      </c>
      <c r="AB312" s="7" t="b">
        <f t="shared" si="33"/>
        <v>1</v>
      </c>
      <c r="AC312" s="7" t="str">
        <f t="shared" si="32"/>
        <v>Hamilton</v>
      </c>
      <c r="AD312" s="7" t="b">
        <f>C312='Gov Fnd Exp'!C312</f>
        <v>1</v>
      </c>
    </row>
    <row r="313" spans="1:30">
      <c r="A313" s="12" t="s">
        <v>227</v>
      </c>
      <c r="B313" s="12"/>
      <c r="C313" s="12" t="s">
        <v>223</v>
      </c>
      <c r="D313" s="12"/>
      <c r="E313" s="12">
        <v>46128</v>
      </c>
      <c r="G313" s="7">
        <v>10618403</v>
      </c>
      <c r="I313" s="7">
        <v>0</v>
      </c>
      <c r="K313" s="7">
        <v>0</v>
      </c>
      <c r="M313" s="7">
        <v>3086306</v>
      </c>
      <c r="O313" s="7">
        <v>134842</v>
      </c>
      <c r="Q313" s="7">
        <v>0</v>
      </c>
      <c r="S313" s="8">
        <f t="shared" si="36"/>
        <v>13839551</v>
      </c>
      <c r="U313" s="7">
        <v>331280</v>
      </c>
      <c r="V313" s="7">
        <f>+'St of Net Assets - GA'!O313-'LT _Lia - GA'!U313</f>
        <v>0</v>
      </c>
      <c r="Z313" s="7" t="str">
        <f t="shared" si="31"/>
        <v>Madison Local SD</v>
      </c>
      <c r="AA313" s="7" t="str">
        <f>'Gov Fnd Exp'!A313</f>
        <v>Madison Local SD</v>
      </c>
      <c r="AB313" s="7" t="b">
        <f t="shared" si="33"/>
        <v>1</v>
      </c>
      <c r="AC313" s="7" t="str">
        <f t="shared" si="32"/>
        <v>Butler</v>
      </c>
      <c r="AD313" s="7" t="b">
        <f>C313='Gov Fnd Exp'!C313</f>
        <v>1</v>
      </c>
    </row>
    <row r="314" spans="1:30" hidden="1">
      <c r="A314" s="12" t="s">
        <v>772</v>
      </c>
      <c r="B314" s="12"/>
      <c r="C314" s="12" t="s">
        <v>41</v>
      </c>
      <c r="D314" s="12"/>
      <c r="E314" s="12"/>
      <c r="S314" s="8">
        <f t="shared" si="36"/>
        <v>0</v>
      </c>
      <c r="V314" s="7">
        <f>+'St of Net Assets - GA'!O314-'LT _Lia - GA'!U314</f>
        <v>0</v>
      </c>
      <c r="X314" s="7" t="s">
        <v>839</v>
      </c>
      <c r="Z314" s="7" t="str">
        <f t="shared" si="31"/>
        <v xml:space="preserve">Madison Local SD (CASH)  </v>
      </c>
      <c r="AA314" s="7" t="str">
        <f>'Gov Fnd Exp'!A314</f>
        <v xml:space="preserve">Madison Local SD (CASH)  </v>
      </c>
      <c r="AB314" s="7" t="b">
        <f t="shared" si="33"/>
        <v>1</v>
      </c>
      <c r="AC314" s="7" t="str">
        <f t="shared" si="32"/>
        <v>Lake</v>
      </c>
      <c r="AD314" s="7" t="b">
        <f>C314='Gov Fnd Exp'!C314</f>
        <v>1</v>
      </c>
    </row>
    <row r="315" spans="1:30">
      <c r="A315" s="12" t="s">
        <v>227</v>
      </c>
      <c r="B315" s="12"/>
      <c r="C315" s="12" t="s">
        <v>110</v>
      </c>
      <c r="D315" s="12"/>
      <c r="E315" s="12">
        <v>49452</v>
      </c>
      <c r="G315" s="7">
        <f>25897438+2238429</f>
        <v>28135867</v>
      </c>
      <c r="I315" s="7">
        <v>0</v>
      </c>
      <c r="K315" s="7">
        <v>0</v>
      </c>
      <c r="M315" s="7">
        <v>0</v>
      </c>
      <c r="O315" s="7">
        <v>1601461</v>
      </c>
      <c r="Q315" s="7">
        <v>0</v>
      </c>
      <c r="S315" s="8">
        <f t="shared" si="36"/>
        <v>29737328</v>
      </c>
      <c r="U315" s="7">
        <v>264584</v>
      </c>
      <c r="V315" s="7">
        <f>+'St of Net Assets - GA'!O315-'LT _Lia - GA'!U315</f>
        <v>0</v>
      </c>
      <c r="Z315" s="7" t="str">
        <f t="shared" si="31"/>
        <v>Madison Local SD</v>
      </c>
      <c r="AA315" s="7" t="str">
        <f>'Gov Fnd Exp'!A315</f>
        <v>Madison Local SD</v>
      </c>
      <c r="AB315" s="7" t="b">
        <f t="shared" si="33"/>
        <v>1</v>
      </c>
      <c r="AC315" s="7" t="str">
        <f t="shared" si="32"/>
        <v>Richland</v>
      </c>
      <c r="AD315" s="7" t="b">
        <f>C315='Gov Fnd Exp'!C315</f>
        <v>1</v>
      </c>
    </row>
    <row r="316" spans="1:30">
      <c r="A316" s="12" t="s">
        <v>730</v>
      </c>
      <c r="B316" s="12"/>
      <c r="C316" s="12" t="s">
        <v>411</v>
      </c>
      <c r="D316" s="12"/>
      <c r="E316" s="12"/>
      <c r="G316" s="7">
        <v>0</v>
      </c>
      <c r="I316" s="7">
        <v>2100000</v>
      </c>
      <c r="K316" s="7">
        <v>165000</v>
      </c>
      <c r="M316" s="7">
        <v>0</v>
      </c>
      <c r="O316" s="7">
        <v>759280</v>
      </c>
      <c r="Q316" s="7">
        <v>14000</v>
      </c>
      <c r="S316" s="8">
        <f t="shared" si="36"/>
        <v>3038280</v>
      </c>
      <c r="U316" s="7">
        <v>2198179</v>
      </c>
      <c r="V316" s="7">
        <f>+'St of Net Assets - GA'!O316-'LT _Lia - GA'!U316</f>
        <v>0</v>
      </c>
      <c r="Z316" s="7" t="str">
        <f t="shared" si="31"/>
        <v xml:space="preserve">Madison Plains Local SD </v>
      </c>
      <c r="AA316" s="7" t="str">
        <f>'Gov Fnd Exp'!A316</f>
        <v xml:space="preserve">Madison Plains Local SD </v>
      </c>
      <c r="AB316" s="7" t="b">
        <f t="shared" si="33"/>
        <v>1</v>
      </c>
      <c r="AC316" s="7" t="str">
        <f t="shared" si="32"/>
        <v>Madison</v>
      </c>
      <c r="AD316" s="7" t="b">
        <f>C316='Gov Fnd Exp'!C316</f>
        <v>1</v>
      </c>
    </row>
    <row r="317" spans="1:30">
      <c r="A317" s="12" t="s">
        <v>630</v>
      </c>
      <c r="B317" s="12"/>
      <c r="C317" s="12" t="s">
        <v>201</v>
      </c>
      <c r="D317" s="12"/>
      <c r="E317" s="12"/>
      <c r="G317" s="7">
        <v>12669615</v>
      </c>
      <c r="I317" s="7">
        <v>1440000</v>
      </c>
      <c r="K317" s="7">
        <v>500000</v>
      </c>
      <c r="M317" s="7">
        <f>14589+140398</f>
        <v>154987</v>
      </c>
      <c r="O317" s="7">
        <v>646293</v>
      </c>
      <c r="Q317" s="7">
        <v>0</v>
      </c>
      <c r="S317" s="8">
        <f t="shared" si="36"/>
        <v>15410895</v>
      </c>
      <c r="U317" s="7">
        <v>2353045</v>
      </c>
      <c r="V317" s="7">
        <f>+'St of Net Assets - GA'!O317-'LT _Lia - GA'!U317</f>
        <v>0</v>
      </c>
      <c r="Z317" s="7" t="str">
        <f t="shared" si="31"/>
        <v>Manchester Local SD</v>
      </c>
      <c r="AA317" s="7" t="str">
        <f>'Gov Fnd Exp'!A317</f>
        <v>Manchester Local SD</v>
      </c>
      <c r="AB317" s="7" t="b">
        <f t="shared" si="33"/>
        <v>1</v>
      </c>
      <c r="AC317" s="7" t="str">
        <f t="shared" si="32"/>
        <v>Adams</v>
      </c>
      <c r="AD317" s="7" t="b">
        <f>C317='Gov Fnd Exp'!C317</f>
        <v>1</v>
      </c>
    </row>
    <row r="318" spans="1:30" hidden="1">
      <c r="A318" s="12" t="s">
        <v>930</v>
      </c>
      <c r="B318" s="12"/>
      <c r="C318" s="12" t="s">
        <v>63</v>
      </c>
      <c r="D318" s="12"/>
      <c r="E318" s="12">
        <v>0</v>
      </c>
      <c r="S318" s="8">
        <f t="shared" ref="S318" si="38">SUM(G318:R318)</f>
        <v>0</v>
      </c>
      <c r="V318" s="7">
        <f>+'St of Net Assets - GA'!O318-'LT _Lia - GA'!U318</f>
        <v>0</v>
      </c>
      <c r="X318" s="7" t="s">
        <v>931</v>
      </c>
      <c r="Z318" s="7" t="str">
        <f t="shared" ref="Z318" si="39">A318</f>
        <v>Manchester Local SD (CASH)</v>
      </c>
      <c r="AA318" s="7" t="str">
        <f>'Gov Fnd Exp'!A318</f>
        <v>Manchester Local SD (CASH)</v>
      </c>
      <c r="AB318" s="7" t="b">
        <f t="shared" ref="AB318" si="40">Z318=AA318</f>
        <v>1</v>
      </c>
      <c r="AC318" s="7" t="str">
        <f t="shared" ref="AC318" si="41">C318</f>
        <v>Summit</v>
      </c>
      <c r="AD318" s="7" t="b">
        <f>C318='Gov Fnd Exp'!C318</f>
        <v>1</v>
      </c>
    </row>
    <row r="319" spans="1:30">
      <c r="A319" s="12" t="s">
        <v>484</v>
      </c>
      <c r="B319" s="12"/>
      <c r="C319" s="12" t="s">
        <v>110</v>
      </c>
      <c r="D319" s="12"/>
      <c r="E319" s="12">
        <v>44297</v>
      </c>
      <c r="G319" s="7">
        <f>21830+12746801+985484-829113</f>
        <v>12925002</v>
      </c>
      <c r="I319" s="7">
        <v>0</v>
      </c>
      <c r="K319" s="7">
        <v>0</v>
      </c>
      <c r="M319" s="7">
        <v>46860</v>
      </c>
      <c r="O319" s="7">
        <v>3353969</v>
      </c>
      <c r="Q319" s="7">
        <v>0</v>
      </c>
      <c r="S319" s="8">
        <f t="shared" si="36"/>
        <v>16325831</v>
      </c>
      <c r="U319" s="7">
        <v>1625721</v>
      </c>
      <c r="V319" s="7">
        <f>+'St of Net Assets - GA'!O319-'LT _Lia - GA'!U319</f>
        <v>0</v>
      </c>
      <c r="Z319" s="7" t="str">
        <f t="shared" si="31"/>
        <v>Mansfield City SD</v>
      </c>
      <c r="AA319" s="7" t="str">
        <f>'Gov Fnd Exp'!A319</f>
        <v>Mansfield City SD</v>
      </c>
      <c r="AB319" s="7" t="b">
        <f t="shared" si="33"/>
        <v>1</v>
      </c>
      <c r="AC319" s="7" t="str">
        <f t="shared" si="32"/>
        <v>Richland</v>
      </c>
      <c r="AD319" s="7" t="b">
        <f>C319='Gov Fnd Exp'!C319</f>
        <v>1</v>
      </c>
    </row>
    <row r="320" spans="1:30">
      <c r="A320" s="12" t="s">
        <v>762</v>
      </c>
      <c r="B320" s="12"/>
      <c r="C320" s="12" t="s">
        <v>20</v>
      </c>
      <c r="D320" s="12"/>
      <c r="E320" s="12">
        <v>44305</v>
      </c>
      <c r="G320" s="7">
        <v>60013296</v>
      </c>
      <c r="I320" s="7">
        <v>0</v>
      </c>
      <c r="K320" s="7">
        <v>3247862</v>
      </c>
      <c r="M320" s="7">
        <v>0</v>
      </c>
      <c r="O320" s="7">
        <v>2215098</v>
      </c>
      <c r="Q320" s="7">
        <v>0</v>
      </c>
      <c r="S320" s="8">
        <f t="shared" si="36"/>
        <v>65476256</v>
      </c>
      <c r="U320" s="7">
        <v>939848</v>
      </c>
      <c r="V320" s="7">
        <f>+'St of Net Assets - GA'!O320-'LT _Lia - GA'!U320</f>
        <v>0</v>
      </c>
      <c r="X320" s="14"/>
      <c r="Z320" s="7" t="str">
        <f t="shared" si="31"/>
        <v xml:space="preserve">Maple Heights City SD </v>
      </c>
      <c r="AA320" s="7" t="str">
        <f>'Gov Fnd Exp'!A320</f>
        <v xml:space="preserve">Maple Heights City SD </v>
      </c>
      <c r="AB320" s="7" t="b">
        <f t="shared" si="33"/>
        <v>1</v>
      </c>
      <c r="AC320" s="7" t="str">
        <f t="shared" si="32"/>
        <v>Cuyahoga</v>
      </c>
      <c r="AD320" s="7" t="b">
        <f>C320='Gov Fnd Exp'!C320</f>
        <v>1</v>
      </c>
    </row>
    <row r="321" spans="1:30">
      <c r="A321" s="12" t="s">
        <v>206</v>
      </c>
      <c r="B321" s="12"/>
      <c r="C321" s="12" t="s">
        <v>11</v>
      </c>
      <c r="D321" s="12"/>
      <c r="E321" s="12">
        <v>45831</v>
      </c>
      <c r="G321" s="7">
        <f>1305000+1285000+199997+10590+139013-84764</f>
        <v>2854836</v>
      </c>
      <c r="I321" s="7">
        <v>0</v>
      </c>
      <c r="K321" s="7">
        <v>0</v>
      </c>
      <c r="M321" s="7">
        <v>0</v>
      </c>
      <c r="O321" s="7">
        <v>344192</v>
      </c>
      <c r="Q321" s="7">
        <v>0</v>
      </c>
      <c r="S321" s="8">
        <f t="shared" si="36"/>
        <v>3199028</v>
      </c>
      <c r="U321" s="7">
        <v>316253</v>
      </c>
      <c r="V321" s="7">
        <f>+'St of Net Assets - GA'!O321-'LT _Lia - GA'!U321</f>
        <v>0</v>
      </c>
      <c r="Z321" s="7" t="str">
        <f t="shared" si="31"/>
        <v>Mapleton Local SD</v>
      </c>
      <c r="AA321" s="7" t="str">
        <f>'Gov Fnd Exp'!A321</f>
        <v>Mapleton Local SD</v>
      </c>
      <c r="AB321" s="7" t="b">
        <f t="shared" si="33"/>
        <v>1</v>
      </c>
      <c r="AC321" s="7" t="str">
        <f t="shared" si="32"/>
        <v>Ashland</v>
      </c>
      <c r="AD321" s="7" t="b">
        <f>C321='Gov Fnd Exp'!C321</f>
        <v>1</v>
      </c>
    </row>
    <row r="322" spans="1:30">
      <c r="A322" s="12" t="s">
        <v>544</v>
      </c>
      <c r="B322" s="12"/>
      <c r="C322" s="12" t="s">
        <v>64</v>
      </c>
      <c r="D322" s="12"/>
      <c r="E322" s="12">
        <v>50211</v>
      </c>
      <c r="G322" s="7">
        <f>2005293-75676+120923</f>
        <v>2050540</v>
      </c>
      <c r="I322" s="7">
        <v>0</v>
      </c>
      <c r="K322" s="7">
        <v>0</v>
      </c>
      <c r="M322" s="7">
        <v>0</v>
      </c>
      <c r="O322" s="7">
        <v>719930</v>
      </c>
      <c r="Q322" s="7">
        <v>0</v>
      </c>
      <c r="S322" s="8">
        <f t="shared" si="36"/>
        <v>2770470</v>
      </c>
      <c r="U322" s="7">
        <v>170562</v>
      </c>
      <c r="V322" s="7">
        <f>+'St of Net Assets - GA'!O322-'LT _Lia - GA'!U322</f>
        <v>0</v>
      </c>
      <c r="Z322" s="7" t="str">
        <f t="shared" si="31"/>
        <v>Maplewood Local SD</v>
      </c>
      <c r="AA322" s="7" t="str">
        <f>'Gov Fnd Exp'!A322</f>
        <v>Maplewood Local SD</v>
      </c>
      <c r="AB322" s="7" t="b">
        <f t="shared" si="33"/>
        <v>1</v>
      </c>
      <c r="AC322" s="7" t="str">
        <f t="shared" si="32"/>
        <v>Trumbull</v>
      </c>
      <c r="AD322" s="7" t="b">
        <f>C322='Gov Fnd Exp'!C322</f>
        <v>1</v>
      </c>
    </row>
    <row r="323" spans="1:30">
      <c r="A323" s="12" t="s">
        <v>294</v>
      </c>
      <c r="B323" s="12"/>
      <c r="C323" s="12" t="s">
        <v>24</v>
      </c>
      <c r="D323" s="12"/>
      <c r="E323" s="12">
        <v>46805</v>
      </c>
      <c r="G323" s="7">
        <v>0</v>
      </c>
      <c r="I323" s="7">
        <v>0</v>
      </c>
      <c r="K323" s="7">
        <v>0</v>
      </c>
      <c r="M323" s="7">
        <v>2485000</v>
      </c>
      <c r="O323" s="7">
        <v>836288</v>
      </c>
      <c r="Q323" s="7">
        <v>0</v>
      </c>
      <c r="S323" s="8">
        <f t="shared" si="36"/>
        <v>3321288</v>
      </c>
      <c r="U323" s="7">
        <v>155967</v>
      </c>
      <c r="V323" s="7">
        <f>+'St of Net Assets - GA'!O323-'LT _Lia - GA'!U323</f>
        <v>0</v>
      </c>
      <c r="Z323" s="7" t="str">
        <f t="shared" si="31"/>
        <v>Margaretta Local SD</v>
      </c>
      <c r="AA323" s="7" t="str">
        <f>'Gov Fnd Exp'!A323</f>
        <v>Margaretta Local SD</v>
      </c>
      <c r="AB323" s="7" t="b">
        <f t="shared" si="33"/>
        <v>1</v>
      </c>
      <c r="AC323" s="7" t="str">
        <f t="shared" si="32"/>
        <v>Erie</v>
      </c>
      <c r="AD323" s="7" t="b">
        <f>C323='Gov Fnd Exp'!C323</f>
        <v>1</v>
      </c>
    </row>
    <row r="324" spans="1:30">
      <c r="A324" s="12" t="s">
        <v>334</v>
      </c>
      <c r="B324" s="12"/>
      <c r="C324" s="12" t="s">
        <v>32</v>
      </c>
      <c r="D324" s="12"/>
      <c r="E324" s="12">
        <v>44313</v>
      </c>
      <c r="G324" s="7">
        <f>45318644+1200825-1082841</f>
        <v>45436628</v>
      </c>
      <c r="I324" s="7">
        <v>0</v>
      </c>
      <c r="K324" s="7">
        <v>0</v>
      </c>
      <c r="M324" s="7">
        <v>1711104</v>
      </c>
      <c r="O324" s="7">
        <v>1543778</v>
      </c>
      <c r="Q324" s="7">
        <v>0</v>
      </c>
      <c r="S324" s="8">
        <f t="shared" si="36"/>
        <v>48691510</v>
      </c>
      <c r="U324" s="7">
        <v>686161</v>
      </c>
      <c r="V324" s="7">
        <f>+'St of Net Assets - GA'!O324-'LT _Lia - GA'!U324</f>
        <v>0</v>
      </c>
      <c r="X324" s="7" t="s">
        <v>914</v>
      </c>
      <c r="Z324" s="7" t="str">
        <f t="shared" si="31"/>
        <v>Mariemont City SD</v>
      </c>
      <c r="AA324" s="7" t="str">
        <f>'Gov Fnd Exp'!A324</f>
        <v>Mariemont City SD</v>
      </c>
      <c r="AB324" s="7" t="b">
        <f t="shared" si="33"/>
        <v>1</v>
      </c>
      <c r="AC324" s="7" t="str">
        <f t="shared" si="32"/>
        <v>Hamilton</v>
      </c>
      <c r="AD324" s="7" t="b">
        <f>C324='Gov Fnd Exp'!C324</f>
        <v>1</v>
      </c>
    </row>
    <row r="325" spans="1:30" hidden="1">
      <c r="A325" s="12" t="s">
        <v>638</v>
      </c>
      <c r="B325" s="12"/>
      <c r="C325" s="12" t="s">
        <v>70</v>
      </c>
      <c r="D325" s="12"/>
      <c r="E325" s="12">
        <v>44321</v>
      </c>
      <c r="S325" s="8">
        <f t="shared" si="36"/>
        <v>0</v>
      </c>
      <c r="V325" s="7">
        <f>+'St of Net Assets - GA'!O325-'LT _Lia - GA'!U325</f>
        <v>0</v>
      </c>
      <c r="X325" s="7" t="s">
        <v>839</v>
      </c>
      <c r="Z325" s="7" t="str">
        <f t="shared" si="31"/>
        <v>Marietta City SD (CASH)</v>
      </c>
      <c r="AA325" s="7" t="str">
        <f>'Gov Fnd Exp'!A325</f>
        <v>Marietta City SD (CASH)</v>
      </c>
      <c r="AB325" s="7" t="b">
        <f t="shared" si="33"/>
        <v>1</v>
      </c>
      <c r="AC325" s="7" t="str">
        <f t="shared" si="32"/>
        <v>Washington</v>
      </c>
      <c r="AD325" s="7" t="b">
        <f>C325='Gov Fnd Exp'!C325</f>
        <v>1</v>
      </c>
    </row>
    <row r="326" spans="1:30">
      <c r="A326" s="12" t="s">
        <v>423</v>
      </c>
      <c r="B326" s="12"/>
      <c r="C326" s="12" t="s">
        <v>46</v>
      </c>
      <c r="D326" s="12"/>
      <c r="E326" s="12">
        <v>44339</v>
      </c>
      <c r="G326" s="7">
        <v>11229851</v>
      </c>
      <c r="I326" s="7">
        <v>0</v>
      </c>
      <c r="K326" s="7">
        <v>0</v>
      </c>
      <c r="M326" s="7">
        <v>123656</v>
      </c>
      <c r="O326" s="7">
        <v>3744355</v>
      </c>
      <c r="Q326" s="7">
        <v>0</v>
      </c>
      <c r="S326" s="8">
        <f t="shared" si="36"/>
        <v>15097862</v>
      </c>
      <c r="U326" s="7">
        <v>960533</v>
      </c>
      <c r="V326" s="7">
        <f>+'St of Net Assets - GA'!O326-'LT _Lia - GA'!U326</f>
        <v>0</v>
      </c>
      <c r="Z326" s="7" t="str">
        <f t="shared" si="31"/>
        <v>Marion City SD</v>
      </c>
      <c r="AA326" s="7" t="str">
        <f>'Gov Fnd Exp'!A326</f>
        <v>Marion City SD</v>
      </c>
      <c r="AB326" s="7" t="b">
        <f t="shared" si="33"/>
        <v>1</v>
      </c>
      <c r="AC326" s="7" t="str">
        <f t="shared" si="32"/>
        <v>Marion</v>
      </c>
      <c r="AD326" s="7" t="b">
        <f>C326='Gov Fnd Exp'!C326</f>
        <v>1</v>
      </c>
    </row>
    <row r="327" spans="1:30" hidden="1">
      <c r="A327" s="12" t="s">
        <v>721</v>
      </c>
      <c r="B327" s="12"/>
      <c r="C327" s="12" t="s">
        <v>435</v>
      </c>
      <c r="D327" s="12"/>
      <c r="E327" s="12"/>
      <c r="S327" s="8">
        <f t="shared" si="36"/>
        <v>0</v>
      </c>
      <c r="V327" s="7">
        <f>+'St of Net Assets - GA'!O327-'LT _Lia - GA'!U327</f>
        <v>0</v>
      </c>
      <c r="X327" s="7" t="s">
        <v>839</v>
      </c>
      <c r="Z327" s="7" t="str">
        <f t="shared" si="31"/>
        <v>Marion Local SD (CASH)</v>
      </c>
      <c r="AA327" s="7" t="str">
        <f>'Gov Fnd Exp'!A327</f>
        <v>Marion Local SD (CASH)</v>
      </c>
      <c r="AB327" s="7" t="b">
        <f t="shared" si="33"/>
        <v>1</v>
      </c>
      <c r="AC327" s="7" t="str">
        <f t="shared" si="32"/>
        <v>Mercer</v>
      </c>
      <c r="AD327" s="7" t="b">
        <f>C327='Gov Fnd Exp'!C327</f>
        <v>1</v>
      </c>
    </row>
    <row r="328" spans="1:30">
      <c r="A328" s="12" t="s">
        <v>515</v>
      </c>
      <c r="B328" s="12"/>
      <c r="C328" s="12" t="s">
        <v>62</v>
      </c>
      <c r="D328" s="12"/>
      <c r="E328" s="12">
        <v>49882</v>
      </c>
      <c r="G328" s="7">
        <v>0</v>
      </c>
      <c r="I328" s="7">
        <v>0</v>
      </c>
      <c r="K328" s="7">
        <v>0</v>
      </c>
      <c r="M328" s="7">
        <v>105188</v>
      </c>
      <c r="O328" s="7">
        <v>1754986</v>
      </c>
      <c r="Q328" s="7">
        <v>0</v>
      </c>
      <c r="S328" s="8">
        <f t="shared" si="36"/>
        <v>1860174</v>
      </c>
      <c r="U328" s="7">
        <v>665265</v>
      </c>
      <c r="V328" s="7">
        <f>+'St of Net Assets - GA'!O328-'LT _Lia - GA'!U328</f>
        <v>0</v>
      </c>
      <c r="Z328" s="7" t="str">
        <f t="shared" si="31"/>
        <v>Marlington Local SD</v>
      </c>
      <c r="AA328" s="7" t="str">
        <f>'Gov Fnd Exp'!A328</f>
        <v>Marlington Local SD</v>
      </c>
      <c r="AB328" s="7" t="b">
        <f t="shared" si="33"/>
        <v>1</v>
      </c>
      <c r="AC328" s="7" t="str">
        <f t="shared" si="32"/>
        <v>Stark</v>
      </c>
      <c r="AD328" s="7" t="b">
        <f>C328='Gov Fnd Exp'!C328</f>
        <v>1</v>
      </c>
    </row>
    <row r="329" spans="1:30">
      <c r="A329" s="12" t="s">
        <v>217</v>
      </c>
      <c r="B329" s="12"/>
      <c r="C329" s="12" t="s">
        <v>15</v>
      </c>
      <c r="D329" s="12"/>
      <c r="E329" s="12">
        <v>44347</v>
      </c>
      <c r="G329" s="7">
        <v>9875973</v>
      </c>
      <c r="I329" s="7">
        <v>0</v>
      </c>
      <c r="K329" s="7">
        <v>0</v>
      </c>
      <c r="M329" s="7">
        <v>3811218</v>
      </c>
      <c r="O329" s="7">
        <v>812142</v>
      </c>
      <c r="Q329" s="7">
        <v>0</v>
      </c>
      <c r="S329" s="8">
        <f t="shared" si="36"/>
        <v>14499333</v>
      </c>
      <c r="U329" s="7">
        <v>556334</v>
      </c>
      <c r="V329" s="7">
        <f>+'St of Net Assets - GA'!O329-'LT _Lia - GA'!U329</f>
        <v>0</v>
      </c>
      <c r="Z329" s="7" t="str">
        <f t="shared" si="31"/>
        <v>Martins Ferry City SD</v>
      </c>
      <c r="AA329" s="7" t="str">
        <f>'Gov Fnd Exp'!A329</f>
        <v>Martins Ferry City SD</v>
      </c>
      <c r="AB329" s="7" t="b">
        <f t="shared" si="33"/>
        <v>1</v>
      </c>
      <c r="AC329" s="7" t="str">
        <f t="shared" si="32"/>
        <v>Belmont</v>
      </c>
      <c r="AD329" s="7" t="b">
        <f>C329='Gov Fnd Exp'!C329</f>
        <v>1</v>
      </c>
    </row>
    <row r="330" spans="1:30">
      <c r="A330" s="12" t="s">
        <v>876</v>
      </c>
      <c r="B330" s="12"/>
      <c r="C330" s="12" t="s">
        <v>66</v>
      </c>
      <c r="D330" s="12"/>
      <c r="E330" s="12">
        <v>45476</v>
      </c>
      <c r="G330" s="7">
        <v>96284173</v>
      </c>
      <c r="I330" s="7">
        <v>0</v>
      </c>
      <c r="K330" s="7">
        <v>415000</v>
      </c>
      <c r="M330" s="7">
        <v>1424000</v>
      </c>
      <c r="O330" s="7">
        <v>3540061</v>
      </c>
      <c r="Q330" s="7">
        <v>733010</v>
      </c>
      <c r="S330" s="8">
        <f t="shared" si="36"/>
        <v>102396244</v>
      </c>
      <c r="U330" s="7">
        <v>4988038</v>
      </c>
      <c r="V330" s="7">
        <f>+'St of Net Assets - GA'!O330-'LT _Lia - GA'!U330</f>
        <v>0</v>
      </c>
      <c r="Z330" s="7" t="str">
        <f t="shared" si="31"/>
        <v>Marysville Exempted Village SD</v>
      </c>
      <c r="AA330" s="7" t="str">
        <f>'Gov Fnd Exp'!A330</f>
        <v>Marysville Exempted Village SD</v>
      </c>
      <c r="AB330" s="7" t="b">
        <f t="shared" si="33"/>
        <v>1</v>
      </c>
      <c r="AC330" s="7" t="str">
        <f t="shared" si="32"/>
        <v>Union</v>
      </c>
      <c r="AD330" s="7" t="b">
        <f>C330='Gov Fnd Exp'!C330</f>
        <v>1</v>
      </c>
    </row>
    <row r="331" spans="1:30">
      <c r="A331" s="12" t="s">
        <v>563</v>
      </c>
      <c r="B331" s="12"/>
      <c r="C331" s="12" t="s">
        <v>69</v>
      </c>
      <c r="D331" s="12"/>
      <c r="E331" s="12">
        <v>50450</v>
      </c>
      <c r="G331" s="7">
        <v>130668684</v>
      </c>
      <c r="I331" s="7">
        <v>0</v>
      </c>
      <c r="K331" s="7">
        <v>0</v>
      </c>
      <c r="M331" s="7">
        <v>5170000</v>
      </c>
      <c r="O331" s="7">
        <v>5287766</v>
      </c>
      <c r="Q331" s="7">
        <v>0</v>
      </c>
      <c r="S331" s="8">
        <f t="shared" si="36"/>
        <v>141126450</v>
      </c>
      <c r="U331" s="7">
        <v>10330661</v>
      </c>
      <c r="V331" s="7">
        <f>+'St of Net Assets - GA'!O331-'LT _Lia - GA'!U331</f>
        <v>0</v>
      </c>
      <c r="Z331" s="7" t="str">
        <f t="shared" si="31"/>
        <v>Mason City SD</v>
      </c>
      <c r="AA331" s="7" t="str">
        <f>'Gov Fnd Exp'!A331</f>
        <v>Mason City SD</v>
      </c>
      <c r="AB331" s="7" t="b">
        <f t="shared" si="33"/>
        <v>1</v>
      </c>
      <c r="AC331" s="7" t="str">
        <f t="shared" si="32"/>
        <v>Warren</v>
      </c>
      <c r="AD331" s="7" t="b">
        <f>C331='Gov Fnd Exp'!C331</f>
        <v>1</v>
      </c>
    </row>
    <row r="332" spans="1:30">
      <c r="A332" s="12" t="s">
        <v>516</v>
      </c>
      <c r="B332" s="12"/>
      <c r="C332" s="12" t="s">
        <v>62</v>
      </c>
      <c r="D332" s="12"/>
      <c r="E332" s="12">
        <v>44354</v>
      </c>
      <c r="G332" s="7">
        <v>11493950</v>
      </c>
      <c r="I332" s="7">
        <v>0</v>
      </c>
      <c r="K332" s="7">
        <v>2425000</v>
      </c>
      <c r="M332" s="7">
        <v>92557</v>
      </c>
      <c r="O332" s="7">
        <v>3027078</v>
      </c>
      <c r="Q332" s="7">
        <v>0</v>
      </c>
      <c r="S332" s="8">
        <f t="shared" si="36"/>
        <v>17038585</v>
      </c>
      <c r="U332" s="7">
        <v>4494223</v>
      </c>
      <c r="V332" s="7">
        <f>+'St of Net Assets - GA'!O332-'LT _Lia - GA'!U332</f>
        <v>0</v>
      </c>
      <c r="Z332" s="7" t="str">
        <f t="shared" si="31"/>
        <v>Massillon City SD</v>
      </c>
      <c r="AA332" s="7" t="str">
        <f>'Gov Fnd Exp'!A332</f>
        <v>Massillon City SD</v>
      </c>
      <c r="AB332" s="7" t="b">
        <f t="shared" si="33"/>
        <v>1</v>
      </c>
      <c r="AC332" s="7" t="str">
        <f t="shared" si="32"/>
        <v>Stark</v>
      </c>
      <c r="AD332" s="7" t="b">
        <f>C332='Gov Fnd Exp'!C332</f>
        <v>1</v>
      </c>
    </row>
    <row r="333" spans="1:30">
      <c r="A333" s="12" t="s">
        <v>545</v>
      </c>
      <c r="B333" s="12"/>
      <c r="C333" s="12" t="s">
        <v>64</v>
      </c>
      <c r="D333" s="12"/>
      <c r="E333" s="12">
        <v>50153</v>
      </c>
      <c r="G333" s="7">
        <v>0</v>
      </c>
      <c r="I333" s="7">
        <v>13683</v>
      </c>
      <c r="K333" s="7">
        <v>0</v>
      </c>
      <c r="M333" s="7">
        <v>0</v>
      </c>
      <c r="O333" s="7">
        <v>1293059</v>
      </c>
      <c r="Q333" s="7">
        <v>0</v>
      </c>
      <c r="S333" s="8">
        <f t="shared" si="36"/>
        <v>1306742</v>
      </c>
      <c r="U333" s="7">
        <v>234394</v>
      </c>
      <c r="V333" s="7">
        <f>+'St of Net Assets - GA'!O333-'LT _Lia - GA'!U333</f>
        <v>0</v>
      </c>
      <c r="Z333" s="7" t="str">
        <f t="shared" si="31"/>
        <v>Mathews Local SD</v>
      </c>
      <c r="AA333" s="7" t="str">
        <f>'Gov Fnd Exp'!A333</f>
        <v>Mathews Local SD</v>
      </c>
      <c r="AB333" s="7" t="b">
        <f t="shared" si="33"/>
        <v>1</v>
      </c>
      <c r="AC333" s="7" t="str">
        <f t="shared" ref="AC333:AC397" si="42">C333</f>
        <v>Trumbull</v>
      </c>
      <c r="AD333" s="7" t="b">
        <f>C333='Gov Fnd Exp'!C333</f>
        <v>1</v>
      </c>
    </row>
    <row r="334" spans="1:30">
      <c r="A334" s="12" t="s">
        <v>403</v>
      </c>
      <c r="B334" s="12"/>
      <c r="C334" s="12" t="s">
        <v>115</v>
      </c>
      <c r="D334" s="12"/>
      <c r="E334" s="12">
        <v>44362</v>
      </c>
      <c r="G334" s="7">
        <f>34205000+922104</f>
        <v>35127104</v>
      </c>
      <c r="I334" s="7">
        <v>0</v>
      </c>
      <c r="K334" s="7">
        <v>0</v>
      </c>
      <c r="M334" s="7">
        <v>0</v>
      </c>
      <c r="O334" s="7">
        <v>2598339</v>
      </c>
      <c r="Q334" s="7">
        <v>0</v>
      </c>
      <c r="S334" s="8">
        <f t="shared" si="36"/>
        <v>37725443</v>
      </c>
      <c r="U334" s="7">
        <v>1351185</v>
      </c>
      <c r="V334" s="7">
        <f>+'St of Net Assets - GA'!O334-'LT _Lia - GA'!U334</f>
        <v>0</v>
      </c>
      <c r="Z334" s="7" t="str">
        <f t="shared" ref="Z334:Z399" si="43">A334</f>
        <v>Maumee City SD</v>
      </c>
      <c r="AA334" s="7" t="str">
        <f>'Gov Fnd Exp'!A334</f>
        <v>Maumee City SD</v>
      </c>
      <c r="AB334" s="7" t="b">
        <f t="shared" si="33"/>
        <v>1</v>
      </c>
      <c r="AC334" s="7" t="str">
        <f t="shared" si="42"/>
        <v>Lucas</v>
      </c>
      <c r="AD334" s="7" t="b">
        <f>C334='Gov Fnd Exp'!C334</f>
        <v>1</v>
      </c>
    </row>
    <row r="335" spans="1:30">
      <c r="A335" s="12" t="s">
        <v>763</v>
      </c>
      <c r="B335" s="12"/>
      <c r="C335" s="12" t="s">
        <v>20</v>
      </c>
      <c r="D335" s="12"/>
      <c r="E335" s="12">
        <v>44370</v>
      </c>
      <c r="G335" s="7">
        <v>3524279</v>
      </c>
      <c r="I335" s="7">
        <f>40535294+700003</f>
        <v>41235297</v>
      </c>
      <c r="K335" s="7">
        <v>0</v>
      </c>
      <c r="M335" s="7">
        <v>67184</v>
      </c>
      <c r="O335" s="7">
        <v>3143202</v>
      </c>
      <c r="Q335" s="7">
        <v>414633</v>
      </c>
      <c r="S335" s="8">
        <f t="shared" si="36"/>
        <v>48384595</v>
      </c>
      <c r="U335" s="7">
        <v>2153771</v>
      </c>
      <c r="V335" s="7">
        <f>+'St of Net Assets - GA'!O335-'LT _Lia - GA'!U335</f>
        <v>0</v>
      </c>
      <c r="Z335" s="7" t="str">
        <f t="shared" si="43"/>
        <v xml:space="preserve">Mayfield City SD </v>
      </c>
      <c r="AA335" s="7" t="str">
        <f>'Gov Fnd Exp'!A335</f>
        <v xml:space="preserve">Mayfield City SD </v>
      </c>
      <c r="AB335" s="7" t="b">
        <f t="shared" ref="AB335:AB401" si="44">Z335=AA335</f>
        <v>1</v>
      </c>
      <c r="AC335" s="7" t="str">
        <f t="shared" si="42"/>
        <v>Cuyahoga</v>
      </c>
      <c r="AD335" s="7" t="b">
        <f>C335='Gov Fnd Exp'!C335</f>
        <v>1</v>
      </c>
    </row>
    <row r="336" spans="1:30">
      <c r="A336" s="12" t="s">
        <v>458</v>
      </c>
      <c r="B336" s="12"/>
      <c r="C336" s="12" t="s">
        <v>51</v>
      </c>
      <c r="D336" s="12"/>
      <c r="E336" s="12">
        <v>48850</v>
      </c>
      <c r="G336" s="7">
        <v>2964687</v>
      </c>
      <c r="I336" s="7">
        <v>0</v>
      </c>
      <c r="K336" s="7">
        <v>0</v>
      </c>
      <c r="M336" s="7">
        <v>1482645</v>
      </c>
      <c r="O336" s="7">
        <v>1167529</v>
      </c>
      <c r="Q336" s="7">
        <v>0</v>
      </c>
      <c r="S336" s="8">
        <f t="shared" si="36"/>
        <v>5614861</v>
      </c>
      <c r="U336" s="7">
        <v>469217</v>
      </c>
      <c r="V336" s="7">
        <f>+'St of Net Assets - GA'!O336-'LT _Lia - GA'!U336</f>
        <v>0</v>
      </c>
      <c r="Z336" s="7" t="str">
        <f t="shared" si="43"/>
        <v>Maysville Local SD</v>
      </c>
      <c r="AA336" s="7" t="str">
        <f>'Gov Fnd Exp'!A336</f>
        <v>Maysville Local SD</v>
      </c>
      <c r="AB336" s="7" t="b">
        <f t="shared" si="44"/>
        <v>1</v>
      </c>
      <c r="AC336" s="7" t="str">
        <f t="shared" si="42"/>
        <v>Muskingum</v>
      </c>
      <c r="AD336" s="7" t="b">
        <f>C336='Gov Fnd Exp'!C336</f>
        <v>1</v>
      </c>
    </row>
    <row r="337" spans="1:30" hidden="1">
      <c r="A337" s="12" t="s">
        <v>932</v>
      </c>
      <c r="B337" s="12"/>
      <c r="C337" s="12" t="s">
        <v>33</v>
      </c>
      <c r="D337" s="12"/>
      <c r="E337" s="12">
        <v>47456</v>
      </c>
      <c r="S337" s="8">
        <f t="shared" si="36"/>
        <v>0</v>
      </c>
      <c r="V337" s="7">
        <f>+'St of Net Assets - GA'!O337-'LT _Lia - GA'!U337</f>
        <v>0</v>
      </c>
      <c r="X337" s="7" t="s">
        <v>839</v>
      </c>
      <c r="Z337" s="7" t="str">
        <f t="shared" si="43"/>
        <v>McComb Local SD (CASH)</v>
      </c>
      <c r="AA337" s="7" t="str">
        <f>'Gov Fnd Exp'!A337</f>
        <v>McComb Local SD (CASH)</v>
      </c>
      <c r="AB337" s="7" t="b">
        <f t="shared" si="44"/>
        <v>1</v>
      </c>
      <c r="AC337" s="7" t="str">
        <f t="shared" si="42"/>
        <v>Hancock</v>
      </c>
      <c r="AD337" s="7" t="b">
        <f>C337='Gov Fnd Exp'!C337</f>
        <v>1</v>
      </c>
    </row>
    <row r="338" spans="1:30">
      <c r="A338" s="12" t="s">
        <v>667</v>
      </c>
      <c r="B338" s="12"/>
      <c r="C338" s="12" t="s">
        <v>64</v>
      </c>
      <c r="D338" s="12"/>
      <c r="E338" s="12">
        <v>50229</v>
      </c>
      <c r="G338" s="7">
        <v>1357086</v>
      </c>
      <c r="I338" s="7">
        <v>0</v>
      </c>
      <c r="K338" s="7">
        <v>0</v>
      </c>
      <c r="M338" s="7">
        <v>80774</v>
      </c>
      <c r="O338" s="7">
        <v>256425</v>
      </c>
      <c r="Q338" s="7">
        <v>111825</v>
      </c>
      <c r="S338" s="8">
        <f t="shared" si="36"/>
        <v>1806110</v>
      </c>
      <c r="U338" s="7">
        <v>220124</v>
      </c>
      <c r="V338" s="7">
        <f>+'St of Net Assets - GA'!O338-'LT _Lia - GA'!U338</f>
        <v>0</v>
      </c>
      <c r="Z338" s="7" t="str">
        <f t="shared" si="43"/>
        <v>McDonald Local SD</v>
      </c>
      <c r="AA338" s="7" t="str">
        <f>'Gov Fnd Exp'!A338</f>
        <v>McDonald Local SD</v>
      </c>
      <c r="AB338" s="7" t="b">
        <f t="shared" si="44"/>
        <v>1</v>
      </c>
      <c r="AC338" s="7" t="str">
        <f t="shared" si="42"/>
        <v>Trumbull</v>
      </c>
      <c r="AD338" s="7" t="b">
        <f>C338='Gov Fnd Exp'!C338</f>
        <v>1</v>
      </c>
    </row>
    <row r="339" spans="1:30">
      <c r="A339" s="12" t="s">
        <v>877</v>
      </c>
      <c r="B339" s="12"/>
      <c r="C339" s="12" t="s">
        <v>232</v>
      </c>
      <c r="D339" s="12"/>
      <c r="E339" s="12">
        <v>45484</v>
      </c>
      <c r="G339" s="7">
        <f>6370000+195265+203118+715000+76321</f>
        <v>7559704</v>
      </c>
      <c r="I339" s="7">
        <v>0</v>
      </c>
      <c r="K339" s="7">
        <v>0</v>
      </c>
      <c r="M339" s="7">
        <v>37461</v>
      </c>
      <c r="O339" s="7">
        <v>538458</v>
      </c>
      <c r="Q339" s="7">
        <v>0</v>
      </c>
      <c r="S339" s="8">
        <f t="shared" si="36"/>
        <v>8135623</v>
      </c>
      <c r="U339" s="7">
        <v>380550</v>
      </c>
      <c r="V339" s="7">
        <f>+'St of Net Assets - GA'!O339-'LT _Lia - GA'!U339</f>
        <v>0</v>
      </c>
      <c r="Z339" s="7" t="str">
        <f t="shared" si="43"/>
        <v>Mechanicsburg Exempted Village SD</v>
      </c>
      <c r="AA339" s="7" t="str">
        <f>'Gov Fnd Exp'!A339</f>
        <v>Mechanicsburg Exempted Village SD</v>
      </c>
      <c r="AB339" s="7" t="b">
        <f t="shared" si="44"/>
        <v>1</v>
      </c>
      <c r="AC339" s="7" t="str">
        <f t="shared" si="42"/>
        <v>Champaign</v>
      </c>
      <c r="AD339" s="7" t="b">
        <f>C339='Gov Fnd Exp'!C339</f>
        <v>1</v>
      </c>
    </row>
    <row r="340" spans="1:30">
      <c r="A340" s="12" t="s">
        <v>431</v>
      </c>
      <c r="B340" s="12"/>
      <c r="C340" s="12" t="s">
        <v>47</v>
      </c>
      <c r="D340" s="12"/>
      <c r="E340" s="12">
        <v>44388</v>
      </c>
      <c r="G340" s="7">
        <f>25289491+63100458</f>
        <v>88389949</v>
      </c>
      <c r="I340" s="7">
        <v>0</v>
      </c>
      <c r="K340" s="7">
        <v>2685000</v>
      </c>
      <c r="M340" s="7">
        <v>248553</v>
      </c>
      <c r="O340" s="7">
        <v>6590084</v>
      </c>
      <c r="Q340" s="7">
        <v>0</v>
      </c>
      <c r="S340" s="8">
        <f t="shared" si="36"/>
        <v>97913586</v>
      </c>
      <c r="U340" s="7">
        <v>4285507</v>
      </c>
      <c r="V340" s="7">
        <f>+'St of Net Assets - GA'!O340-'LT _Lia - GA'!U340</f>
        <v>0</v>
      </c>
      <c r="Z340" s="7" t="str">
        <f t="shared" si="43"/>
        <v>Medina City SD</v>
      </c>
      <c r="AA340" s="7" t="str">
        <f>'Gov Fnd Exp'!A340</f>
        <v>Medina City SD</v>
      </c>
      <c r="AB340" s="7" t="b">
        <f t="shared" si="44"/>
        <v>1</v>
      </c>
      <c r="AC340" s="7" t="str">
        <f t="shared" si="42"/>
        <v>Medina</v>
      </c>
      <c r="AD340" s="7" t="b">
        <f>C340='Gov Fnd Exp'!C340</f>
        <v>1</v>
      </c>
    </row>
    <row r="341" spans="1:30">
      <c r="A341" s="12" t="s">
        <v>434</v>
      </c>
      <c r="B341" s="12"/>
      <c r="C341" s="12" t="s">
        <v>433</v>
      </c>
      <c r="D341" s="12"/>
      <c r="E341" s="12">
        <v>48520</v>
      </c>
      <c r="G341" s="7">
        <f>915000+3210000+254996+230150+294342-231054</f>
        <v>4673434</v>
      </c>
      <c r="I341" s="7">
        <v>0</v>
      </c>
      <c r="K341" s="7">
        <f>117500+583278</f>
        <v>700778</v>
      </c>
      <c r="M341" s="7">
        <v>0</v>
      </c>
      <c r="O341" s="7">
        <v>799575</v>
      </c>
      <c r="Q341" s="7">
        <v>0</v>
      </c>
      <c r="S341" s="8">
        <f t="shared" si="36"/>
        <v>6173787</v>
      </c>
      <c r="U341" s="7">
        <v>292691</v>
      </c>
      <c r="V341" s="7">
        <f>+'St of Net Assets - GA'!O341-'LT _Lia - GA'!U341</f>
        <v>0</v>
      </c>
      <c r="X341" s="7" t="s">
        <v>933</v>
      </c>
      <c r="Z341" s="7" t="str">
        <f t="shared" si="43"/>
        <v>Meigs Local SD</v>
      </c>
      <c r="AA341" s="7" t="str">
        <f>'Gov Fnd Exp'!A341</f>
        <v>Meigs Local SD</v>
      </c>
      <c r="AB341" s="7" t="b">
        <f t="shared" si="44"/>
        <v>1</v>
      </c>
      <c r="AC341" s="7" t="str">
        <f t="shared" si="42"/>
        <v>Meigs</v>
      </c>
      <c r="AD341" s="7" t="b">
        <f>C341='Gov Fnd Exp'!C341</f>
        <v>1</v>
      </c>
    </row>
    <row r="342" spans="1:30">
      <c r="A342" s="12" t="s">
        <v>878</v>
      </c>
      <c r="B342" s="12"/>
      <c r="C342" s="12" t="s">
        <v>41</v>
      </c>
      <c r="D342" s="12"/>
      <c r="E342" s="12">
        <v>45492</v>
      </c>
      <c r="G342" s="7">
        <v>2569543</v>
      </c>
      <c r="I342" s="7">
        <v>0</v>
      </c>
      <c r="K342" s="7">
        <v>541334</v>
      </c>
      <c r="M342" s="7">
        <v>0</v>
      </c>
      <c r="O342" s="7">
        <v>5544281</v>
      </c>
      <c r="Q342" s="7">
        <f>829581+1425000</f>
        <v>2254581</v>
      </c>
      <c r="S342" s="8">
        <f t="shared" si="36"/>
        <v>10909739</v>
      </c>
      <c r="U342" s="7">
        <v>4062511</v>
      </c>
      <c r="V342" s="7">
        <f>+'St of Net Assets - GA'!O342-'LT _Lia - GA'!U342</f>
        <v>0</v>
      </c>
      <c r="Z342" s="7" t="str">
        <f t="shared" si="43"/>
        <v>Mentor Exempted Village SD</v>
      </c>
      <c r="AA342" s="7" t="str">
        <f>'Gov Fnd Exp'!A342</f>
        <v>Mentor Exempted Village SD</v>
      </c>
      <c r="AB342" s="7" t="b">
        <f t="shared" si="44"/>
        <v>1</v>
      </c>
      <c r="AC342" s="7" t="str">
        <f t="shared" si="42"/>
        <v>Lake</v>
      </c>
      <c r="AD342" s="7" t="b">
        <f>C342='Gov Fnd Exp'!C342</f>
        <v>1</v>
      </c>
    </row>
    <row r="343" spans="1:30">
      <c r="A343" s="12" t="s">
        <v>437</v>
      </c>
      <c r="B343" s="12"/>
      <c r="C343" s="12" t="s">
        <v>48</v>
      </c>
      <c r="D343" s="12"/>
      <c r="E343" s="12">
        <v>48629</v>
      </c>
      <c r="G343" s="7">
        <v>17474141</v>
      </c>
      <c r="I343" s="7">
        <v>0</v>
      </c>
      <c r="K343" s="7">
        <v>0</v>
      </c>
      <c r="M343" s="7">
        <v>0</v>
      </c>
      <c r="O343" s="7">
        <v>1674889</v>
      </c>
      <c r="Q343" s="7">
        <v>0</v>
      </c>
      <c r="S343" s="8">
        <f t="shared" si="36"/>
        <v>19149030</v>
      </c>
      <c r="U343" s="7">
        <v>936111</v>
      </c>
      <c r="V343" s="7">
        <f>+'St of Net Assets - GA'!O343-'LT _Lia - GA'!U343</f>
        <v>0</v>
      </c>
      <c r="Z343" s="7" t="str">
        <f t="shared" si="43"/>
        <v>Miami East Local SD</v>
      </c>
      <c r="AA343" s="7" t="str">
        <f>'Gov Fnd Exp'!A343</f>
        <v>Miami East Local SD</v>
      </c>
      <c r="AB343" s="7" t="b">
        <f t="shared" si="44"/>
        <v>1</v>
      </c>
      <c r="AC343" s="7" t="str">
        <f t="shared" si="42"/>
        <v>Miami</v>
      </c>
      <c r="AD343" s="7" t="b">
        <f>C343='Gov Fnd Exp'!C343</f>
        <v>1</v>
      </c>
    </row>
    <row r="344" spans="1:30">
      <c r="A344" s="12" t="s">
        <v>303</v>
      </c>
      <c r="B344" s="12"/>
      <c r="C344" s="12" t="s">
        <v>26</v>
      </c>
      <c r="D344" s="12"/>
      <c r="E344" s="12">
        <v>46920</v>
      </c>
      <c r="G344" s="7">
        <v>27587206</v>
      </c>
      <c r="I344" s="7">
        <v>0</v>
      </c>
      <c r="K344" s="7">
        <v>0</v>
      </c>
      <c r="M344" s="7">
        <v>0</v>
      </c>
      <c r="O344" s="7">
        <v>1162349</v>
      </c>
      <c r="Q344" s="7">
        <v>0</v>
      </c>
      <c r="S344" s="8">
        <f t="shared" si="36"/>
        <v>28749555</v>
      </c>
      <c r="U344" s="7">
        <v>777614</v>
      </c>
      <c r="V344" s="7">
        <f>+'St of Net Assets - GA'!O344-'LT _Lia - GA'!U344</f>
        <v>0</v>
      </c>
      <c r="Z344" s="7" t="str">
        <f t="shared" si="43"/>
        <v>Miami Trace Local SD</v>
      </c>
      <c r="AA344" s="7" t="str">
        <f>'Gov Fnd Exp'!A344</f>
        <v>Miami Trace Local SD</v>
      </c>
      <c r="AB344" s="7" t="b">
        <f t="shared" si="44"/>
        <v>1</v>
      </c>
      <c r="AC344" s="7" t="str">
        <f t="shared" si="42"/>
        <v>Fayette</v>
      </c>
      <c r="AD344" s="7" t="b">
        <f>C344='Gov Fnd Exp'!C344</f>
        <v>1</v>
      </c>
    </row>
    <row r="345" spans="1:30">
      <c r="A345" s="12" t="s">
        <v>445</v>
      </c>
      <c r="B345" s="12"/>
      <c r="C345" s="12" t="s">
        <v>50</v>
      </c>
      <c r="D345" s="12"/>
      <c r="E345" s="12">
        <v>44396</v>
      </c>
      <c r="G345" s="7">
        <f>1400000+4870000+95000+119286+218701+17925000+19600000+1225000+425197+1104076+4400000+16290000+395000+149261+1170923</f>
        <v>69387444</v>
      </c>
      <c r="I345" s="7">
        <v>0</v>
      </c>
      <c r="K345" s="7">
        <f>16100000+130680</f>
        <v>16230680</v>
      </c>
      <c r="M345" s="7">
        <v>384489</v>
      </c>
      <c r="O345" s="7">
        <v>4077144</v>
      </c>
      <c r="Q345" s="7">
        <v>0</v>
      </c>
      <c r="S345" s="8">
        <f t="shared" si="36"/>
        <v>90079757</v>
      </c>
      <c r="U345" s="7">
        <v>1567789</v>
      </c>
      <c r="V345" s="7">
        <f>+'St of Net Assets - GA'!O345-'LT _Lia - GA'!U345</f>
        <v>0</v>
      </c>
      <c r="Z345" s="7" t="str">
        <f t="shared" si="43"/>
        <v>Miamisburg City SD</v>
      </c>
      <c r="AA345" s="7" t="str">
        <f>'Gov Fnd Exp'!A345</f>
        <v>Miamisburg City SD</v>
      </c>
      <c r="AB345" s="7" t="b">
        <f t="shared" si="44"/>
        <v>1</v>
      </c>
      <c r="AC345" s="7" t="str">
        <f t="shared" si="42"/>
        <v>Montgomery</v>
      </c>
      <c r="AD345" s="7" t="b">
        <f>C345='Gov Fnd Exp'!C345</f>
        <v>1</v>
      </c>
    </row>
    <row r="346" spans="1:30" hidden="1">
      <c r="A346" s="12" t="s">
        <v>942</v>
      </c>
      <c r="B346" s="12"/>
      <c r="C346" s="12" t="s">
        <v>53</v>
      </c>
      <c r="D346" s="12"/>
      <c r="E346" s="12"/>
      <c r="S346" s="8">
        <f t="shared" ref="S346" si="45">SUM(G346:R346)</f>
        <v>0</v>
      </c>
      <c r="U346" s="7">
        <v>0</v>
      </c>
      <c r="V346" s="7">
        <f>+'St of Net Assets - GA'!O346-'LT _Lia - GA'!U346</f>
        <v>0</v>
      </c>
      <c r="X346" s="7" t="s">
        <v>931</v>
      </c>
      <c r="Z346" s="7" t="str">
        <f t="shared" si="43"/>
        <v>Middle Bass Local SD (Two year Audit - CASH)</v>
      </c>
      <c r="AA346" s="7" t="str">
        <f>'Gov Fnd Exp'!A346</f>
        <v>Middle Bass Local SD (Two year Audit - CASH)</v>
      </c>
      <c r="AB346" s="7" t="b">
        <f t="shared" ref="AB346" si="46">Z346=AA346</f>
        <v>1</v>
      </c>
      <c r="AC346" s="7" t="str">
        <f t="shared" ref="AC346" si="47">C346</f>
        <v>Ottawa</v>
      </c>
      <c r="AD346" s="7" t="b">
        <f>C346='Gov Fnd Exp'!C346</f>
        <v>1</v>
      </c>
    </row>
    <row r="347" spans="1:30">
      <c r="A347" s="12" t="s">
        <v>228</v>
      </c>
      <c r="B347" s="12"/>
      <c r="C347" s="12" t="s">
        <v>223</v>
      </c>
      <c r="D347" s="12"/>
      <c r="E347" s="12">
        <v>44404</v>
      </c>
      <c r="G347" s="7">
        <f>3285000+53340000+4228125-61370</f>
        <v>60791755</v>
      </c>
      <c r="I347" s="7">
        <v>0</v>
      </c>
      <c r="K347" s="7">
        <f>970073+474363</f>
        <v>1444436</v>
      </c>
      <c r="M347" s="7">
        <v>1629178</v>
      </c>
      <c r="O347" s="7">
        <v>1501942</v>
      </c>
      <c r="Q347" s="7">
        <v>2542400</v>
      </c>
      <c r="S347" s="8">
        <f t="shared" si="36"/>
        <v>67909711</v>
      </c>
      <c r="U347" s="7">
        <v>1981145</v>
      </c>
      <c r="V347" s="7">
        <f>+'St of Net Assets - GA'!O347-'LT _Lia - GA'!U347</f>
        <v>0</v>
      </c>
      <c r="Z347" s="7" t="str">
        <f t="shared" si="43"/>
        <v>Middletown City SD</v>
      </c>
      <c r="AA347" s="7" t="str">
        <f>'Gov Fnd Exp'!A347</f>
        <v>Middletown City SD</v>
      </c>
      <c r="AB347" s="7" t="b">
        <f t="shared" si="44"/>
        <v>1</v>
      </c>
      <c r="AC347" s="7" t="str">
        <f t="shared" si="42"/>
        <v>Butler</v>
      </c>
      <c r="AD347" s="7" t="b">
        <f>C347='Gov Fnd Exp'!C347</f>
        <v>1</v>
      </c>
    </row>
    <row r="348" spans="1:30">
      <c r="A348" s="12" t="s">
        <v>399</v>
      </c>
      <c r="B348" s="12"/>
      <c r="C348" s="12" t="s">
        <v>44</v>
      </c>
      <c r="D348" s="12"/>
      <c r="E348" s="12">
        <v>48173</v>
      </c>
      <c r="G348" s="7">
        <f>2200000+240000</f>
        <v>2440000</v>
      </c>
      <c r="I348" s="7">
        <v>0</v>
      </c>
      <c r="K348" s="7">
        <f>8115000+16810000</f>
        <v>24925000</v>
      </c>
      <c r="M348" s="7">
        <v>0</v>
      </c>
      <c r="O348" s="7">
        <v>1761776</v>
      </c>
      <c r="Q348" s="7">
        <v>0</v>
      </c>
      <c r="S348" s="8">
        <f t="shared" si="36"/>
        <v>29126776</v>
      </c>
      <c r="U348" s="7">
        <v>1081415</v>
      </c>
      <c r="V348" s="7">
        <f>+'St of Net Assets - GA'!O348-'LT _Lia - GA'!U348</f>
        <v>0</v>
      </c>
      <c r="X348" s="7" t="s">
        <v>933</v>
      </c>
      <c r="Z348" s="7" t="str">
        <f t="shared" si="43"/>
        <v>Midview Local SD</v>
      </c>
      <c r="AA348" s="7" t="str">
        <f>'Gov Fnd Exp'!A348</f>
        <v>Midview Local SD</v>
      </c>
      <c r="AB348" s="7" t="b">
        <f t="shared" si="44"/>
        <v>1</v>
      </c>
      <c r="AC348" s="7" t="str">
        <f t="shared" si="42"/>
        <v>Lorain</v>
      </c>
      <c r="AD348" s="7" t="b">
        <f>C348='Gov Fnd Exp'!C348</f>
        <v>1</v>
      </c>
    </row>
    <row r="349" spans="1:30">
      <c r="A349" s="12" t="s">
        <v>879</v>
      </c>
      <c r="B349" s="12"/>
      <c r="C349" s="12" t="s">
        <v>113</v>
      </c>
      <c r="D349" s="12"/>
      <c r="E349" s="12">
        <v>45500</v>
      </c>
      <c r="G349" s="7">
        <f>3180000+6740000+410000+713810+22515000+30930000+285000+172198+3781017</f>
        <v>68727025</v>
      </c>
      <c r="I349" s="7">
        <v>439547</v>
      </c>
      <c r="K349" s="7">
        <v>1900000</v>
      </c>
      <c r="M349" s="7">
        <v>0</v>
      </c>
      <c r="O349" s="7">
        <v>2129282</v>
      </c>
      <c r="Q349" s="7">
        <v>0</v>
      </c>
      <c r="S349" s="8">
        <f t="shared" si="36"/>
        <v>73195854</v>
      </c>
      <c r="U349" s="7">
        <v>1467215</v>
      </c>
      <c r="V349" s="7">
        <f>+'St of Net Assets - GA'!O349-'LT _Lia - GA'!U349</f>
        <v>0</v>
      </c>
      <c r="Z349" s="7" t="str">
        <f t="shared" si="43"/>
        <v>Milford Exempted Village SD</v>
      </c>
      <c r="AA349" s="7" t="str">
        <f>'Gov Fnd Exp'!A349</f>
        <v>Milford Exempted Village SD</v>
      </c>
      <c r="AB349" s="7" t="b">
        <f t="shared" si="44"/>
        <v>1</v>
      </c>
      <c r="AC349" s="7" t="str">
        <f t="shared" si="42"/>
        <v>Clermont</v>
      </c>
      <c r="AD349" s="7" t="b">
        <f>C349='Gov Fnd Exp'!C349</f>
        <v>1</v>
      </c>
    </row>
    <row r="350" spans="1:30" hidden="1">
      <c r="A350" s="12" t="s">
        <v>639</v>
      </c>
      <c r="B350" s="12"/>
      <c r="C350" s="12" t="s">
        <v>570</v>
      </c>
      <c r="D350" s="12"/>
      <c r="E350" s="12">
        <v>50633</v>
      </c>
      <c r="S350" s="8">
        <f t="shared" si="36"/>
        <v>0</v>
      </c>
      <c r="V350" s="7">
        <f>+'St of Net Assets - GA'!O350-'LT _Lia - GA'!U350</f>
        <v>0</v>
      </c>
      <c r="X350" s="7" t="s">
        <v>839</v>
      </c>
      <c r="Z350" s="7" t="str">
        <f t="shared" si="43"/>
        <v>Millcreek-West Unity Local SD (CASH)</v>
      </c>
      <c r="AA350" s="7" t="str">
        <f>'Gov Fnd Exp'!A350</f>
        <v>Millcreek-West Unity Local SD (CASH)</v>
      </c>
      <c r="AB350" s="7" t="b">
        <f t="shared" si="44"/>
        <v>1</v>
      </c>
      <c r="AC350" s="7" t="str">
        <f t="shared" si="42"/>
        <v>Williams</v>
      </c>
      <c r="AD350" s="7" t="b">
        <f>C350='Gov Fnd Exp'!C350</f>
        <v>1</v>
      </c>
    </row>
    <row r="351" spans="1:30" hidden="1">
      <c r="A351" s="12" t="s">
        <v>934</v>
      </c>
      <c r="B351" s="12"/>
      <c r="C351" s="12" t="s">
        <v>482</v>
      </c>
      <c r="D351" s="12"/>
      <c r="E351" s="12">
        <v>49361</v>
      </c>
      <c r="S351" s="8">
        <f t="shared" si="36"/>
        <v>0</v>
      </c>
      <c r="V351" s="7">
        <f>+'St of Net Assets - GA'!O351-'LT _Lia - GA'!U351</f>
        <v>0</v>
      </c>
      <c r="X351" s="7" t="s">
        <v>839</v>
      </c>
      <c r="Z351" s="7" t="str">
        <f t="shared" si="43"/>
        <v>Miller City-New Cleveland Local (Two year Audit - CASH)</v>
      </c>
      <c r="AA351" s="7" t="str">
        <f>'Gov Fnd Exp'!A351</f>
        <v>Miller City-New Cleveland Local (Two year Audit - CASH)</v>
      </c>
      <c r="AB351" s="7" t="b">
        <f t="shared" si="44"/>
        <v>1</v>
      </c>
      <c r="AC351" s="7" t="str">
        <f t="shared" si="42"/>
        <v>Putnam</v>
      </c>
      <c r="AD351" s="7" t="b">
        <f>C351='Gov Fnd Exp'!C351</f>
        <v>1</v>
      </c>
    </row>
    <row r="352" spans="1:30" hidden="1">
      <c r="A352" s="12" t="s">
        <v>935</v>
      </c>
      <c r="B352" s="12"/>
      <c r="C352" s="12" t="s">
        <v>48</v>
      </c>
      <c r="D352" s="12"/>
      <c r="E352" s="12">
        <v>45518</v>
      </c>
      <c r="S352" s="8">
        <f t="shared" si="36"/>
        <v>0</v>
      </c>
      <c r="V352" s="7">
        <f>+'St of Net Assets - GA'!O352-'LT _Lia - GA'!U352</f>
        <v>0</v>
      </c>
      <c r="X352" s="7" t="s">
        <v>903</v>
      </c>
      <c r="Z352" s="7" t="str">
        <f t="shared" si="43"/>
        <v>Milton-Union Exempted Village SD (CASH)</v>
      </c>
      <c r="AA352" s="7" t="str">
        <f>'Gov Fnd Exp'!A352</f>
        <v>Milton-Union Exempted Village SD (CASH)</v>
      </c>
      <c r="AB352" s="7" t="b">
        <f t="shared" si="44"/>
        <v>1</v>
      </c>
      <c r="AC352" s="7" t="str">
        <f t="shared" si="42"/>
        <v>Miami</v>
      </c>
      <c r="AD352" s="7" t="b">
        <f>C352='Gov Fnd Exp'!C352</f>
        <v>1</v>
      </c>
    </row>
    <row r="353" spans="1:30">
      <c r="A353" s="12" t="s">
        <v>517</v>
      </c>
      <c r="B353" s="12"/>
      <c r="C353" s="12" t="s">
        <v>62</v>
      </c>
      <c r="D353" s="12"/>
      <c r="E353" s="12">
        <v>49890</v>
      </c>
      <c r="G353" s="7">
        <v>12298476</v>
      </c>
      <c r="I353" s="7">
        <v>0</v>
      </c>
      <c r="K353" s="7">
        <v>0</v>
      </c>
      <c r="M353" s="7">
        <v>233937</v>
      </c>
      <c r="O353" s="7">
        <v>1144238</v>
      </c>
      <c r="Q353" s="7">
        <v>0</v>
      </c>
      <c r="S353" s="8">
        <f t="shared" si="36"/>
        <v>13676651</v>
      </c>
      <c r="U353" s="7">
        <v>658676</v>
      </c>
      <c r="V353" s="7">
        <f>+'St of Net Assets - GA'!O353-'LT _Lia - GA'!U353</f>
        <v>0</v>
      </c>
      <c r="Z353" s="7" t="str">
        <f t="shared" si="43"/>
        <v>Minerva Local SD</v>
      </c>
      <c r="AA353" s="7" t="str">
        <f>'Gov Fnd Exp'!A353</f>
        <v>Minerva Local SD</v>
      </c>
      <c r="AB353" s="7" t="b">
        <f t="shared" si="44"/>
        <v>1</v>
      </c>
      <c r="AC353" s="7" t="str">
        <f t="shared" si="42"/>
        <v>Stark</v>
      </c>
      <c r="AD353" s="7" t="b">
        <f>C353='Gov Fnd Exp'!C353</f>
        <v>1</v>
      </c>
    </row>
    <row r="354" spans="1:30">
      <c r="A354" s="12" t="s">
        <v>497</v>
      </c>
      <c r="B354" s="12"/>
      <c r="C354" s="12" t="s">
        <v>59</v>
      </c>
      <c r="D354" s="12"/>
      <c r="E354" s="12">
        <v>49627</v>
      </c>
      <c r="G354" s="7">
        <f>430000+578400+775000+50289+50000+11063-28163</f>
        <v>1866589</v>
      </c>
      <c r="I354" s="7">
        <v>0</v>
      </c>
      <c r="K354" s="7">
        <v>0</v>
      </c>
      <c r="M354" s="7">
        <v>1180369</v>
      </c>
      <c r="O354" s="7">
        <v>861221</v>
      </c>
      <c r="Q354" s="7">
        <v>0</v>
      </c>
      <c r="S354" s="8">
        <f t="shared" si="36"/>
        <v>3908179</v>
      </c>
      <c r="U354" s="7">
        <v>496453</v>
      </c>
      <c r="V354" s="7">
        <f>+'St of Net Assets - GA'!O354-'LT _Lia - GA'!U354</f>
        <v>0</v>
      </c>
      <c r="Z354" s="7" t="str">
        <f t="shared" si="43"/>
        <v>Minford Local SD</v>
      </c>
      <c r="AA354" s="7" t="str">
        <f>'Gov Fnd Exp'!A354</f>
        <v>Minford Local SD</v>
      </c>
      <c r="AB354" s="7" t="b">
        <f t="shared" si="44"/>
        <v>1</v>
      </c>
      <c r="AC354" s="7" t="str">
        <f t="shared" si="42"/>
        <v>Scioto</v>
      </c>
      <c r="AD354" s="7" t="b">
        <f>C354='Gov Fnd Exp'!C354</f>
        <v>1</v>
      </c>
    </row>
    <row r="355" spans="1:30">
      <c r="A355" s="12" t="s">
        <v>214</v>
      </c>
      <c r="B355" s="12"/>
      <c r="C355" s="12" t="s">
        <v>14</v>
      </c>
      <c r="D355" s="12"/>
      <c r="E355" s="12">
        <v>45948</v>
      </c>
      <c r="G355" s="7">
        <v>10796143</v>
      </c>
      <c r="I355" s="7">
        <v>0</v>
      </c>
      <c r="K355" s="7">
        <v>0</v>
      </c>
      <c r="M355" s="7">
        <v>0</v>
      </c>
      <c r="O355" s="7">
        <v>433524</v>
      </c>
      <c r="Q355" s="7">
        <v>0</v>
      </c>
      <c r="S355" s="8">
        <f t="shared" si="36"/>
        <v>11229667</v>
      </c>
      <c r="U355" s="7">
        <v>279289</v>
      </c>
      <c r="V355" s="7">
        <f>+'St of Net Assets - GA'!O355-'LT _Lia - GA'!U355</f>
        <v>0</v>
      </c>
      <c r="Z355" s="7" t="str">
        <f t="shared" si="43"/>
        <v>Minster Local SD</v>
      </c>
      <c r="AA355" s="7" t="str">
        <f>'Gov Fnd Exp'!A355</f>
        <v>Minster Local SD</v>
      </c>
      <c r="AB355" s="7" t="b">
        <f t="shared" si="44"/>
        <v>1</v>
      </c>
      <c r="AC355" s="7" t="str">
        <f t="shared" si="42"/>
        <v>Auglaize</v>
      </c>
      <c r="AD355" s="7" t="b">
        <f>C355='Gov Fnd Exp'!C355</f>
        <v>1</v>
      </c>
    </row>
    <row r="356" spans="1:30" hidden="1">
      <c r="A356" s="12" t="s">
        <v>669</v>
      </c>
      <c r="B356" s="12"/>
      <c r="C356" s="12" t="s">
        <v>21</v>
      </c>
      <c r="D356" s="12"/>
      <c r="E356" s="12">
        <v>46672</v>
      </c>
      <c r="S356" s="8">
        <f t="shared" si="36"/>
        <v>0</v>
      </c>
      <c r="V356" s="7">
        <f>+'St of Net Assets - GA'!O356-'LT _Lia - GA'!U356</f>
        <v>0</v>
      </c>
      <c r="X356" s="7" t="s">
        <v>839</v>
      </c>
      <c r="Z356" s="7" t="str">
        <f t="shared" si="43"/>
        <v>Mississinawa Valley Local SD  (CASH)</v>
      </c>
      <c r="AA356" s="7" t="str">
        <f>'Gov Fnd Exp'!A356</f>
        <v>Mississinawa Valley Local SD  (CASH)</v>
      </c>
      <c r="AB356" s="7" t="b">
        <f t="shared" si="44"/>
        <v>1</v>
      </c>
      <c r="AC356" s="7" t="str">
        <f t="shared" si="42"/>
        <v>Darke</v>
      </c>
      <c r="AD356" s="7" t="b">
        <f>C356='Gov Fnd Exp'!C356</f>
        <v>1</v>
      </c>
    </row>
    <row r="357" spans="1:30">
      <c r="A357" s="12" t="s">
        <v>526</v>
      </c>
      <c r="B357" s="12"/>
      <c r="C357" s="12" t="s">
        <v>63</v>
      </c>
      <c r="D357" s="12"/>
      <c r="E357" s="12">
        <v>50039</v>
      </c>
      <c r="G357" s="7">
        <f>8680000+179997+283547+1810000+89075</f>
        <v>11042619</v>
      </c>
      <c r="I357" s="7">
        <v>0</v>
      </c>
      <c r="K357" s="7">
        <v>0</v>
      </c>
      <c r="M357" s="7">
        <v>0</v>
      </c>
      <c r="O357" s="7">
        <v>605240</v>
      </c>
      <c r="Q357" s="7">
        <v>0</v>
      </c>
      <c r="S357" s="8">
        <f t="shared" si="36"/>
        <v>11647859</v>
      </c>
      <c r="U357" s="7">
        <v>473216</v>
      </c>
      <c r="V357" s="7">
        <f>+'St of Net Assets - GA'!O357-'LT _Lia - GA'!U357</f>
        <v>0</v>
      </c>
      <c r="Z357" s="7" t="str">
        <f t="shared" si="43"/>
        <v>Mogadore Local SD</v>
      </c>
      <c r="AA357" s="7" t="str">
        <f>'Gov Fnd Exp'!A357</f>
        <v>Mogadore Local SD</v>
      </c>
      <c r="AB357" s="7" t="b">
        <f t="shared" si="44"/>
        <v>1</v>
      </c>
      <c r="AC357" s="7" t="str">
        <f t="shared" si="42"/>
        <v>Summit</v>
      </c>
      <c r="AD357" s="7" t="b">
        <f>C357='Gov Fnd Exp'!C357</f>
        <v>1</v>
      </c>
    </row>
    <row r="358" spans="1:30" hidden="1">
      <c r="A358" s="12" t="s">
        <v>648</v>
      </c>
      <c r="B358" s="12"/>
      <c r="C358" s="12" t="s">
        <v>577</v>
      </c>
      <c r="D358" s="12"/>
      <c r="E358" s="12">
        <v>50740</v>
      </c>
      <c r="S358" s="8">
        <f t="shared" si="36"/>
        <v>0</v>
      </c>
      <c r="V358" s="7">
        <f>+'St of Net Assets - GA'!O358-'LT _Lia - GA'!U358</f>
        <v>0</v>
      </c>
      <c r="X358" s="7" t="s">
        <v>839</v>
      </c>
      <c r="Z358" s="7" t="str">
        <f t="shared" si="43"/>
        <v>Mohawk Local SD (CASH)</v>
      </c>
      <c r="AA358" s="7" t="str">
        <f>'Gov Fnd Exp'!A358</f>
        <v>Mohawk Local SD (CASH)</v>
      </c>
      <c r="AB358" s="7" t="b">
        <f t="shared" si="44"/>
        <v>1</v>
      </c>
      <c r="AC358" s="7" t="str">
        <f t="shared" si="42"/>
        <v>Wyandot</v>
      </c>
      <c r="AD358" s="7" t="b">
        <f>C358='Gov Fnd Exp'!C358</f>
        <v>1</v>
      </c>
    </row>
    <row r="359" spans="1:30">
      <c r="A359" s="12" t="s">
        <v>229</v>
      </c>
      <c r="B359" s="12"/>
      <c r="C359" s="12" t="s">
        <v>223</v>
      </c>
      <c r="D359" s="12"/>
      <c r="E359" s="12">
        <v>139303</v>
      </c>
      <c r="G359" s="7">
        <f>7340000+406261+19325000+1211213+940000+5672</f>
        <v>29228146</v>
      </c>
      <c r="I359" s="7">
        <v>0</v>
      </c>
      <c r="K359" s="7">
        <f>3950000-43102</f>
        <v>3906898</v>
      </c>
      <c r="M359" s="7">
        <v>302005</v>
      </c>
      <c r="O359" s="7">
        <v>721656</v>
      </c>
      <c r="Q359" s="7">
        <v>161151</v>
      </c>
      <c r="S359" s="8">
        <f t="shared" ref="S359:S364" si="48">SUM(G359:R359)</f>
        <v>34319856</v>
      </c>
      <c r="U359" s="7">
        <v>793987</v>
      </c>
      <c r="V359" s="7">
        <f>+'St of Net Assets - GA'!O359-'LT _Lia - GA'!U359</f>
        <v>0</v>
      </c>
      <c r="X359" s="7" t="s">
        <v>936</v>
      </c>
      <c r="Z359" s="7" t="str">
        <f t="shared" si="43"/>
        <v>Monroe Local SD</v>
      </c>
      <c r="AA359" s="7" t="str">
        <f>'Gov Fnd Exp'!A359</f>
        <v>Monroe Local SD</v>
      </c>
      <c r="AB359" s="7" t="b">
        <f t="shared" si="44"/>
        <v>1</v>
      </c>
      <c r="AC359" s="7" t="str">
        <f t="shared" si="42"/>
        <v>Butler</v>
      </c>
      <c r="AD359" s="7" t="b">
        <f>C359='Gov Fnd Exp'!C359</f>
        <v>1</v>
      </c>
    </row>
    <row r="360" spans="1:30" s="32" customFormat="1">
      <c r="A360" s="31" t="s">
        <v>366</v>
      </c>
      <c r="B360" s="31"/>
      <c r="C360" s="31" t="s">
        <v>37</v>
      </c>
      <c r="D360" s="31"/>
      <c r="E360" s="31">
        <v>47712</v>
      </c>
      <c r="G360" s="32">
        <v>770000</v>
      </c>
      <c r="I360" s="32">
        <v>0</v>
      </c>
      <c r="K360" s="32">
        <v>0</v>
      </c>
      <c r="M360" s="32">
        <v>143756</v>
      </c>
      <c r="O360" s="32">
        <v>317038</v>
      </c>
      <c r="Q360" s="32">
        <v>0</v>
      </c>
      <c r="S360" s="36">
        <f t="shared" si="48"/>
        <v>1230794</v>
      </c>
      <c r="U360" s="32">
        <v>131466</v>
      </c>
      <c r="V360" s="32">
        <f>+'St of Net Assets - GA'!O360-'LT _Lia - GA'!U360</f>
        <v>0</v>
      </c>
      <c r="Z360" s="32" t="str">
        <f t="shared" si="43"/>
        <v>Monroeville Local SD</v>
      </c>
      <c r="AA360" s="32" t="str">
        <f>'Gov Fnd Exp'!A360</f>
        <v>Monroeville Local SD</v>
      </c>
      <c r="AB360" s="32" t="b">
        <f t="shared" si="44"/>
        <v>1</v>
      </c>
      <c r="AC360" s="32" t="str">
        <f t="shared" si="42"/>
        <v>Huron</v>
      </c>
      <c r="AD360" s="32" t="b">
        <f>C360='Gov Fnd Exp'!C360</f>
        <v>1</v>
      </c>
    </row>
    <row r="361" spans="1:30" hidden="1">
      <c r="A361" s="12" t="s">
        <v>937</v>
      </c>
      <c r="B361" s="12"/>
      <c r="C361" s="12" t="s">
        <v>570</v>
      </c>
      <c r="D361" s="12"/>
      <c r="E361" s="12">
        <v>45526</v>
      </c>
      <c r="S361" s="8">
        <f t="shared" si="48"/>
        <v>0</v>
      </c>
      <c r="V361" s="7">
        <f>+'St of Net Assets - GA'!O361-'LT _Lia - GA'!U361</f>
        <v>0</v>
      </c>
      <c r="X361" s="7" t="s">
        <v>912</v>
      </c>
      <c r="Z361" s="7" t="str">
        <f t="shared" si="43"/>
        <v>Montpelier Exempted Village SD (CASH)</v>
      </c>
      <c r="AA361" s="7" t="str">
        <f>'Gov Fnd Exp'!A361</f>
        <v>Montpelier Exempted Village SD (CASH)</v>
      </c>
      <c r="AB361" s="7" t="b">
        <f t="shared" si="44"/>
        <v>1</v>
      </c>
      <c r="AC361" s="7" t="str">
        <f t="shared" si="42"/>
        <v>Williams</v>
      </c>
      <c r="AD361" s="7" t="b">
        <f>C361='Gov Fnd Exp'!C361</f>
        <v>1</v>
      </c>
    </row>
    <row r="362" spans="1:30">
      <c r="A362" s="12" t="s">
        <v>452</v>
      </c>
      <c r="B362" s="12"/>
      <c r="C362" s="12" t="s">
        <v>453</v>
      </c>
      <c r="D362" s="12"/>
      <c r="E362" s="12">
        <v>48777</v>
      </c>
      <c r="G362" s="7">
        <f>325000+1661858+3989143+3439801</f>
        <v>9415802</v>
      </c>
      <c r="I362" s="7">
        <v>107959</v>
      </c>
      <c r="K362" s="7">
        <v>0</v>
      </c>
      <c r="M362" s="7">
        <v>194142</v>
      </c>
      <c r="O362" s="7">
        <v>994215</v>
      </c>
      <c r="Q362" s="7">
        <v>429385</v>
      </c>
      <c r="S362" s="8">
        <f t="shared" si="48"/>
        <v>11141503</v>
      </c>
      <c r="U362" s="7">
        <v>1087769</v>
      </c>
      <c r="V362" s="7">
        <f>+'St of Net Assets - GA'!O362-'LT _Lia - GA'!U362</f>
        <v>0</v>
      </c>
      <c r="Z362" s="7" t="str">
        <f t="shared" si="43"/>
        <v>Morgan Local SD</v>
      </c>
      <c r="AA362" s="7" t="str">
        <f>'Gov Fnd Exp'!A362</f>
        <v>Morgan Local SD</v>
      </c>
      <c r="AB362" s="7" t="b">
        <f t="shared" si="44"/>
        <v>1</v>
      </c>
      <c r="AC362" s="7" t="str">
        <f t="shared" si="42"/>
        <v>Morgan</v>
      </c>
      <c r="AD362" s="7" t="b">
        <f>C362='Gov Fnd Exp'!C362</f>
        <v>1</v>
      </c>
    </row>
    <row r="363" spans="1:30">
      <c r="A363" s="12" t="s">
        <v>880</v>
      </c>
      <c r="B363" s="12"/>
      <c r="C363" s="12" t="s">
        <v>78</v>
      </c>
      <c r="D363" s="12"/>
      <c r="E363" s="12">
        <v>45534</v>
      </c>
      <c r="G363" s="7">
        <v>8071127</v>
      </c>
      <c r="I363" s="7">
        <v>0</v>
      </c>
      <c r="K363" s="7">
        <v>0</v>
      </c>
      <c r="M363" s="7">
        <v>1193000</v>
      </c>
      <c r="O363" s="7">
        <v>622303</v>
      </c>
      <c r="Q363" s="7">
        <v>0</v>
      </c>
      <c r="S363" s="8">
        <f t="shared" si="48"/>
        <v>9886430</v>
      </c>
      <c r="U363" s="7">
        <v>585990</v>
      </c>
      <c r="V363" s="7">
        <f>+'St of Net Assets - GA'!O363-'LT _Lia - GA'!U363</f>
        <v>0</v>
      </c>
      <c r="Z363" s="7" t="str">
        <f t="shared" si="43"/>
        <v>Mount Gilead Exempted Village SD</v>
      </c>
      <c r="AA363" s="7" t="str">
        <f>'Gov Fnd Exp'!A363</f>
        <v>Mount Gilead Exempted Village SD</v>
      </c>
      <c r="AB363" s="7" t="b">
        <f t="shared" si="44"/>
        <v>1</v>
      </c>
      <c r="AC363" s="7" t="str">
        <f t="shared" si="42"/>
        <v>Morrow</v>
      </c>
      <c r="AD363" s="7" t="b">
        <f>C363='Gov Fnd Exp'!C363</f>
        <v>1</v>
      </c>
    </row>
    <row r="364" spans="1:30">
      <c r="A364" s="12" t="s">
        <v>375</v>
      </c>
      <c r="B364" s="12"/>
      <c r="C364" s="12" t="s">
        <v>40</v>
      </c>
      <c r="D364" s="12"/>
      <c r="E364" s="12">
        <v>44420</v>
      </c>
      <c r="G364" s="7">
        <f>5470000+255000+209810</f>
        <v>5934810</v>
      </c>
      <c r="I364" s="7">
        <v>545905</v>
      </c>
      <c r="K364" s="7">
        <v>0</v>
      </c>
      <c r="M364" s="7">
        <v>46365</v>
      </c>
      <c r="O364" s="7">
        <v>1577168</v>
      </c>
      <c r="Q364" s="7">
        <v>0</v>
      </c>
      <c r="S364" s="8">
        <f t="shared" si="48"/>
        <v>8104248</v>
      </c>
      <c r="U364" s="7">
        <v>931040</v>
      </c>
      <c r="V364" s="7">
        <f>+'St of Net Assets - GA'!O364-'LT _Lia - GA'!U364</f>
        <v>0</v>
      </c>
      <c r="Z364" s="7" t="str">
        <f t="shared" si="43"/>
        <v>Mount Vernon City SD</v>
      </c>
      <c r="AA364" s="7" t="str">
        <f>'Gov Fnd Exp'!A364</f>
        <v>Mount Vernon City SD</v>
      </c>
      <c r="AB364" s="7" t="b">
        <f t="shared" si="44"/>
        <v>1</v>
      </c>
      <c r="AC364" s="7" t="str">
        <f t="shared" si="42"/>
        <v>Knox</v>
      </c>
      <c r="AD364" s="7" t="b">
        <f>C364='Gov Fnd Exp'!C364</f>
        <v>1</v>
      </c>
    </row>
    <row r="365" spans="1:30">
      <c r="A365" s="12" t="s">
        <v>751</v>
      </c>
      <c r="B365" s="12"/>
      <c r="C365" s="12" t="s">
        <v>32</v>
      </c>
      <c r="D365" s="12"/>
      <c r="E365" s="12">
        <v>44412</v>
      </c>
      <c r="G365" s="7">
        <f>31135000+1807170</f>
        <v>32942170</v>
      </c>
      <c r="I365" s="7">
        <v>35720</v>
      </c>
      <c r="K365" s="7">
        <v>0</v>
      </c>
      <c r="M365" s="7">
        <f>20539+291835</f>
        <v>312374</v>
      </c>
      <c r="O365" s="7">
        <v>1905563</v>
      </c>
      <c r="Q365" s="7">
        <v>0</v>
      </c>
      <c r="S365" s="8">
        <f>SUM(G365:R365)</f>
        <v>35195827</v>
      </c>
      <c r="U365" s="7">
        <v>957378</v>
      </c>
      <c r="V365" s="7">
        <f>+'St of Net Assets - GA'!O365-'LT _Lia - GA'!U365</f>
        <v>0</v>
      </c>
      <c r="Z365" s="7" t="str">
        <f t="shared" si="43"/>
        <v xml:space="preserve">Mt. Healthy City SD </v>
      </c>
      <c r="AA365" s="7" t="str">
        <f>'Gov Fnd Exp'!A365</f>
        <v xml:space="preserve">Mt. Healthy City SD </v>
      </c>
      <c r="AB365" s="7" t="b">
        <f t="shared" si="44"/>
        <v>1</v>
      </c>
      <c r="AC365" s="7" t="str">
        <f t="shared" si="42"/>
        <v>Hamilton</v>
      </c>
      <c r="AD365" s="7" t="b">
        <f>C365='Gov Fnd Exp'!C365</f>
        <v>1</v>
      </c>
    </row>
    <row r="366" spans="1:30">
      <c r="A366" s="12" t="s">
        <v>356</v>
      </c>
      <c r="B366" s="12"/>
      <c r="C366" s="12" t="s">
        <v>34</v>
      </c>
      <c r="D366" s="12"/>
      <c r="E366" s="12">
        <v>44438</v>
      </c>
      <c r="G366" s="7">
        <f>334415+2305000+118616</f>
        <v>2758031</v>
      </c>
      <c r="I366" s="7">
        <f>1511262+1033545+10417+197762</f>
        <v>2752986</v>
      </c>
      <c r="K366" s="7">
        <v>0</v>
      </c>
      <c r="M366" s="7">
        <v>244348</v>
      </c>
      <c r="O366" s="7">
        <v>1395278</v>
      </c>
      <c r="Q366" s="7">
        <v>0</v>
      </c>
      <c r="S366" s="8">
        <f t="shared" ref="S366:S393" si="49">SUM(G366:R366)</f>
        <v>7150643</v>
      </c>
      <c r="U366" s="7">
        <v>965202</v>
      </c>
      <c r="V366" s="7">
        <f>+'St of Net Assets - GA'!O366-'LT _Lia - GA'!U366</f>
        <v>0</v>
      </c>
      <c r="Z366" s="7" t="str">
        <f t="shared" si="43"/>
        <v>Napoleon Area City SD</v>
      </c>
      <c r="AA366" s="7" t="str">
        <f>'Gov Fnd Exp'!A366</f>
        <v>Napoleon Area City SD</v>
      </c>
      <c r="AB366" s="7" t="b">
        <f t="shared" si="44"/>
        <v>1</v>
      </c>
      <c r="AC366" s="7" t="str">
        <f t="shared" si="42"/>
        <v>Henry</v>
      </c>
      <c r="AD366" s="7" t="b">
        <f>C366='Gov Fnd Exp'!C366</f>
        <v>1</v>
      </c>
    </row>
    <row r="367" spans="1:30" hidden="1">
      <c r="A367" s="12" t="s">
        <v>874</v>
      </c>
      <c r="B367" s="12"/>
      <c r="C367" s="12" t="s">
        <v>57</v>
      </c>
      <c r="D367" s="12"/>
      <c r="E367" s="12"/>
      <c r="S367" s="8"/>
      <c r="X367" s="7" t="s">
        <v>938</v>
      </c>
      <c r="Z367" s="7" t="str">
        <f t="shared" ref="Z367" si="50">A367</f>
        <v>National Trail Local SD (CASH)</v>
      </c>
      <c r="AA367" s="7" t="str">
        <f>'Gov Fnd Exp'!A367</f>
        <v>National Trail Local SD (CASH)</v>
      </c>
      <c r="AB367" s="7" t="b">
        <f t="shared" ref="AB367" si="51">Z367=AA367</f>
        <v>1</v>
      </c>
      <c r="AC367" s="7" t="str">
        <f t="shared" si="42"/>
        <v>Preble</v>
      </c>
      <c r="AD367" s="7" t="b">
        <f>C367='Gov Fnd Exp'!C367</f>
        <v>1</v>
      </c>
    </row>
    <row r="368" spans="1:30">
      <c r="A368" s="12" t="s">
        <v>212</v>
      </c>
      <c r="B368" s="12"/>
      <c r="C368" s="12" t="s">
        <v>13</v>
      </c>
      <c r="D368" s="12"/>
      <c r="E368" s="12">
        <v>44446</v>
      </c>
      <c r="G368" s="7">
        <v>5918555</v>
      </c>
      <c r="I368" s="7">
        <v>0</v>
      </c>
      <c r="K368" s="7">
        <v>0</v>
      </c>
      <c r="M368" s="7">
        <v>759000</v>
      </c>
      <c r="O368" s="7">
        <v>556862</v>
      </c>
      <c r="Q368" s="7">
        <v>0</v>
      </c>
      <c r="S368" s="8">
        <f t="shared" si="49"/>
        <v>7234417</v>
      </c>
      <c r="U368" s="7">
        <v>465944</v>
      </c>
      <c r="V368" s="7">
        <f>+'St of Net Assets - GA'!O368-'LT _Lia - GA'!U368</f>
        <v>0</v>
      </c>
      <c r="Z368" s="7" t="str">
        <f t="shared" si="43"/>
        <v>Nelsonville-York City SD</v>
      </c>
      <c r="AA368" s="7" t="str">
        <f>'Gov Fnd Exp'!A368</f>
        <v>Nelsonville-York City SD</v>
      </c>
      <c r="AB368" s="7" t="b">
        <f t="shared" si="44"/>
        <v>1</v>
      </c>
      <c r="AC368" s="7" t="str">
        <f t="shared" si="42"/>
        <v>Athens</v>
      </c>
      <c r="AD368" s="7" t="b">
        <f>C368='Gov Fnd Exp'!C368</f>
        <v>1</v>
      </c>
    </row>
    <row r="369" spans="1:30">
      <c r="A369" s="12" t="s">
        <v>633</v>
      </c>
      <c r="B369" s="12"/>
      <c r="C369" s="12" t="s">
        <v>27</v>
      </c>
      <c r="D369" s="12"/>
      <c r="E369" s="12">
        <v>44461</v>
      </c>
      <c r="G369" s="7">
        <f>74553696+1280437+4328941-1102261</f>
        <v>79060813</v>
      </c>
      <c r="I369" s="7">
        <v>0</v>
      </c>
      <c r="K369" s="7">
        <v>0</v>
      </c>
      <c r="M369" s="7">
        <v>0</v>
      </c>
      <c r="O369" s="7">
        <v>2310375</v>
      </c>
      <c r="Q369" s="7">
        <v>1138669</v>
      </c>
      <c r="S369" s="8">
        <f t="shared" si="49"/>
        <v>82509857</v>
      </c>
      <c r="U369" s="7">
        <v>3117932</v>
      </c>
      <c r="V369" s="7">
        <f>+'St of Net Assets - GA'!O369-'LT _Lia - GA'!U369</f>
        <v>0</v>
      </c>
      <c r="Z369" s="7" t="str">
        <f t="shared" si="43"/>
        <v>New Albany-Plain Local SD</v>
      </c>
      <c r="AA369" s="7" t="str">
        <f>'Gov Fnd Exp'!A369</f>
        <v>New Albany-Plain Local SD</v>
      </c>
      <c r="AB369" s="7" t="b">
        <f t="shared" si="44"/>
        <v>1</v>
      </c>
      <c r="AC369" s="7" t="str">
        <f t="shared" si="42"/>
        <v>Franklin</v>
      </c>
      <c r="AD369" s="7" t="b">
        <f>C369='Gov Fnd Exp'!C369</f>
        <v>1</v>
      </c>
    </row>
    <row r="370" spans="1:30">
      <c r="A370" s="12" t="s">
        <v>498</v>
      </c>
      <c r="B370" s="12"/>
      <c r="C370" s="12" t="s">
        <v>59</v>
      </c>
      <c r="D370" s="12"/>
      <c r="E370" s="12">
        <v>44461</v>
      </c>
      <c r="G370" s="7">
        <f>315000+2935000+107336+22444+74256</f>
        <v>3454036</v>
      </c>
      <c r="I370" s="7">
        <v>0</v>
      </c>
      <c r="K370" s="7">
        <v>0</v>
      </c>
      <c r="M370" s="7">
        <v>0</v>
      </c>
      <c r="O370" s="7">
        <v>187984</v>
      </c>
      <c r="Q370" s="7">
        <v>546</v>
      </c>
      <c r="S370" s="8">
        <f t="shared" si="49"/>
        <v>3642566</v>
      </c>
      <c r="U370" s="7">
        <v>86169</v>
      </c>
      <c r="V370" s="7">
        <f>+'St of Net Assets - GA'!O370-'LT _Lia - GA'!U370</f>
        <v>0</v>
      </c>
      <c r="Z370" s="7" t="str">
        <f t="shared" si="43"/>
        <v>New Boston Local SD</v>
      </c>
      <c r="AA370" s="7" t="str">
        <f>'Gov Fnd Exp'!A370</f>
        <v>New Boston Local SD</v>
      </c>
      <c r="AB370" s="7" t="b">
        <f t="shared" si="44"/>
        <v>1</v>
      </c>
      <c r="AC370" s="7" t="str">
        <f t="shared" si="42"/>
        <v>Scioto</v>
      </c>
      <c r="AD370" s="7" t="b">
        <f>C370='Gov Fnd Exp'!C370</f>
        <v>1</v>
      </c>
    </row>
    <row r="371" spans="1:30">
      <c r="A371" s="12" t="s">
        <v>215</v>
      </c>
      <c r="B371" s="12"/>
      <c r="C371" s="12" t="s">
        <v>14</v>
      </c>
      <c r="D371" s="12"/>
      <c r="E371" s="12">
        <v>45955</v>
      </c>
      <c r="G371" s="7">
        <v>4709180</v>
      </c>
      <c r="I371" s="7">
        <v>0</v>
      </c>
      <c r="K371" s="7">
        <v>0</v>
      </c>
      <c r="M371" s="7">
        <v>0</v>
      </c>
      <c r="O371" s="7">
        <v>527884</v>
      </c>
      <c r="Q371" s="7">
        <v>0</v>
      </c>
      <c r="S371" s="8">
        <f t="shared" si="49"/>
        <v>5237064</v>
      </c>
      <c r="U371" s="7">
        <v>708580</v>
      </c>
      <c r="V371" s="7">
        <f>+'St of Net Assets - GA'!O371-'LT _Lia - GA'!U371</f>
        <v>0</v>
      </c>
      <c r="Z371" s="7" t="str">
        <f t="shared" si="43"/>
        <v>New Bremen Local SD</v>
      </c>
      <c r="AA371" s="7" t="str">
        <f>'Gov Fnd Exp'!A371</f>
        <v>New Bremen Local SD</v>
      </c>
      <c r="AB371" s="7" t="b">
        <f t="shared" si="44"/>
        <v>1</v>
      </c>
      <c r="AC371" s="7" t="str">
        <f t="shared" si="42"/>
        <v>Auglaize</v>
      </c>
      <c r="AD371" s="7" t="b">
        <f>C371='Gov Fnd Exp'!C371</f>
        <v>1</v>
      </c>
    </row>
    <row r="372" spans="1:30" s="110" customFormat="1" hidden="1">
      <c r="A372" s="12" t="s">
        <v>745</v>
      </c>
      <c r="B372" s="109"/>
      <c r="C372" s="12" t="s">
        <v>14</v>
      </c>
      <c r="D372" s="12"/>
      <c r="E372" s="12">
        <v>45963</v>
      </c>
      <c r="S372" s="111">
        <f t="shared" si="49"/>
        <v>0</v>
      </c>
      <c r="V372" s="110">
        <f>+'St of Net Assets - GA'!O372-'LT _Lia - GA'!U372</f>
        <v>0</v>
      </c>
      <c r="X372" s="7" t="s">
        <v>839</v>
      </c>
      <c r="Z372" s="7" t="str">
        <f t="shared" si="43"/>
        <v>New Knoxville Local SD (CASH)</v>
      </c>
      <c r="AA372" s="7" t="str">
        <f>'Gov Fnd Exp'!A372</f>
        <v>New Knoxville Local SD (CASH)</v>
      </c>
      <c r="AB372" s="7" t="b">
        <f t="shared" si="44"/>
        <v>1</v>
      </c>
      <c r="AC372" s="7" t="str">
        <f t="shared" si="42"/>
        <v>Auglaize</v>
      </c>
      <c r="AD372" s="7" t="b">
        <f>C372='Gov Fnd Exp'!C372</f>
        <v>1</v>
      </c>
    </row>
    <row r="373" spans="1:30">
      <c r="A373" s="12" t="s">
        <v>446</v>
      </c>
      <c r="B373" s="12"/>
      <c r="C373" s="12" t="s">
        <v>50</v>
      </c>
      <c r="D373" s="12"/>
      <c r="E373" s="12">
        <v>48710</v>
      </c>
      <c r="G373" s="7">
        <v>3135000</v>
      </c>
      <c r="I373" s="7">
        <v>0</v>
      </c>
      <c r="K373" s="7">
        <v>0</v>
      </c>
      <c r="M373" s="7">
        <v>89875</v>
      </c>
      <c r="O373" s="7">
        <v>597856</v>
      </c>
      <c r="Q373" s="7">
        <v>0</v>
      </c>
      <c r="S373" s="8">
        <f t="shared" si="49"/>
        <v>3822731</v>
      </c>
      <c r="U373" s="7">
        <v>371749</v>
      </c>
      <c r="V373" s="7">
        <f>+'St of Net Assets - GA'!O373-'LT _Lia - GA'!U373</f>
        <v>0</v>
      </c>
      <c r="Z373" s="7" t="str">
        <f t="shared" si="43"/>
        <v>New Lebanon Local SD</v>
      </c>
      <c r="AA373" s="7" t="str">
        <f>'Gov Fnd Exp'!A373</f>
        <v>New Lebanon Local SD</v>
      </c>
      <c r="AB373" s="7" t="b">
        <f t="shared" si="44"/>
        <v>1</v>
      </c>
      <c r="AC373" s="7" t="str">
        <f t="shared" si="42"/>
        <v>Montgomery</v>
      </c>
      <c r="AD373" s="7" t="b">
        <f>C373='Gov Fnd Exp'!C373</f>
        <v>1</v>
      </c>
    </row>
    <row r="374" spans="1:30" hidden="1">
      <c r="A374" s="12" t="s">
        <v>939</v>
      </c>
      <c r="B374" s="12"/>
      <c r="C374" s="12" t="s">
        <v>466</v>
      </c>
      <c r="D374" s="12"/>
      <c r="E374" s="12">
        <v>44479</v>
      </c>
      <c r="S374" s="8">
        <f t="shared" si="49"/>
        <v>0</v>
      </c>
      <c r="V374" s="7">
        <f>+'St of Net Assets - GA'!O374-'LT _Lia - GA'!U374</f>
        <v>0</v>
      </c>
      <c r="X374" s="7" t="s">
        <v>839</v>
      </c>
      <c r="Z374" s="7" t="str">
        <f t="shared" si="43"/>
        <v>New Lexington City SD (CASH)</v>
      </c>
      <c r="AA374" s="7" t="str">
        <f>'Gov Fnd Exp'!A374</f>
        <v>New Lexington City SD (CASH)</v>
      </c>
      <c r="AB374" s="7" t="b">
        <f t="shared" si="44"/>
        <v>1</v>
      </c>
      <c r="AC374" s="7" t="str">
        <f t="shared" si="42"/>
        <v>Perry</v>
      </c>
      <c r="AD374" s="7" t="b">
        <f>C374='Gov Fnd Exp'!C374</f>
        <v>1</v>
      </c>
    </row>
    <row r="375" spans="1:30">
      <c r="A375" s="12" t="s">
        <v>367</v>
      </c>
      <c r="B375" s="12"/>
      <c r="C375" s="12" t="s">
        <v>37</v>
      </c>
      <c r="D375" s="12"/>
      <c r="E375" s="12">
        <v>47720</v>
      </c>
      <c r="G375" s="7">
        <f>2245861+110997-43720</f>
        <v>2313138</v>
      </c>
      <c r="I375" s="7">
        <v>0</v>
      </c>
      <c r="K375" s="7">
        <v>0</v>
      </c>
      <c r="M375" s="7">
        <v>59002</v>
      </c>
      <c r="O375" s="7">
        <v>616394</v>
      </c>
      <c r="Q375" s="7">
        <v>0</v>
      </c>
      <c r="S375" s="8">
        <f t="shared" si="49"/>
        <v>2988534</v>
      </c>
      <c r="U375" s="7">
        <v>293435</v>
      </c>
      <c r="V375" s="7">
        <f>+'St of Net Assets - GA'!O375-'LT _Lia - GA'!U375</f>
        <v>0</v>
      </c>
      <c r="Z375" s="7" t="str">
        <f t="shared" si="43"/>
        <v>New London Local SD</v>
      </c>
      <c r="AA375" s="7" t="str">
        <f>'Gov Fnd Exp'!A375</f>
        <v>New London Local SD</v>
      </c>
      <c r="AB375" s="7" t="b">
        <f t="shared" si="44"/>
        <v>1</v>
      </c>
      <c r="AC375" s="7" t="str">
        <f t="shared" si="42"/>
        <v>Huron</v>
      </c>
      <c r="AD375" s="7" t="b">
        <f>C375='Gov Fnd Exp'!C375</f>
        <v>1</v>
      </c>
    </row>
    <row r="376" spans="1:30">
      <c r="A376" s="12" t="s">
        <v>230</v>
      </c>
      <c r="B376" s="12"/>
      <c r="C376" s="12" t="s">
        <v>223</v>
      </c>
      <c r="D376" s="12"/>
      <c r="E376" s="12">
        <v>46136</v>
      </c>
      <c r="G376" s="7">
        <f>148000+1194997+108330-73571+270009</f>
        <v>1647765</v>
      </c>
      <c r="I376" s="7">
        <v>0</v>
      </c>
      <c r="K376" s="7">
        <v>0</v>
      </c>
      <c r="M376" s="7">
        <f>293000+135320</f>
        <v>428320</v>
      </c>
      <c r="O376" s="7">
        <v>226055</v>
      </c>
      <c r="Q376" s="7">
        <v>0</v>
      </c>
      <c r="S376" s="8">
        <f t="shared" si="49"/>
        <v>2302140</v>
      </c>
      <c r="U376" s="7">
        <v>192753</v>
      </c>
      <c r="V376" s="7">
        <f>+'St of Net Assets - GA'!O376-'LT _Lia - GA'!U376</f>
        <v>0</v>
      </c>
      <c r="Z376" s="7" t="str">
        <f t="shared" si="43"/>
        <v>New Miami Local SD</v>
      </c>
      <c r="AA376" s="7" t="str">
        <f>'Gov Fnd Exp'!A376</f>
        <v>New Miami Local SD</v>
      </c>
      <c r="AB376" s="7" t="b">
        <f t="shared" si="44"/>
        <v>1</v>
      </c>
      <c r="AC376" s="7" t="str">
        <f t="shared" si="42"/>
        <v>Butler</v>
      </c>
      <c r="AD376" s="7" t="b">
        <f>C376='Gov Fnd Exp'!C376</f>
        <v>1</v>
      </c>
    </row>
    <row r="377" spans="1:30">
      <c r="A377" s="12" t="s">
        <v>553</v>
      </c>
      <c r="B377" s="12"/>
      <c r="C377" s="12" t="s">
        <v>65</v>
      </c>
      <c r="D377" s="12"/>
      <c r="E377" s="12">
        <v>44487</v>
      </c>
      <c r="G377" s="7">
        <f>2820000+538888+367495</f>
        <v>3726383</v>
      </c>
      <c r="I377" s="7">
        <v>0</v>
      </c>
      <c r="K377" s="7">
        <v>0</v>
      </c>
      <c r="M377" s="7">
        <v>1007391</v>
      </c>
      <c r="O377" s="7">
        <v>1839119</v>
      </c>
      <c r="Q377" s="7">
        <v>0</v>
      </c>
      <c r="S377" s="8">
        <f t="shared" si="49"/>
        <v>6572893</v>
      </c>
      <c r="U377" s="7">
        <v>664782</v>
      </c>
      <c r="V377" s="7">
        <f>+'St of Net Assets - GA'!O377-'LT _Lia - GA'!U377</f>
        <v>0</v>
      </c>
      <c r="Z377" s="7" t="str">
        <f t="shared" si="43"/>
        <v>New Philadelphia City SD</v>
      </c>
      <c r="AA377" s="7" t="str">
        <f>'Gov Fnd Exp'!A377</f>
        <v>New Philadelphia City SD</v>
      </c>
      <c r="AB377" s="7" t="b">
        <f t="shared" si="44"/>
        <v>1</v>
      </c>
      <c r="AC377" s="7" t="str">
        <f t="shared" si="42"/>
        <v>Tuscarawas</v>
      </c>
      <c r="AD377" s="7" t="b">
        <f>C377='Gov Fnd Exp'!C377</f>
        <v>1</v>
      </c>
    </row>
    <row r="378" spans="1:30">
      <c r="A378" s="12" t="s">
        <v>881</v>
      </c>
      <c r="B378" s="12"/>
      <c r="C378" s="12" t="s">
        <v>113</v>
      </c>
      <c r="D378" s="12"/>
      <c r="E378" s="12">
        <v>45559</v>
      </c>
      <c r="G378" s="7">
        <v>0</v>
      </c>
      <c r="I378" s="7">
        <v>0</v>
      </c>
      <c r="K378" s="7">
        <v>0</v>
      </c>
      <c r="M378" s="7">
        <v>0</v>
      </c>
      <c r="O378" s="7">
        <v>2770374</v>
      </c>
      <c r="Q378" s="7">
        <v>0</v>
      </c>
      <c r="S378" s="8">
        <f t="shared" si="49"/>
        <v>2770374</v>
      </c>
      <c r="U378" s="7">
        <v>217113</v>
      </c>
      <c r="V378" s="7">
        <f>+'St of Net Assets - GA'!O378-'LT _Lia - GA'!U378</f>
        <v>0</v>
      </c>
      <c r="Z378" s="7" t="str">
        <f t="shared" si="43"/>
        <v>New Richmond Exempted Village SD</v>
      </c>
      <c r="AA378" s="7" t="str">
        <f>'Gov Fnd Exp'!A378</f>
        <v>New Richmond Exempted Village SD</v>
      </c>
      <c r="AB378" s="7" t="b">
        <f t="shared" si="44"/>
        <v>1</v>
      </c>
      <c r="AC378" s="7" t="str">
        <f t="shared" si="42"/>
        <v>Clermont</v>
      </c>
      <c r="AD378" s="7" t="b">
        <f>C378='Gov Fnd Exp'!C378</f>
        <v>1</v>
      </c>
    </row>
    <row r="379" spans="1:30" hidden="1">
      <c r="A379" s="12" t="s">
        <v>940</v>
      </c>
      <c r="B379" s="12"/>
      <c r="C379" s="12" t="s">
        <v>60</v>
      </c>
      <c r="D379" s="12"/>
      <c r="E379" s="12">
        <v>49718</v>
      </c>
      <c r="S379" s="8">
        <f t="shared" si="49"/>
        <v>0</v>
      </c>
      <c r="V379" s="7">
        <f>+'St of Net Assets - GA'!O379-'LT _Lia - GA'!U379</f>
        <v>0</v>
      </c>
      <c r="X379" s="7" t="s">
        <v>839</v>
      </c>
      <c r="Z379" s="7" t="str">
        <f t="shared" si="43"/>
        <v>New Riegel Local SD (CASH)</v>
      </c>
      <c r="AA379" s="7" t="str">
        <f>'Gov Fnd Exp'!A379</f>
        <v>New Riegel Local SD (CASH)</v>
      </c>
      <c r="AB379" s="7" t="b">
        <f t="shared" si="44"/>
        <v>1</v>
      </c>
      <c r="AC379" s="7" t="str">
        <f t="shared" si="42"/>
        <v>Seneca</v>
      </c>
      <c r="AD379" s="7" t="b">
        <f>C379='Gov Fnd Exp'!C379</f>
        <v>1</v>
      </c>
    </row>
    <row r="380" spans="1:30">
      <c r="A380" s="12" t="s">
        <v>388</v>
      </c>
      <c r="B380" s="12"/>
      <c r="C380" s="12" t="s">
        <v>42</v>
      </c>
      <c r="D380" s="12"/>
      <c r="E380" s="12">
        <v>44453</v>
      </c>
      <c r="G380" s="7">
        <f>66009206+842705-136466</f>
        <v>66715445</v>
      </c>
      <c r="I380" s="7">
        <v>0</v>
      </c>
      <c r="K380" s="7">
        <v>0</v>
      </c>
      <c r="M380" s="7">
        <v>0</v>
      </c>
      <c r="O380" s="7">
        <v>2758276</v>
      </c>
      <c r="Q380" s="7">
        <v>0</v>
      </c>
      <c r="S380" s="8">
        <f t="shared" si="49"/>
        <v>69473721</v>
      </c>
      <c r="U380" s="7">
        <v>2950072</v>
      </c>
      <c r="V380" s="7">
        <f>+'St of Net Assets - GA'!O380-'LT _Lia - GA'!U380</f>
        <v>0</v>
      </c>
      <c r="Z380" s="7" t="str">
        <f t="shared" si="43"/>
        <v>Newark City SD</v>
      </c>
      <c r="AA380" s="7" t="str">
        <f>'Gov Fnd Exp'!A380</f>
        <v>Newark City SD</v>
      </c>
      <c r="AB380" s="7" t="b">
        <f t="shared" si="44"/>
        <v>1</v>
      </c>
      <c r="AC380" s="7" t="str">
        <f t="shared" si="42"/>
        <v>Licking</v>
      </c>
      <c r="AD380" s="7" t="b">
        <f>C380='Gov Fnd Exp'!C380</f>
        <v>1</v>
      </c>
    </row>
    <row r="381" spans="1:30">
      <c r="A381" s="12" t="s">
        <v>323</v>
      </c>
      <c r="B381" s="12"/>
      <c r="C381" s="12" t="s">
        <v>30</v>
      </c>
      <c r="D381" s="12"/>
      <c r="E381" s="12">
        <v>47217</v>
      </c>
      <c r="G381" s="7">
        <v>0</v>
      </c>
      <c r="I381" s="7">
        <v>0</v>
      </c>
      <c r="K381" s="7">
        <v>0</v>
      </c>
      <c r="M381" s="7">
        <v>0</v>
      </c>
      <c r="O381" s="7">
        <v>502643</v>
      </c>
      <c r="Q381" s="7">
        <v>0</v>
      </c>
      <c r="S381" s="8">
        <f t="shared" si="49"/>
        <v>502643</v>
      </c>
      <c r="U381" s="7">
        <v>92483</v>
      </c>
      <c r="V381" s="7">
        <f>+'St of Net Assets - GA'!O381-'LT _Lia - GA'!U381</f>
        <v>0</v>
      </c>
      <c r="X381" s="101"/>
      <c r="Z381" s="7" t="str">
        <f t="shared" si="43"/>
        <v>Newbury Local SD</v>
      </c>
      <c r="AA381" s="7" t="str">
        <f>'Gov Fnd Exp'!A381</f>
        <v>Newbury Local SD</v>
      </c>
      <c r="AB381" s="7" t="b">
        <f t="shared" si="44"/>
        <v>1</v>
      </c>
      <c r="AC381" s="7" t="str">
        <f t="shared" si="42"/>
        <v>Geauga</v>
      </c>
      <c r="AD381" s="7" t="b">
        <f>C381='Gov Fnd Exp'!C381</f>
        <v>1</v>
      </c>
    </row>
    <row r="382" spans="1:30">
      <c r="A382" s="12" t="s">
        <v>882</v>
      </c>
      <c r="B382" s="12"/>
      <c r="C382" s="12" t="s">
        <v>65</v>
      </c>
      <c r="D382" s="12"/>
      <c r="E382" s="12">
        <v>45542</v>
      </c>
      <c r="G382" s="7">
        <f>2111841+136418-50835</f>
        <v>2197424</v>
      </c>
      <c r="I382" s="7">
        <v>0</v>
      </c>
      <c r="K382" s="7">
        <v>0</v>
      </c>
      <c r="M382" s="7">
        <f>17907+395229</f>
        <v>413136</v>
      </c>
      <c r="O382" s="7">
        <v>509723</v>
      </c>
      <c r="Q382" s="7">
        <v>0</v>
      </c>
      <c r="S382" s="8">
        <f t="shared" si="49"/>
        <v>3120283</v>
      </c>
      <c r="U382" s="7">
        <v>345137</v>
      </c>
      <c r="V382" s="7">
        <f>+'St of Net Assets - GA'!O382-'LT _Lia - GA'!U382</f>
        <v>0</v>
      </c>
      <c r="Z382" s="7" t="str">
        <f t="shared" si="43"/>
        <v>Newcomerstown Exempted Village SD</v>
      </c>
      <c r="AA382" s="7" t="str">
        <f>'Gov Fnd Exp'!A382</f>
        <v>Newcomerstown Exempted Village SD</v>
      </c>
      <c r="AB382" s="7" t="b">
        <f t="shared" si="44"/>
        <v>1</v>
      </c>
      <c r="AC382" s="7" t="str">
        <f t="shared" si="42"/>
        <v>Tuscarawas</v>
      </c>
      <c r="AD382" s="7" t="b">
        <f>C382='Gov Fnd Exp'!C382</f>
        <v>1</v>
      </c>
    </row>
    <row r="383" spans="1:30">
      <c r="A383" s="12" t="s">
        <v>883</v>
      </c>
      <c r="B383" s="12"/>
      <c r="C383" s="12" t="s">
        <v>64</v>
      </c>
      <c r="D383" s="12"/>
      <c r="E383" s="12">
        <v>45567</v>
      </c>
      <c r="G383" s="7">
        <v>2980000</v>
      </c>
      <c r="I383" s="7">
        <v>0</v>
      </c>
      <c r="K383" s="7">
        <v>0</v>
      </c>
      <c r="M383" s="7">
        <v>0</v>
      </c>
      <c r="O383" s="7">
        <v>593699</v>
      </c>
      <c r="Q383" s="7">
        <v>0</v>
      </c>
      <c r="S383" s="8">
        <f t="shared" si="49"/>
        <v>3573699</v>
      </c>
      <c r="U383" s="7">
        <v>197123</v>
      </c>
      <c r="V383" s="7">
        <f>+'St of Net Assets - GA'!O383-'LT _Lia - GA'!U383</f>
        <v>0</v>
      </c>
      <c r="Z383" s="7" t="str">
        <f t="shared" si="43"/>
        <v>Newton Falls Exempted Village SD</v>
      </c>
      <c r="AA383" s="7" t="str">
        <f>'Gov Fnd Exp'!A383</f>
        <v>Newton Falls Exempted Village SD</v>
      </c>
      <c r="AB383" s="7" t="b">
        <f t="shared" si="44"/>
        <v>1</v>
      </c>
      <c r="AC383" s="7" t="str">
        <f t="shared" si="42"/>
        <v>Trumbull</v>
      </c>
      <c r="AD383" s="7" t="b">
        <f>C383='Gov Fnd Exp'!C383</f>
        <v>1</v>
      </c>
    </row>
    <row r="384" spans="1:30" hidden="1">
      <c r="A384" s="12" t="s">
        <v>941</v>
      </c>
      <c r="B384" s="12"/>
      <c r="C384" s="12" t="s">
        <v>48</v>
      </c>
      <c r="D384" s="12"/>
      <c r="E384" s="12">
        <v>48637</v>
      </c>
      <c r="S384" s="8">
        <f t="shared" si="49"/>
        <v>0</v>
      </c>
      <c r="V384" s="7">
        <f>+'St of Net Assets - GA'!O384-'LT _Lia - GA'!U384</f>
        <v>0</v>
      </c>
      <c r="X384" s="7" t="s">
        <v>912</v>
      </c>
      <c r="Z384" s="7" t="str">
        <f t="shared" si="43"/>
        <v>Newton Local SD (CASH)</v>
      </c>
      <c r="AA384" s="7" t="str">
        <f>'Gov Fnd Exp'!A384</f>
        <v>Newton Local SD (CASH)</v>
      </c>
      <c r="AB384" s="7" t="b">
        <f t="shared" si="44"/>
        <v>1</v>
      </c>
      <c r="AC384" s="7" t="str">
        <f t="shared" si="42"/>
        <v>Miami</v>
      </c>
      <c r="AD384" s="7" t="b">
        <f>C384='Gov Fnd Exp'!C384</f>
        <v>1</v>
      </c>
    </row>
    <row r="385" spans="1:30">
      <c r="A385" s="12" t="s">
        <v>631</v>
      </c>
      <c r="B385" s="12"/>
      <c r="C385" s="12" t="s">
        <v>64</v>
      </c>
      <c r="D385" s="12"/>
      <c r="E385" s="12"/>
      <c r="G385" s="7">
        <f>21590490+147760+197998-109918</f>
        <v>21826330</v>
      </c>
      <c r="I385" s="7">
        <v>0</v>
      </c>
      <c r="K385" s="7">
        <v>1187900</v>
      </c>
      <c r="M385" s="7">
        <v>0</v>
      </c>
      <c r="O385" s="7">
        <v>1357136</v>
      </c>
      <c r="Q385" s="7">
        <v>198000</v>
      </c>
      <c r="S385" s="8">
        <f t="shared" si="49"/>
        <v>24569366</v>
      </c>
      <c r="U385" s="7">
        <v>1225769</v>
      </c>
      <c r="V385" s="7">
        <f>+'St of Net Assets - GA'!O385-'LT _Lia - GA'!U385</f>
        <v>0</v>
      </c>
      <c r="Z385" s="7" t="str">
        <f t="shared" si="43"/>
        <v>Niles City SD</v>
      </c>
      <c r="AA385" s="7" t="str">
        <f>'Gov Fnd Exp'!A385</f>
        <v>Niles City SD</v>
      </c>
      <c r="AB385" s="7" t="b">
        <f t="shared" si="44"/>
        <v>1</v>
      </c>
      <c r="AC385" s="7" t="str">
        <f t="shared" si="42"/>
        <v>Trumbull</v>
      </c>
      <c r="AD385" s="7" t="b">
        <f>C385='Gov Fnd Exp'!C385</f>
        <v>1</v>
      </c>
    </row>
    <row r="386" spans="1:30">
      <c r="A386" s="12" t="s">
        <v>462</v>
      </c>
      <c r="B386" s="12"/>
      <c r="C386" s="12" t="s">
        <v>52</v>
      </c>
      <c r="D386" s="12"/>
      <c r="E386" s="12">
        <v>48900</v>
      </c>
      <c r="G386" s="7">
        <v>0</v>
      </c>
      <c r="I386" s="7">
        <v>0</v>
      </c>
      <c r="K386" s="7">
        <v>0</v>
      </c>
      <c r="M386" s="7">
        <v>37475</v>
      </c>
      <c r="O386" s="7">
        <v>575077</v>
      </c>
      <c r="Q386" s="7">
        <v>0</v>
      </c>
      <c r="S386" s="8">
        <f t="shared" si="49"/>
        <v>612552</v>
      </c>
      <c r="U386" s="7">
        <v>59430</v>
      </c>
      <c r="V386" s="7">
        <f>+'St of Net Assets - GA'!O386-'LT _Lia - GA'!U386</f>
        <v>0</v>
      </c>
      <c r="Z386" s="7" t="str">
        <f t="shared" si="43"/>
        <v>Noble Local SD</v>
      </c>
      <c r="AA386" s="7" t="str">
        <f>'Gov Fnd Exp'!A386</f>
        <v>Noble Local SD</v>
      </c>
      <c r="AB386" s="7" t="b">
        <f t="shared" si="44"/>
        <v>1</v>
      </c>
      <c r="AC386" s="7" t="str">
        <f t="shared" si="42"/>
        <v>Noble</v>
      </c>
      <c r="AD386" s="7" t="b">
        <f>C386='Gov Fnd Exp'!C386</f>
        <v>1</v>
      </c>
    </row>
    <row r="387" spans="1:30">
      <c r="A387" s="12" t="s">
        <v>527</v>
      </c>
      <c r="B387" s="12"/>
      <c r="C387" s="12" t="s">
        <v>63</v>
      </c>
      <c r="D387" s="12"/>
      <c r="E387" s="12">
        <v>50047</v>
      </c>
      <c r="G387" s="7">
        <v>36674521</v>
      </c>
      <c r="I387" s="7">
        <v>0</v>
      </c>
      <c r="K387" s="7">
        <v>0</v>
      </c>
      <c r="M387" s="7">
        <v>0</v>
      </c>
      <c r="O387" s="7">
        <v>2681622</v>
      </c>
      <c r="Q387" s="7">
        <f>43497+874294</f>
        <v>917791</v>
      </c>
      <c r="S387" s="8">
        <f t="shared" si="49"/>
        <v>40273934</v>
      </c>
      <c r="U387" s="7">
        <v>2858219</v>
      </c>
      <c r="V387" s="7">
        <f>+'St of Net Assets - GA'!O387-'LT _Lia - GA'!U387</f>
        <v>0</v>
      </c>
      <c r="Z387" s="7" t="str">
        <f t="shared" si="43"/>
        <v>Nordonia Hills City SD</v>
      </c>
      <c r="AA387" s="7" t="str">
        <f>'Gov Fnd Exp'!A387</f>
        <v>Nordonia Hills City SD</v>
      </c>
      <c r="AB387" s="7" t="b">
        <f t="shared" si="44"/>
        <v>1</v>
      </c>
      <c r="AC387" s="7" t="str">
        <f t="shared" si="42"/>
        <v>Summit</v>
      </c>
      <c r="AD387" s="7" t="b">
        <f>C387='Gov Fnd Exp'!C387</f>
        <v>1</v>
      </c>
    </row>
    <row r="388" spans="1:30">
      <c r="A388" s="12" t="s">
        <v>574</v>
      </c>
      <c r="B388" s="12"/>
      <c r="C388" s="12" t="s">
        <v>72</v>
      </c>
      <c r="D388" s="12"/>
      <c r="E388" s="12">
        <v>50708</v>
      </c>
      <c r="G388" s="7">
        <f>1960000+24992+12068+7775000+75212+30002+1590000+59572+17518+432987</f>
        <v>11977351</v>
      </c>
      <c r="I388" s="7">
        <v>0</v>
      </c>
      <c r="K388" s="7">
        <v>0</v>
      </c>
      <c r="M388" s="7">
        <v>0</v>
      </c>
      <c r="O388" s="7">
        <v>585361</v>
      </c>
      <c r="Q388" s="7">
        <v>0</v>
      </c>
      <c r="S388" s="8">
        <f t="shared" si="49"/>
        <v>12562712</v>
      </c>
      <c r="U388" s="7">
        <v>451620</v>
      </c>
      <c r="V388" s="7">
        <f>+'St of Net Assets - GA'!O388-'LT _Lia - GA'!U388</f>
        <v>0</v>
      </c>
      <c r="Z388" s="7" t="str">
        <f t="shared" si="43"/>
        <v>North Baltimore Local SD</v>
      </c>
      <c r="AA388" s="7" t="str">
        <f>'Gov Fnd Exp'!A388</f>
        <v>North Baltimore Local SD</v>
      </c>
      <c r="AB388" s="7" t="b">
        <f t="shared" si="44"/>
        <v>1</v>
      </c>
      <c r="AC388" s="7" t="str">
        <f t="shared" si="42"/>
        <v>Wood</v>
      </c>
      <c r="AD388" s="7" t="b">
        <f>C388='Gov Fnd Exp'!C388</f>
        <v>1</v>
      </c>
    </row>
    <row r="389" spans="1:30" hidden="1">
      <c r="A389" s="12" t="s">
        <v>943</v>
      </c>
      <c r="B389" s="12"/>
      <c r="C389" s="12" t="s">
        <v>53</v>
      </c>
      <c r="D389" s="12"/>
      <c r="E389" s="12">
        <v>48967</v>
      </c>
      <c r="S389" s="8">
        <f t="shared" si="49"/>
        <v>0</v>
      </c>
      <c r="V389" s="7">
        <f>+'St of Net Assets - GA'!O389-'LT _Lia - GA'!U389</f>
        <v>0</v>
      </c>
      <c r="X389" s="7" t="s">
        <v>839</v>
      </c>
      <c r="Z389" s="7" t="str">
        <f t="shared" si="43"/>
        <v>North Bass Local SD (Two year Audit - CASH)</v>
      </c>
      <c r="AA389" s="7" t="str">
        <f>'Gov Fnd Exp'!A389</f>
        <v>North Bass Local SD (Two year Audit - CASH)</v>
      </c>
      <c r="AB389" s="7" t="b">
        <f t="shared" si="44"/>
        <v>1</v>
      </c>
      <c r="AC389" s="7" t="str">
        <f t="shared" si="42"/>
        <v>Ottawa</v>
      </c>
      <c r="AD389" s="7" t="b">
        <f>C389='Gov Fnd Exp'!C389</f>
        <v>1</v>
      </c>
    </row>
    <row r="390" spans="1:30">
      <c r="A390" s="12" t="s">
        <v>518</v>
      </c>
      <c r="B390" s="12"/>
      <c r="C390" s="12" t="s">
        <v>62</v>
      </c>
      <c r="D390" s="12"/>
      <c r="E390" s="12">
        <v>44503</v>
      </c>
      <c r="G390" s="7">
        <f>12945000+258155-361046</f>
        <v>12842109</v>
      </c>
      <c r="I390" s="7">
        <v>1290000</v>
      </c>
      <c r="K390" s="7">
        <v>0</v>
      </c>
      <c r="M390" s="7">
        <v>259315</v>
      </c>
      <c r="O390" s="7">
        <v>3123802</v>
      </c>
      <c r="Q390" s="7">
        <v>25000</v>
      </c>
      <c r="S390" s="8">
        <f t="shared" si="49"/>
        <v>17540226</v>
      </c>
      <c r="U390" s="7">
        <v>1790908</v>
      </c>
      <c r="V390" s="7">
        <f>+'St of Net Assets - GA'!O390-'LT _Lia - GA'!U390</f>
        <v>0</v>
      </c>
      <c r="Z390" s="7" t="str">
        <f t="shared" si="43"/>
        <v>North Canton City SD</v>
      </c>
      <c r="AA390" s="7" t="str">
        <f>'Gov Fnd Exp'!A390</f>
        <v>North Canton City SD</v>
      </c>
      <c r="AB390" s="7" t="b">
        <f t="shared" si="44"/>
        <v>1</v>
      </c>
      <c r="AC390" s="7" t="str">
        <f t="shared" si="42"/>
        <v>Stark</v>
      </c>
      <c r="AD390" s="7" t="b">
        <f>C390='Gov Fnd Exp'!C390</f>
        <v>1</v>
      </c>
    </row>
    <row r="391" spans="1:30" hidden="1">
      <c r="A391" s="12" t="s">
        <v>944</v>
      </c>
      <c r="B391" s="12"/>
      <c r="C391" s="12" t="s">
        <v>570</v>
      </c>
      <c r="D391" s="12"/>
      <c r="E391" s="12">
        <v>50641</v>
      </c>
      <c r="S391" s="8">
        <f t="shared" si="49"/>
        <v>0</v>
      </c>
      <c r="V391" s="7">
        <f>+'St of Net Assets - GA'!O391-'LT _Lia - GA'!U391</f>
        <v>0</v>
      </c>
      <c r="X391" s="7" t="s">
        <v>839</v>
      </c>
      <c r="Z391" s="7" t="str">
        <f t="shared" si="43"/>
        <v>North Central Local SD (CASH)</v>
      </c>
      <c r="AA391" s="7" t="str">
        <f>'Gov Fnd Exp'!A391</f>
        <v>North Central Local SD (CASH)</v>
      </c>
      <c r="AB391" s="7" t="b">
        <f t="shared" si="44"/>
        <v>1</v>
      </c>
      <c r="AC391" s="7" t="str">
        <f t="shared" si="42"/>
        <v>Williams</v>
      </c>
      <c r="AD391" s="7" t="b">
        <f>C391='Gov Fnd Exp'!C391</f>
        <v>1</v>
      </c>
    </row>
    <row r="392" spans="1:30">
      <c r="A392" s="12" t="s">
        <v>748</v>
      </c>
      <c r="B392" s="12"/>
      <c r="C392" s="12" t="s">
        <v>32</v>
      </c>
      <c r="D392" s="12"/>
      <c r="E392" s="12">
        <v>44511</v>
      </c>
      <c r="G392" s="7">
        <f>8975000+90000+64684+213145+1275000+50000+2548+37080</f>
        <v>10707457</v>
      </c>
      <c r="I392" s="7">
        <v>0</v>
      </c>
      <c r="K392" s="7">
        <v>3749000</v>
      </c>
      <c r="M392" s="7">
        <v>0</v>
      </c>
      <c r="O392" s="7">
        <v>1350970</v>
      </c>
      <c r="Q392" s="7">
        <v>0</v>
      </c>
      <c r="S392" s="8">
        <f t="shared" si="49"/>
        <v>15807427</v>
      </c>
      <c r="U392" s="7">
        <v>456655</v>
      </c>
      <c r="V392" s="7">
        <f>+'St of Net Assets - GA'!O392-'LT _Lia - GA'!U392</f>
        <v>0</v>
      </c>
      <c r="X392" s="7" t="s">
        <v>945</v>
      </c>
      <c r="Z392" s="7" t="str">
        <f t="shared" si="43"/>
        <v xml:space="preserve">North College Hill City SD </v>
      </c>
      <c r="AA392" s="7" t="str">
        <f>'Gov Fnd Exp'!A392</f>
        <v xml:space="preserve">North College Hill City SD </v>
      </c>
      <c r="AB392" s="7" t="b">
        <f t="shared" si="44"/>
        <v>1</v>
      </c>
      <c r="AC392" s="7" t="str">
        <f t="shared" si="42"/>
        <v>Hamilton</v>
      </c>
      <c r="AD392" s="7" t="b">
        <f>C392='Gov Fnd Exp'!C392</f>
        <v>1</v>
      </c>
    </row>
    <row r="393" spans="1:30">
      <c r="A393" s="12" t="s">
        <v>389</v>
      </c>
      <c r="B393" s="12"/>
      <c r="C393" s="12" t="s">
        <v>42</v>
      </c>
      <c r="D393" s="12"/>
      <c r="E393" s="12">
        <v>48025</v>
      </c>
      <c r="G393" s="7">
        <f>9644208+536034-412855</f>
        <v>9767387</v>
      </c>
      <c r="I393" s="7">
        <v>0</v>
      </c>
      <c r="K393" s="7">
        <v>0</v>
      </c>
      <c r="M393" s="7">
        <v>0</v>
      </c>
      <c r="O393" s="7">
        <v>1219883</v>
      </c>
      <c r="Q393" s="7">
        <v>0</v>
      </c>
      <c r="S393" s="8">
        <f t="shared" si="49"/>
        <v>10987270</v>
      </c>
      <c r="U393" s="7">
        <v>759509</v>
      </c>
      <c r="V393" s="7">
        <f>+'St of Net Assets - GA'!O393-'LT _Lia - GA'!U393</f>
        <v>0</v>
      </c>
      <c r="Z393" s="7" t="str">
        <f t="shared" si="43"/>
        <v>North Fork Local SD</v>
      </c>
      <c r="AA393" s="7" t="str">
        <f>'Gov Fnd Exp'!A393</f>
        <v>North Fork Local SD</v>
      </c>
      <c r="AB393" s="7" t="b">
        <f t="shared" si="44"/>
        <v>1</v>
      </c>
      <c r="AC393" s="7" t="str">
        <f t="shared" si="42"/>
        <v>Licking</v>
      </c>
      <c r="AD393" s="7" t="b">
        <f>C393='Gov Fnd Exp'!C393</f>
        <v>1</v>
      </c>
    </row>
    <row r="394" spans="1:30">
      <c r="A394" s="12" t="s">
        <v>277</v>
      </c>
      <c r="B394" s="12"/>
      <c r="C394" s="12" t="s">
        <v>20</v>
      </c>
      <c r="D394" s="12"/>
      <c r="E394" s="12">
        <v>44529</v>
      </c>
      <c r="G394" s="7">
        <v>340000</v>
      </c>
      <c r="I394" s="7">
        <v>0</v>
      </c>
      <c r="K394" s="7">
        <v>0</v>
      </c>
      <c r="M394" s="7">
        <v>0</v>
      </c>
      <c r="O394" s="7">
        <v>3691566</v>
      </c>
      <c r="Q394" s="7">
        <v>0</v>
      </c>
      <c r="S394" s="8">
        <f t="shared" ref="S394:S434" si="52">SUM(G394:R394)</f>
        <v>4031566</v>
      </c>
      <c r="U394" s="7">
        <v>1066174</v>
      </c>
      <c r="V394" s="7">
        <f>+'St of Net Assets - GA'!O394-'LT _Lia - GA'!U394</f>
        <v>0</v>
      </c>
      <c r="Z394" s="7" t="str">
        <f t="shared" si="43"/>
        <v>North Olmsted City SD</v>
      </c>
      <c r="AA394" s="7" t="str">
        <f>'Gov Fnd Exp'!A394</f>
        <v>North Olmsted City SD</v>
      </c>
      <c r="AB394" s="7" t="b">
        <f t="shared" si="44"/>
        <v>1</v>
      </c>
      <c r="AC394" s="7" t="str">
        <f t="shared" si="42"/>
        <v>Cuyahoga</v>
      </c>
      <c r="AD394" s="7" t="b">
        <f>C394='Gov Fnd Exp'!C394</f>
        <v>1</v>
      </c>
    </row>
    <row r="395" spans="1:30">
      <c r="A395" s="12" t="s">
        <v>400</v>
      </c>
      <c r="B395" s="12"/>
      <c r="C395" s="12" t="s">
        <v>44</v>
      </c>
      <c r="D395" s="12"/>
      <c r="E395" s="12">
        <v>44537</v>
      </c>
      <c r="G395" s="7">
        <f>300000+5000+1610000</f>
        <v>1915000</v>
      </c>
      <c r="I395" s="7">
        <v>0</v>
      </c>
      <c r="K395" s="7">
        <v>0</v>
      </c>
      <c r="M395" s="7">
        <v>227592</v>
      </c>
      <c r="O395" s="7">
        <v>1938813</v>
      </c>
      <c r="Q395" s="7">
        <v>0</v>
      </c>
      <c r="S395" s="8">
        <f t="shared" si="52"/>
        <v>4081405</v>
      </c>
      <c r="U395" s="7">
        <v>750420</v>
      </c>
      <c r="V395" s="7">
        <f>+'St of Net Assets - GA'!O395-'LT _Lia - GA'!U395</f>
        <v>0</v>
      </c>
      <c r="Z395" s="7" t="str">
        <f t="shared" si="43"/>
        <v>North Ridgeville City SD</v>
      </c>
      <c r="AA395" s="7" t="str">
        <f>'Gov Fnd Exp'!A395</f>
        <v>North Ridgeville City SD</v>
      </c>
      <c r="AB395" s="7" t="b">
        <f t="shared" si="44"/>
        <v>1</v>
      </c>
      <c r="AC395" s="7" t="str">
        <f t="shared" si="42"/>
        <v>Lorain</v>
      </c>
      <c r="AD395" s="7" t="b">
        <f>C395='Gov Fnd Exp'!C395</f>
        <v>1</v>
      </c>
    </row>
    <row r="396" spans="1:30">
      <c r="A396" s="12" t="s">
        <v>278</v>
      </c>
      <c r="B396" s="12"/>
      <c r="C396" s="12" t="s">
        <v>20</v>
      </c>
      <c r="D396" s="12"/>
      <c r="E396" s="12">
        <v>44545</v>
      </c>
      <c r="G396" s="7">
        <v>16997212</v>
      </c>
      <c r="I396" s="7">
        <v>0</v>
      </c>
      <c r="K396" s="7">
        <v>0</v>
      </c>
      <c r="M396" s="7">
        <v>0</v>
      </c>
      <c r="O396" s="7">
        <v>3698118</v>
      </c>
      <c r="Q396" s="7">
        <v>0</v>
      </c>
      <c r="S396" s="8">
        <f t="shared" si="52"/>
        <v>20695330</v>
      </c>
      <c r="U396" s="7">
        <v>1523506</v>
      </c>
      <c r="V396" s="7">
        <f>+'St of Net Assets - GA'!O396-'LT _Lia - GA'!U396</f>
        <v>0</v>
      </c>
      <c r="Z396" s="7" t="str">
        <f t="shared" si="43"/>
        <v>North Royalton City SD</v>
      </c>
      <c r="AA396" s="7" t="str">
        <f>'Gov Fnd Exp'!A396</f>
        <v>North Royalton City SD</v>
      </c>
      <c r="AB396" s="7" t="b">
        <f t="shared" si="44"/>
        <v>1</v>
      </c>
      <c r="AC396" s="7" t="str">
        <f t="shared" si="42"/>
        <v>Cuyahoga</v>
      </c>
      <c r="AD396" s="7" t="b">
        <f>C396='Gov Fnd Exp'!C396</f>
        <v>1</v>
      </c>
    </row>
    <row r="397" spans="1:30">
      <c r="A397" s="12" t="s">
        <v>556</v>
      </c>
      <c r="B397" s="12"/>
      <c r="C397" s="12" t="s">
        <v>66</v>
      </c>
      <c r="D397" s="12"/>
      <c r="E397" s="12">
        <v>50336</v>
      </c>
      <c r="G397" s="7">
        <v>10740000</v>
      </c>
      <c r="I397" s="7">
        <v>0</v>
      </c>
      <c r="K397" s="7">
        <v>0</v>
      </c>
      <c r="M397" s="7">
        <v>0</v>
      </c>
      <c r="O397" s="7">
        <v>693773</v>
      </c>
      <c r="Q397" s="7">
        <v>0</v>
      </c>
      <c r="S397" s="8">
        <f t="shared" si="52"/>
        <v>11433773</v>
      </c>
      <c r="U397" s="7">
        <v>427565</v>
      </c>
      <c r="V397" s="7">
        <f>+'St of Net Assets - GA'!O397-'LT _Lia - GA'!U397</f>
        <v>0</v>
      </c>
      <c r="Z397" s="7" t="str">
        <f t="shared" si="43"/>
        <v>North Union Local SD</v>
      </c>
      <c r="AA397" s="7" t="str">
        <f>'Gov Fnd Exp'!A397</f>
        <v>North Union Local SD</v>
      </c>
      <c r="AB397" s="7" t="b">
        <f t="shared" si="44"/>
        <v>1</v>
      </c>
      <c r="AC397" s="7" t="str">
        <f t="shared" si="42"/>
        <v>Union</v>
      </c>
      <c r="AD397" s="7" t="b">
        <f>C397='Gov Fnd Exp'!C397</f>
        <v>1</v>
      </c>
    </row>
    <row r="398" spans="1:30">
      <c r="A398" s="12" t="s">
        <v>238</v>
      </c>
      <c r="B398" s="12"/>
      <c r="C398" s="12" t="s">
        <v>17</v>
      </c>
      <c r="D398" s="12"/>
      <c r="E398" s="12">
        <v>46250</v>
      </c>
      <c r="G398" s="7">
        <v>3429181</v>
      </c>
      <c r="I398" s="7">
        <v>0</v>
      </c>
      <c r="K398" s="7">
        <v>0</v>
      </c>
      <c r="M398" s="7">
        <v>169751</v>
      </c>
      <c r="O398" s="7">
        <v>1774550</v>
      </c>
      <c r="Q398" s="7">
        <v>0</v>
      </c>
      <c r="S398" s="8">
        <f t="shared" si="52"/>
        <v>5373482</v>
      </c>
      <c r="U398" s="7">
        <v>1007842</v>
      </c>
      <c r="V398" s="7">
        <f>+'St of Net Assets - GA'!O398-'LT _Lia - GA'!U398</f>
        <v>0</v>
      </c>
      <c r="Z398" s="7" t="str">
        <f t="shared" si="43"/>
        <v>Northeastern Local SD</v>
      </c>
      <c r="AA398" s="7" t="str">
        <f>'Gov Fnd Exp'!A398</f>
        <v>Northeastern Local SD</v>
      </c>
      <c r="AB398" s="7" t="b">
        <f t="shared" si="44"/>
        <v>1</v>
      </c>
      <c r="AC398" s="7" t="str">
        <f t="shared" ref="AC398:AC463" si="53">C398</f>
        <v>Clark</v>
      </c>
      <c r="AD398" s="7" t="b">
        <f>C398='Gov Fnd Exp'!C398</f>
        <v>1</v>
      </c>
    </row>
    <row r="399" spans="1:30" hidden="1">
      <c r="A399" s="12" t="s">
        <v>946</v>
      </c>
      <c r="B399" s="12"/>
      <c r="C399" s="12" t="s">
        <v>22</v>
      </c>
      <c r="D399" s="12"/>
      <c r="E399" s="12">
        <v>46722</v>
      </c>
      <c r="S399" s="8">
        <f t="shared" si="52"/>
        <v>0</v>
      </c>
      <c r="V399" s="7">
        <f>+'St of Net Assets - GA'!O399-'LT _Lia - GA'!U399</f>
        <v>0</v>
      </c>
      <c r="X399" s="7" t="s">
        <v>839</v>
      </c>
      <c r="Z399" s="7" t="str">
        <f t="shared" si="43"/>
        <v>Northeastern Local SD (CASH)</v>
      </c>
      <c r="AA399" s="7" t="str">
        <f>'Gov Fnd Exp'!A399</f>
        <v>Northeastern Local SD (CASH)</v>
      </c>
      <c r="AB399" s="7" t="b">
        <f t="shared" si="44"/>
        <v>1</v>
      </c>
      <c r="AC399" s="7" t="str">
        <f t="shared" si="53"/>
        <v>Defiance</v>
      </c>
      <c r="AD399" s="7" t="b">
        <f>C399='Gov Fnd Exp'!C399</f>
        <v>1</v>
      </c>
    </row>
    <row r="400" spans="1:30" hidden="1">
      <c r="A400" s="12" t="s">
        <v>947</v>
      </c>
      <c r="B400" s="12"/>
      <c r="C400" s="12" t="s">
        <v>466</v>
      </c>
      <c r="D400" s="12"/>
      <c r="E400" s="12"/>
      <c r="S400" s="8">
        <f t="shared" si="52"/>
        <v>0</v>
      </c>
      <c r="V400" s="7">
        <f>+'St of Net Assets - GA'!O400-'LT _Lia - GA'!U400</f>
        <v>0</v>
      </c>
      <c r="X400" s="7" t="s">
        <v>931</v>
      </c>
      <c r="Z400" s="7" t="str">
        <f t="shared" ref="Z400" si="54">A400</f>
        <v>Northern Local SD (CASH)</v>
      </c>
      <c r="AA400" s="7" t="str">
        <f>'Gov Fnd Exp'!A400</f>
        <v>Northern Local SD (CASH)</v>
      </c>
      <c r="AB400" s="7" t="b">
        <f t="shared" ref="AB400" si="55">Z400=AA400</f>
        <v>1</v>
      </c>
      <c r="AC400" s="7" t="str">
        <f t="shared" ref="AC400" si="56">C400</f>
        <v>Perry</v>
      </c>
      <c r="AD400" s="7" t="b">
        <f>C400='Gov Fnd Exp'!C400</f>
        <v>1</v>
      </c>
    </row>
    <row r="401" spans="1:30">
      <c r="A401" s="12" t="s">
        <v>447</v>
      </c>
      <c r="B401" s="12"/>
      <c r="C401" s="12" t="s">
        <v>50</v>
      </c>
      <c r="D401" s="12"/>
      <c r="E401" s="12">
        <v>48728</v>
      </c>
      <c r="G401" s="7">
        <v>0</v>
      </c>
      <c r="I401" s="7">
        <v>0</v>
      </c>
      <c r="K401" s="7">
        <v>0</v>
      </c>
      <c r="M401" s="7">
        <v>210986</v>
      </c>
      <c r="O401" s="7">
        <v>2510082</v>
      </c>
      <c r="Q401" s="7">
        <v>0</v>
      </c>
      <c r="S401" s="8">
        <f t="shared" si="52"/>
        <v>2721068</v>
      </c>
      <c r="U401" s="7">
        <v>803383</v>
      </c>
      <c r="V401" s="7">
        <f>+'St of Net Assets - GA'!O401-'LT _Lia - GA'!U401</f>
        <v>0</v>
      </c>
      <c r="Z401" s="7" t="str">
        <f t="shared" ref="Z401:Z467" si="57">A401</f>
        <v>Northmont City SD</v>
      </c>
      <c r="AA401" s="7" t="str">
        <f>'Gov Fnd Exp'!A401</f>
        <v>Northmont City SD</v>
      </c>
      <c r="AB401" s="7" t="b">
        <f t="shared" si="44"/>
        <v>1</v>
      </c>
      <c r="AC401" s="7" t="str">
        <f t="shared" si="53"/>
        <v>Montgomery</v>
      </c>
      <c r="AD401" s="7" t="b">
        <f>C401='Gov Fnd Exp'!C401</f>
        <v>1</v>
      </c>
    </row>
    <row r="402" spans="1:30">
      <c r="A402" s="12" t="s">
        <v>455</v>
      </c>
      <c r="B402" s="12"/>
      <c r="C402" s="12" t="s">
        <v>78</v>
      </c>
      <c r="D402" s="12"/>
      <c r="E402" s="12">
        <v>48819</v>
      </c>
      <c r="G402" s="7">
        <f>14264353+366503</f>
        <v>14630856</v>
      </c>
      <c r="I402" s="7">
        <v>0</v>
      </c>
      <c r="K402" s="7">
        <v>0</v>
      </c>
      <c r="M402" s="7">
        <v>0</v>
      </c>
      <c r="O402" s="7">
        <v>899514</v>
      </c>
      <c r="Q402" s="7">
        <v>0</v>
      </c>
      <c r="S402" s="8">
        <f t="shared" si="52"/>
        <v>15530370</v>
      </c>
      <c r="U402" s="7">
        <v>317355</v>
      </c>
      <c r="V402" s="7">
        <f>+'St of Net Assets - GA'!O402-'LT _Lia - GA'!U402</f>
        <v>0</v>
      </c>
      <c r="Z402" s="7" t="str">
        <f t="shared" si="57"/>
        <v>Northmor Local SD</v>
      </c>
      <c r="AA402" s="7" t="str">
        <f>'Gov Fnd Exp'!A402</f>
        <v>Northmor Local SD</v>
      </c>
      <c r="AB402" s="7" t="b">
        <f t="shared" ref="AB402:AB468" si="58">Z402=AA402</f>
        <v>1</v>
      </c>
      <c r="AC402" s="7" t="str">
        <f t="shared" si="53"/>
        <v>Morrow</v>
      </c>
      <c r="AD402" s="7" t="b">
        <f>C402='Gov Fnd Exp'!C402</f>
        <v>1</v>
      </c>
    </row>
    <row r="403" spans="1:30">
      <c r="A403" s="12" t="s">
        <v>390</v>
      </c>
      <c r="B403" s="12"/>
      <c r="C403" s="12" t="s">
        <v>42</v>
      </c>
      <c r="D403" s="12"/>
      <c r="E403" s="12">
        <v>48033</v>
      </c>
      <c r="G403" s="7">
        <v>5422809</v>
      </c>
      <c r="I403" s="7">
        <v>0</v>
      </c>
      <c r="K403" s="7">
        <v>0</v>
      </c>
      <c r="M403" s="7">
        <v>149550</v>
      </c>
      <c r="O403" s="7">
        <v>650169</v>
      </c>
      <c r="Q403" s="7">
        <v>127892</v>
      </c>
      <c r="S403" s="8">
        <f t="shared" si="52"/>
        <v>6350420</v>
      </c>
      <c r="U403" s="7">
        <v>721315</v>
      </c>
      <c r="V403" s="7">
        <f>+'St of Net Assets - GA'!O403-'LT _Lia - GA'!U403</f>
        <v>0</v>
      </c>
      <c r="X403" s="7" t="s">
        <v>948</v>
      </c>
      <c r="Z403" s="7" t="str">
        <f t="shared" si="57"/>
        <v>Northridge Local SD</v>
      </c>
      <c r="AA403" s="7" t="str">
        <f>'Gov Fnd Exp'!A403</f>
        <v>Northridge Local SD</v>
      </c>
      <c r="AB403" s="7" t="b">
        <f t="shared" si="58"/>
        <v>1</v>
      </c>
      <c r="AC403" s="7" t="str">
        <f t="shared" si="53"/>
        <v>Licking</v>
      </c>
      <c r="AD403" s="7" t="b">
        <f>C403='Gov Fnd Exp'!C403</f>
        <v>1</v>
      </c>
    </row>
    <row r="404" spans="1:30">
      <c r="A404" s="12" t="s">
        <v>390</v>
      </c>
      <c r="B404" s="12"/>
      <c r="C404" s="12" t="s">
        <v>50</v>
      </c>
      <c r="D404" s="12"/>
      <c r="E404" s="12">
        <v>48736</v>
      </c>
      <c r="G404" s="7">
        <f>4555000+1370000+87111</f>
        <v>6012111</v>
      </c>
      <c r="I404" s="7">
        <v>120000</v>
      </c>
      <c r="K404" s="7">
        <v>0</v>
      </c>
      <c r="M404" s="7">
        <v>4500000</v>
      </c>
      <c r="O404" s="7">
        <v>1197477</v>
      </c>
      <c r="Q404" s="7">
        <v>0</v>
      </c>
      <c r="S404" s="8">
        <f t="shared" si="52"/>
        <v>11829588</v>
      </c>
      <c r="U404" s="7">
        <v>537047</v>
      </c>
      <c r="V404" s="7">
        <f>+'St of Net Assets - GA'!O404-'LT _Lia - GA'!U404</f>
        <v>0</v>
      </c>
      <c r="Z404" s="7" t="str">
        <f t="shared" si="57"/>
        <v>Northridge Local SD</v>
      </c>
      <c r="AA404" s="7" t="str">
        <f>'Gov Fnd Exp'!A404</f>
        <v>Northridge Local SD</v>
      </c>
      <c r="AB404" s="7" t="b">
        <f t="shared" si="58"/>
        <v>1</v>
      </c>
      <c r="AC404" s="7" t="str">
        <f t="shared" si="53"/>
        <v>Montgomery</v>
      </c>
      <c r="AD404" s="7" t="b">
        <f>C404='Gov Fnd Exp'!C404</f>
        <v>1</v>
      </c>
    </row>
    <row r="405" spans="1:30">
      <c r="A405" s="12" t="s">
        <v>335</v>
      </c>
      <c r="B405" s="12"/>
      <c r="C405" s="12" t="s">
        <v>32</v>
      </c>
      <c r="D405" s="12"/>
      <c r="E405" s="12">
        <v>47365</v>
      </c>
      <c r="G405" s="7">
        <v>18191502</v>
      </c>
      <c r="I405" s="7">
        <v>0</v>
      </c>
      <c r="K405" s="7">
        <v>0</v>
      </c>
      <c r="M405" s="7">
        <v>0</v>
      </c>
      <c r="O405" s="7">
        <v>4460080</v>
      </c>
      <c r="Q405" s="7">
        <v>0</v>
      </c>
      <c r="S405" s="8">
        <f t="shared" si="52"/>
        <v>22651582</v>
      </c>
      <c r="U405" s="7">
        <v>1764752</v>
      </c>
      <c r="V405" s="7">
        <f>+'St of Net Assets - GA'!O405-'LT _Lia - GA'!U405</f>
        <v>0</v>
      </c>
      <c r="Z405" s="7" t="str">
        <f t="shared" si="57"/>
        <v>Northwest Local SD</v>
      </c>
      <c r="AA405" s="7" t="str">
        <f>'Gov Fnd Exp'!A405</f>
        <v>Northwest Local SD</v>
      </c>
      <c r="AB405" s="7" t="b">
        <f t="shared" si="58"/>
        <v>1</v>
      </c>
      <c r="AC405" s="7" t="str">
        <f t="shared" si="53"/>
        <v>Hamilton</v>
      </c>
      <c r="AD405" s="7" t="b">
        <f>C405='Gov Fnd Exp'!C405</f>
        <v>1</v>
      </c>
    </row>
    <row r="406" spans="1:30">
      <c r="A406" s="12" t="s">
        <v>621</v>
      </c>
      <c r="B406" s="12"/>
      <c r="C406" s="12" t="s">
        <v>59</v>
      </c>
      <c r="D406" s="12"/>
      <c r="E406" s="12">
        <v>49635</v>
      </c>
      <c r="G406" s="7">
        <f>336553+594904</f>
        <v>931457</v>
      </c>
      <c r="I406" s="7">
        <v>0</v>
      </c>
      <c r="K406" s="7">
        <v>0</v>
      </c>
      <c r="M406" s="7">
        <v>1824000</v>
      </c>
      <c r="O406" s="7">
        <v>1419956</v>
      </c>
      <c r="Q406" s="7">
        <v>0</v>
      </c>
      <c r="S406" s="8">
        <f t="shared" si="52"/>
        <v>4175413</v>
      </c>
      <c r="U406" s="7">
        <v>543658</v>
      </c>
      <c r="V406" s="7">
        <f>+'St of Net Assets - GA'!O406-'LT _Lia - GA'!U406</f>
        <v>0</v>
      </c>
      <c r="Z406" s="7" t="str">
        <f t="shared" si="57"/>
        <v xml:space="preserve">Northwest Local SD    </v>
      </c>
      <c r="AA406" s="7" t="str">
        <f>'Gov Fnd Exp'!A406</f>
        <v xml:space="preserve">Northwest Local SD    </v>
      </c>
      <c r="AB406" s="7" t="b">
        <f t="shared" si="58"/>
        <v>1</v>
      </c>
      <c r="AC406" s="7" t="str">
        <f t="shared" si="53"/>
        <v>Scioto</v>
      </c>
      <c r="AD406" s="7" t="b">
        <f>C406='Gov Fnd Exp'!C406</f>
        <v>1</v>
      </c>
    </row>
    <row r="407" spans="1:30">
      <c r="A407" s="12" t="s">
        <v>335</v>
      </c>
      <c r="B407" s="12"/>
      <c r="C407" s="12" t="s">
        <v>62</v>
      </c>
      <c r="D407" s="12"/>
      <c r="E407" s="12">
        <v>49908</v>
      </c>
      <c r="G407" s="7">
        <f>18969199+766693-326229</f>
        <v>19409663</v>
      </c>
      <c r="I407" s="7">
        <v>0</v>
      </c>
      <c r="K407" s="7">
        <v>1715000</v>
      </c>
      <c r="M407" s="7">
        <v>2748000</v>
      </c>
      <c r="O407" s="7">
        <v>1511801</v>
      </c>
      <c r="Q407" s="7">
        <v>0</v>
      </c>
      <c r="S407" s="8">
        <f t="shared" si="52"/>
        <v>25384464</v>
      </c>
      <c r="U407" s="7">
        <v>1186008</v>
      </c>
      <c r="V407" s="7">
        <f>+'St of Net Assets - GA'!O407-'LT _Lia - GA'!U407</f>
        <v>0</v>
      </c>
      <c r="Z407" s="7" t="str">
        <f t="shared" si="57"/>
        <v>Northwest Local SD</v>
      </c>
      <c r="AA407" s="7" t="str">
        <f>'Gov Fnd Exp'!A407</f>
        <v>Northwest Local SD</v>
      </c>
      <c r="AB407" s="7" t="b">
        <f t="shared" si="58"/>
        <v>1</v>
      </c>
      <c r="AC407" s="7" t="str">
        <f t="shared" si="53"/>
        <v>Stark</v>
      </c>
      <c r="AD407" s="7" t="b">
        <f>C407='Gov Fnd Exp'!C407</f>
        <v>1</v>
      </c>
    </row>
    <row r="408" spans="1:30">
      <c r="A408" s="12" t="s">
        <v>239</v>
      </c>
      <c r="B408" s="12"/>
      <c r="C408" s="12" t="s">
        <v>17</v>
      </c>
      <c r="D408" s="12"/>
      <c r="E408" s="12">
        <v>46268</v>
      </c>
      <c r="G408" s="7">
        <f>16385000+13240000+401068</f>
        <v>30026068</v>
      </c>
      <c r="I408" s="7">
        <v>0</v>
      </c>
      <c r="K408" s="7">
        <v>0</v>
      </c>
      <c r="M408" s="7">
        <v>365000</v>
      </c>
      <c r="O408" s="7">
        <v>805338</v>
      </c>
      <c r="Q408" s="7">
        <v>0</v>
      </c>
      <c r="S408" s="8">
        <f t="shared" si="52"/>
        <v>31196406</v>
      </c>
      <c r="U408" s="7">
        <v>1073741</v>
      </c>
      <c r="V408" s="7">
        <f>+'St of Net Assets - GA'!O408-'LT _Lia - GA'!U408</f>
        <v>0</v>
      </c>
      <c r="Z408" s="7" t="str">
        <f t="shared" si="57"/>
        <v>Northwestern Local SD</v>
      </c>
      <c r="AA408" s="7" t="str">
        <f>'Gov Fnd Exp'!A408</f>
        <v>Northwestern Local SD</v>
      </c>
      <c r="AB408" s="7" t="b">
        <f t="shared" si="58"/>
        <v>1</v>
      </c>
      <c r="AC408" s="7" t="str">
        <f t="shared" si="53"/>
        <v>Clark</v>
      </c>
      <c r="AD408" s="7" t="b">
        <f>C408='Gov Fnd Exp'!C408</f>
        <v>1</v>
      </c>
    </row>
    <row r="409" spans="1:30" hidden="1">
      <c r="A409" s="12" t="s">
        <v>801</v>
      </c>
      <c r="B409" s="12"/>
      <c r="C409" s="12" t="s">
        <v>71</v>
      </c>
      <c r="D409" s="12"/>
      <c r="E409" s="12"/>
      <c r="S409" s="8"/>
      <c r="X409" s="7" t="s">
        <v>938</v>
      </c>
      <c r="Z409" s="7" t="str">
        <f t="shared" ref="Z409" si="59">A409</f>
        <v>Northwestern Local SD (CASH)</v>
      </c>
      <c r="AA409" s="7" t="str">
        <f>'Gov Fnd Exp'!A409</f>
        <v>Northwestern Local SD (CASH)</v>
      </c>
      <c r="AB409" s="7" t="b">
        <f t="shared" ref="AB409" si="60">Z409=AA409</f>
        <v>1</v>
      </c>
      <c r="AC409" s="7" t="str">
        <f t="shared" si="53"/>
        <v>Wayne</v>
      </c>
      <c r="AD409" s="7" t="b">
        <f>C409='Gov Fnd Exp'!C409</f>
        <v>1</v>
      </c>
    </row>
    <row r="410" spans="1:30">
      <c r="A410" s="12" t="s">
        <v>575</v>
      </c>
      <c r="B410" s="12"/>
      <c r="C410" s="12" t="s">
        <v>72</v>
      </c>
      <c r="D410" s="12"/>
      <c r="E410" s="12">
        <v>50716</v>
      </c>
      <c r="G410" s="7">
        <v>600072</v>
      </c>
      <c r="I410" s="7">
        <v>0</v>
      </c>
      <c r="K410" s="7">
        <v>0</v>
      </c>
      <c r="M410" s="7">
        <v>0</v>
      </c>
      <c r="O410" s="7">
        <v>615556</v>
      </c>
      <c r="Q410" s="7">
        <v>0</v>
      </c>
      <c r="S410" s="8">
        <f t="shared" si="52"/>
        <v>1215628</v>
      </c>
      <c r="U410" s="7">
        <v>238949</v>
      </c>
      <c r="V410" s="7">
        <f>+'St of Net Assets - GA'!O410-'LT _Lia - GA'!U410</f>
        <v>0</v>
      </c>
      <c r="Z410" s="7" t="str">
        <f t="shared" si="57"/>
        <v>Northwood Local SD</v>
      </c>
      <c r="AA410" s="7" t="str">
        <f>'Gov Fnd Exp'!A410</f>
        <v>Northwood Local SD</v>
      </c>
      <c r="AB410" s="7" t="b">
        <f t="shared" si="58"/>
        <v>1</v>
      </c>
      <c r="AC410" s="7" t="str">
        <f t="shared" si="53"/>
        <v>Wood</v>
      </c>
      <c r="AD410" s="7" t="b">
        <f>C410='Gov Fnd Exp'!C410</f>
        <v>1</v>
      </c>
    </row>
    <row r="411" spans="1:30">
      <c r="A411" s="12" t="s">
        <v>528</v>
      </c>
      <c r="B411" s="12"/>
      <c r="C411" s="12" t="s">
        <v>63</v>
      </c>
      <c r="D411" s="12"/>
      <c r="E411" s="12">
        <v>44552</v>
      </c>
      <c r="G411" s="7">
        <v>0</v>
      </c>
      <c r="I411" s="7">
        <v>0</v>
      </c>
      <c r="K411" s="7">
        <v>0</v>
      </c>
      <c r="M411" s="7">
        <v>58508</v>
      </c>
      <c r="O411" s="7">
        <v>1044431</v>
      </c>
      <c r="Q411" s="7">
        <v>0</v>
      </c>
      <c r="S411" s="8">
        <f t="shared" si="52"/>
        <v>1102939</v>
      </c>
      <c r="U411" s="7">
        <v>255291</v>
      </c>
      <c r="V411" s="7">
        <f>+'St of Net Assets - GA'!O411-'LT _Lia - GA'!U411</f>
        <v>0</v>
      </c>
      <c r="X411" s="7" t="s">
        <v>949</v>
      </c>
      <c r="Z411" s="7" t="str">
        <f t="shared" si="57"/>
        <v>Norton City SD</v>
      </c>
      <c r="AA411" s="7" t="str">
        <f>'Gov Fnd Exp'!A411</f>
        <v>Norton City SD</v>
      </c>
      <c r="AB411" s="7" t="b">
        <f t="shared" si="58"/>
        <v>1</v>
      </c>
      <c r="AC411" s="7" t="str">
        <f t="shared" si="53"/>
        <v>Summit</v>
      </c>
      <c r="AD411" s="7" t="b">
        <f>C411='Gov Fnd Exp'!C411</f>
        <v>1</v>
      </c>
    </row>
    <row r="412" spans="1:30">
      <c r="A412" s="12" t="s">
        <v>368</v>
      </c>
      <c r="B412" s="12"/>
      <c r="C412" s="12" t="s">
        <v>37</v>
      </c>
      <c r="D412" s="12"/>
      <c r="E412" s="12">
        <v>44560</v>
      </c>
      <c r="G412" s="7">
        <v>11893099</v>
      </c>
      <c r="I412" s="7">
        <v>0</v>
      </c>
      <c r="K412" s="7">
        <v>0</v>
      </c>
      <c r="M412" s="7">
        <v>0</v>
      </c>
      <c r="O412" s="7">
        <v>1977843</v>
      </c>
      <c r="Q412" s="7">
        <v>0</v>
      </c>
      <c r="S412" s="8">
        <f t="shared" si="52"/>
        <v>13870942</v>
      </c>
      <c r="U412" s="7">
        <v>923405</v>
      </c>
      <c r="V412" s="7">
        <f>+'St of Net Assets - GA'!O412-'LT _Lia - GA'!U412</f>
        <v>0</v>
      </c>
      <c r="Z412" s="7" t="str">
        <f t="shared" si="57"/>
        <v>Norwalk City SD</v>
      </c>
      <c r="AA412" s="7" t="str">
        <f>'Gov Fnd Exp'!A412</f>
        <v>Norwalk City SD</v>
      </c>
      <c r="AB412" s="7" t="b">
        <f t="shared" si="58"/>
        <v>1</v>
      </c>
      <c r="AC412" s="7" t="str">
        <f t="shared" si="53"/>
        <v>Huron</v>
      </c>
      <c r="AD412" s="7" t="b">
        <f>C412='Gov Fnd Exp'!C412</f>
        <v>1</v>
      </c>
    </row>
    <row r="413" spans="1:30" hidden="1">
      <c r="A413" s="12" t="s">
        <v>950</v>
      </c>
      <c r="B413" s="12"/>
      <c r="C413" s="12" t="s">
        <v>71</v>
      </c>
      <c r="D413" s="12"/>
      <c r="E413" s="12"/>
      <c r="S413" s="8">
        <f t="shared" ref="S413" si="61">SUM(G413:R413)</f>
        <v>0</v>
      </c>
      <c r="V413" s="7">
        <f>+'St of Net Assets - GA'!O413-'LT _Lia - GA'!U413</f>
        <v>0</v>
      </c>
      <c r="X413" s="7" t="s">
        <v>931</v>
      </c>
      <c r="Z413" s="7" t="str">
        <f t="shared" ref="Z413" si="62">A413</f>
        <v>Norwayne Local SD (CASH)</v>
      </c>
      <c r="AA413" s="7" t="str">
        <f>'Gov Fnd Exp'!A413</f>
        <v>Norwayne Local SD (CASH)</v>
      </c>
      <c r="AB413" s="7" t="b">
        <f t="shared" ref="AB413" si="63">Z413=AA413</f>
        <v>1</v>
      </c>
      <c r="AC413" s="7" t="str">
        <f t="shared" ref="AC413" si="64">C413</f>
        <v>Wayne</v>
      </c>
      <c r="AD413" s="7" t="b">
        <f>C413='Gov Fnd Exp'!C413</f>
        <v>1</v>
      </c>
    </row>
    <row r="414" spans="1:30">
      <c r="A414" s="12" t="s">
        <v>658</v>
      </c>
      <c r="B414" s="12"/>
      <c r="C414" s="12" t="s">
        <v>32</v>
      </c>
      <c r="D414" s="12"/>
      <c r="E414" s="12">
        <v>44578</v>
      </c>
      <c r="G414" s="7">
        <v>4485000</v>
      </c>
      <c r="I414" s="7">
        <v>0</v>
      </c>
      <c r="K414" s="7">
        <v>0</v>
      </c>
      <c r="M414" s="7">
        <v>415125</v>
      </c>
      <c r="O414" s="7">
        <v>1016323</v>
      </c>
      <c r="Q414" s="7">
        <v>0</v>
      </c>
      <c r="S414" s="8">
        <f t="shared" si="52"/>
        <v>5916448</v>
      </c>
      <c r="U414" s="7">
        <v>379228</v>
      </c>
      <c r="V414" s="7">
        <f>+'St of Net Assets - GA'!O414-'LT _Lia - GA'!U414</f>
        <v>0</v>
      </c>
      <c r="Z414" s="7" t="str">
        <f t="shared" si="57"/>
        <v>Norwood City SD</v>
      </c>
      <c r="AA414" s="7" t="str">
        <f>'Gov Fnd Exp'!A414</f>
        <v>Norwood City SD</v>
      </c>
      <c r="AB414" s="7" t="b">
        <f t="shared" si="58"/>
        <v>1</v>
      </c>
      <c r="AC414" s="7" t="str">
        <f t="shared" si="53"/>
        <v>Hamilton</v>
      </c>
      <c r="AD414" s="7" t="b">
        <f>C414='Gov Fnd Exp'!C414</f>
        <v>1</v>
      </c>
    </row>
    <row r="415" spans="1:30" hidden="1">
      <c r="A415" s="12" t="s">
        <v>799</v>
      </c>
      <c r="B415" s="12"/>
      <c r="C415" s="12" t="s">
        <v>38</v>
      </c>
      <c r="D415" s="12"/>
      <c r="E415" s="12"/>
      <c r="S415" s="8"/>
      <c r="X415" s="7" t="s">
        <v>938</v>
      </c>
      <c r="Z415" s="7" t="str">
        <f t="shared" ref="Z415" si="65">A415</f>
        <v>Oak Hill Union Local SD (CASH)</v>
      </c>
      <c r="AA415" s="7" t="str">
        <f>'Gov Fnd Exp'!A415</f>
        <v>Oak Hill Union Local SD (CASH)</v>
      </c>
      <c r="AB415" s="7" t="b">
        <f t="shared" ref="AB415" si="66">Z415=AA415</f>
        <v>1</v>
      </c>
      <c r="AC415" s="7" t="str">
        <f t="shared" si="53"/>
        <v>Jackson</v>
      </c>
      <c r="AD415" s="7" t="b">
        <f>C415='Gov Fnd Exp'!C415</f>
        <v>1</v>
      </c>
    </row>
    <row r="416" spans="1:30">
      <c r="A416" s="12" t="s">
        <v>336</v>
      </c>
      <c r="B416" s="12"/>
      <c r="C416" s="12" t="s">
        <v>32</v>
      </c>
      <c r="D416" s="12"/>
      <c r="E416" s="12">
        <v>47373</v>
      </c>
      <c r="G416" s="7">
        <v>40371978</v>
      </c>
      <c r="I416" s="7">
        <v>364000</v>
      </c>
      <c r="K416" s="7">
        <v>0</v>
      </c>
      <c r="M416" s="7">
        <v>0</v>
      </c>
      <c r="O416" s="7">
        <v>4625916</v>
      </c>
      <c r="Q416" s="7">
        <v>0</v>
      </c>
      <c r="S416" s="8">
        <f t="shared" si="52"/>
        <v>45361894</v>
      </c>
      <c r="U416" s="7">
        <v>2484644</v>
      </c>
      <c r="V416" s="7">
        <f>+'St of Net Assets - GA'!O416-'LT _Lia - GA'!U416</f>
        <v>0</v>
      </c>
      <c r="Z416" s="7" t="str">
        <f t="shared" si="57"/>
        <v>Oak Hills Local SD</v>
      </c>
      <c r="AA416" s="7" t="str">
        <f>'Gov Fnd Exp'!A416</f>
        <v>Oak Hills Local SD</v>
      </c>
      <c r="AB416" s="7" t="b">
        <f t="shared" si="58"/>
        <v>1</v>
      </c>
      <c r="AC416" s="7" t="str">
        <f t="shared" si="53"/>
        <v>Hamilton</v>
      </c>
      <c r="AD416" s="7" t="b">
        <f>C416='Gov Fnd Exp'!C416</f>
        <v>1</v>
      </c>
    </row>
    <row r="417" spans="1:30">
      <c r="A417" s="12" t="s">
        <v>448</v>
      </c>
      <c r="B417" s="12"/>
      <c r="C417" s="12" t="s">
        <v>50</v>
      </c>
      <c r="D417" s="12"/>
      <c r="E417" s="12">
        <v>44586</v>
      </c>
      <c r="G417" s="7">
        <f>8360000+8415000+606084-474381</f>
        <v>16906703</v>
      </c>
      <c r="I417" s="7">
        <v>0</v>
      </c>
      <c r="K417" s="7">
        <v>0</v>
      </c>
      <c r="M417" s="7">
        <v>0</v>
      </c>
      <c r="O417" s="7">
        <v>1392099</v>
      </c>
      <c r="Q417" s="7">
        <v>0</v>
      </c>
      <c r="S417" s="8">
        <f t="shared" si="52"/>
        <v>18298802</v>
      </c>
      <c r="U417" s="7">
        <v>765416</v>
      </c>
      <c r="V417" s="7">
        <f>+'St of Net Assets - GA'!O417-'LT _Lia - GA'!U417</f>
        <v>0</v>
      </c>
      <c r="Z417" s="7" t="str">
        <f t="shared" si="57"/>
        <v>Oakwood City SD</v>
      </c>
      <c r="AA417" s="7" t="str">
        <f>'Gov Fnd Exp'!A417</f>
        <v>Oakwood City SD</v>
      </c>
      <c r="AB417" s="7" t="b">
        <f t="shared" si="58"/>
        <v>1</v>
      </c>
      <c r="AC417" s="7" t="str">
        <f t="shared" si="53"/>
        <v>Montgomery</v>
      </c>
      <c r="AD417" s="7" t="b">
        <f>C417='Gov Fnd Exp'!C417</f>
        <v>1</v>
      </c>
    </row>
    <row r="418" spans="1:30">
      <c r="A418" s="12" t="s">
        <v>401</v>
      </c>
      <c r="B418" s="12"/>
      <c r="C418" s="12" t="s">
        <v>44</v>
      </c>
      <c r="D418" s="12"/>
      <c r="E418" s="12">
        <v>44594</v>
      </c>
      <c r="G418" s="7">
        <v>0</v>
      </c>
      <c r="I418" s="7">
        <v>0</v>
      </c>
      <c r="K418" s="7">
        <v>0</v>
      </c>
      <c r="M418" s="7">
        <v>469905</v>
      </c>
      <c r="O418" s="7">
        <v>1173478</v>
      </c>
      <c r="Q418" s="7">
        <v>0</v>
      </c>
      <c r="S418" s="8">
        <f t="shared" si="52"/>
        <v>1643383</v>
      </c>
      <c r="U418" s="7">
        <v>395719</v>
      </c>
      <c r="V418" s="7">
        <f>+'St of Net Assets - GA'!O418-'LT _Lia - GA'!U418</f>
        <v>0</v>
      </c>
      <c r="Z418" s="7" t="str">
        <f t="shared" si="57"/>
        <v>Oberlin City SD</v>
      </c>
      <c r="AA418" s="7" t="str">
        <f>'Gov Fnd Exp'!A418</f>
        <v>Oberlin City SD</v>
      </c>
      <c r="AB418" s="7" t="b">
        <f t="shared" si="58"/>
        <v>1</v>
      </c>
      <c r="AC418" s="7" t="str">
        <f t="shared" si="53"/>
        <v>Lorain</v>
      </c>
      <c r="AD418" s="7" t="b">
        <f>C418='Gov Fnd Exp'!C418</f>
        <v>1</v>
      </c>
    </row>
    <row r="419" spans="1:30" hidden="1">
      <c r="A419" s="12" t="s">
        <v>640</v>
      </c>
      <c r="B419" s="12"/>
      <c r="C419" s="12" t="s">
        <v>60</v>
      </c>
      <c r="D419" s="12"/>
      <c r="E419" s="12">
        <v>49726</v>
      </c>
      <c r="S419" s="8">
        <f t="shared" si="52"/>
        <v>0</v>
      </c>
      <c r="V419" s="7">
        <f>+'St of Net Assets - GA'!O419-'LT _Lia - GA'!U419</f>
        <v>0</v>
      </c>
      <c r="X419" s="7" t="s">
        <v>839</v>
      </c>
      <c r="Z419" s="7" t="str">
        <f t="shared" si="57"/>
        <v>Old Fort Local SD (CASH)</v>
      </c>
      <c r="AA419" s="7" t="str">
        <f>'Gov Fnd Exp'!A419</f>
        <v>Old Fort Local SD (CASH)</v>
      </c>
      <c r="AB419" s="7" t="b">
        <f t="shared" si="58"/>
        <v>1</v>
      </c>
      <c r="AC419" s="7" t="str">
        <f t="shared" si="53"/>
        <v>Seneca</v>
      </c>
      <c r="AD419" s="7" t="b">
        <f>C419='Gov Fnd Exp'!C419</f>
        <v>1</v>
      </c>
    </row>
    <row r="420" spans="1:30">
      <c r="A420" s="12" t="s">
        <v>290</v>
      </c>
      <c r="B420" s="12"/>
      <c r="C420" s="12" t="s">
        <v>23</v>
      </c>
      <c r="D420" s="12"/>
      <c r="E420" s="12">
        <v>46763</v>
      </c>
      <c r="G420" s="7">
        <v>380131336</v>
      </c>
      <c r="I420" s="7">
        <v>0</v>
      </c>
      <c r="K420" s="7">
        <v>0</v>
      </c>
      <c r="M420" s="7">
        <v>519316</v>
      </c>
      <c r="O420" s="7">
        <v>6642834</v>
      </c>
      <c r="Q420" s="7">
        <v>0</v>
      </c>
      <c r="S420" s="8">
        <f t="shared" si="52"/>
        <v>387293486</v>
      </c>
      <c r="U420" s="7">
        <v>13149135</v>
      </c>
      <c r="V420" s="7">
        <f>+'St of Net Assets - GA'!O420-'LT _Lia - GA'!U420</f>
        <v>0</v>
      </c>
      <c r="Z420" s="7" t="str">
        <f t="shared" si="57"/>
        <v>Olentangy Local SD</v>
      </c>
      <c r="AA420" s="7" t="str">
        <f>'Gov Fnd Exp'!A420</f>
        <v>Olentangy Local SD</v>
      </c>
      <c r="AB420" s="7" t="b">
        <f t="shared" si="58"/>
        <v>1</v>
      </c>
      <c r="AC420" s="7" t="str">
        <f t="shared" si="53"/>
        <v>Delaware</v>
      </c>
      <c r="AD420" s="7" t="b">
        <f>C420='Gov Fnd Exp'!C420</f>
        <v>1</v>
      </c>
    </row>
    <row r="421" spans="1:30">
      <c r="A421" s="12" t="s">
        <v>279</v>
      </c>
      <c r="B421" s="12"/>
      <c r="C421" s="12" t="s">
        <v>20</v>
      </c>
      <c r="D421" s="12"/>
      <c r="E421" s="12">
        <v>46573</v>
      </c>
      <c r="G421" s="7">
        <v>20602052</v>
      </c>
      <c r="I421" s="7">
        <v>0</v>
      </c>
      <c r="K421" s="7">
        <v>0</v>
      </c>
      <c r="M421" s="7">
        <v>7832</v>
      </c>
      <c r="O421" s="7">
        <v>2999585</v>
      </c>
      <c r="Q421" s="7">
        <v>154511</v>
      </c>
      <c r="S421" s="8">
        <f t="shared" si="52"/>
        <v>23763980</v>
      </c>
      <c r="U421" s="7">
        <v>1455153</v>
      </c>
      <c r="V421" s="7">
        <f>+'St of Net Assets - GA'!O421-'LT _Lia - GA'!U421</f>
        <v>0</v>
      </c>
      <c r="Z421" s="7" t="str">
        <f t="shared" si="57"/>
        <v>Olmsted Falls City SD</v>
      </c>
      <c r="AA421" s="7" t="str">
        <f>'Gov Fnd Exp'!A421</f>
        <v>Olmsted Falls City SD</v>
      </c>
      <c r="AB421" s="7" t="b">
        <f t="shared" si="58"/>
        <v>1</v>
      </c>
      <c r="AC421" s="7" t="str">
        <f t="shared" si="53"/>
        <v>Cuyahoga</v>
      </c>
      <c r="AD421" s="7" t="b">
        <f>C421='Gov Fnd Exp'!C421</f>
        <v>1</v>
      </c>
    </row>
    <row r="422" spans="1:30">
      <c r="A422" s="12" t="s">
        <v>485</v>
      </c>
      <c r="B422" s="12"/>
      <c r="C422" s="12" t="s">
        <v>110</v>
      </c>
      <c r="D422" s="12"/>
      <c r="E422" s="12">
        <v>49478</v>
      </c>
      <c r="G422" s="7">
        <f>660000+9460000+74996+229712+3270000+504997+306146+535381-428714</f>
        <v>14612518</v>
      </c>
      <c r="I422" s="7">
        <v>0</v>
      </c>
      <c r="K422" s="7">
        <v>130000</v>
      </c>
      <c r="M422" s="7">
        <v>40431</v>
      </c>
      <c r="O422" s="7">
        <v>1391124</v>
      </c>
      <c r="Q422" s="7">
        <v>0</v>
      </c>
      <c r="S422" s="8">
        <f t="shared" si="52"/>
        <v>16174073</v>
      </c>
      <c r="U422" s="7">
        <v>1174248</v>
      </c>
      <c r="V422" s="7">
        <f>+'St of Net Assets - GA'!O422-'LT _Lia - GA'!U422</f>
        <v>0</v>
      </c>
      <c r="Z422" s="7" t="str">
        <f t="shared" si="57"/>
        <v>Ontario Local SD</v>
      </c>
      <c r="AA422" s="7" t="str">
        <f>'Gov Fnd Exp'!A422</f>
        <v>Ontario Local SD</v>
      </c>
      <c r="AB422" s="7" t="b">
        <f t="shared" si="58"/>
        <v>1</v>
      </c>
      <c r="AC422" s="7" t="str">
        <f t="shared" si="53"/>
        <v>Richland</v>
      </c>
      <c r="AD422" s="7" t="b">
        <f>C422='Gov Fnd Exp'!C422</f>
        <v>1</v>
      </c>
    </row>
    <row r="423" spans="1:30">
      <c r="A423" s="12" t="s">
        <v>280</v>
      </c>
      <c r="B423" s="12"/>
      <c r="C423" s="12" t="s">
        <v>20</v>
      </c>
      <c r="D423" s="12"/>
      <c r="E423" s="12">
        <v>46581</v>
      </c>
      <c r="G423" s="7">
        <f>26473006-486451+754998</f>
        <v>26741553</v>
      </c>
      <c r="I423" s="7">
        <v>0</v>
      </c>
      <c r="K423" s="7">
        <v>0</v>
      </c>
      <c r="M423" s="7">
        <v>127646</v>
      </c>
      <c r="O423" s="7">
        <v>5496457</v>
      </c>
      <c r="Q423" s="7">
        <v>0</v>
      </c>
      <c r="S423" s="8">
        <f t="shared" si="52"/>
        <v>32365656</v>
      </c>
      <c r="U423" s="7">
        <v>2229658</v>
      </c>
      <c r="V423" s="7">
        <f>+'St of Net Assets - GA'!O423-'LT _Lia - GA'!U423</f>
        <v>0</v>
      </c>
      <c r="Z423" s="7" t="str">
        <f t="shared" si="57"/>
        <v>Orange City SD</v>
      </c>
      <c r="AA423" s="7" t="str">
        <f>'Gov Fnd Exp'!A423</f>
        <v>Orange City SD</v>
      </c>
      <c r="AB423" s="7" t="b">
        <f t="shared" si="58"/>
        <v>1</v>
      </c>
      <c r="AC423" s="7" t="str">
        <f t="shared" si="53"/>
        <v>Cuyahoga</v>
      </c>
      <c r="AD423" s="7" t="b">
        <f>C423='Gov Fnd Exp'!C423</f>
        <v>1</v>
      </c>
    </row>
    <row r="424" spans="1:30">
      <c r="A424" s="12" t="s">
        <v>404</v>
      </c>
      <c r="B424" s="12"/>
      <c r="C424" s="12" t="s">
        <v>115</v>
      </c>
      <c r="D424" s="12"/>
      <c r="E424" s="12">
        <v>44602</v>
      </c>
      <c r="G424" s="7">
        <f>38560379+2659602+387204</f>
        <v>41607185</v>
      </c>
      <c r="I424" s="7">
        <v>0</v>
      </c>
      <c r="K424" s="7">
        <v>0</v>
      </c>
      <c r="M424" s="7">
        <v>0</v>
      </c>
      <c r="O424" s="7">
        <v>6380244</v>
      </c>
      <c r="Q424" s="7">
        <v>98153</v>
      </c>
      <c r="S424" s="8">
        <f t="shared" si="52"/>
        <v>48085582</v>
      </c>
      <c r="U424" s="7">
        <v>1790914</v>
      </c>
      <c r="V424" s="7">
        <f>+'St of Net Assets - GA'!O424-'LT _Lia - GA'!U424</f>
        <v>0</v>
      </c>
      <c r="X424" s="7" t="s">
        <v>951</v>
      </c>
      <c r="Z424" s="7" t="str">
        <f t="shared" si="57"/>
        <v>Oregon City SD</v>
      </c>
      <c r="AA424" s="7" t="str">
        <f>'Gov Fnd Exp'!A424</f>
        <v>Oregon City SD</v>
      </c>
      <c r="AB424" s="7" t="b">
        <f t="shared" si="58"/>
        <v>1</v>
      </c>
      <c r="AC424" s="7" t="str">
        <f t="shared" si="53"/>
        <v>Lucas</v>
      </c>
      <c r="AD424" s="7" t="b">
        <f>C424='Gov Fnd Exp'!C424</f>
        <v>1</v>
      </c>
    </row>
    <row r="425" spans="1:30" hidden="1">
      <c r="A425" s="12" t="s">
        <v>952</v>
      </c>
      <c r="B425" s="12"/>
      <c r="C425" s="12" t="s">
        <v>71</v>
      </c>
      <c r="D425" s="12"/>
      <c r="E425" s="12">
        <v>44610</v>
      </c>
      <c r="S425" s="8">
        <f t="shared" si="52"/>
        <v>0</v>
      </c>
      <c r="V425" s="7">
        <f>+'St of Net Assets - GA'!O425-'LT _Lia - GA'!U425</f>
        <v>0</v>
      </c>
      <c r="X425" s="7" t="s">
        <v>903</v>
      </c>
      <c r="Z425" s="7" t="str">
        <f t="shared" si="57"/>
        <v>Orrville City SD (CASH)</v>
      </c>
      <c r="AA425" s="7" t="str">
        <f>'Gov Fnd Exp'!A425</f>
        <v>Orrville City SD (CASH)</v>
      </c>
      <c r="AB425" s="7" t="b">
        <f t="shared" si="58"/>
        <v>1</v>
      </c>
      <c r="AC425" s="7" t="str">
        <f t="shared" si="53"/>
        <v>Wayne</v>
      </c>
      <c r="AD425" s="7" t="b">
        <f>C425='Gov Fnd Exp'!C425</f>
        <v>1</v>
      </c>
    </row>
    <row r="426" spans="1:30">
      <c r="A426" s="12" t="s">
        <v>519</v>
      </c>
      <c r="B426" s="12"/>
      <c r="C426" s="12" t="s">
        <v>62</v>
      </c>
      <c r="D426" s="12"/>
      <c r="E426" s="12">
        <v>49916</v>
      </c>
      <c r="G426" s="7">
        <f>8432430+267119</f>
        <v>8699549</v>
      </c>
      <c r="I426" s="7">
        <v>0</v>
      </c>
      <c r="K426" s="7">
        <v>0</v>
      </c>
      <c r="M426" s="7">
        <v>0</v>
      </c>
      <c r="O426" s="7">
        <v>434929</v>
      </c>
      <c r="Q426" s="7">
        <v>0</v>
      </c>
      <c r="S426" s="8">
        <f t="shared" si="52"/>
        <v>9134478</v>
      </c>
      <c r="U426" s="7">
        <v>354445</v>
      </c>
      <c r="V426" s="7">
        <f>+'St of Net Assets - GA'!O426-'LT _Lia - GA'!U426</f>
        <v>0</v>
      </c>
      <c r="Z426" s="7" t="str">
        <f t="shared" si="57"/>
        <v>Osnaburg Local SD</v>
      </c>
      <c r="AA426" s="7" t="str">
        <f>'Gov Fnd Exp'!A426</f>
        <v>Osnaburg Local SD</v>
      </c>
      <c r="AB426" s="7" t="b">
        <f t="shared" si="58"/>
        <v>1</v>
      </c>
      <c r="AC426" s="7" t="str">
        <f t="shared" si="53"/>
        <v>Stark</v>
      </c>
      <c r="AD426" s="7" t="b">
        <f>C426='Gov Fnd Exp'!C426</f>
        <v>1</v>
      </c>
    </row>
    <row r="427" spans="1:30">
      <c r="A427" s="12" t="s">
        <v>576</v>
      </c>
      <c r="B427" s="12"/>
      <c r="C427" s="12" t="s">
        <v>72</v>
      </c>
      <c r="D427" s="12"/>
      <c r="E427" s="12">
        <v>50724</v>
      </c>
      <c r="G427" s="7">
        <v>21113720</v>
      </c>
      <c r="I427" s="7">
        <v>0</v>
      </c>
      <c r="K427" s="7">
        <v>0</v>
      </c>
      <c r="M427" s="7">
        <v>0</v>
      </c>
      <c r="O427" s="7">
        <v>861656</v>
      </c>
      <c r="Q427" s="7">
        <v>0</v>
      </c>
      <c r="S427" s="8">
        <f t="shared" si="52"/>
        <v>21975376</v>
      </c>
      <c r="U427" s="7">
        <v>621073</v>
      </c>
      <c r="V427" s="7">
        <f>+'St of Net Assets - GA'!O427-'LT _Lia - GA'!U427</f>
        <v>0</v>
      </c>
      <c r="Z427" s="7" t="str">
        <f t="shared" si="57"/>
        <v>Otsego Local SD</v>
      </c>
      <c r="AA427" s="7" t="str">
        <f>'Gov Fnd Exp'!A427</f>
        <v>Otsego Local SD</v>
      </c>
      <c r="AB427" s="7" t="b">
        <f t="shared" si="58"/>
        <v>1</v>
      </c>
      <c r="AC427" s="7" t="str">
        <f t="shared" si="53"/>
        <v>Wood</v>
      </c>
      <c r="AD427" s="7" t="b">
        <f>C427='Gov Fnd Exp'!C427</f>
        <v>1</v>
      </c>
    </row>
    <row r="428" spans="1:30">
      <c r="A428" s="12" t="s">
        <v>405</v>
      </c>
      <c r="B428" s="12"/>
      <c r="C428" s="12" t="s">
        <v>115</v>
      </c>
      <c r="D428" s="12"/>
      <c r="E428" s="12">
        <v>48215</v>
      </c>
      <c r="G428" s="7">
        <v>2320000</v>
      </c>
      <c r="I428" s="7">
        <v>0</v>
      </c>
      <c r="K428" s="7">
        <v>0</v>
      </c>
      <c r="M428" s="7">
        <v>0</v>
      </c>
      <c r="O428" s="7">
        <v>1579855</v>
      </c>
      <c r="Q428" s="7">
        <v>0</v>
      </c>
      <c r="S428" s="8">
        <f t="shared" si="52"/>
        <v>3899855</v>
      </c>
      <c r="U428" s="7">
        <v>513818</v>
      </c>
      <c r="V428" s="7">
        <f>+'St of Net Assets - GA'!O428-'LT _Lia - GA'!U428</f>
        <v>0</v>
      </c>
      <c r="Z428" s="7" t="str">
        <f t="shared" si="57"/>
        <v>Ottawa Hills Local SD</v>
      </c>
      <c r="AA428" s="7" t="str">
        <f>'Gov Fnd Exp'!A428</f>
        <v>Ottawa Hills Local SD</v>
      </c>
      <c r="AB428" s="7" t="b">
        <f t="shared" si="58"/>
        <v>1</v>
      </c>
      <c r="AC428" s="7" t="str">
        <f t="shared" si="53"/>
        <v>Lucas</v>
      </c>
      <c r="AD428" s="7" t="b">
        <f>C428='Gov Fnd Exp'!C428</f>
        <v>1</v>
      </c>
    </row>
    <row r="429" spans="1:30" hidden="1">
      <c r="A429" s="12" t="s">
        <v>749</v>
      </c>
      <c r="B429" s="12"/>
      <c r="C429" s="12" t="s">
        <v>482</v>
      </c>
      <c r="D429" s="12"/>
      <c r="E429" s="12">
        <v>49379</v>
      </c>
      <c r="S429" s="8">
        <f t="shared" si="52"/>
        <v>0</v>
      </c>
      <c r="V429" s="7">
        <f>+'St of Net Assets - GA'!O429-'LT _Lia - GA'!U429</f>
        <v>0</v>
      </c>
      <c r="X429" s="7" t="s">
        <v>953</v>
      </c>
      <c r="Z429" s="7" t="str">
        <f t="shared" si="57"/>
        <v>Ottawa-Glandorf Local SD (CASH)</v>
      </c>
      <c r="AA429" s="7" t="str">
        <f>'Gov Fnd Exp'!A429</f>
        <v>Ottawa-Glandorf Local SD (CASH)</v>
      </c>
      <c r="AB429" s="7" t="b">
        <f t="shared" si="58"/>
        <v>1</v>
      </c>
      <c r="AC429" s="7" t="str">
        <f t="shared" si="53"/>
        <v>Putnam</v>
      </c>
      <c r="AD429" s="7" t="b">
        <f>C429='Gov Fnd Exp'!C429</f>
        <v>1</v>
      </c>
    </row>
    <row r="430" spans="1:30" hidden="1">
      <c r="A430" s="12" t="s">
        <v>955</v>
      </c>
      <c r="B430" s="12"/>
      <c r="C430" s="12" t="s">
        <v>482</v>
      </c>
      <c r="D430" s="12"/>
      <c r="E430" s="12">
        <v>49387</v>
      </c>
      <c r="S430" s="8">
        <f t="shared" si="52"/>
        <v>0</v>
      </c>
      <c r="V430" s="7">
        <f>+'St of Net Assets - GA'!O430-'LT _Lia - GA'!U430</f>
        <v>0</v>
      </c>
      <c r="X430" s="7" t="s">
        <v>954</v>
      </c>
      <c r="Z430" s="7" t="str">
        <f t="shared" si="57"/>
        <v>Ottoville Local SD (NO REPORT) (Two year Audit)</v>
      </c>
      <c r="AA430" s="7" t="str">
        <f>'Gov Fnd Exp'!A430</f>
        <v>Ottoville Local SD (NO REPORT) (Two year Audit)</v>
      </c>
      <c r="AB430" s="7" t="b">
        <f t="shared" si="58"/>
        <v>1</v>
      </c>
      <c r="AC430" s="7" t="str">
        <f t="shared" si="53"/>
        <v>Putnam</v>
      </c>
      <c r="AD430" s="7" t="b">
        <f>C430='Gov Fnd Exp'!C430</f>
        <v>1</v>
      </c>
    </row>
    <row r="431" spans="1:30" hidden="1">
      <c r="A431" s="12" t="s">
        <v>956</v>
      </c>
      <c r="B431" s="12"/>
      <c r="C431" s="12" t="s">
        <v>41</v>
      </c>
      <c r="D431" s="12"/>
      <c r="E431" s="12">
        <v>44628</v>
      </c>
      <c r="S431" s="8">
        <f t="shared" si="52"/>
        <v>0</v>
      </c>
      <c r="V431" s="7">
        <f>+'St of Net Assets - GA'!O431-'LT _Lia - GA'!U431</f>
        <v>0</v>
      </c>
      <c r="X431" s="7" t="s">
        <v>903</v>
      </c>
      <c r="Z431" s="7" t="str">
        <f t="shared" si="57"/>
        <v>Painesville City Local SD (CASH)</v>
      </c>
      <c r="AA431" s="7" t="str">
        <f>'Gov Fnd Exp'!A431</f>
        <v>Painesville City Local SD (CASH)</v>
      </c>
      <c r="AB431" s="7" t="b">
        <f t="shared" si="58"/>
        <v>1</v>
      </c>
      <c r="AC431" s="7" t="str">
        <f t="shared" si="53"/>
        <v>Lake</v>
      </c>
      <c r="AD431" s="7" t="b">
        <f>C431='Gov Fnd Exp'!C431</f>
        <v>1</v>
      </c>
    </row>
    <row r="432" spans="1:30" hidden="1">
      <c r="A432" s="12" t="s">
        <v>893</v>
      </c>
      <c r="B432" s="12"/>
      <c r="C432" s="12" t="s">
        <v>41</v>
      </c>
      <c r="D432" s="12"/>
      <c r="E432" s="12">
        <v>47894</v>
      </c>
      <c r="S432" s="8">
        <f t="shared" si="52"/>
        <v>0</v>
      </c>
      <c r="V432" s="7">
        <f>+'St of Net Assets - GA'!O432-'LT _Lia - GA'!U432</f>
        <v>0</v>
      </c>
      <c r="X432" s="7" t="s">
        <v>790</v>
      </c>
      <c r="Z432" s="7" t="str">
        <f t="shared" si="57"/>
        <v>Painesville Township Local SD - now RIVERSIDE LOCAL SCHOOL DISTRICT since 2007</v>
      </c>
      <c r="AA432" s="7" t="str">
        <f>'Gov Fnd Exp'!A432</f>
        <v>Painesville Township Local SD - now RIVERSIDE LOCAL SCHOOL DISTRICT since 2007</v>
      </c>
      <c r="AB432" s="7" t="b">
        <f t="shared" si="58"/>
        <v>1</v>
      </c>
      <c r="AC432" s="7" t="str">
        <f t="shared" si="53"/>
        <v>Lake</v>
      </c>
      <c r="AD432" s="7" t="b">
        <f>C432='Gov Fnd Exp'!C432</f>
        <v>1</v>
      </c>
    </row>
    <row r="433" spans="1:30">
      <c r="A433" s="12" t="s">
        <v>490</v>
      </c>
      <c r="B433" s="12"/>
      <c r="C433" s="12" t="s">
        <v>58</v>
      </c>
      <c r="D433" s="12"/>
      <c r="E433" s="12">
        <v>49510</v>
      </c>
      <c r="G433" s="7">
        <f>1070000+45000+6026+50976</f>
        <v>1172002</v>
      </c>
      <c r="I433" s="7">
        <v>0</v>
      </c>
      <c r="K433" s="7">
        <v>0</v>
      </c>
      <c r="M433" s="7">
        <v>200517</v>
      </c>
      <c r="O433" s="7">
        <v>486404</v>
      </c>
      <c r="Q433" s="7">
        <v>0</v>
      </c>
      <c r="S433" s="8">
        <f t="shared" si="52"/>
        <v>1858923</v>
      </c>
      <c r="U433" s="7">
        <v>182299</v>
      </c>
      <c r="V433" s="7">
        <f>+'St of Net Assets - GA'!O433-'LT _Lia - GA'!U433</f>
        <v>0</v>
      </c>
      <c r="Z433" s="7" t="str">
        <f t="shared" si="57"/>
        <v>Paint Valley Local SD</v>
      </c>
      <c r="AA433" s="7" t="str">
        <f>'Gov Fnd Exp'!A433</f>
        <v>Paint Valley Local SD</v>
      </c>
      <c r="AB433" s="7" t="b">
        <f t="shared" si="58"/>
        <v>1</v>
      </c>
      <c r="AC433" s="7" t="str">
        <f t="shared" si="53"/>
        <v>Ross</v>
      </c>
      <c r="AD433" s="7" t="b">
        <f>C433='Gov Fnd Exp'!C433</f>
        <v>1</v>
      </c>
    </row>
    <row r="434" spans="1:30" hidden="1">
      <c r="A434" s="12" t="s">
        <v>722</v>
      </c>
      <c r="B434" s="12"/>
      <c r="C434" s="12" t="s">
        <v>482</v>
      </c>
      <c r="D434" s="12"/>
      <c r="E434" s="12">
        <v>49395</v>
      </c>
      <c r="S434" s="8">
        <f t="shared" si="52"/>
        <v>0</v>
      </c>
      <c r="V434" s="7">
        <f>+'St of Net Assets - GA'!O434-'LT _Lia - GA'!U434</f>
        <v>0</v>
      </c>
      <c r="X434" s="7" t="s">
        <v>958</v>
      </c>
      <c r="Z434" s="7" t="str">
        <f t="shared" si="57"/>
        <v>Pandora-Gilboa Local SD (CASH)  (Two year Audit)</v>
      </c>
      <c r="AA434" s="7" t="str">
        <f>'Gov Fnd Exp'!A434</f>
        <v>Pandora-Gilboa Local SD (CASH)  (Two year Audit)</v>
      </c>
      <c r="AB434" s="7" t="b">
        <f t="shared" si="58"/>
        <v>1</v>
      </c>
      <c r="AC434" s="7" t="str">
        <f t="shared" si="53"/>
        <v>Putnam</v>
      </c>
      <c r="AD434" s="7" t="b">
        <f>C434='Gov Fnd Exp'!C434</f>
        <v>1</v>
      </c>
    </row>
    <row r="435" spans="1:30" hidden="1">
      <c r="A435" s="12" t="s">
        <v>723</v>
      </c>
      <c r="B435" s="12"/>
      <c r="C435" s="12" t="s">
        <v>435</v>
      </c>
      <c r="D435" s="12"/>
      <c r="E435" s="12">
        <v>48579</v>
      </c>
      <c r="S435" s="8">
        <f t="shared" ref="S435:S443" si="67">SUM(G435:R435)</f>
        <v>0</v>
      </c>
      <c r="V435" s="7">
        <f>+'St of Net Assets - GA'!O435-'LT _Lia - GA'!U435</f>
        <v>0</v>
      </c>
      <c r="X435" s="7" t="s">
        <v>839</v>
      </c>
      <c r="Z435" s="7" t="str">
        <f t="shared" si="57"/>
        <v>Parkway Local SD (CASH) (Two year Audit)</v>
      </c>
      <c r="AA435" s="7" t="str">
        <f>'Gov Fnd Exp'!A435</f>
        <v>Parkway Local SD (CASH) (Two year Audit)</v>
      </c>
      <c r="AB435" s="7" t="b">
        <f t="shared" si="58"/>
        <v>1</v>
      </c>
      <c r="AC435" s="7" t="str">
        <f t="shared" si="53"/>
        <v>Mercer</v>
      </c>
      <c r="AD435" s="7" t="b">
        <f>C435='Gov Fnd Exp'!C435</f>
        <v>1</v>
      </c>
    </row>
    <row r="436" spans="1:30">
      <c r="A436" s="12" t="s">
        <v>281</v>
      </c>
      <c r="B436" s="12"/>
      <c r="C436" s="12" t="s">
        <v>20</v>
      </c>
      <c r="D436" s="12"/>
      <c r="E436" s="12">
        <v>44636</v>
      </c>
      <c r="G436" s="7">
        <f>11865000-58810</f>
        <v>11806190</v>
      </c>
      <c r="I436" s="7">
        <f>1129000+3358000+3358366+1693680+2543084+2059659</f>
        <v>14141789</v>
      </c>
      <c r="K436" s="7">
        <f>4665000+6045000+80162</f>
        <v>10790162</v>
      </c>
      <c r="M436" s="7">
        <v>1446409</v>
      </c>
      <c r="O436" s="7">
        <v>9779171</v>
      </c>
      <c r="Q436" s="7">
        <v>0</v>
      </c>
      <c r="S436" s="8">
        <f t="shared" si="67"/>
        <v>47963721</v>
      </c>
      <c r="U436" s="7">
        <v>6679922</v>
      </c>
      <c r="V436" s="7">
        <f>+'St of Net Assets - GA'!O436-'LT _Lia - GA'!U436</f>
        <v>0</v>
      </c>
      <c r="X436" s="7" t="s">
        <v>951</v>
      </c>
      <c r="Z436" s="7" t="str">
        <f t="shared" si="57"/>
        <v>Parma City SD</v>
      </c>
      <c r="AA436" s="7" t="str">
        <f>'Gov Fnd Exp'!A436</f>
        <v>Parma City SD</v>
      </c>
      <c r="AB436" s="7" t="b">
        <f t="shared" si="58"/>
        <v>1</v>
      </c>
      <c r="AC436" s="7" t="str">
        <f t="shared" si="53"/>
        <v>Cuyahoga</v>
      </c>
      <c r="AD436" s="7" t="b">
        <f>C436='Gov Fnd Exp'!C436</f>
        <v>1</v>
      </c>
    </row>
    <row r="437" spans="1:30">
      <c r="A437" s="12" t="s">
        <v>357</v>
      </c>
      <c r="B437" s="12"/>
      <c r="C437" s="12" t="s">
        <v>34</v>
      </c>
      <c r="D437" s="12"/>
      <c r="E437" s="12">
        <v>47597</v>
      </c>
      <c r="G437" s="7">
        <v>4699929</v>
      </c>
      <c r="I437" s="7">
        <v>498667</v>
      </c>
      <c r="K437" s="7">
        <v>186000</v>
      </c>
      <c r="M437" s="7">
        <v>0</v>
      </c>
      <c r="O437" s="7">
        <v>689813</v>
      </c>
      <c r="Q437" s="7">
        <v>0</v>
      </c>
      <c r="S437" s="8">
        <f t="shared" si="67"/>
        <v>6074409</v>
      </c>
      <c r="U437" s="7">
        <v>141333</v>
      </c>
      <c r="V437" s="7">
        <f>+'St of Net Assets - GA'!O437-'LT _Lia - GA'!U437</f>
        <v>0</v>
      </c>
      <c r="X437" s="7" t="s">
        <v>957</v>
      </c>
      <c r="Z437" s="7" t="str">
        <f t="shared" si="57"/>
        <v>Patrick Henry Local SD</v>
      </c>
      <c r="AA437" s="7" t="str">
        <f>'Gov Fnd Exp'!A437</f>
        <v>Patrick Henry Local SD</v>
      </c>
      <c r="AB437" s="7" t="b">
        <f t="shared" si="58"/>
        <v>1</v>
      </c>
      <c r="AC437" s="7" t="str">
        <f t="shared" si="53"/>
        <v>Henry</v>
      </c>
      <c r="AD437" s="7" t="b">
        <f>C437='Gov Fnd Exp'!C437</f>
        <v>1</v>
      </c>
    </row>
    <row r="438" spans="1:30" hidden="1">
      <c r="A438" s="12" t="s">
        <v>884</v>
      </c>
      <c r="B438" s="12"/>
      <c r="C438" s="12" t="s">
        <v>465</v>
      </c>
      <c r="D438" s="12"/>
      <c r="E438" s="12">
        <v>45575</v>
      </c>
      <c r="S438" s="8">
        <f t="shared" si="67"/>
        <v>0</v>
      </c>
      <c r="V438" s="7">
        <f>+'St of Net Assets - GA'!O438-'LT _Lia - GA'!U438</f>
        <v>0</v>
      </c>
      <c r="X438" s="7" t="s">
        <v>839</v>
      </c>
      <c r="Z438" s="7" t="str">
        <f t="shared" si="57"/>
        <v>Paulding Exempted Village SD (CASH)</v>
      </c>
      <c r="AA438" s="7" t="str">
        <f>'Gov Fnd Exp'!A438</f>
        <v>Paulding Exempted Village SD (CASH)</v>
      </c>
      <c r="AB438" s="7" t="b">
        <f t="shared" si="58"/>
        <v>1</v>
      </c>
      <c r="AC438" s="7" t="str">
        <f t="shared" si="53"/>
        <v>Paulding</v>
      </c>
      <c r="AD438" s="7" t="b">
        <f>C438='Gov Fnd Exp'!C438</f>
        <v>1</v>
      </c>
    </row>
    <row r="439" spans="1:30">
      <c r="A439" s="12" t="s">
        <v>295</v>
      </c>
      <c r="B439" s="12"/>
      <c r="C439" s="12" t="s">
        <v>24</v>
      </c>
      <c r="D439" s="12"/>
      <c r="E439" s="12">
        <v>46813</v>
      </c>
      <c r="G439" s="7">
        <v>0</v>
      </c>
      <c r="I439" s="7">
        <v>0</v>
      </c>
      <c r="K439" s="7">
        <v>0</v>
      </c>
      <c r="M439" s="7">
        <f>872142+1519999</f>
        <v>2392141</v>
      </c>
      <c r="O439" s="7">
        <v>1310490</v>
      </c>
      <c r="Q439" s="7">
        <v>0</v>
      </c>
      <c r="S439" s="8">
        <f t="shared" si="67"/>
        <v>3702631</v>
      </c>
      <c r="U439" s="7">
        <v>1003894</v>
      </c>
      <c r="V439" s="7">
        <f>+'St of Net Assets - GA'!O439-'LT _Lia - GA'!U439</f>
        <v>0</v>
      </c>
      <c r="Z439" s="7" t="str">
        <f t="shared" si="57"/>
        <v>Perkins Local SD</v>
      </c>
      <c r="AA439" s="7" t="str">
        <f>'Gov Fnd Exp'!A439</f>
        <v>Perkins Local SD</v>
      </c>
      <c r="AB439" s="7" t="b">
        <f t="shared" si="58"/>
        <v>1</v>
      </c>
      <c r="AC439" s="7" t="str">
        <f t="shared" si="53"/>
        <v>Erie</v>
      </c>
      <c r="AD439" s="7" t="b">
        <f>C439='Gov Fnd Exp'!C439</f>
        <v>1</v>
      </c>
    </row>
    <row r="440" spans="1:30" hidden="1">
      <c r="A440" s="12" t="s">
        <v>724</v>
      </c>
      <c r="B440" s="12"/>
      <c r="C440" s="12" t="s">
        <v>10</v>
      </c>
      <c r="D440" s="12"/>
      <c r="E440" s="12"/>
      <c r="S440" s="8">
        <f t="shared" si="67"/>
        <v>0</v>
      </c>
      <c r="V440" s="7">
        <f>+'St of Net Assets - GA'!O440-'LT _Lia - GA'!U440</f>
        <v>0</v>
      </c>
      <c r="X440" s="7" t="s">
        <v>959</v>
      </c>
      <c r="Z440" s="7" t="str">
        <f t="shared" si="57"/>
        <v>Perry Local SD (CASH)</v>
      </c>
      <c r="AA440" s="7" t="str">
        <f>'Gov Fnd Exp'!A440</f>
        <v>Perry Local SD (CASH)</v>
      </c>
      <c r="AB440" s="7" t="b">
        <f t="shared" si="58"/>
        <v>1</v>
      </c>
      <c r="AC440" s="7" t="str">
        <f t="shared" si="53"/>
        <v>Allen</v>
      </c>
      <c r="AD440" s="7" t="b">
        <f>C440='Gov Fnd Exp'!C440</f>
        <v>1</v>
      </c>
    </row>
    <row r="441" spans="1:30">
      <c r="A441" s="12" t="s">
        <v>203</v>
      </c>
      <c r="B441" s="12"/>
      <c r="C441" s="12" t="s">
        <v>41</v>
      </c>
      <c r="D441" s="12"/>
      <c r="E441" s="12">
        <v>47902</v>
      </c>
      <c r="G441" s="7">
        <v>0</v>
      </c>
      <c r="I441" s="7">
        <v>0</v>
      </c>
      <c r="K441" s="7">
        <v>1181694</v>
      </c>
      <c r="M441" s="7">
        <v>0</v>
      </c>
      <c r="O441" s="7">
        <v>2608218</v>
      </c>
      <c r="Q441" s="7">
        <v>0</v>
      </c>
      <c r="S441" s="8">
        <f t="shared" si="67"/>
        <v>3789912</v>
      </c>
      <c r="U441" s="7">
        <v>693195</v>
      </c>
      <c r="V441" s="7">
        <f>+'St of Net Assets - GA'!O441-'LT _Lia - GA'!U441</f>
        <v>0</v>
      </c>
      <c r="Z441" s="7" t="str">
        <f t="shared" si="57"/>
        <v>Perry Local SD</v>
      </c>
      <c r="AA441" s="7" t="str">
        <f>'Gov Fnd Exp'!A441</f>
        <v>Perry Local SD</v>
      </c>
      <c r="AB441" s="7" t="b">
        <f t="shared" si="58"/>
        <v>1</v>
      </c>
      <c r="AC441" s="7" t="str">
        <f t="shared" si="53"/>
        <v>Lake</v>
      </c>
      <c r="AD441" s="7" t="b">
        <f>C441='Gov Fnd Exp'!C441</f>
        <v>1</v>
      </c>
    </row>
    <row r="442" spans="1:30">
      <c r="A442" s="12" t="s">
        <v>203</v>
      </c>
      <c r="B442" s="12"/>
      <c r="C442" s="12" t="s">
        <v>62</v>
      </c>
      <c r="D442" s="12"/>
      <c r="E442" s="12">
        <v>49924</v>
      </c>
      <c r="G442" s="7">
        <v>5525000</v>
      </c>
      <c r="I442" s="7">
        <v>0</v>
      </c>
      <c r="K442" s="7">
        <v>0</v>
      </c>
      <c r="M442" s="7">
        <v>0</v>
      </c>
      <c r="O442" s="7">
        <v>3932751</v>
      </c>
      <c r="Q442" s="7">
        <v>0</v>
      </c>
      <c r="S442" s="8">
        <f t="shared" si="67"/>
        <v>9457751</v>
      </c>
      <c r="U442" s="7">
        <v>465262</v>
      </c>
      <c r="V442" s="7">
        <f>+'St of Net Assets - GA'!O442-'LT _Lia - GA'!U442</f>
        <v>0</v>
      </c>
      <c r="X442" s="7" t="s">
        <v>951</v>
      </c>
      <c r="Z442" s="7" t="str">
        <f t="shared" si="57"/>
        <v>Perry Local SD</v>
      </c>
      <c r="AA442" s="7" t="str">
        <f>'Gov Fnd Exp'!A442</f>
        <v>Perry Local SD</v>
      </c>
      <c r="AB442" s="7" t="b">
        <f t="shared" si="58"/>
        <v>1</v>
      </c>
      <c r="AC442" s="7" t="str">
        <f t="shared" si="53"/>
        <v>Stark</v>
      </c>
      <c r="AD442" s="7" t="b">
        <f>C442='Gov Fnd Exp'!C442</f>
        <v>1</v>
      </c>
    </row>
    <row r="443" spans="1:30">
      <c r="A443" s="12" t="s">
        <v>885</v>
      </c>
      <c r="B443" s="12"/>
      <c r="C443" s="12" t="s">
        <v>72</v>
      </c>
      <c r="D443" s="12"/>
      <c r="E443" s="12">
        <v>45583</v>
      </c>
      <c r="G443" s="7">
        <f>29534996+296513-163701</f>
        <v>29667808</v>
      </c>
      <c r="I443" s="7">
        <v>0</v>
      </c>
      <c r="K443" s="7">
        <v>528000</v>
      </c>
      <c r="M443" s="7">
        <v>435491</v>
      </c>
      <c r="O443" s="7">
        <v>3808587</v>
      </c>
      <c r="Q443" s="7">
        <v>214425</v>
      </c>
      <c r="S443" s="8">
        <f t="shared" si="67"/>
        <v>34654311</v>
      </c>
      <c r="U443" s="7">
        <v>2762301</v>
      </c>
      <c r="V443" s="7">
        <f>+'St of Net Assets - GA'!O443-'LT _Lia - GA'!U443</f>
        <v>0</v>
      </c>
      <c r="Z443" s="7" t="str">
        <f t="shared" si="57"/>
        <v>Perrysburg Exempted Village SD</v>
      </c>
      <c r="AA443" s="7" t="str">
        <f>'Gov Fnd Exp'!A443</f>
        <v>Perrysburg Exempted Village SD</v>
      </c>
      <c r="AB443" s="7" t="b">
        <f t="shared" si="58"/>
        <v>1</v>
      </c>
      <c r="AC443" s="7" t="str">
        <f t="shared" si="53"/>
        <v>Wood</v>
      </c>
      <c r="AD443" s="7" t="b">
        <f>C443='Gov Fnd Exp'!C443</f>
        <v>1</v>
      </c>
    </row>
    <row r="444" spans="1:30" hidden="1">
      <c r="A444" s="12" t="s">
        <v>894</v>
      </c>
      <c r="B444" s="12"/>
      <c r="C444" s="12" t="s">
        <v>28</v>
      </c>
      <c r="D444" s="12"/>
      <c r="E444" s="12">
        <v>47076</v>
      </c>
      <c r="S444" s="8">
        <f t="shared" ref="S444:S479" si="68">SUM(G444:R444)</f>
        <v>0</v>
      </c>
      <c r="V444" s="7">
        <f>+'St of Net Assets - GA'!O444-'LT _Lia - GA'!U444</f>
        <v>0</v>
      </c>
      <c r="X444" s="7" t="s">
        <v>966</v>
      </c>
      <c r="Z444" s="7" t="str">
        <f t="shared" si="57"/>
        <v>Pettisville Local SD</v>
      </c>
      <c r="AA444" s="7" t="str">
        <f>'Gov Fnd Exp'!A444</f>
        <v>Pettisville Local SD</v>
      </c>
      <c r="AB444" s="7" t="b">
        <f t="shared" si="58"/>
        <v>1</v>
      </c>
      <c r="AC444" s="7" t="str">
        <f t="shared" si="53"/>
        <v>Fulton</v>
      </c>
      <c r="AD444" s="7" t="b">
        <f>C444='Gov Fnd Exp'!C444</f>
        <v>1</v>
      </c>
    </row>
    <row r="445" spans="1:30">
      <c r="A445" s="12" t="s">
        <v>302</v>
      </c>
      <c r="B445" s="12"/>
      <c r="C445" s="12" t="s">
        <v>25</v>
      </c>
      <c r="D445" s="12"/>
      <c r="E445" s="12">
        <v>46896</v>
      </c>
      <c r="G445" s="7">
        <f>157508203+3901655-2411551</f>
        <v>158998307</v>
      </c>
      <c r="I445" s="7">
        <v>0</v>
      </c>
      <c r="K445" s="7">
        <v>0</v>
      </c>
      <c r="M445" s="7">
        <v>1096872</v>
      </c>
      <c r="O445" s="7">
        <v>5214604</v>
      </c>
      <c r="Q445" s="7">
        <v>0</v>
      </c>
      <c r="S445" s="8">
        <f t="shared" si="68"/>
        <v>165309783</v>
      </c>
      <c r="U445" s="7">
        <v>10308528</v>
      </c>
      <c r="V445" s="7">
        <f>+'St of Net Assets - GA'!O445-'LT _Lia - GA'!U445</f>
        <v>0</v>
      </c>
      <c r="Z445" s="7" t="str">
        <f t="shared" si="57"/>
        <v>Pickerington Local SD</v>
      </c>
      <c r="AA445" s="7" t="str">
        <f>'Gov Fnd Exp'!A445</f>
        <v>Pickerington Local SD</v>
      </c>
      <c r="AB445" s="7" t="b">
        <f t="shared" si="58"/>
        <v>1</v>
      </c>
      <c r="AC445" s="7" t="str">
        <f t="shared" si="53"/>
        <v>Fairfield</v>
      </c>
      <c r="AD445" s="7" t="b">
        <f>C445='Gov Fnd Exp'!C445</f>
        <v>1</v>
      </c>
    </row>
    <row r="446" spans="1:30" hidden="1">
      <c r="A446" s="12" t="s">
        <v>961</v>
      </c>
      <c r="B446" s="12"/>
      <c r="C446" s="12" t="s">
        <v>28</v>
      </c>
      <c r="D446" s="12"/>
      <c r="E446" s="12">
        <v>47084</v>
      </c>
      <c r="S446" s="8">
        <f t="shared" si="68"/>
        <v>0</v>
      </c>
      <c r="V446" s="7">
        <f>+'St of Net Assets - GA'!O446-'LT _Lia - GA'!U446</f>
        <v>0</v>
      </c>
      <c r="X446" s="7" t="s">
        <v>960</v>
      </c>
      <c r="Z446" s="7" t="str">
        <f t="shared" si="57"/>
        <v>Pike-Delta-York Local SD (CASH)</v>
      </c>
      <c r="AA446" s="7" t="str">
        <f>'Gov Fnd Exp'!A446</f>
        <v>Pike-Delta-York Local SD (CASH)</v>
      </c>
      <c r="AB446" s="7" t="b">
        <f t="shared" si="58"/>
        <v>1</v>
      </c>
      <c r="AC446" s="7" t="str">
        <f t="shared" si="53"/>
        <v>Fulton</v>
      </c>
      <c r="AD446" s="7" t="b">
        <f>C446='Gov Fnd Exp'!C446</f>
        <v>1</v>
      </c>
    </row>
    <row r="447" spans="1:30">
      <c r="A447" s="12" t="s">
        <v>438</v>
      </c>
      <c r="B447" s="12"/>
      <c r="C447" s="12" t="s">
        <v>48</v>
      </c>
      <c r="D447" s="12"/>
      <c r="E447" s="12">
        <v>44644</v>
      </c>
      <c r="G447" s="7">
        <v>7672565</v>
      </c>
      <c r="I447" s="7">
        <v>0</v>
      </c>
      <c r="K447" s="7">
        <v>3770000</v>
      </c>
      <c r="M447" s="7">
        <v>0</v>
      </c>
      <c r="O447" s="7">
        <v>2294729</v>
      </c>
      <c r="Q447" s="7">
        <v>0</v>
      </c>
      <c r="S447" s="8">
        <f t="shared" si="68"/>
        <v>13737294</v>
      </c>
      <c r="U447" s="7">
        <v>1445375</v>
      </c>
      <c r="V447" s="7">
        <f>+'St of Net Assets - GA'!O447-'LT _Lia - GA'!U447</f>
        <v>0</v>
      </c>
      <c r="Z447" s="7" t="str">
        <f t="shared" si="57"/>
        <v>Piqua City SD</v>
      </c>
      <c r="AA447" s="7" t="str">
        <f>'Gov Fnd Exp'!A447</f>
        <v>Piqua City SD</v>
      </c>
      <c r="AB447" s="7" t="b">
        <f t="shared" si="58"/>
        <v>1</v>
      </c>
      <c r="AC447" s="7" t="str">
        <f t="shared" si="53"/>
        <v>Miami</v>
      </c>
      <c r="AD447" s="7" t="b">
        <f>C447='Gov Fnd Exp'!C447</f>
        <v>1</v>
      </c>
    </row>
    <row r="448" spans="1:30">
      <c r="A448" s="12" t="s">
        <v>312</v>
      </c>
      <c r="B448" s="12"/>
      <c r="C448" s="12" t="s">
        <v>62</v>
      </c>
      <c r="D448" s="12"/>
      <c r="E448" s="12">
        <v>49932</v>
      </c>
      <c r="G448" s="7">
        <f>52837626+493204</f>
        <v>53330830</v>
      </c>
      <c r="I448" s="7">
        <v>0</v>
      </c>
      <c r="K448" s="7">
        <v>0</v>
      </c>
      <c r="M448" s="7">
        <v>0</v>
      </c>
      <c r="O448" s="7">
        <v>3196099</v>
      </c>
      <c r="Q448" s="7">
        <v>1359206</v>
      </c>
      <c r="S448" s="8">
        <f t="shared" si="68"/>
        <v>57886135</v>
      </c>
      <c r="U448" s="7">
        <v>3605528</v>
      </c>
      <c r="V448" s="7">
        <f>+'St of Net Assets - GA'!O448-'LT _Lia - GA'!U448</f>
        <v>0</v>
      </c>
      <c r="Z448" s="7" t="str">
        <f t="shared" si="57"/>
        <v>Plain Local SD</v>
      </c>
      <c r="AA448" s="7" t="str">
        <f>'Gov Fnd Exp'!A448</f>
        <v>Plain Local SD</v>
      </c>
      <c r="AB448" s="7" t="b">
        <f t="shared" si="58"/>
        <v>1</v>
      </c>
      <c r="AC448" s="7" t="str">
        <f t="shared" si="53"/>
        <v>Stark</v>
      </c>
      <c r="AD448" s="7" t="b">
        <f>C448='Gov Fnd Exp'!C448</f>
        <v>1</v>
      </c>
    </row>
    <row r="449" spans="1:30">
      <c r="A449" s="12" t="s">
        <v>424</v>
      </c>
      <c r="B449" s="12"/>
      <c r="C449" s="12" t="s">
        <v>46</v>
      </c>
      <c r="D449" s="12"/>
      <c r="E449" s="12">
        <v>48421</v>
      </c>
      <c r="G449" s="7">
        <v>1435000</v>
      </c>
      <c r="I449" s="7">
        <v>249941</v>
      </c>
      <c r="K449" s="7">
        <v>0</v>
      </c>
      <c r="M449" s="7">
        <v>76928</v>
      </c>
      <c r="O449" s="7">
        <v>700200</v>
      </c>
      <c r="Q449" s="7">
        <v>0</v>
      </c>
      <c r="S449" s="8">
        <f t="shared" si="68"/>
        <v>2462069</v>
      </c>
      <c r="U449" s="7">
        <v>132604</v>
      </c>
      <c r="V449" s="7">
        <f>+'St of Net Assets - GA'!O449-'LT _Lia - GA'!U449</f>
        <v>0</v>
      </c>
      <c r="Z449" s="7" t="str">
        <f t="shared" si="57"/>
        <v>Pleasant Local SD</v>
      </c>
      <c r="AA449" s="7" t="str">
        <f>'Gov Fnd Exp'!A449</f>
        <v>Pleasant Local SD</v>
      </c>
      <c r="AB449" s="7" t="b">
        <f t="shared" si="58"/>
        <v>1</v>
      </c>
      <c r="AC449" s="7" t="str">
        <f t="shared" si="53"/>
        <v>Marion</v>
      </c>
      <c r="AD449" s="7" t="b">
        <f>C449='Gov Fnd Exp'!C449</f>
        <v>1</v>
      </c>
    </row>
    <row r="450" spans="1:30">
      <c r="A450" s="12" t="s">
        <v>486</v>
      </c>
      <c r="B450" s="12"/>
      <c r="C450" s="12" t="s">
        <v>110</v>
      </c>
      <c r="D450" s="12"/>
      <c r="E450" s="12">
        <v>49460</v>
      </c>
      <c r="G450" s="7">
        <f>345000+890985-66663+85654</f>
        <v>1254976</v>
      </c>
      <c r="I450" s="7">
        <v>0</v>
      </c>
      <c r="K450" s="7">
        <v>0</v>
      </c>
      <c r="M450" s="7">
        <f>707000+39674</f>
        <v>746674</v>
      </c>
      <c r="O450" s="7">
        <v>427251</v>
      </c>
      <c r="Q450" s="7">
        <v>0</v>
      </c>
      <c r="S450" s="8">
        <f t="shared" si="68"/>
        <v>2428901</v>
      </c>
      <c r="U450" s="7">
        <v>170089</v>
      </c>
      <c r="V450" s="7">
        <f>+'St of Net Assets - GA'!O450-'LT _Lia - GA'!U450</f>
        <v>0</v>
      </c>
      <c r="Z450" s="7" t="str">
        <f t="shared" si="57"/>
        <v>Plymouth-Shiloh Local SD</v>
      </c>
      <c r="AA450" s="7" t="str">
        <f>'Gov Fnd Exp'!A450</f>
        <v>Plymouth-Shiloh Local SD</v>
      </c>
      <c r="AB450" s="7" t="b">
        <f t="shared" si="58"/>
        <v>1</v>
      </c>
      <c r="AC450" s="7" t="str">
        <f t="shared" si="53"/>
        <v>Richland</v>
      </c>
      <c r="AD450" s="7" t="b">
        <f>C450='Gov Fnd Exp'!C450</f>
        <v>1</v>
      </c>
    </row>
    <row r="451" spans="1:30">
      <c r="A451" s="12" t="s">
        <v>764</v>
      </c>
      <c r="B451" s="12"/>
      <c r="C451" s="12" t="s">
        <v>45</v>
      </c>
      <c r="D451" s="12"/>
      <c r="E451" s="12">
        <v>48348</v>
      </c>
      <c r="G451" s="7">
        <f>3359350+217173-141394</f>
        <v>3435129</v>
      </c>
      <c r="I451" s="7">
        <v>0</v>
      </c>
      <c r="K451" s="7">
        <v>0</v>
      </c>
      <c r="M451" s="7">
        <v>8419396</v>
      </c>
      <c r="O451" s="7">
        <v>1845172</v>
      </c>
      <c r="Q451" s="7">
        <v>0</v>
      </c>
      <c r="S451" s="8">
        <f t="shared" si="68"/>
        <v>13699697</v>
      </c>
      <c r="U451" s="7">
        <v>1253808</v>
      </c>
      <c r="V451" s="7">
        <f>+'St of Net Assets - GA'!O451-'LT _Lia - GA'!U451</f>
        <v>0</v>
      </c>
      <c r="Z451" s="7" t="str">
        <f t="shared" si="57"/>
        <v xml:space="preserve">Poland Local SD </v>
      </c>
      <c r="AA451" s="7" t="str">
        <f>'Gov Fnd Exp'!A451</f>
        <v xml:space="preserve">Poland Local SD </v>
      </c>
      <c r="AB451" s="7" t="b">
        <f t="shared" si="58"/>
        <v>1</v>
      </c>
      <c r="AC451" s="7" t="str">
        <f t="shared" si="53"/>
        <v>Mahoning</v>
      </c>
      <c r="AD451" s="7" t="b">
        <f>C451='Gov Fnd Exp'!C451</f>
        <v>1</v>
      </c>
    </row>
    <row r="452" spans="1:30" hidden="1">
      <c r="A452" s="12" t="s">
        <v>962</v>
      </c>
      <c r="B452" s="12"/>
      <c r="C452" s="12" t="s">
        <v>53</v>
      </c>
      <c r="D452" s="12"/>
      <c r="E452" s="12">
        <v>44651</v>
      </c>
      <c r="S452" s="8">
        <f t="shared" si="68"/>
        <v>0</v>
      </c>
      <c r="V452" s="7">
        <f>+'St of Net Assets - GA'!O452-'LT _Lia - GA'!U452</f>
        <v>0</v>
      </c>
      <c r="X452" s="7" t="s">
        <v>903</v>
      </c>
      <c r="Z452" s="7" t="str">
        <f t="shared" si="57"/>
        <v>Port Clinton City SD (CASH)</v>
      </c>
      <c r="AA452" s="7" t="str">
        <f>'Gov Fnd Exp'!A452</f>
        <v>Port Clinton City SD (CASH)</v>
      </c>
      <c r="AB452" s="7" t="b">
        <f t="shared" si="58"/>
        <v>1</v>
      </c>
      <c r="AC452" s="7" t="str">
        <f t="shared" si="53"/>
        <v>Ottawa</v>
      </c>
      <c r="AD452" s="7" t="b">
        <f>C452='Gov Fnd Exp'!C452</f>
        <v>1</v>
      </c>
    </row>
    <row r="453" spans="1:30">
      <c r="A453" s="12" t="s">
        <v>499</v>
      </c>
      <c r="B453" s="12"/>
      <c r="C453" s="12" t="s">
        <v>59</v>
      </c>
      <c r="D453" s="12"/>
      <c r="E453" s="12">
        <v>44669</v>
      </c>
      <c r="G453" s="7">
        <f>4000000+49914+9190000+325000+75000+149026+462305-348908</f>
        <v>13902337</v>
      </c>
      <c r="I453" s="7">
        <v>0</v>
      </c>
      <c r="K453" s="7">
        <v>0</v>
      </c>
      <c r="M453" s="7">
        <v>108944</v>
      </c>
      <c r="O453" s="7">
        <v>1503693</v>
      </c>
      <c r="Q453" s="7">
        <v>0</v>
      </c>
      <c r="S453" s="8">
        <f t="shared" si="68"/>
        <v>15514974</v>
      </c>
      <c r="U453" s="7">
        <v>903068</v>
      </c>
      <c r="V453" s="7">
        <f>+'St of Net Assets - GA'!O453-'LT _Lia - GA'!U453</f>
        <v>0</v>
      </c>
      <c r="Z453" s="7" t="str">
        <f t="shared" si="57"/>
        <v>Portsmouth City SD</v>
      </c>
      <c r="AA453" s="7" t="str">
        <f>'Gov Fnd Exp'!A453</f>
        <v>Portsmouth City SD</v>
      </c>
      <c r="AB453" s="7" t="b">
        <f t="shared" si="58"/>
        <v>1</v>
      </c>
      <c r="AC453" s="7" t="str">
        <f t="shared" si="53"/>
        <v>Scioto</v>
      </c>
      <c r="AD453" s="7" t="b">
        <f>C453='Gov Fnd Exp'!C453</f>
        <v>1</v>
      </c>
    </row>
    <row r="454" spans="1:30" hidden="1">
      <c r="A454" s="12" t="s">
        <v>725</v>
      </c>
      <c r="B454" s="12"/>
      <c r="C454" s="12" t="s">
        <v>57</v>
      </c>
      <c r="D454" s="12"/>
      <c r="E454" s="12">
        <v>49288</v>
      </c>
      <c r="S454" s="8">
        <f t="shared" si="68"/>
        <v>0</v>
      </c>
      <c r="V454" s="7">
        <f>+'St of Net Assets - GA'!O454-'LT _Lia - GA'!U454</f>
        <v>0</v>
      </c>
      <c r="X454" s="7" t="s">
        <v>959</v>
      </c>
      <c r="Z454" s="7" t="str">
        <f t="shared" si="57"/>
        <v>Preble Shawnee Local SD (CASH)</v>
      </c>
      <c r="AA454" s="7" t="str">
        <f>'Gov Fnd Exp'!A454</f>
        <v>Preble Shawnee Local SD (CASH)</v>
      </c>
      <c r="AB454" s="7" t="b">
        <f t="shared" si="58"/>
        <v>1</v>
      </c>
      <c r="AC454" s="7" t="str">
        <f t="shared" si="53"/>
        <v>Preble</v>
      </c>
      <c r="AD454" s="7" t="b">
        <f>C454='Gov Fnd Exp'!C454</f>
        <v>1</v>
      </c>
    </row>
    <row r="455" spans="1:30">
      <c r="A455" s="12" t="s">
        <v>337</v>
      </c>
      <c r="B455" s="12"/>
      <c r="C455" s="12" t="s">
        <v>32</v>
      </c>
      <c r="D455" s="12"/>
      <c r="E455" s="12">
        <v>44677</v>
      </c>
      <c r="G455" s="7">
        <f>4505000+91301+70225000+4392990-2262775+119999930+10601743+431805</f>
        <v>207984994</v>
      </c>
      <c r="I455" s="7">
        <v>3506000</v>
      </c>
      <c r="K455" s="7">
        <v>0</v>
      </c>
      <c r="M455" s="7">
        <v>425458</v>
      </c>
      <c r="O455" s="7">
        <v>2988633</v>
      </c>
      <c r="Q455" s="7">
        <v>0</v>
      </c>
      <c r="S455" s="8">
        <f t="shared" si="68"/>
        <v>214905085</v>
      </c>
      <c r="U455" s="7">
        <v>2678986</v>
      </c>
      <c r="V455" s="7">
        <f>+'St of Net Assets - GA'!O455-'LT _Lia - GA'!U455</f>
        <v>0</v>
      </c>
      <c r="Z455" s="7" t="str">
        <f t="shared" si="57"/>
        <v>Princeton City SD</v>
      </c>
      <c r="AA455" s="7" t="str">
        <f>'Gov Fnd Exp'!A455</f>
        <v>Princeton City SD</v>
      </c>
      <c r="AB455" s="7" t="b">
        <f t="shared" si="58"/>
        <v>1</v>
      </c>
      <c r="AC455" s="7" t="str">
        <f t="shared" si="53"/>
        <v>Hamilton</v>
      </c>
      <c r="AD455" s="7" t="b">
        <f>C455='Gov Fnd Exp'!C455</f>
        <v>1</v>
      </c>
    </row>
    <row r="456" spans="1:30" hidden="1">
      <c r="A456" s="12" t="s">
        <v>963</v>
      </c>
      <c r="B456" s="12"/>
      <c r="C456" s="12" t="s">
        <v>53</v>
      </c>
      <c r="D456" s="12"/>
      <c r="E456" s="12"/>
      <c r="S456" s="8">
        <f t="shared" ref="S456" si="69">SUM(G456:R456)</f>
        <v>0</v>
      </c>
      <c r="V456" s="7">
        <f>+'St of Net Assets - GA'!O456-'LT _Lia - GA'!U456</f>
        <v>0</v>
      </c>
      <c r="X456" s="7" t="s">
        <v>964</v>
      </c>
      <c r="Z456" s="7" t="str">
        <f t="shared" ref="Z456" si="70">A456</f>
        <v>Put-in-Bay Local SD (CASH) (Two year Audit)</v>
      </c>
      <c r="AA456" s="7" t="str">
        <f>'Gov Fnd Exp'!A456</f>
        <v>Put-in-Bay Local SD (CASH) (Two year Audit)</v>
      </c>
      <c r="AB456" s="7" t="b">
        <f t="shared" ref="AB456" si="71">Z456=AA456</f>
        <v>1</v>
      </c>
      <c r="AC456" s="7" t="str">
        <f t="shared" ref="AC456" si="72">C456</f>
        <v>Ottawa</v>
      </c>
      <c r="AD456" s="7" t="b">
        <f>C456='Gov Fnd Exp'!C456</f>
        <v>1</v>
      </c>
    </row>
    <row r="457" spans="1:30" hidden="1">
      <c r="A457" s="12" t="s">
        <v>965</v>
      </c>
      <c r="B457" s="12"/>
      <c r="C457" s="12" t="s">
        <v>12</v>
      </c>
      <c r="D457" s="12"/>
      <c r="E457" s="12">
        <v>45880</v>
      </c>
      <c r="S457" s="8">
        <f t="shared" si="68"/>
        <v>0</v>
      </c>
      <c r="V457" s="7">
        <f>+'St of Net Assets - GA'!O457-'LT _Lia - GA'!U457</f>
        <v>0</v>
      </c>
      <c r="X457" s="7" t="s">
        <v>903</v>
      </c>
      <c r="Z457" s="7" t="str">
        <f t="shared" si="57"/>
        <v>Pymatuning Valley Local SD (CASH)</v>
      </c>
      <c r="AA457" s="7" t="str">
        <f>'Gov Fnd Exp'!A457</f>
        <v>Pymatuning Valley Local SD (CASH)</v>
      </c>
      <c r="AB457" s="7" t="b">
        <f t="shared" si="58"/>
        <v>1</v>
      </c>
      <c r="AC457" s="7" t="str">
        <f t="shared" si="53"/>
        <v>Ashtabula</v>
      </c>
      <c r="AD457" s="7" t="b">
        <f>C457='Gov Fnd Exp'!C457</f>
        <v>1</v>
      </c>
    </row>
    <row r="458" spans="1:30" s="32" customFormat="1">
      <c r="A458" s="31" t="s">
        <v>659</v>
      </c>
      <c r="B458" s="31"/>
      <c r="C458" s="31" t="s">
        <v>56</v>
      </c>
      <c r="D458" s="31"/>
      <c r="E458" s="31"/>
      <c r="G458" s="32">
        <v>16227480</v>
      </c>
      <c r="I458" s="32">
        <v>0</v>
      </c>
      <c r="K458" s="32">
        <v>0</v>
      </c>
      <c r="M458" s="32">
        <v>2774013</v>
      </c>
      <c r="O458" s="32">
        <v>2117118</v>
      </c>
      <c r="Q458" s="32">
        <v>0</v>
      </c>
      <c r="S458" s="36">
        <f t="shared" si="68"/>
        <v>21118611</v>
      </c>
      <c r="U458" s="32">
        <v>741660</v>
      </c>
      <c r="V458" s="32">
        <f>+'St of Net Assets - GA'!O458-'LT _Lia - GA'!U458</f>
        <v>0</v>
      </c>
      <c r="Z458" s="32" t="str">
        <f t="shared" si="57"/>
        <v>Ravenna City SD</v>
      </c>
      <c r="AA458" s="32" t="str">
        <f>'Gov Fnd Exp'!A458</f>
        <v>Ravenna City SD</v>
      </c>
      <c r="AB458" s="32" t="b">
        <f t="shared" si="58"/>
        <v>1</v>
      </c>
      <c r="AC458" s="32" t="str">
        <f t="shared" si="53"/>
        <v>Portage</v>
      </c>
      <c r="AD458" s="32" t="b">
        <f>C458='Gov Fnd Exp'!C458</f>
        <v>1</v>
      </c>
    </row>
    <row r="459" spans="1:30">
      <c r="A459" s="12" t="s">
        <v>338</v>
      </c>
      <c r="B459" s="12"/>
      <c r="C459" s="12" t="s">
        <v>32</v>
      </c>
      <c r="D459" s="12"/>
      <c r="E459" s="12">
        <v>44693</v>
      </c>
      <c r="G459" s="7">
        <v>200000</v>
      </c>
      <c r="I459" s="7">
        <v>0</v>
      </c>
      <c r="K459" s="7">
        <v>0</v>
      </c>
      <c r="M459" s="7">
        <v>223903</v>
      </c>
      <c r="O459" s="7">
        <v>1029196</v>
      </c>
      <c r="Q459" s="7">
        <v>0</v>
      </c>
      <c r="S459" s="8">
        <f t="shared" si="68"/>
        <v>1453099</v>
      </c>
      <c r="U459" s="7">
        <v>103227</v>
      </c>
      <c r="V459" s="7">
        <f>+'St of Net Assets - GA'!O459-'LT _Lia - GA'!U459</f>
        <v>0</v>
      </c>
      <c r="X459" s="7" t="s">
        <v>967</v>
      </c>
      <c r="Z459" s="7" t="str">
        <f t="shared" si="57"/>
        <v>Reading Community City SD</v>
      </c>
      <c r="AA459" s="7" t="str">
        <f>'Gov Fnd Exp'!A459</f>
        <v>Reading Community City SD</v>
      </c>
      <c r="AB459" s="7" t="b">
        <f t="shared" si="58"/>
        <v>1</v>
      </c>
      <c r="AC459" s="7" t="str">
        <f t="shared" si="53"/>
        <v>Hamilton</v>
      </c>
      <c r="AD459" s="7" t="b">
        <f>C459='Gov Fnd Exp'!C459</f>
        <v>1</v>
      </c>
    </row>
    <row r="460" spans="1:30">
      <c r="A460" s="12" t="s">
        <v>529</v>
      </c>
      <c r="B460" s="12"/>
      <c r="C460" s="12" t="s">
        <v>63</v>
      </c>
      <c r="D460" s="12"/>
      <c r="E460" s="12">
        <v>50054</v>
      </c>
      <c r="G460" s="7">
        <v>7514092</v>
      </c>
      <c r="I460" s="7">
        <v>0</v>
      </c>
      <c r="K460" s="7">
        <v>0</v>
      </c>
      <c r="M460" s="7">
        <v>0</v>
      </c>
      <c r="O460" s="7">
        <v>2763234</v>
      </c>
      <c r="Q460" s="7">
        <v>0</v>
      </c>
      <c r="S460" s="8">
        <f t="shared" si="68"/>
        <v>10277326</v>
      </c>
      <c r="U460" s="7">
        <v>1588048</v>
      </c>
      <c r="V460" s="7">
        <f>+'St of Net Assets - GA'!O460-'LT _Lia - GA'!U460</f>
        <v>0</v>
      </c>
      <c r="Z460" s="7" t="str">
        <f t="shared" si="57"/>
        <v>Revere Local SD</v>
      </c>
      <c r="AA460" s="7" t="str">
        <f>'Gov Fnd Exp'!A460</f>
        <v>Revere Local SD</v>
      </c>
      <c r="AB460" s="7" t="b">
        <f t="shared" si="58"/>
        <v>1</v>
      </c>
      <c r="AC460" s="7" t="str">
        <f t="shared" si="53"/>
        <v>Summit</v>
      </c>
      <c r="AD460" s="7" t="b">
        <f>C460='Gov Fnd Exp'!C460</f>
        <v>1</v>
      </c>
    </row>
    <row r="461" spans="1:30" hidden="1">
      <c r="A461" s="12" t="s">
        <v>968</v>
      </c>
      <c r="B461" s="12"/>
      <c r="C461" s="12" t="s">
        <v>27</v>
      </c>
      <c r="D461" s="12"/>
      <c r="E461" s="12">
        <v>47001</v>
      </c>
      <c r="S461" s="8">
        <f t="shared" si="68"/>
        <v>0</v>
      </c>
      <c r="V461" s="7">
        <f>+'St of Net Assets - GA'!O461-'LT _Lia - GA'!U461</f>
        <v>0</v>
      </c>
      <c r="X461" s="7" t="s">
        <v>903</v>
      </c>
      <c r="Z461" s="7" t="str">
        <f t="shared" si="57"/>
        <v>Reynoldsburg City SD (CASH)</v>
      </c>
      <c r="AA461" s="7" t="str">
        <f>'Gov Fnd Exp'!A461</f>
        <v>Reynoldsburg City SD (CASH)</v>
      </c>
      <c r="AB461" s="7" t="b">
        <f t="shared" si="58"/>
        <v>1</v>
      </c>
      <c r="AC461" s="7" t="str">
        <f t="shared" si="53"/>
        <v>Franklin</v>
      </c>
      <c r="AD461" s="7" t="b">
        <f>C461='Gov Fnd Exp'!C461</f>
        <v>1</v>
      </c>
    </row>
    <row r="462" spans="1:30">
      <c r="A462" s="12" t="s">
        <v>282</v>
      </c>
      <c r="B462" s="12"/>
      <c r="C462" s="12" t="s">
        <v>20</v>
      </c>
      <c r="D462" s="12"/>
      <c r="E462" s="12">
        <v>46599</v>
      </c>
      <c r="G462" s="7">
        <v>0</v>
      </c>
      <c r="I462" s="7">
        <v>0</v>
      </c>
      <c r="K462" s="7">
        <v>930661</v>
      </c>
      <c r="M462" s="7">
        <v>37175</v>
      </c>
      <c r="O462" s="7">
        <v>292088</v>
      </c>
      <c r="Q462" s="7">
        <v>0</v>
      </c>
      <c r="S462" s="8">
        <f t="shared" si="68"/>
        <v>1259924</v>
      </c>
      <c r="U462" s="7">
        <v>117578</v>
      </c>
      <c r="V462" s="7">
        <f>+'St of Net Assets - GA'!O462-'LT _Lia - GA'!U462</f>
        <v>0</v>
      </c>
      <c r="Z462" s="7" t="str">
        <f t="shared" si="57"/>
        <v>Richmond Heights Local SD</v>
      </c>
      <c r="AA462" s="7" t="str">
        <f>'Gov Fnd Exp'!A462</f>
        <v>Richmond Heights Local SD</v>
      </c>
      <c r="AB462" s="7" t="b">
        <f t="shared" si="58"/>
        <v>1</v>
      </c>
      <c r="AC462" s="7" t="str">
        <f t="shared" si="53"/>
        <v>Cuyahoga</v>
      </c>
      <c r="AD462" s="7" t="b">
        <f>C462='Gov Fnd Exp'!C462</f>
        <v>1</v>
      </c>
    </row>
    <row r="463" spans="1:30">
      <c r="A463" s="12" t="s">
        <v>425</v>
      </c>
      <c r="B463" s="12"/>
      <c r="C463" s="12" t="s">
        <v>46</v>
      </c>
      <c r="D463" s="12"/>
      <c r="E463" s="12">
        <v>48439</v>
      </c>
      <c r="G463" s="7">
        <v>0</v>
      </c>
      <c r="I463" s="7">
        <v>0</v>
      </c>
      <c r="K463" s="7">
        <v>0</v>
      </c>
      <c r="M463" s="7">
        <v>129213</v>
      </c>
      <c r="O463" s="7">
        <v>319365</v>
      </c>
      <c r="Q463" s="7">
        <v>0</v>
      </c>
      <c r="S463" s="8">
        <f t="shared" si="68"/>
        <v>448578</v>
      </c>
      <c r="U463" s="7">
        <v>112952</v>
      </c>
      <c r="V463" s="7">
        <f>+'St of Net Assets - GA'!O463-'LT _Lia - GA'!U463</f>
        <v>0</v>
      </c>
      <c r="Z463" s="7" t="str">
        <f t="shared" si="57"/>
        <v>Ridgedale Local SD</v>
      </c>
      <c r="AA463" s="7" t="str">
        <f>'Gov Fnd Exp'!A463</f>
        <v>Ridgedale Local SD</v>
      </c>
      <c r="AB463" s="7" t="b">
        <f t="shared" si="58"/>
        <v>1</v>
      </c>
      <c r="AC463" s="7" t="str">
        <f t="shared" si="53"/>
        <v>Marion</v>
      </c>
      <c r="AD463" s="7" t="b">
        <f>C463='Gov Fnd Exp'!C463</f>
        <v>1</v>
      </c>
    </row>
    <row r="464" spans="1:30">
      <c r="A464" s="12" t="s">
        <v>752</v>
      </c>
      <c r="B464" s="12"/>
      <c r="C464" s="12" t="s">
        <v>348</v>
      </c>
      <c r="D464" s="12"/>
      <c r="E464" s="12">
        <v>47506</v>
      </c>
      <c r="G464" s="7">
        <f>228186+406670</f>
        <v>634856</v>
      </c>
      <c r="I464" s="7">
        <v>0</v>
      </c>
      <c r="K464" s="7">
        <v>0</v>
      </c>
      <c r="M464" s="7">
        <v>0</v>
      </c>
      <c r="O464" s="7">
        <v>182166</v>
      </c>
      <c r="Q464" s="7">
        <v>0</v>
      </c>
      <c r="S464" s="8">
        <f t="shared" si="68"/>
        <v>817022</v>
      </c>
      <c r="U464" s="7">
        <v>202960</v>
      </c>
      <c r="V464" s="7">
        <f>+'St of Net Assets - GA'!O464-'LT _Lia - GA'!U464</f>
        <v>0</v>
      </c>
      <c r="X464" s="14"/>
      <c r="Z464" s="7" t="str">
        <f t="shared" si="57"/>
        <v xml:space="preserve">Ridgemont Local SD </v>
      </c>
      <c r="AA464" s="7" t="str">
        <f>'Gov Fnd Exp'!A464</f>
        <v xml:space="preserve">Ridgemont Local SD </v>
      </c>
      <c r="AB464" s="7" t="b">
        <f t="shared" si="58"/>
        <v>1</v>
      </c>
      <c r="AC464" s="7" t="str">
        <f t="shared" ref="AC464:AC527" si="73">C464</f>
        <v>Hardin</v>
      </c>
      <c r="AD464" s="7" t="b">
        <f>C464='Gov Fnd Exp'!C464</f>
        <v>1</v>
      </c>
    </row>
    <row r="465" spans="1:30">
      <c r="A465" s="12" t="s">
        <v>260</v>
      </c>
      <c r="B465" s="12"/>
      <c r="C465" s="12" t="s">
        <v>19</v>
      </c>
      <c r="D465" s="12"/>
      <c r="E465" s="12">
        <v>46474</v>
      </c>
      <c r="G465" s="7">
        <f>2719100+201485-153338</f>
        <v>2767247</v>
      </c>
      <c r="I465" s="7">
        <v>0</v>
      </c>
      <c r="K465" s="7">
        <v>0</v>
      </c>
      <c r="M465" s="7">
        <v>217617</v>
      </c>
      <c r="O465" s="7">
        <v>1030725</v>
      </c>
      <c r="Q465" s="7">
        <v>0</v>
      </c>
      <c r="S465" s="8">
        <f t="shared" si="68"/>
        <v>4015589</v>
      </c>
      <c r="U465" s="7">
        <v>292313</v>
      </c>
      <c r="V465" s="7">
        <f>+'St of Net Assets - GA'!O465-'LT _Lia - GA'!U465</f>
        <v>0</v>
      </c>
      <c r="Z465" s="7" t="str">
        <f t="shared" si="57"/>
        <v>Ridgewood Local SD</v>
      </c>
      <c r="AA465" s="7" t="str">
        <f>'Gov Fnd Exp'!A465</f>
        <v>Ridgewood Local SD</v>
      </c>
      <c r="AB465" s="7" t="b">
        <f t="shared" si="58"/>
        <v>1</v>
      </c>
      <c r="AC465" s="7" t="str">
        <f t="shared" si="73"/>
        <v>Coshocton</v>
      </c>
      <c r="AD465" s="7" t="b">
        <f>C465='Gov Fnd Exp'!C465</f>
        <v>1</v>
      </c>
    </row>
    <row r="466" spans="1:30" hidden="1">
      <c r="A466" s="12" t="s">
        <v>969</v>
      </c>
      <c r="B466" s="12"/>
      <c r="C466" s="12" t="s">
        <v>77</v>
      </c>
      <c r="D466" s="12"/>
      <c r="E466" s="12">
        <v>46078</v>
      </c>
      <c r="S466" s="8">
        <f t="shared" si="68"/>
        <v>0</v>
      </c>
      <c r="V466" s="7">
        <f>+'St of Net Assets - GA'!O466-'LT _Lia - GA'!U466</f>
        <v>0</v>
      </c>
      <c r="X466" s="7" t="s">
        <v>903</v>
      </c>
      <c r="Z466" s="7" t="str">
        <f t="shared" si="57"/>
        <v>Ripley Union Lewis Huntington Local SD (CASH)</v>
      </c>
      <c r="AA466" s="7" t="str">
        <f>'Gov Fnd Exp'!A466</f>
        <v>Ripley Union Lewis Huntington Local SD (CASH)</v>
      </c>
      <c r="AB466" s="7" t="b">
        <f t="shared" si="58"/>
        <v>1</v>
      </c>
      <c r="AC466" s="7" t="str">
        <f t="shared" si="73"/>
        <v>Brown</v>
      </c>
      <c r="AD466" s="7" t="b">
        <f>C466='Gov Fnd Exp'!C466</f>
        <v>1</v>
      </c>
    </row>
    <row r="467" spans="1:30" hidden="1">
      <c r="A467" s="12" t="s">
        <v>970</v>
      </c>
      <c r="B467" s="12"/>
      <c r="C467" s="12" t="s">
        <v>71</v>
      </c>
      <c r="D467" s="12"/>
      <c r="E467" s="12">
        <v>45591</v>
      </c>
      <c r="S467" s="8">
        <f t="shared" si="68"/>
        <v>0</v>
      </c>
      <c r="V467" s="7">
        <f>+'St of Net Assets - GA'!O467-'LT _Lia - GA'!U467</f>
        <v>0</v>
      </c>
      <c r="X467" s="7" t="s">
        <v>903</v>
      </c>
      <c r="Z467" s="7" t="str">
        <f t="shared" si="57"/>
        <v>Rittman Exempted Village SD (CASH)</v>
      </c>
      <c r="AA467" s="7" t="str">
        <f>'Gov Fnd Exp'!A467</f>
        <v>Rittman Exempted Village SD (CASH)</v>
      </c>
      <c r="AB467" s="7" t="b">
        <f t="shared" si="58"/>
        <v>1</v>
      </c>
      <c r="AC467" s="7" t="str">
        <f t="shared" si="73"/>
        <v>Wayne</v>
      </c>
      <c r="AD467" s="7" t="b">
        <f>C467='Gov Fnd Exp'!C467</f>
        <v>1</v>
      </c>
    </row>
    <row r="468" spans="1:30">
      <c r="A468" s="12" t="s">
        <v>426</v>
      </c>
      <c r="B468" s="12"/>
      <c r="C468" s="12" t="s">
        <v>46</v>
      </c>
      <c r="D468" s="12"/>
      <c r="E468" s="12">
        <v>48447</v>
      </c>
      <c r="G468" s="7">
        <v>14157954</v>
      </c>
      <c r="I468" s="7">
        <v>0</v>
      </c>
      <c r="K468" s="7">
        <v>0</v>
      </c>
      <c r="M468" s="7">
        <v>0</v>
      </c>
      <c r="O468" s="7">
        <v>772575</v>
      </c>
      <c r="Q468" s="7">
        <v>0</v>
      </c>
      <c r="S468" s="8">
        <f t="shared" si="68"/>
        <v>14930529</v>
      </c>
      <c r="U468" s="7">
        <v>921917</v>
      </c>
      <c r="V468" s="7">
        <f>+'St of Net Assets - GA'!O468-'LT _Lia - GA'!U468</f>
        <v>0</v>
      </c>
      <c r="Z468" s="7" t="str">
        <f t="shared" ref="Z468:Z530" si="74">A468</f>
        <v>River Valley Local SD</v>
      </c>
      <c r="AA468" s="7" t="str">
        <f>'Gov Fnd Exp'!A468</f>
        <v>River Valley Local SD</v>
      </c>
      <c r="AB468" s="7" t="b">
        <f t="shared" si="58"/>
        <v>1</v>
      </c>
      <c r="AC468" s="7" t="str">
        <f t="shared" si="73"/>
        <v>Marion</v>
      </c>
      <c r="AD468" s="7" t="b">
        <f>C468='Gov Fnd Exp'!C468</f>
        <v>1</v>
      </c>
    </row>
    <row r="469" spans="1:30">
      <c r="A469" s="12" t="s">
        <v>261</v>
      </c>
      <c r="B469" s="12"/>
      <c r="C469" s="12" t="s">
        <v>19</v>
      </c>
      <c r="D469" s="12"/>
      <c r="E469" s="12">
        <v>46482</v>
      </c>
      <c r="G469" s="7">
        <v>1238369</v>
      </c>
      <c r="I469" s="7">
        <v>0</v>
      </c>
      <c r="K469" s="7">
        <v>0</v>
      </c>
      <c r="M469" s="7">
        <v>114208</v>
      </c>
      <c r="O469" s="7">
        <v>837560</v>
      </c>
      <c r="Q469" s="7">
        <v>0</v>
      </c>
      <c r="S469" s="8">
        <f t="shared" si="68"/>
        <v>2190137</v>
      </c>
      <c r="U469" s="7">
        <v>202401</v>
      </c>
      <c r="V469" s="7">
        <f>+'St of Net Assets - GA'!O469-'LT _Lia - GA'!U469</f>
        <v>0</v>
      </c>
      <c r="Z469" s="7" t="str">
        <f t="shared" si="74"/>
        <v>River View Local SD</v>
      </c>
      <c r="AA469" s="7" t="str">
        <f>'Gov Fnd Exp'!A469</f>
        <v>River View Local SD</v>
      </c>
      <c r="AB469" s="7" t="b">
        <f t="shared" ref="AB469:AB531" si="75">Z469=AA469</f>
        <v>1</v>
      </c>
      <c r="AC469" s="7" t="str">
        <f t="shared" si="73"/>
        <v>Coshocton</v>
      </c>
      <c r="AD469" s="7" t="b">
        <f>C469='Gov Fnd Exp'!C469</f>
        <v>1</v>
      </c>
    </row>
    <row r="470" spans="1:30" hidden="1">
      <c r="A470" s="12" t="s">
        <v>971</v>
      </c>
      <c r="B470" s="12"/>
      <c r="C470" s="12" t="s">
        <v>348</v>
      </c>
      <c r="D470" s="12"/>
      <c r="E470" s="12">
        <v>47514</v>
      </c>
      <c r="G470" s="7">
        <v>0</v>
      </c>
      <c r="I470" s="7">
        <v>0</v>
      </c>
      <c r="K470" s="7">
        <v>0</v>
      </c>
      <c r="M470" s="7">
        <v>0</v>
      </c>
      <c r="O470" s="7">
        <v>0</v>
      </c>
      <c r="Q470" s="7">
        <v>0</v>
      </c>
      <c r="S470" s="8">
        <f t="shared" si="68"/>
        <v>0</v>
      </c>
      <c r="U470" s="7">
        <v>0</v>
      </c>
      <c r="V470" s="7">
        <f>+'St of Net Assets - GA'!O470-'LT _Lia - GA'!U470</f>
        <v>0</v>
      </c>
      <c r="X470" s="7" t="s">
        <v>912</v>
      </c>
      <c r="Z470" s="7" t="str">
        <f t="shared" si="74"/>
        <v>Riverdale Local SD (CASH)</v>
      </c>
      <c r="AA470" s="7" t="str">
        <f>'Gov Fnd Exp'!A470</f>
        <v>Riverdale Local SD (CASH)</v>
      </c>
      <c r="AB470" s="7" t="b">
        <f t="shared" si="75"/>
        <v>1</v>
      </c>
      <c r="AC470" s="7" t="str">
        <f t="shared" si="73"/>
        <v>Hardin</v>
      </c>
      <c r="AD470" s="7" t="b">
        <f>C470='Gov Fnd Exp'!C470</f>
        <v>1</v>
      </c>
    </row>
    <row r="471" spans="1:30">
      <c r="A471" s="12" t="s">
        <v>391</v>
      </c>
      <c r="B471" s="12"/>
      <c r="C471" s="12" t="s">
        <v>41</v>
      </c>
      <c r="D471" s="12"/>
      <c r="E471" s="12"/>
      <c r="G471" s="7">
        <f>312302+3735628</f>
        <v>4047930</v>
      </c>
      <c r="I471" s="7">
        <v>0</v>
      </c>
      <c r="K471" s="7">
        <v>0</v>
      </c>
      <c r="M471" s="7">
        <v>14207</v>
      </c>
      <c r="O471" s="7">
        <v>1087550</v>
      </c>
      <c r="Q471" s="7">
        <v>0</v>
      </c>
      <c r="S471" s="8">
        <f t="shared" si="68"/>
        <v>5149687</v>
      </c>
      <c r="U471" s="7">
        <v>1130488</v>
      </c>
      <c r="V471" s="7">
        <f>+'St of Net Assets - GA'!O471-'LT _Lia - GA'!U471</f>
        <v>0</v>
      </c>
      <c r="Z471" s="7" t="str">
        <f t="shared" si="74"/>
        <v>Riverside Local SD</v>
      </c>
      <c r="AA471" s="7" t="str">
        <f>'Gov Fnd Exp'!A471</f>
        <v>Riverside Local SD</v>
      </c>
      <c r="AB471" s="7" t="b">
        <f t="shared" si="75"/>
        <v>1</v>
      </c>
      <c r="AC471" s="7" t="str">
        <f t="shared" si="73"/>
        <v>Lake</v>
      </c>
      <c r="AD471" s="7" t="b">
        <f>C471='Gov Fnd Exp'!C471</f>
        <v>1</v>
      </c>
    </row>
    <row r="472" spans="1:30">
      <c r="A472" s="12" t="s">
        <v>391</v>
      </c>
      <c r="B472" s="12"/>
      <c r="C472" s="12" t="s">
        <v>43</v>
      </c>
      <c r="D472" s="12"/>
      <c r="E472" s="12">
        <v>48090</v>
      </c>
      <c r="G472" s="7">
        <f>257300+1590442-127370+170687</f>
        <v>1891059</v>
      </c>
      <c r="I472" s="7">
        <v>0</v>
      </c>
      <c r="K472" s="7">
        <v>0</v>
      </c>
      <c r="M472" s="7">
        <v>0</v>
      </c>
      <c r="O472" s="7">
        <v>602484</v>
      </c>
      <c r="Q472" s="7">
        <v>0</v>
      </c>
      <c r="S472" s="8">
        <f t="shared" si="68"/>
        <v>2493543</v>
      </c>
      <c r="U472" s="7">
        <v>204836</v>
      </c>
      <c r="V472" s="7">
        <f>+'St of Net Assets - GA'!O472-'LT _Lia - GA'!U472</f>
        <v>0</v>
      </c>
      <c r="Z472" s="7" t="str">
        <f t="shared" si="74"/>
        <v>Riverside Local SD</v>
      </c>
      <c r="AA472" s="7" t="str">
        <f>'Gov Fnd Exp'!A472</f>
        <v>Riverside Local SD</v>
      </c>
      <c r="AB472" s="7" t="b">
        <f t="shared" si="75"/>
        <v>1</v>
      </c>
      <c r="AC472" s="7" t="str">
        <f t="shared" si="73"/>
        <v>Logan</v>
      </c>
      <c r="AD472" s="7" t="b">
        <f>C472='Gov Fnd Exp'!C472</f>
        <v>1</v>
      </c>
    </row>
    <row r="473" spans="1:30">
      <c r="A473" s="12" t="s">
        <v>381</v>
      </c>
      <c r="B473" s="12"/>
      <c r="C473" s="12" t="s">
        <v>377</v>
      </c>
      <c r="D473" s="12"/>
      <c r="E473" s="12">
        <v>47944</v>
      </c>
      <c r="G473" s="7">
        <v>0</v>
      </c>
      <c r="I473" s="7">
        <v>0</v>
      </c>
      <c r="K473" s="7">
        <v>0</v>
      </c>
      <c r="M473" s="7">
        <v>0</v>
      </c>
      <c r="O473" s="7">
        <v>1082311</v>
      </c>
      <c r="Q473" s="7">
        <v>0</v>
      </c>
      <c r="S473" s="8">
        <f t="shared" si="68"/>
        <v>1082311</v>
      </c>
      <c r="U473" s="7">
        <v>28542</v>
      </c>
      <c r="V473" s="7">
        <f>+'St of Net Assets - GA'!O473-'LT _Lia - GA'!U473</f>
        <v>0</v>
      </c>
      <c r="Z473" s="7" t="str">
        <f t="shared" si="74"/>
        <v>Rock Hill Local SD</v>
      </c>
      <c r="AA473" s="7" t="str">
        <f>'Gov Fnd Exp'!A473</f>
        <v>Rock Hill Local SD</v>
      </c>
      <c r="AB473" s="7" t="b">
        <f t="shared" si="75"/>
        <v>1</v>
      </c>
      <c r="AC473" s="7" t="str">
        <f t="shared" si="73"/>
        <v>Lawrence</v>
      </c>
      <c r="AD473" s="7" t="b">
        <f>C473='Gov Fnd Exp'!C473</f>
        <v>1</v>
      </c>
    </row>
    <row r="474" spans="1:30">
      <c r="A474" s="12" t="s">
        <v>753</v>
      </c>
      <c r="B474" s="12"/>
      <c r="C474" s="12" t="s">
        <v>20</v>
      </c>
      <c r="D474" s="12"/>
      <c r="E474" s="12">
        <v>44701</v>
      </c>
      <c r="G474" s="7">
        <f>55237640+433711</f>
        <v>55671351</v>
      </c>
      <c r="I474" s="7">
        <v>0</v>
      </c>
      <c r="K474" s="7">
        <v>0</v>
      </c>
      <c r="M474" s="7">
        <v>212619</v>
      </c>
      <c r="O474" s="7">
        <v>5528699</v>
      </c>
      <c r="Q474" s="7">
        <v>0</v>
      </c>
      <c r="S474" s="8">
        <f t="shared" si="68"/>
        <v>61412669</v>
      </c>
      <c r="U474" s="7">
        <v>3631575</v>
      </c>
      <c r="V474" s="7">
        <f>+'St of Net Assets - GA'!O474-'LT _Lia - GA'!U474</f>
        <v>0</v>
      </c>
      <c r="Z474" s="7" t="str">
        <f t="shared" si="74"/>
        <v xml:space="preserve">Rocky River City SD </v>
      </c>
      <c r="AA474" s="7" t="str">
        <f>'Gov Fnd Exp'!A474</f>
        <v xml:space="preserve">Rocky River City SD </v>
      </c>
      <c r="AB474" s="7" t="b">
        <f t="shared" si="75"/>
        <v>1</v>
      </c>
      <c r="AC474" s="7" t="str">
        <f t="shared" si="73"/>
        <v>Cuyahoga</v>
      </c>
      <c r="AD474" s="7" t="b">
        <f>C474='Gov Fnd Exp'!C474</f>
        <v>1</v>
      </c>
    </row>
    <row r="475" spans="1:30">
      <c r="A475" s="12" t="s">
        <v>329</v>
      </c>
      <c r="B475" s="12"/>
      <c r="C475" s="12" t="s">
        <v>31</v>
      </c>
      <c r="D475" s="12"/>
      <c r="E475" s="12">
        <v>47308</v>
      </c>
      <c r="G475" s="7">
        <v>0</v>
      </c>
      <c r="I475" s="7">
        <v>0</v>
      </c>
      <c r="K475" s="7">
        <v>696890</v>
      </c>
      <c r="M475" s="7">
        <v>0</v>
      </c>
      <c r="O475" s="7">
        <v>1015768</v>
      </c>
      <c r="Q475" s="7">
        <v>152000</v>
      </c>
      <c r="S475" s="8">
        <f t="shared" si="68"/>
        <v>1864658</v>
      </c>
      <c r="U475" s="7">
        <v>293825</v>
      </c>
      <c r="V475" s="7">
        <f>+'St of Net Assets - GA'!O475-'LT _Lia - GA'!U475</f>
        <v>0</v>
      </c>
      <c r="Z475" s="7" t="str">
        <f t="shared" si="74"/>
        <v>Rolling Hills Local SD</v>
      </c>
      <c r="AA475" s="7" t="str">
        <f>'Gov Fnd Exp'!A475</f>
        <v>Rolling Hills Local SD</v>
      </c>
      <c r="AB475" s="7" t="b">
        <f t="shared" si="75"/>
        <v>1</v>
      </c>
      <c r="AC475" s="7" t="str">
        <f t="shared" si="73"/>
        <v>Guernsey</v>
      </c>
      <c r="AD475" s="7" t="b">
        <f>C475='Gov Fnd Exp'!C475</f>
        <v>1</v>
      </c>
    </row>
    <row r="476" spans="1:30">
      <c r="A476" s="12" t="s">
        <v>477</v>
      </c>
      <c r="B476" s="12"/>
      <c r="C476" s="12" t="s">
        <v>56</v>
      </c>
      <c r="D476" s="12"/>
      <c r="E476" s="12">
        <v>49213</v>
      </c>
      <c r="G476" s="7">
        <v>0</v>
      </c>
      <c r="I476" s="7">
        <v>0</v>
      </c>
      <c r="K476" s="7">
        <v>0</v>
      </c>
      <c r="M476" s="7">
        <v>0</v>
      </c>
      <c r="O476" s="7">
        <v>704623</v>
      </c>
      <c r="Q476" s="7">
        <v>0</v>
      </c>
      <c r="S476" s="8">
        <f t="shared" si="68"/>
        <v>704623</v>
      </c>
      <c r="U476" s="7">
        <v>177222</v>
      </c>
      <c r="V476" s="7">
        <f>+'St of Net Assets - GA'!O476-'LT _Lia - GA'!U476</f>
        <v>-136357</v>
      </c>
      <c r="X476" s="7" t="s">
        <v>972</v>
      </c>
      <c r="Z476" s="7" t="str">
        <f t="shared" si="74"/>
        <v>Rootstown Local SD</v>
      </c>
      <c r="AA476" s="7" t="str">
        <f>'Gov Fnd Exp'!A476</f>
        <v>Rootstown Local SD</v>
      </c>
      <c r="AB476" s="7" t="b">
        <f t="shared" si="75"/>
        <v>1</v>
      </c>
      <c r="AC476" s="7" t="str">
        <f t="shared" si="73"/>
        <v>Portage</v>
      </c>
      <c r="AD476" s="7" t="b">
        <f>C476='Gov Fnd Exp'!C476</f>
        <v>1</v>
      </c>
    </row>
    <row r="477" spans="1:30">
      <c r="A477" s="12" t="s">
        <v>754</v>
      </c>
      <c r="B477" s="12"/>
      <c r="C477" s="12" t="s">
        <v>223</v>
      </c>
      <c r="D477" s="12"/>
      <c r="E477" s="12">
        <v>46144</v>
      </c>
      <c r="G477" s="7">
        <f>9920000-59015+7440000+1720000+110000+173266+460740-435513</f>
        <v>19329478</v>
      </c>
      <c r="I477" s="7">
        <v>0</v>
      </c>
      <c r="K477" s="7">
        <v>0</v>
      </c>
      <c r="M477" s="7">
        <v>936678</v>
      </c>
      <c r="O477" s="7">
        <v>1018470</v>
      </c>
      <c r="Q477" s="7">
        <v>131962</v>
      </c>
      <c r="S477" s="8">
        <f t="shared" si="68"/>
        <v>21416588</v>
      </c>
      <c r="U477" s="7">
        <v>1210226</v>
      </c>
      <c r="V477" s="7">
        <f>+'St of Net Assets - GA'!O477-'LT _Lia - GA'!U477</f>
        <v>0</v>
      </c>
      <c r="X477" s="14"/>
      <c r="Z477" s="7" t="str">
        <f t="shared" si="74"/>
        <v xml:space="preserve">Ross Local SD </v>
      </c>
      <c r="AA477" s="7" t="str">
        <f>'Gov Fnd Exp'!A477</f>
        <v xml:space="preserve">Ross Local SD </v>
      </c>
      <c r="AB477" s="7" t="b">
        <f t="shared" si="75"/>
        <v>1</v>
      </c>
      <c r="AC477" s="7" t="str">
        <f t="shared" si="73"/>
        <v>Butler</v>
      </c>
      <c r="AD477" s="7" t="b">
        <f>C477='Gov Fnd Exp'!C477</f>
        <v>1</v>
      </c>
    </row>
    <row r="478" spans="1:30">
      <c r="A478" s="12" t="s">
        <v>886</v>
      </c>
      <c r="B478" s="12"/>
      <c r="C478" s="12" t="s">
        <v>72</v>
      </c>
      <c r="D478" s="12"/>
      <c r="E478" s="12">
        <v>45609</v>
      </c>
      <c r="G478" s="7">
        <v>0</v>
      </c>
      <c r="I478" s="7">
        <v>0</v>
      </c>
      <c r="K478" s="7">
        <v>0</v>
      </c>
      <c r="M478" s="7">
        <v>0</v>
      </c>
      <c r="O478" s="7">
        <v>1930603</v>
      </c>
      <c r="Q478" s="7">
        <v>0</v>
      </c>
      <c r="S478" s="8">
        <f t="shared" si="68"/>
        <v>1930603</v>
      </c>
      <c r="U478" s="7">
        <v>201480</v>
      </c>
      <c r="V478" s="7">
        <f>+'St of Net Assets - GA'!O478-'LT _Lia - GA'!U478</f>
        <v>0</v>
      </c>
      <c r="Z478" s="7" t="str">
        <f t="shared" si="74"/>
        <v>Rossford Exempted Village SD</v>
      </c>
      <c r="AA478" s="7" t="str">
        <f>'Gov Fnd Exp'!A478</f>
        <v>Rossford Exempted Village SD</v>
      </c>
      <c r="AB478" s="7" t="b">
        <f t="shared" si="75"/>
        <v>1</v>
      </c>
      <c r="AC478" s="7" t="str">
        <f t="shared" si="73"/>
        <v>Wood</v>
      </c>
      <c r="AD478" s="7" t="b">
        <f>C478='Gov Fnd Exp'!C478</f>
        <v>1</v>
      </c>
    </row>
    <row r="479" spans="1:30">
      <c r="A479" s="12" t="s">
        <v>507</v>
      </c>
      <c r="B479" s="12"/>
      <c r="C479" s="12" t="s">
        <v>61</v>
      </c>
      <c r="D479" s="12"/>
      <c r="E479" s="12">
        <v>49817</v>
      </c>
      <c r="G479" s="7">
        <v>5508935</v>
      </c>
      <c r="I479" s="7">
        <v>0</v>
      </c>
      <c r="K479" s="7">
        <v>0</v>
      </c>
      <c r="M479" s="7">
        <v>0</v>
      </c>
      <c r="O479" s="7">
        <v>228609</v>
      </c>
      <c r="Q479" s="7">
        <v>0</v>
      </c>
      <c r="S479" s="8">
        <f t="shared" si="68"/>
        <v>5737544</v>
      </c>
      <c r="U479" s="7">
        <v>205000</v>
      </c>
      <c r="V479" s="7">
        <f>+'St of Net Assets - GA'!O479-'LT _Lia - GA'!U479</f>
        <v>0</v>
      </c>
      <c r="Z479" s="7" t="str">
        <f t="shared" si="74"/>
        <v>Russia Local SD</v>
      </c>
      <c r="AA479" s="7" t="str">
        <f>'Gov Fnd Exp'!A479</f>
        <v>Russia Local SD</v>
      </c>
      <c r="AB479" s="7" t="b">
        <f t="shared" si="75"/>
        <v>1</v>
      </c>
      <c r="AC479" s="7" t="str">
        <f t="shared" si="73"/>
        <v>Shelby</v>
      </c>
      <c r="AD479" s="7" t="b">
        <f>C479='Gov Fnd Exp'!C479</f>
        <v>1</v>
      </c>
    </row>
    <row r="480" spans="1:30">
      <c r="A480" s="12" t="s">
        <v>632</v>
      </c>
      <c r="B480" s="12"/>
      <c r="C480" s="12" t="s">
        <v>112</v>
      </c>
      <c r="D480" s="12"/>
      <c r="E480" s="12"/>
      <c r="G480" s="7">
        <v>1740000</v>
      </c>
      <c r="I480" s="7">
        <v>0</v>
      </c>
      <c r="K480" s="7">
        <v>0</v>
      </c>
      <c r="M480" s="7">
        <v>0</v>
      </c>
      <c r="O480" s="7">
        <v>1905193</v>
      </c>
      <c r="Q480" s="7">
        <v>0</v>
      </c>
      <c r="S480" s="8">
        <f t="shared" ref="S480:S515" si="76">SUM(G480:R480)</f>
        <v>3645193</v>
      </c>
      <c r="U480" s="7">
        <v>510634</v>
      </c>
      <c r="V480" s="7">
        <f>+'St of Net Assets - GA'!O480-'LT _Lia - GA'!U480</f>
        <v>0</v>
      </c>
      <c r="Z480" s="7" t="str">
        <f t="shared" si="74"/>
        <v>Salem City SD</v>
      </c>
      <c r="AA480" s="7" t="str">
        <f>'Gov Fnd Exp'!A480</f>
        <v>Salem City SD</v>
      </c>
      <c r="AB480" s="7" t="b">
        <f t="shared" si="75"/>
        <v>1</v>
      </c>
      <c r="AC480" s="7" t="str">
        <f t="shared" si="73"/>
        <v>Columbiana</v>
      </c>
      <c r="AD480" s="7" t="b">
        <f>C480='Gov Fnd Exp'!C480</f>
        <v>1</v>
      </c>
    </row>
    <row r="481" spans="1:30">
      <c r="A481" s="12" t="s">
        <v>296</v>
      </c>
      <c r="B481" s="12"/>
      <c r="C481" s="12" t="s">
        <v>24</v>
      </c>
      <c r="D481" s="12"/>
      <c r="E481" s="12">
        <v>44743</v>
      </c>
      <c r="G481" s="7">
        <v>0</v>
      </c>
      <c r="I481" s="7">
        <v>0</v>
      </c>
      <c r="K481" s="7">
        <v>0</v>
      </c>
      <c r="M481" s="7">
        <v>443469</v>
      </c>
      <c r="O481" s="7">
        <v>4639013</v>
      </c>
      <c r="Q481" s="7">
        <v>0</v>
      </c>
      <c r="S481" s="8">
        <f t="shared" si="76"/>
        <v>5082482</v>
      </c>
      <c r="U481" s="7">
        <v>929865</v>
      </c>
      <c r="V481" s="7">
        <f>+'St of Net Assets - GA'!O481-'LT _Lia - GA'!U481</f>
        <v>0</v>
      </c>
      <c r="Z481" s="7" t="str">
        <f t="shared" si="74"/>
        <v>Sandusky City SD</v>
      </c>
      <c r="AA481" s="7" t="str">
        <f>'Gov Fnd Exp'!A481</f>
        <v>Sandusky City SD</v>
      </c>
      <c r="AB481" s="7" t="b">
        <f t="shared" si="75"/>
        <v>1</v>
      </c>
      <c r="AC481" s="7" t="str">
        <f t="shared" si="73"/>
        <v>Erie</v>
      </c>
      <c r="AD481" s="7" t="b">
        <f>C481='Gov Fnd Exp'!C481</f>
        <v>1</v>
      </c>
    </row>
    <row r="482" spans="1:30">
      <c r="A482" s="12" t="s">
        <v>520</v>
      </c>
      <c r="B482" s="12"/>
      <c r="C482" s="12" t="s">
        <v>62</v>
      </c>
      <c r="D482" s="12"/>
      <c r="E482" s="12">
        <v>49940</v>
      </c>
      <c r="G482" s="7">
        <v>11401424</v>
      </c>
      <c r="I482" s="7">
        <v>0</v>
      </c>
      <c r="K482" s="7">
        <v>0</v>
      </c>
      <c r="M482" s="7">
        <v>0</v>
      </c>
      <c r="O482" s="7">
        <v>768935</v>
      </c>
      <c r="Q482" s="7">
        <v>0</v>
      </c>
      <c r="S482" s="8">
        <f t="shared" si="76"/>
        <v>12170359</v>
      </c>
      <c r="U482" s="7">
        <v>567607</v>
      </c>
      <c r="V482" s="7">
        <f>+'St of Net Assets - GA'!O482-'LT _Lia - GA'!U482</f>
        <v>0</v>
      </c>
      <c r="Z482" s="7" t="str">
        <f t="shared" si="74"/>
        <v>Sandy Valley Local SD</v>
      </c>
      <c r="AA482" s="7" t="str">
        <f>'Gov Fnd Exp'!A482</f>
        <v>Sandy Valley Local SD</v>
      </c>
      <c r="AB482" s="7" t="b">
        <f t="shared" si="75"/>
        <v>1</v>
      </c>
      <c r="AC482" s="7" t="str">
        <f t="shared" si="73"/>
        <v>Stark</v>
      </c>
      <c r="AD482" s="7" t="b">
        <f>C482='Gov Fnd Exp'!C482</f>
        <v>1</v>
      </c>
    </row>
    <row r="483" spans="1:30">
      <c r="A483" s="12" t="s">
        <v>471</v>
      </c>
      <c r="B483" s="12"/>
      <c r="C483" s="12" t="s">
        <v>55</v>
      </c>
      <c r="D483" s="12"/>
      <c r="E483" s="12">
        <v>49130</v>
      </c>
      <c r="G483" s="7">
        <v>705000</v>
      </c>
      <c r="I483" s="7">
        <v>0</v>
      </c>
      <c r="K483" s="7">
        <v>0</v>
      </c>
      <c r="M483" s="7">
        <v>989283</v>
      </c>
      <c r="O483" s="7">
        <v>662588</v>
      </c>
      <c r="Q483" s="7">
        <v>0</v>
      </c>
      <c r="S483" s="8">
        <f t="shared" si="76"/>
        <v>2356871</v>
      </c>
      <c r="U483" s="7">
        <v>176425</v>
      </c>
      <c r="V483" s="7">
        <f>+'St of Net Assets - GA'!O483-'LT _Lia - GA'!U483</f>
        <v>0</v>
      </c>
      <c r="Z483" s="7" t="str">
        <f t="shared" si="74"/>
        <v>Scioto Valley Local SD</v>
      </c>
      <c r="AA483" s="7" t="str">
        <f>'Gov Fnd Exp'!A483</f>
        <v>Scioto Valley Local SD</v>
      </c>
      <c r="AB483" s="7" t="b">
        <f t="shared" si="75"/>
        <v>1</v>
      </c>
      <c r="AC483" s="7" t="str">
        <f t="shared" si="73"/>
        <v>Pike</v>
      </c>
      <c r="AD483" s="7" t="b">
        <f>C483='Gov Fnd Exp'!C483</f>
        <v>1</v>
      </c>
    </row>
    <row r="484" spans="1:30">
      <c r="A484" s="12" t="s">
        <v>418</v>
      </c>
      <c r="B484" s="12"/>
      <c r="C484" s="12" t="s">
        <v>45</v>
      </c>
      <c r="D484" s="12"/>
      <c r="E484" s="12">
        <v>48355</v>
      </c>
      <c r="G484" s="7">
        <v>1018761</v>
      </c>
      <c r="I484" s="7">
        <v>0</v>
      </c>
      <c r="K484" s="7">
        <v>0</v>
      </c>
      <c r="M484" s="7">
        <v>0</v>
      </c>
      <c r="O484" s="7">
        <v>390506</v>
      </c>
      <c r="Q484" s="7">
        <v>0</v>
      </c>
      <c r="S484" s="8">
        <f t="shared" si="76"/>
        <v>1409267</v>
      </c>
      <c r="U484" s="7">
        <v>145479</v>
      </c>
      <c r="V484" s="7">
        <f>+'St of Net Assets - GA'!O484-'LT _Lia - GA'!U484</f>
        <v>0</v>
      </c>
      <c r="Z484" s="7" t="str">
        <f t="shared" si="74"/>
        <v>Sebring Local SD</v>
      </c>
      <c r="AA484" s="7" t="str">
        <f>'Gov Fnd Exp'!A484</f>
        <v>Sebring Local SD</v>
      </c>
      <c r="AB484" s="7" t="b">
        <f t="shared" si="75"/>
        <v>1</v>
      </c>
      <c r="AC484" s="7" t="str">
        <f t="shared" si="73"/>
        <v>Mahoning</v>
      </c>
      <c r="AD484" s="7" t="b">
        <f>C484='Gov Fnd Exp'!C484</f>
        <v>1</v>
      </c>
    </row>
    <row r="485" spans="1:30">
      <c r="A485" s="12" t="s">
        <v>502</v>
      </c>
      <c r="B485" s="12"/>
      <c r="C485" s="12" t="s">
        <v>60</v>
      </c>
      <c r="D485" s="12"/>
      <c r="E485" s="12">
        <v>49684</v>
      </c>
      <c r="G485" s="7">
        <v>10577477</v>
      </c>
      <c r="I485" s="7">
        <v>0</v>
      </c>
      <c r="K485" s="7">
        <v>0</v>
      </c>
      <c r="M485" s="7">
        <v>185308</v>
      </c>
      <c r="O485" s="7">
        <v>702472</v>
      </c>
      <c r="Q485" s="7">
        <v>19800</v>
      </c>
      <c r="S485" s="8">
        <f t="shared" si="76"/>
        <v>11485057</v>
      </c>
      <c r="U485" s="7">
        <v>478941</v>
      </c>
      <c r="V485" s="7">
        <f>+'St of Net Assets - GA'!O485-'LT _Lia - GA'!U485</f>
        <v>0</v>
      </c>
      <c r="Z485" s="7" t="str">
        <f t="shared" si="74"/>
        <v>Seneca East Local SD</v>
      </c>
      <c r="AA485" s="7" t="str">
        <f>'Gov Fnd Exp'!A485</f>
        <v>Seneca East Local SD</v>
      </c>
      <c r="AB485" s="7" t="b">
        <f t="shared" si="75"/>
        <v>1</v>
      </c>
      <c r="AC485" s="7" t="str">
        <f t="shared" si="73"/>
        <v>Seneca</v>
      </c>
      <c r="AD485" s="7" t="b">
        <f>C485='Gov Fnd Exp'!C485</f>
        <v>1</v>
      </c>
    </row>
    <row r="486" spans="1:30">
      <c r="A486" s="12" t="s">
        <v>218</v>
      </c>
      <c r="B486" s="12"/>
      <c r="C486" s="12" t="s">
        <v>15</v>
      </c>
      <c r="D486" s="12"/>
      <c r="E486" s="12">
        <v>46003</v>
      </c>
      <c r="G486" s="7">
        <v>0</v>
      </c>
      <c r="I486" s="7">
        <v>0</v>
      </c>
      <c r="K486" s="7">
        <v>36007</v>
      </c>
      <c r="M486" s="7">
        <v>0</v>
      </c>
      <c r="O486" s="7">
        <v>567701</v>
      </c>
      <c r="Q486" s="7">
        <v>0</v>
      </c>
      <c r="S486" s="8">
        <f t="shared" si="76"/>
        <v>603708</v>
      </c>
      <c r="U486" s="7">
        <v>48749</v>
      </c>
      <c r="V486" s="7">
        <f>+'St of Net Assets - GA'!O486-'LT _Lia - GA'!U486</f>
        <v>0</v>
      </c>
      <c r="Z486" s="7" t="str">
        <f t="shared" si="74"/>
        <v>Shadyside Local SD</v>
      </c>
      <c r="AA486" s="7" t="str">
        <f>'Gov Fnd Exp'!A486</f>
        <v>Shadyside Local SD</v>
      </c>
      <c r="AB486" s="7" t="b">
        <f t="shared" si="75"/>
        <v>1</v>
      </c>
      <c r="AC486" s="7" t="str">
        <f t="shared" si="73"/>
        <v>Belmont</v>
      </c>
      <c r="AD486" s="7" t="b">
        <f>C486='Gov Fnd Exp'!C486</f>
        <v>1</v>
      </c>
    </row>
    <row r="487" spans="1:30">
      <c r="A487" s="12" t="s">
        <v>755</v>
      </c>
      <c r="B487" s="12"/>
      <c r="C487" s="12" t="s">
        <v>20</v>
      </c>
      <c r="D487" s="12"/>
      <c r="E487" s="12">
        <v>44750</v>
      </c>
      <c r="G487" s="7">
        <v>24141798</v>
      </c>
      <c r="I487" s="7">
        <v>0</v>
      </c>
      <c r="K487" s="7">
        <v>0</v>
      </c>
      <c r="M487" s="7">
        <v>0</v>
      </c>
      <c r="O487" s="7">
        <v>6651468</v>
      </c>
      <c r="Q487" s="7">
        <v>1895300</v>
      </c>
      <c r="S487" s="8">
        <f t="shared" si="76"/>
        <v>32688566</v>
      </c>
      <c r="U487" s="7">
        <v>3767526</v>
      </c>
      <c r="V487" s="7">
        <f>+'St of Net Assets - GA'!O487-'LT _Lia - GA'!U487</f>
        <v>0</v>
      </c>
      <c r="X487" s="14"/>
      <c r="Z487" s="7" t="str">
        <f t="shared" si="74"/>
        <v xml:space="preserve">Shaker Heights City SD </v>
      </c>
      <c r="AA487" s="7" t="str">
        <f>'Gov Fnd Exp'!A487</f>
        <v xml:space="preserve">Shaker Heights City SD </v>
      </c>
      <c r="AB487" s="7" t="b">
        <f t="shared" si="75"/>
        <v>1</v>
      </c>
      <c r="AC487" s="7" t="str">
        <f t="shared" si="73"/>
        <v>Cuyahoga</v>
      </c>
      <c r="AD487" s="7" t="b">
        <f>C487='Gov Fnd Exp'!C487</f>
        <v>1</v>
      </c>
    </row>
    <row r="488" spans="1:30" hidden="1">
      <c r="A488" s="12" t="s">
        <v>738</v>
      </c>
      <c r="B488" s="12"/>
      <c r="C488" s="12" t="s">
        <v>10</v>
      </c>
      <c r="D488" s="12"/>
      <c r="E488" s="12"/>
      <c r="S488" s="8">
        <f t="shared" si="76"/>
        <v>0</v>
      </c>
      <c r="V488" s="7">
        <f>+'St of Net Assets - GA'!O488-'LT _Lia - GA'!U488</f>
        <v>0</v>
      </c>
      <c r="X488" s="7" t="s">
        <v>973</v>
      </c>
      <c r="Z488" s="7" t="str">
        <f t="shared" si="74"/>
        <v>Shawnee Local SD (CASH)</v>
      </c>
      <c r="AA488" s="7" t="str">
        <f>'Gov Fnd Exp'!A488</f>
        <v>Shawnee Local SD (CASH)</v>
      </c>
      <c r="AB488" s="7" t="b">
        <f t="shared" si="75"/>
        <v>1</v>
      </c>
      <c r="AC488" s="7" t="str">
        <f t="shared" si="73"/>
        <v>Allen</v>
      </c>
      <c r="AD488" s="7" t="b">
        <f>C488='Gov Fnd Exp'!C488</f>
        <v>1</v>
      </c>
    </row>
    <row r="489" spans="1:30">
      <c r="A489" s="12" t="s">
        <v>899</v>
      </c>
      <c r="B489" s="12"/>
      <c r="C489" s="12" t="s">
        <v>44</v>
      </c>
      <c r="D489" s="12"/>
      <c r="E489" s="12">
        <v>44768</v>
      </c>
      <c r="G489" s="7">
        <v>385000</v>
      </c>
      <c r="I489" s="7">
        <v>0</v>
      </c>
      <c r="K489" s="7">
        <v>0</v>
      </c>
      <c r="M489" s="7">
        <v>143098</v>
      </c>
      <c r="O489" s="7">
        <v>1420969</v>
      </c>
      <c r="Q489" s="7">
        <v>0</v>
      </c>
      <c r="S489" s="8">
        <f t="shared" si="76"/>
        <v>1949067</v>
      </c>
      <c r="U489" s="7">
        <v>196271</v>
      </c>
      <c r="V489" s="7">
        <f>+'St of Net Assets - GA'!O489-'LT _Lia - GA'!U489</f>
        <v>0</v>
      </c>
      <c r="Z489" s="7" t="str">
        <f t="shared" si="74"/>
        <v>Sheffield-Sheffield Lake City SD</v>
      </c>
      <c r="AA489" s="7" t="str">
        <f>'Gov Fnd Exp'!A489</f>
        <v>Sheffield-Sheffield Lake City SD</v>
      </c>
      <c r="AB489" s="7" t="b">
        <f t="shared" si="75"/>
        <v>1</v>
      </c>
      <c r="AC489" s="7" t="str">
        <f t="shared" si="73"/>
        <v>Lorain</v>
      </c>
      <c r="AD489" s="7" t="b">
        <f>C489='Gov Fnd Exp'!C489</f>
        <v>1</v>
      </c>
    </row>
    <row r="490" spans="1:30">
      <c r="A490" s="12" t="s">
        <v>487</v>
      </c>
      <c r="B490" s="12"/>
      <c r="C490" s="12" t="s">
        <v>110</v>
      </c>
      <c r="D490" s="12"/>
      <c r="E490" s="12">
        <v>44776</v>
      </c>
      <c r="G490" s="7">
        <f>17024465+210000</f>
        <v>17234465</v>
      </c>
      <c r="I490" s="7">
        <v>0</v>
      </c>
      <c r="K490" s="7">
        <v>0</v>
      </c>
      <c r="M490" s="7">
        <v>108967</v>
      </c>
      <c r="O490" s="7">
        <v>1501188</v>
      </c>
      <c r="Q490" s="7">
        <v>0</v>
      </c>
      <c r="S490" s="8">
        <f t="shared" si="76"/>
        <v>18844620</v>
      </c>
      <c r="U490" s="7">
        <v>559576</v>
      </c>
      <c r="V490" s="7">
        <f>+'St of Net Assets - GA'!O490-'LT _Lia - GA'!U490</f>
        <v>0</v>
      </c>
      <c r="Z490" s="7" t="str">
        <f t="shared" si="74"/>
        <v>Shelby City SD</v>
      </c>
      <c r="AA490" s="7" t="str">
        <f>'Gov Fnd Exp'!A490</f>
        <v>Shelby City SD</v>
      </c>
      <c r="AB490" s="7" t="b">
        <f t="shared" si="75"/>
        <v>1</v>
      </c>
      <c r="AC490" s="7" t="str">
        <f t="shared" si="73"/>
        <v>Richland</v>
      </c>
      <c r="AD490" s="7" t="b">
        <f>C490='Gov Fnd Exp'!C490</f>
        <v>1</v>
      </c>
    </row>
    <row r="491" spans="1:30" hidden="1">
      <c r="A491" s="12" t="s">
        <v>985</v>
      </c>
      <c r="B491" s="12"/>
      <c r="C491" s="12" t="s">
        <v>61</v>
      </c>
      <c r="D491" s="12"/>
      <c r="E491" s="12">
        <v>44784</v>
      </c>
      <c r="S491" s="8">
        <f>SUM(G491:R491)</f>
        <v>0</v>
      </c>
      <c r="V491" s="7">
        <f>+'St of Net Assets - GA'!O491-'LT _Lia - GA'!U491</f>
        <v>0</v>
      </c>
      <c r="X491" s="7" t="s">
        <v>974</v>
      </c>
      <c r="Z491" s="7" t="str">
        <f t="shared" si="74"/>
        <v>Sidney City SD (CASH)</v>
      </c>
      <c r="AA491" s="7" t="str">
        <f>'Gov Fnd Exp'!A491</f>
        <v>Sidney City SD (CASH)</v>
      </c>
      <c r="AB491" s="7" t="b">
        <f t="shared" si="75"/>
        <v>1</v>
      </c>
      <c r="AC491" s="7" t="str">
        <f t="shared" si="73"/>
        <v>Shelby</v>
      </c>
      <c r="AD491" s="7" t="b">
        <f>C491='Gov Fnd Exp'!C491</f>
        <v>1</v>
      </c>
    </row>
    <row r="492" spans="1:30">
      <c r="A492" s="12" t="s">
        <v>283</v>
      </c>
      <c r="B492" s="12"/>
      <c r="C492" s="12" t="s">
        <v>20</v>
      </c>
      <c r="D492" s="12"/>
      <c r="E492" s="12">
        <v>46607</v>
      </c>
      <c r="G492" s="7">
        <v>17853237</v>
      </c>
      <c r="I492" s="7">
        <v>0</v>
      </c>
      <c r="K492" s="7">
        <v>0</v>
      </c>
      <c r="M492" s="7">
        <v>111702</v>
      </c>
      <c r="O492" s="7">
        <v>9310652</v>
      </c>
      <c r="Q492" s="7">
        <v>0</v>
      </c>
      <c r="S492" s="8">
        <f t="shared" si="76"/>
        <v>27275591</v>
      </c>
      <c r="U492" s="7">
        <v>3883397</v>
      </c>
      <c r="V492" s="7">
        <f>+'St of Net Assets - GA'!O492-'LT _Lia - GA'!U492</f>
        <v>0</v>
      </c>
      <c r="Z492" s="7" t="str">
        <f t="shared" si="74"/>
        <v>Solon City SD</v>
      </c>
      <c r="AA492" s="7" t="str">
        <f>'Gov Fnd Exp'!A492</f>
        <v>Solon City SD</v>
      </c>
      <c r="AB492" s="7" t="b">
        <f t="shared" si="75"/>
        <v>1</v>
      </c>
      <c r="AC492" s="7" t="str">
        <f t="shared" si="73"/>
        <v>Cuyahoga</v>
      </c>
      <c r="AD492" s="7" t="b">
        <f>C492='Gov Fnd Exp'!C492</f>
        <v>1</v>
      </c>
    </row>
    <row r="493" spans="1:30">
      <c r="A493" s="12" t="s">
        <v>660</v>
      </c>
      <c r="B493" s="12"/>
      <c r="C493" s="12" t="s">
        <v>37</v>
      </c>
      <c r="D493" s="12"/>
      <c r="E493" s="12"/>
      <c r="G493" s="7">
        <v>998570</v>
      </c>
      <c r="I493" s="7">
        <v>0</v>
      </c>
      <c r="K493" s="7">
        <v>0</v>
      </c>
      <c r="M493" s="7">
        <v>12893</v>
      </c>
      <c r="O493" s="7">
        <v>511126</v>
      </c>
      <c r="Q493" s="7">
        <v>0</v>
      </c>
      <c r="S493" s="8">
        <f t="shared" si="76"/>
        <v>1522589</v>
      </c>
      <c r="U493" s="7">
        <v>184650</v>
      </c>
      <c r="V493" s="7">
        <f>+'St of Net Assets - GA'!O493-'LT _Lia - GA'!U493</f>
        <v>0</v>
      </c>
      <c r="Z493" s="7" t="str">
        <f t="shared" si="74"/>
        <v>South Central Local SD</v>
      </c>
      <c r="AA493" s="7" t="str">
        <f>'Gov Fnd Exp'!A493</f>
        <v>South Central Local SD</v>
      </c>
      <c r="AB493" s="7" t="b">
        <f t="shared" si="75"/>
        <v>1</v>
      </c>
      <c r="AC493" s="7" t="str">
        <f t="shared" si="73"/>
        <v>Huron</v>
      </c>
      <c r="AD493" s="7" t="b">
        <f>C493='Gov Fnd Exp'!C493</f>
        <v>1</v>
      </c>
    </row>
    <row r="494" spans="1:30">
      <c r="A494" s="12" t="s">
        <v>284</v>
      </c>
      <c r="B494" s="12"/>
      <c r="C494" s="12" t="s">
        <v>20</v>
      </c>
      <c r="D494" s="12"/>
      <c r="E494" s="12">
        <v>44792</v>
      </c>
      <c r="G494" s="7">
        <v>6625816</v>
      </c>
      <c r="I494" s="7">
        <v>0</v>
      </c>
      <c r="K494" s="7">
        <v>0</v>
      </c>
      <c r="M494" s="7">
        <v>0</v>
      </c>
      <c r="O494" s="7">
        <v>3621184</v>
      </c>
      <c r="Q494" s="7">
        <v>0</v>
      </c>
      <c r="S494" s="8">
        <f t="shared" si="76"/>
        <v>10247000</v>
      </c>
      <c r="U494" s="7">
        <v>2021348</v>
      </c>
      <c r="V494" s="7">
        <f>+'St of Net Assets - GA'!O494-'LT _Lia - GA'!U494</f>
        <v>0</v>
      </c>
      <c r="Z494" s="7" t="str">
        <f t="shared" si="74"/>
        <v>South Euclid-Lyndhurst City SD</v>
      </c>
      <c r="AA494" s="7" t="str">
        <f>'Gov Fnd Exp'!A494</f>
        <v>South Euclid-Lyndhurst City SD</v>
      </c>
      <c r="AB494" s="7" t="b">
        <f t="shared" si="75"/>
        <v>1</v>
      </c>
      <c r="AC494" s="7" t="str">
        <f t="shared" si="73"/>
        <v>Cuyahoga</v>
      </c>
      <c r="AD494" s="7" t="b">
        <f>C494='Gov Fnd Exp'!C494</f>
        <v>1</v>
      </c>
    </row>
    <row r="495" spans="1:30">
      <c r="A495" s="12" t="s">
        <v>382</v>
      </c>
      <c r="B495" s="12"/>
      <c r="C495" s="12" t="s">
        <v>377</v>
      </c>
      <c r="D495" s="12"/>
      <c r="E495" s="12">
        <v>47951</v>
      </c>
      <c r="G495" s="7">
        <f>600000+7785000+556336+356040+282510</f>
        <v>9579886</v>
      </c>
      <c r="I495" s="7">
        <v>0</v>
      </c>
      <c r="K495" s="7">
        <v>0</v>
      </c>
      <c r="M495" s="7">
        <v>1315671</v>
      </c>
      <c r="O495" s="7">
        <v>1631953</v>
      </c>
      <c r="Q495" s="7">
        <v>0</v>
      </c>
      <c r="S495" s="8">
        <f t="shared" si="76"/>
        <v>12527510</v>
      </c>
      <c r="U495" s="7">
        <v>792706</v>
      </c>
      <c r="V495" s="7">
        <f>+'St of Net Assets - GA'!O495-'LT _Lia - GA'!U495</f>
        <v>0</v>
      </c>
      <c r="Z495" s="7" t="str">
        <f t="shared" si="74"/>
        <v>South Point Local SD</v>
      </c>
      <c r="AA495" s="7" t="str">
        <f>'Gov Fnd Exp'!A495</f>
        <v>South Point Local SD</v>
      </c>
      <c r="AB495" s="7" t="b">
        <f t="shared" si="75"/>
        <v>1</v>
      </c>
      <c r="AC495" s="7" t="str">
        <f t="shared" si="73"/>
        <v>Lawrence</v>
      </c>
      <c r="AD495" s="7" t="b">
        <f>C495='Gov Fnd Exp'!C495</f>
        <v>1</v>
      </c>
    </row>
    <row r="496" spans="1:30">
      <c r="A496" s="12" t="s">
        <v>419</v>
      </c>
      <c r="B496" s="12"/>
      <c r="C496" s="12" t="s">
        <v>45</v>
      </c>
      <c r="D496" s="12"/>
      <c r="E496" s="12">
        <v>48363</v>
      </c>
      <c r="G496" s="7">
        <f>14051394+5355882</f>
        <v>19407276</v>
      </c>
      <c r="I496" s="7">
        <v>0</v>
      </c>
      <c r="K496" s="7">
        <v>0</v>
      </c>
      <c r="M496" s="7">
        <v>32826</v>
      </c>
      <c r="O496" s="7">
        <v>748333</v>
      </c>
      <c r="Q496" s="7">
        <v>0</v>
      </c>
      <c r="S496" s="8">
        <f t="shared" si="76"/>
        <v>20188435</v>
      </c>
      <c r="U496" s="7">
        <v>740807</v>
      </c>
      <c r="V496" s="7">
        <f>+'St of Net Assets - GA'!O496-'LT _Lia - GA'!U496</f>
        <v>0</v>
      </c>
      <c r="Z496" s="7" t="str">
        <f t="shared" si="74"/>
        <v>South Range Local SD</v>
      </c>
      <c r="AA496" s="7" t="str">
        <f>'Gov Fnd Exp'!A496</f>
        <v>South Range Local SD</v>
      </c>
      <c r="AB496" s="7" t="b">
        <f t="shared" si="75"/>
        <v>1</v>
      </c>
      <c r="AC496" s="7" t="str">
        <f t="shared" si="73"/>
        <v>Mahoning</v>
      </c>
      <c r="AD496" s="7" t="b">
        <f>C496='Gov Fnd Exp'!C496</f>
        <v>1</v>
      </c>
    </row>
    <row r="497" spans="1:30">
      <c r="A497" s="12" t="s">
        <v>478</v>
      </c>
      <c r="B497" s="12"/>
      <c r="C497" s="12" t="s">
        <v>56</v>
      </c>
      <c r="D497" s="12"/>
      <c r="E497" s="12">
        <v>49221</v>
      </c>
      <c r="G497" s="7">
        <v>5225780</v>
      </c>
      <c r="I497" s="7">
        <v>0</v>
      </c>
      <c r="K497" s="7">
        <v>0</v>
      </c>
      <c r="M497" s="7">
        <v>18431</v>
      </c>
      <c r="O497" s="7">
        <v>1588240</v>
      </c>
      <c r="Q497" s="7">
        <v>0</v>
      </c>
      <c r="S497" s="8">
        <f t="shared" si="76"/>
        <v>6832451</v>
      </c>
      <c r="U497" s="7">
        <v>417418</v>
      </c>
      <c r="V497" s="7">
        <f>+'St of Net Assets - GA'!O497-'LT _Lia - GA'!U497</f>
        <v>0</v>
      </c>
      <c r="Z497" s="7" t="str">
        <f t="shared" si="74"/>
        <v>Southeast Local SD</v>
      </c>
      <c r="AA497" s="7" t="str">
        <f>'Gov Fnd Exp'!A497</f>
        <v>Southeast Local SD</v>
      </c>
      <c r="AB497" s="7" t="b">
        <f t="shared" si="75"/>
        <v>1</v>
      </c>
      <c r="AC497" s="7" t="str">
        <f t="shared" si="73"/>
        <v>Portage</v>
      </c>
      <c r="AD497" s="7" t="b">
        <f>C497='Gov Fnd Exp'!C497</f>
        <v>1</v>
      </c>
    </row>
    <row r="498" spans="1:30">
      <c r="A498" s="12" t="s">
        <v>478</v>
      </c>
      <c r="B498" s="12"/>
      <c r="C498" s="12" t="s">
        <v>71</v>
      </c>
      <c r="D498" s="12"/>
      <c r="E498" s="12">
        <v>50583</v>
      </c>
      <c r="G498" s="7">
        <v>101974</v>
      </c>
      <c r="I498" s="7">
        <v>0</v>
      </c>
      <c r="K498" s="7">
        <v>0</v>
      </c>
      <c r="M498" s="7">
        <v>0</v>
      </c>
      <c r="O498" s="7">
        <v>761918</v>
      </c>
      <c r="Q498" s="7">
        <v>0</v>
      </c>
      <c r="S498" s="8">
        <f t="shared" si="76"/>
        <v>863892</v>
      </c>
      <c r="U498" s="7">
        <v>247312</v>
      </c>
      <c r="V498" s="7">
        <f>+'St of Net Assets - GA'!O498-'LT _Lia - GA'!U498</f>
        <v>0</v>
      </c>
      <c r="X498" s="7" t="s">
        <v>788</v>
      </c>
      <c r="Z498" s="7" t="str">
        <f t="shared" si="74"/>
        <v>Southeast Local SD</v>
      </c>
      <c r="AA498" s="7" t="str">
        <f>'Gov Fnd Exp'!A498</f>
        <v>Southeast Local SD</v>
      </c>
      <c r="AB498" s="7" t="b">
        <f t="shared" si="75"/>
        <v>1</v>
      </c>
      <c r="AC498" s="7" t="str">
        <f t="shared" si="73"/>
        <v>Wayne</v>
      </c>
      <c r="AD498" s="7" t="b">
        <f>C498='Gov Fnd Exp'!C498</f>
        <v>1</v>
      </c>
    </row>
    <row r="499" spans="1:30">
      <c r="A499" s="12" t="s">
        <v>240</v>
      </c>
      <c r="B499" s="12"/>
      <c r="C499" s="12" t="s">
        <v>17</v>
      </c>
      <c r="D499" s="12"/>
      <c r="E499" s="12">
        <v>46276</v>
      </c>
      <c r="G499" s="7">
        <f>51286+860000</f>
        <v>911286</v>
      </c>
      <c r="I499" s="7">
        <v>0</v>
      </c>
      <c r="K499" s="7">
        <v>300072</v>
      </c>
      <c r="M499" s="7">
        <v>45325</v>
      </c>
      <c r="O499" s="7">
        <v>460066</v>
      </c>
      <c r="Q499" s="7">
        <v>0</v>
      </c>
      <c r="S499" s="8">
        <f t="shared" si="76"/>
        <v>1716749</v>
      </c>
      <c r="U499" s="7">
        <v>223843</v>
      </c>
      <c r="V499" s="7">
        <f>+'St of Net Assets - GA'!O499-'LT _Lia - GA'!U499</f>
        <v>0</v>
      </c>
      <c r="Z499" s="7" t="str">
        <f t="shared" si="74"/>
        <v>Southeastern Local SD</v>
      </c>
      <c r="AA499" s="7" t="str">
        <f>'Gov Fnd Exp'!A499</f>
        <v>Southeastern Local SD</v>
      </c>
      <c r="AB499" s="7" t="b">
        <f t="shared" si="75"/>
        <v>1</v>
      </c>
      <c r="AC499" s="7" t="str">
        <f t="shared" si="73"/>
        <v>Clark</v>
      </c>
      <c r="AD499" s="7" t="b">
        <f>C499='Gov Fnd Exp'!C499</f>
        <v>1</v>
      </c>
    </row>
    <row r="500" spans="1:30">
      <c r="A500" s="12" t="s">
        <v>240</v>
      </c>
      <c r="B500" s="12"/>
      <c r="C500" s="12" t="s">
        <v>58</v>
      </c>
      <c r="D500" s="12"/>
      <c r="E500" s="12">
        <v>49528</v>
      </c>
      <c r="G500" s="7">
        <v>3163771</v>
      </c>
      <c r="I500" s="7">
        <v>0</v>
      </c>
      <c r="K500" s="7">
        <v>0</v>
      </c>
      <c r="M500" s="7">
        <v>0</v>
      </c>
      <c r="O500" s="7">
        <v>427723</v>
      </c>
      <c r="Q500" s="7">
        <v>1313000</v>
      </c>
      <c r="S500" s="8">
        <f t="shared" si="76"/>
        <v>4904494</v>
      </c>
      <c r="U500" s="7">
        <v>312136</v>
      </c>
      <c r="V500" s="7">
        <f>+'St of Net Assets - GA'!O500-'LT _Lia - GA'!U500</f>
        <v>0</v>
      </c>
      <c r="Z500" s="7" t="str">
        <f t="shared" si="74"/>
        <v>Southeastern Local SD</v>
      </c>
      <c r="AA500" s="7" t="str">
        <f>'Gov Fnd Exp'!A500</f>
        <v>Southeastern Local SD</v>
      </c>
      <c r="AB500" s="7" t="b">
        <f t="shared" si="75"/>
        <v>1</v>
      </c>
      <c r="AC500" s="7" t="str">
        <f t="shared" si="73"/>
        <v>Ross</v>
      </c>
      <c r="AD500" s="7" t="b">
        <f>C500='Gov Fnd Exp'!C500</f>
        <v>1</v>
      </c>
    </row>
    <row r="501" spans="1:30">
      <c r="A501" s="12" t="s">
        <v>674</v>
      </c>
      <c r="B501" s="12"/>
      <c r="C501" s="12" t="s">
        <v>112</v>
      </c>
      <c r="D501" s="12"/>
      <c r="E501" s="12">
        <v>46441</v>
      </c>
      <c r="G501" s="7">
        <v>2423566</v>
      </c>
      <c r="I501" s="7">
        <v>0</v>
      </c>
      <c r="K501" s="7">
        <v>0</v>
      </c>
      <c r="M501" s="7">
        <f>29662+117762</f>
        <v>147424</v>
      </c>
      <c r="O501" s="7">
        <v>398275</v>
      </c>
      <c r="Q501" s="7">
        <v>0</v>
      </c>
      <c r="S501" s="8">
        <f>SUM(G501:R501)</f>
        <v>2969265</v>
      </c>
      <c r="U501" s="7">
        <v>243316</v>
      </c>
      <c r="V501" s="7">
        <f>+'St of Net Assets - GA'!O501-'LT _Lia - GA'!U501</f>
        <v>0</v>
      </c>
      <c r="Z501" s="7" t="str">
        <f t="shared" si="74"/>
        <v xml:space="preserve">Southern Local SD </v>
      </c>
      <c r="AA501" s="7" t="str">
        <f>'Gov Fnd Exp'!A501</f>
        <v xml:space="preserve">Southern Local SD </v>
      </c>
      <c r="AB501" s="7" t="b">
        <f t="shared" si="75"/>
        <v>1</v>
      </c>
      <c r="AC501" s="7" t="str">
        <f t="shared" si="73"/>
        <v>Columbiana</v>
      </c>
      <c r="AD501" s="7" t="b">
        <f>C501='Gov Fnd Exp'!C501</f>
        <v>1</v>
      </c>
    </row>
    <row r="502" spans="1:30">
      <c r="A502" s="12" t="s">
        <v>256</v>
      </c>
      <c r="B502" s="12"/>
      <c r="C502" s="12" t="s">
        <v>433</v>
      </c>
      <c r="D502" s="12"/>
      <c r="E502" s="12">
        <v>46441</v>
      </c>
      <c r="G502" s="7">
        <f>7029323-295923</f>
        <v>6733400</v>
      </c>
      <c r="I502" s="7">
        <v>0</v>
      </c>
      <c r="K502" s="7">
        <v>0</v>
      </c>
      <c r="M502" s="7">
        <v>0</v>
      </c>
      <c r="O502" s="7">
        <v>295923</v>
      </c>
      <c r="Q502" s="7">
        <v>0</v>
      </c>
      <c r="S502" s="8">
        <f t="shared" si="76"/>
        <v>7029323</v>
      </c>
      <c r="U502" s="7">
        <v>249907</v>
      </c>
      <c r="V502" s="7">
        <f>+'St of Net Assets - GA'!O502-'LT _Lia - GA'!U502</f>
        <v>0</v>
      </c>
      <c r="Z502" s="7" t="str">
        <f t="shared" si="74"/>
        <v>Southern Local SD</v>
      </c>
      <c r="AA502" s="7" t="str">
        <f>'Gov Fnd Exp'!A502</f>
        <v>Southern Local SD</v>
      </c>
      <c r="AB502" s="7" t="b">
        <f t="shared" si="75"/>
        <v>1</v>
      </c>
      <c r="AC502" s="7" t="str">
        <f t="shared" si="73"/>
        <v>Meigs</v>
      </c>
      <c r="AD502" s="7" t="b">
        <f>C502='Gov Fnd Exp'!C502</f>
        <v>1</v>
      </c>
    </row>
    <row r="503" spans="1:30" hidden="1">
      <c r="A503" s="12" t="s">
        <v>739</v>
      </c>
      <c r="B503" s="12"/>
      <c r="C503" s="12" t="s">
        <v>466</v>
      </c>
      <c r="D503" s="12"/>
      <c r="E503" s="12"/>
      <c r="S503" s="8">
        <f t="shared" si="76"/>
        <v>0</v>
      </c>
      <c r="V503" s="7">
        <f>+'St of Net Assets - GA'!O503-'LT _Lia - GA'!U503</f>
        <v>0</v>
      </c>
      <c r="X503" s="7" t="s">
        <v>789</v>
      </c>
      <c r="Z503" s="7" t="str">
        <f t="shared" si="74"/>
        <v>Southern Local SD (CASH)</v>
      </c>
      <c r="AA503" s="7" t="str">
        <f>'Gov Fnd Exp'!A503</f>
        <v>Southern Local SD (CASH)</v>
      </c>
      <c r="AB503" s="7" t="b">
        <f t="shared" si="75"/>
        <v>1</v>
      </c>
      <c r="AC503" s="7" t="str">
        <f t="shared" si="73"/>
        <v>Perry</v>
      </c>
      <c r="AD503" s="7" t="b">
        <f>C503='Gov Fnd Exp'!C503</f>
        <v>1</v>
      </c>
    </row>
    <row r="504" spans="1:30">
      <c r="A504" s="12" t="s">
        <v>546</v>
      </c>
      <c r="B504" s="12"/>
      <c r="C504" s="12" t="s">
        <v>64</v>
      </c>
      <c r="D504" s="12"/>
      <c r="E504" s="12">
        <v>50237</v>
      </c>
      <c r="G504" s="7">
        <v>7876256</v>
      </c>
      <c r="I504" s="7">
        <v>0</v>
      </c>
      <c r="K504" s="7">
        <v>0</v>
      </c>
      <c r="M504" s="7">
        <v>0</v>
      </c>
      <c r="O504" s="7">
        <v>278264</v>
      </c>
      <c r="Q504" s="7">
        <v>0</v>
      </c>
      <c r="S504" s="8">
        <f t="shared" si="76"/>
        <v>8154520</v>
      </c>
      <c r="U504" s="7">
        <v>288405</v>
      </c>
      <c r="V504" s="7">
        <f>+'St of Net Assets - GA'!O504-'LT _Lia - GA'!U504</f>
        <v>0</v>
      </c>
      <c r="Z504" s="7" t="str">
        <f t="shared" si="74"/>
        <v>Southington Local SD</v>
      </c>
      <c r="AA504" s="7" t="str">
        <f>'Gov Fnd Exp'!A504</f>
        <v>Southington Local SD</v>
      </c>
      <c r="AB504" s="7" t="b">
        <f t="shared" si="75"/>
        <v>1</v>
      </c>
      <c r="AC504" s="7" t="str">
        <f t="shared" si="73"/>
        <v>Trumbull</v>
      </c>
      <c r="AD504" s="7" t="b">
        <f>C504='Gov Fnd Exp'!C504</f>
        <v>1</v>
      </c>
    </row>
    <row r="505" spans="1:30" hidden="1">
      <c r="A505" s="12" t="s">
        <v>975</v>
      </c>
      <c r="B505" s="12"/>
      <c r="C505" s="12" t="s">
        <v>42</v>
      </c>
      <c r="D505" s="12"/>
      <c r="E505" s="12">
        <v>48041</v>
      </c>
      <c r="S505" s="8">
        <f t="shared" si="76"/>
        <v>0</v>
      </c>
      <c r="V505" s="7">
        <f>+'St of Net Assets - GA'!O505-'LT _Lia - GA'!U505</f>
        <v>0</v>
      </c>
      <c r="Z505" s="7" t="str">
        <f t="shared" si="74"/>
        <v>Southwest Licking Local SD  (CASH)</v>
      </c>
      <c r="AA505" s="7" t="str">
        <f>'Gov Fnd Exp'!A505</f>
        <v>Southwest Licking Local SD (CASH)</v>
      </c>
      <c r="AB505" s="7" t="b">
        <f t="shared" si="75"/>
        <v>0</v>
      </c>
      <c r="AC505" s="7" t="str">
        <f t="shared" si="73"/>
        <v>Licking</v>
      </c>
      <c r="AD505" s="7" t="b">
        <f>C505='Gov Fnd Exp'!C505</f>
        <v>1</v>
      </c>
    </row>
    <row r="506" spans="1:30">
      <c r="A506" s="12" t="s">
        <v>339</v>
      </c>
      <c r="B506" s="12"/>
      <c r="C506" s="12" t="s">
        <v>32</v>
      </c>
      <c r="D506" s="12"/>
      <c r="E506" s="12">
        <v>47381</v>
      </c>
      <c r="G506" s="7">
        <v>17846002</v>
      </c>
      <c r="I506" s="7">
        <v>0</v>
      </c>
      <c r="K506" s="7">
        <v>0</v>
      </c>
      <c r="M506" s="7">
        <v>0</v>
      </c>
      <c r="O506" s="7">
        <v>5348563</v>
      </c>
      <c r="Q506" s="7">
        <v>0</v>
      </c>
      <c r="S506" s="8">
        <f t="shared" si="76"/>
        <v>23194565</v>
      </c>
      <c r="U506" s="7">
        <v>1121243</v>
      </c>
      <c r="V506" s="7">
        <f>+'St of Net Assets - GA'!O506-'LT _Lia - GA'!U506</f>
        <v>0</v>
      </c>
      <c r="Z506" s="7" t="str">
        <f t="shared" si="74"/>
        <v>Southwest Local SD</v>
      </c>
      <c r="AA506" s="7" t="str">
        <f>'Gov Fnd Exp'!A506</f>
        <v>Southwest Local SD</v>
      </c>
      <c r="AB506" s="7" t="b">
        <f t="shared" si="75"/>
        <v>1</v>
      </c>
      <c r="AC506" s="7" t="str">
        <f t="shared" si="73"/>
        <v>Hamilton</v>
      </c>
      <c r="AD506" s="7" t="b">
        <f>C506='Gov Fnd Exp'!C506</f>
        <v>1</v>
      </c>
    </row>
    <row r="507" spans="1:30">
      <c r="A507" s="12" t="s">
        <v>313</v>
      </c>
      <c r="B507" s="12"/>
      <c r="C507" s="12" t="s">
        <v>27</v>
      </c>
      <c r="D507" s="12"/>
      <c r="E507" s="12">
        <v>44800</v>
      </c>
      <c r="G507" s="7">
        <f>79586502+8435000</f>
        <v>88021502</v>
      </c>
      <c r="I507" s="7">
        <v>0</v>
      </c>
      <c r="K507" s="7">
        <v>399998</v>
      </c>
      <c r="M507" s="7">
        <v>0</v>
      </c>
      <c r="O507" s="7">
        <v>13316193</v>
      </c>
      <c r="Q507" s="7">
        <v>0</v>
      </c>
      <c r="S507" s="8">
        <f t="shared" si="76"/>
        <v>101737693</v>
      </c>
      <c r="U507" s="7">
        <v>14145413</v>
      </c>
      <c r="V507" s="7">
        <f>+'St of Net Assets - GA'!O507-'LT _Lia - GA'!U507</f>
        <v>0</v>
      </c>
      <c r="Z507" s="7" t="str">
        <f t="shared" si="74"/>
        <v>South-Western City SD</v>
      </c>
      <c r="AA507" s="7" t="str">
        <f>'Gov Fnd Exp'!A507</f>
        <v>South-Western City SD</v>
      </c>
      <c r="AB507" s="7" t="b">
        <f t="shared" si="75"/>
        <v>1</v>
      </c>
      <c r="AC507" s="7" t="str">
        <f t="shared" si="73"/>
        <v>Franklin</v>
      </c>
      <c r="AD507" s="7" t="b">
        <f>C507='Gov Fnd Exp'!C507</f>
        <v>1</v>
      </c>
    </row>
    <row r="508" spans="1:30" hidden="1">
      <c r="A508" s="12" t="s">
        <v>741</v>
      </c>
      <c r="B508" s="12"/>
      <c r="C508" s="12" t="s">
        <v>10</v>
      </c>
      <c r="D508" s="12"/>
      <c r="E508" s="12">
        <v>45807</v>
      </c>
      <c r="F508" s="10"/>
      <c r="S508" s="8">
        <f t="shared" si="76"/>
        <v>0</v>
      </c>
      <c r="V508" s="7">
        <f>+'St of Net Assets - GA'!O508-'LT _Lia - GA'!U508</f>
        <v>0</v>
      </c>
      <c r="X508" s="7" t="s">
        <v>789</v>
      </c>
      <c r="Z508" s="7" t="str">
        <f t="shared" si="74"/>
        <v>Spencerville Local SD (CASH)</v>
      </c>
      <c r="AA508" s="7" t="str">
        <f>'Gov Fnd Exp'!A508</f>
        <v>Spencerville Local SD (CASH)</v>
      </c>
      <c r="AB508" s="7" t="b">
        <f t="shared" si="75"/>
        <v>1</v>
      </c>
      <c r="AC508" s="7" t="str">
        <f t="shared" si="73"/>
        <v>Allen</v>
      </c>
      <c r="AD508" s="7" t="b">
        <f>C508='Gov Fnd Exp'!C508</f>
        <v>1</v>
      </c>
    </row>
    <row r="509" spans="1:30">
      <c r="A509" s="12" t="s">
        <v>1000</v>
      </c>
      <c r="B509" s="12"/>
      <c r="C509" s="12" t="s">
        <v>69</v>
      </c>
      <c r="D509" s="12"/>
      <c r="E509" s="12">
        <v>50427</v>
      </c>
      <c r="G509" s="7">
        <f>96355320-1948145-1120810-14683422-731000</f>
        <v>77871943</v>
      </c>
      <c r="I509" s="7">
        <v>731000</v>
      </c>
      <c r="K509" s="7">
        <v>0</v>
      </c>
      <c r="M509" s="7">
        <v>14683422</v>
      </c>
      <c r="O509" s="7">
        <v>1948145</v>
      </c>
      <c r="Q509" s="7">
        <v>1120810</v>
      </c>
      <c r="S509" s="8">
        <f t="shared" si="76"/>
        <v>96355320</v>
      </c>
      <c r="U509" s="7">
        <v>4250656</v>
      </c>
      <c r="V509" s="7">
        <f>+'St of Net Assets - GA'!O509-'LT _Lia - GA'!U509</f>
        <v>0</v>
      </c>
      <c r="Z509" s="7" t="str">
        <f t="shared" si="74"/>
        <v>Springboro Community City SD</v>
      </c>
      <c r="AA509" s="7" t="str">
        <f>'Gov Fnd Exp'!A509</f>
        <v xml:space="preserve">Springboro Community City SD </v>
      </c>
      <c r="AB509" s="7" t="b">
        <f t="shared" si="75"/>
        <v>0</v>
      </c>
      <c r="AC509" s="7" t="str">
        <f t="shared" si="73"/>
        <v>Warren</v>
      </c>
      <c r="AD509" s="7" t="b">
        <f>C509='Gov Fnd Exp'!C509</f>
        <v>1</v>
      </c>
    </row>
    <row r="510" spans="1:30">
      <c r="A510" s="12" t="s">
        <v>656</v>
      </c>
      <c r="B510" s="12"/>
      <c r="C510" s="12" t="s">
        <v>17</v>
      </c>
      <c r="D510" s="12"/>
      <c r="E510" s="12"/>
      <c r="G510" s="7">
        <f>36603961-985000-3514159-91889</f>
        <v>32012913</v>
      </c>
      <c r="I510" s="7">
        <v>0</v>
      </c>
      <c r="K510" s="7">
        <v>985000</v>
      </c>
      <c r="M510" s="7">
        <v>91889</v>
      </c>
      <c r="O510" s="7">
        <v>3514159</v>
      </c>
      <c r="Q510" s="7">
        <v>0</v>
      </c>
      <c r="S510" s="8">
        <f t="shared" si="76"/>
        <v>36603961</v>
      </c>
      <c r="U510" s="7">
        <v>5207506</v>
      </c>
      <c r="V510" s="7">
        <f>+'St of Net Assets - GA'!O510-'LT _Lia - GA'!U510</f>
        <v>0</v>
      </c>
      <c r="Z510" s="7" t="str">
        <f t="shared" si="74"/>
        <v>Springfield City SD</v>
      </c>
      <c r="AA510" s="7" t="str">
        <f>'Gov Fnd Exp'!A510</f>
        <v>Springfield City SD</v>
      </c>
      <c r="AB510" s="7" t="b">
        <f t="shared" si="75"/>
        <v>1</v>
      </c>
      <c r="AC510" s="7" t="str">
        <f t="shared" si="73"/>
        <v>Clark</v>
      </c>
      <c r="AD510" s="7" t="b">
        <f>C510='Gov Fnd Exp'!C510</f>
        <v>1</v>
      </c>
    </row>
    <row r="511" spans="1:30">
      <c r="A511" s="12" t="s">
        <v>756</v>
      </c>
      <c r="B511" s="12"/>
      <c r="C511" s="12" t="s">
        <v>115</v>
      </c>
      <c r="D511" s="12"/>
      <c r="E511" s="12">
        <v>48223</v>
      </c>
      <c r="G511" s="7">
        <f>16389795-1250000-2149795</f>
        <v>12990000</v>
      </c>
      <c r="I511" s="7">
        <v>0</v>
      </c>
      <c r="K511" s="7">
        <v>1250000</v>
      </c>
      <c r="M511" s="7">
        <v>0</v>
      </c>
      <c r="O511" s="7">
        <v>2149795</v>
      </c>
      <c r="Q511" s="7">
        <v>0</v>
      </c>
      <c r="S511" s="8">
        <f t="shared" si="76"/>
        <v>16389795</v>
      </c>
      <c r="U511" s="7">
        <v>1834795</v>
      </c>
      <c r="V511" s="7">
        <f>+'St of Net Assets - GA'!O511-'LT _Lia - GA'!U511</f>
        <v>0</v>
      </c>
      <c r="Z511" s="7" t="str">
        <f t="shared" si="74"/>
        <v xml:space="preserve">Springfield Local SD </v>
      </c>
      <c r="AA511" s="7" t="str">
        <f>'Gov Fnd Exp'!A511</f>
        <v xml:space="preserve">Springfield Local SD </v>
      </c>
      <c r="AB511" s="7" t="b">
        <f t="shared" si="75"/>
        <v>1</v>
      </c>
      <c r="AC511" s="7" t="str">
        <f t="shared" si="73"/>
        <v>Lucas</v>
      </c>
      <c r="AD511" s="7" t="b">
        <f>C511='Gov Fnd Exp'!C511</f>
        <v>1</v>
      </c>
    </row>
    <row r="512" spans="1:30">
      <c r="A512" s="12" t="s">
        <v>406</v>
      </c>
      <c r="B512" s="12"/>
      <c r="C512" s="12" t="s">
        <v>45</v>
      </c>
      <c r="D512" s="12"/>
      <c r="E512" s="12">
        <v>48371</v>
      </c>
      <c r="G512" s="7">
        <v>632890</v>
      </c>
      <c r="I512" s="7">
        <v>0</v>
      </c>
      <c r="K512" s="7">
        <v>0</v>
      </c>
      <c r="M512" s="7">
        <f>593200+1924</f>
        <v>595124</v>
      </c>
      <c r="O512" s="7">
        <v>960412</v>
      </c>
      <c r="Q512" s="7">
        <v>0</v>
      </c>
      <c r="S512" s="8">
        <f t="shared" si="76"/>
        <v>2188426</v>
      </c>
      <c r="U512" s="7">
        <v>637598</v>
      </c>
      <c r="V512" s="7">
        <f>+'St of Net Assets - GA'!O512-'LT _Lia - GA'!U512</f>
        <v>0</v>
      </c>
      <c r="Z512" s="7" t="str">
        <f t="shared" si="74"/>
        <v>Springfield Local SD</v>
      </c>
      <c r="AA512" s="7" t="str">
        <f>'Gov Fnd Exp'!A512</f>
        <v>Springfield Local SD</v>
      </c>
      <c r="AB512" s="7" t="b">
        <f t="shared" si="75"/>
        <v>1</v>
      </c>
      <c r="AC512" s="7" t="str">
        <f t="shared" si="73"/>
        <v>Mahoning</v>
      </c>
      <c r="AD512" s="7" t="b">
        <f>C512='Gov Fnd Exp'!C512</f>
        <v>1</v>
      </c>
    </row>
    <row r="513" spans="1:30">
      <c r="A513" s="12" t="s">
        <v>406</v>
      </c>
      <c r="B513" s="12"/>
      <c r="C513" s="12" t="s">
        <v>63</v>
      </c>
      <c r="D513" s="12"/>
      <c r="E513" s="12">
        <v>50062</v>
      </c>
      <c r="G513" s="7">
        <v>34253782</v>
      </c>
      <c r="I513" s="7">
        <v>0</v>
      </c>
      <c r="K513" s="7">
        <v>346149</v>
      </c>
      <c r="M513" s="7">
        <v>94900</v>
      </c>
      <c r="O513" s="7">
        <v>1056638</v>
      </c>
      <c r="Q513" s="7">
        <v>0</v>
      </c>
      <c r="S513" s="8">
        <f t="shared" si="76"/>
        <v>35751469</v>
      </c>
      <c r="U513" s="7">
        <v>129177</v>
      </c>
      <c r="V513" s="7">
        <f>+'St of Net Assets - GA'!O513-'LT _Lia - GA'!U513</f>
        <v>0</v>
      </c>
      <c r="Z513" s="7" t="str">
        <f t="shared" si="74"/>
        <v>Springfield Local SD</v>
      </c>
      <c r="AA513" s="7" t="str">
        <f>'Gov Fnd Exp'!A513</f>
        <v>Springfield Local SD</v>
      </c>
      <c r="AB513" s="7" t="b">
        <f t="shared" si="75"/>
        <v>1</v>
      </c>
      <c r="AC513" s="7" t="str">
        <f t="shared" si="73"/>
        <v>Summit</v>
      </c>
      <c r="AD513" s="7" t="b">
        <f>C513='Gov Fnd Exp'!C513</f>
        <v>1</v>
      </c>
    </row>
    <row r="514" spans="1:30">
      <c r="A514" s="12" t="s">
        <v>896</v>
      </c>
      <c r="B514" s="12"/>
      <c r="C514" s="12" t="s">
        <v>32</v>
      </c>
      <c r="D514" s="12"/>
      <c r="E514" s="12">
        <v>44719</v>
      </c>
      <c r="G514" s="7">
        <v>0</v>
      </c>
      <c r="I514" s="7">
        <v>0</v>
      </c>
      <c r="K514" s="7">
        <v>0</v>
      </c>
      <c r="M514" s="7">
        <v>1113000</v>
      </c>
      <c r="O514" s="7">
        <v>1320277</v>
      </c>
      <c r="Q514" s="7">
        <v>0</v>
      </c>
      <c r="S514" s="8">
        <f t="shared" si="76"/>
        <v>2433277</v>
      </c>
      <c r="U514" s="7">
        <v>196994</v>
      </c>
      <c r="V514" s="7">
        <f>+'St of Net Assets - GA'!O514-'LT _Lia - GA'!U514</f>
        <v>0</v>
      </c>
      <c r="Z514" s="7" t="str">
        <f t="shared" si="74"/>
        <v>St. Bernard-Elmwood Place City SD</v>
      </c>
      <c r="AA514" s="7" t="str">
        <f>'Gov Fnd Exp'!A514</f>
        <v>St. Bernard-Elmwood Place City SD</v>
      </c>
      <c r="AB514" s="7" t="b">
        <f t="shared" si="75"/>
        <v>1</v>
      </c>
      <c r="AC514" s="7" t="str">
        <f t="shared" si="73"/>
        <v>Hamilton</v>
      </c>
      <c r="AD514" s="7" t="b">
        <f>C514='Gov Fnd Exp'!C514</f>
        <v>1</v>
      </c>
    </row>
    <row r="515" spans="1:30">
      <c r="A515" s="12" t="s">
        <v>897</v>
      </c>
      <c r="B515" s="12"/>
      <c r="C515" s="12" t="s">
        <v>15</v>
      </c>
      <c r="D515" s="12"/>
      <c r="E515" s="12">
        <v>45997</v>
      </c>
      <c r="G515" s="7">
        <v>2578132</v>
      </c>
      <c r="I515" s="7">
        <v>190090</v>
      </c>
      <c r="K515" s="7">
        <v>0</v>
      </c>
      <c r="M515" s="7">
        <v>71307</v>
      </c>
      <c r="O515" s="7">
        <v>657701</v>
      </c>
      <c r="Q515" s="7">
        <v>0</v>
      </c>
      <c r="S515" s="8">
        <f t="shared" si="76"/>
        <v>3497230</v>
      </c>
      <c r="U515" s="7">
        <v>1018191</v>
      </c>
      <c r="V515" s="7">
        <f>+'St of Net Assets - GA'!O515-'LT _Lia - GA'!U515</f>
        <v>0</v>
      </c>
      <c r="Z515" s="7" t="str">
        <f t="shared" si="74"/>
        <v>St. Clairsville-Richland City SD</v>
      </c>
      <c r="AA515" s="7" t="str">
        <f>'Gov Fnd Exp'!A515</f>
        <v>St. Clairsville-Richland City SD</v>
      </c>
      <c r="AB515" s="7" t="b">
        <f t="shared" si="75"/>
        <v>1</v>
      </c>
      <c r="AC515" s="7" t="str">
        <f t="shared" si="73"/>
        <v>Belmont</v>
      </c>
      <c r="AD515" s="7" t="b">
        <f>C515='Gov Fnd Exp'!C515</f>
        <v>1</v>
      </c>
    </row>
    <row r="516" spans="1:30" ht="12" hidden="1" customHeight="1">
      <c r="A516" s="12" t="s">
        <v>742</v>
      </c>
      <c r="B516" s="12"/>
      <c r="C516" s="12" t="s">
        <v>435</v>
      </c>
      <c r="D516" s="12"/>
      <c r="E516" s="12">
        <v>48587</v>
      </c>
      <c r="S516" s="8">
        <f>SUM(G516:R516)</f>
        <v>0</v>
      </c>
      <c r="V516" s="7">
        <f>+'St of Net Assets - GA'!O516-'LT _Lia - GA'!U516</f>
        <v>0</v>
      </c>
      <c r="X516" s="7" t="s">
        <v>789</v>
      </c>
      <c r="Z516" s="7" t="str">
        <f t="shared" si="74"/>
        <v>St Henry Consolidated Local SD (CASH)</v>
      </c>
      <c r="AA516" s="7" t="str">
        <f>'Gov Fnd Exp'!A516</f>
        <v>St Henry Consolidated Local SD (CASH)</v>
      </c>
      <c r="AB516" s="7" t="b">
        <f t="shared" si="75"/>
        <v>1</v>
      </c>
      <c r="AC516" s="7" t="str">
        <f t="shared" si="73"/>
        <v>Mercer</v>
      </c>
      <c r="AD516" s="7" t="b">
        <f>C516='Gov Fnd Exp'!C516</f>
        <v>1</v>
      </c>
    </row>
    <row r="517" spans="1:30" hidden="1">
      <c r="A517" s="12" t="s">
        <v>743</v>
      </c>
      <c r="B517" s="12"/>
      <c r="C517" s="12" t="s">
        <v>14</v>
      </c>
      <c r="D517" s="12"/>
      <c r="E517" s="12">
        <v>44727</v>
      </c>
      <c r="S517" s="8">
        <f>SUM(G517:R517)</f>
        <v>0</v>
      </c>
      <c r="V517" s="7">
        <f>+'St of Net Assets - GA'!O517-'LT _Lia - GA'!U517</f>
        <v>0</v>
      </c>
      <c r="X517" s="7" t="s">
        <v>789</v>
      </c>
      <c r="Z517" s="7" t="str">
        <f t="shared" si="74"/>
        <v>St Marys City SD (CASH)</v>
      </c>
      <c r="AA517" s="7" t="str">
        <f>'Gov Fnd Exp'!A517</f>
        <v>St Marys City SD (CASH)</v>
      </c>
      <c r="AB517" s="7" t="b">
        <f t="shared" si="75"/>
        <v>1</v>
      </c>
      <c r="AC517" s="7" t="str">
        <f t="shared" si="73"/>
        <v>Auglaize</v>
      </c>
      <c r="AD517" s="7" t="b">
        <f>C517='Gov Fnd Exp'!C517</f>
        <v>1</v>
      </c>
    </row>
    <row r="518" spans="1:30">
      <c r="A518" s="12" t="s">
        <v>374</v>
      </c>
      <c r="B518" s="12"/>
      <c r="C518" s="12" t="s">
        <v>39</v>
      </c>
      <c r="D518" s="12"/>
      <c r="E518" s="12">
        <v>44826</v>
      </c>
      <c r="G518" s="7">
        <v>11258174</v>
      </c>
      <c r="I518" s="7">
        <v>0</v>
      </c>
      <c r="K518" s="7">
        <v>0</v>
      </c>
      <c r="M518" s="7">
        <v>0</v>
      </c>
      <c r="O518" s="7">
        <v>1140944</v>
      </c>
      <c r="Q518" s="7">
        <v>0</v>
      </c>
      <c r="S518" s="8">
        <f>SUM(G518:R518)</f>
        <v>12399118</v>
      </c>
      <c r="U518" s="7">
        <v>953786</v>
      </c>
      <c r="V518" s="7">
        <f>+'St of Net Assets - GA'!O518-'LT _Lia - GA'!U518</f>
        <v>0</v>
      </c>
      <c r="Z518" s="7" t="str">
        <f t="shared" si="74"/>
        <v>Steubenville City SD</v>
      </c>
      <c r="AA518" s="7" t="str">
        <f>'Gov Fnd Exp'!A518</f>
        <v>Steubenville City SD</v>
      </c>
      <c r="AB518" s="7" t="b">
        <f t="shared" si="75"/>
        <v>1</v>
      </c>
      <c r="AC518" s="7" t="str">
        <f t="shared" si="73"/>
        <v>Jefferson</v>
      </c>
      <c r="AD518" s="7" t="b">
        <f>C518='Gov Fnd Exp'!C518</f>
        <v>1</v>
      </c>
    </row>
    <row r="519" spans="1:30">
      <c r="A519" s="12" t="s">
        <v>530</v>
      </c>
      <c r="B519" s="12"/>
      <c r="C519" s="12" t="s">
        <v>63</v>
      </c>
      <c r="D519" s="12"/>
      <c r="E519" s="12">
        <v>44834</v>
      </c>
      <c r="G519" s="7">
        <v>2885000</v>
      </c>
      <c r="I519" s="7">
        <v>0</v>
      </c>
      <c r="K519" s="7">
        <v>0</v>
      </c>
      <c r="M519" s="7">
        <v>0</v>
      </c>
      <c r="O519" s="7">
        <v>4266799</v>
      </c>
      <c r="Q519" s="7">
        <v>0</v>
      </c>
      <c r="S519" s="8">
        <f t="shared" ref="S519:S529" si="77">SUM(G519:R519)</f>
        <v>7151799</v>
      </c>
      <c r="U519" s="7">
        <v>724560</v>
      </c>
      <c r="V519" s="7">
        <f>+'St of Net Assets - GA'!O519-'LT _Lia - GA'!U519</f>
        <v>0</v>
      </c>
      <c r="Z519" s="7" t="str">
        <f t="shared" si="74"/>
        <v>Stow-Munroe Falls City SD</v>
      </c>
      <c r="AA519" s="7" t="str">
        <f>'Gov Fnd Exp'!A519</f>
        <v>Stow-Munroe Falls City SD</v>
      </c>
      <c r="AB519" s="7" t="b">
        <f t="shared" si="75"/>
        <v>1</v>
      </c>
      <c r="AC519" s="7" t="str">
        <f t="shared" si="73"/>
        <v>Summit</v>
      </c>
      <c r="AD519" s="7" t="b">
        <f>C519='Gov Fnd Exp'!C519</f>
        <v>1</v>
      </c>
    </row>
    <row r="520" spans="1:30" ht="12" hidden="1" customHeight="1">
      <c r="A520" s="12" t="s">
        <v>744</v>
      </c>
      <c r="B520" s="12"/>
      <c r="C520" s="12" t="s">
        <v>65</v>
      </c>
      <c r="D520" s="12"/>
      <c r="E520" s="12">
        <v>50294</v>
      </c>
      <c r="S520" s="8">
        <f t="shared" si="77"/>
        <v>0</v>
      </c>
      <c r="V520" s="7">
        <f>+'St of Net Assets - GA'!O520-'LT _Lia - GA'!U520</f>
        <v>0</v>
      </c>
      <c r="X520" s="7" t="s">
        <v>792</v>
      </c>
      <c r="Z520" s="7" t="str">
        <f t="shared" si="74"/>
        <v>Strasburg-Franklin Local SD (CASH)</v>
      </c>
      <c r="AA520" s="7" t="str">
        <f>'Gov Fnd Exp'!A520</f>
        <v>Strasburg-Franklin Local SD (CASH)</v>
      </c>
      <c r="AB520" s="7" t="b">
        <f t="shared" si="75"/>
        <v>1</v>
      </c>
      <c r="AC520" s="7" t="str">
        <f t="shared" si="73"/>
        <v>Tuscarawas</v>
      </c>
      <c r="AD520" s="7" t="b">
        <f>C520='Gov Fnd Exp'!C520</f>
        <v>1</v>
      </c>
    </row>
    <row r="521" spans="1:30">
      <c r="A521" s="12" t="s">
        <v>479</v>
      </c>
      <c r="B521" s="12"/>
      <c r="C521" s="12" t="s">
        <v>56</v>
      </c>
      <c r="D521" s="12"/>
      <c r="E521" s="12">
        <v>49239</v>
      </c>
      <c r="G521" s="7">
        <v>11600654</v>
      </c>
      <c r="I521" s="7">
        <v>0</v>
      </c>
      <c r="K521" s="7">
        <v>260000</v>
      </c>
      <c r="M521" s="7">
        <v>0</v>
      </c>
      <c r="O521" s="7">
        <v>980472</v>
      </c>
      <c r="Q521" s="7">
        <f>442794+3355+110000+805000</f>
        <v>1361149</v>
      </c>
      <c r="S521" s="8">
        <f t="shared" si="77"/>
        <v>14202275</v>
      </c>
      <c r="U521" s="7">
        <v>1130132</v>
      </c>
      <c r="V521" s="7">
        <f>+'St of Net Assets - GA'!O521-'LT _Lia - GA'!U521</f>
        <v>0</v>
      </c>
      <c r="Z521" s="7" t="str">
        <f t="shared" si="74"/>
        <v>Streetsboro City SD</v>
      </c>
      <c r="AA521" s="7" t="str">
        <f>'Gov Fnd Exp'!A521</f>
        <v>Streetsboro City SD</v>
      </c>
      <c r="AB521" s="7" t="b">
        <f t="shared" si="75"/>
        <v>1</v>
      </c>
      <c r="AC521" s="7" t="str">
        <f t="shared" si="73"/>
        <v>Portage</v>
      </c>
      <c r="AD521" s="7" t="b">
        <f>C521='Gov Fnd Exp'!C521</f>
        <v>1</v>
      </c>
    </row>
    <row r="522" spans="1:30">
      <c r="A522" s="12" t="s">
        <v>285</v>
      </c>
      <c r="B522" s="12"/>
      <c r="C522" s="12" t="s">
        <v>20</v>
      </c>
      <c r="D522" s="12"/>
      <c r="E522" s="12">
        <v>44842</v>
      </c>
      <c r="G522" s="7">
        <v>11360763</v>
      </c>
      <c r="I522" s="7">
        <v>0</v>
      </c>
      <c r="K522" s="7">
        <v>0</v>
      </c>
      <c r="M522" s="7">
        <v>237903</v>
      </c>
      <c r="O522" s="7">
        <v>10163296</v>
      </c>
      <c r="Q522" s="7">
        <v>4840000</v>
      </c>
      <c r="S522" s="8">
        <f t="shared" si="77"/>
        <v>26601962</v>
      </c>
      <c r="U522" s="7">
        <v>6046785</v>
      </c>
      <c r="V522" s="7">
        <f>+'St of Net Assets - GA'!O522-'LT _Lia - GA'!U522</f>
        <v>0</v>
      </c>
      <c r="Z522" s="7" t="str">
        <f t="shared" si="74"/>
        <v>Strongsville City SD</v>
      </c>
      <c r="AA522" s="7" t="str">
        <f>'Gov Fnd Exp'!A522</f>
        <v>Strongsville City SD</v>
      </c>
      <c r="AB522" s="7" t="b">
        <f t="shared" si="75"/>
        <v>1</v>
      </c>
      <c r="AC522" s="7" t="str">
        <f t="shared" si="73"/>
        <v>Cuyahoga</v>
      </c>
      <c r="AD522" s="7" t="b">
        <f>C522='Gov Fnd Exp'!C522</f>
        <v>1</v>
      </c>
    </row>
    <row r="523" spans="1:30">
      <c r="A523" s="12" t="s">
        <v>420</v>
      </c>
      <c r="B523" s="12"/>
      <c r="C523" s="12" t="s">
        <v>45</v>
      </c>
      <c r="D523" s="12"/>
      <c r="E523" s="12">
        <v>44859</v>
      </c>
      <c r="G523" s="7">
        <v>3918379</v>
      </c>
      <c r="I523" s="7">
        <v>0</v>
      </c>
      <c r="K523" s="7">
        <v>101000</v>
      </c>
      <c r="M523" s="7">
        <v>0</v>
      </c>
      <c r="O523" s="7">
        <v>1294524</v>
      </c>
      <c r="Q523" s="7">
        <v>0</v>
      </c>
      <c r="S523" s="8">
        <f t="shared" si="77"/>
        <v>5313903</v>
      </c>
      <c r="U523" s="7">
        <v>744308</v>
      </c>
      <c r="V523" s="7">
        <f>+'St of Net Assets - GA'!O523-'LT _Lia - GA'!U523</f>
        <v>0</v>
      </c>
      <c r="Z523" s="7" t="str">
        <f t="shared" si="74"/>
        <v>Struthers City SD</v>
      </c>
      <c r="AA523" s="7" t="str">
        <f>'Gov Fnd Exp'!A523</f>
        <v>Struthers City SD</v>
      </c>
      <c r="AB523" s="7" t="b">
        <f t="shared" si="75"/>
        <v>1</v>
      </c>
      <c r="AC523" s="7" t="str">
        <f t="shared" si="73"/>
        <v>Mahoning</v>
      </c>
      <c r="AD523" s="7" t="b">
        <f>C523='Gov Fnd Exp'!C523</f>
        <v>1</v>
      </c>
    </row>
    <row r="524" spans="1:30">
      <c r="A524" s="12" t="s">
        <v>571</v>
      </c>
      <c r="B524" s="12"/>
      <c r="C524" s="12" t="s">
        <v>570</v>
      </c>
      <c r="D524" s="12"/>
      <c r="E524" s="12">
        <v>50658</v>
      </c>
      <c r="G524" s="7">
        <f>120000+3695000+145000+88920+135000+1215000+65000+63920</f>
        <v>5527840</v>
      </c>
      <c r="I524" s="7">
        <v>0</v>
      </c>
      <c r="K524" s="7">
        <v>34733</v>
      </c>
      <c r="M524" s="7">
        <v>18338</v>
      </c>
      <c r="O524" s="7">
        <v>279424</v>
      </c>
      <c r="Q524" s="7">
        <v>0</v>
      </c>
      <c r="S524" s="8">
        <f t="shared" si="77"/>
        <v>5860335</v>
      </c>
      <c r="U524" s="7">
        <v>225341</v>
      </c>
      <c r="V524" s="7">
        <f>+'St of Net Assets - GA'!O524-'LT _Lia - GA'!U524</f>
        <v>0</v>
      </c>
      <c r="X524" s="7" t="s">
        <v>788</v>
      </c>
      <c r="Z524" s="7" t="str">
        <f t="shared" si="74"/>
        <v>Stryker Local SD</v>
      </c>
      <c r="AA524" s="7" t="str">
        <f>'Gov Fnd Exp'!A524</f>
        <v>Stryker Local SD</v>
      </c>
      <c r="AB524" s="7" t="b">
        <f t="shared" si="75"/>
        <v>1</v>
      </c>
      <c r="AC524" s="7" t="str">
        <f t="shared" si="73"/>
        <v>Williams</v>
      </c>
      <c r="AD524" s="7" t="b">
        <f>C524='Gov Fnd Exp'!C524</f>
        <v>1</v>
      </c>
    </row>
    <row r="525" spans="1:30">
      <c r="A525" s="12" t="s">
        <v>319</v>
      </c>
      <c r="B525" s="12"/>
      <c r="C525" s="12" t="s">
        <v>28</v>
      </c>
      <c r="D525" s="12"/>
      <c r="E525" s="12">
        <v>47092</v>
      </c>
      <c r="G525" s="7">
        <v>11607444</v>
      </c>
      <c r="I525" s="7">
        <v>0</v>
      </c>
      <c r="K525" s="7">
        <v>0</v>
      </c>
      <c r="M525" s="7">
        <v>0</v>
      </c>
      <c r="O525" s="7">
        <v>533114</v>
      </c>
      <c r="Q525" s="7">
        <v>0</v>
      </c>
      <c r="S525" s="8">
        <f t="shared" si="77"/>
        <v>12140558</v>
      </c>
      <c r="U525" s="7">
        <v>1170632</v>
      </c>
      <c r="V525" s="7">
        <f>+'St of Net Assets - GA'!O525-'LT _Lia - GA'!U525</f>
        <v>0</v>
      </c>
      <c r="Z525" s="7" t="str">
        <f t="shared" si="74"/>
        <v>Swanton Local SD</v>
      </c>
      <c r="AA525" s="7" t="str">
        <f>'Gov Fnd Exp'!A525</f>
        <v>Swanton Local SD</v>
      </c>
      <c r="AB525" s="7" t="b">
        <f t="shared" si="75"/>
        <v>1</v>
      </c>
      <c r="AC525" s="7" t="str">
        <f t="shared" si="73"/>
        <v>Fulton</v>
      </c>
      <c r="AD525" s="7" t="b">
        <f>C525='Gov Fnd Exp'!C525</f>
        <v>1</v>
      </c>
    </row>
    <row r="526" spans="1:30">
      <c r="A526" s="12" t="s">
        <v>655</v>
      </c>
      <c r="B526" s="12"/>
      <c r="C526" s="12" t="s">
        <v>49</v>
      </c>
      <c r="D526" s="12"/>
      <c r="E526" s="12">
        <v>48652</v>
      </c>
      <c r="G526" s="7">
        <v>35675279</v>
      </c>
      <c r="I526" s="7">
        <v>0</v>
      </c>
      <c r="K526" s="7">
        <v>0</v>
      </c>
      <c r="M526" s="7">
        <v>0</v>
      </c>
      <c r="O526" s="7">
        <v>662042</v>
      </c>
      <c r="Q526" s="7">
        <v>0</v>
      </c>
      <c r="S526" s="8">
        <f t="shared" si="77"/>
        <v>36337321</v>
      </c>
      <c r="U526" s="7">
        <v>482640</v>
      </c>
      <c r="V526" s="7">
        <f>+'St of Net Assets - GA'!O526-'LT _Lia - GA'!U526</f>
        <v>0</v>
      </c>
      <c r="Z526" s="7" t="str">
        <f t="shared" si="74"/>
        <v>Switzerland of Ohio Local SD</v>
      </c>
      <c r="AA526" s="7" t="str">
        <f>'Gov Fnd Exp'!A526</f>
        <v>Switzerland of Ohio Local SD</v>
      </c>
      <c r="AB526" s="7" t="b">
        <f t="shared" si="75"/>
        <v>1</v>
      </c>
      <c r="AC526" s="7" t="str">
        <f t="shared" si="73"/>
        <v>Monroe</v>
      </c>
      <c r="AD526" s="7" t="b">
        <f>C526='Gov Fnd Exp'!C526</f>
        <v>1</v>
      </c>
    </row>
    <row r="527" spans="1:30" hidden="1">
      <c r="A527" s="12" t="s">
        <v>340</v>
      </c>
      <c r="B527" s="12"/>
      <c r="C527" s="12" t="s">
        <v>32</v>
      </c>
      <c r="D527" s="12"/>
      <c r="E527" s="12">
        <v>44867</v>
      </c>
      <c r="S527" s="8">
        <f t="shared" si="77"/>
        <v>0</v>
      </c>
      <c r="V527" s="7">
        <f>+'St of Net Assets - GA'!O527-'LT _Lia - GA'!U527</f>
        <v>0</v>
      </c>
      <c r="X527" s="7" t="s">
        <v>793</v>
      </c>
      <c r="Z527" s="7" t="str">
        <f t="shared" si="74"/>
        <v>Sycamore Community City SD</v>
      </c>
      <c r="AA527" s="7" t="str">
        <f>'Gov Fnd Exp'!A527</f>
        <v>Sycamore Community City SD</v>
      </c>
      <c r="AB527" s="7" t="b">
        <f t="shared" si="75"/>
        <v>1</v>
      </c>
      <c r="AC527" s="7" t="str">
        <f t="shared" si="73"/>
        <v>Hamilton</v>
      </c>
      <c r="AD527" s="7" t="b">
        <f>C527='Gov Fnd Exp'!C527</f>
        <v>1</v>
      </c>
    </row>
    <row r="528" spans="1:30">
      <c r="A528" s="12" t="s">
        <v>407</v>
      </c>
      <c r="B528" s="12"/>
      <c r="C528" s="12" t="s">
        <v>115</v>
      </c>
      <c r="D528" s="12"/>
      <c r="E528" s="12">
        <v>44875</v>
      </c>
      <c r="G528" s="7">
        <v>99668633</v>
      </c>
      <c r="I528" s="7">
        <v>0</v>
      </c>
      <c r="K528" s="7">
        <v>0</v>
      </c>
      <c r="M528" s="7">
        <v>162312</v>
      </c>
      <c r="O528" s="7">
        <v>10903359</v>
      </c>
      <c r="Q528" s="7">
        <v>0</v>
      </c>
      <c r="S528" s="8">
        <f t="shared" si="77"/>
        <v>110734304</v>
      </c>
      <c r="U528" s="7">
        <v>4092804</v>
      </c>
      <c r="V528" s="7">
        <f>+'St of Net Assets - GA'!O528-'LT _Lia - GA'!U528</f>
        <v>0</v>
      </c>
      <c r="Z528" s="7" t="str">
        <f t="shared" si="74"/>
        <v>Sylvania City SD</v>
      </c>
      <c r="AA528" s="7" t="str">
        <f>'Gov Fnd Exp'!A528</f>
        <v>Sylvania City SD</v>
      </c>
      <c r="AB528" s="7" t="b">
        <f t="shared" si="75"/>
        <v>1</v>
      </c>
      <c r="AC528" s="7" t="str">
        <f t="shared" ref="AC528:AC591" si="78">C528</f>
        <v>Lucas</v>
      </c>
      <c r="AD528" s="7" t="b">
        <f>C528='Gov Fnd Exp'!C528</f>
        <v>1</v>
      </c>
    </row>
    <row r="529" spans="1:30">
      <c r="A529" s="12" t="s">
        <v>383</v>
      </c>
      <c r="B529" s="12"/>
      <c r="C529" s="12" t="s">
        <v>377</v>
      </c>
      <c r="D529" s="12"/>
      <c r="E529" s="12">
        <v>47969</v>
      </c>
      <c r="G529" s="7">
        <v>450027</v>
      </c>
      <c r="I529" s="7">
        <v>0</v>
      </c>
      <c r="K529" s="7">
        <v>0</v>
      </c>
      <c r="M529" s="7">
        <v>0</v>
      </c>
      <c r="O529" s="7">
        <v>554562</v>
      </c>
      <c r="Q529" s="7">
        <v>54160</v>
      </c>
      <c r="S529" s="8">
        <f t="shared" si="77"/>
        <v>1058749</v>
      </c>
      <c r="U529" s="7">
        <v>302171</v>
      </c>
      <c r="V529" s="7">
        <f>+'St of Net Assets - GA'!O529-'LT _Lia - GA'!U529</f>
        <v>0</v>
      </c>
      <c r="Z529" s="7" t="str">
        <f t="shared" si="74"/>
        <v>Symmes Valley Local SD</v>
      </c>
      <c r="AA529" s="7" t="str">
        <f>'Gov Fnd Exp'!A529</f>
        <v>Symmes Valley Local SD</v>
      </c>
      <c r="AB529" s="7" t="b">
        <f t="shared" si="75"/>
        <v>1</v>
      </c>
      <c r="AC529" s="7" t="str">
        <f t="shared" si="78"/>
        <v>Lawrence</v>
      </c>
      <c r="AD529" s="7" t="b">
        <f>C529='Gov Fnd Exp'!C529</f>
        <v>1</v>
      </c>
    </row>
    <row r="530" spans="1:30">
      <c r="A530" s="12" t="s">
        <v>757</v>
      </c>
      <c r="B530" s="12"/>
      <c r="C530" s="12" t="s">
        <v>223</v>
      </c>
      <c r="D530" s="12"/>
      <c r="E530" s="12">
        <v>46151</v>
      </c>
      <c r="G530" s="7">
        <f>2255000+171919+5290000+55000+66932+42530000+892847</f>
        <v>51261698</v>
      </c>
      <c r="I530" s="7">
        <v>0</v>
      </c>
      <c r="K530" s="7">
        <v>0</v>
      </c>
      <c r="M530" s="7">
        <v>2394000</v>
      </c>
      <c r="O530" s="7">
        <v>2347002</v>
      </c>
      <c r="Q530" s="7">
        <v>0</v>
      </c>
      <c r="S530" s="8">
        <f t="shared" ref="S530:S567" si="79">SUM(G530:R530)</f>
        <v>56002700</v>
      </c>
      <c r="U530" s="7">
        <v>2017796</v>
      </c>
      <c r="V530" s="7">
        <f>+'St of Net Assets - GA'!O530-'LT _Lia - GA'!U530</f>
        <v>0</v>
      </c>
      <c r="Z530" s="7" t="str">
        <f t="shared" si="74"/>
        <v xml:space="preserve">Talawanda City SD </v>
      </c>
      <c r="AA530" s="7" t="str">
        <f>'Gov Fnd Exp'!A530</f>
        <v xml:space="preserve">Talawanda City SD </v>
      </c>
      <c r="AB530" s="7" t="b">
        <f t="shared" si="75"/>
        <v>1</v>
      </c>
      <c r="AC530" s="7" t="str">
        <f t="shared" si="78"/>
        <v>Butler</v>
      </c>
      <c r="AD530" s="7" t="b">
        <f>C530='Gov Fnd Exp'!C530</f>
        <v>1</v>
      </c>
    </row>
    <row r="531" spans="1:30">
      <c r="A531" s="12" t="s">
        <v>531</v>
      </c>
      <c r="B531" s="12"/>
      <c r="C531" s="12" t="s">
        <v>63</v>
      </c>
      <c r="D531" s="12"/>
      <c r="E531" s="12">
        <v>44883</v>
      </c>
      <c r="G531" s="7">
        <v>26879159</v>
      </c>
      <c r="I531" s="7">
        <v>0</v>
      </c>
      <c r="K531" s="7">
        <v>0</v>
      </c>
      <c r="O531" s="7">
        <v>2656670</v>
      </c>
      <c r="Q531" s="7">
        <v>0</v>
      </c>
      <c r="S531" s="8">
        <f t="shared" si="79"/>
        <v>29535829</v>
      </c>
      <c r="U531" s="7">
        <v>1897581</v>
      </c>
      <c r="V531" s="7">
        <f>+'St of Net Assets - GA'!O531-'LT _Lia - GA'!U531</f>
        <v>0</v>
      </c>
      <c r="Z531" s="7" t="str">
        <f t="shared" ref="Z531:Z594" si="80">A531</f>
        <v>Tallmadge City SD</v>
      </c>
      <c r="AA531" s="7" t="str">
        <f>'Gov Fnd Exp'!A531</f>
        <v>Tallmadge City SD</v>
      </c>
      <c r="AB531" s="7" t="b">
        <f t="shared" si="75"/>
        <v>1</v>
      </c>
      <c r="AC531" s="7" t="str">
        <f t="shared" si="78"/>
        <v>Summit</v>
      </c>
      <c r="AD531" s="7" t="b">
        <f>C531='Gov Fnd Exp'!C531</f>
        <v>1</v>
      </c>
    </row>
    <row r="532" spans="1:30">
      <c r="A532" s="12" t="s">
        <v>469</v>
      </c>
      <c r="B532" s="12"/>
      <c r="C532" s="12" t="s">
        <v>54</v>
      </c>
      <c r="D532" s="12"/>
      <c r="E532" s="12">
        <v>49098</v>
      </c>
      <c r="G532" s="7">
        <f>37388896-1061825+1479922</f>
        <v>37806993</v>
      </c>
      <c r="I532" s="7">
        <v>0</v>
      </c>
      <c r="K532" s="7">
        <v>0</v>
      </c>
      <c r="M532" s="7">
        <v>103912</v>
      </c>
      <c r="O532" s="7">
        <v>2632286</v>
      </c>
      <c r="Q532" s="7">
        <v>0</v>
      </c>
      <c r="S532" s="8">
        <f t="shared" si="79"/>
        <v>40543191</v>
      </c>
      <c r="U532" s="7">
        <v>1481976</v>
      </c>
      <c r="V532" s="7">
        <f>+'St of Net Assets - GA'!O532-'LT _Lia - GA'!U532</f>
        <v>0</v>
      </c>
      <c r="Z532" s="7" t="str">
        <f t="shared" si="80"/>
        <v>Teays Valley Local SD</v>
      </c>
      <c r="AA532" s="7" t="str">
        <f>'Gov Fnd Exp'!A532</f>
        <v>Teays Valley Local SD</v>
      </c>
      <c r="AB532" s="7" t="b">
        <f t="shared" ref="AB532:AB595" si="81">Z532=AA532</f>
        <v>1</v>
      </c>
      <c r="AC532" s="7" t="str">
        <f t="shared" si="78"/>
        <v>Pickaway</v>
      </c>
      <c r="AD532" s="7" t="b">
        <f>C532='Gov Fnd Exp'!C532</f>
        <v>1</v>
      </c>
    </row>
    <row r="533" spans="1:30">
      <c r="A533" s="12" t="s">
        <v>241</v>
      </c>
      <c r="B533" s="12"/>
      <c r="C533" s="12" t="s">
        <v>17</v>
      </c>
      <c r="D533" s="12"/>
      <c r="E533" s="12">
        <v>46243</v>
      </c>
      <c r="G533" s="7">
        <v>18108892</v>
      </c>
      <c r="I533" s="7">
        <v>0</v>
      </c>
      <c r="K533" s="7">
        <v>0</v>
      </c>
      <c r="M533" s="7">
        <v>0</v>
      </c>
      <c r="O533" s="7">
        <v>2333486</v>
      </c>
      <c r="Q533" s="7">
        <v>0</v>
      </c>
      <c r="S533" s="8">
        <f t="shared" si="79"/>
        <v>20442378</v>
      </c>
      <c r="U533" s="7">
        <v>578588</v>
      </c>
      <c r="V533" s="7">
        <f>+'St of Net Assets - GA'!O533-'LT _Lia - GA'!U533</f>
        <v>0</v>
      </c>
      <c r="Z533" s="7" t="str">
        <f t="shared" si="80"/>
        <v>Tecumseh Local SD</v>
      </c>
      <c r="AA533" s="7" t="str">
        <f>'Gov Fnd Exp'!A533</f>
        <v>Tecumseh Local SD</v>
      </c>
      <c r="AB533" s="7" t="b">
        <f t="shared" si="81"/>
        <v>1</v>
      </c>
      <c r="AC533" s="7" t="str">
        <f t="shared" si="78"/>
        <v>Clark</v>
      </c>
      <c r="AD533" s="7" t="b">
        <f>C533='Gov Fnd Exp'!C533</f>
        <v>1</v>
      </c>
    </row>
    <row r="534" spans="1:30">
      <c r="A534" s="12" t="s">
        <v>765</v>
      </c>
      <c r="B534" s="12"/>
      <c r="C534" s="12" t="s">
        <v>32</v>
      </c>
      <c r="D534" s="12"/>
      <c r="E534" s="12">
        <v>47399</v>
      </c>
      <c r="G534" s="7">
        <v>37774803</v>
      </c>
      <c r="I534" s="7">
        <v>0</v>
      </c>
      <c r="K534" s="7">
        <v>0</v>
      </c>
      <c r="M534" s="7">
        <v>0</v>
      </c>
      <c r="O534" s="7">
        <v>2216049</v>
      </c>
      <c r="Q534" s="7">
        <v>0</v>
      </c>
      <c r="S534" s="8">
        <f t="shared" si="79"/>
        <v>39990852</v>
      </c>
      <c r="U534" s="7">
        <v>950671</v>
      </c>
      <c r="V534" s="7">
        <f>+'St of Net Assets - GA'!O534-'LT _Lia - GA'!U534</f>
        <v>0</v>
      </c>
      <c r="Z534" s="7" t="str">
        <f t="shared" si="80"/>
        <v xml:space="preserve">Three Rivers Local SD </v>
      </c>
      <c r="AA534" s="7" t="str">
        <f>'Gov Fnd Exp'!A534</f>
        <v xml:space="preserve">Three Rivers Local SD </v>
      </c>
      <c r="AB534" s="7" t="b">
        <f t="shared" si="81"/>
        <v>1</v>
      </c>
      <c r="AC534" s="7" t="str">
        <f t="shared" si="78"/>
        <v>Hamilton</v>
      </c>
      <c r="AD534" s="7" t="b">
        <f>C534='Gov Fnd Exp'!C534</f>
        <v>1</v>
      </c>
    </row>
    <row r="535" spans="1:30">
      <c r="A535" s="12" t="s">
        <v>503</v>
      </c>
      <c r="B535" s="12"/>
      <c r="C535" s="12" t="s">
        <v>60</v>
      </c>
      <c r="D535" s="12"/>
      <c r="E535" s="12">
        <v>44891</v>
      </c>
      <c r="G535" s="7">
        <f>1305000+5960110</f>
        <v>7265110</v>
      </c>
      <c r="I535" s="7">
        <v>0</v>
      </c>
      <c r="K535" s="7">
        <v>369375</v>
      </c>
      <c r="M535" s="7">
        <v>392128</v>
      </c>
      <c r="O535" s="7">
        <v>1495632</v>
      </c>
      <c r="Q535" s="7">
        <v>0</v>
      </c>
      <c r="S535" s="8">
        <f t="shared" si="79"/>
        <v>9522245</v>
      </c>
      <c r="U535" s="7">
        <v>938403</v>
      </c>
      <c r="V535" s="7">
        <f>+'St of Net Assets - GA'!O535-'LT _Lia - GA'!U535</f>
        <v>0</v>
      </c>
      <c r="Z535" s="7" t="str">
        <f t="shared" si="80"/>
        <v>Tiffin City SD</v>
      </c>
      <c r="AA535" s="7" t="str">
        <f>'Gov Fnd Exp'!A535</f>
        <v>Tiffin City SD</v>
      </c>
      <c r="AB535" s="7" t="b">
        <f t="shared" si="81"/>
        <v>1</v>
      </c>
      <c r="AC535" s="7" t="str">
        <f t="shared" si="78"/>
        <v>Seneca</v>
      </c>
      <c r="AD535" s="7" t="b">
        <f>C535='Gov Fnd Exp'!C535</f>
        <v>1</v>
      </c>
    </row>
    <row r="536" spans="1:30">
      <c r="A536" s="12" t="s">
        <v>887</v>
      </c>
      <c r="B536" s="12"/>
      <c r="C536" s="12" t="s">
        <v>48</v>
      </c>
      <c r="D536" s="12"/>
      <c r="E536" s="12">
        <v>45617</v>
      </c>
      <c r="G536" s="7">
        <v>17405844</v>
      </c>
      <c r="I536" s="7">
        <v>0</v>
      </c>
      <c r="K536" s="7">
        <v>0</v>
      </c>
      <c r="M536" s="7">
        <v>306262</v>
      </c>
      <c r="O536" s="7">
        <v>2011847</v>
      </c>
      <c r="Q536" s="7">
        <v>0</v>
      </c>
      <c r="S536" s="8">
        <f t="shared" si="79"/>
        <v>19723953</v>
      </c>
      <c r="U536" s="7">
        <v>1189744</v>
      </c>
      <c r="V536" s="7">
        <f>+'St of Net Assets - GA'!O536-'LT _Lia - GA'!U536</f>
        <v>0</v>
      </c>
      <c r="Z536" s="7" t="str">
        <f t="shared" si="80"/>
        <v>Tipp City Exempted Village SD</v>
      </c>
      <c r="AA536" s="7" t="str">
        <f>'Gov Fnd Exp'!A536</f>
        <v>Tipp City Exempted Village SD</v>
      </c>
      <c r="AB536" s="7" t="b">
        <f t="shared" si="81"/>
        <v>1</v>
      </c>
      <c r="AC536" s="7" t="str">
        <f t="shared" si="78"/>
        <v>Miami</v>
      </c>
      <c r="AD536" s="7" t="b">
        <f>C536='Gov Fnd Exp'!C536</f>
        <v>1</v>
      </c>
    </row>
    <row r="537" spans="1:30">
      <c r="A537" s="12" t="s">
        <v>408</v>
      </c>
      <c r="B537" s="12"/>
      <c r="C537" s="12" t="s">
        <v>115</v>
      </c>
      <c r="D537" s="12"/>
      <c r="E537" s="12">
        <v>44909</v>
      </c>
      <c r="G537" s="7">
        <v>169537230</v>
      </c>
      <c r="I537" s="7">
        <v>0</v>
      </c>
      <c r="K537" s="7">
        <v>0</v>
      </c>
      <c r="M537" s="7">
        <v>0</v>
      </c>
      <c r="O537" s="7">
        <v>36595074</v>
      </c>
      <c r="Q537" s="7">
        <v>0</v>
      </c>
      <c r="S537" s="8">
        <f t="shared" si="79"/>
        <v>206132304</v>
      </c>
      <c r="U537" s="7">
        <v>4632949</v>
      </c>
      <c r="V537" s="7">
        <f>+'St of Net Assets - GA'!O537-'LT _Lia - GA'!U537</f>
        <v>0</v>
      </c>
      <c r="Z537" s="7" t="str">
        <f t="shared" si="80"/>
        <v>Toledo City SD</v>
      </c>
      <c r="AA537" s="7" t="str">
        <f>'Gov Fnd Exp'!A537</f>
        <v>Toledo City SD</v>
      </c>
      <c r="AB537" s="7" t="b">
        <f t="shared" si="81"/>
        <v>1</v>
      </c>
      <c r="AC537" s="7" t="str">
        <f t="shared" si="78"/>
        <v>Lucas</v>
      </c>
      <c r="AD537" s="7" t="b">
        <f>C537='Gov Fnd Exp'!C537</f>
        <v>1</v>
      </c>
    </row>
    <row r="538" spans="1:30" hidden="1">
      <c r="A538" s="12" t="s">
        <v>731</v>
      </c>
      <c r="B538" s="12"/>
      <c r="C538" s="12" t="s">
        <v>115</v>
      </c>
      <c r="D538" s="12"/>
      <c r="E538" s="12"/>
      <c r="S538" s="8">
        <f t="shared" si="79"/>
        <v>0</v>
      </c>
      <c r="V538" s="7">
        <f>+'St of Net Assets - GA'!O538-'LT _Lia - GA'!U538</f>
        <v>0</v>
      </c>
      <c r="X538" s="7" t="s">
        <v>794</v>
      </c>
      <c r="Z538" s="7" t="str">
        <f t="shared" si="80"/>
        <v>Toledo School for the Arts</v>
      </c>
      <c r="AA538" s="7" t="str">
        <f>'Gov Fnd Exp'!A538</f>
        <v>Toledo School for the Arts</v>
      </c>
      <c r="AB538" s="7" t="b">
        <f t="shared" si="81"/>
        <v>1</v>
      </c>
      <c r="AC538" s="7" t="str">
        <f t="shared" si="78"/>
        <v>Lucas</v>
      </c>
      <c r="AD538" s="7" t="b">
        <f>C538='Gov Fnd Exp'!C538</f>
        <v>1</v>
      </c>
    </row>
    <row r="539" spans="1:30">
      <c r="A539" s="12" t="s">
        <v>766</v>
      </c>
      <c r="B539" s="12"/>
      <c r="C539" s="12" t="s">
        <v>39</v>
      </c>
      <c r="D539" s="12"/>
      <c r="E539" s="12">
        <v>44917</v>
      </c>
      <c r="G539" s="7">
        <v>8622619</v>
      </c>
      <c r="I539" s="7">
        <v>0</v>
      </c>
      <c r="K539" s="7">
        <v>0</v>
      </c>
      <c r="M539" s="7">
        <v>30945</v>
      </c>
      <c r="O539" s="7">
        <v>369161</v>
      </c>
      <c r="Q539" s="7">
        <v>0</v>
      </c>
      <c r="S539" s="8">
        <f t="shared" si="79"/>
        <v>9022725</v>
      </c>
      <c r="U539" s="7">
        <v>155727</v>
      </c>
      <c r="V539" s="7">
        <f>+'St of Net Assets - GA'!O539-'LT _Lia - GA'!U539</f>
        <v>0</v>
      </c>
      <c r="X539" s="7" t="s">
        <v>788</v>
      </c>
      <c r="Z539" s="7" t="str">
        <f t="shared" si="80"/>
        <v xml:space="preserve">Toronto City SD  </v>
      </c>
      <c r="AA539" s="7" t="str">
        <f>'Gov Fnd Exp'!A539</f>
        <v xml:space="preserve">Toronto City SD  </v>
      </c>
      <c r="AB539" s="7" t="b">
        <f t="shared" si="81"/>
        <v>1</v>
      </c>
      <c r="AC539" s="7" t="str">
        <f t="shared" si="78"/>
        <v>Jefferson</v>
      </c>
      <c r="AD539" s="7" t="b">
        <f>C539='Gov Fnd Exp'!C539</f>
        <v>1</v>
      </c>
    </row>
    <row r="540" spans="1:30">
      <c r="A540" s="12" t="s">
        <v>233</v>
      </c>
      <c r="B540" s="12"/>
      <c r="C540" s="12" t="s">
        <v>232</v>
      </c>
      <c r="D540" s="12"/>
      <c r="E540" s="12">
        <v>46201</v>
      </c>
      <c r="G540" s="7">
        <f>2000000+111151+167742</f>
        <v>2278893</v>
      </c>
      <c r="I540" s="7">
        <v>0</v>
      </c>
      <c r="K540" s="7">
        <v>798000</v>
      </c>
      <c r="M540" s="7">
        <v>1990000</v>
      </c>
      <c r="O540" s="7">
        <v>401488</v>
      </c>
      <c r="Q540" s="7">
        <v>0</v>
      </c>
      <c r="S540" s="8">
        <f>SUM(G540:R540)</f>
        <v>5468381</v>
      </c>
      <c r="U540" s="7">
        <v>310536</v>
      </c>
      <c r="V540" s="7">
        <f>+'St of Net Assets - GA'!O540-'LT _Lia - GA'!U540</f>
        <v>0</v>
      </c>
      <c r="Z540" s="7" t="str">
        <f t="shared" si="80"/>
        <v>Triad Local SD</v>
      </c>
      <c r="AA540" s="7" t="str">
        <f>'Gov Fnd Exp'!A540</f>
        <v>Triad Local SD</v>
      </c>
      <c r="AB540" s="7" t="b">
        <f t="shared" si="81"/>
        <v>1</v>
      </c>
      <c r="AC540" s="7" t="str">
        <f t="shared" si="78"/>
        <v>Champaign</v>
      </c>
      <c r="AD540" s="7" t="b">
        <f>C540='Gov Fnd Exp'!C540</f>
        <v>1</v>
      </c>
    </row>
    <row r="541" spans="1:30" s="32" customFormat="1">
      <c r="A541" s="31" t="s">
        <v>481</v>
      </c>
      <c r="B541" s="31"/>
      <c r="C541" s="31" t="s">
        <v>57</v>
      </c>
      <c r="D541" s="31"/>
      <c r="E541" s="31">
        <v>91397</v>
      </c>
      <c r="G541" s="32">
        <v>0</v>
      </c>
      <c r="I541" s="32">
        <v>0</v>
      </c>
      <c r="K541" s="32">
        <v>0</v>
      </c>
      <c r="M541" s="32">
        <v>0</v>
      </c>
      <c r="O541" s="32">
        <v>488298</v>
      </c>
      <c r="Q541" s="32">
        <v>0</v>
      </c>
      <c r="S541" s="36">
        <f t="shared" si="79"/>
        <v>488298</v>
      </c>
      <c r="U541" s="32">
        <v>4708</v>
      </c>
      <c r="V541" s="32">
        <f>+'St of Net Assets - GA'!O541-'LT _Lia - GA'!U541</f>
        <v>0</v>
      </c>
      <c r="Z541" s="32" t="str">
        <f t="shared" si="80"/>
        <v>Tri-County North Local SD</v>
      </c>
      <c r="AA541" s="32" t="str">
        <f>'Gov Fnd Exp'!A541</f>
        <v>Tri-County North Local SD</v>
      </c>
      <c r="AB541" s="32" t="b">
        <f t="shared" si="81"/>
        <v>1</v>
      </c>
      <c r="AC541" s="32" t="str">
        <f t="shared" si="78"/>
        <v>Preble</v>
      </c>
      <c r="AD541" s="32" t="b">
        <f>C541='Gov Fnd Exp'!C541</f>
        <v>1</v>
      </c>
    </row>
    <row r="542" spans="1:30">
      <c r="A542" s="12" t="s">
        <v>213</v>
      </c>
      <c r="B542" s="12"/>
      <c r="C542" s="12" t="s">
        <v>13</v>
      </c>
      <c r="D542" s="12"/>
      <c r="E542" s="12">
        <v>45922</v>
      </c>
      <c r="G542" s="7">
        <v>605000</v>
      </c>
      <c r="I542" s="7">
        <v>0</v>
      </c>
      <c r="K542" s="7">
        <v>0</v>
      </c>
      <c r="M542" s="7">
        <v>7287</v>
      </c>
      <c r="O542" s="7">
        <v>645295</v>
      </c>
      <c r="Q542" s="7">
        <v>0</v>
      </c>
      <c r="S542" s="8">
        <f t="shared" si="79"/>
        <v>1257582</v>
      </c>
      <c r="U542" s="7">
        <v>61271</v>
      </c>
      <c r="V542" s="7">
        <f>+'St of Net Assets - GA'!O542-'LT _Lia - GA'!U542</f>
        <v>0</v>
      </c>
      <c r="Z542" s="7" t="str">
        <f t="shared" si="80"/>
        <v>Trimble Local SD</v>
      </c>
      <c r="AA542" s="7" t="str">
        <f>'Gov Fnd Exp'!A542</f>
        <v>Trimble Local SD</v>
      </c>
      <c r="AB542" s="7" t="b">
        <f t="shared" si="81"/>
        <v>1</v>
      </c>
      <c r="AC542" s="7" t="str">
        <f t="shared" si="78"/>
        <v>Athens</v>
      </c>
      <c r="AD542" s="7" t="b">
        <f>C542='Gov Fnd Exp'!C542</f>
        <v>1</v>
      </c>
    </row>
    <row r="543" spans="1:30">
      <c r="A543" s="12" t="s">
        <v>459</v>
      </c>
      <c r="B543" s="12"/>
      <c r="C543" s="12" t="s">
        <v>51</v>
      </c>
      <c r="D543" s="12"/>
      <c r="E543" s="12">
        <v>48876</v>
      </c>
      <c r="G543" s="7">
        <v>16093117</v>
      </c>
      <c r="I543" s="7">
        <v>0</v>
      </c>
      <c r="K543" s="7">
        <v>0</v>
      </c>
      <c r="M543" s="7">
        <v>4009</v>
      </c>
      <c r="O543" s="7">
        <v>1259387</v>
      </c>
      <c r="Q543" s="7">
        <v>0</v>
      </c>
      <c r="S543" s="8">
        <f t="shared" si="79"/>
        <v>17356513</v>
      </c>
      <c r="U543" s="7">
        <v>754197</v>
      </c>
      <c r="V543" s="7">
        <f>+'St of Net Assets - GA'!O543-'LT _Lia - GA'!U543</f>
        <v>0</v>
      </c>
      <c r="Z543" s="7" t="str">
        <f t="shared" si="80"/>
        <v>Tri-Valley Local SD</v>
      </c>
      <c r="AA543" s="7" t="str">
        <f>'Gov Fnd Exp'!A543</f>
        <v>Tri-Valley Local SD</v>
      </c>
      <c r="AB543" s="7" t="b">
        <f t="shared" si="81"/>
        <v>1</v>
      </c>
      <c r="AC543" s="7" t="str">
        <f t="shared" si="78"/>
        <v>Muskingum</v>
      </c>
      <c r="AD543" s="7" t="b">
        <f>C543='Gov Fnd Exp'!C543</f>
        <v>1</v>
      </c>
    </row>
    <row r="544" spans="1:30" hidden="1">
      <c r="A544" s="12" t="s">
        <v>726</v>
      </c>
      <c r="B544" s="12"/>
      <c r="C544" s="12" t="s">
        <v>21</v>
      </c>
      <c r="D544" s="12"/>
      <c r="E544" s="12">
        <v>46680</v>
      </c>
      <c r="S544" s="8">
        <f t="shared" si="79"/>
        <v>0</v>
      </c>
      <c r="V544" s="7">
        <f>+'St of Net Assets - GA'!O544-'LT _Lia - GA'!U544</f>
        <v>0</v>
      </c>
      <c r="Z544" s="7" t="str">
        <f t="shared" si="80"/>
        <v>Tri-Village Local SD (CASH)</v>
      </c>
      <c r="AA544" s="7" t="str">
        <f>'Gov Fnd Exp'!A544</f>
        <v>Tri-Village Local SD (CASH)</v>
      </c>
      <c r="AB544" s="7" t="b">
        <f t="shared" si="81"/>
        <v>1</v>
      </c>
      <c r="AC544" s="7" t="str">
        <f t="shared" si="78"/>
        <v>Darke</v>
      </c>
      <c r="AD544" s="7" t="b">
        <f>C544='Gov Fnd Exp'!C544</f>
        <v>1</v>
      </c>
    </row>
    <row r="545" spans="1:30" hidden="1">
      <c r="A545" s="12" t="s">
        <v>569</v>
      </c>
      <c r="B545" s="12"/>
      <c r="C545" s="12" t="s">
        <v>71</v>
      </c>
      <c r="D545" s="12"/>
      <c r="E545" s="12">
        <v>50591</v>
      </c>
      <c r="S545" s="8">
        <f t="shared" si="79"/>
        <v>0</v>
      </c>
      <c r="V545" s="7">
        <f>+'St of Net Assets - GA'!O545-'LT _Lia - GA'!U545</f>
        <v>0</v>
      </c>
      <c r="X545" s="7" t="s">
        <v>795</v>
      </c>
      <c r="Z545" s="7" t="str">
        <f t="shared" si="80"/>
        <v>Triway Local SD</v>
      </c>
      <c r="AA545" s="7" t="str">
        <f>'Gov Fnd Exp'!A545</f>
        <v>Triway Local SD</v>
      </c>
      <c r="AB545" s="7" t="b">
        <f t="shared" si="81"/>
        <v>1</v>
      </c>
      <c r="AC545" s="7" t="str">
        <f t="shared" si="78"/>
        <v>Wayne</v>
      </c>
      <c r="AD545" s="7" t="b">
        <f>C545='Gov Fnd Exp'!C545</f>
        <v>1</v>
      </c>
    </row>
    <row r="546" spans="1:30">
      <c r="A546" s="12" t="s">
        <v>449</v>
      </c>
      <c r="B546" s="12"/>
      <c r="C546" s="12" t="s">
        <v>50</v>
      </c>
      <c r="D546" s="12"/>
      <c r="E546" s="12">
        <v>48694</v>
      </c>
      <c r="G546" s="7">
        <v>33106709</v>
      </c>
      <c r="I546" s="7">
        <v>0</v>
      </c>
      <c r="K546" s="7">
        <v>0</v>
      </c>
      <c r="M546" s="7">
        <f>9215000+79358+500000</f>
        <v>9794358</v>
      </c>
      <c r="O546" s="7">
        <v>1209695</v>
      </c>
      <c r="Q546" s="7">
        <v>0</v>
      </c>
      <c r="S546" s="8">
        <f t="shared" si="79"/>
        <v>44110762</v>
      </c>
      <c r="U546" s="7">
        <v>1268091</v>
      </c>
      <c r="V546" s="7">
        <f>+'St of Net Assets - GA'!O546-'LT _Lia - GA'!U546</f>
        <v>0</v>
      </c>
      <c r="Z546" s="7" t="str">
        <f t="shared" si="80"/>
        <v>Trotwood-Madison City SD</v>
      </c>
      <c r="AA546" s="7" t="str">
        <f>'Gov Fnd Exp'!A546</f>
        <v>Trotwood-Madison City SD</v>
      </c>
      <c r="AB546" s="7" t="b">
        <f t="shared" si="81"/>
        <v>1</v>
      </c>
      <c r="AC546" s="7" t="str">
        <f t="shared" si="78"/>
        <v>Montgomery</v>
      </c>
      <c r="AD546" s="7" t="b">
        <f>C546='Gov Fnd Exp'!C546</f>
        <v>1</v>
      </c>
    </row>
    <row r="547" spans="1:30">
      <c r="A547" s="12" t="s">
        <v>439</v>
      </c>
      <c r="B547" s="12"/>
      <c r="C547" s="12" t="s">
        <v>48</v>
      </c>
      <c r="D547" s="12"/>
      <c r="E547" s="12">
        <v>44925</v>
      </c>
      <c r="G547" s="7">
        <f>23123853-3302592</f>
        <v>19821261</v>
      </c>
      <c r="I547" s="7">
        <v>0</v>
      </c>
      <c r="K547" s="7">
        <v>0</v>
      </c>
      <c r="M547" s="7">
        <v>0</v>
      </c>
      <c r="O547" s="7">
        <v>3302592</v>
      </c>
      <c r="Q547" s="7">
        <v>0</v>
      </c>
      <c r="S547" s="8">
        <f t="shared" si="79"/>
        <v>23123853</v>
      </c>
      <c r="U547" s="7">
        <v>1116258</v>
      </c>
      <c r="V547" s="7">
        <f>+'St of Net Assets - GA'!O547-'LT _Lia - GA'!U547</f>
        <v>0</v>
      </c>
      <c r="Z547" s="7" t="str">
        <f t="shared" si="80"/>
        <v>Troy City SD</v>
      </c>
      <c r="AA547" s="7" t="str">
        <f>'Gov Fnd Exp'!A547</f>
        <v>Troy City SD</v>
      </c>
      <c r="AB547" s="7" t="b">
        <f t="shared" si="81"/>
        <v>1</v>
      </c>
      <c r="AC547" s="7" t="str">
        <f t="shared" si="78"/>
        <v>Miami</v>
      </c>
      <c r="AD547" s="7" t="b">
        <f>C547='Gov Fnd Exp'!C547</f>
        <v>1</v>
      </c>
    </row>
    <row r="548" spans="1:30">
      <c r="A548" s="12" t="s">
        <v>554</v>
      </c>
      <c r="B548" s="12"/>
      <c r="C548" s="12" t="s">
        <v>65</v>
      </c>
      <c r="D548" s="12"/>
      <c r="E548" s="12">
        <v>50302</v>
      </c>
      <c r="G548" s="7">
        <f>4215267+440000</f>
        <v>4655267</v>
      </c>
      <c r="I548" s="7">
        <v>0</v>
      </c>
      <c r="K548" s="7">
        <v>0</v>
      </c>
      <c r="M548" s="7">
        <v>0</v>
      </c>
      <c r="O548" s="7">
        <f>840605+49650</f>
        <v>890255</v>
      </c>
      <c r="Q548" s="7">
        <v>0</v>
      </c>
      <c r="S548" s="8">
        <f t="shared" si="79"/>
        <v>5545522</v>
      </c>
      <c r="U548" s="7">
        <v>607888</v>
      </c>
      <c r="V548" s="7">
        <f>+'St of Net Assets - GA'!O548-'LT _Lia - GA'!U548</f>
        <v>0</v>
      </c>
      <c r="Z548" s="7" t="str">
        <f t="shared" si="80"/>
        <v>Tuscarawas Valley Local SD</v>
      </c>
      <c r="AA548" s="7" t="str">
        <f>'Gov Fnd Exp'!A548</f>
        <v>Tuscarawas Valley Local SD</v>
      </c>
      <c r="AB548" s="7" t="b">
        <f t="shared" si="81"/>
        <v>1</v>
      </c>
      <c r="AC548" s="7" t="str">
        <f t="shared" si="78"/>
        <v>Tuscarawas</v>
      </c>
      <c r="AD548" s="7" t="b">
        <f>C548='Gov Fnd Exp'!C548</f>
        <v>1</v>
      </c>
    </row>
    <row r="549" spans="1:30">
      <c r="A549" s="12" t="s">
        <v>521</v>
      </c>
      <c r="B549" s="12"/>
      <c r="C549" s="12" t="s">
        <v>62</v>
      </c>
      <c r="D549" s="12"/>
      <c r="E549" s="12">
        <v>49957</v>
      </c>
      <c r="G549" s="7">
        <f>12443666+833894</f>
        <v>13277560</v>
      </c>
      <c r="I549" s="7">
        <v>0</v>
      </c>
      <c r="K549" s="7">
        <v>0</v>
      </c>
      <c r="M549" s="7">
        <v>0</v>
      </c>
      <c r="O549" s="7">
        <v>938995</v>
      </c>
      <c r="Q549" s="7">
        <v>0</v>
      </c>
      <c r="S549" s="8">
        <f t="shared" si="79"/>
        <v>14216555</v>
      </c>
      <c r="U549" s="7">
        <v>329210</v>
      </c>
      <c r="V549" s="7">
        <f>+'St of Net Assets - GA'!O549-'LT _Lia - GA'!U549</f>
        <v>0</v>
      </c>
      <c r="Z549" s="7" t="str">
        <f t="shared" si="80"/>
        <v>Tuslaw Local SD</v>
      </c>
      <c r="AA549" s="7" t="str">
        <f>'Gov Fnd Exp'!A549</f>
        <v>Tuslaw Local SD</v>
      </c>
      <c r="AB549" s="7" t="b">
        <f t="shared" si="81"/>
        <v>1</v>
      </c>
      <c r="AC549" s="7" t="str">
        <f t="shared" si="78"/>
        <v>Stark</v>
      </c>
      <c r="AD549" s="7" t="b">
        <f>C549='Gov Fnd Exp'!C549</f>
        <v>1</v>
      </c>
    </row>
    <row r="550" spans="1:30" hidden="1">
      <c r="A550" s="12" t="s">
        <v>732</v>
      </c>
      <c r="B550" s="12"/>
      <c r="C550" s="12" t="s">
        <v>57</v>
      </c>
      <c r="D550" s="12"/>
      <c r="E550" s="12">
        <v>49296</v>
      </c>
      <c r="S550" s="8">
        <f t="shared" si="79"/>
        <v>0</v>
      </c>
      <c r="V550" s="7">
        <f>+'St of Net Assets - GA'!O550-'LT _Lia - GA'!U550</f>
        <v>0</v>
      </c>
      <c r="X550" s="7" t="s">
        <v>789</v>
      </c>
      <c r="Z550" s="7" t="str">
        <f t="shared" si="80"/>
        <v>Twin Valley Community Local SD (CASH)</v>
      </c>
      <c r="AA550" s="7" t="str">
        <f>'Gov Fnd Exp'!A550</f>
        <v>Twin Valley Community Local SD (CASH)</v>
      </c>
      <c r="AB550" s="7" t="b">
        <f t="shared" si="81"/>
        <v>1</v>
      </c>
      <c r="AC550" s="7" t="str">
        <f t="shared" si="78"/>
        <v>Preble</v>
      </c>
      <c r="AD550" s="7" t="b">
        <f>C550='Gov Fnd Exp'!C550</f>
        <v>1</v>
      </c>
    </row>
    <row r="551" spans="1:30">
      <c r="A551" s="12" t="s">
        <v>532</v>
      </c>
      <c r="B551" s="12"/>
      <c r="C551" s="12" t="s">
        <v>63</v>
      </c>
      <c r="D551" s="12"/>
      <c r="E551" s="12">
        <v>50070</v>
      </c>
      <c r="G551" s="7">
        <v>25908976</v>
      </c>
      <c r="I551" s="7">
        <v>0</v>
      </c>
      <c r="K551" s="7">
        <v>0</v>
      </c>
      <c r="M551" s="7">
        <v>324780</v>
      </c>
      <c r="O551" s="7">
        <v>3095080</v>
      </c>
      <c r="Q551" s="7">
        <v>0</v>
      </c>
      <c r="S551" s="8">
        <f t="shared" si="79"/>
        <v>29328836</v>
      </c>
      <c r="U551" s="7">
        <v>2691981</v>
      </c>
      <c r="V551" s="7">
        <f>+'St of Net Assets - GA'!O551-'LT _Lia - GA'!U551</f>
        <v>0</v>
      </c>
      <c r="Z551" s="7" t="str">
        <f t="shared" si="80"/>
        <v>Twinsburg City SD</v>
      </c>
      <c r="AA551" s="7" t="str">
        <f>'Gov Fnd Exp'!A551</f>
        <v>Twinsburg City SD</v>
      </c>
      <c r="AB551" s="7" t="b">
        <f t="shared" si="81"/>
        <v>1</v>
      </c>
      <c r="AC551" s="7" t="str">
        <f t="shared" si="78"/>
        <v>Summit</v>
      </c>
      <c r="AD551" s="7" t="b">
        <f>C551='Gov Fnd Exp'!C551</f>
        <v>1</v>
      </c>
    </row>
    <row r="552" spans="1:30" hidden="1">
      <c r="A552" s="12" t="s">
        <v>219</v>
      </c>
      <c r="B552" s="12"/>
      <c r="C552" s="12" t="s">
        <v>15</v>
      </c>
      <c r="D552" s="12"/>
      <c r="E552" s="12">
        <v>46011</v>
      </c>
      <c r="S552" s="8">
        <f t="shared" si="79"/>
        <v>0</v>
      </c>
      <c r="V552" s="7">
        <f>+'St of Net Assets - GA'!O552-'LT _Lia - GA'!U552</f>
        <v>0</v>
      </c>
      <c r="X552" s="7" t="s">
        <v>791</v>
      </c>
      <c r="Z552" s="7" t="str">
        <f t="shared" si="80"/>
        <v>Union Local SD</v>
      </c>
      <c r="AA552" s="7" t="str">
        <f>'Gov Fnd Exp'!A552</f>
        <v>Union Local SD</v>
      </c>
      <c r="AB552" s="7" t="b">
        <f t="shared" si="81"/>
        <v>1</v>
      </c>
      <c r="AC552" s="7" t="str">
        <f t="shared" si="78"/>
        <v>Belmont</v>
      </c>
      <c r="AD552" s="7" t="b">
        <f>C552='Gov Fnd Exp'!C552</f>
        <v>1</v>
      </c>
    </row>
    <row r="553" spans="1:30">
      <c r="A553" s="12" t="s">
        <v>491</v>
      </c>
      <c r="B553" s="12"/>
      <c r="C553" s="12" t="s">
        <v>58</v>
      </c>
      <c r="D553" s="12"/>
      <c r="E553" s="12">
        <v>49536</v>
      </c>
      <c r="G553" s="7">
        <f>80928+245010+2475000+14999+56732+158103-113485</f>
        <v>2917287</v>
      </c>
      <c r="I553" s="7">
        <v>0</v>
      </c>
      <c r="K553" s="7">
        <v>0</v>
      </c>
      <c r="M553" s="7">
        <v>620511</v>
      </c>
      <c r="O553" s="7">
        <v>2633837</v>
      </c>
      <c r="Q553" s="7">
        <v>0</v>
      </c>
      <c r="S553" s="8">
        <f t="shared" si="79"/>
        <v>6171635</v>
      </c>
      <c r="U553" s="7">
        <v>401838</v>
      </c>
      <c r="V553" s="7">
        <f>+'St of Net Assets - GA'!O553-'LT _Lia - GA'!U553</f>
        <v>0</v>
      </c>
      <c r="Z553" s="7" t="str">
        <f t="shared" si="80"/>
        <v>Union-Scioto Local SD</v>
      </c>
      <c r="AA553" s="7" t="str">
        <f>'Gov Fnd Exp'!A553</f>
        <v>Union-Scioto Local SD</v>
      </c>
      <c r="AB553" s="7" t="b">
        <f t="shared" si="81"/>
        <v>1</v>
      </c>
      <c r="AC553" s="7" t="str">
        <f t="shared" si="78"/>
        <v>Ross</v>
      </c>
      <c r="AD553" s="7" t="b">
        <f>C553='Gov Fnd Exp'!C553</f>
        <v>1</v>
      </c>
    </row>
    <row r="554" spans="1:30">
      <c r="A554" s="12" t="s">
        <v>257</v>
      </c>
      <c r="B554" s="12"/>
      <c r="C554" s="12" t="s">
        <v>112</v>
      </c>
      <c r="D554" s="12"/>
      <c r="E554" s="12">
        <v>46458</v>
      </c>
      <c r="G554" s="7">
        <v>0</v>
      </c>
      <c r="I554" s="7">
        <v>0</v>
      </c>
      <c r="K554" s="7">
        <v>0</v>
      </c>
      <c r="M554" s="7">
        <v>14835</v>
      </c>
      <c r="O554" s="7">
        <v>1340899</v>
      </c>
      <c r="Q554" s="7">
        <v>0</v>
      </c>
      <c r="S554" s="8">
        <f t="shared" si="79"/>
        <v>1355734</v>
      </c>
      <c r="U554" s="7">
        <v>373421</v>
      </c>
      <c r="V554" s="7">
        <f>+'St of Net Assets - GA'!O554-'LT _Lia - GA'!U554</f>
        <v>0</v>
      </c>
      <c r="Z554" s="7" t="str">
        <f t="shared" si="80"/>
        <v>United Local SD</v>
      </c>
      <c r="AA554" s="7" t="str">
        <f>'Gov Fnd Exp'!A554</f>
        <v>United Local SD</v>
      </c>
      <c r="AB554" s="7" t="b">
        <f t="shared" si="81"/>
        <v>1</v>
      </c>
      <c r="AC554" s="7" t="str">
        <f t="shared" si="78"/>
        <v>Columbiana</v>
      </c>
      <c r="AD554" s="7" t="b">
        <f>C554='Gov Fnd Exp'!C554</f>
        <v>1</v>
      </c>
    </row>
    <row r="555" spans="1:30">
      <c r="A555" s="12" t="s">
        <v>314</v>
      </c>
      <c r="B555" s="12"/>
      <c r="C555" s="12" t="s">
        <v>27</v>
      </c>
      <c r="D555" s="12"/>
      <c r="E555" s="12">
        <v>44933</v>
      </c>
      <c r="G555" s="7">
        <f>3521227+25549121</f>
        <v>29070348</v>
      </c>
      <c r="I555" s="7">
        <v>0</v>
      </c>
      <c r="K555" s="7">
        <v>0</v>
      </c>
      <c r="M555" s="7">
        <v>0</v>
      </c>
      <c r="O555" s="7">
        <v>6242107</v>
      </c>
      <c r="Q555" s="7">
        <v>0</v>
      </c>
      <c r="S555" s="8">
        <f t="shared" si="79"/>
        <v>35312455</v>
      </c>
      <c r="U555" s="7">
        <v>2453304</v>
      </c>
      <c r="V555" s="7">
        <f>+'St of Net Assets - GA'!O555-'LT _Lia - GA'!U555</f>
        <v>0</v>
      </c>
      <c r="Z555" s="7" t="str">
        <f t="shared" si="80"/>
        <v>Upper Arlington City SD</v>
      </c>
      <c r="AA555" s="7" t="str">
        <f>'Gov Fnd Exp'!A555</f>
        <v>Upper Arlington City SD</v>
      </c>
      <c r="AB555" s="7" t="b">
        <f t="shared" si="81"/>
        <v>1</v>
      </c>
      <c r="AC555" s="7" t="str">
        <f t="shared" si="78"/>
        <v>Franklin</v>
      </c>
      <c r="AD555" s="7" t="b">
        <f>C555='Gov Fnd Exp'!C555</f>
        <v>1</v>
      </c>
    </row>
    <row r="556" spans="1:30" hidden="1">
      <c r="A556" s="12" t="s">
        <v>888</v>
      </c>
      <c r="B556" s="12"/>
      <c r="C556" s="12" t="s">
        <v>577</v>
      </c>
      <c r="D556" s="12"/>
      <c r="E556" s="12">
        <v>45625</v>
      </c>
      <c r="S556" s="8">
        <f t="shared" si="79"/>
        <v>0</v>
      </c>
      <c r="V556" s="7">
        <f>+'St of Net Assets - GA'!O556-'LT _Lia - GA'!U556</f>
        <v>0</v>
      </c>
      <c r="X556" s="7" t="s">
        <v>789</v>
      </c>
      <c r="Z556" s="7" t="str">
        <f t="shared" si="80"/>
        <v>Upper Sandusky Exempted Village SD (CASH)</v>
      </c>
      <c r="AA556" s="7" t="str">
        <f>'Gov Fnd Exp'!A556</f>
        <v>Upper Sandusky Exempted Village SD (CASH)</v>
      </c>
      <c r="AB556" s="7" t="b">
        <f t="shared" si="81"/>
        <v>1</v>
      </c>
      <c r="AC556" s="7" t="str">
        <f t="shared" si="78"/>
        <v>Wyandot</v>
      </c>
      <c r="AD556" s="7" t="b">
        <f>C556='Gov Fnd Exp'!C556</f>
        <v>1</v>
      </c>
    </row>
    <row r="557" spans="1:30" hidden="1">
      <c r="A557" s="12" t="s">
        <v>733</v>
      </c>
      <c r="B557" s="12"/>
      <c r="C557" s="12" t="s">
        <v>348</v>
      </c>
      <c r="D557" s="12"/>
      <c r="E557" s="12">
        <v>47522</v>
      </c>
      <c r="S557" s="8">
        <f t="shared" si="79"/>
        <v>0</v>
      </c>
      <c r="V557" s="7">
        <f>+'St of Net Assets - GA'!O557-'LT _Lia - GA'!U557</f>
        <v>0</v>
      </c>
      <c r="X557" s="7" t="s">
        <v>789</v>
      </c>
      <c r="Z557" s="7" t="str">
        <f t="shared" si="80"/>
        <v>Upper Scioto Valley Local SD (CASH)</v>
      </c>
      <c r="AA557" s="7" t="str">
        <f>'Gov Fnd Exp'!A557</f>
        <v>Upper Scioto Valley Local SD (CASH)</v>
      </c>
      <c r="AB557" s="7" t="b">
        <f t="shared" si="81"/>
        <v>1</v>
      </c>
      <c r="AC557" s="7" t="str">
        <f t="shared" si="78"/>
        <v>Hardin</v>
      </c>
      <c r="AD557" s="7" t="b">
        <f>C557='Gov Fnd Exp'!C557</f>
        <v>1</v>
      </c>
    </row>
    <row r="558" spans="1:30">
      <c r="A558" s="12" t="s">
        <v>234</v>
      </c>
      <c r="B558" s="12"/>
      <c r="C558" s="12" t="s">
        <v>232</v>
      </c>
      <c r="D558" s="12"/>
      <c r="E558" s="12">
        <v>44941</v>
      </c>
      <c r="G558" s="7">
        <v>0</v>
      </c>
      <c r="I558" s="7">
        <v>0</v>
      </c>
      <c r="K558" s="7">
        <f>85000+780000</f>
        <v>865000</v>
      </c>
      <c r="M558" s="7">
        <v>316195</v>
      </c>
      <c r="O558" s="7">
        <v>1631001</v>
      </c>
      <c r="Q558" s="7">
        <v>0</v>
      </c>
      <c r="S558" s="8">
        <f t="shared" si="79"/>
        <v>2812196</v>
      </c>
      <c r="U558" s="7">
        <v>660131</v>
      </c>
      <c r="V558" s="7">
        <f>+'St of Net Assets - GA'!O558-'LT _Lia - GA'!U558</f>
        <v>0</v>
      </c>
      <c r="Z558" s="7" t="str">
        <f t="shared" si="80"/>
        <v>Urbana City SD</v>
      </c>
      <c r="AA558" s="7" t="str">
        <f>'Gov Fnd Exp'!A558</f>
        <v>Urbana City SD</v>
      </c>
      <c r="AB558" s="7" t="b">
        <f t="shared" si="81"/>
        <v>1</v>
      </c>
      <c r="AC558" s="7" t="str">
        <f t="shared" si="78"/>
        <v>Champaign</v>
      </c>
      <c r="AD558" s="7" t="b">
        <f>C558='Gov Fnd Exp'!C558</f>
        <v>1</v>
      </c>
    </row>
    <row r="559" spans="1:30" hidden="1">
      <c r="A559" s="12" t="s">
        <v>734</v>
      </c>
      <c r="B559" s="12"/>
      <c r="C559" s="12" t="s">
        <v>59</v>
      </c>
      <c r="D559" s="12"/>
      <c r="E559" s="12">
        <v>49643</v>
      </c>
      <c r="S559" s="8">
        <f t="shared" si="79"/>
        <v>0</v>
      </c>
      <c r="V559" s="7">
        <f>+'St of Net Assets - GA'!O559-'LT _Lia - GA'!U559</f>
        <v>0</v>
      </c>
      <c r="X559" s="7" t="s">
        <v>789</v>
      </c>
      <c r="Z559" s="7" t="str">
        <f t="shared" si="80"/>
        <v>Valley Local SD (CASH)</v>
      </c>
      <c r="AA559" s="7" t="str">
        <f>'Gov Fnd Exp'!A559</f>
        <v>Valley Local SD (CASH)</v>
      </c>
      <c r="AB559" s="7" t="b">
        <f t="shared" si="81"/>
        <v>1</v>
      </c>
      <c r="AC559" s="7" t="str">
        <f t="shared" si="78"/>
        <v>Scioto</v>
      </c>
      <c r="AD559" s="7" t="b">
        <f>C559='Gov Fnd Exp'!C559</f>
        <v>1</v>
      </c>
    </row>
    <row r="560" spans="1:30">
      <c r="A560" s="12" t="s">
        <v>450</v>
      </c>
      <c r="B560" s="12"/>
      <c r="C560" s="12" t="s">
        <v>50</v>
      </c>
      <c r="D560" s="12"/>
      <c r="E560" s="12">
        <v>48744</v>
      </c>
      <c r="G560" s="7">
        <v>59800</v>
      </c>
      <c r="I560" s="7">
        <v>0</v>
      </c>
      <c r="K560" s="7">
        <v>0</v>
      </c>
      <c r="M560" s="7">
        <v>610049</v>
      </c>
      <c r="O560" s="7">
        <v>1020351</v>
      </c>
      <c r="Q560" s="7">
        <v>0</v>
      </c>
      <c r="S560" s="8">
        <f t="shared" si="79"/>
        <v>1690200</v>
      </c>
      <c r="U560" s="7">
        <v>229991</v>
      </c>
      <c r="V560" s="7">
        <f>+'St of Net Assets - GA'!O560-'LT _Lia - GA'!U560</f>
        <v>0</v>
      </c>
      <c r="Z560" s="7" t="str">
        <f t="shared" si="80"/>
        <v>Valley View Local SD</v>
      </c>
      <c r="AA560" s="7" t="str">
        <f>'Gov Fnd Exp'!A560</f>
        <v>Valley View Local SD</v>
      </c>
      <c r="AB560" s="7" t="b">
        <f t="shared" si="81"/>
        <v>1</v>
      </c>
      <c r="AC560" s="7" t="str">
        <f t="shared" si="78"/>
        <v>Montgomery</v>
      </c>
      <c r="AD560" s="7" t="b">
        <f>C560='Gov Fnd Exp'!C560</f>
        <v>1</v>
      </c>
    </row>
    <row r="561" spans="1:30">
      <c r="A561" s="12" t="s">
        <v>347</v>
      </c>
      <c r="B561" s="12"/>
      <c r="C561" s="12" t="s">
        <v>33</v>
      </c>
      <c r="D561" s="12"/>
      <c r="E561" s="12">
        <v>47464</v>
      </c>
      <c r="G561" s="7">
        <v>7407516</v>
      </c>
      <c r="I561" s="7">
        <v>0</v>
      </c>
      <c r="K561" s="7">
        <v>0</v>
      </c>
      <c r="M561" s="7">
        <v>0</v>
      </c>
      <c r="O561" s="7">
        <v>602715</v>
      </c>
      <c r="Q561" s="7">
        <v>0</v>
      </c>
      <c r="S561" s="8">
        <f t="shared" si="79"/>
        <v>8010231</v>
      </c>
      <c r="U561" s="7">
        <v>863433</v>
      </c>
      <c r="V561" s="7">
        <f>+'St of Net Assets - GA'!O561-'LT _Lia - GA'!U561</f>
        <v>0</v>
      </c>
      <c r="Z561" s="7" t="str">
        <f t="shared" si="80"/>
        <v>Van Buren Local SD</v>
      </c>
      <c r="AA561" s="7" t="str">
        <f>'Gov Fnd Exp'!A561</f>
        <v>Van Buren Local SD</v>
      </c>
      <c r="AB561" s="7" t="b">
        <f t="shared" si="81"/>
        <v>1</v>
      </c>
      <c r="AC561" s="7" t="str">
        <f t="shared" si="78"/>
        <v>Hancock</v>
      </c>
      <c r="AD561" s="7" t="b">
        <f>C561='Gov Fnd Exp'!C561</f>
        <v>1</v>
      </c>
    </row>
    <row r="562" spans="1:30" hidden="1">
      <c r="A562" s="12" t="s">
        <v>978</v>
      </c>
      <c r="B562" s="12"/>
      <c r="C562" s="12" t="s">
        <v>67</v>
      </c>
      <c r="D562" s="12"/>
      <c r="E562" s="12">
        <v>44966</v>
      </c>
      <c r="S562" s="8">
        <f t="shared" si="79"/>
        <v>0</v>
      </c>
      <c r="V562" s="7">
        <f>+'St of Net Assets - GA'!O562-'LT _Lia - GA'!U562</f>
        <v>0</v>
      </c>
      <c r="X562" s="7" t="s">
        <v>979</v>
      </c>
      <c r="Z562" s="7" t="str">
        <f t="shared" si="80"/>
        <v>Van Wert City SD (CASH)</v>
      </c>
      <c r="AA562" s="7" t="str">
        <f>'Gov Fnd Exp'!A562</f>
        <v>Van Wert City SD (CASH)</v>
      </c>
      <c r="AB562" s="7" t="b">
        <f t="shared" si="81"/>
        <v>1</v>
      </c>
      <c r="AC562" s="7" t="str">
        <f t="shared" si="78"/>
        <v>Van Wert</v>
      </c>
      <c r="AD562" s="7" t="b">
        <f>C562='Gov Fnd Exp'!C562</f>
        <v>1</v>
      </c>
    </row>
    <row r="563" spans="1:30">
      <c r="A563" s="12" t="s">
        <v>451</v>
      </c>
      <c r="B563" s="12"/>
      <c r="C563" s="12" t="s">
        <v>50</v>
      </c>
      <c r="D563" s="12"/>
      <c r="E563" s="12">
        <v>44958</v>
      </c>
      <c r="G563" s="7">
        <f>59663379-658261-967992-2628029</f>
        <v>55409097</v>
      </c>
      <c r="I563" s="7">
        <v>0</v>
      </c>
      <c r="K563" s="7">
        <v>0</v>
      </c>
      <c r="M563" s="7">
        <v>658261</v>
      </c>
      <c r="O563" s="7">
        <v>2628029</v>
      </c>
      <c r="Q563" s="7">
        <v>967992</v>
      </c>
      <c r="S563" s="8">
        <f t="shared" si="79"/>
        <v>59663379</v>
      </c>
      <c r="U563" s="7">
        <v>2237802</v>
      </c>
      <c r="V563" s="7">
        <f>+'St of Net Assets - GA'!O563-'LT _Lia - GA'!U563</f>
        <v>0</v>
      </c>
      <c r="Z563" s="7" t="str">
        <f t="shared" si="80"/>
        <v>Vandalia-Butler City SD</v>
      </c>
      <c r="AA563" s="7" t="str">
        <f>'Gov Fnd Exp'!A563</f>
        <v>Vandalia-Butler City SD</v>
      </c>
      <c r="AB563" s="7" t="b">
        <f t="shared" si="81"/>
        <v>1</v>
      </c>
      <c r="AC563" s="7" t="str">
        <f t="shared" si="78"/>
        <v>Montgomery</v>
      </c>
      <c r="AD563" s="7" t="b">
        <f>C563='Gov Fnd Exp'!C563</f>
        <v>1</v>
      </c>
    </row>
    <row r="564" spans="1:30" hidden="1">
      <c r="A564" s="12" t="s">
        <v>736</v>
      </c>
      <c r="B564" s="12"/>
      <c r="C564" s="12" t="s">
        <v>33</v>
      </c>
      <c r="D564" s="12"/>
      <c r="E564" s="12">
        <v>47472</v>
      </c>
      <c r="S564" s="8">
        <f t="shared" si="79"/>
        <v>0</v>
      </c>
      <c r="V564" s="7">
        <f>+'St of Net Assets - GA'!O564-'LT _Lia - GA'!U564</f>
        <v>0</v>
      </c>
      <c r="X564" s="7" t="s">
        <v>789</v>
      </c>
      <c r="Z564" s="7" t="str">
        <f t="shared" si="80"/>
        <v>Vanlue Local SD (CASH)</v>
      </c>
      <c r="AA564" s="7" t="str">
        <f>'Gov Fnd Exp'!A564</f>
        <v>Vanlue Local SD (CASH)</v>
      </c>
      <c r="AB564" s="7" t="b">
        <f t="shared" si="81"/>
        <v>1</v>
      </c>
      <c r="AC564" s="7" t="str">
        <f t="shared" si="78"/>
        <v>Hancock</v>
      </c>
      <c r="AD564" s="7" t="b">
        <f>C564='Gov Fnd Exp'!C564</f>
        <v>1</v>
      </c>
    </row>
    <row r="565" spans="1:30">
      <c r="A565" s="12" t="s">
        <v>297</v>
      </c>
      <c r="B565" s="12"/>
      <c r="C565" s="12" t="s">
        <v>24</v>
      </c>
      <c r="D565" s="12"/>
      <c r="E565" s="12">
        <v>46821</v>
      </c>
      <c r="G565" s="7">
        <f>8824050-1804252-769316-102108-261410</f>
        <v>5886964</v>
      </c>
      <c r="I565" s="7">
        <v>0</v>
      </c>
      <c r="K565" s="7">
        <v>0</v>
      </c>
      <c r="M565" s="7">
        <f>769316+102108</f>
        <v>871424</v>
      </c>
      <c r="O565" s="7">
        <v>1804252</v>
      </c>
      <c r="Q565" s="7">
        <v>261410</v>
      </c>
      <c r="S565" s="8">
        <f t="shared" si="79"/>
        <v>8824050</v>
      </c>
      <c r="U565" s="7">
        <v>1920446</v>
      </c>
      <c r="V565" s="7">
        <f>+'St of Net Assets - GA'!O565-'LT _Lia - GA'!U565</f>
        <v>0</v>
      </c>
      <c r="Z565" s="7" t="str">
        <f t="shared" si="80"/>
        <v>Vermilion Local SD</v>
      </c>
      <c r="AA565" s="7" t="str">
        <f>'Gov Fnd Exp'!A565</f>
        <v>Vermilion Local SD</v>
      </c>
      <c r="AB565" s="7" t="b">
        <f t="shared" si="81"/>
        <v>1</v>
      </c>
      <c r="AC565" s="7" t="str">
        <f t="shared" si="78"/>
        <v>Erie</v>
      </c>
      <c r="AD565" s="7" t="b">
        <f>C565='Gov Fnd Exp'!C565</f>
        <v>1</v>
      </c>
    </row>
    <row r="566" spans="1:30" hidden="1">
      <c r="A566" s="12" t="s">
        <v>737</v>
      </c>
      <c r="B566" s="12"/>
      <c r="C566" s="12" t="s">
        <v>21</v>
      </c>
      <c r="D566" s="12"/>
      <c r="E566" s="12"/>
      <c r="S566" s="8">
        <f t="shared" si="79"/>
        <v>0</v>
      </c>
      <c r="V566" s="7">
        <f>+'St of Net Assets - GA'!O566-'LT _Lia - GA'!U566</f>
        <v>0</v>
      </c>
      <c r="X566" s="7" t="s">
        <v>789</v>
      </c>
      <c r="Z566" s="7" t="str">
        <f t="shared" si="80"/>
        <v>Versailles Exempted Village SD (CASH)</v>
      </c>
      <c r="AA566" s="7" t="str">
        <f>'Gov Fnd Exp'!A566</f>
        <v>Versailles Exempted Village SD (CASH)</v>
      </c>
      <c r="AB566" s="7" t="b">
        <f t="shared" si="81"/>
        <v>1</v>
      </c>
      <c r="AC566" s="7" t="str">
        <f t="shared" si="78"/>
        <v>Darke</v>
      </c>
      <c r="AD566" s="7" t="b">
        <f>C566='Gov Fnd Exp'!C566</f>
        <v>1</v>
      </c>
    </row>
    <row r="567" spans="1:30">
      <c r="A567" s="12" t="s">
        <v>559</v>
      </c>
      <c r="B567" s="12"/>
      <c r="C567" s="12" t="s">
        <v>68</v>
      </c>
      <c r="D567" s="12"/>
      <c r="E567" s="12">
        <v>50393</v>
      </c>
      <c r="G567" s="7">
        <f>710000+3165000+1085000+1030000+268014</f>
        <v>6258014</v>
      </c>
      <c r="I567" s="7">
        <v>0</v>
      </c>
      <c r="K567" s="7">
        <v>0</v>
      </c>
      <c r="M567" s="7">
        <v>413773</v>
      </c>
      <c r="O567" s="7">
        <v>649837</v>
      </c>
      <c r="Q567" s="7">
        <v>230000</v>
      </c>
      <c r="S567" s="8">
        <f t="shared" si="79"/>
        <v>7551624</v>
      </c>
      <c r="U567" s="7">
        <v>513360</v>
      </c>
      <c r="V567" s="7">
        <f>+'St of Net Assets - GA'!O567-'LT _Lia - GA'!U567</f>
        <v>0</v>
      </c>
      <c r="Z567" s="7" t="str">
        <f t="shared" si="80"/>
        <v>Vinton County Local SD</v>
      </c>
      <c r="AA567" s="7" t="str">
        <f>'Gov Fnd Exp'!A567</f>
        <v>Vinton County Local SD</v>
      </c>
      <c r="AB567" s="7" t="b">
        <f t="shared" si="81"/>
        <v>1</v>
      </c>
      <c r="AC567" s="7" t="str">
        <f t="shared" si="78"/>
        <v>Vinton</v>
      </c>
      <c r="AD567" s="7" t="b">
        <f>C567='Gov Fnd Exp'!C567</f>
        <v>1</v>
      </c>
    </row>
    <row r="568" spans="1:30">
      <c r="A568" s="12" t="s">
        <v>432</v>
      </c>
      <c r="B568" s="12"/>
      <c r="C568" s="12" t="s">
        <v>47</v>
      </c>
      <c r="D568" s="12"/>
      <c r="E568" s="12">
        <v>44974</v>
      </c>
      <c r="G568" s="7">
        <v>93535181</v>
      </c>
      <c r="I568" s="7">
        <v>0</v>
      </c>
      <c r="K568" s="7">
        <v>14290000</v>
      </c>
      <c r="M568" s="7">
        <v>0</v>
      </c>
      <c r="O568" s="7">
        <v>4486781</v>
      </c>
      <c r="Q568" s="7">
        <v>0</v>
      </c>
      <c r="S568" s="8">
        <f t="shared" ref="S568:S589" si="82">SUM(G568:R568)</f>
        <v>112311962</v>
      </c>
      <c r="U568" s="7">
        <v>4429344</v>
      </c>
      <c r="V568" s="7">
        <f>+'St of Net Assets - GA'!O568-'LT _Lia - GA'!U568</f>
        <v>0</v>
      </c>
      <c r="Z568" s="7" t="str">
        <f t="shared" si="80"/>
        <v>Wadsworth City SD</v>
      </c>
      <c r="AA568" s="7" t="str">
        <f>'Gov Fnd Exp'!A568</f>
        <v>Wadsworth City SD</v>
      </c>
      <c r="AB568" s="7" t="b">
        <f t="shared" si="81"/>
        <v>1</v>
      </c>
      <c r="AC568" s="7" t="str">
        <f t="shared" si="78"/>
        <v>Medina</v>
      </c>
      <c r="AD568" s="7" t="b">
        <f>C568='Gov Fnd Exp'!C568</f>
        <v>1</v>
      </c>
    </row>
    <row r="569" spans="1:30">
      <c r="A569" s="12" t="s">
        <v>547</v>
      </c>
      <c r="B569" s="12"/>
      <c r="C569" s="12" t="s">
        <v>64</v>
      </c>
      <c r="D569" s="12"/>
      <c r="E569" s="12">
        <v>44990</v>
      </c>
      <c r="G569" s="7">
        <v>33770000</v>
      </c>
      <c r="I569" s="7">
        <v>0</v>
      </c>
      <c r="K569" s="7">
        <v>743750</v>
      </c>
      <c r="M569" s="7">
        <v>0</v>
      </c>
      <c r="O569" s="7">
        <v>3787940</v>
      </c>
      <c r="Q569" s="7">
        <v>0</v>
      </c>
      <c r="S569" s="8">
        <f t="shared" si="82"/>
        <v>38301690</v>
      </c>
      <c r="U569" s="7">
        <v>1679464</v>
      </c>
      <c r="V569" s="7">
        <f>+'St of Net Assets - GA'!O569-'LT _Lia - GA'!U569</f>
        <v>0</v>
      </c>
      <c r="Z569" s="7" t="str">
        <f t="shared" si="80"/>
        <v>Warren City SD</v>
      </c>
      <c r="AA569" s="7" t="str">
        <f>'Gov Fnd Exp'!A569</f>
        <v>Warren City SD</v>
      </c>
      <c r="AB569" s="7" t="b">
        <f t="shared" si="81"/>
        <v>1</v>
      </c>
      <c r="AC569" s="7" t="str">
        <f t="shared" si="78"/>
        <v>Trumbull</v>
      </c>
      <c r="AD569" s="7" t="b">
        <f>C569='Gov Fnd Exp'!C569</f>
        <v>1</v>
      </c>
    </row>
    <row r="570" spans="1:30">
      <c r="A570" s="12" t="s">
        <v>566</v>
      </c>
      <c r="B570" s="12"/>
      <c r="C570" s="12" t="s">
        <v>70</v>
      </c>
      <c r="D570" s="12"/>
      <c r="E570" s="12">
        <v>50500</v>
      </c>
      <c r="G570" s="7">
        <v>0</v>
      </c>
      <c r="I570" s="7">
        <v>0</v>
      </c>
      <c r="K570" s="7">
        <v>0</v>
      </c>
      <c r="M570" s="7">
        <v>0</v>
      </c>
      <c r="O570" s="7">
        <v>2217219</v>
      </c>
      <c r="Q570" s="7">
        <v>0</v>
      </c>
      <c r="S570" s="8">
        <f t="shared" si="82"/>
        <v>2217219</v>
      </c>
      <c r="U570" s="7">
        <v>21879</v>
      </c>
      <c r="V570" s="7">
        <f>+'St of Net Assets - GA'!O570-'LT _Lia - GA'!U570</f>
        <v>0</v>
      </c>
      <c r="Z570" s="7" t="str">
        <f t="shared" si="80"/>
        <v>Warren Local SD</v>
      </c>
      <c r="AA570" s="7" t="str">
        <f>'Gov Fnd Exp'!A570</f>
        <v>Warren Local SD</v>
      </c>
      <c r="AB570" s="7" t="b">
        <f t="shared" si="81"/>
        <v>1</v>
      </c>
      <c r="AC570" s="7" t="str">
        <f t="shared" si="78"/>
        <v>Washington</v>
      </c>
      <c r="AD570" s="7" t="b">
        <f>C570='Gov Fnd Exp'!C570</f>
        <v>1</v>
      </c>
    </row>
    <row r="571" spans="1:30">
      <c r="A571" s="12" t="s">
        <v>286</v>
      </c>
      <c r="B571" s="12"/>
      <c r="C571" s="12" t="s">
        <v>20</v>
      </c>
      <c r="D571" s="12"/>
      <c r="E571" s="12">
        <v>45005</v>
      </c>
      <c r="G571" s="7">
        <v>19843915</v>
      </c>
      <c r="I571" s="7">
        <v>0</v>
      </c>
      <c r="K571" s="7">
        <v>0</v>
      </c>
      <c r="M571" s="7">
        <v>0</v>
      </c>
      <c r="O571" s="7">
        <v>2062028</v>
      </c>
      <c r="Q571" s="7">
        <v>0</v>
      </c>
      <c r="S571" s="8">
        <f t="shared" si="82"/>
        <v>21905943</v>
      </c>
      <c r="U571" s="7">
        <v>1543875</v>
      </c>
      <c r="V571" s="7">
        <f>+'St of Net Assets - GA'!O571-'LT _Lia - GA'!U571</f>
        <v>0</v>
      </c>
      <c r="Z571" s="7" t="str">
        <f t="shared" si="80"/>
        <v>Warrensville Heights City SD</v>
      </c>
      <c r="AA571" s="7" t="str">
        <f>'Gov Fnd Exp'!A571</f>
        <v>Warrensville Heights City SD</v>
      </c>
      <c r="AB571" s="7" t="b">
        <f t="shared" si="81"/>
        <v>1</v>
      </c>
      <c r="AC571" s="7" t="str">
        <f t="shared" si="78"/>
        <v>Cuyahoga</v>
      </c>
      <c r="AD571" s="7" t="b">
        <f>C571='Gov Fnd Exp'!C571</f>
        <v>1</v>
      </c>
    </row>
    <row r="572" spans="1:30">
      <c r="A572" s="12" t="s">
        <v>304</v>
      </c>
      <c r="B572" s="12"/>
      <c r="C572" s="12" t="s">
        <v>26</v>
      </c>
      <c r="D572" s="12"/>
      <c r="E572" s="12">
        <v>45013</v>
      </c>
      <c r="G572" s="7">
        <f>21865383-1514867</f>
        <v>20350516</v>
      </c>
      <c r="I572" s="7">
        <v>0</v>
      </c>
      <c r="K572" s="7">
        <v>0</v>
      </c>
      <c r="M572" s="7">
        <v>206870</v>
      </c>
      <c r="O572" s="7">
        <v>1307997</v>
      </c>
      <c r="Q572" s="7">
        <v>0</v>
      </c>
      <c r="S572" s="8">
        <f t="shared" si="82"/>
        <v>21865383</v>
      </c>
      <c r="U572" s="7">
        <v>588387</v>
      </c>
      <c r="V572" s="7">
        <f>+'St of Net Assets - GA'!O572-'LT _Lia - GA'!U572</f>
        <v>0</v>
      </c>
      <c r="Z572" s="7" t="str">
        <f t="shared" si="80"/>
        <v>Washington Court House City SD</v>
      </c>
      <c r="AA572" s="7" t="str">
        <f>'Gov Fnd Exp'!A572</f>
        <v>Washington Court House City SD</v>
      </c>
      <c r="AB572" s="7" t="b">
        <f t="shared" si="81"/>
        <v>1</v>
      </c>
      <c r="AC572" s="7" t="str">
        <f t="shared" si="78"/>
        <v>Fayette</v>
      </c>
      <c r="AD572" s="7" t="b">
        <f>C572='Gov Fnd Exp'!C572</f>
        <v>1</v>
      </c>
    </row>
    <row r="573" spans="1:30">
      <c r="A573" s="12" t="s">
        <v>409</v>
      </c>
      <c r="B573" s="12"/>
      <c r="C573" s="12" t="s">
        <v>115</v>
      </c>
      <c r="D573" s="12"/>
      <c r="E573" s="12">
        <v>48231</v>
      </c>
      <c r="G573" s="7">
        <v>0</v>
      </c>
      <c r="I573" s="7">
        <v>0</v>
      </c>
      <c r="K573" s="7">
        <v>1198000</v>
      </c>
      <c r="M573" s="7">
        <v>0</v>
      </c>
      <c r="O573" s="7">
        <v>4467447</v>
      </c>
      <c r="Q573" s="7">
        <v>0</v>
      </c>
      <c r="S573" s="8">
        <f t="shared" si="82"/>
        <v>5665447</v>
      </c>
      <c r="U573" s="7">
        <v>1162432</v>
      </c>
      <c r="V573" s="7">
        <f>+'St of Net Assets - GA'!O573-'LT _Lia - GA'!U573</f>
        <v>0</v>
      </c>
      <c r="Z573" s="7" t="str">
        <f t="shared" si="80"/>
        <v>Washington Local SD</v>
      </c>
      <c r="AA573" s="7" t="str">
        <f>'Gov Fnd Exp'!A573</f>
        <v>Washington Local SD</v>
      </c>
      <c r="AB573" s="7" t="b">
        <f t="shared" si="81"/>
        <v>1</v>
      </c>
      <c r="AC573" s="7" t="str">
        <f t="shared" si="78"/>
        <v>Lucas</v>
      </c>
      <c r="AD573" s="7" t="b">
        <f>C573='Gov Fnd Exp'!C573</f>
        <v>1</v>
      </c>
    </row>
    <row r="574" spans="1:30">
      <c r="A574" s="12" t="s">
        <v>500</v>
      </c>
      <c r="B574" s="12"/>
      <c r="C574" s="12" t="s">
        <v>59</v>
      </c>
      <c r="D574" s="12"/>
      <c r="E574" s="12">
        <v>49650</v>
      </c>
      <c r="G574" s="7">
        <f>1170233-366494</f>
        <v>803739</v>
      </c>
      <c r="I574" s="7">
        <v>0</v>
      </c>
      <c r="K574" s="7">
        <v>0</v>
      </c>
      <c r="M574" s="7">
        <v>0</v>
      </c>
      <c r="O574" s="7">
        <v>366494</v>
      </c>
      <c r="S574" s="8">
        <f t="shared" si="82"/>
        <v>1170233</v>
      </c>
      <c r="U574" s="7">
        <v>129382</v>
      </c>
      <c r="V574" s="7">
        <f>+'St of Net Assets - GA'!O574-'LT _Lia - GA'!U574</f>
        <v>0</v>
      </c>
      <c r="Z574" s="7" t="str">
        <f t="shared" si="80"/>
        <v>Washington-Nile Local SD</v>
      </c>
      <c r="AA574" s="7" t="str">
        <f>'Gov Fnd Exp'!A574</f>
        <v>Washington-Nile Local SD</v>
      </c>
      <c r="AB574" s="7" t="b">
        <f t="shared" si="81"/>
        <v>1</v>
      </c>
      <c r="AC574" s="7" t="str">
        <f t="shared" si="78"/>
        <v>Scioto</v>
      </c>
      <c r="AD574" s="7" t="b">
        <f>C574='Gov Fnd Exp'!C574</f>
        <v>1</v>
      </c>
    </row>
    <row r="575" spans="1:30">
      <c r="A575" s="12" t="s">
        <v>480</v>
      </c>
      <c r="B575" s="12"/>
      <c r="C575" s="12" t="s">
        <v>56</v>
      </c>
      <c r="D575" s="12"/>
      <c r="E575" s="12">
        <v>49247</v>
      </c>
      <c r="G575" s="7">
        <f>400000+6940000+164999+543401</f>
        <v>8048400</v>
      </c>
      <c r="I575" s="7">
        <v>0</v>
      </c>
      <c r="K575" s="7">
        <v>1233000</v>
      </c>
      <c r="M575" s="7">
        <v>0</v>
      </c>
      <c r="O575" s="7">
        <v>595307</v>
      </c>
      <c r="Q575" s="7">
        <v>0</v>
      </c>
      <c r="S575" s="8">
        <f t="shared" si="82"/>
        <v>9876707</v>
      </c>
      <c r="U575" s="7">
        <v>643166</v>
      </c>
      <c r="V575" s="7">
        <f>+'St of Net Assets - GA'!O575-'LT _Lia - GA'!U575</f>
        <v>0</v>
      </c>
      <c r="Z575" s="7" t="str">
        <f t="shared" si="80"/>
        <v>Waterloo Local SD</v>
      </c>
      <c r="AA575" s="7" t="str">
        <f>'Gov Fnd Exp'!A575</f>
        <v>Waterloo Local SD</v>
      </c>
      <c r="AB575" s="7" t="b">
        <f t="shared" si="81"/>
        <v>1</v>
      </c>
      <c r="AC575" s="7" t="str">
        <f t="shared" si="78"/>
        <v>Portage</v>
      </c>
      <c r="AD575" s="7" t="b">
        <f>C575='Gov Fnd Exp'!C575</f>
        <v>1</v>
      </c>
    </row>
    <row r="576" spans="1:30">
      <c r="A576" s="12" t="s">
        <v>889</v>
      </c>
      <c r="B576" s="12"/>
      <c r="C576" s="12" t="s">
        <v>28</v>
      </c>
      <c r="D576" s="12"/>
      <c r="E576" s="12">
        <v>45641</v>
      </c>
      <c r="G576" s="7">
        <v>24955628</v>
      </c>
      <c r="I576" s="7">
        <v>0</v>
      </c>
      <c r="K576" s="7">
        <v>0</v>
      </c>
      <c r="M576" s="7">
        <v>0</v>
      </c>
      <c r="O576" s="7">
        <v>1669734</v>
      </c>
      <c r="Q576" s="7">
        <v>0</v>
      </c>
      <c r="S576" s="8">
        <f t="shared" si="82"/>
        <v>26625362</v>
      </c>
      <c r="U576" s="7">
        <v>1235518</v>
      </c>
      <c r="V576" s="7">
        <f>+'St of Net Assets - GA'!O576-'LT _Lia - GA'!U576</f>
        <v>0</v>
      </c>
      <c r="Z576" s="7" t="str">
        <f t="shared" si="80"/>
        <v>Wauseon Exempted Village SD</v>
      </c>
      <c r="AA576" s="7" t="str">
        <f>'Gov Fnd Exp'!A576</f>
        <v>Wauseon Exempted Village SD</v>
      </c>
      <c r="AB576" s="7" t="b">
        <f t="shared" si="81"/>
        <v>1</v>
      </c>
      <c r="AC576" s="7" t="str">
        <f t="shared" si="78"/>
        <v>Fulton</v>
      </c>
      <c r="AD576" s="7" t="b">
        <f>C576='Gov Fnd Exp'!C576</f>
        <v>1</v>
      </c>
    </row>
    <row r="577" spans="1:30">
      <c r="A577" s="12" t="s">
        <v>472</v>
      </c>
      <c r="B577" s="12"/>
      <c r="C577" s="12" t="s">
        <v>55</v>
      </c>
      <c r="D577" s="12"/>
      <c r="E577" s="12">
        <v>49148</v>
      </c>
      <c r="G577" s="7">
        <f>8678480-2441933</f>
        <v>6236547</v>
      </c>
      <c r="I577" s="7">
        <v>0</v>
      </c>
      <c r="K577" s="7">
        <v>0</v>
      </c>
      <c r="M577" s="7">
        <v>1407344</v>
      </c>
      <c r="O577" s="7">
        <v>1034589</v>
      </c>
      <c r="Q577" s="7">
        <v>0</v>
      </c>
      <c r="S577" s="8">
        <f t="shared" si="82"/>
        <v>8678480</v>
      </c>
      <c r="U577" s="7">
        <v>590911</v>
      </c>
      <c r="V577" s="7">
        <f>+'St of Net Assets - GA'!O577-'LT _Lia - GA'!U577</f>
        <v>0</v>
      </c>
      <c r="Z577" s="7" t="str">
        <f t="shared" si="80"/>
        <v>Waverly City SD</v>
      </c>
      <c r="AA577" s="7" t="str">
        <f>'Gov Fnd Exp'!A577</f>
        <v>Waverly City SD</v>
      </c>
      <c r="AB577" s="7" t="b">
        <f t="shared" si="81"/>
        <v>1</v>
      </c>
      <c r="AC577" s="7" t="str">
        <f t="shared" si="78"/>
        <v>Pike</v>
      </c>
      <c r="AD577" s="7" t="b">
        <f>C577='Gov Fnd Exp'!C577</f>
        <v>1</v>
      </c>
    </row>
    <row r="578" spans="1:30" hidden="1">
      <c r="A578" s="12" t="s">
        <v>747</v>
      </c>
      <c r="B578" s="12"/>
      <c r="C578" s="12" t="s">
        <v>69</v>
      </c>
      <c r="D578" s="12"/>
      <c r="E578" s="12">
        <v>50468</v>
      </c>
      <c r="S578" s="8">
        <f t="shared" si="82"/>
        <v>0</v>
      </c>
      <c r="V578" s="7">
        <f>+'St of Net Assets - GA'!O578-'LT _Lia - GA'!U578</f>
        <v>0</v>
      </c>
      <c r="Z578" s="7" t="str">
        <f t="shared" si="80"/>
        <v>Wayne Local SD (CASH)</v>
      </c>
      <c r="AA578" s="7" t="str">
        <f>'Gov Fnd Exp'!A578</f>
        <v>Wayne Local SD (CASH)</v>
      </c>
      <c r="AB578" s="7" t="b">
        <f t="shared" si="81"/>
        <v>1</v>
      </c>
      <c r="AC578" s="7" t="str">
        <f t="shared" si="78"/>
        <v>Warren</v>
      </c>
      <c r="AD578" s="7" t="b">
        <f>C578='Gov Fnd Exp'!C578</f>
        <v>1</v>
      </c>
    </row>
    <row r="579" spans="1:30" hidden="1">
      <c r="A579" s="12" t="s">
        <v>926</v>
      </c>
      <c r="B579" s="12"/>
      <c r="C579" s="12" t="s">
        <v>465</v>
      </c>
      <c r="D579" s="12"/>
      <c r="E579" s="12">
        <v>49031</v>
      </c>
      <c r="S579" s="8">
        <f t="shared" si="82"/>
        <v>0</v>
      </c>
      <c r="V579" s="7">
        <f>+'St of Net Assets - GA'!O579-'LT _Lia - GA'!U579</f>
        <v>0</v>
      </c>
      <c r="Z579" s="7" t="str">
        <f t="shared" si="80"/>
        <v>Wayne Trace Local SD (CASH)</v>
      </c>
      <c r="AA579" s="7" t="str">
        <f>'Gov Fnd Exp'!A579</f>
        <v>Wayne Trace Local SD (CASH)</v>
      </c>
      <c r="AB579" s="7" t="b">
        <f t="shared" si="81"/>
        <v>1</v>
      </c>
      <c r="AC579" s="7" t="str">
        <f t="shared" si="78"/>
        <v>Paulding</v>
      </c>
      <c r="AD579" s="7" t="b">
        <f>C579='Gov Fnd Exp'!C579</f>
        <v>1</v>
      </c>
    </row>
    <row r="580" spans="1:30" hidden="1">
      <c r="A580" s="12" t="s">
        <v>675</v>
      </c>
      <c r="B580" s="12"/>
      <c r="C580" s="12" t="s">
        <v>14</v>
      </c>
      <c r="D580" s="12"/>
      <c r="E580" s="12">
        <v>45971</v>
      </c>
      <c r="S580" s="8">
        <f t="shared" si="82"/>
        <v>0</v>
      </c>
      <c r="V580" s="7">
        <f>+'St of Net Assets - GA'!O580-'LT _Lia - GA'!U580</f>
        <v>0</v>
      </c>
      <c r="Z580" s="7" t="str">
        <f t="shared" si="80"/>
        <v>Waynesfield-Goshen Local SD  (CASH)</v>
      </c>
      <c r="AA580" s="7" t="str">
        <f>'Gov Fnd Exp'!A580</f>
        <v>Waynesfield-Goshen Local SD  (CASH)</v>
      </c>
      <c r="AB580" s="7" t="b">
        <f t="shared" si="81"/>
        <v>1</v>
      </c>
      <c r="AC580" s="7" t="str">
        <f t="shared" si="78"/>
        <v>Auglaize</v>
      </c>
      <c r="AD580" s="7" t="b">
        <f>C580='Gov Fnd Exp'!C580</f>
        <v>1</v>
      </c>
    </row>
    <row r="581" spans="1:30">
      <c r="A581" s="12" t="s">
        <v>548</v>
      </c>
      <c r="B581" s="12"/>
      <c r="C581" s="12" t="s">
        <v>64</v>
      </c>
      <c r="D581" s="12"/>
      <c r="E581" s="12">
        <v>50252</v>
      </c>
      <c r="G581" s="7">
        <v>1155000</v>
      </c>
      <c r="I581" s="7">
        <v>0</v>
      </c>
      <c r="K581" s="7">
        <v>0</v>
      </c>
      <c r="M581" s="7">
        <v>867475</v>
      </c>
      <c r="O581" s="7">
        <f>513190+47250</f>
        <v>560440</v>
      </c>
      <c r="Q581" s="7">
        <v>0</v>
      </c>
      <c r="S581" s="8">
        <f t="shared" si="82"/>
        <v>2582915</v>
      </c>
      <c r="U581" s="7">
        <v>359986</v>
      </c>
      <c r="V581" s="7">
        <f>+'St of Net Assets - GA'!O581-'LT _Lia - GA'!U581</f>
        <v>0</v>
      </c>
      <c r="Z581" s="7" t="str">
        <f t="shared" si="80"/>
        <v>Weathersfield Local SD</v>
      </c>
      <c r="AA581" s="7" t="str">
        <f>'Gov Fnd Exp'!A581</f>
        <v>Weathersfield Local SD</v>
      </c>
      <c r="AB581" s="7" t="b">
        <f t="shared" si="81"/>
        <v>1</v>
      </c>
      <c r="AC581" s="7" t="str">
        <f t="shared" si="78"/>
        <v>Trumbull</v>
      </c>
      <c r="AD581" s="7" t="b">
        <f>C581='Gov Fnd Exp'!C581</f>
        <v>1</v>
      </c>
    </row>
    <row r="582" spans="1:30">
      <c r="A582" s="12" t="s">
        <v>890</v>
      </c>
      <c r="B582" s="12"/>
      <c r="C582" s="12" t="s">
        <v>44</v>
      </c>
      <c r="D582" s="12"/>
      <c r="E582" s="12">
        <v>45658</v>
      </c>
      <c r="G582" s="7">
        <v>0</v>
      </c>
      <c r="I582" s="7">
        <v>0</v>
      </c>
      <c r="K582" s="7">
        <v>0</v>
      </c>
      <c r="M582" s="7">
        <v>0</v>
      </c>
      <c r="O582" s="7">
        <v>1463817</v>
      </c>
      <c r="Q582" s="7">
        <v>0</v>
      </c>
      <c r="S582" s="8">
        <f t="shared" si="82"/>
        <v>1463817</v>
      </c>
      <c r="U582" s="7">
        <v>300333</v>
      </c>
      <c r="V582" s="7">
        <f>+'St of Net Assets - GA'!O582-'LT _Lia - GA'!U582</f>
        <v>0</v>
      </c>
      <c r="Z582" s="7" t="str">
        <f t="shared" si="80"/>
        <v>Wellington Exempted Village SD</v>
      </c>
      <c r="AA582" s="7" t="str">
        <f>'Gov Fnd Exp'!A582</f>
        <v>Wellington Exempted Village SD</v>
      </c>
      <c r="AB582" s="7" t="b">
        <f t="shared" si="81"/>
        <v>1</v>
      </c>
      <c r="AC582" s="7" t="str">
        <f t="shared" si="78"/>
        <v>Lorain</v>
      </c>
      <c r="AD582" s="7" t="b">
        <f>C582='Gov Fnd Exp'!C582</f>
        <v>1</v>
      </c>
    </row>
    <row r="583" spans="1:30">
      <c r="A583" s="12" t="s">
        <v>371</v>
      </c>
      <c r="B583" s="12"/>
      <c r="C583" s="12" t="s">
        <v>38</v>
      </c>
      <c r="D583" s="12"/>
      <c r="E583" s="12">
        <v>45021</v>
      </c>
      <c r="G583" s="7">
        <f>4783037-689430</f>
        <v>4093607</v>
      </c>
      <c r="I583" s="7">
        <v>0</v>
      </c>
      <c r="K583" s="7">
        <v>0</v>
      </c>
      <c r="M583" s="7">
        <v>0</v>
      </c>
      <c r="O583" s="7">
        <v>689430</v>
      </c>
      <c r="Q583" s="7">
        <v>0</v>
      </c>
      <c r="S583" s="8">
        <f t="shared" si="82"/>
        <v>4783037</v>
      </c>
      <c r="U583" s="7">
        <v>325613</v>
      </c>
      <c r="V583" s="7">
        <f>+'St of Net Assets - GA'!O583-'LT _Lia - GA'!U583</f>
        <v>0</v>
      </c>
      <c r="Z583" s="7" t="str">
        <f t="shared" si="80"/>
        <v>Wellston City SD</v>
      </c>
      <c r="AA583" s="7" t="str">
        <f>'Gov Fnd Exp'!A583</f>
        <v>Wellston City SD</v>
      </c>
      <c r="AB583" s="7" t="b">
        <f t="shared" si="81"/>
        <v>1</v>
      </c>
      <c r="AC583" s="7" t="str">
        <f t="shared" si="78"/>
        <v>Jackson</v>
      </c>
      <c r="AD583" s="7" t="b">
        <f>C583='Gov Fnd Exp'!C583</f>
        <v>1</v>
      </c>
    </row>
    <row r="584" spans="1:30">
      <c r="A584" s="12" t="s">
        <v>258</v>
      </c>
      <c r="B584" s="12"/>
      <c r="C584" s="12" t="s">
        <v>112</v>
      </c>
      <c r="D584" s="12"/>
      <c r="E584" s="12">
        <v>45039</v>
      </c>
      <c r="G584" s="7">
        <v>996417</v>
      </c>
      <c r="I584" s="7">
        <v>200000</v>
      </c>
      <c r="K584" s="7">
        <v>0</v>
      </c>
      <c r="M584" s="7">
        <v>0</v>
      </c>
      <c r="O584" s="7">
        <v>525698</v>
      </c>
      <c r="Q584" s="7">
        <v>0</v>
      </c>
      <c r="S584" s="8">
        <f t="shared" si="82"/>
        <v>1722115</v>
      </c>
      <c r="U584" s="7">
        <v>211839</v>
      </c>
      <c r="V584" s="7">
        <f>+'St of Net Assets - GA'!O584-'LT _Lia - GA'!U584</f>
        <v>0</v>
      </c>
      <c r="Z584" s="7" t="str">
        <f t="shared" si="80"/>
        <v>Wellsville Local SD</v>
      </c>
      <c r="AA584" s="7" t="str">
        <f>'Gov Fnd Exp'!A584</f>
        <v>Wellsville Local SD</v>
      </c>
      <c r="AB584" s="7" t="b">
        <f t="shared" si="81"/>
        <v>1</v>
      </c>
      <c r="AC584" s="7" t="str">
        <f t="shared" si="78"/>
        <v>Columbiana</v>
      </c>
      <c r="AD584" s="7" t="b">
        <f>C584='Gov Fnd Exp'!C584</f>
        <v>1</v>
      </c>
    </row>
    <row r="585" spans="1:30">
      <c r="A585" s="12" t="s">
        <v>421</v>
      </c>
      <c r="B585" s="12"/>
      <c r="C585" s="12" t="s">
        <v>45</v>
      </c>
      <c r="D585" s="12"/>
      <c r="E585" s="12">
        <v>48389</v>
      </c>
      <c r="G585" s="7">
        <f>6260576+1556048</f>
        <v>7816624</v>
      </c>
      <c r="I585" s="7">
        <v>0</v>
      </c>
      <c r="K585" s="7">
        <v>0</v>
      </c>
      <c r="M585" s="7">
        <v>0</v>
      </c>
      <c r="O585" s="7">
        <v>1057689</v>
      </c>
      <c r="Q585" s="7">
        <v>0</v>
      </c>
      <c r="S585" s="8">
        <f t="shared" si="82"/>
        <v>8874313</v>
      </c>
      <c r="U585" s="7">
        <v>616422</v>
      </c>
      <c r="V585" s="7">
        <f>+'St of Net Assets - GA'!O585-'LT _Lia - GA'!U585</f>
        <v>0</v>
      </c>
      <c r="Z585" s="7" t="str">
        <f t="shared" si="80"/>
        <v>West Branch Local SD</v>
      </c>
      <c r="AA585" s="7" t="str">
        <f>'Gov Fnd Exp'!A585</f>
        <v>West Branch Local SD</v>
      </c>
      <c r="AB585" s="7" t="b">
        <f t="shared" si="81"/>
        <v>1</v>
      </c>
      <c r="AC585" s="7" t="str">
        <f t="shared" si="78"/>
        <v>Mahoning</v>
      </c>
      <c r="AD585" s="7" t="b">
        <f>C585='Gov Fnd Exp'!C585</f>
        <v>1</v>
      </c>
    </row>
    <row r="586" spans="1:30">
      <c r="A586" s="12" t="s">
        <v>746</v>
      </c>
      <c r="B586" s="12"/>
      <c r="C586" s="12" t="s">
        <v>50</v>
      </c>
      <c r="D586" s="12"/>
      <c r="E586" s="12"/>
      <c r="G586" s="7">
        <v>1960000</v>
      </c>
      <c r="I586" s="7">
        <v>0</v>
      </c>
      <c r="K586" s="7">
        <v>0</v>
      </c>
      <c r="M586" s="7">
        <v>1770930</v>
      </c>
      <c r="O586" s="7">
        <v>1707602</v>
      </c>
      <c r="Q586" s="7">
        <v>0</v>
      </c>
      <c r="S586" s="8">
        <f t="shared" si="82"/>
        <v>5438532</v>
      </c>
      <c r="U586" s="7">
        <v>797997</v>
      </c>
      <c r="V586" s="7">
        <f>+'St of Net Assets - GA'!O586-'LT _Lia - GA'!U586</f>
        <v>0</v>
      </c>
      <c r="Z586" s="7" t="str">
        <f t="shared" si="80"/>
        <v>West Carrollton City SD</v>
      </c>
      <c r="AA586" s="7" t="str">
        <f>'Gov Fnd Exp'!A586</f>
        <v>West Carrollton City SD</v>
      </c>
      <c r="AB586" s="7" t="b">
        <f t="shared" si="81"/>
        <v>1</v>
      </c>
      <c r="AC586" s="7" t="str">
        <f t="shared" si="78"/>
        <v>Montgomery</v>
      </c>
      <c r="AD586" s="7" t="b">
        <f>C586='Gov Fnd Exp'!C586</f>
        <v>1</v>
      </c>
    </row>
    <row r="587" spans="1:30">
      <c r="A587" s="12" t="s">
        <v>246</v>
      </c>
      <c r="B587" s="12"/>
      <c r="C587" s="12" t="s">
        <v>113</v>
      </c>
      <c r="D587" s="12"/>
      <c r="E587" s="12">
        <v>46359</v>
      </c>
      <c r="G587" s="7">
        <v>35423065</v>
      </c>
      <c r="I587" s="7">
        <v>0</v>
      </c>
      <c r="K587" s="7">
        <v>0</v>
      </c>
      <c r="M587" s="7">
        <v>4835616</v>
      </c>
      <c r="O587" s="7">
        <v>2731547</v>
      </c>
      <c r="Q587" s="7">
        <v>0</v>
      </c>
      <c r="S587" s="8">
        <f>SUM(G587:R587)</f>
        <v>42990228</v>
      </c>
      <c r="U587" s="7">
        <v>3960160</v>
      </c>
      <c r="V587" s="7">
        <f>+'St of Net Assets - GA'!O587-'LT _Lia - GA'!U587</f>
        <v>0</v>
      </c>
      <c r="Z587" s="7" t="str">
        <f t="shared" si="80"/>
        <v>West Clermont Local SD</v>
      </c>
      <c r="AA587" s="7" t="str">
        <f>'Gov Fnd Exp'!A587</f>
        <v>West Clermont Local SD</v>
      </c>
      <c r="AB587" s="7" t="b">
        <f t="shared" si="81"/>
        <v>1</v>
      </c>
      <c r="AC587" s="7" t="str">
        <f t="shared" si="78"/>
        <v>Clermont</v>
      </c>
      <c r="AD587" s="7" t="b">
        <f>C587='Gov Fnd Exp'!C587</f>
        <v>1</v>
      </c>
    </row>
    <row r="588" spans="1:30">
      <c r="A588" s="12" t="s">
        <v>324</v>
      </c>
      <c r="B588" s="12"/>
      <c r="C588" s="12" t="s">
        <v>30</v>
      </c>
      <c r="D588" s="12"/>
      <c r="E588" s="12">
        <v>47225</v>
      </c>
      <c r="G588" s="7">
        <v>4875000</v>
      </c>
      <c r="I588" s="7">
        <v>0</v>
      </c>
      <c r="K588" s="7">
        <v>0</v>
      </c>
      <c r="M588" s="7">
        <f>140753+299100</f>
        <v>439853</v>
      </c>
      <c r="O588" s="7">
        <f>1667223+12500</f>
        <v>1679723</v>
      </c>
      <c r="Q588" s="7">
        <v>0</v>
      </c>
      <c r="S588" s="8">
        <f t="shared" si="82"/>
        <v>6994576</v>
      </c>
      <c r="U588" s="7">
        <v>2368695</v>
      </c>
      <c r="V588" s="7">
        <f>+'St of Net Assets - GA'!O588-'LT _Lia - GA'!U588</f>
        <v>0</v>
      </c>
      <c r="Z588" s="7" t="str">
        <f t="shared" si="80"/>
        <v>West Geauga Local SD</v>
      </c>
      <c r="AA588" s="7" t="str">
        <f>'Gov Fnd Exp'!A588</f>
        <v>West Geauga Local SD</v>
      </c>
      <c r="AB588" s="7" t="b">
        <f t="shared" si="81"/>
        <v>1</v>
      </c>
      <c r="AC588" s="7" t="str">
        <f t="shared" si="78"/>
        <v>Geauga</v>
      </c>
      <c r="AD588" s="7" t="b">
        <f>C588='Gov Fnd Exp'!C588</f>
        <v>1</v>
      </c>
    </row>
    <row r="589" spans="1:30">
      <c r="A589" s="12" t="s">
        <v>364</v>
      </c>
      <c r="B589" s="12"/>
      <c r="C589" s="12" t="s">
        <v>36</v>
      </c>
      <c r="D589" s="12"/>
      <c r="E589" s="12">
        <v>47696</v>
      </c>
      <c r="G589" s="7">
        <f>11285000+680761-541921</f>
        <v>11423840</v>
      </c>
      <c r="I589" s="7">
        <v>0</v>
      </c>
      <c r="K589" s="7">
        <v>0</v>
      </c>
      <c r="M589" s="7">
        <v>0</v>
      </c>
      <c r="O589" s="7">
        <v>2032916</v>
      </c>
      <c r="Q589" s="7">
        <v>0</v>
      </c>
      <c r="S589" s="8">
        <f t="shared" si="82"/>
        <v>13456756</v>
      </c>
      <c r="U589" s="7">
        <v>732195</v>
      </c>
      <c r="V589" s="7">
        <f>+'St of Net Assets - GA'!O589-'LT _Lia - GA'!U589</f>
        <v>0</v>
      </c>
      <c r="Z589" s="7" t="str">
        <f t="shared" si="80"/>
        <v>West Holmes Local SD</v>
      </c>
      <c r="AA589" s="7" t="str">
        <f>'Gov Fnd Exp'!A589</f>
        <v>West Holmes Local SD</v>
      </c>
      <c r="AB589" s="7" t="b">
        <f t="shared" si="81"/>
        <v>1</v>
      </c>
      <c r="AC589" s="7" t="str">
        <f t="shared" si="78"/>
        <v>Holmes</v>
      </c>
      <c r="AD589" s="7" t="b">
        <f>C589='Gov Fnd Exp'!C589</f>
        <v>1</v>
      </c>
    </row>
    <row r="590" spans="1:30">
      <c r="A590" s="12" t="s">
        <v>235</v>
      </c>
      <c r="B590" s="12"/>
      <c r="C590" s="12" t="s">
        <v>232</v>
      </c>
      <c r="D590" s="12"/>
      <c r="E590" s="12">
        <v>46219</v>
      </c>
      <c r="G590" s="7">
        <v>0</v>
      </c>
      <c r="I590" s="7">
        <v>0</v>
      </c>
      <c r="K590" s="7">
        <v>0</v>
      </c>
      <c r="M590" s="7">
        <v>31813</v>
      </c>
      <c r="O590" s="7">
        <v>749065</v>
      </c>
      <c r="Q590" s="7">
        <v>0</v>
      </c>
      <c r="S590" s="8">
        <f>SUM(G590:R590)</f>
        <v>780878</v>
      </c>
      <c r="U590" s="7">
        <v>213110</v>
      </c>
      <c r="V590" s="7">
        <f>+'St of Net Assets - GA'!O590-'LT _Lia - GA'!U590</f>
        <v>0</v>
      </c>
      <c r="Z590" s="7" t="str">
        <f t="shared" si="80"/>
        <v>West Liberty-Salem Local SD</v>
      </c>
      <c r="AA590" s="7" t="str">
        <f>'Gov Fnd Exp'!A590</f>
        <v>West Liberty-Salem Local SD</v>
      </c>
      <c r="AB590" s="7" t="b">
        <f t="shared" si="81"/>
        <v>1</v>
      </c>
      <c r="AC590" s="7" t="str">
        <f t="shared" si="78"/>
        <v>Champaign</v>
      </c>
      <c r="AD590" s="7" t="b">
        <f>C590='Gov Fnd Exp'!C590</f>
        <v>1</v>
      </c>
    </row>
    <row r="591" spans="1:30">
      <c r="A591" s="12" t="s">
        <v>460</v>
      </c>
      <c r="B591" s="12"/>
      <c r="C591" s="12" t="s">
        <v>51</v>
      </c>
      <c r="D591" s="12"/>
      <c r="E591" s="12">
        <v>48884</v>
      </c>
      <c r="G591" s="7">
        <v>20743683</v>
      </c>
      <c r="I591" s="7">
        <v>0</v>
      </c>
      <c r="K591" s="7">
        <v>0</v>
      </c>
      <c r="M591" s="7">
        <v>1621794</v>
      </c>
      <c r="O591" s="7">
        <v>700632</v>
      </c>
      <c r="Q591" s="7">
        <v>0</v>
      </c>
      <c r="S591" s="8">
        <f t="shared" ref="S591:S618" si="83">SUM(G591:R591)</f>
        <v>23066109</v>
      </c>
      <c r="U591" s="7">
        <v>549214</v>
      </c>
      <c r="V591" s="7">
        <f>+'St of Net Assets - GA'!O591-'LT _Lia - GA'!U591</f>
        <v>0</v>
      </c>
      <c r="Z591" s="7" t="str">
        <f t="shared" si="80"/>
        <v>West Muskingum Local SD</v>
      </c>
      <c r="AA591" s="7" t="str">
        <f>'Gov Fnd Exp'!A591</f>
        <v>West Muskingum Local SD</v>
      </c>
      <c r="AB591" s="7" t="b">
        <f t="shared" si="81"/>
        <v>1</v>
      </c>
      <c r="AC591" s="7" t="str">
        <f t="shared" si="78"/>
        <v>Muskingum</v>
      </c>
      <c r="AD591" s="7" t="b">
        <f>C591='Gov Fnd Exp'!C591</f>
        <v>1</v>
      </c>
    </row>
    <row r="592" spans="1:30">
      <c r="A592" s="12" t="s">
        <v>222</v>
      </c>
      <c r="B592" s="12"/>
      <c r="C592" s="12" t="s">
        <v>77</v>
      </c>
      <c r="D592" s="12"/>
      <c r="E592" s="12">
        <v>46060</v>
      </c>
      <c r="G592" s="7">
        <f>6989446-2428935</f>
        <v>4560511</v>
      </c>
      <c r="I592" s="7">
        <v>0</v>
      </c>
      <c r="K592" s="7">
        <v>0</v>
      </c>
      <c r="M592" s="7">
        <v>856000</v>
      </c>
      <c r="O592" s="7">
        <f>1568935+4000</f>
        <v>1572935</v>
      </c>
      <c r="Q592" s="7">
        <v>0</v>
      </c>
      <c r="S592" s="8">
        <f t="shared" si="83"/>
        <v>6989446</v>
      </c>
      <c r="U592" s="7">
        <v>713981</v>
      </c>
      <c r="V592" s="7">
        <f>+'St of Net Assets - GA'!O592-'LT _Lia - GA'!U592</f>
        <v>0</v>
      </c>
      <c r="Z592" s="7" t="str">
        <f t="shared" si="80"/>
        <v>Western Brown Local SD</v>
      </c>
      <c r="AA592" s="7" t="str">
        <f>'Gov Fnd Exp'!A592</f>
        <v>Western Brown Local SD</v>
      </c>
      <c r="AB592" s="7" t="b">
        <f t="shared" si="81"/>
        <v>1</v>
      </c>
      <c r="AC592" s="7" t="str">
        <f t="shared" ref="AC592:AC618" si="84">C592</f>
        <v>Brown</v>
      </c>
      <c r="AD592" s="7" t="b">
        <f>C592='Gov Fnd Exp'!C592</f>
        <v>1</v>
      </c>
    </row>
    <row r="593" spans="1:30">
      <c r="A593" s="12" t="s">
        <v>473</v>
      </c>
      <c r="B593" s="12"/>
      <c r="C593" s="12" t="s">
        <v>55</v>
      </c>
      <c r="D593" s="12"/>
      <c r="E593" s="12">
        <v>49155</v>
      </c>
      <c r="G593" s="7">
        <v>525000</v>
      </c>
      <c r="I593" s="7">
        <v>0</v>
      </c>
      <c r="K593" s="7">
        <v>0</v>
      </c>
      <c r="M593" s="7">
        <v>471087</v>
      </c>
      <c r="O593" s="7">
        <v>259948</v>
      </c>
      <c r="Q593" s="7">
        <v>0</v>
      </c>
      <c r="S593" s="8">
        <f t="shared" si="83"/>
        <v>1256035</v>
      </c>
      <c r="U593" s="7">
        <v>90749</v>
      </c>
      <c r="V593" s="7">
        <f>+'St of Net Assets - GA'!O593-'LT _Lia - GA'!U593</f>
        <v>0</v>
      </c>
      <c r="Z593" s="7" t="str">
        <f t="shared" si="80"/>
        <v>Western Local SD</v>
      </c>
      <c r="AA593" s="7" t="str">
        <f>'Gov Fnd Exp'!A593</f>
        <v>Western Local SD</v>
      </c>
      <c r="AB593" s="7" t="b">
        <f t="shared" si="81"/>
        <v>1</v>
      </c>
      <c r="AC593" s="7" t="str">
        <f t="shared" si="84"/>
        <v>Pike</v>
      </c>
      <c r="AD593" s="7" t="b">
        <f>C593='Gov Fnd Exp'!C593</f>
        <v>1</v>
      </c>
    </row>
    <row r="594" spans="1:30" ht="12" customHeight="1">
      <c r="A594" s="12" t="s">
        <v>369</v>
      </c>
      <c r="B594" s="12"/>
      <c r="C594" s="12" t="s">
        <v>37</v>
      </c>
      <c r="D594" s="12"/>
      <c r="E594" s="12">
        <v>47746</v>
      </c>
      <c r="G594" s="7">
        <v>2552280</v>
      </c>
      <c r="I594" s="7">
        <v>0</v>
      </c>
      <c r="K594" s="7">
        <v>0</v>
      </c>
      <c r="M594" s="7">
        <v>9304</v>
      </c>
      <c r="O594" s="7">
        <v>740132</v>
      </c>
      <c r="Q594" s="7">
        <v>0</v>
      </c>
      <c r="S594" s="8">
        <f t="shared" si="83"/>
        <v>3301716</v>
      </c>
      <c r="U594" s="7">
        <v>276899</v>
      </c>
      <c r="V594" s="7">
        <f>+'St of Net Assets - GA'!O594-'LT _Lia - GA'!U594</f>
        <v>0</v>
      </c>
      <c r="Z594" s="7" t="str">
        <f t="shared" si="80"/>
        <v>Western Reserve Local SD</v>
      </c>
      <c r="AA594" s="7" t="str">
        <f>'Gov Fnd Exp'!A594</f>
        <v>Western Reserve Local SD</v>
      </c>
      <c r="AB594" s="7" t="b">
        <f t="shared" si="81"/>
        <v>1</v>
      </c>
      <c r="AC594" s="7" t="str">
        <f t="shared" si="84"/>
        <v>Huron</v>
      </c>
      <c r="AD594" s="7" t="b">
        <f>C594='Gov Fnd Exp'!C594</f>
        <v>1</v>
      </c>
    </row>
    <row r="595" spans="1:30" ht="12" customHeight="1">
      <c r="A595" s="12" t="s">
        <v>369</v>
      </c>
      <c r="B595" s="12"/>
      <c r="C595" s="12" t="s">
        <v>45</v>
      </c>
      <c r="D595" s="12"/>
      <c r="E595" s="12">
        <v>48397</v>
      </c>
      <c r="G595" s="7">
        <v>10963692</v>
      </c>
      <c r="I595" s="7">
        <v>0</v>
      </c>
      <c r="K595" s="7">
        <v>0</v>
      </c>
      <c r="M595" s="7">
        <v>0</v>
      </c>
      <c r="O595" s="7">
        <v>614240</v>
      </c>
      <c r="Q595" s="7">
        <v>0</v>
      </c>
      <c r="S595" s="8">
        <f t="shared" si="83"/>
        <v>11577932</v>
      </c>
      <c r="U595" s="7">
        <v>214108</v>
      </c>
      <c r="V595" s="7">
        <f>+'St of Net Assets - GA'!O595-'LT _Lia - GA'!U595</f>
        <v>0</v>
      </c>
      <c r="Z595" s="7" t="str">
        <f t="shared" ref="Z595:Z618" si="85">A595</f>
        <v>Western Reserve Local SD</v>
      </c>
      <c r="AA595" s="7" t="str">
        <f>'Gov Fnd Exp'!A595</f>
        <v>Western Reserve Local SD</v>
      </c>
      <c r="AB595" s="7" t="b">
        <f t="shared" si="81"/>
        <v>1</v>
      </c>
      <c r="AC595" s="7" t="str">
        <f t="shared" si="84"/>
        <v>Mahoning</v>
      </c>
      <c r="AD595" s="7" t="b">
        <f>C595='Gov Fnd Exp'!C595</f>
        <v>1</v>
      </c>
    </row>
    <row r="596" spans="1:30" ht="12" customHeight="1">
      <c r="A596" s="12" t="s">
        <v>315</v>
      </c>
      <c r="B596" s="12"/>
      <c r="C596" s="12" t="s">
        <v>27</v>
      </c>
      <c r="D596" s="12"/>
      <c r="E596" s="12">
        <v>45047</v>
      </c>
      <c r="G596" s="7">
        <v>117246852</v>
      </c>
      <c r="I596" s="7">
        <v>0</v>
      </c>
      <c r="K596" s="7">
        <v>0</v>
      </c>
      <c r="M596" s="7">
        <v>0</v>
      </c>
      <c r="O596" s="7">
        <v>12650772</v>
      </c>
      <c r="Q596" s="7">
        <v>0</v>
      </c>
      <c r="S596" s="8">
        <f t="shared" si="83"/>
        <v>129897624</v>
      </c>
      <c r="U596" s="7">
        <v>6224295</v>
      </c>
      <c r="V596" s="7">
        <f>+'St of Net Assets - GA'!O596-'LT _Lia - GA'!U596</f>
        <v>0</v>
      </c>
      <c r="Z596" s="7" t="str">
        <f t="shared" si="85"/>
        <v>Westerville City SD</v>
      </c>
      <c r="AA596" s="7" t="str">
        <f>'Gov Fnd Exp'!A596</f>
        <v>Westerville City SD</v>
      </c>
      <c r="AB596" s="7" t="b">
        <f t="shared" ref="AB596:AB618" si="86">Z596=AA596</f>
        <v>1</v>
      </c>
      <c r="AC596" s="7" t="str">
        <f t="shared" si="84"/>
        <v>Franklin</v>
      </c>
      <c r="AD596" s="7" t="b">
        <f>C596='Gov Fnd Exp'!C596</f>
        <v>1</v>
      </c>
    </row>
    <row r="597" spans="1:30" ht="12" customHeight="1">
      <c r="A597" s="12" t="s">
        <v>470</v>
      </c>
      <c r="B597" s="12"/>
      <c r="C597" s="12" t="s">
        <v>54</v>
      </c>
      <c r="D597" s="12"/>
      <c r="E597" s="12">
        <v>49106</v>
      </c>
      <c r="G597" s="7">
        <v>4749488</v>
      </c>
      <c r="I597" s="7">
        <v>0</v>
      </c>
      <c r="K597" s="7">
        <v>0</v>
      </c>
      <c r="M597" s="7">
        <v>416001</v>
      </c>
      <c r="O597" s="7">
        <v>439784</v>
      </c>
      <c r="Q597" s="7">
        <v>439892</v>
      </c>
      <c r="S597" s="8">
        <f t="shared" si="83"/>
        <v>6045165</v>
      </c>
      <c r="U597" s="7">
        <v>464186</v>
      </c>
      <c r="V597" s="7">
        <f>+'St of Net Assets - GA'!O597-'LT _Lia - GA'!U597</f>
        <v>0</v>
      </c>
      <c r="Z597" s="7" t="str">
        <f t="shared" si="85"/>
        <v>Westfall Local SD</v>
      </c>
      <c r="AA597" s="7" t="str">
        <f>'Gov Fnd Exp'!A597</f>
        <v>Westfall Local SD</v>
      </c>
      <c r="AB597" s="7" t="b">
        <f t="shared" si="86"/>
        <v>1</v>
      </c>
      <c r="AC597" s="7" t="str">
        <f t="shared" si="84"/>
        <v>Pickaway</v>
      </c>
      <c r="AD597" s="7" t="b">
        <f>C597='Gov Fnd Exp'!C597</f>
        <v>1</v>
      </c>
    </row>
    <row r="598" spans="1:30" ht="12" customHeight="1">
      <c r="A598" s="12" t="s">
        <v>287</v>
      </c>
      <c r="B598" s="12"/>
      <c r="C598" s="12" t="s">
        <v>20</v>
      </c>
      <c r="D598" s="12"/>
      <c r="E598" s="12">
        <v>45062</v>
      </c>
      <c r="G598" s="7">
        <v>104969676</v>
      </c>
      <c r="I598" s="7">
        <v>0</v>
      </c>
      <c r="K598" s="7">
        <v>0</v>
      </c>
      <c r="M598" s="7">
        <v>225189</v>
      </c>
      <c r="O598" s="7">
        <f>568750+4057123</f>
        <v>4625873</v>
      </c>
      <c r="Q598" s="7">
        <v>0</v>
      </c>
      <c r="S598" s="8">
        <f t="shared" si="83"/>
        <v>109820738</v>
      </c>
      <c r="U598" s="7">
        <v>4470079</v>
      </c>
      <c r="V598" s="7">
        <f>+'St of Net Assets - GA'!O598-'LT _Lia - GA'!U598</f>
        <v>0</v>
      </c>
      <c r="Z598" s="7" t="str">
        <f t="shared" si="85"/>
        <v>Westlake City SD</v>
      </c>
      <c r="AA598" s="7" t="str">
        <f>'Gov Fnd Exp'!A598</f>
        <v>Westlake City SD</v>
      </c>
      <c r="AB598" s="7" t="b">
        <f t="shared" si="86"/>
        <v>1</v>
      </c>
      <c r="AC598" s="7" t="str">
        <f t="shared" si="84"/>
        <v>Cuyahoga</v>
      </c>
      <c r="AD598" s="7" t="b">
        <f>C598='Gov Fnd Exp'!C598</f>
        <v>1</v>
      </c>
    </row>
    <row r="599" spans="1:30" ht="12" customHeight="1">
      <c r="A599" s="12" t="s">
        <v>501</v>
      </c>
      <c r="B599" s="12"/>
      <c r="C599" s="12" t="s">
        <v>59</v>
      </c>
      <c r="D599" s="12"/>
      <c r="E599" s="12">
        <v>49668</v>
      </c>
      <c r="G599" s="7">
        <f>2805000+5860000+236116</f>
        <v>8901116</v>
      </c>
      <c r="I599" s="7">
        <v>0</v>
      </c>
      <c r="K599" s="7">
        <v>0</v>
      </c>
      <c r="M599" s="7">
        <f>430000+172258+36296</f>
        <v>638554</v>
      </c>
      <c r="O599" s="7">
        <v>775067</v>
      </c>
      <c r="Q599" s="7">
        <v>0</v>
      </c>
      <c r="S599" s="8">
        <f t="shared" si="83"/>
        <v>10314737</v>
      </c>
      <c r="U599" s="7">
        <v>383708</v>
      </c>
      <c r="V599" s="7">
        <f>+'St of Net Assets - GA'!O599-'LT _Lia - GA'!U599</f>
        <v>0</v>
      </c>
      <c r="Z599" s="7" t="str">
        <f t="shared" si="85"/>
        <v>Wheelersburg Local SD</v>
      </c>
      <c r="AA599" s="7" t="str">
        <f>'Gov Fnd Exp'!A599</f>
        <v>Wheelersburg Local SD</v>
      </c>
      <c r="AB599" s="7" t="b">
        <f t="shared" si="86"/>
        <v>1</v>
      </c>
      <c r="AC599" s="7" t="str">
        <f t="shared" si="84"/>
        <v>Scioto</v>
      </c>
      <c r="AD599" s="7" t="b">
        <f>C599='Gov Fnd Exp'!C599</f>
        <v>1</v>
      </c>
    </row>
    <row r="600" spans="1:30">
      <c r="A600" s="12" t="s">
        <v>316</v>
      </c>
      <c r="B600" s="12"/>
      <c r="C600" s="12" t="s">
        <v>27</v>
      </c>
      <c r="D600" s="12"/>
      <c r="E600" s="12">
        <v>45070</v>
      </c>
      <c r="G600" s="7">
        <v>30145102</v>
      </c>
      <c r="I600" s="7">
        <v>0</v>
      </c>
      <c r="K600" s="7">
        <v>0</v>
      </c>
      <c r="M600" s="7">
        <v>18581</v>
      </c>
      <c r="O600" s="7">
        <v>1237241</v>
      </c>
      <c r="Q600" s="7">
        <v>0</v>
      </c>
      <c r="S600" s="8">
        <f t="shared" si="83"/>
        <v>31400924</v>
      </c>
      <c r="U600" s="7">
        <v>2027496</v>
      </c>
      <c r="V600" s="7">
        <f>+'St of Net Assets - GA'!O600-'LT _Lia - GA'!U600</f>
        <v>0</v>
      </c>
      <c r="Z600" s="7" t="str">
        <f t="shared" si="85"/>
        <v>Whitehall City SD</v>
      </c>
      <c r="AA600" s="7" t="str">
        <f>'Gov Fnd Exp'!A600</f>
        <v>Whitehall City SD</v>
      </c>
      <c r="AB600" s="7" t="b">
        <f t="shared" si="86"/>
        <v>1</v>
      </c>
      <c r="AC600" s="7" t="str">
        <f t="shared" si="84"/>
        <v>Franklin</v>
      </c>
      <c r="AD600" s="7" t="b">
        <f>C600='Gov Fnd Exp'!C600</f>
        <v>1</v>
      </c>
    </row>
    <row r="601" spans="1:30" hidden="1">
      <c r="A601" s="12" t="s">
        <v>649</v>
      </c>
      <c r="B601" s="12"/>
      <c r="C601" s="12" t="s">
        <v>41</v>
      </c>
      <c r="D601" s="12"/>
      <c r="E601" s="12">
        <v>45088</v>
      </c>
      <c r="S601" s="8">
        <f t="shared" si="83"/>
        <v>0</v>
      </c>
      <c r="V601" s="7">
        <f>+'St of Net Assets - GA'!O601-'LT _Lia - GA'!U601</f>
        <v>0</v>
      </c>
      <c r="Z601" s="7" t="str">
        <f t="shared" si="85"/>
        <v>Wickliffe City SD (CASH)</v>
      </c>
      <c r="AA601" s="7" t="str">
        <f>'Gov Fnd Exp'!A601</f>
        <v>Wickliffe City SD (CASH)</v>
      </c>
      <c r="AB601" s="7" t="b">
        <f t="shared" si="86"/>
        <v>1</v>
      </c>
      <c r="AC601" s="7" t="str">
        <f t="shared" si="84"/>
        <v>Lake</v>
      </c>
      <c r="AD601" s="7" t="b">
        <f>C601='Gov Fnd Exp'!C601</f>
        <v>1</v>
      </c>
    </row>
    <row r="602" spans="1:30">
      <c r="A602" s="12" t="s">
        <v>370</v>
      </c>
      <c r="B602" s="12"/>
      <c r="C602" s="12" t="s">
        <v>37</v>
      </c>
      <c r="D602" s="12"/>
      <c r="E602" s="12">
        <v>45096</v>
      </c>
      <c r="G602" s="7">
        <v>1990000</v>
      </c>
      <c r="I602" s="7">
        <v>320284</v>
      </c>
      <c r="K602" s="7">
        <v>0</v>
      </c>
      <c r="M602" s="7">
        <v>205719</v>
      </c>
      <c r="O602" s="7">
        <v>1086266</v>
      </c>
      <c r="Q602" s="7">
        <v>0</v>
      </c>
      <c r="S602" s="8">
        <f t="shared" si="83"/>
        <v>3602269</v>
      </c>
      <c r="U602" s="7">
        <v>383545</v>
      </c>
      <c r="V602" s="7">
        <f>+'St of Net Assets - GA'!O602-'LT _Lia - GA'!U602</f>
        <v>0</v>
      </c>
      <c r="Z602" s="7" t="str">
        <f t="shared" si="85"/>
        <v>Willard City SD</v>
      </c>
      <c r="AA602" s="7" t="str">
        <f>'Gov Fnd Exp'!A602</f>
        <v>Willard City SD</v>
      </c>
      <c r="AB602" s="7" t="b">
        <f t="shared" si="86"/>
        <v>1</v>
      </c>
      <c r="AC602" s="7" t="str">
        <f t="shared" si="84"/>
        <v>Huron</v>
      </c>
      <c r="AD602" s="7" t="b">
        <f>C602='Gov Fnd Exp'!C602</f>
        <v>1</v>
      </c>
    </row>
    <row r="603" spans="1:30">
      <c r="A603" s="12" t="s">
        <v>247</v>
      </c>
      <c r="B603" s="12"/>
      <c r="C603" s="12" t="s">
        <v>113</v>
      </c>
      <c r="D603" s="12"/>
      <c r="E603" s="12">
        <v>46367</v>
      </c>
      <c r="G603" s="7">
        <v>2149000</v>
      </c>
      <c r="I603" s="7">
        <f>31323+-19701+295445</f>
        <v>307067</v>
      </c>
      <c r="K603" s="7">
        <v>0</v>
      </c>
      <c r="M603" s="7">
        <v>0</v>
      </c>
      <c r="O603" s="7">
        <f>782517+28638</f>
        <v>811155</v>
      </c>
      <c r="Q603" s="7">
        <v>0</v>
      </c>
      <c r="S603" s="8">
        <f t="shared" si="83"/>
        <v>3267222</v>
      </c>
      <c r="U603" s="7">
        <v>346523</v>
      </c>
      <c r="V603" s="7">
        <f>+'St of Net Assets - GA'!O603-'LT _Lia - GA'!U603</f>
        <v>0</v>
      </c>
      <c r="Z603" s="7" t="str">
        <f t="shared" si="85"/>
        <v>Williamsburg Local SD</v>
      </c>
      <c r="AA603" s="7" t="str">
        <f>'Gov Fnd Exp'!A603</f>
        <v>Williamsburg Local SD</v>
      </c>
      <c r="AB603" s="7" t="b">
        <f t="shared" si="86"/>
        <v>1</v>
      </c>
      <c r="AC603" s="7" t="str">
        <f t="shared" si="84"/>
        <v>Clermont</v>
      </c>
      <c r="AD603" s="7" t="b">
        <f>C603='Gov Fnd Exp'!C603</f>
        <v>1</v>
      </c>
    </row>
    <row r="604" spans="1:30">
      <c r="A604" s="12" t="s">
        <v>376</v>
      </c>
      <c r="B604" s="12"/>
      <c r="C604" s="12" t="s">
        <v>41</v>
      </c>
      <c r="D604" s="12"/>
      <c r="E604" s="12">
        <v>45104</v>
      </c>
      <c r="G604" s="7">
        <f>36771436-9397414</f>
        <v>27374022</v>
      </c>
      <c r="I604" s="7">
        <v>0</v>
      </c>
      <c r="K604" s="7">
        <v>0</v>
      </c>
      <c r="M604" s="7">
        <v>0</v>
      </c>
      <c r="O604" s="7">
        <v>9397414</v>
      </c>
      <c r="Q604" s="7">
        <v>0</v>
      </c>
      <c r="S604" s="8">
        <f t="shared" si="83"/>
        <v>36771436</v>
      </c>
      <c r="U604" s="7">
        <v>2065341</v>
      </c>
      <c r="V604" s="7">
        <f>+'St of Net Assets - GA'!O604-'LT _Lia - GA'!U604</f>
        <v>0</v>
      </c>
      <c r="Z604" s="7" t="str">
        <f t="shared" si="85"/>
        <v>Willoughby-Eastlake City SD</v>
      </c>
      <c r="AA604" s="7" t="str">
        <f>'Gov Fnd Exp'!A604</f>
        <v>Willoughby-Eastlake City SD</v>
      </c>
      <c r="AB604" s="7" t="b">
        <f t="shared" si="86"/>
        <v>1</v>
      </c>
      <c r="AC604" s="7" t="str">
        <f t="shared" si="84"/>
        <v>Lake</v>
      </c>
      <c r="AD604" s="7" t="b">
        <f>C604='Gov Fnd Exp'!C604</f>
        <v>1</v>
      </c>
    </row>
    <row r="605" spans="1:30">
      <c r="A605" s="12" t="s">
        <v>251</v>
      </c>
      <c r="B605" s="12"/>
      <c r="C605" s="12" t="s">
        <v>18</v>
      </c>
      <c r="D605" s="12"/>
      <c r="E605" s="12">
        <v>45112</v>
      </c>
      <c r="G605" s="7">
        <v>5391183</v>
      </c>
      <c r="I605" s="7">
        <v>0</v>
      </c>
      <c r="K605" s="7">
        <v>0</v>
      </c>
      <c r="M605" s="7">
        <v>1549000</v>
      </c>
      <c r="O605" s="7">
        <v>954796</v>
      </c>
      <c r="Q605" s="7">
        <v>0</v>
      </c>
      <c r="S605" s="8">
        <f t="shared" si="83"/>
        <v>7894979</v>
      </c>
      <c r="U605" s="7">
        <v>1021698</v>
      </c>
      <c r="V605" s="7">
        <f>+'St of Net Assets - GA'!O605-'LT _Lia - GA'!U605</f>
        <v>0</v>
      </c>
      <c r="Z605" s="7" t="str">
        <f t="shared" si="85"/>
        <v>Wilmington City SD</v>
      </c>
      <c r="AA605" s="7" t="str">
        <f>'Gov Fnd Exp'!A605</f>
        <v>Wilmington City SD</v>
      </c>
      <c r="AB605" s="7" t="b">
        <f t="shared" si="86"/>
        <v>1</v>
      </c>
      <c r="AC605" s="7" t="str">
        <f t="shared" si="84"/>
        <v>Clinton</v>
      </c>
      <c r="AD605" s="7" t="b">
        <f>C605='Gov Fnd Exp'!C605</f>
        <v>1</v>
      </c>
    </row>
    <row r="606" spans="1:30">
      <c r="A606" s="12" t="s">
        <v>891</v>
      </c>
      <c r="B606" s="12"/>
      <c r="C606" s="12" t="s">
        <v>56</v>
      </c>
      <c r="D606" s="12"/>
      <c r="E606" s="12">
        <v>45666</v>
      </c>
      <c r="G606" s="7">
        <v>554604</v>
      </c>
      <c r="I606" s="7">
        <v>0</v>
      </c>
      <c r="K606" s="7">
        <v>0</v>
      </c>
      <c r="M606" s="7">
        <v>71989</v>
      </c>
      <c r="O606" s="7">
        <v>612086</v>
      </c>
      <c r="Q606" s="7">
        <v>0</v>
      </c>
      <c r="S606" s="8">
        <f t="shared" si="83"/>
        <v>1238679</v>
      </c>
      <c r="U606" s="7">
        <v>197161</v>
      </c>
      <c r="V606" s="7">
        <f>+'St of Net Assets - GA'!O606-'LT _Lia - GA'!U606</f>
        <v>0</v>
      </c>
      <c r="Z606" s="7" t="str">
        <f t="shared" si="85"/>
        <v>Windham Exempted Village SD</v>
      </c>
      <c r="AA606" s="7" t="str">
        <f>'Gov Fnd Exp'!A606</f>
        <v>Windham Exempted Village SD</v>
      </c>
      <c r="AB606" s="7" t="b">
        <f t="shared" si="86"/>
        <v>1</v>
      </c>
      <c r="AC606" s="7" t="str">
        <f t="shared" si="84"/>
        <v>Portage</v>
      </c>
      <c r="AD606" s="7" t="b">
        <f>C606='Gov Fnd Exp'!C606</f>
        <v>1</v>
      </c>
    </row>
    <row r="607" spans="1:30">
      <c r="A607" s="12" t="s">
        <v>341</v>
      </c>
      <c r="B607" s="12"/>
      <c r="C607" s="12" t="s">
        <v>32</v>
      </c>
      <c r="D607" s="12"/>
      <c r="E607" s="12">
        <v>44081</v>
      </c>
      <c r="G607" s="7">
        <v>0</v>
      </c>
      <c r="I607" s="7">
        <v>0</v>
      </c>
      <c r="K607" s="7">
        <v>0</v>
      </c>
      <c r="M607" s="7">
        <v>3653843</v>
      </c>
      <c r="O607" s="7">
        <v>2682886</v>
      </c>
      <c r="Q607" s="7">
        <v>0</v>
      </c>
      <c r="S607" s="8">
        <f t="shared" si="83"/>
        <v>6336729</v>
      </c>
      <c r="U607" s="7">
        <v>1059694</v>
      </c>
      <c r="V607" s="7">
        <f>+'St of Net Assets - GA'!O607-'LT _Lia - GA'!U607</f>
        <v>0</v>
      </c>
      <c r="Z607" s="7" t="str">
        <f t="shared" si="85"/>
        <v>Winton Woods City SD</v>
      </c>
      <c r="AA607" s="7" t="str">
        <f>'Gov Fnd Exp'!A607</f>
        <v>Winton Woods City SD</v>
      </c>
      <c r="AB607" s="7" t="b">
        <f t="shared" si="86"/>
        <v>1</v>
      </c>
      <c r="AC607" s="7" t="str">
        <f t="shared" si="84"/>
        <v>Hamilton</v>
      </c>
      <c r="AD607" s="7" t="b">
        <f>C607='Gov Fnd Exp'!C607</f>
        <v>1</v>
      </c>
    </row>
    <row r="608" spans="1:30">
      <c r="A608" s="12" t="s">
        <v>567</v>
      </c>
      <c r="B608" s="12"/>
      <c r="C608" s="12" t="s">
        <v>70</v>
      </c>
      <c r="D608" s="12"/>
      <c r="E608" s="12">
        <v>50518</v>
      </c>
      <c r="G608" s="7">
        <v>6167166</v>
      </c>
      <c r="I608" s="7">
        <v>0</v>
      </c>
      <c r="K608" s="7">
        <v>0</v>
      </c>
      <c r="M608" s="7">
        <v>0</v>
      </c>
      <c r="O608" s="7">
        <v>294365</v>
      </c>
      <c r="Q608" s="7">
        <v>0</v>
      </c>
      <c r="S608" s="8">
        <f t="shared" si="83"/>
        <v>6461531</v>
      </c>
      <c r="U608" s="7">
        <v>180000</v>
      </c>
      <c r="V608" s="7">
        <f>+'St of Net Assets - GA'!O608-'LT _Lia - GA'!U608</f>
        <v>0</v>
      </c>
      <c r="Z608" s="7" t="str">
        <f t="shared" si="85"/>
        <v>Wolf Creek Local SD</v>
      </c>
      <c r="AA608" s="7" t="str">
        <f>'Gov Fnd Exp'!A608</f>
        <v>Wolf Creek Local SD</v>
      </c>
      <c r="AB608" s="7" t="b">
        <f t="shared" si="86"/>
        <v>1</v>
      </c>
      <c r="AC608" s="7" t="str">
        <f t="shared" si="84"/>
        <v>Washington</v>
      </c>
      <c r="AD608" s="7" t="b">
        <f>C608='Gov Fnd Exp'!C608</f>
        <v>1</v>
      </c>
    </row>
    <row r="609" spans="1:30">
      <c r="A609" s="12" t="s">
        <v>493</v>
      </c>
      <c r="B609" s="12"/>
      <c r="C609" s="12" t="s">
        <v>79</v>
      </c>
      <c r="D609" s="12"/>
      <c r="E609" s="12">
        <v>49577</v>
      </c>
      <c r="G609" s="7">
        <v>0</v>
      </c>
      <c r="I609" s="7">
        <v>0</v>
      </c>
      <c r="K609" s="7">
        <v>0</v>
      </c>
      <c r="M609" s="7">
        <v>115584</v>
      </c>
      <c r="O609" s="7">
        <v>760324</v>
      </c>
      <c r="Q609" s="7">
        <v>0</v>
      </c>
      <c r="S609" s="8">
        <f t="shared" si="83"/>
        <v>875908</v>
      </c>
      <c r="U609" s="7">
        <v>171694</v>
      </c>
      <c r="V609" s="7">
        <f>+'St of Net Assets - GA'!O609-'LT _Lia - GA'!U609</f>
        <v>0</v>
      </c>
      <c r="Z609" s="7" t="str">
        <f t="shared" si="85"/>
        <v>Woodmore Local SD</v>
      </c>
      <c r="AA609" s="7" t="str">
        <f>'Gov Fnd Exp'!A609</f>
        <v>Woodmore Local SD</v>
      </c>
      <c r="AB609" s="7" t="b">
        <f t="shared" si="86"/>
        <v>1</v>
      </c>
      <c r="AC609" s="7" t="str">
        <f t="shared" si="84"/>
        <v>Sandusky</v>
      </c>
      <c r="AD609" s="7" t="b">
        <f>C609='Gov Fnd Exp'!C609</f>
        <v>1</v>
      </c>
    </row>
    <row r="610" spans="1:30">
      <c r="A610" s="12" t="s">
        <v>533</v>
      </c>
      <c r="B610" s="12"/>
      <c r="C610" s="12" t="s">
        <v>63</v>
      </c>
      <c r="D610" s="12"/>
      <c r="E610" s="12">
        <v>49973</v>
      </c>
      <c r="G610" s="7">
        <v>11200000</v>
      </c>
      <c r="I610" s="7">
        <v>0</v>
      </c>
      <c r="K610" s="7">
        <v>0</v>
      </c>
      <c r="M610" s="7">
        <v>124761</v>
      </c>
      <c r="O610" s="7">
        <v>949840</v>
      </c>
      <c r="Q610" s="7">
        <v>0</v>
      </c>
      <c r="S610" s="8">
        <f t="shared" si="83"/>
        <v>12274601</v>
      </c>
      <c r="U610" s="7">
        <v>1379455</v>
      </c>
      <c r="V610" s="7">
        <f>+'St of Net Assets - GA'!O610-'LT _Lia - GA'!U610</f>
        <v>0</v>
      </c>
      <c r="Z610" s="7" t="str">
        <f t="shared" si="85"/>
        <v>Woodridge Local SD</v>
      </c>
      <c r="AA610" s="7" t="str">
        <f>'Gov Fnd Exp'!A610</f>
        <v>Woodridge Local SD</v>
      </c>
      <c r="AB610" s="7" t="b">
        <f t="shared" si="86"/>
        <v>1</v>
      </c>
      <c r="AC610" s="7" t="str">
        <f t="shared" si="84"/>
        <v>Summit</v>
      </c>
      <c r="AD610" s="7" t="b">
        <f>C610='Gov Fnd Exp'!C610</f>
        <v>1</v>
      </c>
    </row>
    <row r="611" spans="1:30">
      <c r="A611" s="12" t="s">
        <v>650</v>
      </c>
      <c r="B611" s="12"/>
      <c r="C611" s="12" t="s">
        <v>71</v>
      </c>
      <c r="D611" s="12"/>
      <c r="E611" s="12">
        <v>45138</v>
      </c>
      <c r="G611" s="7">
        <v>20192773</v>
      </c>
      <c r="I611" s="7">
        <v>0</v>
      </c>
      <c r="K611" s="7">
        <v>0</v>
      </c>
      <c r="M611" s="7">
        <v>0</v>
      </c>
      <c r="O611" s="7">
        <v>5055946</v>
      </c>
      <c r="Q611" s="7">
        <v>0</v>
      </c>
      <c r="S611" s="8">
        <f t="shared" si="83"/>
        <v>25248719</v>
      </c>
      <c r="U611" s="7">
        <v>3353331</v>
      </c>
      <c r="V611" s="7">
        <f>+'St of Net Assets - GA'!O611-'LT _Lia - GA'!U611</f>
        <v>0</v>
      </c>
      <c r="Z611" s="7" t="str">
        <f t="shared" si="85"/>
        <v>Wooster City SD</v>
      </c>
      <c r="AA611" s="7" t="str">
        <f>'Gov Fnd Exp'!A611</f>
        <v>Wooster City SD</v>
      </c>
      <c r="AB611" s="7" t="b">
        <f t="shared" si="86"/>
        <v>1</v>
      </c>
      <c r="AC611" s="7" t="str">
        <f t="shared" si="84"/>
        <v>Wayne</v>
      </c>
      <c r="AD611" s="7" t="b">
        <f>C611='Gov Fnd Exp'!C611</f>
        <v>1</v>
      </c>
    </row>
    <row r="612" spans="1:30">
      <c r="A612" s="12" t="s">
        <v>317</v>
      </c>
      <c r="B612" s="12"/>
      <c r="C612" s="12" t="s">
        <v>27</v>
      </c>
      <c r="D612" s="12"/>
      <c r="E612" s="12">
        <v>46524</v>
      </c>
      <c r="G612" s="7">
        <v>50868345</v>
      </c>
      <c r="I612" s="7">
        <v>0</v>
      </c>
      <c r="K612" s="7">
        <v>2424000</v>
      </c>
      <c r="M612" s="7">
        <v>5081771</v>
      </c>
      <c r="O612" s="7">
        <v>9983213</v>
      </c>
      <c r="Q612" s="7">
        <v>0</v>
      </c>
      <c r="S612" s="8">
        <f t="shared" si="83"/>
        <v>68357329</v>
      </c>
      <c r="U612" s="7">
        <v>7197538</v>
      </c>
      <c r="V612" s="7">
        <f>+'St of Net Assets - GA'!O612-'LT _Lia - GA'!U612</f>
        <v>0</v>
      </c>
      <c r="Z612" s="7" t="str">
        <f t="shared" si="85"/>
        <v>Worthington City SD</v>
      </c>
      <c r="AA612" s="7" t="str">
        <f>'Gov Fnd Exp'!A612</f>
        <v>Worthington City SD</v>
      </c>
      <c r="AB612" s="7" t="b">
        <f t="shared" si="86"/>
        <v>1</v>
      </c>
      <c r="AC612" s="7" t="str">
        <f t="shared" si="84"/>
        <v>Franklin</v>
      </c>
      <c r="AD612" s="7" t="b">
        <f>C612='Gov Fnd Exp'!C612</f>
        <v>1</v>
      </c>
    </row>
    <row r="613" spans="1:30">
      <c r="A613" s="12" t="s">
        <v>266</v>
      </c>
      <c r="B613" s="12"/>
      <c r="C613" s="12" t="s">
        <v>111</v>
      </c>
      <c r="D613" s="12"/>
      <c r="E613" s="12">
        <v>45146</v>
      </c>
      <c r="G613" s="7">
        <v>5485821</v>
      </c>
      <c r="I613" s="7">
        <v>0</v>
      </c>
      <c r="K613" s="7">
        <v>0</v>
      </c>
      <c r="M613" s="7">
        <v>27712</v>
      </c>
      <c r="O613" s="7">
        <v>616605</v>
      </c>
      <c r="Q613" s="7">
        <v>0</v>
      </c>
      <c r="S613" s="8">
        <f t="shared" si="83"/>
        <v>6130138</v>
      </c>
      <c r="U613" s="7">
        <v>386884</v>
      </c>
      <c r="V613" s="7">
        <f>+'St of Net Assets - GA'!O613-'LT _Lia - GA'!U613</f>
        <v>0</v>
      </c>
      <c r="Z613" s="7" t="str">
        <f t="shared" si="85"/>
        <v>Wynford Local SD</v>
      </c>
      <c r="AA613" s="7" t="str">
        <f>'Gov Fnd Exp'!A613</f>
        <v>Wynford Local SD</v>
      </c>
      <c r="AB613" s="7" t="b">
        <f t="shared" si="86"/>
        <v>1</v>
      </c>
      <c r="AC613" s="7" t="str">
        <f t="shared" si="84"/>
        <v>Crawford</v>
      </c>
      <c r="AD613" s="7" t="b">
        <f>C613='Gov Fnd Exp'!C613</f>
        <v>1</v>
      </c>
    </row>
    <row r="614" spans="1:30">
      <c r="A614" s="12" t="s">
        <v>342</v>
      </c>
      <c r="B614" s="12"/>
      <c r="C614" s="12" t="s">
        <v>32</v>
      </c>
      <c r="D614" s="12"/>
      <c r="E614" s="12">
        <v>45153</v>
      </c>
      <c r="G614" s="7">
        <v>19308674</v>
      </c>
      <c r="I614" s="7">
        <v>0</v>
      </c>
      <c r="K614" s="7">
        <v>0</v>
      </c>
      <c r="M614" s="7">
        <v>2705500</v>
      </c>
      <c r="O614" s="7">
        <v>1149084</v>
      </c>
      <c r="Q614" s="7">
        <v>0</v>
      </c>
      <c r="S614" s="8">
        <f t="shared" si="83"/>
        <v>23163258</v>
      </c>
      <c r="U614" s="7">
        <v>1301494</v>
      </c>
      <c r="V614" s="7">
        <f>+'St of Net Assets - GA'!O614-'LT _Lia - GA'!U614</f>
        <v>0</v>
      </c>
      <c r="Z614" s="7" t="str">
        <f t="shared" si="85"/>
        <v>Wyoming City SD</v>
      </c>
      <c r="AA614" s="7" t="str">
        <f>'Gov Fnd Exp'!A614</f>
        <v>Wyoming City SD</v>
      </c>
      <c r="AB614" s="7" t="b">
        <f t="shared" si="86"/>
        <v>1</v>
      </c>
      <c r="AC614" s="7" t="str">
        <f t="shared" si="84"/>
        <v>Hamilton</v>
      </c>
      <c r="AD614" s="7" t="b">
        <f>C614='Gov Fnd Exp'!C614</f>
        <v>1</v>
      </c>
    </row>
    <row r="615" spans="1:30">
      <c r="A615" s="12" t="s">
        <v>892</v>
      </c>
      <c r="B615" s="12"/>
      <c r="C615" s="12" t="s">
        <v>114</v>
      </c>
      <c r="D615" s="12"/>
      <c r="E615" s="12">
        <v>45674</v>
      </c>
      <c r="G615" s="7">
        <f>3365000+172320</f>
        <v>3537320</v>
      </c>
      <c r="I615" s="7">
        <v>0</v>
      </c>
      <c r="K615" s="7">
        <v>759100</v>
      </c>
      <c r="M615" s="7">
        <v>44081</v>
      </c>
      <c r="O615" s="7">
        <v>821800</v>
      </c>
      <c r="Q615" s="7">
        <v>0</v>
      </c>
      <c r="S615" s="8">
        <f t="shared" si="83"/>
        <v>5162301</v>
      </c>
      <c r="U615" s="7">
        <v>520747</v>
      </c>
      <c r="V615" s="7">
        <f>+'St of Net Assets - GA'!O615-'LT _Lia - GA'!U615</f>
        <v>0</v>
      </c>
      <c r="Z615" s="7" t="str">
        <f t="shared" si="85"/>
        <v>Yellow Springs Exempted Village SD</v>
      </c>
      <c r="AA615" s="7" t="str">
        <f>'Gov Fnd Exp'!A615</f>
        <v>Yellow Springs Exempted Village SD</v>
      </c>
      <c r="AB615" s="7" t="b">
        <f t="shared" si="86"/>
        <v>1</v>
      </c>
      <c r="AC615" s="7" t="str">
        <f t="shared" si="84"/>
        <v>Greene</v>
      </c>
      <c r="AD615" s="7" t="b">
        <f>C615='Gov Fnd Exp'!C615</f>
        <v>1</v>
      </c>
    </row>
    <row r="616" spans="1:30">
      <c r="A616" s="12" t="s">
        <v>422</v>
      </c>
      <c r="B616" s="12"/>
      <c r="C616" s="12" t="s">
        <v>45</v>
      </c>
      <c r="D616" s="12"/>
      <c r="E616" s="12">
        <v>45161</v>
      </c>
      <c r="G616" s="7">
        <v>29371800</v>
      </c>
      <c r="I616" s="7">
        <v>0</v>
      </c>
      <c r="K616" s="7">
        <v>0</v>
      </c>
      <c r="M616" s="7">
        <v>5050000</v>
      </c>
      <c r="O616" s="7">
        <f>9932797+277782</f>
        <v>10210579</v>
      </c>
      <c r="Q616" s="7">
        <v>0</v>
      </c>
      <c r="S616" s="8">
        <f t="shared" si="83"/>
        <v>44632379</v>
      </c>
      <c r="U616" s="7">
        <v>1964936</v>
      </c>
      <c r="V616" s="7">
        <f>+'St of Net Assets - GA'!O616-'LT _Lia - GA'!U616</f>
        <v>0</v>
      </c>
      <c r="Z616" s="7" t="str">
        <f t="shared" si="85"/>
        <v>Youngstown City SD</v>
      </c>
      <c r="AA616" s="7" t="str">
        <f>'Gov Fnd Exp'!A616</f>
        <v>Youngstown City SD</v>
      </c>
      <c r="AB616" s="7" t="b">
        <f t="shared" si="86"/>
        <v>1</v>
      </c>
      <c r="AC616" s="7" t="str">
        <f t="shared" si="84"/>
        <v>Mahoning</v>
      </c>
      <c r="AD616" s="7" t="b">
        <f>C616='Gov Fnd Exp'!C616</f>
        <v>1</v>
      </c>
    </row>
    <row r="617" spans="1:30">
      <c r="A617" s="12" t="s">
        <v>492</v>
      </c>
      <c r="B617" s="12"/>
      <c r="C617" s="12" t="s">
        <v>58</v>
      </c>
      <c r="D617" s="12"/>
      <c r="E617" s="12">
        <v>49544</v>
      </c>
      <c r="G617" s="7">
        <v>2715000</v>
      </c>
      <c r="I617" s="7">
        <v>0</v>
      </c>
      <c r="K617" s="7">
        <v>0</v>
      </c>
      <c r="M617" s="7">
        <v>4917</v>
      </c>
      <c r="O617" s="7">
        <v>718313</v>
      </c>
      <c r="Q617" s="7">
        <v>2693000</v>
      </c>
      <c r="S617" s="8">
        <f t="shared" si="83"/>
        <v>6131230</v>
      </c>
      <c r="U617" s="7">
        <v>379276</v>
      </c>
      <c r="V617" s="7">
        <f>+'St of Net Assets - GA'!O617-'LT _Lia - GA'!U617</f>
        <v>0</v>
      </c>
      <c r="Z617" s="7" t="str">
        <f t="shared" si="85"/>
        <v>Zane Trace Local SD</v>
      </c>
      <c r="AA617" s="7" t="str">
        <f>'Gov Fnd Exp'!A617</f>
        <v>Zane Trace Local SD</v>
      </c>
      <c r="AB617" s="7" t="b">
        <f t="shared" si="86"/>
        <v>1</v>
      </c>
      <c r="AC617" s="7" t="str">
        <f t="shared" si="84"/>
        <v>Ross</v>
      </c>
      <c r="AD617" s="7" t="b">
        <f>C617='Gov Fnd Exp'!C617</f>
        <v>1</v>
      </c>
    </row>
    <row r="618" spans="1:30">
      <c r="A618" s="12" t="s">
        <v>461</v>
      </c>
      <c r="B618" s="12"/>
      <c r="C618" s="12" t="s">
        <v>51</v>
      </c>
      <c r="D618" s="12"/>
      <c r="E618" s="12">
        <v>45179</v>
      </c>
      <c r="G618" s="7">
        <v>30059557</v>
      </c>
      <c r="I618" s="7">
        <v>0</v>
      </c>
      <c r="K618" s="7">
        <v>0</v>
      </c>
      <c r="M618" s="7">
        <v>218335</v>
      </c>
      <c r="O618" s="7">
        <v>1784974</v>
      </c>
      <c r="Q618" s="7">
        <v>0</v>
      </c>
      <c r="S618" s="8">
        <f t="shared" si="83"/>
        <v>32062866</v>
      </c>
      <c r="U618" s="7">
        <v>1202208</v>
      </c>
      <c r="V618" s="7">
        <f>+'St of Net Assets - GA'!O618-'LT _Lia - GA'!U618</f>
        <v>0</v>
      </c>
      <c r="Z618" s="7" t="str">
        <f t="shared" si="85"/>
        <v>Zanesville City SD</v>
      </c>
      <c r="AA618" s="7" t="str">
        <f>'Gov Fnd Exp'!A618</f>
        <v>Zanesville City SD</v>
      </c>
      <c r="AB618" s="7" t="b">
        <f t="shared" si="86"/>
        <v>1</v>
      </c>
      <c r="AC618" s="7" t="str">
        <f t="shared" si="84"/>
        <v>Muskingum</v>
      </c>
      <c r="AD618" s="7" t="b">
        <f>C618='Gov Fnd Exp'!C618</f>
        <v>1</v>
      </c>
    </row>
    <row r="619" spans="1:30">
      <c r="A619" s="12"/>
      <c r="B619" s="12"/>
      <c r="C619" s="12"/>
      <c r="D619" s="12"/>
    </row>
  </sheetData>
  <phoneticPr fontId="3" type="noConversion"/>
  <pageMargins left="0.9" right="0.75" top="0.5" bottom="0.5" header="0.25" footer="0.25"/>
  <pageSetup scale="77" firstPageNumber="210" pageOrder="overThenDown" orientation="portrait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33"/>
  <sheetViews>
    <sheetView view="pageBreakPreview" zoomScaleNormal="100" zoomScaleSheetLayoutView="100" workbookViewId="0">
      <pane xSplit="2" ySplit="9" topLeftCell="AE455" activePane="bottomRight" state="frozen"/>
      <selection pane="topRight" activeCell="C1" sqref="C1"/>
      <selection pane="bottomLeft" activeCell="A10" sqref="A10"/>
      <selection pane="bottomRight" activeCell="AM476" sqref="AM476"/>
    </sheetView>
  </sheetViews>
  <sheetFormatPr defaultColWidth="9.140625" defaultRowHeight="12"/>
  <cols>
    <col min="1" max="1" width="32" style="9" customWidth="1"/>
    <col min="2" max="2" width="1.7109375" style="9" customWidth="1"/>
    <col min="3" max="3" width="10.140625" style="9" bestFit="1" customWidth="1"/>
    <col min="4" max="4" width="1.7109375" style="9" hidden="1" customWidth="1"/>
    <col min="5" max="5" width="11.7109375" style="28" hidden="1" customWidth="1"/>
    <col min="6" max="6" width="1.7109375" style="9" customWidth="1"/>
    <col min="7" max="7" width="9.28515625" style="7" bestFit="1" customWidth="1"/>
    <col min="8" max="8" width="1.7109375" style="7" customWidth="1"/>
    <col min="9" max="9" width="10.5703125" style="7" bestFit="1" customWidth="1"/>
    <col min="10" max="10" width="1.7109375" style="7" customWidth="1"/>
    <col min="11" max="11" width="9.28515625" style="7" bestFit="1" customWidth="1"/>
    <col min="12" max="12" width="1.7109375" style="7" customWidth="1"/>
    <col min="13" max="13" width="10.140625" style="7" bestFit="1" customWidth="1"/>
    <col min="14" max="14" width="1.7109375" style="7" customWidth="1"/>
    <col min="15" max="15" width="10.140625" style="7" bestFit="1" customWidth="1"/>
    <col min="16" max="16" width="1.7109375" style="7" customWidth="1"/>
    <col min="17" max="17" width="9.28515625" style="7" bestFit="1" customWidth="1"/>
    <col min="18" max="18" width="1.7109375" style="7" customWidth="1"/>
    <col min="19" max="19" width="11.7109375" style="7" customWidth="1"/>
    <col min="20" max="20" width="2.140625" style="7" customWidth="1"/>
    <col min="21" max="21" width="11.7109375" style="7" customWidth="1"/>
    <col min="22" max="22" width="1.7109375" style="7" customWidth="1"/>
    <col min="23" max="23" width="9.5703125" style="7" bestFit="1" customWidth="1"/>
    <col min="24" max="24" width="1.7109375" style="7" customWidth="1"/>
    <col min="25" max="25" width="10.5703125" style="7" bestFit="1" customWidth="1"/>
    <col min="26" max="26" width="1.7109375" style="7" customWidth="1"/>
    <col min="27" max="27" width="10.85546875" style="7" bestFit="1" customWidth="1"/>
    <col min="28" max="28" width="1.7109375" style="56" customWidth="1"/>
    <col min="29" max="29" width="7.5703125" style="7" bestFit="1" customWidth="1"/>
    <col min="30" max="30" width="1.7109375" style="7" customWidth="1"/>
    <col min="31" max="31" width="11.7109375" style="7" customWidth="1"/>
    <col min="32" max="32" width="1.7109375" style="7" customWidth="1"/>
    <col min="33" max="33" width="10.42578125" style="7" customWidth="1"/>
    <col min="34" max="34" width="1.85546875" style="9" customWidth="1"/>
    <col min="35" max="35" width="11.7109375" style="7" customWidth="1"/>
    <col min="36" max="36" width="1.7109375" style="9" customWidth="1"/>
    <col min="37" max="37" width="11.7109375" style="9" customWidth="1"/>
    <col min="38" max="38" width="9.140625" style="9"/>
    <col min="39" max="39" width="11.7109375" style="9" customWidth="1"/>
    <col min="40" max="40" width="9.140625" style="9"/>
    <col min="41" max="41" width="11.7109375" style="9" customWidth="1"/>
    <col min="42" max="16384" width="9.140625" style="9"/>
  </cols>
  <sheetData>
    <row r="1" spans="1:37" ht="12" customHeight="1">
      <c r="A1" s="33" t="s">
        <v>130</v>
      </c>
      <c r="B1" s="33"/>
      <c r="C1" s="33"/>
      <c r="D1" s="33"/>
      <c r="E1" s="43"/>
    </row>
    <row r="2" spans="1:37" ht="12" customHeight="1">
      <c r="A2" s="33" t="s">
        <v>770</v>
      </c>
      <c r="B2" s="33"/>
      <c r="C2" s="33"/>
      <c r="D2" s="33"/>
      <c r="E2" s="43"/>
    </row>
    <row r="3" spans="1:37" ht="12" customHeight="1">
      <c r="A3" s="33" t="s">
        <v>622</v>
      </c>
      <c r="AI3" s="15" t="s">
        <v>3</v>
      </c>
      <c r="AK3" s="33" t="s">
        <v>622</v>
      </c>
    </row>
    <row r="4" spans="1:37" ht="12" customHeight="1">
      <c r="A4" s="33" t="s">
        <v>169</v>
      </c>
      <c r="B4" s="33"/>
      <c r="C4" s="33"/>
      <c r="D4" s="33"/>
      <c r="E4" s="43"/>
      <c r="O4" s="114" t="s">
        <v>990</v>
      </c>
      <c r="P4" s="114"/>
      <c r="Q4" s="114"/>
      <c r="S4" s="114" t="s">
        <v>990</v>
      </c>
      <c r="T4" s="114"/>
      <c r="U4" s="114"/>
      <c r="V4" s="114"/>
      <c r="W4" s="114"/>
      <c r="X4" s="114"/>
      <c r="Y4" s="114"/>
      <c r="Z4" s="114"/>
      <c r="AA4" s="114"/>
      <c r="AI4" s="15" t="s">
        <v>141</v>
      </c>
    </row>
    <row r="5" spans="1:37" ht="12" customHeight="1">
      <c r="A5" s="33"/>
      <c r="G5" s="17" t="s">
        <v>104</v>
      </c>
      <c r="H5" s="17"/>
      <c r="I5" s="17"/>
      <c r="J5" s="17"/>
      <c r="K5" s="17"/>
      <c r="L5" s="22" t="s">
        <v>129</v>
      </c>
      <c r="M5" s="22"/>
      <c r="O5" s="113" t="s">
        <v>991</v>
      </c>
      <c r="P5" s="113"/>
      <c r="Q5" s="113"/>
      <c r="R5" s="10"/>
      <c r="S5" s="113" t="s">
        <v>992</v>
      </c>
      <c r="T5" s="113"/>
      <c r="U5" s="113"/>
      <c r="V5" s="113"/>
      <c r="W5" s="113"/>
      <c r="X5" s="113"/>
      <c r="Y5" s="113"/>
      <c r="Z5" s="113"/>
      <c r="AA5" s="113"/>
      <c r="AG5" s="15" t="s">
        <v>3</v>
      </c>
      <c r="AI5" s="4" t="s">
        <v>81</v>
      </c>
    </row>
    <row r="6" spans="1:37" ht="12" customHeight="1">
      <c r="A6" s="59" t="s">
        <v>767</v>
      </c>
      <c r="B6" s="7"/>
      <c r="C6" s="7"/>
      <c r="D6" s="7"/>
      <c r="F6" s="7"/>
      <c r="O6" s="10"/>
      <c r="P6" s="10"/>
      <c r="AC6" s="10"/>
      <c r="AG6" s="15" t="s">
        <v>81</v>
      </c>
      <c r="AI6" s="4" t="s">
        <v>624</v>
      </c>
    </row>
    <row r="7" spans="1:37" ht="12" customHeight="1">
      <c r="A7" s="18"/>
      <c r="I7" s="15" t="s">
        <v>123</v>
      </c>
      <c r="M7" s="15" t="s">
        <v>3</v>
      </c>
      <c r="O7" s="18"/>
      <c r="P7" s="18"/>
      <c r="Q7" s="18"/>
      <c r="R7" s="18"/>
      <c r="S7" s="18" t="s">
        <v>103</v>
      </c>
      <c r="T7" s="18"/>
      <c r="U7" s="18"/>
      <c r="V7" s="18"/>
      <c r="W7" s="18" t="s">
        <v>139</v>
      </c>
      <c r="X7" s="18"/>
      <c r="Y7" s="3" t="s">
        <v>109</v>
      </c>
      <c r="Z7" s="18"/>
      <c r="AA7" s="18"/>
      <c r="AC7" s="9"/>
      <c r="AD7" s="22"/>
      <c r="AF7" s="22"/>
      <c r="AG7" s="4" t="s">
        <v>9</v>
      </c>
      <c r="AI7" s="15" t="s">
        <v>651</v>
      </c>
    </row>
    <row r="8" spans="1:37" ht="12" customHeight="1">
      <c r="A8" s="3"/>
      <c r="B8" s="3"/>
      <c r="C8" s="3"/>
      <c r="D8" s="3"/>
      <c r="E8" s="41"/>
      <c r="F8" s="3"/>
      <c r="G8" s="15" t="s">
        <v>0</v>
      </c>
      <c r="H8" s="15"/>
      <c r="I8" s="15" t="s">
        <v>109</v>
      </c>
      <c r="J8" s="15"/>
      <c r="K8" s="15" t="s">
        <v>73</v>
      </c>
      <c r="L8" s="15"/>
      <c r="M8" s="15" t="s">
        <v>136</v>
      </c>
      <c r="O8" s="4" t="s">
        <v>105</v>
      </c>
      <c r="P8" s="4"/>
      <c r="Q8" s="4" t="s">
        <v>592</v>
      </c>
      <c r="R8" s="4"/>
      <c r="S8" s="4" t="s">
        <v>137</v>
      </c>
      <c r="T8" s="4"/>
      <c r="U8" s="15" t="s">
        <v>106</v>
      </c>
      <c r="V8" s="15"/>
      <c r="W8" s="4" t="s">
        <v>140</v>
      </c>
      <c r="X8" s="4"/>
      <c r="Y8" s="3" t="s">
        <v>177</v>
      </c>
      <c r="Z8" s="4"/>
      <c r="AA8" s="15"/>
      <c r="AC8" s="4" t="s">
        <v>162</v>
      </c>
      <c r="AD8" s="15"/>
      <c r="AE8" s="4" t="s">
        <v>596</v>
      </c>
      <c r="AF8" s="15"/>
      <c r="AG8" s="4" t="s">
        <v>594</v>
      </c>
      <c r="AI8" s="4" t="s">
        <v>596</v>
      </c>
    </row>
    <row r="9" spans="1:37" ht="12" customHeight="1">
      <c r="A9" s="47" t="s">
        <v>200</v>
      </c>
      <c r="B9" s="18"/>
      <c r="C9" s="47" t="s">
        <v>4</v>
      </c>
      <c r="D9" s="18"/>
      <c r="E9" s="42" t="s">
        <v>199</v>
      </c>
      <c r="F9" s="3"/>
      <c r="G9" s="82" t="s">
        <v>6</v>
      </c>
      <c r="I9" s="82" t="s">
        <v>120</v>
      </c>
      <c r="K9" s="82" t="s">
        <v>107</v>
      </c>
      <c r="L9" s="4"/>
      <c r="M9" s="82" t="s">
        <v>9</v>
      </c>
      <c r="O9" s="82" t="s">
        <v>5</v>
      </c>
      <c r="P9" s="15"/>
      <c r="Q9" s="82" t="s">
        <v>5</v>
      </c>
      <c r="R9" s="15"/>
      <c r="S9" s="82" t="s">
        <v>138</v>
      </c>
      <c r="T9" s="82"/>
      <c r="U9" s="82" t="s">
        <v>108</v>
      </c>
      <c r="V9" s="4"/>
      <c r="W9" s="82" t="s">
        <v>5</v>
      </c>
      <c r="X9" s="4"/>
      <c r="Y9" s="5" t="s">
        <v>178</v>
      </c>
      <c r="Z9" s="15"/>
      <c r="AA9" s="82" t="s">
        <v>597</v>
      </c>
      <c r="AC9" s="82" t="s">
        <v>616</v>
      </c>
      <c r="AE9" s="82" t="s">
        <v>611</v>
      </c>
      <c r="AG9" s="82" t="s">
        <v>595</v>
      </c>
      <c r="AI9" s="82" t="s">
        <v>611</v>
      </c>
    </row>
    <row r="10" spans="1:37" ht="12" customHeight="1">
      <c r="A10" s="11"/>
      <c r="B10" s="11"/>
      <c r="C10" s="11"/>
      <c r="D10" s="11"/>
      <c r="E10" s="29"/>
      <c r="F10" s="3"/>
      <c r="G10" s="4"/>
      <c r="I10" s="4"/>
      <c r="K10" s="4"/>
      <c r="L10" s="4"/>
      <c r="M10" s="4"/>
      <c r="O10" s="4"/>
      <c r="S10" s="4"/>
      <c r="T10" s="4"/>
      <c r="U10" s="4"/>
      <c r="V10" s="4"/>
      <c r="W10" s="4"/>
      <c r="X10" s="4"/>
      <c r="Y10" s="4"/>
      <c r="AA10" s="4"/>
      <c r="AC10" s="4"/>
      <c r="AG10" s="4"/>
    </row>
    <row r="11" spans="1:37" s="32" customFormat="1" ht="12" customHeight="1">
      <c r="A11" s="31" t="s">
        <v>898</v>
      </c>
      <c r="B11" s="31"/>
      <c r="C11" s="31" t="s">
        <v>201</v>
      </c>
      <c r="D11" s="31"/>
      <c r="E11" s="29">
        <v>61903</v>
      </c>
      <c r="F11" s="37"/>
      <c r="G11" s="32">
        <v>2163878</v>
      </c>
      <c r="I11" s="32">
        <v>12228141</v>
      </c>
      <c r="K11" s="32">
        <v>0</v>
      </c>
      <c r="M11" s="32">
        <f>SUM(G11:L11)</f>
        <v>14392019</v>
      </c>
      <c r="O11" s="32">
        <f>6505408+139439+2536780+149751</f>
        <v>9331378</v>
      </c>
      <c r="Q11" s="32">
        <v>0</v>
      </c>
      <c r="S11" s="32">
        <v>23143650</v>
      </c>
      <c r="U11" s="32">
        <v>21895</v>
      </c>
      <c r="W11" s="32">
        <v>0</v>
      </c>
      <c r="Y11" s="32">
        <v>18205</v>
      </c>
      <c r="AA11" s="32">
        <v>265481</v>
      </c>
      <c r="AB11" s="57"/>
      <c r="AC11" s="32">
        <v>0</v>
      </c>
      <c r="AE11" s="32">
        <v>0</v>
      </c>
      <c r="AG11" s="32">
        <f>SUM(O11:AE11)</f>
        <v>32780609</v>
      </c>
      <c r="AI11" s="32">
        <f>+AG11+M11</f>
        <v>47172628</v>
      </c>
    </row>
    <row r="12" spans="1:37" ht="12" customHeight="1">
      <c r="A12" s="12" t="s">
        <v>607</v>
      </c>
      <c r="B12" s="11"/>
      <c r="C12" s="11" t="s">
        <v>58</v>
      </c>
      <c r="D12" s="11"/>
      <c r="E12" s="29">
        <v>49494</v>
      </c>
      <c r="G12" s="7">
        <v>1110527</v>
      </c>
      <c r="I12" s="7">
        <v>1574506</v>
      </c>
      <c r="K12" s="7">
        <v>0</v>
      </c>
      <c r="M12" s="7">
        <f t="shared" ref="M12:M77" si="0">SUM(G12:L12)</f>
        <v>2685033</v>
      </c>
      <c r="O12" s="7">
        <f>2045770+36409+216368</f>
        <v>2298547</v>
      </c>
      <c r="Q12" s="7">
        <v>1111032</v>
      </c>
      <c r="S12" s="7">
        <v>6742679</v>
      </c>
      <c r="U12" s="7">
        <v>24187</v>
      </c>
      <c r="W12" s="7">
        <v>0</v>
      </c>
      <c r="Y12" s="7">
        <v>23333</v>
      </c>
      <c r="AA12" s="7">
        <v>55068</v>
      </c>
      <c r="AB12" s="58"/>
      <c r="AC12" s="7">
        <v>0</v>
      </c>
      <c r="AE12" s="7">
        <v>0</v>
      </c>
      <c r="AG12" s="7">
        <f t="shared" ref="AG12:AG77" si="1">SUM(O12:AE12)</f>
        <v>10254846</v>
      </c>
      <c r="AH12" s="7"/>
      <c r="AI12" s="7">
        <f t="shared" ref="AI12:AI78" si="2">+AG12+M12</f>
        <v>12939879</v>
      </c>
    </row>
    <row r="13" spans="1:37" ht="12" customHeight="1">
      <c r="A13" s="11" t="s">
        <v>522</v>
      </c>
      <c r="B13" s="11"/>
      <c r="C13" s="11" t="s">
        <v>63</v>
      </c>
      <c r="D13" s="11"/>
      <c r="E13" s="29">
        <v>43489</v>
      </c>
      <c r="G13" s="7">
        <v>12747658</v>
      </c>
      <c r="I13" s="7">
        <v>68739919</v>
      </c>
      <c r="K13" s="7">
        <v>1166784</v>
      </c>
      <c r="M13" s="7">
        <f t="shared" si="0"/>
        <v>82654361</v>
      </c>
      <c r="O13" s="7">
        <f>102973199+3500810</f>
        <v>106474009</v>
      </c>
      <c r="Q13" s="7">
        <v>0</v>
      </c>
      <c r="S13" s="7">
        <v>174864948</v>
      </c>
      <c r="U13" s="7">
        <v>352112</v>
      </c>
      <c r="W13" s="7">
        <v>0</v>
      </c>
      <c r="Y13" s="7">
        <v>0</v>
      </c>
      <c r="AA13" s="7">
        <f>476340+2317614</f>
        <v>2793954</v>
      </c>
      <c r="AB13" s="58"/>
      <c r="AC13" s="7">
        <v>0</v>
      </c>
      <c r="AE13" s="7">
        <v>0</v>
      </c>
      <c r="AG13" s="7">
        <f t="shared" si="1"/>
        <v>284485023</v>
      </c>
      <c r="AH13" s="7"/>
      <c r="AI13" s="7">
        <f t="shared" si="2"/>
        <v>367139384</v>
      </c>
    </row>
    <row r="14" spans="1:37" ht="12" hidden="1" customHeight="1">
      <c r="A14" s="12" t="s">
        <v>643</v>
      </c>
      <c r="B14" s="11"/>
      <c r="C14" s="11" t="s">
        <v>13</v>
      </c>
      <c r="D14" s="11"/>
      <c r="E14" s="29">
        <v>45906</v>
      </c>
      <c r="F14" s="6"/>
      <c r="M14" s="7">
        <f t="shared" si="0"/>
        <v>0</v>
      </c>
      <c r="AB14" s="58"/>
      <c r="AC14" s="7">
        <v>0</v>
      </c>
      <c r="AG14" s="7">
        <f t="shared" si="1"/>
        <v>0</v>
      </c>
      <c r="AH14" s="7"/>
      <c r="AI14" s="7">
        <f t="shared" si="2"/>
        <v>0</v>
      </c>
      <c r="AK14" s="7" t="s">
        <v>778</v>
      </c>
    </row>
    <row r="15" spans="1:37" ht="12" customHeight="1">
      <c r="A15" s="11" t="s">
        <v>508</v>
      </c>
      <c r="B15" s="11"/>
      <c r="C15" s="11" t="s">
        <v>62</v>
      </c>
      <c r="D15" s="11"/>
      <c r="E15" s="29">
        <v>43497</v>
      </c>
      <c r="G15" s="7">
        <v>1375981</v>
      </c>
      <c r="I15" s="7">
        <v>7690285</v>
      </c>
      <c r="K15" s="7">
        <v>87612</v>
      </c>
      <c r="M15" s="7">
        <f t="shared" si="0"/>
        <v>9153878</v>
      </c>
      <c r="O15" s="7">
        <f>7140543+841502+235022+86341</f>
        <v>8303408</v>
      </c>
      <c r="Q15" s="7">
        <v>0</v>
      </c>
      <c r="S15" s="7">
        <v>18772031</v>
      </c>
      <c r="U15" s="7">
        <v>42439</v>
      </c>
      <c r="W15" s="7">
        <v>0</v>
      </c>
      <c r="Y15" s="7">
        <v>0</v>
      </c>
      <c r="AA15" s="7">
        <v>94312</v>
      </c>
      <c r="AB15" s="58"/>
      <c r="AC15" s="7">
        <v>0</v>
      </c>
      <c r="AE15" s="7">
        <v>0</v>
      </c>
      <c r="AG15" s="7">
        <f t="shared" si="1"/>
        <v>27212190</v>
      </c>
      <c r="AH15" s="7"/>
      <c r="AI15" s="7">
        <f t="shared" si="2"/>
        <v>36366068</v>
      </c>
    </row>
    <row r="16" spans="1:37" ht="12" customHeight="1">
      <c r="A16" s="11" t="s">
        <v>298</v>
      </c>
      <c r="B16" s="11"/>
      <c r="C16" s="11" t="s">
        <v>25</v>
      </c>
      <c r="D16" s="11"/>
      <c r="E16" s="29">
        <v>46847</v>
      </c>
      <c r="G16" s="7">
        <v>1450447</v>
      </c>
      <c r="I16" s="7">
        <v>2894699</v>
      </c>
      <c r="K16" s="7">
        <v>6000</v>
      </c>
      <c r="M16" s="7">
        <f t="shared" si="0"/>
        <v>4351146</v>
      </c>
      <c r="O16" s="7">
        <f>2566244+289218+43507</f>
        <v>2898969</v>
      </c>
      <c r="Q16" s="7">
        <v>0</v>
      </c>
      <c r="S16" s="7">
        <v>8336121</v>
      </c>
      <c r="U16" s="7">
        <v>24439</v>
      </c>
      <c r="W16" s="7">
        <v>0</v>
      </c>
      <c r="Y16" s="7">
        <v>0</v>
      </c>
      <c r="AA16" s="7">
        <f>23309+113961</f>
        <v>137270</v>
      </c>
      <c r="AB16" s="58"/>
      <c r="AC16" s="7">
        <v>0</v>
      </c>
      <c r="AE16" s="7">
        <v>0</v>
      </c>
      <c r="AG16" s="7">
        <f t="shared" si="1"/>
        <v>11396799</v>
      </c>
      <c r="AH16" s="7"/>
      <c r="AI16" s="7">
        <f t="shared" si="2"/>
        <v>15747945</v>
      </c>
      <c r="AK16" s="7"/>
    </row>
    <row r="17" spans="1:37" s="7" customFormat="1" ht="12" customHeight="1">
      <c r="A17" s="12" t="s">
        <v>858</v>
      </c>
      <c r="B17" s="12"/>
      <c r="C17" s="12" t="s">
        <v>44</v>
      </c>
      <c r="D17" s="12"/>
      <c r="E17" s="29">
        <v>45195</v>
      </c>
      <c r="F17" s="4"/>
      <c r="G17" s="7">
        <v>2033982</v>
      </c>
      <c r="I17" s="7">
        <v>3454777</v>
      </c>
      <c r="K17" s="7">
        <v>0</v>
      </c>
      <c r="M17" s="7">
        <f>SUM(G17:L17)</f>
        <v>5488759</v>
      </c>
      <c r="O17" s="7">
        <f>15330859+1957522+592678</f>
        <v>17881059</v>
      </c>
      <c r="Q17" s="7">
        <v>0</v>
      </c>
      <c r="S17" s="7">
        <v>18499034</v>
      </c>
      <c r="U17" s="7">
        <v>23593</v>
      </c>
      <c r="W17" s="7">
        <v>0</v>
      </c>
      <c r="Y17" s="7">
        <v>8770</v>
      </c>
      <c r="AA17" s="7">
        <f>249836+3044</f>
        <v>252880</v>
      </c>
      <c r="AB17" s="58"/>
      <c r="AC17" s="7">
        <v>0</v>
      </c>
      <c r="AE17" s="7">
        <v>0</v>
      </c>
      <c r="AG17" s="7">
        <f>SUM(O17:AE17)</f>
        <v>36665336</v>
      </c>
      <c r="AI17" s="7">
        <f>+AG17+M17</f>
        <v>42154095</v>
      </c>
    </row>
    <row r="18" spans="1:37" ht="12" customHeight="1">
      <c r="A18" s="12" t="s">
        <v>928</v>
      </c>
      <c r="B18" s="11"/>
      <c r="C18" s="11" t="s">
        <v>61</v>
      </c>
      <c r="D18" s="11"/>
      <c r="E18" s="29">
        <v>49759</v>
      </c>
      <c r="G18" s="7">
        <v>1291828</v>
      </c>
      <c r="I18" s="7">
        <v>719318</v>
      </c>
      <c r="K18" s="7">
        <v>34100</v>
      </c>
      <c r="M18" s="7">
        <f t="shared" si="0"/>
        <v>2045246</v>
      </c>
      <c r="O18" s="7">
        <f>2534989+152057+58311</f>
        <v>2745357</v>
      </c>
      <c r="Q18" s="7">
        <v>944981</v>
      </c>
      <c r="S18" s="7">
        <v>6072414</v>
      </c>
      <c r="U18" s="7">
        <v>84110</v>
      </c>
      <c r="W18" s="7">
        <v>3000</v>
      </c>
      <c r="Y18" s="7">
        <v>21335</v>
      </c>
      <c r="AA18" s="7">
        <f>49168+4515-7708</f>
        <v>45975</v>
      </c>
      <c r="AB18" s="58"/>
      <c r="AC18" s="7">
        <v>0</v>
      </c>
      <c r="AE18" s="7">
        <v>0</v>
      </c>
      <c r="AG18" s="7">
        <f t="shared" si="1"/>
        <v>9917172</v>
      </c>
      <c r="AH18" s="7"/>
      <c r="AI18" s="7">
        <f t="shared" si="2"/>
        <v>11962418</v>
      </c>
      <c r="AK18" s="7" t="s">
        <v>929</v>
      </c>
    </row>
    <row r="19" spans="1:37" ht="12" hidden="1" customHeight="1">
      <c r="A19" s="12" t="s">
        <v>727</v>
      </c>
      <c r="B19" s="12"/>
      <c r="C19" s="12" t="s">
        <v>628</v>
      </c>
      <c r="D19" s="11"/>
      <c r="E19" s="29"/>
      <c r="M19" s="7">
        <f t="shared" si="0"/>
        <v>0</v>
      </c>
      <c r="AB19" s="58"/>
      <c r="AC19" s="7">
        <v>0</v>
      </c>
      <c r="AG19" s="7">
        <f t="shared" si="1"/>
        <v>0</v>
      </c>
      <c r="AH19" s="7"/>
      <c r="AI19" s="7">
        <f t="shared" si="2"/>
        <v>0</v>
      </c>
      <c r="AK19" s="7" t="s">
        <v>778</v>
      </c>
    </row>
    <row r="20" spans="1:37" ht="12" customHeight="1">
      <c r="A20" s="11" t="s">
        <v>402</v>
      </c>
      <c r="B20" s="11"/>
      <c r="C20" s="11" t="s">
        <v>115</v>
      </c>
      <c r="D20" s="11"/>
      <c r="E20" s="29">
        <v>48207</v>
      </c>
      <c r="G20" s="7">
        <v>2085910</v>
      </c>
      <c r="I20" s="7">
        <v>3178983</v>
      </c>
      <c r="K20" s="7">
        <v>0</v>
      </c>
      <c r="M20" s="7">
        <f t="shared" si="0"/>
        <v>5264893</v>
      </c>
      <c r="O20" s="7">
        <f>20627804+1900165+1674977</f>
        <v>24202946</v>
      </c>
      <c r="Q20" s="7">
        <v>0</v>
      </c>
      <c r="S20" s="7">
        <v>12249341</v>
      </c>
      <c r="U20" s="7">
        <v>32782</v>
      </c>
      <c r="W20" s="7">
        <v>1310996</v>
      </c>
      <c r="Y20" s="7">
        <v>0</v>
      </c>
      <c r="AA20" s="7">
        <v>101556</v>
      </c>
      <c r="AB20" s="58"/>
      <c r="AC20" s="7">
        <v>0</v>
      </c>
      <c r="AE20" s="7">
        <v>0</v>
      </c>
      <c r="AG20" s="7">
        <f t="shared" si="1"/>
        <v>37897621</v>
      </c>
      <c r="AH20" s="7"/>
      <c r="AI20" s="7">
        <f t="shared" si="2"/>
        <v>43162514</v>
      </c>
    </row>
    <row r="21" spans="1:37" ht="12" customHeight="1">
      <c r="A21" s="11" t="s">
        <v>343</v>
      </c>
      <c r="B21" s="11"/>
      <c r="C21" s="11" t="s">
        <v>33</v>
      </c>
      <c r="D21" s="11"/>
      <c r="E21" s="29">
        <v>47415</v>
      </c>
      <c r="G21" s="7">
        <v>911707</v>
      </c>
      <c r="I21" s="7">
        <v>642240</v>
      </c>
      <c r="K21" s="7">
        <v>1525</v>
      </c>
      <c r="M21" s="7">
        <f t="shared" si="0"/>
        <v>1555472</v>
      </c>
      <c r="O21" s="7">
        <v>2087983</v>
      </c>
      <c r="Q21" s="7">
        <v>657764</v>
      </c>
      <c r="S21" s="7">
        <v>2219006</v>
      </c>
      <c r="U21" s="7">
        <v>9244</v>
      </c>
      <c r="W21" s="7">
        <v>0</v>
      </c>
      <c r="Y21" s="7">
        <v>13823</v>
      </c>
      <c r="AA21" s="7">
        <v>49112</v>
      </c>
      <c r="AB21" s="58"/>
      <c r="AC21" s="7">
        <v>0</v>
      </c>
      <c r="AE21" s="7">
        <v>0</v>
      </c>
      <c r="AG21" s="7">
        <f t="shared" si="1"/>
        <v>5036932</v>
      </c>
      <c r="AH21" s="7"/>
      <c r="AI21" s="7">
        <f t="shared" si="2"/>
        <v>6592404</v>
      </c>
    </row>
    <row r="22" spans="1:37" ht="12" hidden="1" customHeight="1">
      <c r="A22" s="12" t="s">
        <v>702</v>
      </c>
      <c r="B22" s="11"/>
      <c r="C22" s="11" t="s">
        <v>21</v>
      </c>
      <c r="D22" s="11"/>
      <c r="E22" s="29">
        <v>46631</v>
      </c>
      <c r="M22" s="7">
        <f t="shared" si="0"/>
        <v>0</v>
      </c>
      <c r="AB22" s="58"/>
      <c r="AC22" s="7">
        <v>0</v>
      </c>
      <c r="AG22" s="7">
        <f t="shared" si="1"/>
        <v>0</v>
      </c>
      <c r="AH22" s="7"/>
      <c r="AI22" s="7">
        <f t="shared" si="2"/>
        <v>0</v>
      </c>
      <c r="AK22" s="7" t="s">
        <v>778</v>
      </c>
    </row>
    <row r="23" spans="1:37" ht="12" customHeight="1">
      <c r="A23" s="11" t="s">
        <v>318</v>
      </c>
      <c r="B23" s="11"/>
      <c r="C23" s="11" t="s">
        <v>28</v>
      </c>
      <c r="D23" s="11"/>
      <c r="E23" s="29">
        <v>47043</v>
      </c>
      <c r="G23" s="7">
        <v>922204</v>
      </c>
      <c r="I23" s="7">
        <v>1358458</v>
      </c>
      <c r="K23" s="7">
        <v>0</v>
      </c>
      <c r="M23" s="7">
        <f t="shared" si="0"/>
        <v>2280662</v>
      </c>
      <c r="O23" s="7">
        <f>5323609+370284+613538</f>
        <v>6307431</v>
      </c>
      <c r="Q23" s="7">
        <v>0</v>
      </c>
      <c r="S23" s="7">
        <v>6136797</v>
      </c>
      <c r="U23" s="7">
        <v>50935</v>
      </c>
      <c r="W23" s="7">
        <v>0</v>
      </c>
      <c r="Y23" s="7">
        <v>1500</v>
      </c>
      <c r="AA23" s="7">
        <f>57801+751</f>
        <v>58552</v>
      </c>
      <c r="AB23" s="58"/>
      <c r="AC23" s="7">
        <v>0</v>
      </c>
      <c r="AE23" s="7">
        <v>0</v>
      </c>
      <c r="AG23" s="7">
        <f t="shared" si="1"/>
        <v>12555215</v>
      </c>
      <c r="AH23" s="7"/>
      <c r="AI23" s="7">
        <f t="shared" si="2"/>
        <v>14835877</v>
      </c>
    </row>
    <row r="24" spans="1:37" ht="12" customHeight="1">
      <c r="A24" s="11" t="s">
        <v>344</v>
      </c>
      <c r="B24" s="11"/>
      <c r="C24" s="11" t="s">
        <v>33</v>
      </c>
      <c r="D24" s="11"/>
      <c r="E24" s="29">
        <v>47423</v>
      </c>
      <c r="G24" s="7">
        <v>496300</v>
      </c>
      <c r="I24" s="7">
        <v>944526</v>
      </c>
      <c r="K24" s="7">
        <v>3144</v>
      </c>
      <c r="M24" s="7">
        <f t="shared" si="0"/>
        <v>1443970</v>
      </c>
      <c r="O24" s="7">
        <f>1234902+99235</f>
        <v>1334137</v>
      </c>
      <c r="Q24" s="7">
        <v>922987</v>
      </c>
      <c r="S24" s="7">
        <v>3038467</v>
      </c>
      <c r="U24" s="7">
        <v>11717</v>
      </c>
      <c r="W24" s="7">
        <v>0</v>
      </c>
      <c r="Y24" s="7">
        <v>6009</v>
      </c>
      <c r="AA24" s="7">
        <v>67749</v>
      </c>
      <c r="AB24" s="58"/>
      <c r="AC24" s="7">
        <v>0</v>
      </c>
      <c r="AE24" s="7">
        <v>0</v>
      </c>
      <c r="AG24" s="7">
        <f t="shared" si="1"/>
        <v>5381066</v>
      </c>
      <c r="AH24" s="7"/>
      <c r="AI24" s="7">
        <f t="shared" si="2"/>
        <v>6825036</v>
      </c>
    </row>
    <row r="25" spans="1:37" ht="12" customHeight="1">
      <c r="A25" s="11" t="s">
        <v>204</v>
      </c>
      <c r="B25" s="11"/>
      <c r="C25" s="11" t="s">
        <v>11</v>
      </c>
      <c r="D25" s="11"/>
      <c r="E25" s="29">
        <v>43505</v>
      </c>
      <c r="F25" s="6"/>
      <c r="G25" s="7">
        <v>2062046</v>
      </c>
      <c r="I25" s="7">
        <v>4733178</v>
      </c>
      <c r="K25" s="7">
        <v>0</v>
      </c>
      <c r="M25" s="7">
        <f t="shared" si="0"/>
        <v>6795224</v>
      </c>
      <c r="O25" s="7">
        <f>13866126+411052</f>
        <v>14277178</v>
      </c>
      <c r="Q25" s="7">
        <v>0</v>
      </c>
      <c r="S25" s="7">
        <v>15807910</v>
      </c>
      <c r="U25" s="7">
        <v>48728</v>
      </c>
      <c r="W25" s="7">
        <v>232797</v>
      </c>
      <c r="Y25" s="7">
        <v>0</v>
      </c>
      <c r="AA25" s="7">
        <v>155869</v>
      </c>
      <c r="AB25" s="58"/>
      <c r="AC25" s="7">
        <v>0</v>
      </c>
      <c r="AE25" s="7">
        <v>0</v>
      </c>
      <c r="AG25" s="7">
        <f t="shared" si="1"/>
        <v>30522482</v>
      </c>
      <c r="AH25" s="7"/>
      <c r="AI25" s="7">
        <f t="shared" si="2"/>
        <v>37317706</v>
      </c>
    </row>
    <row r="26" spans="1:37" ht="12" customHeight="1">
      <c r="A26" s="12" t="s">
        <v>701</v>
      </c>
      <c r="B26" s="12"/>
      <c r="C26" s="12" t="s">
        <v>12</v>
      </c>
      <c r="D26" s="12"/>
      <c r="E26" s="29">
        <v>43513</v>
      </c>
      <c r="F26" s="6"/>
      <c r="G26" s="7">
        <v>862455</v>
      </c>
      <c r="I26" s="7">
        <v>6854340</v>
      </c>
      <c r="K26" s="7">
        <v>0</v>
      </c>
      <c r="M26" s="7">
        <f t="shared" si="0"/>
        <v>7716795</v>
      </c>
      <c r="O26" s="7">
        <f>9351654+3023578+1174657+195094</f>
        <v>13744983</v>
      </c>
      <c r="Q26" s="7">
        <v>0</v>
      </c>
      <c r="S26" s="7">
        <f>30062685+27187083</f>
        <v>57249768</v>
      </c>
      <c r="U26" s="7">
        <v>55452</v>
      </c>
      <c r="W26" s="7">
        <v>0</v>
      </c>
      <c r="Y26" s="7">
        <v>0</v>
      </c>
      <c r="AA26" s="7">
        <v>321666</v>
      </c>
      <c r="AB26" s="58"/>
      <c r="AC26" s="7">
        <v>0</v>
      </c>
      <c r="AE26" s="7">
        <v>14251</v>
      </c>
      <c r="AG26" s="7">
        <f t="shared" si="1"/>
        <v>71386120</v>
      </c>
      <c r="AH26" s="7"/>
      <c r="AI26" s="7">
        <f t="shared" si="2"/>
        <v>79102915</v>
      </c>
      <c r="AK26" s="7"/>
    </row>
    <row r="27" spans="1:37" ht="12" customHeight="1">
      <c r="A27" s="11" t="s">
        <v>211</v>
      </c>
      <c r="B27" s="11"/>
      <c r="C27" s="11" t="s">
        <v>13</v>
      </c>
      <c r="D27" s="11"/>
      <c r="E27" s="29">
        <v>43521</v>
      </c>
      <c r="F27" s="6"/>
      <c r="G27" s="7">
        <v>2911603</v>
      </c>
      <c r="I27" s="7">
        <v>8095233</v>
      </c>
      <c r="K27" s="7">
        <v>225000</v>
      </c>
      <c r="M27" s="7">
        <f t="shared" si="0"/>
        <v>11231836</v>
      </c>
      <c r="O27" s="7">
        <f>12674696+1191370+1139281</f>
        <v>15005347</v>
      </c>
      <c r="Q27" s="7">
        <v>3260583</v>
      </c>
      <c r="S27" s="7">
        <v>6105678</v>
      </c>
      <c r="U27" s="7">
        <v>177670</v>
      </c>
      <c r="W27" s="7">
        <v>317647</v>
      </c>
      <c r="Y27" s="7">
        <v>0</v>
      </c>
      <c r="AA27" s="7">
        <v>198597</v>
      </c>
      <c r="AB27" s="58"/>
      <c r="AC27" s="7">
        <v>0</v>
      </c>
      <c r="AE27" s="7">
        <v>0</v>
      </c>
      <c r="AG27" s="7">
        <f t="shared" si="1"/>
        <v>25065522</v>
      </c>
      <c r="AH27" s="7"/>
      <c r="AI27" s="7">
        <f t="shared" si="2"/>
        <v>36297358</v>
      </c>
      <c r="AK27" s="7"/>
    </row>
    <row r="28" spans="1:37" ht="12" customHeight="1">
      <c r="A28" s="11" t="s">
        <v>474</v>
      </c>
      <c r="B28" s="11"/>
      <c r="C28" s="11" t="s">
        <v>56</v>
      </c>
      <c r="D28" s="11"/>
      <c r="E28" s="29">
        <v>49171</v>
      </c>
      <c r="G28" s="7">
        <v>1477187</v>
      </c>
      <c r="I28" s="7">
        <v>1723294</v>
      </c>
      <c r="K28" s="7">
        <v>0</v>
      </c>
      <c r="M28" s="7">
        <f t="shared" si="0"/>
        <v>3200481</v>
      </c>
      <c r="O28" s="7">
        <f>20154372+1980464+615383</f>
        <v>22750219</v>
      </c>
      <c r="Q28" s="7">
        <v>0</v>
      </c>
      <c r="S28" s="7">
        <v>8844089</v>
      </c>
      <c r="U28" s="7">
        <v>28822</v>
      </c>
      <c r="W28" s="7">
        <v>0</v>
      </c>
      <c r="Y28" s="7">
        <v>0</v>
      </c>
      <c r="AA28" s="7">
        <v>628135</v>
      </c>
      <c r="AB28" s="58"/>
      <c r="AC28" s="7">
        <v>0</v>
      </c>
      <c r="AE28" s="7">
        <v>0</v>
      </c>
      <c r="AG28" s="7">
        <f t="shared" si="1"/>
        <v>32251265</v>
      </c>
      <c r="AH28" s="7"/>
      <c r="AI28" s="7">
        <f t="shared" si="2"/>
        <v>35451746</v>
      </c>
    </row>
    <row r="29" spans="1:37" ht="12" customHeight="1">
      <c r="A29" s="11" t="s">
        <v>414</v>
      </c>
      <c r="B29" s="11"/>
      <c r="C29" s="11" t="s">
        <v>45</v>
      </c>
      <c r="D29" s="11"/>
      <c r="E29" s="29">
        <v>48298</v>
      </c>
      <c r="G29" s="7">
        <v>3610294</v>
      </c>
      <c r="I29" s="7">
        <v>8606887</v>
      </c>
      <c r="K29" s="7">
        <v>0</v>
      </c>
      <c r="M29" s="7">
        <f t="shared" si="0"/>
        <v>12217181</v>
      </c>
      <c r="O29" s="7">
        <f>15860458+2314189+161560</f>
        <v>18336207</v>
      </c>
      <c r="Q29" s="7">
        <v>0</v>
      </c>
      <c r="S29" s="7">
        <f>20634581+23661484</f>
        <v>44296065</v>
      </c>
      <c r="U29" s="7">
        <v>334362</v>
      </c>
      <c r="W29" s="7">
        <v>0</v>
      </c>
      <c r="Y29" s="7">
        <v>0</v>
      </c>
      <c r="AA29" s="7">
        <v>24228</v>
      </c>
      <c r="AB29" s="58"/>
      <c r="AC29" s="7">
        <v>0</v>
      </c>
      <c r="AE29" s="7">
        <v>0</v>
      </c>
      <c r="AG29" s="7">
        <f t="shared" si="1"/>
        <v>62990862</v>
      </c>
      <c r="AH29" s="7"/>
      <c r="AI29" s="7">
        <f t="shared" si="2"/>
        <v>75208043</v>
      </c>
      <c r="AK29" s="7"/>
    </row>
    <row r="30" spans="1:37" ht="12" customHeight="1">
      <c r="A30" s="11" t="s">
        <v>392</v>
      </c>
      <c r="B30" s="11"/>
      <c r="C30" s="11" t="s">
        <v>44</v>
      </c>
      <c r="D30" s="11"/>
      <c r="E30" s="29">
        <v>48124</v>
      </c>
      <c r="G30" s="7">
        <v>2239619</v>
      </c>
      <c r="I30" s="7">
        <v>1748392</v>
      </c>
      <c r="K30" s="7">
        <v>0</v>
      </c>
      <c r="M30" s="7">
        <f t="shared" si="0"/>
        <v>3988011</v>
      </c>
      <c r="O30" s="7">
        <f>26250202+4289589+588220</f>
        <v>31128011</v>
      </c>
      <c r="Q30" s="7">
        <v>0</v>
      </c>
      <c r="S30" s="7">
        <v>11894621</v>
      </c>
      <c r="U30" s="7">
        <v>180345</v>
      </c>
      <c r="W30" s="7">
        <v>0</v>
      </c>
      <c r="Y30" s="7">
        <v>0</v>
      </c>
      <c r="AA30" s="7">
        <v>796756</v>
      </c>
      <c r="AB30" s="58"/>
      <c r="AC30" s="7">
        <v>0</v>
      </c>
      <c r="AE30" s="7">
        <v>0</v>
      </c>
      <c r="AG30" s="7">
        <f t="shared" si="1"/>
        <v>43999733</v>
      </c>
      <c r="AH30" s="7"/>
      <c r="AI30" s="7">
        <f t="shared" si="2"/>
        <v>47987744</v>
      </c>
    </row>
    <row r="31" spans="1:37" ht="12" customHeight="1">
      <c r="A31" s="11" t="s">
        <v>393</v>
      </c>
      <c r="B31" s="11"/>
      <c r="C31" s="11" t="s">
        <v>44</v>
      </c>
      <c r="D31" s="11"/>
      <c r="E31" s="29">
        <v>48116</v>
      </c>
      <c r="G31" s="7">
        <v>1657217</v>
      </c>
      <c r="I31" s="7">
        <v>2180021</v>
      </c>
      <c r="K31" s="7">
        <v>0</v>
      </c>
      <c r="M31" s="7">
        <f t="shared" si="0"/>
        <v>3837238</v>
      </c>
      <c r="O31" s="7">
        <f>22948746+3477121+721257</f>
        <v>27147124</v>
      </c>
      <c r="Q31" s="7">
        <v>0</v>
      </c>
      <c r="S31" s="7">
        <v>7650007</v>
      </c>
      <c r="U31" s="7">
        <v>129232</v>
      </c>
      <c r="W31" s="7">
        <v>0</v>
      </c>
      <c r="Y31" s="7">
        <v>0</v>
      </c>
      <c r="AA31" s="7">
        <v>787948</v>
      </c>
      <c r="AB31" s="58"/>
      <c r="AC31" s="7">
        <v>0</v>
      </c>
      <c r="AE31" s="7">
        <v>0</v>
      </c>
      <c r="AG31" s="7">
        <f t="shared" si="1"/>
        <v>35714311</v>
      </c>
      <c r="AH31" s="7"/>
      <c r="AI31" s="7">
        <f t="shared" si="2"/>
        <v>39551549</v>
      </c>
    </row>
    <row r="32" spans="1:37" ht="12" customHeight="1">
      <c r="A32" s="11" t="s">
        <v>289</v>
      </c>
      <c r="B32" s="11"/>
      <c r="C32" s="11" t="s">
        <v>22</v>
      </c>
      <c r="D32" s="11"/>
      <c r="E32" s="29">
        <v>46706</v>
      </c>
      <c r="G32" s="7">
        <v>1714964</v>
      </c>
      <c r="I32" s="7">
        <v>779836</v>
      </c>
      <c r="K32" s="7">
        <v>0</v>
      </c>
      <c r="M32" s="7">
        <f t="shared" si="0"/>
        <v>2494800</v>
      </c>
      <c r="O32" s="7">
        <f>2055374+72374+88214</f>
        <v>2215962</v>
      </c>
      <c r="Q32" s="7">
        <v>793052</v>
      </c>
      <c r="S32" s="7">
        <v>3304980</v>
      </c>
      <c r="U32" s="7">
        <v>5302</v>
      </c>
      <c r="W32" s="7">
        <v>14343</v>
      </c>
      <c r="Y32" s="7">
        <v>0</v>
      </c>
      <c r="AA32" s="7">
        <v>2634</v>
      </c>
      <c r="AB32" s="58"/>
      <c r="AC32" s="7">
        <v>0</v>
      </c>
      <c r="AE32" s="7">
        <v>0</v>
      </c>
      <c r="AG32" s="7">
        <f t="shared" si="1"/>
        <v>6336273</v>
      </c>
      <c r="AH32" s="7"/>
      <c r="AI32" s="7">
        <f t="shared" si="2"/>
        <v>8831073</v>
      </c>
    </row>
    <row r="33" spans="1:37" ht="12" customHeight="1">
      <c r="A33" s="11" t="s">
        <v>523</v>
      </c>
      <c r="B33" s="11"/>
      <c r="C33" s="11" t="s">
        <v>63</v>
      </c>
      <c r="D33" s="11"/>
      <c r="E33" s="29">
        <v>43539</v>
      </c>
      <c r="G33" s="7">
        <v>2285237</v>
      </c>
      <c r="I33" s="7">
        <v>16027032</v>
      </c>
      <c r="K33" s="7">
        <v>0</v>
      </c>
      <c r="M33" s="7">
        <f t="shared" si="0"/>
        <v>18312269</v>
      </c>
      <c r="O33" s="7">
        <f>10670360+2321546+207361</f>
        <v>13199267</v>
      </c>
      <c r="Q33" s="7">
        <v>0</v>
      </c>
      <c r="S33" s="7">
        <v>22161845</v>
      </c>
      <c r="U33" s="7">
        <v>139380</v>
      </c>
      <c r="W33" s="7">
        <v>0</v>
      </c>
      <c r="Y33" s="7">
        <v>0</v>
      </c>
      <c r="AA33" s="7">
        <v>417853</v>
      </c>
      <c r="AB33" s="58"/>
      <c r="AC33" s="7">
        <v>0</v>
      </c>
      <c r="AE33" s="7">
        <v>0</v>
      </c>
      <c r="AG33" s="7">
        <f t="shared" si="1"/>
        <v>35918345</v>
      </c>
      <c r="AH33" s="7"/>
      <c r="AI33" s="7">
        <f t="shared" si="2"/>
        <v>54230614</v>
      </c>
    </row>
    <row r="34" spans="1:37" ht="12" customHeight="1">
      <c r="A34" s="12" t="s">
        <v>859</v>
      </c>
      <c r="B34" s="11"/>
      <c r="C34" s="11" t="s">
        <v>15</v>
      </c>
      <c r="D34" s="11"/>
      <c r="E34" s="29"/>
      <c r="G34" s="7">
        <v>932335</v>
      </c>
      <c r="I34" s="7">
        <v>2698452</v>
      </c>
      <c r="K34" s="7">
        <v>0</v>
      </c>
      <c r="M34" s="7">
        <f t="shared" si="0"/>
        <v>3630787</v>
      </c>
      <c r="O34" s="7">
        <f>2570838+257932+42307</f>
        <v>2871077</v>
      </c>
      <c r="Q34" s="7">
        <v>0</v>
      </c>
      <c r="S34" s="7">
        <v>5805046</v>
      </c>
      <c r="U34" s="7">
        <v>35960</v>
      </c>
      <c r="W34" s="7">
        <v>0</v>
      </c>
      <c r="Y34" s="7">
        <v>17646</v>
      </c>
      <c r="AA34" s="7">
        <v>90229</v>
      </c>
      <c r="AB34" s="58"/>
      <c r="AC34" s="7">
        <v>0</v>
      </c>
      <c r="AE34" s="7">
        <v>0</v>
      </c>
      <c r="AG34" s="7">
        <f t="shared" si="1"/>
        <v>8819958</v>
      </c>
      <c r="AH34" s="7"/>
      <c r="AI34" s="7">
        <f t="shared" si="2"/>
        <v>12450745</v>
      </c>
    </row>
    <row r="35" spans="1:37" ht="12" customHeight="1">
      <c r="A35" s="11" t="s">
        <v>242</v>
      </c>
      <c r="B35" s="11"/>
      <c r="C35" s="11" t="s">
        <v>113</v>
      </c>
      <c r="D35" s="11"/>
      <c r="E35" s="29">
        <v>46300</v>
      </c>
      <c r="F35" s="6"/>
      <c r="G35" s="7">
        <v>1269216</v>
      </c>
      <c r="I35" s="7">
        <v>2149618</v>
      </c>
      <c r="K35" s="7">
        <v>0</v>
      </c>
      <c r="M35" s="7">
        <f t="shared" si="0"/>
        <v>3418834</v>
      </c>
      <c r="O35" s="7">
        <f>6370461+435571</f>
        <v>6806032</v>
      </c>
      <c r="Q35" s="7">
        <v>0</v>
      </c>
      <c r="S35" s="7">
        <v>8942341</v>
      </c>
      <c r="U35" s="7">
        <v>2363</v>
      </c>
      <c r="W35" s="7">
        <v>407218</v>
      </c>
      <c r="Y35" s="7">
        <v>0</v>
      </c>
      <c r="AA35" s="7">
        <v>453533</v>
      </c>
      <c r="AB35" s="58"/>
      <c r="AC35" s="7">
        <v>0</v>
      </c>
      <c r="AE35" s="7">
        <v>0</v>
      </c>
      <c r="AG35" s="7">
        <f t="shared" si="1"/>
        <v>16611487</v>
      </c>
      <c r="AH35" s="7"/>
      <c r="AI35" s="7">
        <f t="shared" si="2"/>
        <v>20030321</v>
      </c>
    </row>
    <row r="36" spans="1:37" ht="12" hidden="1" customHeight="1">
      <c r="A36" s="12" t="s">
        <v>703</v>
      </c>
      <c r="B36" s="11"/>
      <c r="C36" s="11" t="s">
        <v>10</v>
      </c>
      <c r="D36" s="11"/>
      <c r="E36" s="29">
        <v>45765</v>
      </c>
      <c r="F36" s="6"/>
      <c r="M36" s="7">
        <f t="shared" si="0"/>
        <v>0</v>
      </c>
      <c r="AB36" s="58"/>
      <c r="AC36" s="7">
        <v>0</v>
      </c>
      <c r="AG36" s="7">
        <f t="shared" si="1"/>
        <v>0</v>
      </c>
      <c r="AH36" s="7"/>
      <c r="AI36" s="7">
        <f t="shared" si="2"/>
        <v>0</v>
      </c>
      <c r="AK36" s="7" t="s">
        <v>778</v>
      </c>
    </row>
    <row r="37" spans="1:37">
      <c r="A37" s="12" t="s">
        <v>661</v>
      </c>
      <c r="B37" s="11"/>
      <c r="C37" s="11" t="s">
        <v>20</v>
      </c>
      <c r="D37" s="11"/>
      <c r="E37" s="29">
        <v>43547</v>
      </c>
      <c r="G37" s="7">
        <v>2345075</v>
      </c>
      <c r="I37" s="7">
        <v>1905728</v>
      </c>
      <c r="K37" s="7">
        <v>10000</v>
      </c>
      <c r="M37" s="7">
        <f t="shared" si="0"/>
        <v>4260803</v>
      </c>
      <c r="O37" s="7">
        <f>21382837+1418093</f>
        <v>22800930</v>
      </c>
      <c r="Q37" s="7">
        <v>0</v>
      </c>
      <c r="S37" s="7">
        <v>7676990</v>
      </c>
      <c r="U37" s="7">
        <v>180376</v>
      </c>
      <c r="W37" s="7">
        <v>0</v>
      </c>
      <c r="Y37" s="7">
        <v>0</v>
      </c>
      <c r="AA37" s="7">
        <v>318644</v>
      </c>
      <c r="AB37" s="58"/>
      <c r="AC37" s="7">
        <v>0</v>
      </c>
      <c r="AE37" s="7">
        <v>0</v>
      </c>
      <c r="AG37" s="7">
        <f t="shared" si="1"/>
        <v>30976940</v>
      </c>
      <c r="AH37" s="7"/>
      <c r="AI37" s="7">
        <f t="shared" si="2"/>
        <v>35237743</v>
      </c>
    </row>
    <row r="38" spans="1:37" ht="12" customHeight="1">
      <c r="A38" s="11" t="s">
        <v>267</v>
      </c>
      <c r="B38" s="11"/>
      <c r="C38" s="11" t="s">
        <v>20</v>
      </c>
      <c r="D38" s="11"/>
      <c r="E38" s="29">
        <v>43554</v>
      </c>
      <c r="G38" s="7">
        <v>4432301</v>
      </c>
      <c r="I38" s="7">
        <v>3368012</v>
      </c>
      <c r="K38" s="7">
        <v>0</v>
      </c>
      <c r="M38" s="7">
        <f t="shared" si="0"/>
        <v>7800313</v>
      </c>
      <c r="O38" s="7">
        <v>26914433</v>
      </c>
      <c r="Q38" s="7">
        <v>0</v>
      </c>
      <c r="S38" s="7">
        <v>6845143</v>
      </c>
      <c r="U38" s="7">
        <v>332985</v>
      </c>
      <c r="W38" s="7">
        <v>0</v>
      </c>
      <c r="Y38" s="7">
        <v>0</v>
      </c>
      <c r="AA38" s="7">
        <v>250458</v>
      </c>
      <c r="AB38" s="58"/>
      <c r="AC38" s="7">
        <v>0</v>
      </c>
      <c r="AE38" s="7">
        <v>0</v>
      </c>
      <c r="AG38" s="7">
        <f t="shared" si="1"/>
        <v>34343019</v>
      </c>
      <c r="AH38" s="7"/>
      <c r="AI38" s="7">
        <f>+AG38+M38</f>
        <v>42143332</v>
      </c>
    </row>
    <row r="39" spans="1:37" ht="12" customHeight="1">
      <c r="A39" s="11" t="s">
        <v>252</v>
      </c>
      <c r="B39" s="11"/>
      <c r="C39" s="11" t="s">
        <v>112</v>
      </c>
      <c r="D39" s="11"/>
      <c r="E39" s="29">
        <v>46425</v>
      </c>
      <c r="F39" s="6"/>
      <c r="G39" s="7">
        <v>2088785</v>
      </c>
      <c r="I39" s="7">
        <v>4244178</v>
      </c>
      <c r="K39" s="7">
        <v>0</v>
      </c>
      <c r="M39" s="7">
        <f t="shared" si="0"/>
        <v>6332963</v>
      </c>
      <c r="O39" s="7">
        <f>5208655+16484</f>
        <v>5225139</v>
      </c>
      <c r="Q39" s="7">
        <v>0</v>
      </c>
      <c r="S39" s="7">
        <v>9037260</v>
      </c>
      <c r="U39" s="7">
        <v>1593</v>
      </c>
      <c r="W39" s="7">
        <v>0</v>
      </c>
      <c r="Y39" s="7">
        <v>0</v>
      </c>
      <c r="AA39" s="7">
        <f>78485+4312</f>
        <v>82797</v>
      </c>
      <c r="AB39" s="58"/>
      <c r="AC39" s="7">
        <v>0</v>
      </c>
      <c r="AE39" s="7">
        <v>0</v>
      </c>
      <c r="AG39" s="7">
        <f t="shared" si="1"/>
        <v>14346789</v>
      </c>
      <c r="AH39" s="7"/>
      <c r="AI39" s="7">
        <f>+AG39+M39</f>
        <v>20679752</v>
      </c>
    </row>
    <row r="40" spans="1:37" ht="12" customHeight="1">
      <c r="A40" s="11" t="s">
        <v>325</v>
      </c>
      <c r="B40" s="11"/>
      <c r="C40" s="11" t="s">
        <v>114</v>
      </c>
      <c r="D40" s="11"/>
      <c r="E40" s="29">
        <v>47241</v>
      </c>
      <c r="G40" s="7">
        <v>4486416</v>
      </c>
      <c r="I40" s="7">
        <v>6775677</v>
      </c>
      <c r="K40" s="7">
        <v>0</v>
      </c>
      <c r="M40" s="7">
        <f t="shared" si="0"/>
        <v>11262093</v>
      </c>
      <c r="O40" s="7">
        <f>48658339+7171090+2285442</f>
        <v>58114871</v>
      </c>
      <c r="Q40" s="7">
        <v>0</v>
      </c>
      <c r="S40" s="7">
        <v>18938388</v>
      </c>
      <c r="U40" s="7">
        <v>811773</v>
      </c>
      <c r="W40" s="7">
        <v>0</v>
      </c>
      <c r="Y40" s="7">
        <v>108698</v>
      </c>
      <c r="AA40" s="7">
        <v>481196</v>
      </c>
      <c r="AB40" s="58"/>
      <c r="AC40" s="7">
        <v>0</v>
      </c>
      <c r="AE40" s="7">
        <v>0</v>
      </c>
      <c r="AG40" s="7">
        <f t="shared" si="1"/>
        <v>78454926</v>
      </c>
      <c r="AH40" s="7"/>
      <c r="AI40" s="7">
        <f t="shared" si="2"/>
        <v>89717019</v>
      </c>
    </row>
    <row r="41" spans="1:37" ht="12" customHeight="1">
      <c r="A41" s="11" t="s">
        <v>268</v>
      </c>
      <c r="B41" s="11"/>
      <c r="C41" s="11" t="s">
        <v>20</v>
      </c>
      <c r="D41" s="11"/>
      <c r="E41" s="29">
        <v>43562</v>
      </c>
      <c r="G41" s="7">
        <v>2346793</v>
      </c>
      <c r="I41" s="7">
        <v>5366013</v>
      </c>
      <c r="K41" s="7">
        <v>196417</v>
      </c>
      <c r="M41" s="7">
        <f t="shared" si="0"/>
        <v>7909223</v>
      </c>
      <c r="O41" s="7">
        <f>28733772+1141941+445659</f>
        <v>30321372</v>
      </c>
      <c r="Q41" s="7">
        <v>0</v>
      </c>
      <c r="S41" s="7">
        <v>17019801</v>
      </c>
      <c r="U41" s="7">
        <v>27479</v>
      </c>
      <c r="W41" s="7">
        <v>0</v>
      </c>
      <c r="Y41" s="7">
        <v>0</v>
      </c>
      <c r="AA41" s="7">
        <f>1371+371913</f>
        <v>373284</v>
      </c>
      <c r="AB41" s="58"/>
      <c r="AC41" s="7">
        <v>0</v>
      </c>
      <c r="AE41" s="7">
        <v>0</v>
      </c>
      <c r="AG41" s="7">
        <f t="shared" si="1"/>
        <v>47741936</v>
      </c>
      <c r="AH41" s="7"/>
      <c r="AI41" s="7">
        <f t="shared" si="2"/>
        <v>55651159</v>
      </c>
    </row>
    <row r="42" spans="1:37" ht="12" customHeight="1">
      <c r="A42" s="11" t="s">
        <v>216</v>
      </c>
      <c r="B42" s="11"/>
      <c r="C42" s="11" t="s">
        <v>15</v>
      </c>
      <c r="D42" s="11"/>
      <c r="E42" s="29">
        <v>43570</v>
      </c>
      <c r="F42" s="6"/>
      <c r="G42" s="7">
        <v>1267913</v>
      </c>
      <c r="I42" s="7">
        <v>4919997</v>
      </c>
      <c r="K42" s="7">
        <v>0</v>
      </c>
      <c r="M42" s="7">
        <f t="shared" si="0"/>
        <v>6187910</v>
      </c>
      <c r="O42" s="7">
        <f>1983945+190848+329759+40412</f>
        <v>2544964</v>
      </c>
      <c r="Q42" s="7">
        <v>0</v>
      </c>
      <c r="S42" s="7">
        <v>9385512</v>
      </c>
      <c r="U42" s="7">
        <v>28936</v>
      </c>
      <c r="W42" s="7">
        <v>0</v>
      </c>
      <c r="Y42" s="7">
        <v>6425</v>
      </c>
      <c r="AA42" s="7">
        <v>33729</v>
      </c>
      <c r="AB42" s="58"/>
      <c r="AC42" s="7">
        <v>0</v>
      </c>
      <c r="AE42" s="7">
        <v>0</v>
      </c>
      <c r="AG42" s="7">
        <f t="shared" si="1"/>
        <v>11999566</v>
      </c>
      <c r="AH42" s="7"/>
      <c r="AI42" s="7">
        <f t="shared" si="2"/>
        <v>18187476</v>
      </c>
    </row>
    <row r="43" spans="1:37" ht="12" customHeight="1">
      <c r="A43" s="11" t="s">
        <v>796</v>
      </c>
      <c r="B43" s="11"/>
      <c r="C43" s="11" t="s">
        <v>114</v>
      </c>
      <c r="D43" s="11"/>
      <c r="E43" s="29"/>
      <c r="F43" s="6"/>
      <c r="G43" s="7">
        <v>1517841</v>
      </c>
      <c r="I43" s="7">
        <v>1885351</v>
      </c>
      <c r="K43" s="7">
        <v>246769</v>
      </c>
      <c r="M43" s="7">
        <f t="shared" si="0"/>
        <v>3649961</v>
      </c>
      <c r="O43" s="7">
        <f>15216679+2690844+693578</f>
        <v>18601101</v>
      </c>
      <c r="Q43" s="7">
        <v>0</v>
      </c>
      <c r="S43" s="7">
        <v>8614984</v>
      </c>
      <c r="U43" s="7">
        <v>4229</v>
      </c>
      <c r="W43" s="7">
        <v>0</v>
      </c>
      <c r="Y43" s="7">
        <v>0</v>
      </c>
      <c r="AA43" s="7">
        <v>360007</v>
      </c>
      <c r="AB43" s="58"/>
      <c r="AC43" s="7">
        <v>0</v>
      </c>
      <c r="AE43" s="7">
        <v>0</v>
      </c>
      <c r="AG43" s="7">
        <f t="shared" si="1"/>
        <v>27580321</v>
      </c>
      <c r="AH43" s="7"/>
      <c r="AI43" s="7">
        <f t="shared" si="2"/>
        <v>31230282</v>
      </c>
      <c r="AK43" s="7" t="s">
        <v>780</v>
      </c>
    </row>
    <row r="44" spans="1:37" ht="12" customHeight="1">
      <c r="A44" s="11" t="s">
        <v>365</v>
      </c>
      <c r="B44" s="11"/>
      <c r="C44" s="11" t="s">
        <v>37</v>
      </c>
      <c r="D44" s="11"/>
      <c r="E44" s="29">
        <v>43596</v>
      </c>
      <c r="G44" s="7">
        <v>1113228</v>
      </c>
      <c r="I44" s="7">
        <v>4565896</v>
      </c>
      <c r="K44" s="7">
        <v>183960</v>
      </c>
      <c r="M44" s="7">
        <f t="shared" si="0"/>
        <v>5863084</v>
      </c>
      <c r="O44" s="7">
        <f>7053517+127304+1177481+357553</f>
        <v>8715855</v>
      </c>
      <c r="Q44" s="7">
        <v>1236902</v>
      </c>
      <c r="S44" s="7">
        <v>9792871</v>
      </c>
      <c r="U44" s="7">
        <v>86272</v>
      </c>
      <c r="W44" s="7">
        <v>0</v>
      </c>
      <c r="Y44" s="7">
        <v>0</v>
      </c>
      <c r="AA44" s="7">
        <v>115320</v>
      </c>
      <c r="AB44" s="58"/>
      <c r="AC44" s="7">
        <v>0</v>
      </c>
      <c r="AE44" s="7">
        <v>0</v>
      </c>
      <c r="AG44" s="7">
        <f t="shared" si="1"/>
        <v>19947220</v>
      </c>
      <c r="AH44" s="7"/>
      <c r="AI44" s="7">
        <f t="shared" si="2"/>
        <v>25810304</v>
      </c>
    </row>
    <row r="45" spans="1:37" ht="12" customHeight="1">
      <c r="A45" s="11" t="s">
        <v>564</v>
      </c>
      <c r="B45" s="11"/>
      <c r="C45" s="11" t="s">
        <v>70</v>
      </c>
      <c r="D45" s="11"/>
      <c r="E45" s="29">
        <v>43604</v>
      </c>
      <c r="G45" s="7">
        <v>592902</v>
      </c>
      <c r="I45" s="7">
        <v>2836629</v>
      </c>
      <c r="K45" s="7">
        <v>0</v>
      </c>
      <c r="M45" s="7">
        <f t="shared" si="0"/>
        <v>3429531</v>
      </c>
      <c r="O45" s="7">
        <v>3216120</v>
      </c>
      <c r="Q45" s="7">
        <v>0</v>
      </c>
      <c r="S45" s="7">
        <v>5201790</v>
      </c>
      <c r="U45" s="7">
        <v>52616</v>
      </c>
      <c r="W45" s="7">
        <v>0</v>
      </c>
      <c r="Y45" s="7">
        <v>0</v>
      </c>
      <c r="AA45" s="7">
        <v>28565</v>
      </c>
      <c r="AB45" s="58"/>
      <c r="AC45" s="7">
        <v>0</v>
      </c>
      <c r="AE45" s="7">
        <v>0</v>
      </c>
      <c r="AG45" s="7">
        <f t="shared" si="1"/>
        <v>8499091</v>
      </c>
      <c r="AH45" s="7"/>
      <c r="AI45" s="7">
        <f t="shared" si="2"/>
        <v>11928622</v>
      </c>
    </row>
    <row r="46" spans="1:37" ht="12" customHeight="1">
      <c r="A46" s="11" t="s">
        <v>463</v>
      </c>
      <c r="B46" s="11"/>
      <c r="C46" s="11" t="s">
        <v>53</v>
      </c>
      <c r="D46" s="11"/>
      <c r="E46" s="29">
        <v>48926</v>
      </c>
      <c r="G46" s="7">
        <v>1656127</v>
      </c>
      <c r="I46" s="7">
        <v>2045587</v>
      </c>
      <c r="K46" s="7">
        <v>0</v>
      </c>
      <c r="M46" s="7">
        <f t="shared" si="0"/>
        <v>3701714</v>
      </c>
      <c r="O46" s="7">
        <f>8073847+310950</f>
        <v>8384797</v>
      </c>
      <c r="Q46" s="7">
        <v>0</v>
      </c>
      <c r="S46" s="7">
        <v>9674152</v>
      </c>
      <c r="U46" s="7">
        <v>55780</v>
      </c>
      <c r="W46" s="7">
        <v>0</v>
      </c>
      <c r="Y46" s="7">
        <v>0</v>
      </c>
      <c r="AA46" s="7">
        <v>25036</v>
      </c>
      <c r="AB46" s="58"/>
      <c r="AC46" s="7">
        <v>0</v>
      </c>
      <c r="AE46" s="7">
        <v>0</v>
      </c>
      <c r="AG46" s="7">
        <f t="shared" si="1"/>
        <v>18139765</v>
      </c>
      <c r="AH46" s="7"/>
      <c r="AI46" s="7">
        <f t="shared" si="2"/>
        <v>21841479</v>
      </c>
    </row>
    <row r="47" spans="1:37" ht="12" customHeight="1">
      <c r="A47" s="11" t="s">
        <v>269</v>
      </c>
      <c r="B47" s="11"/>
      <c r="C47" s="11" t="s">
        <v>20</v>
      </c>
      <c r="D47" s="11"/>
      <c r="E47" s="29">
        <v>43612</v>
      </c>
      <c r="G47" s="7">
        <v>5932788</v>
      </c>
      <c r="I47" s="7">
        <v>7186893</v>
      </c>
      <c r="K47" s="7">
        <v>351601</v>
      </c>
      <c r="M47" s="7">
        <f t="shared" si="0"/>
        <v>13471282</v>
      </c>
      <c r="O47" s="7">
        <f>49482680+1030334+934134</f>
        <v>51447148</v>
      </c>
      <c r="Q47" s="7">
        <v>0</v>
      </c>
      <c r="S47" s="7">
        <v>20908683</v>
      </c>
      <c r="U47" s="7">
        <v>88002</v>
      </c>
      <c r="W47" s="7">
        <v>0</v>
      </c>
      <c r="Y47" s="7">
        <v>0</v>
      </c>
      <c r="AA47" s="7">
        <v>226471</v>
      </c>
      <c r="AB47" s="58"/>
      <c r="AC47" s="7">
        <v>0</v>
      </c>
      <c r="AE47" s="7">
        <v>0</v>
      </c>
      <c r="AG47" s="7">
        <f t="shared" si="1"/>
        <v>72670304</v>
      </c>
      <c r="AH47" s="7"/>
      <c r="AI47" s="7">
        <f t="shared" si="2"/>
        <v>86141586</v>
      </c>
    </row>
    <row r="48" spans="1:37" ht="12" customHeight="1">
      <c r="A48" s="12" t="s">
        <v>668</v>
      </c>
      <c r="B48" s="11"/>
      <c r="C48" s="11" t="s">
        <v>30</v>
      </c>
      <c r="D48" s="11"/>
      <c r="E48" s="29">
        <v>47167</v>
      </c>
      <c r="G48" s="7">
        <v>747973</v>
      </c>
      <c r="I48" s="7">
        <v>1060395</v>
      </c>
      <c r="K48" s="7">
        <v>0</v>
      </c>
      <c r="M48" s="7">
        <f t="shared" si="0"/>
        <v>1808368</v>
      </c>
      <c r="O48" s="7">
        <f>4165046+219675</f>
        <v>4384721</v>
      </c>
      <c r="Q48" s="7">
        <v>1626657</v>
      </c>
      <c r="S48" s="7">
        <v>4571888</v>
      </c>
      <c r="U48" s="7">
        <v>9820</v>
      </c>
      <c r="W48" s="7">
        <v>0</v>
      </c>
      <c r="Y48" s="7">
        <v>0</v>
      </c>
      <c r="AA48" s="7">
        <v>40129</v>
      </c>
      <c r="AB48" s="58"/>
      <c r="AC48" s="7">
        <v>0</v>
      </c>
      <c r="AE48" s="7">
        <v>0</v>
      </c>
      <c r="AG48" s="7">
        <f t="shared" si="1"/>
        <v>10633215</v>
      </c>
      <c r="AH48" s="7"/>
      <c r="AI48" s="7">
        <f t="shared" si="2"/>
        <v>12441583</v>
      </c>
    </row>
    <row r="49" spans="1:37" ht="12" customHeight="1">
      <c r="A49" s="11" t="s">
        <v>291</v>
      </c>
      <c r="B49" s="11"/>
      <c r="C49" s="11" t="s">
        <v>24</v>
      </c>
      <c r="D49" s="11"/>
      <c r="E49" s="29">
        <v>46789</v>
      </c>
      <c r="G49" s="7">
        <v>1224674</v>
      </c>
      <c r="I49" s="7">
        <v>2044217</v>
      </c>
      <c r="K49" s="7">
        <v>0</v>
      </c>
      <c r="M49" s="7">
        <f t="shared" si="0"/>
        <v>3268891</v>
      </c>
      <c r="O49" s="7">
        <f>5838770+577026</f>
        <v>6415796</v>
      </c>
      <c r="Q49" s="7">
        <v>0</v>
      </c>
      <c r="S49" s="7">
        <v>7695054</v>
      </c>
      <c r="U49" s="7">
        <v>19582</v>
      </c>
      <c r="W49" s="7">
        <v>0</v>
      </c>
      <c r="Y49" s="7">
        <v>0</v>
      </c>
      <c r="AA49" s="7">
        <v>5272</v>
      </c>
      <c r="AB49" s="58"/>
      <c r="AC49" s="7">
        <v>0</v>
      </c>
      <c r="AE49" s="7">
        <v>0</v>
      </c>
      <c r="AG49" s="7">
        <f t="shared" si="1"/>
        <v>14135704</v>
      </c>
      <c r="AH49" s="7"/>
      <c r="AI49" s="7">
        <f t="shared" si="2"/>
        <v>17404595</v>
      </c>
    </row>
    <row r="50" spans="1:37" ht="12" hidden="1" customHeight="1">
      <c r="A50" s="12" t="s">
        <v>905</v>
      </c>
      <c r="B50" s="11"/>
      <c r="C50" s="11" t="s">
        <v>25</v>
      </c>
      <c r="D50" s="11"/>
      <c r="E50" s="29">
        <v>46854</v>
      </c>
      <c r="M50" s="7">
        <f t="shared" si="0"/>
        <v>0</v>
      </c>
      <c r="AB50" s="58"/>
      <c r="AC50" s="7">
        <v>0</v>
      </c>
      <c r="AG50" s="7">
        <f t="shared" si="1"/>
        <v>0</v>
      </c>
      <c r="AH50" s="7"/>
      <c r="AI50" s="7">
        <f t="shared" si="2"/>
        <v>0</v>
      </c>
      <c r="AK50" s="7" t="s">
        <v>903</v>
      </c>
    </row>
    <row r="51" spans="1:37" ht="12" customHeight="1">
      <c r="A51" s="11" t="s">
        <v>436</v>
      </c>
      <c r="B51" s="11"/>
      <c r="C51" s="11" t="s">
        <v>48</v>
      </c>
      <c r="D51" s="11"/>
      <c r="E51" s="29">
        <v>48611</v>
      </c>
      <c r="G51" s="7">
        <v>967481</v>
      </c>
      <c r="I51" s="7">
        <v>614481</v>
      </c>
      <c r="K51" s="7">
        <v>0</v>
      </c>
      <c r="M51" s="7">
        <f t="shared" si="0"/>
        <v>1581962</v>
      </c>
      <c r="O51" s="7">
        <f>3480077+485380</f>
        <v>3965457</v>
      </c>
      <c r="Q51" s="7">
        <v>0</v>
      </c>
      <c r="S51" s="7">
        <v>3338980</v>
      </c>
      <c r="U51" s="7">
        <v>23231</v>
      </c>
      <c r="W51" s="7">
        <v>0</v>
      </c>
      <c r="Y51" s="7">
        <v>0</v>
      </c>
      <c r="AA51" s="7">
        <v>117370</v>
      </c>
      <c r="AB51" s="58"/>
      <c r="AC51" s="7">
        <v>0</v>
      </c>
      <c r="AE51" s="7">
        <v>0</v>
      </c>
      <c r="AG51" s="7">
        <f t="shared" si="1"/>
        <v>7445038</v>
      </c>
      <c r="AH51" s="7"/>
      <c r="AI51" s="7">
        <f t="shared" si="2"/>
        <v>9027000</v>
      </c>
    </row>
    <row r="52" spans="1:37" ht="12" customHeight="1">
      <c r="A52" s="11" t="s">
        <v>243</v>
      </c>
      <c r="B52" s="11"/>
      <c r="C52" s="11" t="s">
        <v>113</v>
      </c>
      <c r="D52" s="11"/>
      <c r="E52" s="29">
        <v>46318</v>
      </c>
      <c r="F52" s="6"/>
      <c r="G52" s="7">
        <v>1935103</v>
      </c>
      <c r="I52" s="7">
        <v>2353050</v>
      </c>
      <c r="K52" s="7">
        <v>0</v>
      </c>
      <c r="M52" s="7">
        <f t="shared" si="0"/>
        <v>4288153</v>
      </c>
      <c r="O52" s="7">
        <f>3343245+62116+507636</f>
        <v>3912997</v>
      </c>
      <c r="Q52" s="7">
        <v>0</v>
      </c>
      <c r="S52" s="7">
        <v>9333275</v>
      </c>
      <c r="U52" s="7">
        <v>9101</v>
      </c>
      <c r="W52" s="7">
        <v>0</v>
      </c>
      <c r="Y52" s="7">
        <v>6278</v>
      </c>
      <c r="AA52" s="7">
        <v>88612</v>
      </c>
      <c r="AB52" s="58"/>
      <c r="AC52" s="7">
        <v>0</v>
      </c>
      <c r="AE52" s="7">
        <v>0</v>
      </c>
      <c r="AG52" s="7">
        <f t="shared" si="1"/>
        <v>13350263</v>
      </c>
      <c r="AH52" s="7"/>
      <c r="AI52" s="7">
        <f t="shared" si="2"/>
        <v>17638416</v>
      </c>
    </row>
    <row r="53" spans="1:37" ht="12" hidden="1" customHeight="1">
      <c r="A53" s="12" t="s">
        <v>705</v>
      </c>
      <c r="B53" s="11"/>
      <c r="C53" s="11" t="s">
        <v>60</v>
      </c>
      <c r="D53" s="11"/>
      <c r="E53" s="29">
        <v>49692</v>
      </c>
      <c r="M53" s="7">
        <f>SUM(G53:L53)</f>
        <v>0</v>
      </c>
      <c r="AB53" s="58"/>
      <c r="AC53" s="7">
        <v>0</v>
      </c>
      <c r="AG53" s="7">
        <f>SUM(O53:AE53)</f>
        <v>0</v>
      </c>
      <c r="AH53" s="7"/>
      <c r="AI53" s="7">
        <f>+AG53+M53</f>
        <v>0</v>
      </c>
      <c r="AK53" s="7" t="s">
        <v>778</v>
      </c>
    </row>
    <row r="54" spans="1:37" ht="12" customHeight="1">
      <c r="A54" s="11" t="s">
        <v>305</v>
      </c>
      <c r="B54" s="11"/>
      <c r="C54" s="11" t="s">
        <v>27</v>
      </c>
      <c r="D54" s="11"/>
      <c r="E54" s="29">
        <v>43620</v>
      </c>
      <c r="G54" s="7">
        <v>683188</v>
      </c>
      <c r="I54" s="7">
        <v>2239392</v>
      </c>
      <c r="K54" s="7">
        <v>0</v>
      </c>
      <c r="M54" s="7">
        <f>SUM(G54:L54)</f>
        <v>2922580</v>
      </c>
      <c r="O54" s="7">
        <v>22129476</v>
      </c>
      <c r="Q54" s="7">
        <v>5265882</v>
      </c>
      <c r="S54" s="7">
        <v>7202103</v>
      </c>
      <c r="U54" s="7">
        <v>141745</v>
      </c>
      <c r="W54" s="7">
        <v>0</v>
      </c>
      <c r="Y54" s="7">
        <v>0</v>
      </c>
      <c r="AA54" s="7">
        <v>335422</v>
      </c>
      <c r="AB54" s="58"/>
      <c r="AC54" s="7">
        <v>0</v>
      </c>
      <c r="AE54" s="7">
        <v>0</v>
      </c>
      <c r="AG54" s="7">
        <f>SUM(O54:AE54)</f>
        <v>35074628</v>
      </c>
      <c r="AH54" s="7"/>
      <c r="AI54" s="7">
        <f>+AG54+M54</f>
        <v>37997208</v>
      </c>
    </row>
    <row r="55" spans="1:37" ht="12" customHeight="1">
      <c r="A55" s="12" t="s">
        <v>664</v>
      </c>
      <c r="B55" s="11"/>
      <c r="C55" s="11" t="s">
        <v>23</v>
      </c>
      <c r="D55" s="11"/>
      <c r="E55" s="29">
        <v>46748</v>
      </c>
      <c r="G55" s="7">
        <v>1570530</v>
      </c>
      <c r="I55" s="7">
        <v>2129873</v>
      </c>
      <c r="K55" s="7">
        <v>19005</v>
      </c>
      <c r="M55" s="7">
        <f>SUM(G55:L55)</f>
        <v>3719408</v>
      </c>
      <c r="O55" s="7">
        <f>15073552+2690225</f>
        <v>17763777</v>
      </c>
      <c r="Q55" s="7">
        <v>6202194</v>
      </c>
      <c r="S55" s="7">
        <v>8051168</v>
      </c>
      <c r="U55" s="7">
        <v>85705</v>
      </c>
      <c r="W55" s="7">
        <v>0</v>
      </c>
      <c r="Y55" s="7">
        <v>175496</v>
      </c>
      <c r="AA55" s="7">
        <v>153490</v>
      </c>
      <c r="AB55" s="58"/>
      <c r="AC55" s="7">
        <v>0</v>
      </c>
      <c r="AE55" s="7">
        <v>0</v>
      </c>
      <c r="AG55" s="7">
        <f t="shared" si="1"/>
        <v>32431830</v>
      </c>
      <c r="AH55" s="7"/>
      <c r="AI55" s="7">
        <f>+AG55+M55</f>
        <v>36151238</v>
      </c>
    </row>
    <row r="56" spans="1:37" ht="12" customHeight="1">
      <c r="A56" s="11" t="s">
        <v>427</v>
      </c>
      <c r="B56" s="11"/>
      <c r="C56" s="11" t="s">
        <v>47</v>
      </c>
      <c r="D56" s="11"/>
      <c r="E56" s="29">
        <v>48462</v>
      </c>
      <c r="G56" s="7">
        <v>765030</v>
      </c>
      <c r="I56" s="7">
        <v>2558050</v>
      </c>
      <c r="K56" s="7">
        <v>216742</v>
      </c>
      <c r="M56" s="7">
        <f>SUM(G56:L56)</f>
        <v>3539822</v>
      </c>
      <c r="O56" s="7">
        <f>3441204+447196</f>
        <v>3888400</v>
      </c>
      <c r="Q56" s="7">
        <v>0</v>
      </c>
      <c r="S56" s="7">
        <v>7482745</v>
      </c>
      <c r="U56" s="7">
        <v>11274</v>
      </c>
      <c r="W56" s="7">
        <v>0</v>
      </c>
      <c r="Y56" s="7">
        <v>0</v>
      </c>
      <c r="AA56" s="7">
        <v>19641</v>
      </c>
      <c r="AB56" s="58"/>
      <c r="AC56" s="7">
        <v>0</v>
      </c>
      <c r="AE56" s="7">
        <v>0</v>
      </c>
      <c r="AG56" s="7">
        <f t="shared" si="1"/>
        <v>11402060</v>
      </c>
      <c r="AH56" s="7"/>
      <c r="AI56" s="7">
        <f>+AG56+M56</f>
        <v>14941882</v>
      </c>
    </row>
    <row r="57" spans="1:37" ht="12" customHeight="1">
      <c r="A57" s="11" t="s">
        <v>248</v>
      </c>
      <c r="B57" s="11"/>
      <c r="C57" s="11" t="s">
        <v>18</v>
      </c>
      <c r="D57" s="11"/>
      <c r="E57" s="29">
        <v>46383</v>
      </c>
      <c r="F57" s="6"/>
      <c r="G57" s="7">
        <v>1781238</v>
      </c>
      <c r="I57" s="7">
        <v>3894994</v>
      </c>
      <c r="K57" s="7">
        <v>0</v>
      </c>
      <c r="M57" s="7">
        <f t="shared" si="0"/>
        <v>5676232</v>
      </c>
      <c r="O57" s="7">
        <f>2405587+49134+259736+113534</f>
        <v>2827991</v>
      </c>
      <c r="Q57" s="7">
        <v>0</v>
      </c>
      <c r="S57" s="7">
        <v>8149752</v>
      </c>
      <c r="U57" s="7">
        <v>44246</v>
      </c>
      <c r="W57" s="7">
        <v>0</v>
      </c>
      <c r="Y57" s="7">
        <v>24862</v>
      </c>
      <c r="AA57" s="7">
        <v>88051</v>
      </c>
      <c r="AB57" s="58"/>
      <c r="AC57" s="7">
        <v>0</v>
      </c>
      <c r="AE57" s="7">
        <v>0</v>
      </c>
      <c r="AG57" s="7">
        <f t="shared" si="1"/>
        <v>11134902</v>
      </c>
      <c r="AH57" s="7"/>
      <c r="AI57" s="7">
        <f t="shared" si="2"/>
        <v>16811134</v>
      </c>
    </row>
    <row r="58" spans="1:37" ht="12" customHeight="1">
      <c r="A58" s="11" t="s">
        <v>299</v>
      </c>
      <c r="B58" s="11"/>
      <c r="C58" s="11" t="s">
        <v>25</v>
      </c>
      <c r="D58" s="11"/>
      <c r="E58" s="29">
        <v>46862</v>
      </c>
      <c r="G58" s="7">
        <v>1431605</v>
      </c>
      <c r="I58" s="7">
        <v>3165774</v>
      </c>
      <c r="K58" s="7">
        <v>534428</v>
      </c>
      <c r="M58" s="7">
        <f t="shared" si="0"/>
        <v>5131807</v>
      </c>
      <c r="O58" s="7">
        <f>5477878+1356863</f>
        <v>6834741</v>
      </c>
      <c r="Q58" s="7">
        <v>3496497</v>
      </c>
      <c r="S58" s="7">
        <v>3110898</v>
      </c>
      <c r="U58" s="7">
        <v>315173</v>
      </c>
      <c r="W58" s="7">
        <v>0</v>
      </c>
      <c r="Y58" s="7">
        <v>0</v>
      </c>
      <c r="AA58" s="7">
        <f>33703+2000</f>
        <v>35703</v>
      </c>
      <c r="AB58" s="58"/>
      <c r="AC58" s="7">
        <v>0</v>
      </c>
      <c r="AE58" s="7">
        <v>0</v>
      </c>
      <c r="AG58" s="7">
        <f t="shared" si="1"/>
        <v>13793012</v>
      </c>
      <c r="AH58" s="7"/>
      <c r="AI58" s="7">
        <f t="shared" si="2"/>
        <v>18924819</v>
      </c>
    </row>
    <row r="59" spans="1:37" ht="12" customHeight="1">
      <c r="A59" s="11" t="s">
        <v>534</v>
      </c>
      <c r="B59" s="11"/>
      <c r="C59" s="11" t="s">
        <v>64</v>
      </c>
      <c r="D59" s="11"/>
      <c r="E59" s="29">
        <v>50096</v>
      </c>
      <c r="G59" s="7">
        <v>273306</v>
      </c>
      <c r="I59" s="7">
        <v>1234940</v>
      </c>
      <c r="K59" s="7">
        <v>0</v>
      </c>
      <c r="M59" s="7">
        <f t="shared" si="0"/>
        <v>1508246</v>
      </c>
      <c r="O59" s="7">
        <f>1146180+31492+105976</f>
        <v>1283648</v>
      </c>
      <c r="Q59" s="7">
        <v>0</v>
      </c>
      <c r="S59" s="7">
        <v>1495677</v>
      </c>
      <c r="U59" s="7">
        <v>1240</v>
      </c>
      <c r="W59" s="7">
        <v>0</v>
      </c>
      <c r="Y59" s="7">
        <v>0</v>
      </c>
      <c r="AA59" s="7">
        <v>4553</v>
      </c>
      <c r="AB59" s="58"/>
      <c r="AC59" s="7">
        <v>0</v>
      </c>
      <c r="AE59" s="7">
        <v>0</v>
      </c>
      <c r="AG59" s="7">
        <f t="shared" si="1"/>
        <v>2785118</v>
      </c>
      <c r="AH59" s="7"/>
      <c r="AI59" s="7">
        <f t="shared" si="2"/>
        <v>4293364</v>
      </c>
    </row>
    <row r="60" spans="1:37" ht="12" customHeight="1">
      <c r="A60" s="11" t="s">
        <v>494</v>
      </c>
      <c r="B60" s="11"/>
      <c r="C60" s="11" t="s">
        <v>59</v>
      </c>
      <c r="D60" s="11"/>
      <c r="E60" s="29">
        <v>49593</v>
      </c>
      <c r="G60" s="7">
        <v>1066774</v>
      </c>
      <c r="I60" s="7">
        <v>2322648</v>
      </c>
      <c r="K60" s="7">
        <v>0</v>
      </c>
      <c r="M60" s="7">
        <f>SUM(G60:L60)</f>
        <v>3389422</v>
      </c>
      <c r="O60" s="7">
        <f>1099975+55757+54778+21022</f>
        <v>1231532</v>
      </c>
      <c r="Q60" s="7">
        <v>0</v>
      </c>
      <c r="S60" s="7">
        <v>6114295</v>
      </c>
      <c r="U60" s="7">
        <v>11026</v>
      </c>
      <c r="W60" s="7">
        <v>0</v>
      </c>
      <c r="Y60" s="7">
        <v>2500</v>
      </c>
      <c r="AA60" s="7">
        <v>212008</v>
      </c>
      <c r="AB60" s="58"/>
      <c r="AC60" s="7">
        <v>0</v>
      </c>
      <c r="AE60" s="7">
        <v>0</v>
      </c>
      <c r="AG60" s="7">
        <f>SUM(O60:AE60)</f>
        <v>7571361</v>
      </c>
      <c r="AH60" s="7"/>
      <c r="AI60" s="7">
        <f>+AG60+M60</f>
        <v>10960783</v>
      </c>
    </row>
    <row r="61" spans="1:37" ht="12" hidden="1" customHeight="1">
      <c r="A61" s="12" t="s">
        <v>676</v>
      </c>
      <c r="B61" s="11"/>
      <c r="C61" s="11" t="s">
        <v>10</v>
      </c>
      <c r="D61" s="11"/>
      <c r="E61" s="29">
        <v>49593</v>
      </c>
      <c r="M61" s="7">
        <f t="shared" si="0"/>
        <v>0</v>
      </c>
      <c r="AB61" s="58"/>
      <c r="AC61" s="7">
        <v>0</v>
      </c>
      <c r="AG61" s="7">
        <f t="shared" si="1"/>
        <v>0</v>
      </c>
      <c r="AH61" s="7"/>
      <c r="AI61" s="7">
        <f t="shared" si="2"/>
        <v>0</v>
      </c>
      <c r="AK61" s="7" t="s">
        <v>778</v>
      </c>
    </row>
    <row r="62" spans="1:37" ht="12" customHeight="1">
      <c r="A62" s="11" t="s">
        <v>415</v>
      </c>
      <c r="B62" s="11"/>
      <c r="C62" s="11" t="s">
        <v>45</v>
      </c>
      <c r="D62" s="11"/>
      <c r="E62" s="29">
        <v>48306</v>
      </c>
      <c r="G62" s="7">
        <v>1877239</v>
      </c>
      <c r="I62" s="7">
        <v>4122184</v>
      </c>
      <c r="K62" s="7">
        <v>0</v>
      </c>
      <c r="M62" s="7">
        <f t="shared" si="0"/>
        <v>5999423</v>
      </c>
      <c r="O62" s="7">
        <f>26585126+772344</f>
        <v>27357470</v>
      </c>
      <c r="Q62" s="7">
        <v>0</v>
      </c>
      <c r="S62" s="7">
        <v>14093889</v>
      </c>
      <c r="U62" s="7">
        <v>32689</v>
      </c>
      <c r="W62" s="7">
        <v>0</v>
      </c>
      <c r="Y62" s="7">
        <v>0</v>
      </c>
      <c r="AA62" s="7">
        <v>322770</v>
      </c>
      <c r="AB62" s="58"/>
      <c r="AC62" s="7">
        <v>0</v>
      </c>
      <c r="AE62" s="7">
        <v>0</v>
      </c>
      <c r="AG62" s="7">
        <f t="shared" si="1"/>
        <v>41806818</v>
      </c>
      <c r="AH62" s="7"/>
      <c r="AI62" s="7">
        <f t="shared" si="2"/>
        <v>47806241</v>
      </c>
    </row>
    <row r="63" spans="1:37" ht="12" customHeight="1">
      <c r="A63" s="11" t="s">
        <v>504</v>
      </c>
      <c r="B63" s="11"/>
      <c r="C63" s="11" t="s">
        <v>61</v>
      </c>
      <c r="D63" s="11"/>
      <c r="E63" s="29">
        <v>49767</v>
      </c>
      <c r="G63" s="7">
        <v>1403384</v>
      </c>
      <c r="I63" s="7">
        <v>709746</v>
      </c>
      <c r="K63" s="7">
        <v>0</v>
      </c>
      <c r="M63" s="7">
        <f t="shared" si="0"/>
        <v>2113130</v>
      </c>
      <c r="O63" s="7">
        <f>839905+13141+17445+82568</f>
        <v>953059</v>
      </c>
      <c r="Q63" s="7">
        <v>579452</v>
      </c>
      <c r="S63" s="7">
        <v>2375938</v>
      </c>
      <c r="U63" s="7">
        <v>0</v>
      </c>
      <c r="W63" s="7">
        <v>0</v>
      </c>
      <c r="Y63" s="7">
        <v>12215</v>
      </c>
      <c r="AA63" s="7">
        <v>16660</v>
      </c>
      <c r="AB63" s="58"/>
      <c r="AC63" s="7">
        <v>0</v>
      </c>
      <c r="AE63" s="7">
        <v>0</v>
      </c>
      <c r="AG63" s="7">
        <f t="shared" si="1"/>
        <v>3937324</v>
      </c>
      <c r="AH63" s="7"/>
      <c r="AI63" s="7">
        <f t="shared" si="2"/>
        <v>6050454</v>
      </c>
    </row>
    <row r="64" spans="1:37" ht="12" customHeight="1">
      <c r="A64" s="11" t="s">
        <v>572</v>
      </c>
      <c r="B64" s="11"/>
      <c r="C64" s="11" t="s">
        <v>72</v>
      </c>
      <c r="D64" s="11"/>
      <c r="E64" s="29">
        <v>43638</v>
      </c>
      <c r="G64" s="7">
        <v>863524</v>
      </c>
      <c r="I64" s="7">
        <v>2804913</v>
      </c>
      <c r="K64" s="7">
        <v>0</v>
      </c>
      <c r="M64" s="7">
        <f t="shared" si="0"/>
        <v>3668437</v>
      </c>
      <c r="O64" s="7">
        <f>15974003+1668811+469993</f>
        <v>18112807</v>
      </c>
      <c r="Q64" s="7">
        <v>2714831</v>
      </c>
      <c r="S64" s="7">
        <v>10732264</v>
      </c>
      <c r="U64" s="7">
        <v>87940</v>
      </c>
      <c r="W64" s="7">
        <v>10466</v>
      </c>
      <c r="Y64" s="7">
        <v>0</v>
      </c>
      <c r="AA64" s="7">
        <v>92888</v>
      </c>
      <c r="AB64" s="58"/>
      <c r="AC64" s="7">
        <v>0</v>
      </c>
      <c r="AE64" s="7">
        <v>0</v>
      </c>
      <c r="AG64" s="7">
        <f t="shared" si="1"/>
        <v>31751196</v>
      </c>
      <c r="AH64" s="7"/>
      <c r="AI64" s="7">
        <f t="shared" si="2"/>
        <v>35419633</v>
      </c>
    </row>
    <row r="65" spans="1:37" ht="12" hidden="1" customHeight="1">
      <c r="A65" s="12" t="s">
        <v>704</v>
      </c>
      <c r="B65" s="11"/>
      <c r="C65" s="11" t="s">
        <v>48</v>
      </c>
      <c r="D65" s="11"/>
      <c r="E65" s="29">
        <v>43646</v>
      </c>
      <c r="M65" s="7">
        <f>SUM(G65:L65)</f>
        <v>0</v>
      </c>
      <c r="AB65" s="58"/>
      <c r="AC65" s="7">
        <v>0</v>
      </c>
      <c r="AG65" s="7">
        <f>SUM(O65:AE65)</f>
        <v>0</v>
      </c>
      <c r="AH65" s="7" t="s">
        <v>662</v>
      </c>
      <c r="AI65" s="7">
        <f>+AG65+M65</f>
        <v>0</v>
      </c>
      <c r="AK65" s="7" t="s">
        <v>778</v>
      </c>
    </row>
    <row r="66" spans="1:37" ht="12" customHeight="1">
      <c r="A66" s="12" t="s">
        <v>895</v>
      </c>
      <c r="B66" s="11"/>
      <c r="C66" s="11" t="s">
        <v>20</v>
      </c>
      <c r="D66" s="11"/>
      <c r="E66" s="29">
        <v>43646</v>
      </c>
      <c r="G66" s="7">
        <v>3621434</v>
      </c>
      <c r="I66" s="7">
        <v>2465720</v>
      </c>
      <c r="K66" s="7">
        <v>325548</v>
      </c>
      <c r="M66" s="7">
        <f t="shared" si="0"/>
        <v>6412702</v>
      </c>
      <c r="O66" s="7">
        <f>31671080+2431568+1500503</f>
        <v>35603151</v>
      </c>
      <c r="Q66" s="7">
        <v>0</v>
      </c>
      <c r="S66" s="7">
        <v>13513535</v>
      </c>
      <c r="U66" s="7">
        <v>42654</v>
      </c>
      <c r="W66" s="7">
        <v>2431</v>
      </c>
      <c r="Y66" s="7">
        <v>32646</v>
      </c>
      <c r="AA66" s="7">
        <v>68990</v>
      </c>
      <c r="AB66" s="58"/>
      <c r="AC66" s="7">
        <v>0</v>
      </c>
      <c r="AE66" s="7">
        <v>0</v>
      </c>
      <c r="AG66" s="7">
        <f t="shared" si="1"/>
        <v>49263407</v>
      </c>
      <c r="AH66" s="7"/>
      <c r="AI66" s="7">
        <f t="shared" si="2"/>
        <v>55676109</v>
      </c>
    </row>
    <row r="67" spans="1:37" ht="12" customHeight="1">
      <c r="A67" s="11" t="s">
        <v>860</v>
      </c>
      <c r="B67" s="11"/>
      <c r="C67" s="11" t="s">
        <v>15</v>
      </c>
      <c r="D67" s="11"/>
      <c r="E67" s="29">
        <v>45237</v>
      </c>
      <c r="F67" s="6"/>
      <c r="G67" s="7">
        <v>701148</v>
      </c>
      <c r="I67" s="7">
        <v>2441507</v>
      </c>
      <c r="K67" s="7">
        <v>0</v>
      </c>
      <c r="M67" s="7">
        <f t="shared" si="0"/>
        <v>3142655</v>
      </c>
      <c r="O67" s="7">
        <f>1595194+28000+298710+31710</f>
        <v>1953614</v>
      </c>
      <c r="Q67" s="7">
        <v>0</v>
      </c>
      <c r="S67" s="7">
        <v>4011860</v>
      </c>
      <c r="U67" s="7">
        <v>4621</v>
      </c>
      <c r="W67" s="7">
        <v>0</v>
      </c>
      <c r="Y67" s="7">
        <v>0</v>
      </c>
      <c r="AA67" s="7">
        <v>87983</v>
      </c>
      <c r="AB67" s="58"/>
      <c r="AC67" s="7">
        <v>0</v>
      </c>
      <c r="AE67" s="7">
        <v>0</v>
      </c>
      <c r="AG67" s="7">
        <f t="shared" si="1"/>
        <v>6058078</v>
      </c>
      <c r="AH67" s="7"/>
      <c r="AI67" s="7">
        <f t="shared" si="2"/>
        <v>9200733</v>
      </c>
    </row>
    <row r="68" spans="1:37" ht="12" hidden="1" customHeight="1">
      <c r="A68" s="12" t="s">
        <v>906</v>
      </c>
      <c r="B68" s="11"/>
      <c r="C68" s="11" t="s">
        <v>358</v>
      </c>
      <c r="D68" s="11"/>
      <c r="E68" s="29">
        <v>47613</v>
      </c>
      <c r="M68" s="7">
        <f t="shared" si="0"/>
        <v>0</v>
      </c>
      <c r="AB68" s="58"/>
      <c r="AC68" s="7">
        <v>0</v>
      </c>
      <c r="AG68" s="7">
        <f t="shared" si="1"/>
        <v>0</v>
      </c>
      <c r="AH68" s="7"/>
      <c r="AI68" s="7">
        <f t="shared" si="2"/>
        <v>0</v>
      </c>
      <c r="AK68" s="7" t="s">
        <v>903</v>
      </c>
    </row>
    <row r="69" spans="1:37" ht="12" customHeight="1">
      <c r="A69" s="11" t="s">
        <v>535</v>
      </c>
      <c r="B69" s="11"/>
      <c r="C69" s="11" t="s">
        <v>64</v>
      </c>
      <c r="D69" s="11"/>
      <c r="E69" s="29">
        <v>50112</v>
      </c>
      <c r="G69" s="7">
        <v>505233</v>
      </c>
      <c r="I69" s="7">
        <v>1450944</v>
      </c>
      <c r="K69" s="7">
        <v>0</v>
      </c>
      <c r="M69" s="7">
        <f t="shared" si="0"/>
        <v>1956177</v>
      </c>
      <c r="O69" s="7">
        <f>2176300+28607+151978+90971</f>
        <v>2447856</v>
      </c>
      <c r="Q69" s="7">
        <v>0</v>
      </c>
      <c r="S69" s="7">
        <v>3636629</v>
      </c>
      <c r="U69" s="7">
        <v>4148</v>
      </c>
      <c r="W69" s="7">
        <v>0</v>
      </c>
      <c r="Y69" s="7">
        <v>0</v>
      </c>
      <c r="AA69" s="7">
        <v>27063</v>
      </c>
      <c r="AB69" s="58"/>
      <c r="AC69" s="7">
        <v>0</v>
      </c>
      <c r="AE69" s="7">
        <v>0</v>
      </c>
      <c r="AG69" s="7">
        <f t="shared" si="1"/>
        <v>6115696</v>
      </c>
      <c r="AH69" s="7"/>
      <c r="AI69" s="7">
        <f t="shared" si="2"/>
        <v>8071873</v>
      </c>
    </row>
    <row r="70" spans="1:37" ht="12" customHeight="1">
      <c r="A70" s="12" t="s">
        <v>706</v>
      </c>
      <c r="B70" s="11"/>
      <c r="C70" s="11" t="s">
        <v>64</v>
      </c>
      <c r="D70" s="11"/>
      <c r="E70" s="29">
        <v>50120</v>
      </c>
      <c r="G70" s="7">
        <v>759229</v>
      </c>
      <c r="I70" s="7">
        <v>2488497</v>
      </c>
      <c r="K70" s="7">
        <v>14498</v>
      </c>
      <c r="M70" s="7">
        <f t="shared" si="0"/>
        <v>3262224</v>
      </c>
      <c r="O70" s="7">
        <f>2675190+58651+809389</f>
        <v>3543230</v>
      </c>
      <c r="Q70" s="7">
        <v>0</v>
      </c>
      <c r="S70" s="7">
        <v>5868759</v>
      </c>
      <c r="U70" s="7">
        <v>45844</v>
      </c>
      <c r="W70" s="7">
        <v>0</v>
      </c>
      <c r="Y70" s="7">
        <v>0</v>
      </c>
      <c r="AA70" s="7">
        <v>14127</v>
      </c>
      <c r="AB70" s="58"/>
      <c r="AC70" s="7">
        <v>0</v>
      </c>
      <c r="AE70" s="7">
        <v>0</v>
      </c>
      <c r="AG70" s="7">
        <f t="shared" si="1"/>
        <v>9471960</v>
      </c>
      <c r="AH70" s="7"/>
      <c r="AI70" s="7">
        <f t="shared" si="2"/>
        <v>12734184</v>
      </c>
      <c r="AK70" s="7"/>
    </row>
    <row r="71" spans="1:37" ht="12" customHeight="1">
      <c r="A71" s="11" t="s">
        <v>270</v>
      </c>
      <c r="B71" s="11"/>
      <c r="C71" s="11" t="s">
        <v>20</v>
      </c>
      <c r="D71" s="11"/>
      <c r="E71" s="29">
        <v>43653</v>
      </c>
      <c r="G71" s="7">
        <v>716976</v>
      </c>
      <c r="I71" s="7">
        <v>1460348</v>
      </c>
      <c r="K71" s="7">
        <v>0</v>
      </c>
      <c r="M71" s="7">
        <f t="shared" si="0"/>
        <v>2177324</v>
      </c>
      <c r="O71" s="7">
        <f>11278857+120103</f>
        <v>11398960</v>
      </c>
      <c r="Q71" s="7">
        <v>0</v>
      </c>
      <c r="S71" s="7">
        <v>4543423</v>
      </c>
      <c r="U71" s="7">
        <v>0</v>
      </c>
      <c r="W71" s="7">
        <v>0</v>
      </c>
      <c r="Y71" s="7">
        <v>0</v>
      </c>
      <c r="AA71" s="7">
        <v>310036</v>
      </c>
      <c r="AB71" s="58"/>
      <c r="AC71" s="7">
        <v>0</v>
      </c>
      <c r="AE71" s="7">
        <v>0</v>
      </c>
      <c r="AG71" s="7">
        <f t="shared" si="1"/>
        <v>16252419</v>
      </c>
      <c r="AH71" s="7"/>
      <c r="AI71" s="7">
        <f t="shared" si="2"/>
        <v>18429743</v>
      </c>
    </row>
    <row r="72" spans="1:37" ht="12" customHeight="1">
      <c r="A72" s="12" t="s">
        <v>441</v>
      </c>
      <c r="B72" s="11"/>
      <c r="C72" s="11" t="s">
        <v>50</v>
      </c>
      <c r="D72" s="11"/>
      <c r="E72" s="29">
        <v>48678</v>
      </c>
      <c r="G72" s="7">
        <v>1114255</v>
      </c>
      <c r="I72" s="7">
        <v>1856832</v>
      </c>
      <c r="K72" s="7">
        <v>10000</v>
      </c>
      <c r="M72" s="7">
        <f t="shared" si="0"/>
        <v>2981087</v>
      </c>
      <c r="O72" s="7">
        <f>5283881+1361098+37564</f>
        <v>6682543</v>
      </c>
      <c r="Q72" s="7">
        <v>0</v>
      </c>
      <c r="S72" s="7">
        <v>5661704</v>
      </c>
      <c r="U72" s="7">
        <v>116285</v>
      </c>
      <c r="W72" s="7">
        <v>158754</v>
      </c>
      <c r="Y72" s="7">
        <v>17864</v>
      </c>
      <c r="AA72" s="7">
        <v>226557</v>
      </c>
      <c r="AB72" s="58"/>
      <c r="AC72" s="7">
        <v>0</v>
      </c>
      <c r="AE72" s="7">
        <v>0</v>
      </c>
      <c r="AG72" s="7">
        <f t="shared" si="1"/>
        <v>12863707</v>
      </c>
      <c r="AH72" s="7"/>
      <c r="AI72" s="7">
        <f t="shared" si="2"/>
        <v>15844794</v>
      </c>
      <c r="AK72" s="7"/>
    </row>
    <row r="73" spans="1:37" ht="12" customHeight="1">
      <c r="A73" s="11" t="s">
        <v>231</v>
      </c>
      <c r="B73" s="11"/>
      <c r="C73" s="11" t="s">
        <v>16</v>
      </c>
      <c r="D73" s="11"/>
      <c r="E73" s="29">
        <v>46177</v>
      </c>
      <c r="F73" s="6"/>
      <c r="G73" s="7">
        <v>525998</v>
      </c>
      <c r="I73" s="7">
        <v>1316864</v>
      </c>
      <c r="K73" s="7">
        <v>9344</v>
      </c>
      <c r="M73" s="7">
        <f t="shared" si="0"/>
        <v>1852206</v>
      </c>
      <c r="O73" s="7">
        <f>4164129+74608</f>
        <v>4238737</v>
      </c>
      <c r="Q73" s="7">
        <v>0</v>
      </c>
      <c r="S73" s="7">
        <v>2986955</v>
      </c>
      <c r="U73" s="7">
        <v>53815</v>
      </c>
      <c r="W73" s="7">
        <v>0</v>
      </c>
      <c r="Y73" s="7">
        <v>0</v>
      </c>
      <c r="AA73" s="7">
        <v>15022</v>
      </c>
      <c r="AB73" s="58"/>
      <c r="AC73" s="7">
        <v>0</v>
      </c>
      <c r="AE73" s="7">
        <v>0</v>
      </c>
      <c r="AG73" s="7">
        <f t="shared" si="1"/>
        <v>7294529</v>
      </c>
      <c r="AH73" s="7"/>
      <c r="AI73" s="7">
        <f t="shared" si="2"/>
        <v>9146735</v>
      </c>
    </row>
    <row r="74" spans="1:37" ht="12" customHeight="1">
      <c r="A74" s="11" t="s">
        <v>428</v>
      </c>
      <c r="B74" s="11"/>
      <c r="C74" s="11" t="s">
        <v>47</v>
      </c>
      <c r="D74" s="11"/>
      <c r="E74" s="29">
        <v>43661</v>
      </c>
      <c r="G74" s="7">
        <v>2821691</v>
      </c>
      <c r="I74" s="7">
        <v>5883787</v>
      </c>
      <c r="K74" s="7">
        <v>270796</v>
      </c>
      <c r="M74" s="7">
        <f t="shared" si="0"/>
        <v>8976274</v>
      </c>
      <c r="O74" s="7">
        <f>31565937+1718149+1060306</f>
        <v>34344392</v>
      </c>
      <c r="Q74" s="7">
        <v>0</v>
      </c>
      <c r="S74" s="7">
        <v>31433312</v>
      </c>
      <c r="U74" s="7">
        <v>53480</v>
      </c>
      <c r="W74" s="7">
        <v>0</v>
      </c>
      <c r="Y74" s="7">
        <v>0</v>
      </c>
      <c r="AA74" s="7">
        <v>1098591</v>
      </c>
      <c r="AB74" s="58"/>
      <c r="AC74" s="7">
        <v>0</v>
      </c>
      <c r="AE74" s="7">
        <v>0</v>
      </c>
      <c r="AG74" s="7">
        <f t="shared" si="1"/>
        <v>66929775</v>
      </c>
      <c r="AH74" s="7"/>
      <c r="AI74" s="7">
        <f t="shared" si="2"/>
        <v>75906049</v>
      </c>
    </row>
    <row r="75" spans="1:37" ht="12" hidden="1" customHeight="1">
      <c r="A75" s="12" t="s">
        <v>707</v>
      </c>
      <c r="B75" s="11"/>
      <c r="C75" s="11" t="s">
        <v>570</v>
      </c>
      <c r="D75" s="11"/>
      <c r="E75" s="29">
        <v>43679</v>
      </c>
      <c r="M75" s="7">
        <f t="shared" si="0"/>
        <v>0</v>
      </c>
      <c r="AB75" s="58"/>
      <c r="AC75" s="7">
        <v>0</v>
      </c>
      <c r="AG75" s="7">
        <f t="shared" si="1"/>
        <v>0</v>
      </c>
      <c r="AH75" s="7"/>
      <c r="AI75" s="7">
        <f t="shared" si="2"/>
        <v>0</v>
      </c>
      <c r="AK75" s="7" t="s">
        <v>778</v>
      </c>
    </row>
    <row r="76" spans="1:37" ht="12" customHeight="1">
      <c r="A76" s="11" t="s">
        <v>262</v>
      </c>
      <c r="B76" s="11"/>
      <c r="C76" s="11" t="s">
        <v>111</v>
      </c>
      <c r="D76" s="11"/>
      <c r="E76" s="29">
        <v>46508</v>
      </c>
      <c r="G76" s="7">
        <v>507608</v>
      </c>
      <c r="I76" s="7">
        <v>1586161</v>
      </c>
      <c r="K76" s="7">
        <v>0</v>
      </c>
      <c r="M76" s="7">
        <f t="shared" si="0"/>
        <v>2093769</v>
      </c>
      <c r="O76" s="7">
        <f>1753098+617055+38948</f>
        <v>2409101</v>
      </c>
      <c r="Q76" s="7">
        <v>1473363</v>
      </c>
      <c r="S76" s="7">
        <v>4224198</v>
      </c>
      <c r="U76" s="7">
        <v>12578</v>
      </c>
      <c r="W76" s="7">
        <v>0</v>
      </c>
      <c r="Y76" s="7">
        <v>0</v>
      </c>
      <c r="AA76" s="7">
        <v>3957</v>
      </c>
      <c r="AB76" s="58"/>
      <c r="AC76" s="7">
        <v>0</v>
      </c>
      <c r="AE76" s="7">
        <f>57915-321814+8521</f>
        <v>-255378</v>
      </c>
      <c r="AG76" s="7">
        <f t="shared" si="1"/>
        <v>7867819</v>
      </c>
      <c r="AH76" s="7"/>
      <c r="AI76" s="7">
        <f t="shared" si="2"/>
        <v>9961588</v>
      </c>
    </row>
    <row r="77" spans="1:37" ht="12" customHeight="1">
      <c r="A77" s="11" t="s">
        <v>207</v>
      </c>
      <c r="B77" s="11"/>
      <c r="C77" s="11" t="s">
        <v>12</v>
      </c>
      <c r="D77" s="11"/>
      <c r="E77" s="29">
        <v>45856</v>
      </c>
      <c r="F77" s="6"/>
      <c r="G77" s="7">
        <v>2061069</v>
      </c>
      <c r="I77" s="7">
        <v>1580623</v>
      </c>
      <c r="K77" s="7">
        <v>0</v>
      </c>
      <c r="M77" s="7">
        <f t="shared" si="0"/>
        <v>3641692</v>
      </c>
      <c r="O77" s="7">
        <f>6261976+58816+442106</f>
        <v>6762898</v>
      </c>
      <c r="Q77" s="7">
        <v>0</v>
      </c>
      <c r="S77" s="7">
        <v>10010503</v>
      </c>
      <c r="U77" s="7">
        <v>40063</v>
      </c>
      <c r="W77" s="7">
        <v>0</v>
      </c>
      <c r="Y77" s="7">
        <v>0</v>
      </c>
      <c r="AA77" s="7">
        <v>15134</v>
      </c>
      <c r="AB77" s="58"/>
      <c r="AC77" s="7">
        <v>0</v>
      </c>
      <c r="AE77" s="7">
        <v>0</v>
      </c>
      <c r="AG77" s="7">
        <f t="shared" si="1"/>
        <v>16828598</v>
      </c>
      <c r="AH77" s="7"/>
      <c r="AI77" s="7">
        <f t="shared" si="2"/>
        <v>20470290</v>
      </c>
    </row>
    <row r="78" spans="1:37" s="7" customFormat="1" ht="12" customHeight="1">
      <c r="A78" s="12" t="s">
        <v>207</v>
      </c>
      <c r="B78" s="12"/>
      <c r="C78" s="12" t="s">
        <v>39</v>
      </c>
      <c r="D78" s="12"/>
      <c r="E78" s="29">
        <v>47787</v>
      </c>
      <c r="G78" s="7">
        <v>947435</v>
      </c>
      <c r="I78" s="7">
        <v>4869289</v>
      </c>
      <c r="K78" s="7">
        <v>0</v>
      </c>
      <c r="M78" s="7">
        <f t="shared" ref="M78:M82" si="3">SUM(G78:L78)</f>
        <v>5816724</v>
      </c>
      <c r="O78" s="7">
        <f>6407647+117855</f>
        <v>6525502</v>
      </c>
      <c r="Q78" s="7">
        <v>0</v>
      </c>
      <c r="S78" s="7">
        <v>10537454</v>
      </c>
      <c r="U78" s="7">
        <v>3779</v>
      </c>
      <c r="W78" s="7">
        <v>0</v>
      </c>
      <c r="Y78" s="7">
        <v>60213</v>
      </c>
      <c r="AA78" s="7">
        <v>52725</v>
      </c>
      <c r="AB78" s="58"/>
      <c r="AC78" s="7">
        <v>0</v>
      </c>
      <c r="AE78" s="7">
        <v>0</v>
      </c>
      <c r="AG78" s="7">
        <f t="shared" ref="AG78:AG82" si="4">SUM(O78:AE78)</f>
        <v>17179673</v>
      </c>
      <c r="AI78" s="7">
        <f t="shared" si="2"/>
        <v>22996397</v>
      </c>
    </row>
    <row r="79" spans="1:37" s="7" customFormat="1" ht="12" customHeight="1">
      <c r="A79" s="12" t="s">
        <v>708</v>
      </c>
      <c r="B79" s="12"/>
      <c r="C79" s="12" t="s">
        <v>47</v>
      </c>
      <c r="D79" s="12"/>
      <c r="E79" s="29">
        <v>48470</v>
      </c>
      <c r="G79" s="7">
        <v>933972</v>
      </c>
      <c r="I79" s="7">
        <v>1944815</v>
      </c>
      <c r="K79" s="7">
        <v>0</v>
      </c>
      <c r="M79" s="7">
        <f t="shared" si="3"/>
        <v>2878787</v>
      </c>
      <c r="O79" s="7">
        <f>7341881+1267108+342467</f>
        <v>8951456</v>
      </c>
      <c r="Q79" s="7">
        <v>0</v>
      </c>
      <c r="S79" s="7">
        <v>9081377</v>
      </c>
      <c r="U79" s="7">
        <v>6835</v>
      </c>
      <c r="W79" s="7">
        <v>0</v>
      </c>
      <c r="Y79" s="7">
        <v>0</v>
      </c>
      <c r="AA79" s="7">
        <f>199486+682697</f>
        <v>882183</v>
      </c>
      <c r="AB79" s="58"/>
      <c r="AC79" s="7">
        <v>0</v>
      </c>
      <c r="AE79" s="7">
        <v>0</v>
      </c>
      <c r="AG79" s="7">
        <f t="shared" si="4"/>
        <v>18921851</v>
      </c>
      <c r="AI79" s="7">
        <f>+AG79+M79</f>
        <v>21800638</v>
      </c>
    </row>
    <row r="80" spans="1:37" ht="12" hidden="1" customHeight="1">
      <c r="A80" s="54" t="s">
        <v>908</v>
      </c>
      <c r="B80" s="11"/>
      <c r="C80" s="11" t="s">
        <v>112</v>
      </c>
      <c r="D80" s="11"/>
      <c r="E80" s="29">
        <v>46755</v>
      </c>
      <c r="M80" s="7">
        <f t="shared" si="3"/>
        <v>0</v>
      </c>
      <c r="AB80" s="58"/>
      <c r="AC80" s="7">
        <v>0</v>
      </c>
      <c r="AG80" s="7">
        <f t="shared" si="4"/>
        <v>0</v>
      </c>
      <c r="AH80" s="7"/>
      <c r="AI80" s="7">
        <f>+AG80+M80</f>
        <v>0</v>
      </c>
      <c r="AK80" s="7" t="s">
        <v>907</v>
      </c>
    </row>
    <row r="81" spans="1:37" ht="12" customHeight="1">
      <c r="A81" s="12" t="s">
        <v>665</v>
      </c>
      <c r="B81" s="11"/>
      <c r="C81" s="11" t="s">
        <v>23</v>
      </c>
      <c r="D81" s="11"/>
      <c r="E81" s="29">
        <v>46755</v>
      </c>
      <c r="G81" s="7">
        <v>1929603</v>
      </c>
      <c r="I81" s="7">
        <v>2247687</v>
      </c>
      <c r="K81" s="7">
        <v>0</v>
      </c>
      <c r="M81" s="7">
        <f t="shared" si="3"/>
        <v>4177290</v>
      </c>
      <c r="O81" s="7">
        <f>9225638+1936505+675635</f>
        <v>11837778</v>
      </c>
      <c r="Q81" s="7">
        <v>4658303</v>
      </c>
      <c r="S81" s="7">
        <v>6646239</v>
      </c>
      <c r="U81" s="7">
        <v>42778</v>
      </c>
      <c r="W81" s="7">
        <v>0</v>
      </c>
      <c r="Y81" s="7">
        <v>0</v>
      </c>
      <c r="AA81" s="7">
        <v>76387</v>
      </c>
      <c r="AB81" s="58"/>
      <c r="AC81" s="7">
        <v>0</v>
      </c>
      <c r="AE81" s="7">
        <v>0</v>
      </c>
      <c r="AG81" s="7">
        <f t="shared" si="4"/>
        <v>23261485</v>
      </c>
      <c r="AH81" s="7"/>
      <c r="AI81" s="7">
        <f>+AG81+M81</f>
        <v>27438775</v>
      </c>
    </row>
    <row r="82" spans="1:37" ht="12" customHeight="1">
      <c r="A82" s="11" t="s">
        <v>263</v>
      </c>
      <c r="B82" s="11"/>
      <c r="C82" s="11" t="s">
        <v>111</v>
      </c>
      <c r="D82" s="11"/>
      <c r="E82" s="29">
        <v>43687</v>
      </c>
      <c r="G82" s="7">
        <v>1101258</v>
      </c>
      <c r="I82" s="7">
        <v>3880851</v>
      </c>
      <c r="K82" s="7">
        <v>0</v>
      </c>
      <c r="M82" s="7">
        <f t="shared" si="3"/>
        <v>4982109</v>
      </c>
      <c r="O82" s="7">
        <f>3936290+57043+664361+57043</f>
        <v>4714737</v>
      </c>
      <c r="Q82" s="7">
        <v>0</v>
      </c>
      <c r="S82" s="7">
        <v>8944069</v>
      </c>
      <c r="U82" s="7">
        <v>46861</v>
      </c>
      <c r="W82" s="7">
        <v>46689</v>
      </c>
      <c r="Y82" s="7">
        <v>4203</v>
      </c>
      <c r="AA82" s="7">
        <v>319276</v>
      </c>
      <c r="AB82" s="58"/>
      <c r="AC82" s="7">
        <v>0</v>
      </c>
      <c r="AE82" s="7">
        <v>0</v>
      </c>
      <c r="AG82" s="7">
        <f t="shared" si="4"/>
        <v>14075835</v>
      </c>
      <c r="AH82" s="7"/>
      <c r="AI82" s="7">
        <f>+AG82+M82</f>
        <v>19057944</v>
      </c>
    </row>
    <row r="83" spans="1:37" ht="12" customHeight="1">
      <c r="A83" s="12" t="s">
        <v>861</v>
      </c>
      <c r="B83" s="11"/>
      <c r="C83" s="11" t="s">
        <v>52</v>
      </c>
      <c r="D83" s="11"/>
      <c r="E83" s="29">
        <v>45252</v>
      </c>
      <c r="G83" s="7">
        <v>658349</v>
      </c>
      <c r="I83" s="7">
        <v>852183</v>
      </c>
      <c r="K83" s="7">
        <v>0</v>
      </c>
      <c r="M83" s="7">
        <f t="shared" ref="M83:M149" si="5">SUM(G83:L83)</f>
        <v>1510532</v>
      </c>
      <c r="O83" s="7">
        <v>2828744</v>
      </c>
      <c r="Q83" s="7">
        <v>0</v>
      </c>
      <c r="S83" s="7">
        <v>4614546</v>
      </c>
      <c r="U83" s="7">
        <v>49861</v>
      </c>
      <c r="W83" s="7">
        <v>0</v>
      </c>
      <c r="Y83" s="7">
        <v>0</v>
      </c>
      <c r="AA83" s="7">
        <v>37427</v>
      </c>
      <c r="AB83" s="58"/>
      <c r="AC83" s="7">
        <v>0</v>
      </c>
      <c r="AE83" s="7">
        <v>0</v>
      </c>
      <c r="AG83" s="7">
        <f t="shared" ref="AG83" si="6">SUM(O83:AE83)</f>
        <v>7530578</v>
      </c>
      <c r="AH83" s="7"/>
      <c r="AI83" s="7">
        <f t="shared" ref="AI83" si="7">+AG83+M83</f>
        <v>9041110</v>
      </c>
    </row>
    <row r="84" spans="1:37" ht="12" customHeight="1">
      <c r="A84" s="11" t="s">
        <v>327</v>
      </c>
      <c r="B84" s="11"/>
      <c r="C84" s="11" t="s">
        <v>31</v>
      </c>
      <c r="D84" s="11"/>
      <c r="E84" s="29">
        <v>43695</v>
      </c>
      <c r="G84" s="7">
        <v>1167824</v>
      </c>
      <c r="I84" s="7">
        <v>4513172</v>
      </c>
      <c r="K84" s="7">
        <v>56603</v>
      </c>
      <c r="M84" s="7">
        <f t="shared" si="5"/>
        <v>5737599</v>
      </c>
      <c r="O84" s="7">
        <f>6228102+682096+92254</f>
        <v>7002452</v>
      </c>
      <c r="Q84" s="7">
        <v>0</v>
      </c>
      <c r="S84" s="7">
        <v>14892487</v>
      </c>
      <c r="U84" s="7">
        <v>31146</v>
      </c>
      <c r="W84" s="7">
        <v>0</v>
      </c>
      <c r="Y84" s="7">
        <v>0</v>
      </c>
      <c r="AA84" s="7">
        <v>204497</v>
      </c>
      <c r="AB84" s="58"/>
      <c r="AC84" s="7">
        <v>0</v>
      </c>
      <c r="AE84" s="7">
        <v>0</v>
      </c>
      <c r="AG84" s="7">
        <f t="shared" ref="AG84:AG146" si="8">SUM(O84:AE84)</f>
        <v>22130582</v>
      </c>
      <c r="AH84" s="7"/>
      <c r="AI84" s="7">
        <f t="shared" ref="AI84:AI145" si="9">+AG84+M84</f>
        <v>27868181</v>
      </c>
    </row>
    <row r="85" spans="1:37" ht="12" customHeight="1">
      <c r="A85" s="12" t="s">
        <v>677</v>
      </c>
      <c r="B85" s="11"/>
      <c r="C85" s="11" t="s">
        <v>45</v>
      </c>
      <c r="D85" s="11"/>
      <c r="E85" s="29">
        <v>43703</v>
      </c>
      <c r="G85" s="7">
        <v>286503</v>
      </c>
      <c r="I85" s="7">
        <v>3629279</v>
      </c>
      <c r="K85" s="7">
        <v>0</v>
      </c>
      <c r="M85" s="7">
        <f t="shared" si="5"/>
        <v>3915782</v>
      </c>
      <c r="O85" s="7">
        <f>2015117+200178+25835</f>
        <v>2241130</v>
      </c>
      <c r="Q85" s="7">
        <v>0</v>
      </c>
      <c r="S85" s="7">
        <v>10050837</v>
      </c>
      <c r="U85" s="7">
        <v>1973</v>
      </c>
      <c r="W85" s="7">
        <v>0</v>
      </c>
      <c r="Y85" s="7">
        <v>0</v>
      </c>
      <c r="AA85" s="7">
        <v>100543</v>
      </c>
      <c r="AB85" s="58"/>
      <c r="AC85" s="7">
        <v>0</v>
      </c>
      <c r="AE85" s="7">
        <v>0</v>
      </c>
      <c r="AG85" s="7">
        <f t="shared" si="8"/>
        <v>12394483</v>
      </c>
      <c r="AH85" s="7"/>
      <c r="AI85" s="7">
        <f t="shared" si="9"/>
        <v>16310265</v>
      </c>
    </row>
    <row r="86" spans="1:37" ht="12" customHeight="1">
      <c r="A86" s="11" t="s">
        <v>306</v>
      </c>
      <c r="B86" s="11"/>
      <c r="C86" s="11" t="s">
        <v>27</v>
      </c>
      <c r="D86" s="11"/>
      <c r="E86" s="29">
        <v>46946</v>
      </c>
      <c r="G86" s="7">
        <v>1060918</v>
      </c>
      <c r="I86" s="7">
        <v>4872002</v>
      </c>
      <c r="K86" s="7">
        <v>0</v>
      </c>
      <c r="M86" s="7">
        <f t="shared" si="5"/>
        <v>5932920</v>
      </c>
      <c r="O86" s="7">
        <f>15252942+147371+3350737</f>
        <v>18751050</v>
      </c>
      <c r="Q86" s="7">
        <v>3911298</v>
      </c>
      <c r="S86" s="7">
        <v>14318122</v>
      </c>
      <c r="U86" s="7">
        <v>28396</v>
      </c>
      <c r="W86" s="7">
        <v>454264</v>
      </c>
      <c r="Y86" s="7">
        <v>0</v>
      </c>
      <c r="AA86" s="7">
        <v>93762</v>
      </c>
      <c r="AB86" s="58"/>
      <c r="AC86" s="7">
        <v>0</v>
      </c>
      <c r="AE86" s="7">
        <v>0</v>
      </c>
      <c r="AG86" s="7">
        <f t="shared" si="8"/>
        <v>37556892</v>
      </c>
      <c r="AH86" s="7"/>
      <c r="AI86" s="7">
        <f t="shared" si="9"/>
        <v>43489812</v>
      </c>
    </row>
    <row r="87" spans="1:37" ht="12" customHeight="1">
      <c r="A87" s="11" t="s">
        <v>416</v>
      </c>
      <c r="B87" s="11"/>
      <c r="C87" s="11" t="s">
        <v>45</v>
      </c>
      <c r="D87" s="11"/>
      <c r="E87" s="29">
        <v>48314</v>
      </c>
      <c r="G87" s="7">
        <v>1130517</v>
      </c>
      <c r="I87" s="7">
        <v>1898294</v>
      </c>
      <c r="K87" s="7">
        <v>136305</v>
      </c>
      <c r="M87" s="7">
        <f t="shared" si="5"/>
        <v>3165116</v>
      </c>
      <c r="O87" s="7">
        <f>14425229+1306282+451321</f>
        <v>16182832</v>
      </c>
      <c r="Q87" s="7">
        <v>0</v>
      </c>
      <c r="S87" s="7">
        <v>9175196</v>
      </c>
      <c r="U87" s="7">
        <v>35673</v>
      </c>
      <c r="W87" s="7">
        <v>0</v>
      </c>
      <c r="Y87" s="7">
        <v>0</v>
      </c>
      <c r="AA87" s="7">
        <v>19755</v>
      </c>
      <c r="AB87" s="58"/>
      <c r="AC87" s="7">
        <v>0</v>
      </c>
      <c r="AE87" s="7">
        <v>0</v>
      </c>
      <c r="AG87" s="7">
        <f t="shared" si="8"/>
        <v>25413456</v>
      </c>
      <c r="AH87" s="7"/>
      <c r="AI87" s="7">
        <f t="shared" si="9"/>
        <v>28578572</v>
      </c>
    </row>
    <row r="88" spans="1:37" ht="12" customHeight="1">
      <c r="A88" s="11" t="s">
        <v>509</v>
      </c>
      <c r="B88" s="11"/>
      <c r="C88" s="11" t="s">
        <v>62</v>
      </c>
      <c r="D88" s="11"/>
      <c r="E88" s="29">
        <v>43711</v>
      </c>
      <c r="G88" s="7">
        <v>3907414</v>
      </c>
      <c r="I88" s="7">
        <v>4624589</v>
      </c>
      <c r="K88" s="7">
        <v>44893</v>
      </c>
      <c r="M88" s="7">
        <f>SUM(G88:L88)</f>
        <v>8576896</v>
      </c>
      <c r="O88" s="7">
        <f>8070950+83005+481073</f>
        <v>8635028</v>
      </c>
      <c r="Q88" s="7">
        <v>0</v>
      </c>
      <c r="S88" s="7">
        <v>11400193</v>
      </c>
      <c r="U88" s="7">
        <v>1139</v>
      </c>
      <c r="W88" s="7">
        <v>94560</v>
      </c>
      <c r="Y88" s="7">
        <v>0</v>
      </c>
      <c r="AA88" s="7">
        <v>124857</v>
      </c>
      <c r="AB88" s="58"/>
      <c r="AC88" s="7">
        <v>0</v>
      </c>
      <c r="AE88" s="7">
        <v>0</v>
      </c>
      <c r="AG88" s="7">
        <f>SUM(O88:AE88)</f>
        <v>20255777</v>
      </c>
      <c r="AH88" s="7"/>
      <c r="AI88" s="7">
        <f>+AG88+M88</f>
        <v>28832673</v>
      </c>
      <c r="AK88" s="9" t="s">
        <v>782</v>
      </c>
    </row>
    <row r="89" spans="1:37" ht="12" customHeight="1">
      <c r="A89" s="11" t="s">
        <v>510</v>
      </c>
      <c r="B89" s="11"/>
      <c r="C89" s="11" t="s">
        <v>62</v>
      </c>
      <c r="D89" s="11"/>
      <c r="E89" s="29">
        <v>43711</v>
      </c>
      <c r="G89" s="7">
        <v>3681000</v>
      </c>
      <c r="I89" s="7">
        <v>37715000</v>
      </c>
      <c r="K89" s="7">
        <v>55000</v>
      </c>
      <c r="M89" s="7">
        <f>SUM(G89:L89)</f>
        <v>41451000</v>
      </c>
      <c r="O89" s="7">
        <f>23199000+2499000+716000+424000</f>
        <v>26838000</v>
      </c>
      <c r="Q89" s="7">
        <v>0</v>
      </c>
      <c r="S89" s="7">
        <v>68572000</v>
      </c>
      <c r="U89" s="7">
        <f>541000-212000</f>
        <v>329000</v>
      </c>
      <c r="W89" s="7">
        <v>0</v>
      </c>
      <c r="Y89" s="7">
        <v>0</v>
      </c>
      <c r="AA89" s="7">
        <v>1089000</v>
      </c>
      <c r="AB89" s="58"/>
      <c r="AC89" s="7">
        <v>0</v>
      </c>
      <c r="AE89" s="7">
        <v>0</v>
      </c>
      <c r="AG89" s="7">
        <f>SUM(O89:AE89)</f>
        <v>96828000</v>
      </c>
      <c r="AH89" s="7"/>
      <c r="AI89" s="7">
        <f>+AG89+M89</f>
        <v>138279000</v>
      </c>
    </row>
    <row r="90" spans="1:37" ht="12" customHeight="1">
      <c r="A90" s="12" t="s">
        <v>678</v>
      </c>
      <c r="B90" s="11"/>
      <c r="C90" s="11" t="s">
        <v>30</v>
      </c>
      <c r="D90" s="11"/>
      <c r="E90" s="29">
        <v>47175</v>
      </c>
      <c r="G90" s="7">
        <v>1089939</v>
      </c>
      <c r="I90" s="7">
        <v>2073911</v>
      </c>
      <c r="K90" s="7">
        <v>0</v>
      </c>
      <c r="M90" s="7">
        <f>SUM(G90:L90)</f>
        <v>3163850</v>
      </c>
      <c r="O90" s="7">
        <f>6813406+872162+279144</f>
        <v>7964712</v>
      </c>
      <c r="Q90" s="7">
        <v>0</v>
      </c>
      <c r="S90" s="7">
        <v>5809272</v>
      </c>
      <c r="U90" s="7">
        <v>66461</v>
      </c>
      <c r="W90" s="7">
        <v>0</v>
      </c>
      <c r="Y90" s="7">
        <v>0</v>
      </c>
      <c r="AA90" s="7">
        <v>105296</v>
      </c>
      <c r="AB90" s="58"/>
      <c r="AC90" s="7">
        <v>0</v>
      </c>
      <c r="AE90" s="7">
        <v>0</v>
      </c>
      <c r="AG90" s="7">
        <f>SUM(O90:AE90)</f>
        <v>13945741</v>
      </c>
      <c r="AH90" s="7"/>
      <c r="AI90" s="7">
        <f>+AG90+M90</f>
        <v>17109591</v>
      </c>
    </row>
    <row r="91" spans="1:37" ht="12" hidden="1" customHeight="1">
      <c r="A91" s="11" t="s">
        <v>454</v>
      </c>
      <c r="B91" s="11"/>
      <c r="C91" s="11" t="s">
        <v>78</v>
      </c>
      <c r="D91" s="11"/>
      <c r="E91" s="29">
        <v>48793</v>
      </c>
      <c r="M91" s="7">
        <f>SUM(G91:L91)</f>
        <v>0</v>
      </c>
      <c r="AB91" s="58"/>
      <c r="AC91" s="7">
        <v>0</v>
      </c>
      <c r="AG91" s="7">
        <f>SUM(O91:AE91)</f>
        <v>0</v>
      </c>
      <c r="AH91" s="7"/>
      <c r="AI91" s="7">
        <f>+AG91+M91</f>
        <v>0</v>
      </c>
      <c r="AK91" s="7" t="s">
        <v>981</v>
      </c>
    </row>
    <row r="92" spans="1:37" ht="12" hidden="1" customHeight="1">
      <c r="A92" s="12" t="s">
        <v>644</v>
      </c>
      <c r="B92" s="11"/>
      <c r="C92" s="11" t="s">
        <v>577</v>
      </c>
      <c r="D92" s="11"/>
      <c r="E92" s="29">
        <v>45260</v>
      </c>
      <c r="M92" s="7">
        <f t="shared" si="5"/>
        <v>0</v>
      </c>
      <c r="AB92" s="58"/>
      <c r="AC92" s="7">
        <v>0</v>
      </c>
      <c r="AG92" s="7">
        <f t="shared" si="8"/>
        <v>0</v>
      </c>
      <c r="AH92" s="7"/>
      <c r="AI92" s="7">
        <f t="shared" si="9"/>
        <v>0</v>
      </c>
      <c r="AK92" s="7" t="s">
        <v>778</v>
      </c>
    </row>
    <row r="93" spans="1:37" s="32" customFormat="1" ht="12" customHeight="1">
      <c r="A93" s="31" t="s">
        <v>560</v>
      </c>
      <c r="B93" s="31"/>
      <c r="C93" s="31" t="s">
        <v>69</v>
      </c>
      <c r="D93" s="31"/>
      <c r="E93" s="31">
        <v>50419</v>
      </c>
      <c r="G93" s="32">
        <v>677802</v>
      </c>
      <c r="I93" s="32">
        <v>6844061</v>
      </c>
      <c r="K93" s="32">
        <v>0</v>
      </c>
      <c r="M93" s="32">
        <f t="shared" si="5"/>
        <v>7521863</v>
      </c>
      <c r="O93" s="32">
        <f>4306605+286656</f>
        <v>4593261</v>
      </c>
      <c r="Q93" s="32">
        <v>1774167</v>
      </c>
      <c r="S93" s="32">
        <v>3130195</v>
      </c>
      <c r="U93" s="32">
        <v>6731</v>
      </c>
      <c r="W93" s="32">
        <v>0</v>
      </c>
      <c r="Y93" s="32">
        <v>0</v>
      </c>
      <c r="AA93" s="32">
        <v>271798</v>
      </c>
      <c r="AB93" s="57"/>
      <c r="AC93" s="32">
        <v>0</v>
      </c>
      <c r="AE93" s="32">
        <v>0</v>
      </c>
      <c r="AG93" s="32">
        <f t="shared" si="8"/>
        <v>9776152</v>
      </c>
      <c r="AI93" s="32">
        <f t="shared" si="9"/>
        <v>17298015</v>
      </c>
    </row>
    <row r="94" spans="1:37" ht="12" customHeight="1">
      <c r="A94" s="12" t="s">
        <v>862</v>
      </c>
      <c r="B94" s="11"/>
      <c r="C94" s="11" t="s">
        <v>16</v>
      </c>
      <c r="D94" s="11"/>
      <c r="E94" s="29">
        <v>45278</v>
      </c>
      <c r="F94" s="6"/>
      <c r="G94" s="7">
        <v>1245638</v>
      </c>
      <c r="I94" s="7">
        <v>3057369</v>
      </c>
      <c r="K94" s="7">
        <v>0</v>
      </c>
      <c r="M94" s="7">
        <f t="shared" si="5"/>
        <v>4303007</v>
      </c>
      <c r="O94" s="7">
        <v>7492216</v>
      </c>
      <c r="Q94" s="7">
        <v>0</v>
      </c>
      <c r="S94" s="7">
        <v>12689612</v>
      </c>
      <c r="U94" s="7">
        <v>64631</v>
      </c>
      <c r="W94" s="7">
        <v>0</v>
      </c>
      <c r="Y94" s="7">
        <v>0</v>
      </c>
      <c r="AA94" s="7">
        <v>49963</v>
      </c>
      <c r="AB94" s="58"/>
      <c r="AC94" s="7">
        <v>0</v>
      </c>
      <c r="AE94" s="7">
        <v>0</v>
      </c>
      <c r="AG94" s="7">
        <f t="shared" si="8"/>
        <v>20296422</v>
      </c>
      <c r="AH94" s="7"/>
      <c r="AI94" s="7">
        <f t="shared" si="9"/>
        <v>24599429</v>
      </c>
    </row>
    <row r="95" spans="1:37" ht="12" customHeight="1">
      <c r="A95" s="12" t="s">
        <v>679</v>
      </c>
      <c r="B95" s="11"/>
      <c r="C95" s="11" t="s">
        <v>114</v>
      </c>
      <c r="D95" s="11"/>
      <c r="E95" s="29">
        <v>47258</v>
      </c>
      <c r="G95" s="7">
        <v>474314</v>
      </c>
      <c r="I95" s="7">
        <v>638542</v>
      </c>
      <c r="K95" s="7">
        <v>0</v>
      </c>
      <c r="M95" s="7">
        <f t="shared" si="5"/>
        <v>1112856</v>
      </c>
      <c r="O95" s="7">
        <f>1916249+206830+602797</f>
        <v>2725876</v>
      </c>
      <c r="Q95" s="7">
        <v>988340</v>
      </c>
      <c r="S95" s="7">
        <v>3459440</v>
      </c>
      <c r="U95" s="7">
        <v>51934</v>
      </c>
      <c r="W95" s="7">
        <v>0</v>
      </c>
      <c r="Y95" s="7">
        <v>14136</v>
      </c>
      <c r="AA95" s="7">
        <f>87896+63212+44</f>
        <v>151152</v>
      </c>
      <c r="AB95" s="58"/>
      <c r="AC95" s="7">
        <v>0</v>
      </c>
      <c r="AE95" s="7">
        <v>0</v>
      </c>
      <c r="AG95" s="7">
        <f t="shared" si="8"/>
        <v>7390878</v>
      </c>
      <c r="AH95" s="7"/>
      <c r="AI95" s="7">
        <f t="shared" si="9"/>
        <v>8503734</v>
      </c>
      <c r="AK95" s="7" t="s">
        <v>783</v>
      </c>
    </row>
    <row r="96" spans="1:37" ht="12" hidden="1" customHeight="1">
      <c r="A96" s="12" t="s">
        <v>645</v>
      </c>
      <c r="B96" s="11"/>
      <c r="C96" s="11" t="s">
        <v>435</v>
      </c>
      <c r="D96" s="11"/>
      <c r="E96" s="29">
        <v>43729</v>
      </c>
      <c r="G96" s="7">
        <v>0</v>
      </c>
      <c r="I96" s="7">
        <v>0</v>
      </c>
      <c r="K96" s="7">
        <v>0</v>
      </c>
      <c r="M96" s="7">
        <f t="shared" si="5"/>
        <v>0</v>
      </c>
      <c r="O96" s="7">
        <v>0</v>
      </c>
      <c r="Q96" s="7">
        <v>0</v>
      </c>
      <c r="S96" s="7">
        <v>0</v>
      </c>
      <c r="U96" s="7">
        <v>0</v>
      </c>
      <c r="W96" s="7">
        <v>0</v>
      </c>
      <c r="Y96" s="7">
        <v>0</v>
      </c>
      <c r="AA96" s="7">
        <v>0</v>
      </c>
      <c r="AB96" s="58"/>
      <c r="AC96" s="7">
        <v>0</v>
      </c>
      <c r="AE96" s="7">
        <v>0</v>
      </c>
      <c r="AG96" s="7">
        <f t="shared" si="8"/>
        <v>0</v>
      </c>
      <c r="AH96" s="7"/>
      <c r="AI96" s="7">
        <f t="shared" si="9"/>
        <v>0</v>
      </c>
      <c r="AK96" s="7" t="s">
        <v>778</v>
      </c>
    </row>
    <row r="97" spans="1:37" ht="12" customHeight="1">
      <c r="A97" s="12" t="s">
        <v>680</v>
      </c>
      <c r="B97" s="11"/>
      <c r="C97" s="11" t="s">
        <v>40</v>
      </c>
      <c r="D97" s="11"/>
      <c r="E97" s="29">
        <v>47829</v>
      </c>
      <c r="G97" s="7">
        <v>334988</v>
      </c>
      <c r="I97" s="7">
        <v>1909264</v>
      </c>
      <c r="K97" s="7">
        <v>9997</v>
      </c>
      <c r="M97" s="7">
        <f t="shared" si="5"/>
        <v>2254249</v>
      </c>
      <c r="O97" s="7">
        <f>2308734+414202+68464+41149</f>
        <v>2832549</v>
      </c>
      <c r="Q97" s="7">
        <v>1033365</v>
      </c>
      <c r="S97" s="7">
        <v>5073546</v>
      </c>
      <c r="U97" s="7">
        <v>12499</v>
      </c>
      <c r="W97" s="7">
        <v>0</v>
      </c>
      <c r="Y97" s="7">
        <v>18332</v>
      </c>
      <c r="AA97" s="7">
        <v>12669</v>
      </c>
      <c r="AB97" s="58"/>
      <c r="AC97" s="7">
        <v>0</v>
      </c>
      <c r="AE97" s="7">
        <v>0</v>
      </c>
      <c r="AG97" s="7">
        <f t="shared" si="8"/>
        <v>8982960</v>
      </c>
      <c r="AH97" s="7"/>
      <c r="AI97" s="7">
        <f t="shared" si="9"/>
        <v>11237209</v>
      </c>
    </row>
    <row r="98" spans="1:37" ht="12" customHeight="1">
      <c r="A98" s="31" t="s">
        <v>681</v>
      </c>
      <c r="B98" s="11"/>
      <c r="C98" s="11" t="s">
        <v>50</v>
      </c>
      <c r="D98" s="11"/>
      <c r="E98" s="29">
        <v>43737</v>
      </c>
      <c r="G98" s="7">
        <v>4983289</v>
      </c>
      <c r="I98" s="7">
        <v>6274202</v>
      </c>
      <c r="K98" s="7">
        <v>0</v>
      </c>
      <c r="M98" s="7">
        <f t="shared" si="5"/>
        <v>11257491</v>
      </c>
      <c r="O98" s="7">
        <f>57857546+5633978+2112763</f>
        <v>65604287</v>
      </c>
      <c r="Q98" s="7">
        <v>0</v>
      </c>
      <c r="S98" s="7">
        <v>23546918</v>
      </c>
      <c r="U98" s="7">
        <v>299241</v>
      </c>
      <c r="W98" s="7">
        <v>0</v>
      </c>
      <c r="Y98" s="7">
        <v>146244</v>
      </c>
      <c r="AA98" s="7">
        <v>285344</v>
      </c>
      <c r="AB98" s="58"/>
      <c r="AC98" s="7">
        <v>0</v>
      </c>
      <c r="AE98" s="7">
        <v>0</v>
      </c>
      <c r="AG98" s="7">
        <f t="shared" si="8"/>
        <v>89882034</v>
      </c>
      <c r="AH98" s="7"/>
      <c r="AI98" s="7">
        <f t="shared" si="9"/>
        <v>101139525</v>
      </c>
    </row>
    <row r="99" spans="1:37" ht="12" hidden="1" customHeight="1">
      <c r="A99" s="12" t="s">
        <v>797</v>
      </c>
      <c r="B99" s="11"/>
      <c r="C99" s="11" t="s">
        <v>22</v>
      </c>
      <c r="D99" s="11"/>
      <c r="E99" s="29">
        <v>46714</v>
      </c>
      <c r="G99" s="7">
        <v>0</v>
      </c>
      <c r="I99" s="7">
        <v>0</v>
      </c>
      <c r="K99" s="7">
        <v>0</v>
      </c>
      <c r="M99" s="7">
        <f t="shared" si="5"/>
        <v>0</v>
      </c>
      <c r="O99" s="7">
        <v>0</v>
      </c>
      <c r="Q99" s="7">
        <v>0</v>
      </c>
      <c r="S99" s="7">
        <v>0</v>
      </c>
      <c r="U99" s="7">
        <v>0</v>
      </c>
      <c r="W99" s="7">
        <v>0</v>
      </c>
      <c r="Y99" s="7">
        <v>0</v>
      </c>
      <c r="AA99" s="7">
        <v>0</v>
      </c>
      <c r="AB99" s="58"/>
      <c r="AC99" s="7">
        <v>0</v>
      </c>
      <c r="AE99" s="7">
        <v>0</v>
      </c>
      <c r="AG99" s="7">
        <f t="shared" si="8"/>
        <v>0</v>
      </c>
      <c r="AH99" s="7"/>
      <c r="AI99" s="7">
        <f t="shared" si="9"/>
        <v>0</v>
      </c>
      <c r="AK99" s="7" t="s">
        <v>786</v>
      </c>
    </row>
    <row r="100" spans="1:37" ht="12" customHeight="1">
      <c r="A100" s="12" t="s">
        <v>863</v>
      </c>
      <c r="B100" s="11"/>
      <c r="C100" s="11" t="s">
        <v>20</v>
      </c>
      <c r="D100" s="11"/>
      <c r="E100" s="29">
        <v>45286</v>
      </c>
      <c r="G100" s="7">
        <v>881794</v>
      </c>
      <c r="I100" s="7">
        <v>1037593</v>
      </c>
      <c r="K100" s="7">
        <v>272000</v>
      </c>
      <c r="M100" s="7">
        <f t="shared" si="5"/>
        <v>2191387</v>
      </c>
      <c r="O100" s="7">
        <f>18950590+2397179</f>
        <v>21347769</v>
      </c>
      <c r="Q100" s="7">
        <v>0</v>
      </c>
      <c r="S100" s="7">
        <v>5608901</v>
      </c>
      <c r="U100" s="7">
        <v>71014</v>
      </c>
      <c r="W100" s="7">
        <v>0</v>
      </c>
      <c r="Y100" s="7">
        <v>0</v>
      </c>
      <c r="AA100" s="7">
        <v>43834</v>
      </c>
      <c r="AB100" s="58"/>
      <c r="AC100" s="7">
        <v>0</v>
      </c>
      <c r="AE100" s="7">
        <v>0</v>
      </c>
      <c r="AG100" s="7">
        <f t="shared" si="8"/>
        <v>27071518</v>
      </c>
      <c r="AH100" s="7"/>
      <c r="AI100" s="7">
        <f t="shared" si="9"/>
        <v>29262905</v>
      </c>
    </row>
    <row r="101" spans="1:37" ht="12" customHeight="1">
      <c r="A101" s="12" t="s">
        <v>536</v>
      </c>
      <c r="B101" s="11"/>
      <c r="C101" s="11" t="s">
        <v>64</v>
      </c>
      <c r="D101" s="11"/>
      <c r="E101" s="29">
        <v>50138</v>
      </c>
      <c r="G101" s="7">
        <v>1257359</v>
      </c>
      <c r="I101" s="7">
        <v>2168969</v>
      </c>
      <c r="K101" s="7">
        <v>608</v>
      </c>
      <c r="M101" s="7">
        <f t="shared" si="5"/>
        <v>3426936</v>
      </c>
      <c r="O101" s="7">
        <f>4558469+70302+56932</f>
        <v>4685703</v>
      </c>
      <c r="Q101" s="7">
        <v>0</v>
      </c>
      <c r="S101" s="7">
        <v>7154187</v>
      </c>
      <c r="U101" s="7">
        <v>4341</v>
      </c>
      <c r="W101" s="7">
        <v>0</v>
      </c>
      <c r="Y101" s="7">
        <v>0</v>
      </c>
      <c r="AA101" s="7">
        <v>62935</v>
      </c>
      <c r="AB101" s="58"/>
      <c r="AC101" s="7">
        <v>0</v>
      </c>
      <c r="AE101" s="7">
        <v>0</v>
      </c>
      <c r="AG101" s="7">
        <f t="shared" si="8"/>
        <v>11907166</v>
      </c>
      <c r="AH101" s="7"/>
      <c r="AI101" s="7">
        <f t="shared" si="9"/>
        <v>15334102</v>
      </c>
    </row>
    <row r="102" spans="1:37" s="32" customFormat="1" ht="12" hidden="1" customHeight="1">
      <c r="A102" s="12" t="s">
        <v>798</v>
      </c>
      <c r="B102" s="31"/>
      <c r="C102" s="31" t="s">
        <v>30</v>
      </c>
      <c r="D102" s="31"/>
      <c r="E102" s="29">
        <v>47183</v>
      </c>
      <c r="G102" s="7"/>
      <c r="H102" s="7"/>
      <c r="I102" s="7"/>
      <c r="J102" s="7"/>
      <c r="K102" s="7"/>
      <c r="L102" s="7"/>
      <c r="M102" s="7">
        <f t="shared" si="5"/>
        <v>0</v>
      </c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58"/>
      <c r="AC102" s="7">
        <v>0</v>
      </c>
      <c r="AD102" s="7"/>
      <c r="AE102" s="7"/>
      <c r="AF102" s="7"/>
      <c r="AG102" s="7">
        <f t="shared" si="8"/>
        <v>0</v>
      </c>
      <c r="AH102" s="7"/>
      <c r="AI102" s="7">
        <f t="shared" si="9"/>
        <v>0</v>
      </c>
      <c r="AK102" s="7" t="s">
        <v>786</v>
      </c>
    </row>
    <row r="103" spans="1:37" ht="12" customHeight="1">
      <c r="A103" s="12" t="s">
        <v>864</v>
      </c>
      <c r="B103" s="11"/>
      <c r="C103" s="11" t="s">
        <v>377</v>
      </c>
      <c r="D103" s="11"/>
      <c r="E103" s="29">
        <v>45294</v>
      </c>
      <c r="G103" s="7">
        <v>1371561</v>
      </c>
      <c r="I103" s="7">
        <v>2499170</v>
      </c>
      <c r="K103" s="7">
        <v>0</v>
      </c>
      <c r="M103" s="7">
        <f t="shared" si="5"/>
        <v>3870731</v>
      </c>
      <c r="O103" s="7">
        <f>1662794+240533+24000</f>
        <v>1927327</v>
      </c>
      <c r="Q103" s="7">
        <v>0</v>
      </c>
      <c r="S103" s="7">
        <v>8159034</v>
      </c>
      <c r="U103" s="7">
        <v>3228</v>
      </c>
      <c r="W103" s="7">
        <v>0</v>
      </c>
      <c r="Y103" s="7">
        <v>37557</v>
      </c>
      <c r="AA103" s="7">
        <v>91359</v>
      </c>
      <c r="AB103" s="58"/>
      <c r="AC103" s="7">
        <v>0</v>
      </c>
      <c r="AE103" s="7">
        <v>0</v>
      </c>
      <c r="AG103" s="7">
        <f t="shared" si="8"/>
        <v>10218505</v>
      </c>
      <c r="AH103" s="7"/>
      <c r="AI103" s="7">
        <f t="shared" si="9"/>
        <v>14089236</v>
      </c>
    </row>
    <row r="104" spans="1:37" ht="12" customHeight="1">
      <c r="A104" s="11" t="s">
        <v>488</v>
      </c>
      <c r="B104" s="11"/>
      <c r="C104" s="11" t="s">
        <v>58</v>
      </c>
      <c r="D104" s="11"/>
      <c r="E104" s="29">
        <v>43745</v>
      </c>
      <c r="G104" s="7">
        <v>2270214</v>
      </c>
      <c r="I104" s="7">
        <v>5176487</v>
      </c>
      <c r="K104" s="7">
        <v>0</v>
      </c>
      <c r="M104" s="7">
        <f t="shared" si="5"/>
        <v>7446701</v>
      </c>
      <c r="O104" s="7">
        <f>10418467+1837450+856270</f>
        <v>13112187</v>
      </c>
      <c r="Q104" s="7">
        <v>0</v>
      </c>
      <c r="S104" s="7">
        <v>15579509</v>
      </c>
      <c r="U104" s="7">
        <v>44018</v>
      </c>
      <c r="W104" s="7">
        <v>0</v>
      </c>
      <c r="Y104" s="7">
        <v>5087</v>
      </c>
      <c r="AA104" s="7">
        <f>4138+150300</f>
        <v>154438</v>
      </c>
      <c r="AB104" s="58"/>
      <c r="AC104" s="7">
        <v>0</v>
      </c>
      <c r="AE104" s="7">
        <v>0</v>
      </c>
      <c r="AG104" s="7">
        <f t="shared" si="8"/>
        <v>28895239</v>
      </c>
      <c r="AH104" s="7"/>
      <c r="AI104" s="7">
        <f t="shared" si="9"/>
        <v>36341940</v>
      </c>
    </row>
    <row r="105" spans="1:37" ht="12" customHeight="1">
      <c r="A105" s="12" t="s">
        <v>568</v>
      </c>
      <c r="B105" s="11"/>
      <c r="C105" s="11" t="s">
        <v>71</v>
      </c>
      <c r="D105" s="11"/>
      <c r="E105" s="29">
        <v>50534</v>
      </c>
      <c r="G105" s="7">
        <v>582985</v>
      </c>
      <c r="I105" s="7">
        <v>2003233</v>
      </c>
      <c r="K105" s="7">
        <v>0</v>
      </c>
      <c r="M105" s="7">
        <f t="shared" si="5"/>
        <v>2586218</v>
      </c>
      <c r="O105" s="7">
        <f>3503981+243423</f>
        <v>3747404</v>
      </c>
      <c r="Q105" s="7">
        <v>1720361</v>
      </c>
      <c r="S105" s="7">
        <v>5307437</v>
      </c>
      <c r="U105" s="7">
        <v>49062</v>
      </c>
      <c r="W105" s="7">
        <v>0</v>
      </c>
      <c r="Y105" s="7">
        <v>0</v>
      </c>
      <c r="AA105" s="7">
        <v>27571</v>
      </c>
      <c r="AB105" s="58"/>
      <c r="AC105" s="7">
        <v>0</v>
      </c>
      <c r="AE105" s="7">
        <v>0</v>
      </c>
      <c r="AG105" s="7">
        <f t="shared" si="8"/>
        <v>10851835</v>
      </c>
      <c r="AH105" s="7"/>
      <c r="AI105" s="7">
        <f t="shared" si="9"/>
        <v>13438053</v>
      </c>
      <c r="AK105" s="7"/>
    </row>
    <row r="106" spans="1:37" ht="12" customHeight="1">
      <c r="A106" s="12" t="s">
        <v>683</v>
      </c>
      <c r="B106" s="11"/>
      <c r="C106" s="11" t="s">
        <v>32</v>
      </c>
      <c r="D106" s="11"/>
      <c r="E106" s="29">
        <v>43752</v>
      </c>
      <c r="G106" s="7">
        <v>21964268</v>
      </c>
      <c r="I106" s="7">
        <v>107155658</v>
      </c>
      <c r="K106" s="7">
        <v>56581124</v>
      </c>
      <c r="M106" s="7">
        <f t="shared" si="5"/>
        <v>185701050</v>
      </c>
      <c r="O106" s="7">
        <f>250219075+15071352</f>
        <v>265290427</v>
      </c>
      <c r="Q106" s="7">
        <v>0</v>
      </c>
      <c r="S106" s="7">
        <v>197164514</v>
      </c>
      <c r="U106" s="7">
        <v>1298188</v>
      </c>
      <c r="W106" s="7">
        <v>23453928</v>
      </c>
      <c r="Y106" s="7">
        <v>0</v>
      </c>
      <c r="AA106" s="7">
        <v>4948857</v>
      </c>
      <c r="AB106" s="58"/>
      <c r="AC106" s="7">
        <v>0</v>
      </c>
      <c r="AE106" s="7">
        <v>0</v>
      </c>
      <c r="AG106" s="7">
        <f t="shared" si="8"/>
        <v>492155914</v>
      </c>
      <c r="AH106" s="7"/>
      <c r="AI106" s="7">
        <f t="shared" si="9"/>
        <v>677856964</v>
      </c>
    </row>
    <row r="107" spans="1:37" ht="12" customHeight="1">
      <c r="A107" s="11" t="s">
        <v>467</v>
      </c>
      <c r="B107" s="11"/>
      <c r="C107" s="11" t="s">
        <v>54</v>
      </c>
      <c r="D107" s="11"/>
      <c r="E107" s="29">
        <v>43760</v>
      </c>
      <c r="G107" s="7">
        <v>1044464</v>
      </c>
      <c r="I107" s="7">
        <v>5553948</v>
      </c>
      <c r="K107" s="7">
        <v>432634</v>
      </c>
      <c r="M107" s="7">
        <f t="shared" si="5"/>
        <v>7031046</v>
      </c>
      <c r="O107" s="7">
        <f>9240206+1584531+647692</f>
        <v>11472429</v>
      </c>
      <c r="Q107" s="7">
        <f>1435763+106525</f>
        <v>1542288</v>
      </c>
      <c r="S107" s="7">
        <f>11185966+27457590</f>
        <v>38643556</v>
      </c>
      <c r="U107" s="7">
        <v>182717</v>
      </c>
      <c r="W107" s="7">
        <v>0</v>
      </c>
      <c r="Y107" s="7">
        <v>0</v>
      </c>
      <c r="AA107" s="7">
        <v>85854</v>
      </c>
      <c r="AB107" s="58"/>
      <c r="AC107" s="7">
        <v>0</v>
      </c>
      <c r="AE107" s="7">
        <v>0</v>
      </c>
      <c r="AG107" s="7">
        <f t="shared" si="8"/>
        <v>51926844</v>
      </c>
      <c r="AH107" s="7"/>
      <c r="AI107" s="7">
        <f t="shared" si="9"/>
        <v>58957890</v>
      </c>
    </row>
    <row r="108" spans="1:37" ht="12" customHeight="1">
      <c r="A108" s="11" t="s">
        <v>236</v>
      </c>
      <c r="B108" s="11"/>
      <c r="C108" s="11" t="s">
        <v>17</v>
      </c>
      <c r="D108" s="11"/>
      <c r="E108" s="29">
        <v>46284</v>
      </c>
      <c r="F108" s="6"/>
      <c r="G108" s="7">
        <v>3296794</v>
      </c>
      <c r="I108" s="7">
        <v>2016141</v>
      </c>
      <c r="K108" s="7">
        <v>0</v>
      </c>
      <c r="M108" s="7">
        <f t="shared" si="5"/>
        <v>5312935</v>
      </c>
      <c r="O108" s="7">
        <f>9139783+452734</f>
        <v>9592517</v>
      </c>
      <c r="Q108" s="7">
        <v>0</v>
      </c>
      <c r="S108" s="7">
        <v>7409145</v>
      </c>
      <c r="U108" s="7">
        <v>2136</v>
      </c>
      <c r="W108" s="7">
        <v>0</v>
      </c>
      <c r="Y108" s="7">
        <v>5498</v>
      </c>
      <c r="AA108" s="7">
        <v>5252</v>
      </c>
      <c r="AB108" s="58"/>
      <c r="AC108" s="7">
        <v>0</v>
      </c>
      <c r="AE108" s="7">
        <v>0</v>
      </c>
      <c r="AG108" s="7">
        <f t="shared" si="8"/>
        <v>17014548</v>
      </c>
      <c r="AH108" s="7"/>
      <c r="AI108" s="7">
        <f t="shared" si="9"/>
        <v>22327483</v>
      </c>
    </row>
    <row r="109" spans="1:37" ht="12" customHeight="1">
      <c r="A109" s="11" t="s">
        <v>495</v>
      </c>
      <c r="B109" s="11"/>
      <c r="C109" s="11" t="s">
        <v>59</v>
      </c>
      <c r="D109" s="11"/>
      <c r="E109" s="29">
        <v>49601</v>
      </c>
      <c r="G109" s="7">
        <v>1006529</v>
      </c>
      <c r="I109" s="7">
        <v>1049350</v>
      </c>
      <c r="K109" s="7">
        <v>0</v>
      </c>
      <c r="M109" s="7">
        <f t="shared" si="5"/>
        <v>2055879</v>
      </c>
      <c r="O109" s="7">
        <f>931596+286746+22291</f>
        <v>1240633</v>
      </c>
      <c r="Q109" s="7">
        <v>0</v>
      </c>
      <c r="S109" s="7">
        <v>3303141</v>
      </c>
      <c r="U109" s="7">
        <v>39820</v>
      </c>
      <c r="W109" s="7">
        <v>0</v>
      </c>
      <c r="Y109" s="7">
        <v>1000</v>
      </c>
      <c r="AA109" s="7">
        <v>159267</v>
      </c>
      <c r="AB109" s="58"/>
      <c r="AC109" s="7">
        <v>0</v>
      </c>
      <c r="AE109" s="7">
        <v>0</v>
      </c>
      <c r="AG109" s="7">
        <f t="shared" si="8"/>
        <v>4743861</v>
      </c>
      <c r="AH109" s="7"/>
      <c r="AI109" s="7">
        <f t="shared" si="9"/>
        <v>6799740</v>
      </c>
    </row>
    <row r="110" spans="1:37" ht="12" customHeight="1">
      <c r="A110" s="11" t="s">
        <v>549</v>
      </c>
      <c r="B110" s="11"/>
      <c r="C110" s="11" t="s">
        <v>65</v>
      </c>
      <c r="D110" s="11"/>
      <c r="E110" s="29">
        <v>43778</v>
      </c>
      <c r="G110" s="7">
        <v>1412538</v>
      </c>
      <c r="I110" s="7">
        <v>6179632</v>
      </c>
      <c r="K110" s="7">
        <v>0</v>
      </c>
      <c r="M110" s="7">
        <f t="shared" si="5"/>
        <v>7592170</v>
      </c>
      <c r="O110" s="7">
        <f>2998841+51488+347661</f>
        <v>3397990</v>
      </c>
      <c r="Q110" s="7">
        <v>0</v>
      </c>
      <c r="S110" s="7">
        <v>11285897</v>
      </c>
      <c r="U110" s="7">
        <v>5212</v>
      </c>
      <c r="W110" s="7">
        <v>0</v>
      </c>
      <c r="Y110" s="7">
        <v>0</v>
      </c>
      <c r="AA110" s="7">
        <v>18980</v>
      </c>
      <c r="AB110" s="58"/>
      <c r="AC110" s="7">
        <v>0</v>
      </c>
      <c r="AE110" s="7">
        <v>0</v>
      </c>
      <c r="AG110" s="7">
        <f t="shared" si="8"/>
        <v>14708079</v>
      </c>
      <c r="AH110" s="7"/>
      <c r="AI110" s="7">
        <f t="shared" si="9"/>
        <v>22300249</v>
      </c>
    </row>
    <row r="111" spans="1:37" ht="12" customHeight="1">
      <c r="A111" s="11" t="s">
        <v>483</v>
      </c>
      <c r="B111" s="11"/>
      <c r="C111" s="11" t="s">
        <v>110</v>
      </c>
      <c r="D111" s="11"/>
      <c r="E111" s="29">
        <v>49411</v>
      </c>
      <c r="G111" s="7">
        <v>1511176</v>
      </c>
      <c r="I111" s="7">
        <v>3355668</v>
      </c>
      <c r="K111" s="7">
        <v>0</v>
      </c>
      <c r="M111" s="7">
        <f t="shared" si="5"/>
        <v>4866844</v>
      </c>
      <c r="O111" s="7">
        <f>3737388+577017+267196</f>
        <v>4581601</v>
      </c>
      <c r="Q111" s="7">
        <v>0</v>
      </c>
      <c r="S111" s="7">
        <v>7721876</v>
      </c>
      <c r="U111" s="7">
        <v>123968</v>
      </c>
      <c r="W111" s="7">
        <v>0</v>
      </c>
      <c r="Y111" s="7">
        <v>0</v>
      </c>
      <c r="AA111" s="7">
        <v>27880</v>
      </c>
      <c r="AB111" s="58"/>
      <c r="AC111" s="7">
        <v>0</v>
      </c>
      <c r="AE111" s="7">
        <v>0</v>
      </c>
      <c r="AG111" s="7">
        <f t="shared" si="8"/>
        <v>12455325</v>
      </c>
      <c r="AH111" s="7"/>
      <c r="AI111" s="7">
        <f t="shared" si="9"/>
        <v>17322169</v>
      </c>
      <c r="AK111" s="7"/>
    </row>
    <row r="112" spans="1:37" ht="12" customHeight="1">
      <c r="A112" s="11" t="s">
        <v>394</v>
      </c>
      <c r="B112" s="11"/>
      <c r="C112" s="11" t="s">
        <v>44</v>
      </c>
      <c r="D112" s="11"/>
      <c r="E112" s="29">
        <v>48132</v>
      </c>
      <c r="G112" s="7">
        <v>3500002</v>
      </c>
      <c r="I112" s="7">
        <v>2276363</v>
      </c>
      <c r="K112" s="7">
        <v>0</v>
      </c>
      <c r="M112" s="7">
        <f t="shared" si="5"/>
        <v>5776365</v>
      </c>
      <c r="O112" s="7">
        <f>2853553+467935+102175</f>
        <v>3423663</v>
      </c>
      <c r="Q112" s="7">
        <v>0</v>
      </c>
      <c r="S112" s="7">
        <v>7318780</v>
      </c>
      <c r="U112" s="7">
        <v>13557</v>
      </c>
      <c r="W112" s="7">
        <v>0</v>
      </c>
      <c r="Y112" s="7">
        <v>0</v>
      </c>
      <c r="AA112" s="7">
        <v>60767</v>
      </c>
      <c r="AB112" s="58"/>
      <c r="AC112" s="7">
        <v>0</v>
      </c>
      <c r="AE112" s="7">
        <v>0</v>
      </c>
      <c r="AG112" s="7">
        <f t="shared" si="8"/>
        <v>10816767</v>
      </c>
      <c r="AH112" s="7"/>
      <c r="AI112" s="7">
        <f t="shared" si="9"/>
        <v>16593132</v>
      </c>
    </row>
    <row r="113" spans="1:37" ht="12" customHeight="1">
      <c r="A113" s="11" t="s">
        <v>684</v>
      </c>
      <c r="B113" s="11"/>
      <c r="C113" s="11" t="s">
        <v>113</v>
      </c>
      <c r="D113" s="11"/>
      <c r="E113" s="29"/>
      <c r="G113" s="7">
        <v>1318878</v>
      </c>
      <c r="I113" s="7">
        <v>2094843</v>
      </c>
      <c r="K113" s="7">
        <v>0</v>
      </c>
      <c r="M113" s="7">
        <f t="shared" si="5"/>
        <v>3413721</v>
      </c>
      <c r="O113" s="7">
        <f>6186768+539390+707466</f>
        <v>7433624</v>
      </c>
      <c r="Q113" s="7">
        <v>2570214</v>
      </c>
      <c r="S113" s="7">
        <v>6495518</v>
      </c>
      <c r="U113" s="7">
        <v>8503</v>
      </c>
      <c r="W113" s="7">
        <v>0</v>
      </c>
      <c r="Y113" s="7">
        <v>0</v>
      </c>
      <c r="AA113" s="7">
        <v>62059</v>
      </c>
      <c r="AB113" s="58"/>
      <c r="AC113" s="7">
        <v>0</v>
      </c>
      <c r="AE113" s="7">
        <v>0</v>
      </c>
      <c r="AG113" s="7">
        <f t="shared" si="8"/>
        <v>16569918</v>
      </c>
      <c r="AH113" s="7"/>
      <c r="AI113" s="7">
        <f t="shared" si="9"/>
        <v>19983639</v>
      </c>
    </row>
    <row r="114" spans="1:37" ht="12" customHeight="1">
      <c r="A114" s="12" t="s">
        <v>682</v>
      </c>
      <c r="B114" s="11"/>
      <c r="C114" s="11" t="s">
        <v>20</v>
      </c>
      <c r="D114" s="11"/>
      <c r="E114" s="29">
        <v>43794</v>
      </c>
      <c r="G114" s="7">
        <v>2833878</v>
      </c>
      <c r="I114" s="7">
        <v>9825470</v>
      </c>
      <c r="K114" s="7">
        <v>27300</v>
      </c>
      <c r="M114" s="7">
        <f t="shared" si="5"/>
        <v>12686648</v>
      </c>
      <c r="O114" s="7">
        <f>57099411+604768+2748213</f>
        <v>60452392</v>
      </c>
      <c r="Q114" s="7">
        <v>0</v>
      </c>
      <c r="S114" s="7">
        <v>31992845</v>
      </c>
      <c r="U114" s="7">
        <v>296480</v>
      </c>
      <c r="W114" s="7">
        <v>0</v>
      </c>
      <c r="Y114" s="7">
        <v>0</v>
      </c>
      <c r="AA114" s="7">
        <v>652057</v>
      </c>
      <c r="AB114" s="58"/>
      <c r="AC114" s="7">
        <v>0</v>
      </c>
      <c r="AE114" s="7">
        <v>-169318</v>
      </c>
      <c r="AG114" s="7">
        <f t="shared" si="8"/>
        <v>93224456</v>
      </c>
      <c r="AH114" s="7"/>
      <c r="AI114" s="7">
        <f t="shared" si="9"/>
        <v>105911104</v>
      </c>
    </row>
    <row r="115" spans="1:37" ht="12" customHeight="1">
      <c r="A115" s="11" t="s">
        <v>271</v>
      </c>
      <c r="B115" s="11"/>
      <c r="C115" s="11" t="s">
        <v>20</v>
      </c>
      <c r="D115" s="11"/>
      <c r="E115" s="29">
        <v>43786</v>
      </c>
      <c r="G115" s="7">
        <v>6038803</v>
      </c>
      <c r="I115" s="7">
        <v>243659364</v>
      </c>
      <c r="K115" s="7">
        <v>2037682</v>
      </c>
      <c r="M115" s="7">
        <f t="shared" si="5"/>
        <v>251735849</v>
      </c>
      <c r="O115" s="7">
        <f>158760869+28724375+2097559</f>
        <v>189582803</v>
      </c>
      <c r="Q115" s="7">
        <v>0</v>
      </c>
      <c r="S115" s="7">
        <v>465427970</v>
      </c>
      <c r="U115" s="7">
        <v>3535089</v>
      </c>
      <c r="W115" s="7">
        <v>0</v>
      </c>
      <c r="Y115" s="7">
        <v>0</v>
      </c>
      <c r="AA115" s="7">
        <v>13723968</v>
      </c>
      <c r="AB115" s="58"/>
      <c r="AC115" s="7">
        <v>0</v>
      </c>
      <c r="AE115" s="7">
        <v>0</v>
      </c>
      <c r="AG115" s="7">
        <f t="shared" si="8"/>
        <v>672269830</v>
      </c>
      <c r="AH115" s="7"/>
      <c r="AI115" s="7">
        <f t="shared" si="9"/>
        <v>924005679</v>
      </c>
      <c r="AK115" s="9" t="s">
        <v>800</v>
      </c>
    </row>
    <row r="116" spans="1:37" ht="12" customHeight="1">
      <c r="A116" s="11" t="s">
        <v>249</v>
      </c>
      <c r="B116" s="11"/>
      <c r="C116" s="11" t="s">
        <v>18</v>
      </c>
      <c r="D116" s="11"/>
      <c r="E116" s="29">
        <v>46391</v>
      </c>
      <c r="F116" s="6"/>
      <c r="G116" s="7">
        <v>1616425</v>
      </c>
      <c r="I116" s="7">
        <v>2261123</v>
      </c>
      <c r="K116" s="7">
        <v>0</v>
      </c>
      <c r="M116" s="7">
        <f t="shared" si="5"/>
        <v>3877548</v>
      </c>
      <c r="O116" s="7">
        <f>4472832+84654+689935+61461</f>
        <v>5308882</v>
      </c>
      <c r="Q116" s="7">
        <v>0</v>
      </c>
      <c r="S116" s="7">
        <v>8433522</v>
      </c>
      <c r="U116" s="7">
        <v>2999</v>
      </c>
      <c r="W116" s="7">
        <v>10163</v>
      </c>
      <c r="Y116" s="7">
        <v>5482</v>
      </c>
      <c r="AA116" s="7">
        <v>626323</v>
      </c>
      <c r="AB116" s="58"/>
      <c r="AC116" s="7">
        <v>0</v>
      </c>
      <c r="AE116" s="7">
        <v>0</v>
      </c>
      <c r="AG116" s="7">
        <f t="shared" si="8"/>
        <v>14387371</v>
      </c>
      <c r="AH116" s="7"/>
      <c r="AI116" s="7">
        <f t="shared" si="9"/>
        <v>18264919</v>
      </c>
      <c r="AK116" s="7"/>
    </row>
    <row r="117" spans="1:37" ht="12" customHeight="1">
      <c r="A117" s="11" t="s">
        <v>429</v>
      </c>
      <c r="B117" s="11"/>
      <c r="C117" s="11" t="s">
        <v>47</v>
      </c>
      <c r="D117" s="11"/>
      <c r="E117" s="29">
        <v>48488</v>
      </c>
      <c r="G117" s="7">
        <v>1676459</v>
      </c>
      <c r="I117" s="7">
        <v>2906329</v>
      </c>
      <c r="K117" s="7">
        <v>975980</v>
      </c>
      <c r="M117" s="7">
        <f t="shared" si="5"/>
        <v>5558768</v>
      </c>
      <c r="O117" s="7">
        <f>11434438+784321</f>
        <v>12218759</v>
      </c>
      <c r="Q117" s="7">
        <v>1696429</v>
      </c>
      <c r="S117" s="7">
        <v>12897507</v>
      </c>
      <c r="U117" s="7">
        <v>9934</v>
      </c>
      <c r="W117" s="7">
        <v>0</v>
      </c>
      <c r="Y117" s="7">
        <v>0</v>
      </c>
      <c r="AA117" s="7">
        <v>223235</v>
      </c>
      <c r="AB117" s="58"/>
      <c r="AC117" s="7">
        <v>0</v>
      </c>
      <c r="AE117" s="7">
        <v>0</v>
      </c>
      <c r="AG117" s="7">
        <f t="shared" si="8"/>
        <v>27045864</v>
      </c>
      <c r="AH117" s="7"/>
      <c r="AI117" s="7">
        <f t="shared" si="9"/>
        <v>32604632</v>
      </c>
    </row>
    <row r="118" spans="1:37" ht="12" customHeight="1">
      <c r="A118" s="12" t="s">
        <v>865</v>
      </c>
      <c r="B118" s="11"/>
      <c r="C118" s="11" t="s">
        <v>79</v>
      </c>
      <c r="D118" s="11"/>
      <c r="E118" s="29">
        <v>45302</v>
      </c>
      <c r="G118" s="7">
        <v>1754103</v>
      </c>
      <c r="I118" s="7">
        <v>4266432</v>
      </c>
      <c r="K118" s="7">
        <v>0</v>
      </c>
      <c r="M118" s="7">
        <f t="shared" si="5"/>
        <v>6020535</v>
      </c>
      <c r="O118" s="7">
        <f>6452359+454891+187109</f>
        <v>7094359</v>
      </c>
      <c r="Q118" s="7">
        <v>1932120</v>
      </c>
      <c r="S118" s="7">
        <v>10153072</v>
      </c>
      <c r="U118" s="7">
        <v>22910</v>
      </c>
      <c r="W118" s="7">
        <v>219498</v>
      </c>
      <c r="Y118" s="7">
        <v>0</v>
      </c>
      <c r="AA118" s="7">
        <v>196217</v>
      </c>
      <c r="AB118" s="58"/>
      <c r="AC118" s="7">
        <v>0</v>
      </c>
      <c r="AE118" s="7">
        <v>0</v>
      </c>
      <c r="AG118" s="7">
        <f t="shared" si="8"/>
        <v>19618176</v>
      </c>
      <c r="AH118" s="7"/>
      <c r="AI118" s="7">
        <f t="shared" si="9"/>
        <v>25638711</v>
      </c>
    </row>
    <row r="119" spans="1:37" ht="12" hidden="1" customHeight="1">
      <c r="A119" s="12" t="s">
        <v>685</v>
      </c>
      <c r="B119" s="11"/>
      <c r="C119" s="11" t="s">
        <v>435</v>
      </c>
      <c r="D119" s="11"/>
      <c r="E119" s="29"/>
      <c r="G119" s="7">
        <v>0</v>
      </c>
      <c r="I119" s="7">
        <v>0</v>
      </c>
      <c r="K119" s="7">
        <v>0</v>
      </c>
      <c r="M119" s="7">
        <f t="shared" si="5"/>
        <v>0</v>
      </c>
      <c r="O119" s="7">
        <v>0</v>
      </c>
      <c r="Q119" s="7">
        <v>0</v>
      </c>
      <c r="S119" s="7">
        <v>0</v>
      </c>
      <c r="U119" s="7">
        <v>0</v>
      </c>
      <c r="W119" s="7">
        <v>0</v>
      </c>
      <c r="Y119" s="7">
        <v>0</v>
      </c>
      <c r="AA119" s="7">
        <v>0</v>
      </c>
      <c r="AB119" s="58"/>
      <c r="AC119" s="7">
        <v>0</v>
      </c>
      <c r="AE119" s="7">
        <v>0</v>
      </c>
      <c r="AG119" s="7">
        <f t="shared" si="8"/>
        <v>0</v>
      </c>
      <c r="AH119" s="7"/>
      <c r="AI119" s="7">
        <f t="shared" si="9"/>
        <v>0</v>
      </c>
      <c r="AK119" s="7" t="s">
        <v>778</v>
      </c>
    </row>
    <row r="120" spans="1:37" ht="12" hidden="1" customHeight="1">
      <c r="A120" s="11" t="s">
        <v>636</v>
      </c>
      <c r="B120" s="11"/>
      <c r="C120" s="11" t="s">
        <v>57</v>
      </c>
      <c r="D120" s="11"/>
      <c r="E120" s="29">
        <v>64964</v>
      </c>
      <c r="M120" s="7">
        <f t="shared" si="5"/>
        <v>0</v>
      </c>
      <c r="AB120" s="58"/>
      <c r="AC120" s="7">
        <v>0</v>
      </c>
      <c r="AE120" s="7">
        <v>0</v>
      </c>
      <c r="AG120" s="7">
        <f t="shared" si="8"/>
        <v>0</v>
      </c>
      <c r="AH120" s="7"/>
      <c r="AI120" s="7">
        <f t="shared" si="9"/>
        <v>0</v>
      </c>
      <c r="AK120" s="7" t="s">
        <v>778</v>
      </c>
    </row>
    <row r="121" spans="1:37" ht="12" customHeight="1">
      <c r="A121" s="11" t="s">
        <v>264</v>
      </c>
      <c r="B121" s="11"/>
      <c r="C121" s="11" t="s">
        <v>111</v>
      </c>
      <c r="D121" s="11"/>
      <c r="E121" s="29">
        <v>46516</v>
      </c>
      <c r="G121" s="7">
        <v>1277138</v>
      </c>
      <c r="I121" s="7">
        <v>1195287</v>
      </c>
      <c r="K121" s="7">
        <v>0</v>
      </c>
      <c r="M121" s="7">
        <f t="shared" si="5"/>
        <v>2472425</v>
      </c>
      <c r="O121" s="7">
        <f>2265065+639183</f>
        <v>2904248</v>
      </c>
      <c r="Q121" s="7">
        <v>1445080</v>
      </c>
      <c r="S121" s="7">
        <v>3958765</v>
      </c>
      <c r="U121" s="7">
        <v>14838</v>
      </c>
      <c r="W121" s="7">
        <v>0</v>
      </c>
      <c r="Y121" s="7">
        <v>0</v>
      </c>
      <c r="AA121" s="7">
        <v>5329</v>
      </c>
      <c r="AB121" s="58"/>
      <c r="AC121" s="7">
        <v>0</v>
      </c>
      <c r="AE121" s="7">
        <v>0</v>
      </c>
      <c r="AG121" s="7">
        <f t="shared" si="8"/>
        <v>8328260</v>
      </c>
      <c r="AH121" s="7"/>
      <c r="AI121" s="7">
        <f t="shared" si="9"/>
        <v>10800685</v>
      </c>
    </row>
    <row r="122" spans="1:37" ht="12" customHeight="1">
      <c r="A122" s="11" t="s">
        <v>395</v>
      </c>
      <c r="B122" s="11"/>
      <c r="C122" s="11" t="s">
        <v>44</v>
      </c>
      <c r="D122" s="11"/>
      <c r="E122" s="29">
        <v>48140</v>
      </c>
      <c r="G122" s="7">
        <v>900543</v>
      </c>
      <c r="I122" s="7">
        <v>1087261</v>
      </c>
      <c r="K122" s="7">
        <v>0</v>
      </c>
      <c r="M122" s="7">
        <f t="shared" si="5"/>
        <v>1987804</v>
      </c>
      <c r="O122" s="7">
        <f>5861759+276553</f>
        <v>6138312</v>
      </c>
      <c r="Q122" s="7">
        <v>0</v>
      </c>
      <c r="S122" s="7">
        <v>3268289</v>
      </c>
      <c r="U122" s="7">
        <v>4220</v>
      </c>
      <c r="W122" s="7">
        <v>0</v>
      </c>
      <c r="Y122" s="7">
        <v>0</v>
      </c>
      <c r="AA122" s="7">
        <v>150525</v>
      </c>
      <c r="AB122" s="58"/>
      <c r="AC122" s="7">
        <v>0</v>
      </c>
      <c r="AE122" s="7">
        <v>0</v>
      </c>
      <c r="AG122" s="7">
        <f t="shared" si="8"/>
        <v>9561346</v>
      </c>
      <c r="AH122" s="7"/>
      <c r="AI122" s="7">
        <f t="shared" si="9"/>
        <v>11549150</v>
      </c>
    </row>
    <row r="123" spans="1:37" ht="12" customHeight="1">
      <c r="A123" s="12" t="s">
        <v>866</v>
      </c>
      <c r="B123" s="11"/>
      <c r="C123" s="11" t="s">
        <v>112</v>
      </c>
      <c r="D123" s="11"/>
      <c r="E123" s="29">
        <v>45328</v>
      </c>
      <c r="F123" s="6"/>
      <c r="G123" s="7">
        <v>1541997</v>
      </c>
      <c r="I123" s="7">
        <v>1039344</v>
      </c>
      <c r="K123" s="7">
        <v>274833</v>
      </c>
      <c r="M123" s="7">
        <f t="shared" si="5"/>
        <v>2856174</v>
      </c>
      <c r="O123" s="7">
        <f>3128322+138954+710207</f>
        <v>3977483</v>
      </c>
      <c r="Q123" s="7">
        <v>1534889</v>
      </c>
      <c r="S123" s="7">
        <v>3287546</v>
      </c>
      <c r="U123" s="7">
        <v>63712</v>
      </c>
      <c r="W123" s="7">
        <v>0</v>
      </c>
      <c r="Y123" s="7">
        <v>0</v>
      </c>
      <c r="AA123" s="7">
        <v>0</v>
      </c>
      <c r="AB123" s="58"/>
      <c r="AC123" s="7">
        <v>0</v>
      </c>
      <c r="AE123" s="7">
        <v>0</v>
      </c>
      <c r="AG123" s="7">
        <f t="shared" si="8"/>
        <v>8863630</v>
      </c>
      <c r="AH123" s="7"/>
      <c r="AI123" s="7">
        <f t="shared" si="9"/>
        <v>11719804</v>
      </c>
    </row>
    <row r="124" spans="1:37" ht="12" customHeight="1">
      <c r="A124" s="11" t="s">
        <v>307</v>
      </c>
      <c r="B124" s="11"/>
      <c r="C124" s="11" t="s">
        <v>27</v>
      </c>
      <c r="D124" s="11"/>
      <c r="E124" s="29">
        <v>43802</v>
      </c>
      <c r="G124" s="7">
        <v>11699275</v>
      </c>
      <c r="I124" s="7">
        <v>175384891</v>
      </c>
      <c r="K124" s="7">
        <v>0</v>
      </c>
      <c r="M124" s="7">
        <f t="shared" si="5"/>
        <v>187084166</v>
      </c>
      <c r="O124" s="7">
        <f>344291087+31421888+3290050</f>
        <v>379003025</v>
      </c>
      <c r="Q124" s="7">
        <v>0</v>
      </c>
      <c r="S124" s="7">
        <v>325815707</v>
      </c>
      <c r="U124" s="7">
        <v>1549924</v>
      </c>
      <c r="W124" s="7">
        <v>38140408</v>
      </c>
      <c r="Y124" s="7">
        <v>500</v>
      </c>
      <c r="AA124" s="7">
        <v>7239141</v>
      </c>
      <c r="AB124" s="58"/>
      <c r="AC124" s="7">
        <v>0</v>
      </c>
      <c r="AE124" s="7">
        <v>0</v>
      </c>
      <c r="AG124" s="7">
        <f t="shared" si="8"/>
        <v>751748705</v>
      </c>
      <c r="AH124" s="7"/>
      <c r="AI124" s="7">
        <f t="shared" si="9"/>
        <v>938832871</v>
      </c>
    </row>
    <row r="125" spans="1:37" ht="12" hidden="1" customHeight="1">
      <c r="A125" s="11" t="s">
        <v>637</v>
      </c>
      <c r="B125" s="11"/>
      <c r="C125" s="11" t="s">
        <v>482</v>
      </c>
      <c r="D125" s="11"/>
      <c r="E125" s="29">
        <v>49312</v>
      </c>
      <c r="M125" s="7">
        <f t="shared" si="5"/>
        <v>0</v>
      </c>
      <c r="AB125" s="58"/>
      <c r="AC125" s="7">
        <v>0</v>
      </c>
      <c r="AE125" s="7">
        <v>0</v>
      </c>
      <c r="AG125" s="7">
        <f t="shared" si="8"/>
        <v>0</v>
      </c>
      <c r="AH125" s="7"/>
      <c r="AI125" s="7">
        <f t="shared" si="9"/>
        <v>0</v>
      </c>
      <c r="AK125" s="7" t="s">
        <v>778</v>
      </c>
    </row>
    <row r="126" spans="1:37" ht="12" customHeight="1">
      <c r="A126" s="11" t="s">
        <v>208</v>
      </c>
      <c r="B126" s="11"/>
      <c r="C126" s="11" t="s">
        <v>12</v>
      </c>
      <c r="D126" s="11"/>
      <c r="E126" s="29">
        <v>43810</v>
      </c>
      <c r="F126" s="6"/>
      <c r="G126" s="7">
        <v>416448</v>
      </c>
      <c r="I126" s="7">
        <v>5078035</v>
      </c>
      <c r="K126" s="7">
        <v>0</v>
      </c>
      <c r="M126" s="7">
        <f t="shared" si="5"/>
        <v>5494483</v>
      </c>
      <c r="O126" s="7">
        <f>3611629+532678+191794+63391</f>
        <v>4399492</v>
      </c>
      <c r="Q126" s="7">
        <v>0</v>
      </c>
      <c r="S126" s="7">
        <v>12702132</v>
      </c>
      <c r="U126" s="7">
        <v>11233</v>
      </c>
      <c r="W126" s="7">
        <v>0</v>
      </c>
      <c r="Y126" s="7">
        <v>0</v>
      </c>
      <c r="AA126" s="7">
        <v>135672</v>
      </c>
      <c r="AB126" s="58"/>
      <c r="AC126" s="7">
        <v>0</v>
      </c>
      <c r="AE126" s="7">
        <v>0</v>
      </c>
      <c r="AG126" s="7">
        <f t="shared" si="8"/>
        <v>17248529</v>
      </c>
      <c r="AH126" s="7"/>
      <c r="AI126" s="7">
        <f t="shared" si="9"/>
        <v>22743012</v>
      </c>
    </row>
    <row r="127" spans="1:37" ht="12" customHeight="1">
      <c r="A127" s="11" t="s">
        <v>351</v>
      </c>
      <c r="B127" s="11"/>
      <c r="C127" s="11" t="s">
        <v>352</v>
      </c>
      <c r="D127" s="11"/>
      <c r="E127" s="29">
        <v>47548</v>
      </c>
      <c r="G127" s="7">
        <v>535689</v>
      </c>
      <c r="I127" s="7">
        <v>1165601</v>
      </c>
      <c r="K127" s="7">
        <v>0</v>
      </c>
      <c r="M127" s="7">
        <f t="shared" si="5"/>
        <v>1701290</v>
      </c>
      <c r="O127" s="7">
        <f>2195980+120605</f>
        <v>2316585</v>
      </c>
      <c r="Q127" s="7">
        <v>0</v>
      </c>
      <c r="S127" s="7">
        <v>2467980</v>
      </c>
      <c r="U127" s="7">
        <v>1582</v>
      </c>
      <c r="W127" s="7">
        <v>0</v>
      </c>
      <c r="Y127" s="7">
        <v>0</v>
      </c>
      <c r="AA127" s="7">
        <v>4999</v>
      </c>
      <c r="AB127" s="58"/>
      <c r="AC127" s="7">
        <v>0</v>
      </c>
      <c r="AE127" s="7">
        <v>0</v>
      </c>
      <c r="AG127" s="7">
        <f t="shared" si="8"/>
        <v>4791146</v>
      </c>
      <c r="AH127" s="7"/>
      <c r="AI127" s="7">
        <f t="shared" si="9"/>
        <v>6492436</v>
      </c>
    </row>
    <row r="128" spans="1:37" ht="12" hidden="1" customHeight="1">
      <c r="A128" s="12" t="s">
        <v>709</v>
      </c>
      <c r="B128" s="11"/>
      <c r="C128" s="11" t="s">
        <v>482</v>
      </c>
      <c r="D128" s="11"/>
      <c r="E128" s="29">
        <v>49320</v>
      </c>
      <c r="M128" s="7">
        <f t="shared" si="5"/>
        <v>0</v>
      </c>
      <c r="AB128" s="58"/>
      <c r="AC128" s="7">
        <v>0</v>
      </c>
      <c r="AE128" s="7">
        <v>0</v>
      </c>
      <c r="AG128" s="7">
        <f t="shared" si="8"/>
        <v>0</v>
      </c>
      <c r="AH128" s="7"/>
      <c r="AI128" s="7">
        <f t="shared" si="9"/>
        <v>0</v>
      </c>
      <c r="AK128" s="7" t="s">
        <v>778</v>
      </c>
    </row>
    <row r="129" spans="1:37" ht="12" customHeight="1">
      <c r="A129" s="11" t="s">
        <v>524</v>
      </c>
      <c r="B129" s="11"/>
      <c r="C129" s="11" t="s">
        <v>63</v>
      </c>
      <c r="D129" s="11"/>
      <c r="E129" s="29">
        <v>49981</v>
      </c>
      <c r="G129" s="7">
        <v>1563884</v>
      </c>
      <c r="I129" s="7">
        <v>2391384</v>
      </c>
      <c r="K129" s="7">
        <v>20000</v>
      </c>
      <c r="M129" s="7">
        <f t="shared" si="5"/>
        <v>3975268</v>
      </c>
      <c r="O129" s="7">
        <f>23079430+1428005+428329</f>
        <v>24935764</v>
      </c>
      <c r="Q129" s="7">
        <v>0</v>
      </c>
      <c r="S129" s="7">
        <v>7760886</v>
      </c>
      <c r="U129" s="7">
        <v>24232</v>
      </c>
      <c r="W129" s="7">
        <v>0</v>
      </c>
      <c r="Y129" s="7">
        <v>0</v>
      </c>
      <c r="AA129" s="7">
        <f>2648+161237</f>
        <v>163885</v>
      </c>
      <c r="AB129" s="58"/>
      <c r="AC129" s="7">
        <v>0</v>
      </c>
      <c r="AE129" s="7">
        <v>0</v>
      </c>
      <c r="AG129" s="7">
        <f t="shared" si="8"/>
        <v>32884767</v>
      </c>
      <c r="AH129" s="7"/>
      <c r="AI129" s="7">
        <f t="shared" si="9"/>
        <v>36860035</v>
      </c>
    </row>
    <row r="130" spans="1:37" ht="12" customHeight="1">
      <c r="A130" s="11" t="s">
        <v>345</v>
      </c>
      <c r="B130" s="11"/>
      <c r="C130" s="11" t="s">
        <v>33</v>
      </c>
      <c r="D130" s="11"/>
      <c r="E130" s="29">
        <v>47431</v>
      </c>
      <c r="G130" s="7">
        <v>602094</v>
      </c>
      <c r="I130" s="7">
        <v>838759</v>
      </c>
      <c r="K130" s="7">
        <v>0</v>
      </c>
      <c r="M130" s="7">
        <f t="shared" si="5"/>
        <v>1440853</v>
      </c>
      <c r="O130" s="7">
        <f>1667167+34895+349946+81148</f>
        <v>2133156</v>
      </c>
      <c r="Q130" s="7">
        <v>1399371</v>
      </c>
      <c r="S130" s="7">
        <v>3228068</v>
      </c>
      <c r="U130" s="7">
        <v>43750</v>
      </c>
      <c r="W130" s="7">
        <v>6220</v>
      </c>
      <c r="Y130" s="7">
        <v>42726</v>
      </c>
      <c r="AA130" s="7">
        <v>9080</v>
      </c>
      <c r="AB130" s="58"/>
      <c r="AC130" s="7">
        <v>0</v>
      </c>
      <c r="AE130" s="7">
        <v>0</v>
      </c>
      <c r="AG130" s="7">
        <f t="shared" si="8"/>
        <v>6862371</v>
      </c>
      <c r="AH130" s="7"/>
      <c r="AI130" s="7">
        <f t="shared" si="9"/>
        <v>8303224</v>
      </c>
    </row>
    <row r="131" spans="1:37" ht="12" customHeight="1">
      <c r="A131" s="11" t="s">
        <v>259</v>
      </c>
      <c r="B131" s="11"/>
      <c r="C131" s="11" t="s">
        <v>19</v>
      </c>
      <c r="D131" s="11"/>
      <c r="E131" s="29">
        <v>43828</v>
      </c>
      <c r="G131" s="7">
        <v>1459195</v>
      </c>
      <c r="I131" s="7">
        <v>3476859</v>
      </c>
      <c r="K131" s="7">
        <v>16132558</v>
      </c>
      <c r="M131" s="7">
        <f t="shared" si="5"/>
        <v>21068612</v>
      </c>
      <c r="O131" s="7">
        <f>4516902+249014+171852</f>
        <v>4937768</v>
      </c>
      <c r="Q131" s="7">
        <v>0</v>
      </c>
      <c r="S131" s="7">
        <v>9770162</v>
      </c>
      <c r="U131" s="7">
        <v>139695</v>
      </c>
      <c r="W131" s="7">
        <v>0</v>
      </c>
      <c r="Y131" s="7">
        <v>0</v>
      </c>
      <c r="AA131" s="7">
        <v>173968</v>
      </c>
      <c r="AB131" s="58"/>
      <c r="AC131" s="7">
        <v>0</v>
      </c>
      <c r="AE131" s="7">
        <v>0</v>
      </c>
      <c r="AG131" s="7">
        <f t="shared" si="8"/>
        <v>15021593</v>
      </c>
      <c r="AH131" s="7"/>
      <c r="AI131" s="7">
        <f t="shared" si="9"/>
        <v>36090205</v>
      </c>
    </row>
    <row r="132" spans="1:37" ht="12" customHeight="1">
      <c r="A132" s="11" t="s">
        <v>629</v>
      </c>
      <c r="B132" s="11"/>
      <c r="C132" s="11" t="s">
        <v>63</v>
      </c>
      <c r="D132" s="11"/>
      <c r="E132" s="29"/>
      <c r="G132" s="7">
        <v>5197247</v>
      </c>
      <c r="I132" s="7">
        <v>2927868</v>
      </c>
      <c r="K132" s="7">
        <v>0</v>
      </c>
      <c r="M132" s="7">
        <f t="shared" si="5"/>
        <v>8125115</v>
      </c>
      <c r="O132" s="7">
        <f>9620810+339201</f>
        <v>9960011</v>
      </c>
      <c r="Q132" s="7">
        <v>0</v>
      </c>
      <c r="S132" s="7">
        <v>5989818</v>
      </c>
      <c r="U132" s="7">
        <v>0</v>
      </c>
      <c r="W132" s="7">
        <v>0</v>
      </c>
      <c r="Y132" s="7">
        <v>0</v>
      </c>
      <c r="AA132" s="7">
        <v>69894</v>
      </c>
      <c r="AB132" s="58"/>
      <c r="AC132" s="7">
        <v>0</v>
      </c>
      <c r="AE132" s="7">
        <v>0</v>
      </c>
      <c r="AG132" s="7">
        <f t="shared" si="8"/>
        <v>16019723</v>
      </c>
      <c r="AH132" s="7"/>
      <c r="AI132" s="7">
        <f t="shared" si="9"/>
        <v>24144838</v>
      </c>
    </row>
    <row r="133" spans="1:37" ht="12" customHeight="1">
      <c r="A133" s="12" t="s">
        <v>867</v>
      </c>
      <c r="B133" s="11"/>
      <c r="C133" s="11" t="s">
        <v>48</v>
      </c>
      <c r="D133" s="11"/>
      <c r="E133" s="29">
        <v>45336</v>
      </c>
      <c r="G133" s="7">
        <v>898694</v>
      </c>
      <c r="I133" s="7">
        <v>1410231</v>
      </c>
      <c r="K133" s="7">
        <v>0</v>
      </c>
      <c r="M133" s="7">
        <f t="shared" si="5"/>
        <v>2308925</v>
      </c>
      <c r="O133" s="7">
        <v>1819016</v>
      </c>
      <c r="Q133" s="7">
        <v>1607107</v>
      </c>
      <c r="S133" s="7">
        <v>3097082</v>
      </c>
      <c r="U133" s="7">
        <v>3958</v>
      </c>
      <c r="W133" s="7">
        <v>0</v>
      </c>
      <c r="Y133" s="7">
        <v>0</v>
      </c>
      <c r="AA133" s="7">
        <v>11824</v>
      </c>
      <c r="AB133" s="58"/>
      <c r="AC133" s="7">
        <v>0</v>
      </c>
      <c r="AE133" s="7">
        <v>0</v>
      </c>
      <c r="AG133" s="7">
        <f t="shared" si="8"/>
        <v>6538987</v>
      </c>
      <c r="AH133" s="7"/>
      <c r="AI133" s="7">
        <f t="shared" si="9"/>
        <v>8847912</v>
      </c>
    </row>
    <row r="134" spans="1:37" ht="12" hidden="1" customHeight="1">
      <c r="A134" s="12" t="s">
        <v>982</v>
      </c>
      <c r="B134" s="11"/>
      <c r="C134" s="11" t="s">
        <v>111</v>
      </c>
      <c r="D134" s="11"/>
      <c r="E134" s="29">
        <v>45344</v>
      </c>
      <c r="M134" s="7">
        <f t="shared" si="5"/>
        <v>0</v>
      </c>
      <c r="AB134" s="58"/>
      <c r="AC134" s="7">
        <v>0</v>
      </c>
      <c r="AE134" s="7">
        <v>0</v>
      </c>
      <c r="AG134" s="7">
        <f t="shared" si="8"/>
        <v>0</v>
      </c>
      <c r="AH134" s="7"/>
      <c r="AI134" s="7">
        <f t="shared" si="9"/>
        <v>0</v>
      </c>
      <c r="AK134" s="7" t="s">
        <v>903</v>
      </c>
    </row>
    <row r="135" spans="1:37" ht="12" customHeight="1">
      <c r="A135" s="11" t="s">
        <v>253</v>
      </c>
      <c r="B135" s="11"/>
      <c r="C135" s="11" t="s">
        <v>112</v>
      </c>
      <c r="D135" s="11"/>
      <c r="E135" s="29">
        <v>46433</v>
      </c>
      <c r="F135" s="6"/>
      <c r="G135" s="7">
        <v>2929057</v>
      </c>
      <c r="I135" s="7">
        <v>1239527</v>
      </c>
      <c r="K135" s="7">
        <v>0</v>
      </c>
      <c r="M135" s="7">
        <f t="shared" si="5"/>
        <v>4168584</v>
      </c>
      <c r="O135" s="7">
        <f>1820385+260133+356344+35054</f>
        <v>2471916</v>
      </c>
      <c r="Q135" s="7">
        <v>1072762</v>
      </c>
      <c r="S135" s="7">
        <v>4877528</v>
      </c>
      <c r="U135" s="7">
        <v>41671</v>
      </c>
      <c r="W135" s="7">
        <v>0</v>
      </c>
      <c r="Y135" s="7">
        <v>0</v>
      </c>
      <c r="AA135" s="7">
        <v>367227</v>
      </c>
      <c r="AB135" s="58"/>
      <c r="AC135" s="7">
        <v>0</v>
      </c>
      <c r="AE135" s="7">
        <v>69262</v>
      </c>
      <c r="AG135" s="7">
        <f t="shared" si="8"/>
        <v>8900366</v>
      </c>
      <c r="AH135" s="7"/>
      <c r="AI135" s="7">
        <f t="shared" si="9"/>
        <v>13068950</v>
      </c>
    </row>
    <row r="136" spans="1:37" ht="12" customHeight="1">
      <c r="A136" s="11" t="s">
        <v>253</v>
      </c>
      <c r="B136" s="11"/>
      <c r="C136" s="11" t="s">
        <v>110</v>
      </c>
      <c r="D136" s="11"/>
      <c r="E136" s="29">
        <v>49429</v>
      </c>
      <c r="G136" s="7">
        <v>551808</v>
      </c>
      <c r="I136" s="7">
        <v>2538267</v>
      </c>
      <c r="K136" s="7">
        <v>0</v>
      </c>
      <c r="M136" s="7">
        <f t="shared" si="5"/>
        <v>3090075</v>
      </c>
      <c r="O136" s="7">
        <f>2367568+42200+327407+257830</f>
        <v>2995005</v>
      </c>
      <c r="Q136" s="7">
        <v>0</v>
      </c>
      <c r="S136" s="7">
        <v>6532611</v>
      </c>
      <c r="U136" s="7">
        <v>127766</v>
      </c>
      <c r="W136" s="7">
        <v>0</v>
      </c>
      <c r="Y136" s="7">
        <v>0</v>
      </c>
      <c r="AA136" s="7">
        <v>0</v>
      </c>
      <c r="AB136" s="58"/>
      <c r="AC136" s="7">
        <v>0</v>
      </c>
      <c r="AE136" s="7">
        <v>0</v>
      </c>
      <c r="AG136" s="7">
        <f t="shared" si="8"/>
        <v>9655382</v>
      </c>
      <c r="AH136" s="7"/>
      <c r="AI136" s="7">
        <f t="shared" si="9"/>
        <v>12745457</v>
      </c>
    </row>
    <row r="137" spans="1:37" ht="12" hidden="1" customHeight="1">
      <c r="A137" s="12" t="s">
        <v>686</v>
      </c>
      <c r="B137" s="12"/>
      <c r="C137" s="12" t="s">
        <v>67</v>
      </c>
      <c r="D137" s="11"/>
      <c r="E137" s="29"/>
      <c r="M137" s="7">
        <f t="shared" si="5"/>
        <v>0</v>
      </c>
      <c r="AB137" s="58"/>
      <c r="AC137" s="7">
        <v>0</v>
      </c>
      <c r="AE137" s="7">
        <v>0</v>
      </c>
      <c r="AG137" s="7">
        <f t="shared" si="8"/>
        <v>0</v>
      </c>
      <c r="AH137" s="7"/>
      <c r="AI137" s="7">
        <f t="shared" si="9"/>
        <v>0</v>
      </c>
      <c r="AK137" s="7" t="s">
        <v>778</v>
      </c>
    </row>
    <row r="138" spans="1:37" ht="12" customHeight="1">
      <c r="A138" s="12" t="s">
        <v>758</v>
      </c>
      <c r="B138" s="11"/>
      <c r="C138" s="11" t="s">
        <v>56</v>
      </c>
      <c r="D138" s="11"/>
      <c r="E138" s="29">
        <v>49189</v>
      </c>
      <c r="G138" s="7">
        <v>1759714</v>
      </c>
      <c r="I138" s="7">
        <v>2298968</v>
      </c>
      <c r="K138" s="7">
        <v>101064</v>
      </c>
      <c r="M138" s="7">
        <f t="shared" si="5"/>
        <v>4159746</v>
      </c>
      <c r="O138" s="7">
        <f>4796233+489721+316124+93410</f>
        <v>5695488</v>
      </c>
      <c r="Q138" s="7">
        <v>0</v>
      </c>
      <c r="S138" s="7">
        <v>13008047</v>
      </c>
      <c r="U138" s="7">
        <v>17855</v>
      </c>
      <c r="W138" s="7">
        <v>0</v>
      </c>
      <c r="Y138" s="7">
        <v>0</v>
      </c>
      <c r="AA138" s="7">
        <v>254222</v>
      </c>
      <c r="AB138" s="58"/>
      <c r="AC138" s="7">
        <v>0</v>
      </c>
      <c r="AE138" s="7">
        <v>0</v>
      </c>
      <c r="AG138" s="7">
        <f t="shared" si="8"/>
        <v>18975612</v>
      </c>
      <c r="AH138" s="7"/>
      <c r="AI138" s="7">
        <f t="shared" si="9"/>
        <v>23135358</v>
      </c>
    </row>
    <row r="139" spans="1:37" ht="12" customHeight="1">
      <c r="A139" s="12" t="s">
        <v>868</v>
      </c>
      <c r="B139" s="11"/>
      <c r="C139" s="11" t="s">
        <v>466</v>
      </c>
      <c r="D139" s="11"/>
      <c r="E139" s="29"/>
      <c r="G139" s="7">
        <v>964841</v>
      </c>
      <c r="I139" s="7">
        <v>2840014</v>
      </c>
      <c r="K139" s="7">
        <v>0</v>
      </c>
      <c r="M139" s="7">
        <f t="shared" si="5"/>
        <v>3804855</v>
      </c>
      <c r="O139" s="7">
        <f>1098679+122030+18148</f>
        <v>1238857</v>
      </c>
      <c r="Q139" s="7">
        <v>0</v>
      </c>
      <c r="S139" s="7">
        <v>7243050</v>
      </c>
      <c r="U139" s="7">
        <v>15268</v>
      </c>
      <c r="W139" s="7">
        <v>0</v>
      </c>
      <c r="Y139" s="7">
        <v>0</v>
      </c>
      <c r="AA139" s="7">
        <v>110490</v>
      </c>
      <c r="AB139" s="58"/>
      <c r="AC139" s="7">
        <v>0</v>
      </c>
      <c r="AE139" s="7">
        <v>0</v>
      </c>
      <c r="AG139" s="7">
        <f t="shared" si="8"/>
        <v>8607665</v>
      </c>
      <c r="AH139" s="7"/>
      <c r="AI139" s="7">
        <f t="shared" si="9"/>
        <v>12412520</v>
      </c>
    </row>
    <row r="140" spans="1:37" ht="12" customHeight="1">
      <c r="A140" s="12" t="s">
        <v>687</v>
      </c>
      <c r="B140" s="11"/>
      <c r="C140" s="11" t="s">
        <v>63</v>
      </c>
      <c r="D140" s="11"/>
      <c r="E140" s="29">
        <v>43836</v>
      </c>
      <c r="G140" s="7">
        <v>4200177</v>
      </c>
      <c r="I140" s="7">
        <v>6485558</v>
      </c>
      <c r="K140" s="7">
        <v>0</v>
      </c>
      <c r="M140" s="7">
        <f t="shared" si="5"/>
        <v>10685735</v>
      </c>
      <c r="O140" s="7">
        <f>25726528+553274</f>
        <v>26279802</v>
      </c>
      <c r="Q140" s="7">
        <v>0</v>
      </c>
      <c r="S140" s="7">
        <v>16982777</v>
      </c>
      <c r="U140" s="7">
        <v>9405</v>
      </c>
      <c r="W140" s="7">
        <v>36420</v>
      </c>
      <c r="Y140" s="7">
        <v>0</v>
      </c>
      <c r="AA140" s="7">
        <v>21739</v>
      </c>
      <c r="AB140" s="58"/>
      <c r="AC140" s="7">
        <v>0</v>
      </c>
      <c r="AE140" s="7">
        <v>0</v>
      </c>
      <c r="AG140" s="7">
        <f t="shared" si="8"/>
        <v>43330143</v>
      </c>
      <c r="AH140" s="7"/>
      <c r="AI140" s="7">
        <f t="shared" si="9"/>
        <v>54015878</v>
      </c>
    </row>
    <row r="141" spans="1:37" ht="12" customHeight="1">
      <c r="A141" s="12" t="s">
        <v>759</v>
      </c>
      <c r="B141" s="11"/>
      <c r="C141" s="11" t="s">
        <v>20</v>
      </c>
      <c r="D141" s="11"/>
      <c r="E141" s="29">
        <v>46557</v>
      </c>
      <c r="G141" s="7">
        <v>1101970</v>
      </c>
      <c r="I141" s="7">
        <v>248126</v>
      </c>
      <c r="K141" s="7">
        <v>0</v>
      </c>
      <c r="M141" s="7">
        <f t="shared" si="5"/>
        <v>1350096</v>
      </c>
      <c r="O141" s="7">
        <f>7530648+340659+704114</f>
        <v>8575421</v>
      </c>
      <c r="Q141" s="7">
        <v>0</v>
      </c>
      <c r="S141" s="7">
        <v>5153058</v>
      </c>
      <c r="U141" s="7">
        <v>11745</v>
      </c>
      <c r="W141" s="7">
        <v>0</v>
      </c>
      <c r="Y141" s="7">
        <v>0</v>
      </c>
      <c r="AA141" s="7">
        <v>154473</v>
      </c>
      <c r="AB141" s="58"/>
      <c r="AC141" s="7">
        <v>0</v>
      </c>
      <c r="AE141" s="7">
        <v>0</v>
      </c>
      <c r="AG141" s="7">
        <f t="shared" si="8"/>
        <v>13894697</v>
      </c>
      <c r="AH141" s="7"/>
      <c r="AI141" s="7">
        <f t="shared" si="9"/>
        <v>15244793</v>
      </c>
      <c r="AK141" s="14"/>
    </row>
    <row r="142" spans="1:37" ht="12" customHeight="1">
      <c r="A142" s="11" t="s">
        <v>635</v>
      </c>
      <c r="B142" s="11"/>
      <c r="C142" s="11" t="s">
        <v>71</v>
      </c>
      <c r="D142" s="11"/>
      <c r="E142" s="29">
        <v>48934</v>
      </c>
      <c r="G142" s="7">
        <v>772037</v>
      </c>
      <c r="I142" s="7">
        <v>1549545</v>
      </c>
      <c r="K142" s="7">
        <v>0</v>
      </c>
      <c r="M142" s="7">
        <f t="shared" si="5"/>
        <v>2321582</v>
      </c>
      <c r="O142" s="7">
        <f>2534423+155674</f>
        <v>2690097</v>
      </c>
      <c r="Q142" s="7">
        <v>959203</v>
      </c>
      <c r="S142" s="7">
        <v>3492945</v>
      </c>
      <c r="U142" s="7">
        <v>2367</v>
      </c>
      <c r="W142" s="7">
        <v>0</v>
      </c>
      <c r="Y142" s="7">
        <v>0</v>
      </c>
      <c r="AA142" s="7">
        <v>54676</v>
      </c>
      <c r="AB142" s="58"/>
      <c r="AC142" s="7">
        <v>0</v>
      </c>
      <c r="AE142" s="7">
        <v>0</v>
      </c>
      <c r="AG142" s="7">
        <f t="shared" si="8"/>
        <v>7199288</v>
      </c>
      <c r="AH142" s="7"/>
      <c r="AI142" s="7">
        <f t="shared" si="9"/>
        <v>9520870</v>
      </c>
    </row>
    <row r="143" spans="1:37" ht="12" hidden="1" customHeight="1">
      <c r="A143" s="11" t="s">
        <v>838</v>
      </c>
      <c r="B143" s="11"/>
      <c r="C143" s="11" t="s">
        <v>53</v>
      </c>
      <c r="D143" s="11"/>
      <c r="E143" s="29">
        <v>48934</v>
      </c>
      <c r="M143" s="7">
        <f t="shared" si="5"/>
        <v>0</v>
      </c>
      <c r="AB143" s="58"/>
      <c r="AG143" s="7">
        <f t="shared" si="8"/>
        <v>0</v>
      </c>
      <c r="AH143" s="7"/>
      <c r="AI143" s="7">
        <f t="shared" si="9"/>
        <v>0</v>
      </c>
      <c r="AK143" s="7" t="s">
        <v>837</v>
      </c>
    </row>
    <row r="144" spans="1:37" ht="12" hidden="1" customHeight="1">
      <c r="A144" s="12" t="s">
        <v>688</v>
      </c>
      <c r="B144" s="11"/>
      <c r="C144" s="11" t="s">
        <v>40</v>
      </c>
      <c r="D144" s="11"/>
      <c r="E144" s="29">
        <v>47837</v>
      </c>
      <c r="M144" s="7">
        <f t="shared" si="5"/>
        <v>0</v>
      </c>
      <c r="AB144" s="58"/>
      <c r="AG144" s="7">
        <f t="shared" si="8"/>
        <v>0</v>
      </c>
      <c r="AH144" s="7"/>
      <c r="AI144" s="7">
        <f t="shared" si="9"/>
        <v>0</v>
      </c>
      <c r="AK144" s="7" t="s">
        <v>839</v>
      </c>
    </row>
    <row r="145" spans="1:37" ht="12" customHeight="1">
      <c r="A145" s="11" t="s">
        <v>378</v>
      </c>
      <c r="B145" s="11"/>
      <c r="C145" s="11" t="s">
        <v>377</v>
      </c>
      <c r="D145" s="11"/>
      <c r="E145" s="29">
        <v>47928</v>
      </c>
      <c r="G145" s="7">
        <v>1226490</v>
      </c>
      <c r="I145" s="7">
        <v>2688815</v>
      </c>
      <c r="K145" s="7">
        <v>50000</v>
      </c>
      <c r="M145" s="7">
        <f t="shared" si="5"/>
        <v>3965305</v>
      </c>
      <c r="O145" s="7">
        <f>1139359+112501+21969</f>
        <v>1273829</v>
      </c>
      <c r="Q145" s="7">
        <v>0</v>
      </c>
      <c r="S145" s="7">
        <v>8184790</v>
      </c>
      <c r="U145" s="7">
        <v>17662</v>
      </c>
      <c r="W145" s="7">
        <v>0</v>
      </c>
      <c r="Y145" s="7">
        <v>59250</v>
      </c>
      <c r="AA145" s="7">
        <f>9093+6058</f>
        <v>15151</v>
      </c>
      <c r="AB145" s="58"/>
      <c r="AC145" s="7">
        <v>0</v>
      </c>
      <c r="AE145" s="7">
        <v>0</v>
      </c>
      <c r="AG145" s="7">
        <f t="shared" si="8"/>
        <v>9550682</v>
      </c>
      <c r="AH145" s="7"/>
      <c r="AI145" s="7">
        <f t="shared" si="9"/>
        <v>13515987</v>
      </c>
    </row>
    <row r="146" spans="1:37" ht="12" customHeight="1">
      <c r="A146" s="11" t="s">
        <v>442</v>
      </c>
      <c r="B146" s="11"/>
      <c r="C146" s="11" t="s">
        <v>50</v>
      </c>
      <c r="D146" s="11"/>
      <c r="E146" s="29">
        <v>43844</v>
      </c>
      <c r="G146" s="7">
        <v>6049295</v>
      </c>
      <c r="I146" s="7">
        <v>29137438</v>
      </c>
      <c r="K146" s="7">
        <v>0</v>
      </c>
      <c r="M146" s="7">
        <f t="shared" si="5"/>
        <v>35186733</v>
      </c>
      <c r="O146" s="7">
        <f>74266805+14750041+773364+773364</f>
        <v>90563574</v>
      </c>
      <c r="Q146" s="7">
        <v>0</v>
      </c>
      <c r="S146" s="7">
        <v>160821538</v>
      </c>
      <c r="U146" s="7">
        <v>5801584</v>
      </c>
      <c r="W146" s="7">
        <v>0</v>
      </c>
      <c r="Y146" s="7">
        <v>0</v>
      </c>
      <c r="AA146" s="7">
        <v>5200287</v>
      </c>
      <c r="AB146" s="58"/>
      <c r="AC146" s="7">
        <v>0</v>
      </c>
      <c r="AE146" s="7">
        <v>0</v>
      </c>
      <c r="AG146" s="7">
        <f t="shared" si="8"/>
        <v>262386983</v>
      </c>
      <c r="AH146" s="7"/>
      <c r="AI146" s="7">
        <f>+AG146+M146</f>
        <v>297573716</v>
      </c>
      <c r="AK146" s="9" t="s">
        <v>844</v>
      </c>
    </row>
    <row r="147" spans="1:37" ht="12" customHeight="1">
      <c r="A147" s="12" t="s">
        <v>689</v>
      </c>
      <c r="B147" s="11"/>
      <c r="C147" s="11" t="s">
        <v>32</v>
      </c>
      <c r="D147" s="11"/>
      <c r="E147" s="29">
        <v>43851</v>
      </c>
      <c r="G147" s="7">
        <v>533412</v>
      </c>
      <c r="I147" s="7">
        <v>1660124</v>
      </c>
      <c r="K147" s="7">
        <v>0</v>
      </c>
      <c r="M147" s="7">
        <f t="shared" si="5"/>
        <v>2193536</v>
      </c>
      <c r="O147" s="7">
        <f>8352774+405998</f>
        <v>8758772</v>
      </c>
      <c r="Q147" s="7">
        <v>0</v>
      </c>
      <c r="S147" s="7">
        <v>4813054</v>
      </c>
      <c r="U147" s="7">
        <v>36681</v>
      </c>
      <c r="W147" s="7">
        <v>527321</v>
      </c>
      <c r="Y147" s="7">
        <v>20609</v>
      </c>
      <c r="AA147" s="7">
        <v>111474</v>
      </c>
      <c r="AB147" s="58"/>
      <c r="AC147" s="7">
        <v>0</v>
      </c>
      <c r="AE147" s="7">
        <v>0</v>
      </c>
      <c r="AG147" s="7">
        <f>SUM(O147:AE147)</f>
        <v>14267911</v>
      </c>
      <c r="AH147" s="7"/>
      <c r="AI147" s="7">
        <f>+AG147+M147</f>
        <v>16461447</v>
      </c>
    </row>
    <row r="148" spans="1:37" ht="12" hidden="1" customHeight="1">
      <c r="A148" s="12" t="s">
        <v>690</v>
      </c>
      <c r="B148" s="11"/>
      <c r="C148" s="11" t="s">
        <v>22</v>
      </c>
      <c r="D148" s="11"/>
      <c r="E148" s="29">
        <v>43869</v>
      </c>
      <c r="M148" s="7">
        <f t="shared" si="5"/>
        <v>0</v>
      </c>
      <c r="AB148" s="58"/>
      <c r="AG148" s="7">
        <f>SUM(O148:AE148)</f>
        <v>0</v>
      </c>
      <c r="AH148" s="7"/>
      <c r="AI148" s="7">
        <f>+AG148+M148</f>
        <v>0</v>
      </c>
      <c r="AK148" s="7" t="s">
        <v>839</v>
      </c>
    </row>
    <row r="149" spans="1:37" ht="12" customHeight="1">
      <c r="A149" s="12" t="s">
        <v>840</v>
      </c>
      <c r="B149" s="12"/>
      <c r="C149" s="12" t="s">
        <v>23</v>
      </c>
      <c r="D149" s="11"/>
      <c r="E149" s="29"/>
      <c r="G149" s="7">
        <v>2751379</v>
      </c>
      <c r="I149" s="7">
        <v>5288347</v>
      </c>
      <c r="K149" s="7">
        <v>0</v>
      </c>
      <c r="M149" s="7">
        <f t="shared" si="5"/>
        <v>8039726</v>
      </c>
      <c r="O149" s="7">
        <f>22881148+3013956+1769698</f>
        <v>27664802</v>
      </c>
      <c r="Q149" s="7">
        <v>0</v>
      </c>
      <c r="S149" s="7">
        <v>18094408</v>
      </c>
      <c r="U149" s="7">
        <v>18970</v>
      </c>
      <c r="W149" s="7">
        <v>0</v>
      </c>
      <c r="Y149" s="7">
        <v>0</v>
      </c>
      <c r="AA149" s="7">
        <v>450492</v>
      </c>
      <c r="AB149" s="58"/>
      <c r="AC149" s="7">
        <v>0</v>
      </c>
      <c r="AE149" s="7">
        <v>0</v>
      </c>
      <c r="AG149" s="7">
        <f t="shared" ref="AG149:AG150" si="10">SUM(O149:AE149)</f>
        <v>46228672</v>
      </c>
      <c r="AH149" s="7"/>
      <c r="AI149" s="7">
        <f t="shared" ref="AI149:AI151" si="11">+AG149+M149</f>
        <v>54268398</v>
      </c>
    </row>
    <row r="150" spans="1:37" s="7" customFormat="1" ht="12" customHeight="1">
      <c r="A150" s="12" t="s">
        <v>202</v>
      </c>
      <c r="B150" s="12"/>
      <c r="C150" s="12" t="s">
        <v>10</v>
      </c>
      <c r="D150" s="12"/>
      <c r="E150" s="29">
        <v>43885</v>
      </c>
      <c r="F150" s="10"/>
      <c r="G150" s="7">
        <v>1123015</v>
      </c>
      <c r="I150" s="7">
        <v>1894965</v>
      </c>
      <c r="K150" s="7">
        <v>13130</v>
      </c>
      <c r="M150" s="7">
        <f t="shared" ref="M150:M220" si="12">SUM(G150:L150)</f>
        <v>3031110</v>
      </c>
      <c r="O150" s="7">
        <f>3518006+194635</f>
        <v>3712641</v>
      </c>
      <c r="Q150" s="7">
        <v>0</v>
      </c>
      <c r="S150" s="7">
        <v>4095122</v>
      </c>
      <c r="U150" s="7">
        <v>21562</v>
      </c>
      <c r="W150" s="7">
        <v>38562</v>
      </c>
      <c r="Y150" s="7">
        <v>0</v>
      </c>
      <c r="AA150" s="7">
        <v>140909</v>
      </c>
      <c r="AB150" s="58"/>
      <c r="AC150" s="7">
        <v>0</v>
      </c>
      <c r="AE150" s="7">
        <v>0</v>
      </c>
      <c r="AG150" s="7">
        <f t="shared" si="10"/>
        <v>8008796</v>
      </c>
      <c r="AI150" s="7">
        <f t="shared" si="11"/>
        <v>11039906</v>
      </c>
    </row>
    <row r="151" spans="1:37" ht="12" customHeight="1">
      <c r="A151" s="11" t="s">
        <v>550</v>
      </c>
      <c r="B151" s="11"/>
      <c r="C151" s="11" t="s">
        <v>65</v>
      </c>
      <c r="D151" s="11"/>
      <c r="E151" s="29">
        <v>43893</v>
      </c>
      <c r="G151" s="7">
        <v>1028251</v>
      </c>
      <c r="I151" s="7">
        <v>2369268</v>
      </c>
      <c r="K151" s="7">
        <v>0</v>
      </c>
      <c r="M151" s="7">
        <f t="shared" si="12"/>
        <v>3397519</v>
      </c>
      <c r="O151" s="7">
        <f>10661395+534850+115066</f>
        <v>11311311</v>
      </c>
      <c r="Q151" s="7">
        <v>0</v>
      </c>
      <c r="S151" s="7">
        <v>10182262</v>
      </c>
      <c r="U151" s="7">
        <v>6703</v>
      </c>
      <c r="W151" s="7">
        <v>0</v>
      </c>
      <c r="Y151" s="7">
        <v>0</v>
      </c>
      <c r="AA151" s="7">
        <v>88854</v>
      </c>
      <c r="AB151" s="58"/>
      <c r="AC151" s="7">
        <v>0</v>
      </c>
      <c r="AE151" s="7">
        <v>0</v>
      </c>
      <c r="AG151" s="7">
        <f t="shared" ref="AG151:AG220" si="13">SUM(O151:AE151)</f>
        <v>21589130</v>
      </c>
      <c r="AH151" s="7"/>
      <c r="AI151" s="7">
        <f t="shared" si="11"/>
        <v>24986649</v>
      </c>
      <c r="AJ151" s="9" t="s">
        <v>129</v>
      </c>
    </row>
    <row r="152" spans="1:37" s="7" customFormat="1" ht="12" customHeight="1">
      <c r="A152" s="12" t="s">
        <v>308</v>
      </c>
      <c r="B152" s="12"/>
      <c r="C152" s="12" t="s">
        <v>27</v>
      </c>
      <c r="D152" s="12"/>
      <c r="E152" s="29">
        <v>47027</v>
      </c>
      <c r="G152" s="7">
        <v>7049037</v>
      </c>
      <c r="I152" s="7">
        <v>7844066</v>
      </c>
      <c r="K152" s="7">
        <v>0</v>
      </c>
      <c r="M152" s="7">
        <f t="shared" si="12"/>
        <v>14893103</v>
      </c>
      <c r="O152" s="7">
        <f>130723369+19535756</f>
        <v>150259125</v>
      </c>
      <c r="Q152" s="7">
        <v>0</v>
      </c>
      <c r="S152" s="7">
        <v>36235646</v>
      </c>
      <c r="U152" s="7">
        <f>956753+525</f>
        <v>957278</v>
      </c>
      <c r="W152" s="7">
        <v>0</v>
      </c>
      <c r="Y152" s="7">
        <v>0</v>
      </c>
      <c r="AA152" s="7">
        <v>899520</v>
      </c>
      <c r="AB152" s="58"/>
      <c r="AC152" s="7">
        <v>0</v>
      </c>
      <c r="AE152" s="7">
        <v>0</v>
      </c>
      <c r="AG152" s="7">
        <f t="shared" si="13"/>
        <v>188351569</v>
      </c>
      <c r="AI152" s="7">
        <f t="shared" ref="AI152:AI220" si="14">+AG152+M152</f>
        <v>203244672</v>
      </c>
    </row>
    <row r="153" spans="1:37" ht="12" customHeight="1">
      <c r="A153" s="12" t="s">
        <v>272</v>
      </c>
      <c r="B153" s="11"/>
      <c r="C153" s="11" t="s">
        <v>20</v>
      </c>
      <c r="D153" s="11"/>
      <c r="E153" s="29">
        <v>43901</v>
      </c>
      <c r="G153" s="7">
        <v>4345711</v>
      </c>
      <c r="I153" s="7">
        <v>15761470</v>
      </c>
      <c r="K153" s="7">
        <v>0</v>
      </c>
      <c r="M153" s="7">
        <f t="shared" si="12"/>
        <v>20107181</v>
      </c>
      <c r="O153" s="7">
        <f>6284005+638598+59473</f>
        <v>6982076</v>
      </c>
      <c r="Q153" s="7">
        <v>0</v>
      </c>
      <c r="S153" s="7">
        <v>35210970</v>
      </c>
      <c r="U153" s="7">
        <v>299320</v>
      </c>
      <c r="W153" s="7">
        <v>0</v>
      </c>
      <c r="Y153" s="7">
        <v>10682</v>
      </c>
      <c r="AA153" s="7">
        <v>980573</v>
      </c>
      <c r="AB153" s="58"/>
      <c r="AC153" s="7">
        <v>0</v>
      </c>
      <c r="AE153" s="7">
        <v>0</v>
      </c>
      <c r="AG153" s="7">
        <f t="shared" si="13"/>
        <v>43483621</v>
      </c>
      <c r="AH153" s="7"/>
      <c r="AI153" s="7">
        <f t="shared" si="14"/>
        <v>63590802</v>
      </c>
      <c r="AK153" s="7" t="s">
        <v>843</v>
      </c>
    </row>
    <row r="154" spans="1:37" ht="12" customHeight="1">
      <c r="A154" s="11" t="s">
        <v>250</v>
      </c>
      <c r="B154" s="11"/>
      <c r="C154" s="11" t="s">
        <v>18</v>
      </c>
      <c r="D154" s="11"/>
      <c r="E154" s="29">
        <v>46409</v>
      </c>
      <c r="F154" s="6"/>
      <c r="G154" s="7">
        <v>945642</v>
      </c>
      <c r="I154" s="7">
        <v>2364651</v>
      </c>
      <c r="K154" s="7">
        <v>116328</v>
      </c>
      <c r="M154" s="7">
        <f t="shared" si="12"/>
        <v>3426621</v>
      </c>
      <c r="O154" s="7">
        <f>2369691+243973+295234+48082</f>
        <v>2956980</v>
      </c>
      <c r="Q154" s="7">
        <v>0</v>
      </c>
      <c r="S154" s="7">
        <v>7952897</v>
      </c>
      <c r="U154" s="7">
        <v>60791</v>
      </c>
      <c r="W154" s="7">
        <v>0</v>
      </c>
      <c r="Y154" s="7">
        <v>0</v>
      </c>
      <c r="AA154" s="7">
        <v>76739</v>
      </c>
      <c r="AB154" s="58"/>
      <c r="AC154" s="7">
        <v>0</v>
      </c>
      <c r="AE154" s="7">
        <v>629</v>
      </c>
      <c r="AG154" s="7">
        <f t="shared" si="13"/>
        <v>11048036</v>
      </c>
      <c r="AH154" s="7"/>
      <c r="AI154" s="7">
        <f t="shared" si="14"/>
        <v>14474657</v>
      </c>
    </row>
    <row r="155" spans="1:37" ht="12.75" customHeight="1">
      <c r="A155" s="11" t="s">
        <v>328</v>
      </c>
      <c r="B155" s="11"/>
      <c r="C155" s="11" t="s">
        <v>31</v>
      </c>
      <c r="D155" s="11"/>
      <c r="E155" s="29">
        <v>69682</v>
      </c>
      <c r="G155" s="7">
        <v>1338605</v>
      </c>
      <c r="I155" s="7">
        <v>1947461</v>
      </c>
      <c r="K155" s="7">
        <v>0</v>
      </c>
      <c r="M155" s="7">
        <f t="shared" si="12"/>
        <v>3286066</v>
      </c>
      <c r="O155" s="7">
        <f>2193178+684552+36355</f>
        <v>2914085</v>
      </c>
      <c r="Q155" s="7">
        <v>0</v>
      </c>
      <c r="S155" s="7">
        <v>6662321</v>
      </c>
      <c r="U155" s="7">
        <v>30279</v>
      </c>
      <c r="W155" s="7">
        <v>0</v>
      </c>
      <c r="Y155" s="7">
        <v>48337</v>
      </c>
      <c r="AA155" s="7">
        <v>75369</v>
      </c>
      <c r="AB155" s="58"/>
      <c r="AC155" s="7">
        <v>0</v>
      </c>
      <c r="AE155" s="7">
        <v>0</v>
      </c>
      <c r="AG155" s="7">
        <f t="shared" si="13"/>
        <v>9730391</v>
      </c>
      <c r="AH155" s="7"/>
      <c r="AI155" s="7">
        <f t="shared" si="14"/>
        <v>13016457</v>
      </c>
      <c r="AK155" s="7"/>
    </row>
    <row r="156" spans="1:37" ht="12" customHeight="1">
      <c r="A156" s="11" t="s">
        <v>363</v>
      </c>
      <c r="B156" s="11"/>
      <c r="C156" s="11" t="s">
        <v>36</v>
      </c>
      <c r="D156" s="11"/>
      <c r="E156" s="29">
        <v>47688</v>
      </c>
      <c r="G156" s="7">
        <v>1548506</v>
      </c>
      <c r="I156" s="7">
        <v>2754940</v>
      </c>
      <c r="K156" s="7">
        <v>0</v>
      </c>
      <c r="M156" s="7">
        <f t="shared" si="12"/>
        <v>4303446</v>
      </c>
      <c r="O156" s="7">
        <f>7666581+249551+329134</f>
        <v>8245266</v>
      </c>
      <c r="Q156" s="7">
        <v>0</v>
      </c>
      <c r="S156" s="7">
        <v>7004684</v>
      </c>
      <c r="U156" s="7">
        <v>71069</v>
      </c>
      <c r="W156" s="7">
        <v>0</v>
      </c>
      <c r="Y156" s="7">
        <v>0</v>
      </c>
      <c r="AA156" s="7">
        <v>74318</v>
      </c>
      <c r="AB156" s="58"/>
      <c r="AC156" s="7">
        <v>0</v>
      </c>
      <c r="AE156" s="7">
        <v>0</v>
      </c>
      <c r="AG156" s="7">
        <f t="shared" si="13"/>
        <v>15395337</v>
      </c>
      <c r="AH156" s="7"/>
      <c r="AI156" s="7">
        <f t="shared" si="14"/>
        <v>19698783</v>
      </c>
      <c r="AK156" s="7" t="s">
        <v>843</v>
      </c>
    </row>
    <row r="157" spans="1:37" ht="12" hidden="1" customHeight="1">
      <c r="A157" s="12" t="s">
        <v>691</v>
      </c>
      <c r="B157" s="12"/>
      <c r="C157" s="12" t="s">
        <v>40</v>
      </c>
      <c r="D157" s="11"/>
      <c r="E157" s="29"/>
      <c r="M157" s="7">
        <f t="shared" si="12"/>
        <v>0</v>
      </c>
      <c r="AB157" s="58"/>
      <c r="AG157" s="7">
        <f t="shared" si="13"/>
        <v>0</v>
      </c>
      <c r="AH157" s="7"/>
      <c r="AI157" s="7">
        <f t="shared" si="14"/>
        <v>0</v>
      </c>
      <c r="AK157" s="7" t="s">
        <v>839</v>
      </c>
    </row>
    <row r="158" spans="1:37" ht="12" customHeight="1">
      <c r="A158" s="11" t="s">
        <v>254</v>
      </c>
      <c r="B158" s="11"/>
      <c r="C158" s="11" t="s">
        <v>112</v>
      </c>
      <c r="D158" s="11"/>
      <c r="E158" s="29">
        <v>43919</v>
      </c>
      <c r="F158" s="6"/>
      <c r="G158" s="7">
        <v>1164517</v>
      </c>
      <c r="I158" s="7">
        <v>6804000</v>
      </c>
      <c r="K158" s="7">
        <v>0</v>
      </c>
      <c r="M158" s="7">
        <f t="shared" si="12"/>
        <v>7968517</v>
      </c>
      <c r="O158" s="7">
        <f>3557767+227508+58328</f>
        <v>3843603</v>
      </c>
      <c r="Q158" s="7">
        <v>0</v>
      </c>
      <c r="S158" s="7">
        <v>17661082</v>
      </c>
      <c r="U158" s="7">
        <v>50070</v>
      </c>
      <c r="W158" s="7">
        <v>0</v>
      </c>
      <c r="Y158" s="7">
        <v>0</v>
      </c>
      <c r="AA158" s="7">
        <v>97112</v>
      </c>
      <c r="AB158" s="58"/>
      <c r="AC158" s="7">
        <v>0</v>
      </c>
      <c r="AE158" s="7">
        <v>0</v>
      </c>
      <c r="AG158" s="7">
        <f t="shared" si="13"/>
        <v>21651867</v>
      </c>
      <c r="AH158" s="7"/>
      <c r="AI158" s="7">
        <f t="shared" si="14"/>
        <v>29620384</v>
      </c>
    </row>
    <row r="159" spans="1:37" ht="12" customHeight="1">
      <c r="A159" s="11" t="s">
        <v>456</v>
      </c>
      <c r="B159" s="11"/>
      <c r="C159" s="11" t="s">
        <v>51</v>
      </c>
      <c r="D159" s="11"/>
      <c r="E159" s="29">
        <v>48835</v>
      </c>
      <c r="G159" s="7">
        <v>2094836</v>
      </c>
      <c r="I159" s="7">
        <v>2103180</v>
      </c>
      <c r="K159" s="7">
        <v>82647</v>
      </c>
      <c r="M159" s="7">
        <f t="shared" si="12"/>
        <v>4280663</v>
      </c>
      <c r="O159" s="7">
        <f>5417384+547289+520849+99518</f>
        <v>6585040</v>
      </c>
      <c r="Q159" s="7">
        <v>0</v>
      </c>
      <c r="S159" s="7">
        <v>10105974</v>
      </c>
      <c r="U159" s="7">
        <v>78290</v>
      </c>
      <c r="W159" s="7">
        <v>80563</v>
      </c>
      <c r="Y159" s="7">
        <v>0</v>
      </c>
      <c r="AA159" s="7">
        <v>102917</v>
      </c>
      <c r="AB159" s="58"/>
      <c r="AC159" s="7">
        <v>0</v>
      </c>
      <c r="AE159" s="7">
        <v>0</v>
      </c>
      <c r="AG159" s="7">
        <f t="shared" si="13"/>
        <v>16952784</v>
      </c>
      <c r="AH159" s="7"/>
      <c r="AI159" s="7">
        <f t="shared" si="14"/>
        <v>21233447</v>
      </c>
    </row>
    <row r="160" spans="1:37" ht="12" customHeight="1">
      <c r="A160" s="11" t="s">
        <v>255</v>
      </c>
      <c r="B160" s="11"/>
      <c r="C160" s="11" t="s">
        <v>112</v>
      </c>
      <c r="D160" s="11"/>
      <c r="E160" s="29">
        <v>43927</v>
      </c>
      <c r="F160" s="6"/>
      <c r="G160" s="7">
        <v>724093</v>
      </c>
      <c r="I160" s="7">
        <v>2024566</v>
      </c>
      <c r="K160" s="7">
        <v>108560</v>
      </c>
      <c r="M160" s="7">
        <f t="shared" si="12"/>
        <v>2857219</v>
      </c>
      <c r="O160" s="7">
        <f>2217106+106576+512514+43192</f>
        <v>2879388</v>
      </c>
      <c r="Q160" s="7">
        <v>0</v>
      </c>
      <c r="S160" s="7">
        <v>7603008</v>
      </c>
      <c r="U160" s="7">
        <v>0</v>
      </c>
      <c r="W160" s="7">
        <v>0</v>
      </c>
      <c r="Y160" s="7">
        <v>0</v>
      </c>
      <c r="AA160" s="7">
        <v>31325</v>
      </c>
      <c r="AB160" s="58"/>
      <c r="AC160" s="7">
        <v>0</v>
      </c>
      <c r="AE160" s="7">
        <v>0</v>
      </c>
      <c r="AG160" s="7">
        <f t="shared" si="13"/>
        <v>10513721</v>
      </c>
      <c r="AH160" s="7"/>
      <c r="AI160" s="7">
        <f t="shared" si="14"/>
        <v>13370940</v>
      </c>
    </row>
    <row r="161" spans="1:37" ht="12" customHeight="1">
      <c r="A161" s="11" t="s">
        <v>220</v>
      </c>
      <c r="B161" s="11"/>
      <c r="C161" s="11" t="s">
        <v>77</v>
      </c>
      <c r="D161" s="11"/>
      <c r="E161" s="29">
        <v>46037</v>
      </c>
      <c r="F161" s="6"/>
      <c r="G161" s="7">
        <v>1035436</v>
      </c>
      <c r="I161" s="7">
        <v>2266559</v>
      </c>
      <c r="K161" s="7">
        <v>0</v>
      </c>
      <c r="M161" s="7">
        <f t="shared" si="12"/>
        <v>3301995</v>
      </c>
      <c r="O161" s="7">
        <f>3139112+57542+732274+146459</f>
        <v>4075387</v>
      </c>
      <c r="Q161" s="7">
        <v>0</v>
      </c>
      <c r="S161" s="7">
        <f>7338385+787117</f>
        <v>8125502</v>
      </c>
      <c r="U161" s="7">
        <v>6301</v>
      </c>
      <c r="W161" s="7">
        <v>53380</v>
      </c>
      <c r="Y161" s="7">
        <v>19538</v>
      </c>
      <c r="AA161" s="7">
        <v>80021</v>
      </c>
      <c r="AB161" s="58"/>
      <c r="AC161" s="7">
        <v>0</v>
      </c>
      <c r="AE161" s="7">
        <v>0</v>
      </c>
      <c r="AG161" s="7">
        <f t="shared" si="13"/>
        <v>12360129</v>
      </c>
      <c r="AH161" s="7"/>
      <c r="AI161" s="7">
        <f t="shared" si="14"/>
        <v>15662124</v>
      </c>
    </row>
    <row r="162" spans="1:37" ht="12" customHeight="1">
      <c r="A162" s="11" t="s">
        <v>220</v>
      </c>
      <c r="B162" s="11"/>
      <c r="C162" s="11" t="s">
        <v>433</v>
      </c>
      <c r="D162" s="11"/>
      <c r="E162" s="29">
        <v>48512</v>
      </c>
      <c r="F162" s="6"/>
      <c r="G162" s="7">
        <v>847709</v>
      </c>
      <c r="I162" s="7">
        <v>5241188</v>
      </c>
      <c r="K162" s="7">
        <v>0</v>
      </c>
      <c r="M162" s="7">
        <f t="shared" si="12"/>
        <v>6088897</v>
      </c>
      <c r="O162" s="7">
        <f>1186499+130479+21070</f>
        <v>1338048</v>
      </c>
      <c r="Q162" s="7">
        <v>0</v>
      </c>
      <c r="S162" s="7">
        <v>1369357</v>
      </c>
      <c r="U162" s="7">
        <v>9403</v>
      </c>
      <c r="W162" s="7">
        <v>0</v>
      </c>
      <c r="Y162" s="7">
        <v>0</v>
      </c>
      <c r="AA162" s="7">
        <v>53516</v>
      </c>
      <c r="AB162" s="58"/>
      <c r="AC162" s="7">
        <v>0</v>
      </c>
      <c r="AE162" s="7">
        <v>0</v>
      </c>
      <c r="AG162" s="7">
        <f t="shared" si="13"/>
        <v>2770324</v>
      </c>
      <c r="AH162" s="7"/>
      <c r="AI162" s="7">
        <f t="shared" si="14"/>
        <v>8859221</v>
      </c>
    </row>
    <row r="163" spans="1:37" ht="12" hidden="1" customHeight="1">
      <c r="A163" s="12" t="s">
        <v>692</v>
      </c>
      <c r="B163" s="11"/>
      <c r="C163" s="11" t="s">
        <v>55</v>
      </c>
      <c r="D163" s="11"/>
      <c r="E163" s="29">
        <v>49122</v>
      </c>
      <c r="M163" s="7">
        <f t="shared" si="12"/>
        <v>0</v>
      </c>
      <c r="AB163" s="58"/>
      <c r="AG163" s="7">
        <f t="shared" si="13"/>
        <v>0</v>
      </c>
      <c r="AH163" s="7"/>
      <c r="AI163" s="7">
        <f t="shared" si="14"/>
        <v>0</v>
      </c>
      <c r="AK163" s="7" t="s">
        <v>839</v>
      </c>
    </row>
    <row r="164" spans="1:37" ht="12" customHeight="1">
      <c r="A164" s="11" t="s">
        <v>573</v>
      </c>
      <c r="B164" s="11"/>
      <c r="C164" s="11" t="s">
        <v>72</v>
      </c>
      <c r="D164" s="11"/>
      <c r="E164" s="29">
        <v>50674</v>
      </c>
      <c r="G164" s="7">
        <v>1332442</v>
      </c>
      <c r="I164" s="7">
        <v>1565317</v>
      </c>
      <c r="K164" s="7">
        <v>0</v>
      </c>
      <c r="M164" s="7">
        <f t="shared" si="12"/>
        <v>2897759</v>
      </c>
      <c r="O164" s="7">
        <f>4882436+250951+238360</f>
        <v>5371747</v>
      </c>
      <c r="Q164" s="7">
        <v>1721819</v>
      </c>
      <c r="S164" s="7">
        <v>7208622</v>
      </c>
      <c r="U164" s="7">
        <v>125899</v>
      </c>
      <c r="W164" s="7">
        <v>480000</v>
      </c>
      <c r="Y164" s="7">
        <v>0</v>
      </c>
      <c r="AA164" s="7">
        <v>6610</v>
      </c>
      <c r="AB164" s="58"/>
      <c r="AC164" s="7">
        <v>0</v>
      </c>
      <c r="AE164" s="7">
        <v>0</v>
      </c>
      <c r="AG164" s="7">
        <f t="shared" si="13"/>
        <v>14914697</v>
      </c>
      <c r="AH164" s="7"/>
      <c r="AI164" s="7">
        <f t="shared" si="14"/>
        <v>17812456</v>
      </c>
      <c r="AK164" s="7" t="s">
        <v>845</v>
      </c>
    </row>
    <row r="165" spans="1:37" ht="12" customHeight="1">
      <c r="A165" s="11" t="s">
        <v>712</v>
      </c>
      <c r="B165" s="11"/>
      <c r="C165" s="11" t="s">
        <v>57</v>
      </c>
      <c r="D165" s="11"/>
      <c r="E165" s="29">
        <v>43935</v>
      </c>
      <c r="G165" s="7">
        <v>1123356</v>
      </c>
      <c r="I165" s="7">
        <v>2345270</v>
      </c>
      <c r="K165" s="7">
        <v>22850046</v>
      </c>
      <c r="M165" s="7">
        <f t="shared" si="12"/>
        <v>26318672</v>
      </c>
      <c r="O165" s="7">
        <f>5295750+95639+1996259</f>
        <v>7387648</v>
      </c>
      <c r="Q165" s="7">
        <v>3710036</v>
      </c>
      <c r="S165" s="7">
        <v>9387010</v>
      </c>
      <c r="U165" s="7">
        <v>96056</v>
      </c>
      <c r="W165" s="7">
        <v>0</v>
      </c>
      <c r="Y165" s="7">
        <v>0</v>
      </c>
      <c r="AA165" s="7">
        <v>105527</v>
      </c>
      <c r="AB165" s="58"/>
      <c r="AC165" s="7">
        <v>0</v>
      </c>
      <c r="AE165" s="7">
        <v>0</v>
      </c>
      <c r="AG165" s="7">
        <f t="shared" si="13"/>
        <v>20686277</v>
      </c>
      <c r="AH165" s="7"/>
      <c r="AI165" s="7">
        <f t="shared" si="14"/>
        <v>47004949</v>
      </c>
      <c r="AK165" s="7" t="s">
        <v>846</v>
      </c>
    </row>
    <row r="166" spans="1:37" ht="12" hidden="1" customHeight="1">
      <c r="A166" s="11" t="s">
        <v>693</v>
      </c>
      <c r="B166" s="11"/>
      <c r="C166" s="11" t="s">
        <v>570</v>
      </c>
      <c r="D166" s="11"/>
      <c r="E166" s="29">
        <v>50617</v>
      </c>
      <c r="M166" s="7">
        <f t="shared" si="12"/>
        <v>0</v>
      </c>
      <c r="AB166" s="58"/>
      <c r="AG166" s="7">
        <f t="shared" si="13"/>
        <v>0</v>
      </c>
      <c r="AH166" s="7"/>
      <c r="AI166" s="7">
        <f t="shared" si="14"/>
        <v>0</v>
      </c>
      <c r="AK166" s="7" t="s">
        <v>839</v>
      </c>
    </row>
    <row r="167" spans="1:37" ht="12" customHeight="1">
      <c r="A167" s="11" t="s">
        <v>694</v>
      </c>
      <c r="B167" s="11"/>
      <c r="C167" s="11" t="s">
        <v>223</v>
      </c>
      <c r="D167" s="11"/>
      <c r="E167" s="29">
        <v>46094</v>
      </c>
      <c r="F167" s="6"/>
      <c r="G167" s="7">
        <v>1714759</v>
      </c>
      <c r="I167" s="7">
        <v>6510094</v>
      </c>
      <c r="K167" s="7">
        <v>27200</v>
      </c>
      <c r="M167" s="7">
        <f t="shared" si="12"/>
        <v>8252053</v>
      </c>
      <c r="O167" s="7">
        <f>10681347+2394468+825916</f>
        <v>13901731</v>
      </c>
      <c r="Q167" s="7">
        <v>686505</v>
      </c>
      <c r="S167" s="7">
        <v>15756331</v>
      </c>
      <c r="U167" s="7">
        <v>80386</v>
      </c>
      <c r="W167" s="7">
        <v>0</v>
      </c>
      <c r="Y167" s="7">
        <v>0</v>
      </c>
      <c r="AA167" s="7">
        <v>62594</v>
      </c>
      <c r="AB167" s="58"/>
      <c r="AC167" s="7">
        <v>0</v>
      </c>
      <c r="AE167" s="7">
        <v>0</v>
      </c>
      <c r="AG167" s="7">
        <f t="shared" si="13"/>
        <v>30487547</v>
      </c>
      <c r="AH167" s="7"/>
      <c r="AI167" s="7">
        <f t="shared" si="14"/>
        <v>38739600</v>
      </c>
    </row>
    <row r="168" spans="1:37" ht="12" customHeight="1">
      <c r="A168" s="11" t="s">
        <v>372</v>
      </c>
      <c r="B168" s="11"/>
      <c r="C168" s="11" t="s">
        <v>39</v>
      </c>
      <c r="D168" s="11"/>
      <c r="E168" s="29">
        <v>47795</v>
      </c>
      <c r="G168" s="7">
        <v>1300798</v>
      </c>
      <c r="I168" s="7">
        <v>3840498</v>
      </c>
      <c r="K168" s="7">
        <v>0</v>
      </c>
      <c r="M168" s="7">
        <f t="shared" si="12"/>
        <v>5141296</v>
      </c>
      <c r="O168" s="7">
        <v>7471048</v>
      </c>
      <c r="Q168" s="7">
        <v>0</v>
      </c>
      <c r="S168" s="7">
        <v>8490097</v>
      </c>
      <c r="U168" s="7">
        <v>2477</v>
      </c>
      <c r="W168" s="7">
        <v>0</v>
      </c>
      <c r="Y168" s="7">
        <v>0</v>
      </c>
      <c r="AA168" s="7">
        <v>117319</v>
      </c>
      <c r="AB168" s="58"/>
      <c r="AC168" s="7">
        <v>0</v>
      </c>
      <c r="AE168" s="7">
        <v>0</v>
      </c>
      <c r="AG168" s="7">
        <f t="shared" si="13"/>
        <v>16080941</v>
      </c>
      <c r="AH168" s="7"/>
      <c r="AI168" s="7">
        <f t="shared" si="14"/>
        <v>21222237</v>
      </c>
    </row>
    <row r="169" spans="1:37" ht="12" hidden="1" customHeight="1">
      <c r="A169" s="11" t="s">
        <v>847</v>
      </c>
      <c r="B169" s="11"/>
      <c r="C169" s="11" t="s">
        <v>570</v>
      </c>
      <c r="D169" s="11"/>
      <c r="E169" s="29">
        <v>50625</v>
      </c>
      <c r="M169" s="7">
        <f t="shared" si="12"/>
        <v>0</v>
      </c>
      <c r="AB169" s="58"/>
      <c r="AG169" s="7">
        <f t="shared" si="13"/>
        <v>0</v>
      </c>
      <c r="AH169" s="7"/>
      <c r="AI169" s="7">
        <f t="shared" si="14"/>
        <v>0</v>
      </c>
      <c r="AK169" s="7" t="s">
        <v>837</v>
      </c>
    </row>
    <row r="170" spans="1:37" ht="12" hidden="1" customHeight="1">
      <c r="A170" s="12" t="s">
        <v>695</v>
      </c>
      <c r="B170" s="12"/>
      <c r="C170" s="12" t="s">
        <v>10</v>
      </c>
      <c r="D170" s="11"/>
      <c r="E170" s="29"/>
      <c r="M170" s="7">
        <f t="shared" si="12"/>
        <v>0</v>
      </c>
      <c r="AB170" s="58"/>
      <c r="AG170" s="7">
        <f t="shared" si="13"/>
        <v>0</v>
      </c>
      <c r="AH170" s="7"/>
      <c r="AI170" s="7">
        <f t="shared" si="14"/>
        <v>0</v>
      </c>
      <c r="AK170" s="7" t="s">
        <v>839</v>
      </c>
    </row>
    <row r="171" spans="1:37" ht="12" customHeight="1">
      <c r="A171" s="11" t="s">
        <v>713</v>
      </c>
      <c r="B171" s="11"/>
      <c r="C171" s="11" t="s">
        <v>46</v>
      </c>
      <c r="D171" s="11"/>
      <c r="E171" s="29">
        <v>48413</v>
      </c>
      <c r="G171" s="7">
        <v>1718790</v>
      </c>
      <c r="I171" s="7">
        <v>2093471</v>
      </c>
      <c r="K171" s="7">
        <v>9100</v>
      </c>
      <c r="M171" s="7">
        <f t="shared" si="12"/>
        <v>3821361</v>
      </c>
      <c r="O171" s="7">
        <f>3449130+101983+909348+49741</f>
        <v>4510202</v>
      </c>
      <c r="Q171" s="7">
        <v>752754</v>
      </c>
      <c r="S171" s="7">
        <v>7552811</v>
      </c>
      <c r="U171" s="7">
        <v>108914</v>
      </c>
      <c r="W171" s="7">
        <v>28000</v>
      </c>
      <c r="Y171" s="7">
        <v>8872</v>
      </c>
      <c r="AA171" s="7">
        <v>152998</v>
      </c>
      <c r="AB171" s="58"/>
      <c r="AC171" s="7">
        <v>0</v>
      </c>
      <c r="AE171" s="7">
        <v>0</v>
      </c>
      <c r="AG171" s="7">
        <f t="shared" si="13"/>
        <v>13114551</v>
      </c>
      <c r="AH171" s="7"/>
      <c r="AI171" s="7">
        <f t="shared" si="14"/>
        <v>16935912</v>
      </c>
      <c r="AK171" s="7"/>
    </row>
    <row r="172" spans="1:37" ht="12" hidden="1" customHeight="1">
      <c r="A172" s="11" t="s">
        <v>728</v>
      </c>
      <c r="B172" s="11"/>
      <c r="C172" s="11" t="s">
        <v>72</v>
      </c>
      <c r="D172" s="11"/>
      <c r="E172" s="29"/>
      <c r="M172" s="7">
        <f>SUM(G172:L172)</f>
        <v>0</v>
      </c>
      <c r="AB172" s="58"/>
      <c r="AG172" s="7">
        <f>SUM(O172:AE172)</f>
        <v>0</v>
      </c>
      <c r="AH172" s="7"/>
      <c r="AI172" s="7">
        <f>+AG172+M172</f>
        <v>0</v>
      </c>
      <c r="AK172" s="7" t="s">
        <v>839</v>
      </c>
    </row>
    <row r="173" spans="1:37" ht="12" customHeight="1">
      <c r="A173" s="11" t="s">
        <v>396</v>
      </c>
      <c r="B173" s="11"/>
      <c r="C173" s="11" t="s">
        <v>44</v>
      </c>
      <c r="D173" s="11"/>
      <c r="E173" s="29">
        <v>43943</v>
      </c>
      <c r="G173" s="7">
        <v>2004961</v>
      </c>
      <c r="I173" s="7">
        <v>10553546</v>
      </c>
      <c r="K173" s="7">
        <v>313384</v>
      </c>
      <c r="M173" s="7">
        <f t="shared" si="12"/>
        <v>12871891</v>
      </c>
      <c r="O173" s="7">
        <f>29145296+2610859+401634</f>
        <v>32157789</v>
      </c>
      <c r="Q173" s="7">
        <v>0</v>
      </c>
      <c r="S173" s="7">
        <v>44165628</v>
      </c>
      <c r="U173" s="7">
        <v>52585</v>
      </c>
      <c r="W173" s="7">
        <v>0</v>
      </c>
      <c r="Y173" s="7">
        <v>0</v>
      </c>
      <c r="AA173" s="7">
        <v>580702</v>
      </c>
      <c r="AB173" s="58"/>
      <c r="AC173" s="7">
        <v>0</v>
      </c>
      <c r="AE173" s="7">
        <v>861343</v>
      </c>
      <c r="AG173" s="7">
        <f t="shared" si="13"/>
        <v>77818047</v>
      </c>
      <c r="AH173" s="7"/>
      <c r="AI173" s="7">
        <f t="shared" si="14"/>
        <v>90689938</v>
      </c>
    </row>
    <row r="174" spans="1:37" ht="12" customHeight="1">
      <c r="A174" s="11" t="s">
        <v>273</v>
      </c>
      <c r="B174" s="11"/>
      <c r="C174" s="11" t="s">
        <v>20</v>
      </c>
      <c r="D174" s="11"/>
      <c r="E174" s="29">
        <v>43950</v>
      </c>
      <c r="G174" s="7">
        <v>1035905</v>
      </c>
      <c r="I174" s="7">
        <v>10917282</v>
      </c>
      <c r="K174" s="7">
        <v>24735683</v>
      </c>
      <c r="M174" s="7">
        <f t="shared" si="12"/>
        <v>36688870</v>
      </c>
      <c r="O174" s="7">
        <f>35812723+4712476+847060</f>
        <v>41372259</v>
      </c>
      <c r="Q174" s="7">
        <v>5530287</v>
      </c>
      <c r="S174" s="7">
        <v>30853230</v>
      </c>
      <c r="U174" s="7">
        <v>384997</v>
      </c>
      <c r="W174" s="7">
        <v>63096</v>
      </c>
      <c r="Y174" s="7">
        <v>0</v>
      </c>
      <c r="AA174" s="7">
        <v>99798</v>
      </c>
      <c r="AB174" s="58"/>
      <c r="AC174" s="7">
        <v>0</v>
      </c>
      <c r="AE174" s="7">
        <v>0</v>
      </c>
      <c r="AG174" s="7">
        <f t="shared" si="13"/>
        <v>78303667</v>
      </c>
      <c r="AH174" s="7"/>
      <c r="AI174" s="7">
        <f t="shared" si="14"/>
        <v>114992537</v>
      </c>
    </row>
    <row r="175" spans="1:37" ht="12" hidden="1" customHeight="1">
      <c r="A175" s="12" t="s">
        <v>646</v>
      </c>
      <c r="B175" s="11"/>
      <c r="C175" s="11" t="s">
        <v>28</v>
      </c>
      <c r="D175" s="11"/>
      <c r="E175" s="29">
        <v>47050</v>
      </c>
      <c r="M175" s="7">
        <f t="shared" si="12"/>
        <v>0</v>
      </c>
      <c r="AB175" s="58"/>
      <c r="AG175" s="7">
        <f t="shared" si="13"/>
        <v>0</v>
      </c>
      <c r="AH175" s="7"/>
      <c r="AI175" s="7">
        <f t="shared" si="14"/>
        <v>0</v>
      </c>
      <c r="AK175" s="7" t="s">
        <v>839</v>
      </c>
    </row>
    <row r="176" spans="1:37" ht="12" customHeight="1">
      <c r="A176" s="11" t="s">
        <v>555</v>
      </c>
      <c r="B176" s="11"/>
      <c r="C176" s="11" t="s">
        <v>66</v>
      </c>
      <c r="D176" s="11"/>
      <c r="E176" s="29">
        <v>50328</v>
      </c>
      <c r="G176" s="7">
        <v>462972</v>
      </c>
      <c r="I176" s="7">
        <v>1055299</v>
      </c>
      <c r="K176" s="7">
        <v>0</v>
      </c>
      <c r="M176" s="7">
        <f t="shared" si="12"/>
        <v>1518271</v>
      </c>
      <c r="O176" s="7">
        <f>4699492+876988</f>
        <v>5576480</v>
      </c>
      <c r="Q176" s="7">
        <v>2096190</v>
      </c>
      <c r="S176" s="7">
        <v>3062471</v>
      </c>
      <c r="U176" s="7">
        <v>37131</v>
      </c>
      <c r="W176" s="7">
        <v>0</v>
      </c>
      <c r="Y176" s="7">
        <v>0</v>
      </c>
      <c r="AA176" s="7">
        <v>73924</v>
      </c>
      <c r="AB176" s="58"/>
      <c r="AC176" s="7">
        <v>0</v>
      </c>
      <c r="AE176" s="7">
        <v>0</v>
      </c>
      <c r="AG176" s="7">
        <f t="shared" si="13"/>
        <v>10846196</v>
      </c>
      <c r="AH176" s="7"/>
      <c r="AI176" s="7">
        <f t="shared" si="14"/>
        <v>12364467</v>
      </c>
    </row>
    <row r="177" spans="1:37" ht="12" customHeight="1">
      <c r="A177" s="11" t="s">
        <v>653</v>
      </c>
      <c r="B177" s="11"/>
      <c r="C177" s="11" t="s">
        <v>114</v>
      </c>
      <c r="D177" s="11"/>
      <c r="E177" s="29">
        <v>46102</v>
      </c>
      <c r="F177" s="6"/>
      <c r="G177" s="7">
        <v>1609218</v>
      </c>
      <c r="I177" s="7">
        <v>8450506</v>
      </c>
      <c r="K177" s="7">
        <v>0</v>
      </c>
      <c r="M177" s="7">
        <f>SUM(G177:L177)</f>
        <v>10059724</v>
      </c>
      <c r="O177" s="7">
        <f>16698189+1458096</f>
        <v>18156285</v>
      </c>
      <c r="Q177" s="7">
        <v>2865953</v>
      </c>
      <c r="S177" s="7">
        <v>19446496</v>
      </c>
      <c r="U177" s="7">
        <v>122390</v>
      </c>
      <c r="W177" s="7">
        <v>194446</v>
      </c>
      <c r="Y177" s="7">
        <v>12742</v>
      </c>
      <c r="AA177" s="7">
        <v>195876</v>
      </c>
      <c r="AB177" s="58"/>
      <c r="AC177" s="7">
        <v>0</v>
      </c>
      <c r="AE177" s="7">
        <v>0</v>
      </c>
      <c r="AG177" s="7">
        <f>SUM(O177:AE177)</f>
        <v>40994188</v>
      </c>
      <c r="AH177" s="7"/>
      <c r="AI177" s="7">
        <f>+AG177+M177</f>
        <v>51053912</v>
      </c>
    </row>
    <row r="178" spans="1:37" ht="12" customHeight="1">
      <c r="A178" s="11" t="s">
        <v>224</v>
      </c>
      <c r="B178" s="11"/>
      <c r="C178" s="11" t="s">
        <v>223</v>
      </c>
      <c r="D178" s="11"/>
      <c r="E178" s="29">
        <v>46102</v>
      </c>
      <c r="F178" s="6"/>
      <c r="G178" s="7">
        <v>5109632</v>
      </c>
      <c r="I178" s="7">
        <v>12817345</v>
      </c>
      <c r="K178" s="7">
        <v>0</v>
      </c>
      <c r="M178" s="7">
        <f t="shared" si="12"/>
        <v>17926977</v>
      </c>
      <c r="O178" s="7">
        <f>36369700+3473834</f>
        <v>39843534</v>
      </c>
      <c r="Q178" s="7">
        <v>0</v>
      </c>
      <c r="S178" s="7">
        <v>29508568</v>
      </c>
      <c r="U178" s="7">
        <v>40062</v>
      </c>
      <c r="W178" s="7">
        <v>1358519</v>
      </c>
      <c r="Y178" s="7">
        <v>29196</v>
      </c>
      <c r="AA178" s="7">
        <v>685076</v>
      </c>
      <c r="AB178" s="58"/>
      <c r="AC178" s="7">
        <v>0</v>
      </c>
      <c r="AE178" s="7">
        <v>0</v>
      </c>
      <c r="AG178" s="7">
        <f t="shared" ref="AG178:AG181" si="15">SUM(O178:AE178)</f>
        <v>71464955</v>
      </c>
      <c r="AH178" s="7"/>
      <c r="AI178" s="7">
        <f t="shared" ref="AI178:AI181" si="16">+AG178+M178</f>
        <v>89391932</v>
      </c>
    </row>
    <row r="179" spans="1:37" ht="12" customHeight="1">
      <c r="A179" s="11" t="s">
        <v>359</v>
      </c>
      <c r="B179" s="11"/>
      <c r="C179" s="11" t="s">
        <v>358</v>
      </c>
      <c r="D179" s="11"/>
      <c r="E179" s="29">
        <v>47621</v>
      </c>
      <c r="G179" s="7">
        <v>717616</v>
      </c>
      <c r="I179" s="7">
        <v>932883</v>
      </c>
      <c r="K179" s="7">
        <v>0</v>
      </c>
      <c r="M179" s="7">
        <f t="shared" si="12"/>
        <v>1650499</v>
      </c>
      <c r="O179" s="7">
        <f>1190106+166770+281222</f>
        <v>1638098</v>
      </c>
      <c r="Q179" s="7">
        <v>0</v>
      </c>
      <c r="S179" s="7">
        <v>5132056</v>
      </c>
      <c r="U179" s="7">
        <v>14239</v>
      </c>
      <c r="W179" s="7">
        <v>0</v>
      </c>
      <c r="Y179" s="7">
        <v>14671</v>
      </c>
      <c r="AA179" s="7">
        <v>30880</v>
      </c>
      <c r="AB179" s="58"/>
      <c r="AC179" s="7">
        <v>0</v>
      </c>
      <c r="AE179" s="7">
        <v>0</v>
      </c>
      <c r="AG179" s="7">
        <f t="shared" si="15"/>
        <v>6829944</v>
      </c>
      <c r="AH179" s="7"/>
      <c r="AI179" s="7">
        <f t="shared" si="16"/>
        <v>8480443</v>
      </c>
    </row>
    <row r="180" spans="1:37" ht="12" customHeight="1">
      <c r="A180" s="11" t="s">
        <v>300</v>
      </c>
      <c r="B180" s="11"/>
      <c r="C180" s="11" t="s">
        <v>25</v>
      </c>
      <c r="D180" s="11"/>
      <c r="E180" s="29">
        <v>46870</v>
      </c>
      <c r="G180" s="7">
        <v>1991615</v>
      </c>
      <c r="I180" s="7">
        <v>3575109</v>
      </c>
      <c r="K180" s="7">
        <v>195684</v>
      </c>
      <c r="M180" s="7">
        <f t="shared" si="12"/>
        <v>5762408</v>
      </c>
      <c r="O180" s="7">
        <f>4145879+502783+242204</f>
        <v>4890866</v>
      </c>
      <c r="Q180" s="7">
        <v>4461209</v>
      </c>
      <c r="S180" s="7">
        <f>8408050+27597</f>
        <v>8435647</v>
      </c>
      <c r="U180" s="7">
        <v>0</v>
      </c>
      <c r="W180" s="7">
        <v>0</v>
      </c>
      <c r="Y180" s="7">
        <v>0</v>
      </c>
      <c r="AA180" s="7">
        <v>42727</v>
      </c>
      <c r="AB180" s="58"/>
      <c r="AC180" s="7">
        <v>0</v>
      </c>
      <c r="AE180" s="7">
        <v>0</v>
      </c>
      <c r="AG180" s="7">
        <f t="shared" si="15"/>
        <v>17830449</v>
      </c>
      <c r="AH180" s="7"/>
      <c r="AI180" s="7">
        <f t="shared" si="16"/>
        <v>23592857</v>
      </c>
    </row>
    <row r="181" spans="1:37" s="32" customFormat="1" ht="12" customHeight="1">
      <c r="A181" s="31" t="s">
        <v>379</v>
      </c>
      <c r="B181" s="31"/>
      <c r="C181" s="31" t="s">
        <v>377</v>
      </c>
      <c r="D181" s="31"/>
      <c r="E181" s="31">
        <v>47936</v>
      </c>
      <c r="G181" s="32">
        <v>1288882</v>
      </c>
      <c r="I181" s="32">
        <v>3289310</v>
      </c>
      <c r="K181" s="32">
        <v>0</v>
      </c>
      <c r="M181" s="32">
        <f t="shared" si="12"/>
        <v>4578192</v>
      </c>
      <c r="O181" s="32">
        <f>3002747+193242+51475</f>
        <v>3247464</v>
      </c>
      <c r="Q181" s="32">
        <v>0</v>
      </c>
      <c r="S181" s="32">
        <v>8865654</v>
      </c>
      <c r="U181" s="32">
        <v>28955</v>
      </c>
      <c r="W181" s="32">
        <v>0</v>
      </c>
      <c r="Y181" s="32">
        <v>1000</v>
      </c>
      <c r="AA181" s="32">
        <v>21942</v>
      </c>
      <c r="AB181" s="57"/>
      <c r="AC181" s="32">
        <v>0</v>
      </c>
      <c r="AE181" s="32">
        <f>1255+16759</f>
        <v>18014</v>
      </c>
      <c r="AG181" s="32">
        <f t="shared" si="15"/>
        <v>12183029</v>
      </c>
      <c r="AI181" s="32">
        <f t="shared" si="16"/>
        <v>16761221</v>
      </c>
    </row>
    <row r="182" spans="1:37" ht="12" hidden="1" customHeight="1">
      <c r="A182" s="11" t="s">
        <v>647</v>
      </c>
      <c r="B182" s="11"/>
      <c r="C182" s="11" t="s">
        <v>61</v>
      </c>
      <c r="D182" s="11"/>
      <c r="E182" s="29">
        <v>49775</v>
      </c>
      <c r="M182" s="7">
        <f t="shared" si="12"/>
        <v>0</v>
      </c>
      <c r="AB182" s="58"/>
      <c r="AG182" s="7">
        <f t="shared" si="13"/>
        <v>0</v>
      </c>
      <c r="AH182" s="7"/>
      <c r="AI182" s="7">
        <f t="shared" si="14"/>
        <v>0</v>
      </c>
      <c r="AK182" s="7" t="s">
        <v>839</v>
      </c>
    </row>
    <row r="183" spans="1:37" ht="12" customHeight="1">
      <c r="A183" s="11" t="s">
        <v>511</v>
      </c>
      <c r="B183" s="11"/>
      <c r="C183" s="11" t="s">
        <v>62</v>
      </c>
      <c r="D183" s="11"/>
      <c r="E183" s="29">
        <v>49841</v>
      </c>
      <c r="G183" s="7">
        <v>1081531</v>
      </c>
      <c r="I183" s="7">
        <v>2958470</v>
      </c>
      <c r="K183" s="7">
        <v>0</v>
      </c>
      <c r="M183" s="7">
        <f t="shared" si="12"/>
        <v>4040001</v>
      </c>
      <c r="O183" s="7">
        <f>5717818+838686+85627</f>
        <v>6642131</v>
      </c>
      <c r="Q183" s="7">
        <v>0</v>
      </c>
      <c r="S183" s="7">
        <v>8367976</v>
      </c>
      <c r="U183" s="7">
        <v>5985</v>
      </c>
      <c r="W183" s="7">
        <v>0</v>
      </c>
      <c r="Y183" s="7">
        <v>0</v>
      </c>
      <c r="AA183" s="7">
        <v>242110</v>
      </c>
      <c r="AB183" s="58"/>
      <c r="AC183" s="7">
        <v>0</v>
      </c>
      <c r="AE183" s="7">
        <v>0</v>
      </c>
      <c r="AG183" s="7">
        <f t="shared" si="13"/>
        <v>15258202</v>
      </c>
      <c r="AH183" s="7"/>
      <c r="AI183" s="7">
        <f t="shared" si="14"/>
        <v>19298203</v>
      </c>
    </row>
    <row r="184" spans="1:37" ht="12" hidden="1" customHeight="1">
      <c r="A184" s="11" t="s">
        <v>711</v>
      </c>
      <c r="B184" s="11"/>
      <c r="C184" s="11" t="s">
        <v>41</v>
      </c>
      <c r="D184" s="11"/>
      <c r="E184" s="29">
        <v>45369</v>
      </c>
      <c r="M184" s="7">
        <f t="shared" si="12"/>
        <v>0</v>
      </c>
      <c r="AB184" s="58"/>
      <c r="AG184" s="7">
        <f t="shared" si="13"/>
        <v>0</v>
      </c>
      <c r="AH184" s="7"/>
      <c r="AI184" s="7">
        <f t="shared" si="14"/>
        <v>0</v>
      </c>
      <c r="AK184" s="7" t="s">
        <v>848</v>
      </c>
    </row>
    <row r="185" spans="1:37" ht="12" customHeight="1">
      <c r="A185" s="11" t="s">
        <v>274</v>
      </c>
      <c r="B185" s="11"/>
      <c r="C185" s="11" t="s">
        <v>20</v>
      </c>
      <c r="D185" s="11"/>
      <c r="E185" s="29">
        <v>43976</v>
      </c>
      <c r="G185" s="7">
        <v>617137</v>
      </c>
      <c r="I185" s="7">
        <v>1765617</v>
      </c>
      <c r="K185" s="7">
        <v>1256</v>
      </c>
      <c r="M185" s="7">
        <f t="shared" si="12"/>
        <v>2384010</v>
      </c>
      <c r="O185" s="7">
        <f>14008337+1933450</f>
        <v>15941787</v>
      </c>
      <c r="Q185" s="7">
        <v>0</v>
      </c>
      <c r="S185" s="7">
        <v>5173969</v>
      </c>
      <c r="U185" s="7">
        <v>127727</v>
      </c>
      <c r="W185" s="7">
        <v>0</v>
      </c>
      <c r="Y185" s="7">
        <v>0</v>
      </c>
      <c r="AA185" s="7">
        <v>57879</v>
      </c>
      <c r="AB185" s="58"/>
      <c r="AC185" s="7">
        <v>0</v>
      </c>
      <c r="AE185" s="7">
        <v>0</v>
      </c>
      <c r="AG185" s="7">
        <f t="shared" si="13"/>
        <v>21301362</v>
      </c>
      <c r="AH185" s="7"/>
      <c r="AI185" s="7">
        <f t="shared" si="14"/>
        <v>23685372</v>
      </c>
    </row>
    <row r="186" spans="1:37" ht="12" hidden="1" customHeight="1">
      <c r="A186" s="11" t="s">
        <v>849</v>
      </c>
      <c r="B186" s="11"/>
      <c r="C186" s="11" t="s">
        <v>28</v>
      </c>
      <c r="D186" s="11"/>
      <c r="E186" s="29">
        <v>47068</v>
      </c>
      <c r="M186" s="7">
        <f t="shared" si="12"/>
        <v>0</v>
      </c>
      <c r="AB186" s="58"/>
      <c r="AG186" s="7">
        <f t="shared" si="13"/>
        <v>0</v>
      </c>
      <c r="AH186" s="7"/>
      <c r="AI186" s="7">
        <f t="shared" si="14"/>
        <v>0</v>
      </c>
      <c r="AK186" s="7" t="s">
        <v>837</v>
      </c>
    </row>
    <row r="187" spans="1:37" ht="12" customHeight="1">
      <c r="A187" s="11" t="s">
        <v>221</v>
      </c>
      <c r="B187" s="11"/>
      <c r="C187" s="11" t="s">
        <v>77</v>
      </c>
      <c r="D187" s="11"/>
      <c r="E187" s="29">
        <v>46045</v>
      </c>
      <c r="F187" s="6"/>
      <c r="G187" s="7">
        <v>1217889</v>
      </c>
      <c r="I187" s="7">
        <v>1072196</v>
      </c>
      <c r="K187" s="7">
        <v>0</v>
      </c>
      <c r="M187" s="7">
        <f t="shared" si="12"/>
        <v>2290085</v>
      </c>
      <c r="O187" s="7">
        <f>1795532+769579+88458+33785</f>
        <v>2687354</v>
      </c>
      <c r="Q187" s="7">
        <v>0</v>
      </c>
      <c r="S187" s="7">
        <v>5195505</v>
      </c>
      <c r="U187" s="7">
        <v>23244</v>
      </c>
      <c r="W187" s="7">
        <v>0</v>
      </c>
      <c r="Y187" s="7">
        <v>9752</v>
      </c>
      <c r="AA187" s="7">
        <v>89256</v>
      </c>
      <c r="AB187" s="58"/>
      <c r="AC187" s="7">
        <v>0</v>
      </c>
      <c r="AE187" s="7">
        <v>0</v>
      </c>
      <c r="AG187" s="7">
        <f t="shared" si="13"/>
        <v>8005111</v>
      </c>
      <c r="AH187" s="7"/>
      <c r="AI187" s="7">
        <f t="shared" si="14"/>
        <v>10295196</v>
      </c>
      <c r="AK187" s="7" t="s">
        <v>850</v>
      </c>
    </row>
    <row r="188" spans="1:37" ht="12" customHeight="1">
      <c r="A188" s="12" t="s">
        <v>841</v>
      </c>
      <c r="B188" s="12"/>
      <c r="C188" s="12" t="s">
        <v>13</v>
      </c>
      <c r="D188" s="11"/>
      <c r="E188" s="29"/>
      <c r="F188" s="6"/>
      <c r="G188" s="7">
        <v>559985</v>
      </c>
      <c r="I188" s="7">
        <v>3053767</v>
      </c>
      <c r="K188" s="7">
        <v>0</v>
      </c>
      <c r="M188" s="7">
        <f t="shared" si="12"/>
        <v>3613752</v>
      </c>
      <c r="O188" s="7">
        <f>2549584+63863+425945+42416</f>
        <v>3081808</v>
      </c>
      <c r="Q188" s="7">
        <v>0</v>
      </c>
      <c r="S188" s="7">
        <v>8413446</v>
      </c>
      <c r="U188" s="7">
        <v>2502</v>
      </c>
      <c r="W188" s="7">
        <v>0</v>
      </c>
      <c r="Y188" s="7">
        <v>10000</v>
      </c>
      <c r="AA188" s="7">
        <v>5097</v>
      </c>
      <c r="AB188" s="58"/>
      <c r="AC188" s="7">
        <v>0</v>
      </c>
      <c r="AE188" s="7">
        <v>0</v>
      </c>
      <c r="AG188" s="7">
        <f t="shared" si="13"/>
        <v>11512853</v>
      </c>
      <c r="AH188" s="7"/>
      <c r="AI188" s="7">
        <f t="shared" si="14"/>
        <v>15126605</v>
      </c>
    </row>
    <row r="189" spans="1:37" ht="12" customHeight="1">
      <c r="A189" s="11" t="s">
        <v>244</v>
      </c>
      <c r="B189" s="11"/>
      <c r="C189" s="11" t="s">
        <v>113</v>
      </c>
      <c r="D189" s="11"/>
      <c r="E189" s="29">
        <v>46334</v>
      </c>
      <c r="F189" s="6"/>
      <c r="G189" s="7">
        <v>736103</v>
      </c>
      <c r="I189" s="7">
        <v>2219652</v>
      </c>
      <c r="K189" s="7">
        <v>0</v>
      </c>
      <c r="M189" s="7">
        <f t="shared" si="12"/>
        <v>2955755</v>
      </c>
      <c r="O189" s="7">
        <f>1679681+223881</f>
        <v>1903562</v>
      </c>
      <c r="Q189" s="7">
        <v>0</v>
      </c>
      <c r="S189" s="7">
        <v>6881445</v>
      </c>
      <c r="U189" s="7">
        <v>5982</v>
      </c>
      <c r="W189" s="7">
        <v>0</v>
      </c>
      <c r="Y189" s="7">
        <v>0</v>
      </c>
      <c r="AA189" s="7">
        <v>228632</v>
      </c>
      <c r="AB189" s="58"/>
      <c r="AC189" s="7">
        <v>0</v>
      </c>
      <c r="AE189" s="7">
        <v>0</v>
      </c>
      <c r="AG189" s="7">
        <f t="shared" si="13"/>
        <v>9019621</v>
      </c>
      <c r="AH189" s="7"/>
      <c r="AI189" s="7">
        <f t="shared" si="14"/>
        <v>11975376</v>
      </c>
    </row>
    <row r="190" spans="1:37" s="32" customFormat="1" ht="12" customHeight="1">
      <c r="A190" s="11" t="s">
        <v>760</v>
      </c>
      <c r="B190" s="31"/>
      <c r="C190" s="31" t="s">
        <v>56</v>
      </c>
      <c r="D190" s="31"/>
      <c r="E190" s="29">
        <v>49197</v>
      </c>
      <c r="G190" s="7">
        <v>2327049</v>
      </c>
      <c r="H190" s="7"/>
      <c r="I190" s="7">
        <v>1918587</v>
      </c>
      <c r="J190" s="7"/>
      <c r="K190" s="7">
        <v>0</v>
      </c>
      <c r="L190" s="7"/>
      <c r="M190" s="7">
        <f t="shared" si="12"/>
        <v>4245636</v>
      </c>
      <c r="N190" s="7"/>
      <c r="O190" s="7">
        <f>7711420+1075325</f>
        <v>8786745</v>
      </c>
      <c r="P190" s="7"/>
      <c r="Q190" s="7">
        <v>0</v>
      </c>
      <c r="R190" s="7"/>
      <c r="S190" s="7">
        <v>8460525</v>
      </c>
      <c r="T190" s="7"/>
      <c r="U190" s="7">
        <v>4844</v>
      </c>
      <c r="V190" s="7"/>
      <c r="W190" s="7">
        <v>501598</v>
      </c>
      <c r="X190" s="7"/>
      <c r="Y190" s="7">
        <v>0</v>
      </c>
      <c r="Z190" s="7"/>
      <c r="AA190" s="7">
        <v>84977</v>
      </c>
      <c r="AB190" s="58"/>
      <c r="AC190" s="7">
        <v>0</v>
      </c>
      <c r="AD190" s="7"/>
      <c r="AE190" s="7">
        <v>0</v>
      </c>
      <c r="AF190" s="7"/>
      <c r="AG190" s="7">
        <f t="shared" si="13"/>
        <v>17838689</v>
      </c>
      <c r="AH190" s="7"/>
      <c r="AI190" s="7">
        <f t="shared" si="14"/>
        <v>22084325</v>
      </c>
      <c r="AK190" s="7" t="s">
        <v>850</v>
      </c>
    </row>
    <row r="191" spans="1:37" ht="12" customHeight="1">
      <c r="A191" s="11" t="s">
        <v>346</v>
      </c>
      <c r="B191" s="11"/>
      <c r="C191" s="11" t="s">
        <v>33</v>
      </c>
      <c r="D191" s="11"/>
      <c r="E191" s="29">
        <v>43984</v>
      </c>
      <c r="G191" s="7">
        <v>4647125</v>
      </c>
      <c r="I191" s="7">
        <v>10673996</v>
      </c>
      <c r="K191" s="7">
        <v>0</v>
      </c>
      <c r="M191" s="7">
        <f t="shared" si="12"/>
        <v>15321121</v>
      </c>
      <c r="O191" s="7">
        <f>25022687+2891446+1743558</f>
        <v>29657691</v>
      </c>
      <c r="Q191" s="7">
        <v>0</v>
      </c>
      <c r="S191" s="7">
        <v>27200127</v>
      </c>
      <c r="U191" s="7">
        <v>788385</v>
      </c>
      <c r="W191" s="7">
        <v>0</v>
      </c>
      <c r="Y191" s="7">
        <v>0</v>
      </c>
      <c r="AA191" s="7">
        <v>726930</v>
      </c>
      <c r="AB191" s="58"/>
      <c r="AC191" s="7">
        <v>0</v>
      </c>
      <c r="AE191" s="7">
        <v>0</v>
      </c>
      <c r="AG191" s="7">
        <f t="shared" si="13"/>
        <v>58373133</v>
      </c>
      <c r="AH191" s="7"/>
      <c r="AI191" s="7">
        <f t="shared" si="14"/>
        <v>73694254</v>
      </c>
    </row>
    <row r="192" spans="1:37" ht="12" customHeight="1">
      <c r="A192" s="11" t="s">
        <v>330</v>
      </c>
      <c r="B192" s="11"/>
      <c r="C192" s="11" t="s">
        <v>32</v>
      </c>
      <c r="D192" s="11"/>
      <c r="E192" s="29">
        <v>47332</v>
      </c>
      <c r="G192" s="7">
        <v>875519</v>
      </c>
      <c r="I192" s="7">
        <v>2810701</v>
      </c>
      <c r="K192" s="7">
        <v>0</v>
      </c>
      <c r="M192" s="7">
        <f t="shared" si="12"/>
        <v>3686220</v>
      </c>
      <c r="O192" s="7">
        <f>10231367+457722+513404+216173</f>
        <v>11418666</v>
      </c>
      <c r="Q192" s="7">
        <v>0</v>
      </c>
      <c r="S192" s="7">
        <v>7406977</v>
      </c>
      <c r="U192" s="7">
        <v>12869</v>
      </c>
      <c r="W192" s="7">
        <v>161333</v>
      </c>
      <c r="Y192" s="7">
        <v>16650</v>
      </c>
      <c r="AA192" s="7">
        <v>182865</v>
      </c>
      <c r="AB192" s="58"/>
      <c r="AC192" s="7">
        <v>0</v>
      </c>
      <c r="AE192" s="7">
        <v>0</v>
      </c>
      <c r="AG192" s="7">
        <f t="shared" si="13"/>
        <v>19199360</v>
      </c>
      <c r="AH192" s="7"/>
      <c r="AI192" s="7">
        <f t="shared" si="14"/>
        <v>22885580</v>
      </c>
      <c r="AK192" s="7" t="s">
        <v>850</v>
      </c>
    </row>
    <row r="193" spans="1:37" ht="12" customHeight="1">
      <c r="A193" s="11" t="s">
        <v>397</v>
      </c>
      <c r="B193" s="11"/>
      <c r="C193" s="11" t="s">
        <v>44</v>
      </c>
      <c r="D193" s="11"/>
      <c r="E193" s="29">
        <v>48157</v>
      </c>
      <c r="G193" s="7">
        <v>1658684</v>
      </c>
      <c r="I193" s="7">
        <v>2369792</v>
      </c>
      <c r="K193" s="7">
        <v>0</v>
      </c>
      <c r="M193" s="7">
        <f t="shared" si="12"/>
        <v>4028476</v>
      </c>
      <c r="O193" s="7">
        <f>6718962+339726</f>
        <v>7058688</v>
      </c>
      <c r="Q193" s="7">
        <v>0</v>
      </c>
      <c r="S193" s="7">
        <v>8156898</v>
      </c>
      <c r="U193" s="7">
        <v>54662</v>
      </c>
      <c r="W193" s="7">
        <v>0</v>
      </c>
      <c r="Y193" s="7">
        <v>0</v>
      </c>
      <c r="AA193" s="7">
        <v>66756</v>
      </c>
      <c r="AB193" s="58"/>
      <c r="AC193" s="7">
        <v>0</v>
      </c>
      <c r="AE193" s="7">
        <v>0</v>
      </c>
      <c r="AG193" s="7">
        <f t="shared" si="13"/>
        <v>15337004</v>
      </c>
      <c r="AH193" s="7"/>
      <c r="AI193" s="7">
        <f t="shared" si="14"/>
        <v>19365480</v>
      </c>
      <c r="AK193" s="7"/>
    </row>
    <row r="194" spans="1:37" ht="12" customHeight="1">
      <c r="A194" s="11" t="s">
        <v>331</v>
      </c>
      <c r="B194" s="11"/>
      <c r="C194" s="11" t="s">
        <v>32</v>
      </c>
      <c r="D194" s="11"/>
      <c r="E194" s="29">
        <v>47340</v>
      </c>
      <c r="G194" s="7">
        <v>3159517</v>
      </c>
      <c r="I194" s="7">
        <v>4999141</v>
      </c>
      <c r="K194" s="7">
        <v>0</v>
      </c>
      <c r="M194" s="7">
        <f t="shared" si="12"/>
        <v>8158658</v>
      </c>
      <c r="O194" s="7">
        <f>37758984+2004630</f>
        <v>39763614</v>
      </c>
      <c r="Q194" s="7">
        <v>6812051</v>
      </c>
      <c r="S194" s="7">
        <v>25215278</v>
      </c>
      <c r="U194" s="7">
        <v>34463</v>
      </c>
      <c r="W194" s="7">
        <v>0</v>
      </c>
      <c r="Y194" s="7">
        <v>0</v>
      </c>
      <c r="AA194" s="7">
        <v>1119279</v>
      </c>
      <c r="AB194" s="58"/>
      <c r="AC194" s="7">
        <v>0</v>
      </c>
      <c r="AE194" s="7">
        <v>0</v>
      </c>
      <c r="AG194" s="7">
        <f t="shared" si="13"/>
        <v>72944685</v>
      </c>
      <c r="AH194" s="7"/>
      <c r="AI194" s="7">
        <f t="shared" si="14"/>
        <v>81103343</v>
      </c>
      <c r="AK194" s="9" t="s">
        <v>852</v>
      </c>
    </row>
    <row r="195" spans="1:37" hidden="1">
      <c r="A195" s="12" t="s">
        <v>642</v>
      </c>
      <c r="B195" s="11"/>
      <c r="C195" s="11" t="s">
        <v>70</v>
      </c>
      <c r="D195" s="11"/>
      <c r="E195" s="29">
        <v>50484</v>
      </c>
      <c r="M195" s="7">
        <f t="shared" si="12"/>
        <v>0</v>
      </c>
      <c r="AB195" s="58"/>
      <c r="AG195" s="7">
        <f t="shared" si="13"/>
        <v>0</v>
      </c>
      <c r="AH195" s="7"/>
      <c r="AI195" s="7">
        <f t="shared" si="14"/>
        <v>0</v>
      </c>
      <c r="AK195" s="7" t="s">
        <v>839</v>
      </c>
    </row>
    <row r="196" spans="1:37">
      <c r="A196" s="11" t="s">
        <v>505</v>
      </c>
      <c r="B196" s="11"/>
      <c r="C196" s="11" t="s">
        <v>61</v>
      </c>
      <c r="D196" s="11"/>
      <c r="E196" s="29">
        <v>49783</v>
      </c>
      <c r="G196" s="7">
        <v>620117</v>
      </c>
      <c r="I196" s="7">
        <v>1296895</v>
      </c>
      <c r="K196" s="7">
        <v>18405</v>
      </c>
      <c r="M196" s="7">
        <f t="shared" si="12"/>
        <v>1935417</v>
      </c>
      <c r="O196" s="7">
        <f>1564929+605518+134237+35325</f>
        <v>2340009</v>
      </c>
      <c r="Q196" s="7">
        <v>1458667</v>
      </c>
      <c r="S196" s="7">
        <v>3336889</v>
      </c>
      <c r="U196" s="7">
        <v>14611</v>
      </c>
      <c r="W196" s="7">
        <v>0</v>
      </c>
      <c r="Y196" s="7">
        <v>0</v>
      </c>
      <c r="AA196" s="7">
        <v>14750</v>
      </c>
      <c r="AB196" s="58"/>
      <c r="AC196" s="7">
        <v>0</v>
      </c>
      <c r="AE196" s="7">
        <v>0</v>
      </c>
      <c r="AG196" s="7">
        <f t="shared" si="13"/>
        <v>7164926</v>
      </c>
      <c r="AH196" s="7"/>
      <c r="AI196" s="7">
        <f t="shared" si="14"/>
        <v>9100343</v>
      </c>
      <c r="AK196" s="7" t="s">
        <v>853</v>
      </c>
    </row>
    <row r="197" spans="1:37" hidden="1">
      <c r="A197" s="12" t="s">
        <v>873</v>
      </c>
      <c r="B197" s="12"/>
      <c r="C197" s="12" t="s">
        <v>435</v>
      </c>
      <c r="D197" s="11"/>
      <c r="E197" s="29"/>
      <c r="M197" s="7">
        <f t="shared" si="12"/>
        <v>0</v>
      </c>
      <c r="AB197" s="58"/>
      <c r="AG197" s="7">
        <f t="shared" si="13"/>
        <v>0</v>
      </c>
      <c r="AH197" s="7"/>
      <c r="AI197" s="7">
        <f t="shared" si="14"/>
        <v>0</v>
      </c>
      <c r="AK197" s="7" t="s">
        <v>839</v>
      </c>
    </row>
    <row r="198" spans="1:37" ht="12" hidden="1" customHeight="1">
      <c r="A198" s="11" t="s">
        <v>854</v>
      </c>
      <c r="B198" s="11"/>
      <c r="C198" s="11" t="s">
        <v>60</v>
      </c>
      <c r="D198" s="11"/>
      <c r="E198" s="29">
        <v>43992</v>
      </c>
      <c r="M198" s="7">
        <f t="shared" si="12"/>
        <v>0</v>
      </c>
      <c r="AB198" s="58"/>
      <c r="AG198" s="7">
        <f t="shared" si="13"/>
        <v>0</v>
      </c>
      <c r="AH198" s="7"/>
      <c r="AI198" s="7">
        <f t="shared" si="14"/>
        <v>0</v>
      </c>
      <c r="AK198" s="7" t="s">
        <v>855</v>
      </c>
    </row>
    <row r="199" spans="1:37" ht="12" customHeight="1">
      <c r="A199" s="11" t="s">
        <v>561</v>
      </c>
      <c r="B199" s="11"/>
      <c r="C199" s="11" t="s">
        <v>69</v>
      </c>
      <c r="D199" s="11"/>
      <c r="E199" s="29">
        <v>44008</v>
      </c>
      <c r="G199" s="7">
        <v>1619166</v>
      </c>
      <c r="I199" s="7">
        <v>3876269</v>
      </c>
      <c r="K199" s="7">
        <v>0</v>
      </c>
      <c r="M199" s="7">
        <f t="shared" si="12"/>
        <v>5495435</v>
      </c>
      <c r="O199" s="7">
        <f>13893785+464761+371991</f>
        <v>14730537</v>
      </c>
      <c r="Q199" s="7">
        <v>0</v>
      </c>
      <c r="S199" s="7">
        <v>13824412</v>
      </c>
      <c r="U199" s="7">
        <v>20243</v>
      </c>
      <c r="W199" s="7">
        <v>203075</v>
      </c>
      <c r="Y199" s="7">
        <v>20399</v>
      </c>
      <c r="AA199" s="7">
        <v>44959</v>
      </c>
      <c r="AB199" s="58"/>
      <c r="AC199" s="7">
        <v>0</v>
      </c>
      <c r="AE199" s="7">
        <v>0</v>
      </c>
      <c r="AG199" s="7">
        <f t="shared" si="13"/>
        <v>28843625</v>
      </c>
      <c r="AH199" s="7"/>
      <c r="AI199" s="7">
        <f t="shared" si="14"/>
        <v>34339060</v>
      </c>
    </row>
    <row r="200" spans="1:37" ht="12" customHeight="1">
      <c r="A200" s="11" t="s">
        <v>457</v>
      </c>
      <c r="B200" s="11"/>
      <c r="C200" s="11" t="s">
        <v>51</v>
      </c>
      <c r="D200" s="11"/>
      <c r="E200" s="29">
        <v>48843</v>
      </c>
      <c r="G200" s="7">
        <v>1826422</v>
      </c>
      <c r="I200" s="7">
        <v>3140309</v>
      </c>
      <c r="K200" s="7">
        <v>93300</v>
      </c>
      <c r="M200" s="7">
        <f t="shared" si="12"/>
        <v>5060031</v>
      </c>
      <c r="O200" s="7">
        <f>4477079+617596+192802+84672</f>
        <v>5372149</v>
      </c>
      <c r="Q200" s="7">
        <v>0</v>
      </c>
      <c r="S200" s="7">
        <v>13920011</v>
      </c>
      <c r="U200" s="7">
        <v>190181</v>
      </c>
      <c r="W200" s="7">
        <v>4308</v>
      </c>
      <c r="Y200" s="7">
        <v>25000</v>
      </c>
      <c r="AA200" s="7">
        <v>176</v>
      </c>
      <c r="AB200" s="58"/>
      <c r="AC200" s="7">
        <v>0</v>
      </c>
      <c r="AE200" s="7">
        <v>0</v>
      </c>
      <c r="AG200" s="7">
        <f t="shared" si="13"/>
        <v>19511825</v>
      </c>
      <c r="AH200" s="7"/>
      <c r="AI200" s="7">
        <f t="shared" si="14"/>
        <v>24571856</v>
      </c>
    </row>
    <row r="201" spans="1:37" hidden="1">
      <c r="A201" s="11" t="s">
        <v>641</v>
      </c>
      <c r="B201" s="11"/>
      <c r="C201" s="11" t="s">
        <v>21</v>
      </c>
      <c r="D201" s="11"/>
      <c r="E201" s="29">
        <v>46649</v>
      </c>
      <c r="M201" s="7">
        <f t="shared" si="12"/>
        <v>0</v>
      </c>
      <c r="AB201" s="58"/>
      <c r="AG201" s="7">
        <f t="shared" si="13"/>
        <v>0</v>
      </c>
      <c r="AH201" s="7"/>
      <c r="AI201" s="7">
        <f t="shared" si="14"/>
        <v>0</v>
      </c>
      <c r="AK201" s="7" t="s">
        <v>839</v>
      </c>
    </row>
    <row r="202" spans="1:37" ht="12" hidden="1" customHeight="1">
      <c r="A202" s="11" t="s">
        <v>696</v>
      </c>
      <c r="B202" s="11"/>
      <c r="C202" s="11" t="s">
        <v>40</v>
      </c>
      <c r="D202" s="11"/>
      <c r="E202" s="29">
        <v>47852</v>
      </c>
      <c r="M202" s="7">
        <f t="shared" si="12"/>
        <v>0</v>
      </c>
      <c r="AB202" s="58"/>
      <c r="AG202" s="7">
        <f t="shared" si="13"/>
        <v>0</v>
      </c>
      <c r="AH202" s="7"/>
      <c r="AI202" s="7">
        <f t="shared" si="14"/>
        <v>0</v>
      </c>
      <c r="AK202" s="7" t="s">
        <v>839</v>
      </c>
    </row>
    <row r="203" spans="1:37" ht="12" customHeight="1">
      <c r="A203" s="11" t="s">
        <v>673</v>
      </c>
      <c r="B203" s="11"/>
      <c r="C203" s="11" t="s">
        <v>79</v>
      </c>
      <c r="D203" s="11"/>
      <c r="E203" s="29">
        <v>44016</v>
      </c>
      <c r="G203" s="7">
        <v>1275986</v>
      </c>
      <c r="I203" s="7">
        <v>6608833</v>
      </c>
      <c r="K203" s="7">
        <v>5881164</v>
      </c>
      <c r="M203" s="7">
        <f t="shared" si="12"/>
        <v>13765983</v>
      </c>
      <c r="O203" s="7">
        <f>10341981+1277691+650857</f>
        <v>12270529</v>
      </c>
      <c r="Q203" s="7">
        <v>6232621</v>
      </c>
      <c r="S203" s="7">
        <v>16834453</v>
      </c>
      <c r="U203" s="7">
        <v>377978</v>
      </c>
      <c r="W203" s="7">
        <v>867323</v>
      </c>
      <c r="Y203" s="7">
        <v>0</v>
      </c>
      <c r="AA203" s="7">
        <v>75389</v>
      </c>
      <c r="AB203" s="58"/>
      <c r="AC203" s="7">
        <v>0</v>
      </c>
      <c r="AE203" s="7">
        <v>0</v>
      </c>
      <c r="AG203" s="7">
        <f t="shared" si="13"/>
        <v>36658293</v>
      </c>
      <c r="AH203" s="7"/>
      <c r="AI203" s="7">
        <f t="shared" si="14"/>
        <v>50424276</v>
      </c>
    </row>
    <row r="204" spans="1:37" ht="12" customHeight="1">
      <c r="A204" s="11" t="s">
        <v>565</v>
      </c>
      <c r="B204" s="11"/>
      <c r="C204" s="11" t="s">
        <v>70</v>
      </c>
      <c r="D204" s="11"/>
      <c r="E204" s="29">
        <v>50492</v>
      </c>
      <c r="G204" s="7">
        <v>303854</v>
      </c>
      <c r="I204" s="7">
        <v>3187788</v>
      </c>
      <c r="K204" s="7">
        <v>0</v>
      </c>
      <c r="M204" s="7">
        <f t="shared" si="12"/>
        <v>3491642</v>
      </c>
      <c r="O204" s="7">
        <f>1127746+19538+176247</f>
        <v>1323531</v>
      </c>
      <c r="Q204" s="7">
        <v>0</v>
      </c>
      <c r="S204" s="7">
        <v>4648313</v>
      </c>
      <c r="U204" s="7">
        <v>13053</v>
      </c>
      <c r="W204" s="7">
        <v>0</v>
      </c>
      <c r="Y204" s="7">
        <v>0</v>
      </c>
      <c r="AA204" s="7">
        <v>21755</v>
      </c>
      <c r="AB204" s="58"/>
      <c r="AC204" s="7">
        <v>0</v>
      </c>
      <c r="AE204" s="7">
        <v>0</v>
      </c>
      <c r="AG204" s="7">
        <f t="shared" si="13"/>
        <v>6006652</v>
      </c>
      <c r="AH204" s="7"/>
      <c r="AI204" s="7">
        <f t="shared" si="14"/>
        <v>9498294</v>
      </c>
    </row>
    <row r="205" spans="1:37" ht="12" customHeight="1">
      <c r="A205" s="11" t="s">
        <v>670</v>
      </c>
      <c r="B205" s="11"/>
      <c r="C205" s="11" t="s">
        <v>27</v>
      </c>
      <c r="D205" s="11"/>
      <c r="E205" s="29">
        <v>46961</v>
      </c>
      <c r="G205" s="7">
        <v>1895195</v>
      </c>
      <c r="I205" s="7">
        <v>6600056</v>
      </c>
      <c r="K205" s="7">
        <v>0</v>
      </c>
      <c r="M205" s="7">
        <f t="shared" si="12"/>
        <v>8495251</v>
      </c>
      <c r="O205" s="7">
        <f>46171431+2370775</f>
        <v>48542206</v>
      </c>
      <c r="Q205" s="7">
        <v>0</v>
      </c>
      <c r="S205" s="7">
        <v>21378403</v>
      </c>
      <c r="U205" s="7">
        <v>75858</v>
      </c>
      <c r="W205" s="7">
        <v>3960116</v>
      </c>
      <c r="Y205" s="7">
        <v>0</v>
      </c>
      <c r="AA205" s="7">
        <v>1124388</v>
      </c>
      <c r="AB205" s="58"/>
      <c r="AC205" s="7">
        <v>-40200</v>
      </c>
      <c r="AE205" s="7">
        <v>0</v>
      </c>
      <c r="AG205" s="7">
        <f t="shared" si="13"/>
        <v>75040771</v>
      </c>
      <c r="AH205" s="7"/>
      <c r="AI205" s="7">
        <f t="shared" si="14"/>
        <v>83536022</v>
      </c>
    </row>
    <row r="206" spans="1:37" ht="12" customHeight="1">
      <c r="A206" s="11" t="s">
        <v>265</v>
      </c>
      <c r="B206" s="11"/>
      <c r="C206" s="11" t="s">
        <v>111</v>
      </c>
      <c r="D206" s="11"/>
      <c r="E206" s="29">
        <v>44024</v>
      </c>
      <c r="G206" s="7">
        <v>911838</v>
      </c>
      <c r="I206" s="7">
        <v>3806314</v>
      </c>
      <c r="K206" s="7">
        <v>12500</v>
      </c>
      <c r="M206" s="7">
        <f t="shared" si="12"/>
        <v>4730652</v>
      </c>
      <c r="O206" s="7">
        <f>4437143+74658+1003800</f>
        <v>5515601</v>
      </c>
      <c r="Q206" s="7">
        <v>0</v>
      </c>
      <c r="S206" s="7">
        <v>10815332</v>
      </c>
      <c r="U206" s="7">
        <v>7674</v>
      </c>
      <c r="W206" s="7">
        <v>36756</v>
      </c>
      <c r="Y206" s="7">
        <v>12772</v>
      </c>
      <c r="AA206" s="7">
        <v>143305</v>
      </c>
      <c r="AB206" s="58"/>
      <c r="AC206" s="7">
        <v>0</v>
      </c>
      <c r="AE206" s="7">
        <v>0</v>
      </c>
      <c r="AG206" s="7">
        <f t="shared" si="13"/>
        <v>16531440</v>
      </c>
      <c r="AH206" s="7"/>
      <c r="AI206" s="7">
        <f t="shared" si="14"/>
        <v>21262092</v>
      </c>
    </row>
    <row r="207" spans="1:37" ht="12" hidden="1" customHeight="1">
      <c r="A207" s="11" t="s">
        <v>671</v>
      </c>
      <c r="B207" s="11"/>
      <c r="C207" s="11" t="s">
        <v>29</v>
      </c>
      <c r="D207" s="11"/>
      <c r="E207" s="29">
        <v>65680</v>
      </c>
      <c r="M207" s="7">
        <f t="shared" si="12"/>
        <v>0</v>
      </c>
      <c r="AB207" s="58"/>
      <c r="AG207" s="7">
        <f t="shared" si="13"/>
        <v>0</v>
      </c>
      <c r="AH207" s="7"/>
      <c r="AI207" s="7">
        <f t="shared" si="14"/>
        <v>0</v>
      </c>
      <c r="AK207" s="7" t="s">
        <v>856</v>
      </c>
    </row>
    <row r="208" spans="1:37" ht="12" customHeight="1">
      <c r="A208" s="11" t="s">
        <v>320</v>
      </c>
      <c r="B208" s="11"/>
      <c r="C208" s="11" t="s">
        <v>29</v>
      </c>
      <c r="D208" s="11"/>
      <c r="E208" s="29">
        <v>44032</v>
      </c>
      <c r="G208" s="7">
        <v>1863813</v>
      </c>
      <c r="I208" s="7">
        <v>5708772</v>
      </c>
      <c r="K208" s="7">
        <v>102250</v>
      </c>
      <c r="M208" s="7">
        <f t="shared" si="12"/>
        <v>7674835</v>
      </c>
      <c r="O208" s="7">
        <f>4352243+74846+1495130+195352</f>
        <v>6117571</v>
      </c>
      <c r="Q208" s="7">
        <v>0</v>
      </c>
      <c r="S208" s="7">
        <f>11536934+1753608</f>
        <v>13290542</v>
      </c>
      <c r="U208" s="7">
        <v>367195</v>
      </c>
      <c r="W208" s="7">
        <v>0</v>
      </c>
      <c r="Y208" s="7">
        <v>0</v>
      </c>
      <c r="AA208" s="7">
        <v>71371</v>
      </c>
      <c r="AB208" s="58"/>
      <c r="AC208" s="7">
        <v>0</v>
      </c>
      <c r="AE208" s="7">
        <v>0</v>
      </c>
      <c r="AG208" s="7">
        <f t="shared" si="13"/>
        <v>19846679</v>
      </c>
      <c r="AH208" s="7"/>
      <c r="AI208" s="7">
        <f t="shared" si="14"/>
        <v>27521514</v>
      </c>
      <c r="AK208" s="7"/>
    </row>
    <row r="209" spans="1:37" ht="12" customHeight="1">
      <c r="A209" s="11" t="s">
        <v>551</v>
      </c>
      <c r="B209" s="11"/>
      <c r="C209" s="11" t="s">
        <v>65</v>
      </c>
      <c r="D209" s="11"/>
      <c r="E209" s="29">
        <v>50278</v>
      </c>
      <c r="G209" s="7">
        <v>1069487</v>
      </c>
      <c r="I209" s="7">
        <v>1779924</v>
      </c>
      <c r="K209" s="7">
        <v>0</v>
      </c>
      <c r="M209" s="7">
        <f t="shared" si="12"/>
        <v>2849411</v>
      </c>
      <c r="O209" s="7">
        <f>4962026+209564+201242</f>
        <v>5372832</v>
      </c>
      <c r="Q209" s="7">
        <v>0</v>
      </c>
      <c r="S209" s="7">
        <v>4438727</v>
      </c>
      <c r="U209" s="7">
        <v>8823</v>
      </c>
      <c r="W209" s="7">
        <v>0</v>
      </c>
      <c r="Y209" s="7">
        <v>0</v>
      </c>
      <c r="AA209" s="7">
        <v>28008</v>
      </c>
      <c r="AB209" s="58"/>
      <c r="AC209" s="7">
        <v>0</v>
      </c>
      <c r="AE209" s="7">
        <v>0</v>
      </c>
      <c r="AG209" s="7">
        <f t="shared" si="13"/>
        <v>9848390</v>
      </c>
      <c r="AH209" s="7"/>
      <c r="AI209" s="7">
        <f t="shared" si="14"/>
        <v>12697801</v>
      </c>
    </row>
    <row r="210" spans="1:37" ht="12" customHeight="1">
      <c r="A210" s="11" t="s">
        <v>714</v>
      </c>
      <c r="B210" s="11"/>
      <c r="C210" s="11" t="s">
        <v>20</v>
      </c>
      <c r="D210" s="11"/>
      <c r="E210" s="29">
        <v>44040</v>
      </c>
      <c r="G210" s="7">
        <v>893514</v>
      </c>
      <c r="I210" s="7">
        <v>6173572</v>
      </c>
      <c r="K210" s="7">
        <v>47797</v>
      </c>
      <c r="M210" s="7">
        <f t="shared" si="12"/>
        <v>7114883</v>
      </c>
      <c r="O210" s="7">
        <f>13894076+3053808+336576</f>
        <v>17284460</v>
      </c>
      <c r="Q210" s="7">
        <v>0</v>
      </c>
      <c r="S210" s="7">
        <v>19820593</v>
      </c>
      <c r="U210" s="7">
        <v>158033</v>
      </c>
      <c r="W210" s="7">
        <v>0</v>
      </c>
      <c r="Y210" s="7">
        <v>0</v>
      </c>
      <c r="AA210" s="7">
        <v>51968</v>
      </c>
      <c r="AB210" s="58"/>
      <c r="AC210" s="7">
        <v>0</v>
      </c>
      <c r="AE210" s="7">
        <v>0</v>
      </c>
      <c r="AG210" s="7">
        <f t="shared" si="13"/>
        <v>37315054</v>
      </c>
      <c r="AH210" s="7"/>
      <c r="AI210" s="7">
        <f t="shared" si="14"/>
        <v>44429937</v>
      </c>
      <c r="AK210" s="7" t="s">
        <v>850</v>
      </c>
    </row>
    <row r="211" spans="1:37" ht="12" customHeight="1">
      <c r="A211" s="11" t="s">
        <v>672</v>
      </c>
      <c r="B211" s="11"/>
      <c r="C211" s="11" t="s">
        <v>12</v>
      </c>
      <c r="D211" s="11"/>
      <c r="E211" s="29">
        <v>44057</v>
      </c>
      <c r="F211" s="6"/>
      <c r="G211" s="7">
        <v>1982192</v>
      </c>
      <c r="I211" s="7">
        <v>3784951</v>
      </c>
      <c r="K211" s="7">
        <v>22577043</v>
      </c>
      <c r="M211" s="7">
        <f t="shared" si="12"/>
        <v>28344186</v>
      </c>
      <c r="O211" s="7">
        <f>6603067+1564191+313499</f>
        <v>8480757</v>
      </c>
      <c r="Q211" s="7">
        <v>0</v>
      </c>
      <c r="S211" s="7">
        <v>13360373</v>
      </c>
      <c r="U211" s="7">
        <v>118103</v>
      </c>
      <c r="W211" s="7">
        <v>141103</v>
      </c>
      <c r="Y211" s="7">
        <v>0</v>
      </c>
      <c r="AA211" s="7">
        <v>96283</v>
      </c>
      <c r="AB211" s="58"/>
      <c r="AC211" s="7">
        <v>0</v>
      </c>
      <c r="AE211" s="7">
        <v>0</v>
      </c>
      <c r="AG211" s="7">
        <f t="shared" si="13"/>
        <v>22196619</v>
      </c>
      <c r="AH211" s="7"/>
      <c r="AI211" s="7">
        <f t="shared" si="14"/>
        <v>50540805</v>
      </c>
    </row>
    <row r="212" spans="1:37" ht="12" hidden="1" customHeight="1">
      <c r="A212" s="11" t="s">
        <v>983</v>
      </c>
      <c r="B212" s="11"/>
      <c r="C212" s="11" t="s">
        <v>53</v>
      </c>
      <c r="D212" s="11"/>
      <c r="E212" s="29">
        <v>48942</v>
      </c>
      <c r="M212" s="7">
        <f t="shared" si="12"/>
        <v>0</v>
      </c>
      <c r="AB212" s="58"/>
      <c r="AG212" s="7">
        <f t="shared" si="13"/>
        <v>0</v>
      </c>
      <c r="AH212" s="7"/>
      <c r="AI212" s="7">
        <f t="shared" si="14"/>
        <v>0</v>
      </c>
      <c r="AK212" s="7" t="s">
        <v>984</v>
      </c>
    </row>
    <row r="213" spans="1:37" ht="12" hidden="1" customHeight="1">
      <c r="A213" s="11" t="s">
        <v>697</v>
      </c>
      <c r="B213" s="11"/>
      <c r="C213" s="11" t="s">
        <v>77</v>
      </c>
      <c r="D213" s="11"/>
      <c r="E213" s="29">
        <v>45377</v>
      </c>
      <c r="F213" s="6"/>
      <c r="M213" s="7">
        <f t="shared" si="12"/>
        <v>0</v>
      </c>
      <c r="AB213" s="58"/>
      <c r="AG213" s="7">
        <f t="shared" si="13"/>
        <v>0</v>
      </c>
      <c r="AH213" s="7"/>
      <c r="AI213" s="7">
        <f t="shared" si="14"/>
        <v>0</v>
      </c>
      <c r="AK213" s="7" t="s">
        <v>839</v>
      </c>
    </row>
    <row r="214" spans="1:37" ht="12" customHeight="1">
      <c r="A214" s="11" t="s">
        <v>857</v>
      </c>
      <c r="B214" s="11"/>
      <c r="C214" s="11" t="s">
        <v>79</v>
      </c>
      <c r="D214" s="11"/>
      <c r="E214" s="29">
        <v>45385</v>
      </c>
      <c r="G214" s="7">
        <v>843176</v>
      </c>
      <c r="I214" s="7">
        <v>1965523</v>
      </c>
      <c r="K214" s="7">
        <v>0</v>
      </c>
      <c r="M214" s="7">
        <f t="shared" si="12"/>
        <v>2808699</v>
      </c>
      <c r="O214" s="7">
        <f>2029995+34560+479503+41676</f>
        <v>2585734</v>
      </c>
      <c r="Q214" s="7">
        <v>0</v>
      </c>
      <c r="S214" s="7">
        <v>5184294</v>
      </c>
      <c r="U214" s="7">
        <v>13294</v>
      </c>
      <c r="W214" s="7">
        <v>0</v>
      </c>
      <c r="Y214" s="7">
        <v>0</v>
      </c>
      <c r="AA214" s="7">
        <v>11607</v>
      </c>
      <c r="AB214" s="58"/>
      <c r="AC214" s="7">
        <v>0</v>
      </c>
      <c r="AE214" s="7">
        <v>0</v>
      </c>
      <c r="AG214" s="7">
        <f t="shared" si="13"/>
        <v>7794929</v>
      </c>
      <c r="AH214" s="7"/>
      <c r="AI214" s="7">
        <f t="shared" si="14"/>
        <v>10603628</v>
      </c>
    </row>
    <row r="215" spans="1:37" ht="12" customHeight="1">
      <c r="A215" s="11" t="s">
        <v>537</v>
      </c>
      <c r="B215" s="11"/>
      <c r="C215" s="11" t="s">
        <v>64</v>
      </c>
      <c r="D215" s="11"/>
      <c r="E215" s="29">
        <v>44065</v>
      </c>
      <c r="G215" s="7">
        <v>772515</v>
      </c>
      <c r="I215" s="7">
        <v>3856908</v>
      </c>
      <c r="K215" s="7">
        <v>0</v>
      </c>
      <c r="M215" s="7">
        <f t="shared" si="12"/>
        <v>4629423</v>
      </c>
      <c r="O215" s="7">
        <f>3629014+847717+118752+65036</f>
        <v>4660519</v>
      </c>
      <c r="Q215" s="7">
        <v>0</v>
      </c>
      <c r="S215" s="7">
        <v>8153144</v>
      </c>
      <c r="U215" s="7">
        <v>53554</v>
      </c>
      <c r="W215" s="7">
        <v>0</v>
      </c>
      <c r="Y215" s="7">
        <v>0</v>
      </c>
      <c r="AA215" s="7">
        <v>122330</v>
      </c>
      <c r="AB215" s="58"/>
      <c r="AC215" s="7">
        <v>0</v>
      </c>
      <c r="AE215" s="7">
        <v>0</v>
      </c>
      <c r="AG215" s="7">
        <f t="shared" si="13"/>
        <v>12989547</v>
      </c>
      <c r="AH215" s="7"/>
      <c r="AI215" s="7">
        <f t="shared" si="14"/>
        <v>17618970</v>
      </c>
    </row>
    <row r="216" spans="1:37" ht="12" hidden="1" customHeight="1">
      <c r="A216" s="11" t="s">
        <v>735</v>
      </c>
      <c r="B216" s="11"/>
      <c r="C216" s="11" t="s">
        <v>28</v>
      </c>
      <c r="D216" s="11"/>
      <c r="E216" s="29">
        <v>47068</v>
      </c>
      <c r="M216" s="7">
        <f t="shared" si="12"/>
        <v>0</v>
      </c>
      <c r="AB216" s="58"/>
      <c r="AG216" s="7">
        <f t="shared" si="13"/>
        <v>0</v>
      </c>
      <c r="AH216" s="7"/>
      <c r="AI216" s="7">
        <f t="shared" si="14"/>
        <v>0</v>
      </c>
      <c r="AK216" s="14" t="s">
        <v>787</v>
      </c>
    </row>
    <row r="217" spans="1:37" ht="12" customHeight="1">
      <c r="A217" s="11" t="s">
        <v>245</v>
      </c>
      <c r="B217" s="11"/>
      <c r="C217" s="11" t="s">
        <v>113</v>
      </c>
      <c r="D217" s="11"/>
      <c r="E217" s="29">
        <v>46342</v>
      </c>
      <c r="F217" s="6"/>
      <c r="G217" s="7">
        <v>1967613</v>
      </c>
      <c r="I217" s="7">
        <v>5527070</v>
      </c>
      <c r="K217" s="7">
        <v>0</v>
      </c>
      <c r="M217" s="7">
        <f t="shared" si="12"/>
        <v>7494683</v>
      </c>
      <c r="O217" s="7">
        <f>5310658+527111+1186046+125324</f>
        <v>7149139</v>
      </c>
      <c r="Q217" s="7">
        <v>2758300</v>
      </c>
      <c r="S217" s="7">
        <v>10813470</v>
      </c>
      <c r="U217" s="7">
        <v>15540</v>
      </c>
      <c r="W217" s="7">
        <v>66476</v>
      </c>
      <c r="Y217" s="7">
        <v>0</v>
      </c>
      <c r="AA217" s="7">
        <v>339369</v>
      </c>
      <c r="AB217" s="58"/>
      <c r="AC217" s="7">
        <v>0</v>
      </c>
      <c r="AE217" s="7">
        <v>0</v>
      </c>
      <c r="AG217" s="7">
        <f>SUM(O217:AE217)</f>
        <v>21142294</v>
      </c>
      <c r="AH217" s="7"/>
      <c r="AI217" s="7">
        <f t="shared" si="14"/>
        <v>28636977</v>
      </c>
    </row>
    <row r="218" spans="1:37" ht="12" hidden="1" customHeight="1">
      <c r="A218" s="11" t="s">
        <v>902</v>
      </c>
      <c r="B218" s="11"/>
      <c r="C218" s="11" t="s">
        <v>232</v>
      </c>
      <c r="D218" s="11"/>
      <c r="E218" s="29">
        <v>46193</v>
      </c>
      <c r="F218" s="6"/>
      <c r="M218" s="7">
        <f t="shared" si="12"/>
        <v>0</v>
      </c>
      <c r="W218" s="7">
        <v>0</v>
      </c>
      <c r="AB218" s="58"/>
      <c r="AG218" s="7">
        <f t="shared" si="13"/>
        <v>0</v>
      </c>
      <c r="AH218" s="7"/>
      <c r="AI218" s="7">
        <f t="shared" si="14"/>
        <v>0</v>
      </c>
      <c r="AK218" s="7" t="s">
        <v>901</v>
      </c>
    </row>
    <row r="219" spans="1:37" ht="12" customHeight="1">
      <c r="A219" s="11" t="s">
        <v>209</v>
      </c>
      <c r="B219" s="11"/>
      <c r="C219" s="11" t="s">
        <v>12</v>
      </c>
      <c r="D219" s="11"/>
      <c r="E219" s="29">
        <v>45864</v>
      </c>
      <c r="F219" s="6"/>
      <c r="G219" s="7">
        <v>968555</v>
      </c>
      <c r="I219" s="7">
        <v>1533538</v>
      </c>
      <c r="K219" s="7">
        <v>0</v>
      </c>
      <c r="M219" s="7">
        <f t="shared" si="12"/>
        <v>2502093</v>
      </c>
      <c r="O219" s="7">
        <f>3282953+786450+108705+55119</f>
        <v>4233227</v>
      </c>
      <c r="Q219" s="7">
        <v>0</v>
      </c>
      <c r="S219" s="7">
        <v>6719704</v>
      </c>
      <c r="U219" s="7">
        <v>45089</v>
      </c>
      <c r="W219" s="7">
        <v>0</v>
      </c>
      <c r="Y219" s="7">
        <v>0</v>
      </c>
      <c r="AA219" s="7">
        <v>95922</v>
      </c>
      <c r="AB219" s="58"/>
      <c r="AC219" s="7">
        <v>0</v>
      </c>
      <c r="AE219" s="7">
        <v>0</v>
      </c>
      <c r="AG219" s="7">
        <f t="shared" si="13"/>
        <v>11093942</v>
      </c>
      <c r="AH219" s="7"/>
      <c r="AI219" s="7">
        <f t="shared" si="14"/>
        <v>13596035</v>
      </c>
    </row>
    <row r="220" spans="1:37" ht="12" customHeight="1">
      <c r="A220" s="11" t="s">
        <v>309</v>
      </c>
      <c r="B220" s="11"/>
      <c r="C220" s="11" t="s">
        <v>27</v>
      </c>
      <c r="D220" s="11"/>
      <c r="E220" s="29">
        <v>44073</v>
      </c>
      <c r="G220" s="7">
        <v>472006</v>
      </c>
      <c r="I220" s="7">
        <v>787792</v>
      </c>
      <c r="K220" s="7">
        <v>0</v>
      </c>
      <c r="M220" s="7">
        <f t="shared" si="12"/>
        <v>1259798</v>
      </c>
      <c r="O220" s="7">
        <f>11139139+905645+482853</f>
        <v>12527637</v>
      </c>
      <c r="Q220" s="7">
        <v>0</v>
      </c>
      <c r="S220" s="7">
        <v>4523586</v>
      </c>
      <c r="U220" s="7">
        <v>29271</v>
      </c>
      <c r="W220" s="7">
        <v>0</v>
      </c>
      <c r="Y220" s="7">
        <v>0</v>
      </c>
      <c r="AA220" s="7">
        <v>75055</v>
      </c>
      <c r="AB220" s="58"/>
      <c r="AC220" s="7">
        <v>-19000</v>
      </c>
      <c r="AE220" s="7">
        <v>0</v>
      </c>
      <c r="AG220" s="7">
        <f t="shared" si="13"/>
        <v>17136549</v>
      </c>
      <c r="AH220" s="7"/>
      <c r="AI220" s="7">
        <f t="shared" si="14"/>
        <v>18396347</v>
      </c>
    </row>
    <row r="221" spans="1:37" ht="12" customHeight="1">
      <c r="A221" s="11" t="s">
        <v>698</v>
      </c>
      <c r="B221" s="11"/>
      <c r="C221" s="11" t="s">
        <v>42</v>
      </c>
      <c r="D221" s="11"/>
      <c r="E221" s="29">
        <v>45393</v>
      </c>
      <c r="G221" s="7">
        <v>1204649</v>
      </c>
      <c r="I221" s="7">
        <v>2455210</v>
      </c>
      <c r="K221" s="7">
        <v>358507</v>
      </c>
      <c r="M221" s="7">
        <f t="shared" ref="M221:M225" si="17">SUM(G221:L221)</f>
        <v>4018366</v>
      </c>
      <c r="O221" s="7">
        <f>13293847+2004304+568851+128041</f>
        <v>15995043</v>
      </c>
      <c r="Q221" s="7">
        <v>0</v>
      </c>
      <c r="S221" s="7">
        <v>7630314</v>
      </c>
      <c r="U221" s="7">
        <v>36118</v>
      </c>
      <c r="W221" s="7">
        <v>98410</v>
      </c>
      <c r="Y221" s="7">
        <v>0</v>
      </c>
      <c r="AA221" s="7">
        <v>137827</v>
      </c>
      <c r="AB221" s="58"/>
      <c r="AC221" s="7">
        <v>0</v>
      </c>
      <c r="AE221" s="7">
        <v>0</v>
      </c>
      <c r="AG221" s="7">
        <f>SUM(O221:AE221)</f>
        <v>23897712</v>
      </c>
      <c r="AH221" s="7"/>
      <c r="AI221" s="7">
        <f>+AG221+M221</f>
        <v>27916078</v>
      </c>
    </row>
    <row r="222" spans="1:37" ht="12" customHeight="1">
      <c r="A222" s="11" t="s">
        <v>496</v>
      </c>
      <c r="B222" s="11"/>
      <c r="C222" s="11" t="s">
        <v>59</v>
      </c>
      <c r="D222" s="11"/>
      <c r="E222" s="29">
        <v>49619</v>
      </c>
      <c r="G222" s="7">
        <v>604720</v>
      </c>
      <c r="I222" s="7">
        <v>1157103</v>
      </c>
      <c r="K222" s="7">
        <v>0</v>
      </c>
      <c r="M222" s="7">
        <f t="shared" si="17"/>
        <v>1761823</v>
      </c>
      <c r="O222" s="7">
        <v>1275610</v>
      </c>
      <c r="Q222" s="7">
        <v>0</v>
      </c>
      <c r="S222" s="7">
        <v>3718059</v>
      </c>
      <c r="U222" s="7">
        <v>1433</v>
      </c>
      <c r="W222" s="7">
        <v>105699</v>
      </c>
      <c r="Y222" s="7">
        <v>27359</v>
      </c>
      <c r="AA222" s="7">
        <v>181815</v>
      </c>
      <c r="AB222" s="58"/>
      <c r="AC222" s="7">
        <v>0</v>
      </c>
      <c r="AE222" s="7">
        <v>0</v>
      </c>
      <c r="AG222" s="7">
        <f>SUM(O222:AE222)</f>
        <v>5309975</v>
      </c>
      <c r="AH222" s="7"/>
      <c r="AI222" s="7">
        <f>+AG222+M222</f>
        <v>7071798</v>
      </c>
    </row>
    <row r="223" spans="1:37" ht="12" customHeight="1">
      <c r="A223" s="11" t="s">
        <v>496</v>
      </c>
      <c r="B223" s="11"/>
      <c r="C223" s="11" t="s">
        <v>63</v>
      </c>
      <c r="D223" s="11"/>
      <c r="E223" s="29">
        <v>50013</v>
      </c>
      <c r="G223" s="7">
        <v>2386186</v>
      </c>
      <c r="I223" s="7">
        <v>3312255</v>
      </c>
      <c r="K223" s="7">
        <v>959587</v>
      </c>
      <c r="M223" s="7">
        <f t="shared" si="17"/>
        <v>6658028</v>
      </c>
      <c r="O223" s="7">
        <f>16796171+1412097+3080939</f>
        <v>21289207</v>
      </c>
      <c r="Q223" s="7">
        <v>0</v>
      </c>
      <c r="S223" s="7">
        <v>14347736</v>
      </c>
      <c r="U223" s="7">
        <v>9379</v>
      </c>
      <c r="W223" s="7">
        <v>0</v>
      </c>
      <c r="Y223" s="7">
        <v>0</v>
      </c>
      <c r="AA223" s="7">
        <v>127744</v>
      </c>
      <c r="AB223" s="58"/>
      <c r="AC223" s="7">
        <v>0</v>
      </c>
      <c r="AE223" s="7">
        <v>0</v>
      </c>
      <c r="AG223" s="7">
        <f>SUM(O223:AE223)</f>
        <v>35774066</v>
      </c>
      <c r="AH223" s="7"/>
      <c r="AI223" s="7">
        <f>+AG223+M223</f>
        <v>42432094</v>
      </c>
    </row>
    <row r="224" spans="1:37" ht="12" hidden="1" customHeight="1">
      <c r="A224" s="11" t="s">
        <v>496</v>
      </c>
      <c r="B224" s="11"/>
      <c r="C224" s="11" t="s">
        <v>71</v>
      </c>
      <c r="D224" s="11"/>
      <c r="E224" s="29">
        <v>50559</v>
      </c>
      <c r="M224" s="7">
        <f t="shared" si="17"/>
        <v>0</v>
      </c>
      <c r="AB224" s="58"/>
      <c r="AG224" s="7">
        <f>SUM(O224:AE224)</f>
        <v>0</v>
      </c>
      <c r="AH224" s="7"/>
      <c r="AI224" s="7">
        <f>+AG224+M224</f>
        <v>0</v>
      </c>
      <c r="AK224" s="7" t="s">
        <v>839</v>
      </c>
    </row>
    <row r="225" spans="1:37" ht="12" customHeight="1">
      <c r="A225" s="11" t="s">
        <v>326</v>
      </c>
      <c r="B225" s="11"/>
      <c r="C225" s="11" t="s">
        <v>114</v>
      </c>
      <c r="D225" s="11"/>
      <c r="E225" s="29">
        <v>47266</v>
      </c>
      <c r="G225" s="7">
        <v>1100285</v>
      </c>
      <c r="I225" s="7">
        <v>1706979</v>
      </c>
      <c r="K225" s="7">
        <v>0</v>
      </c>
      <c r="M225" s="7">
        <f t="shared" si="17"/>
        <v>2807264</v>
      </c>
      <c r="O225" s="7">
        <f>3613410+553138+79515</f>
        <v>4246063</v>
      </c>
      <c r="Q225" s="7">
        <v>1639398</v>
      </c>
      <c r="S225" s="7">
        <f>5977402+9850184+103061</f>
        <v>15930647</v>
      </c>
      <c r="U225" s="7">
        <v>40159</v>
      </c>
      <c r="W225" s="7">
        <v>0</v>
      </c>
      <c r="Y225" s="7">
        <v>7960</v>
      </c>
      <c r="AA225" s="7">
        <v>49729</v>
      </c>
      <c r="AB225" s="58"/>
      <c r="AC225" s="7">
        <v>0</v>
      </c>
      <c r="AE225" s="7">
        <v>0</v>
      </c>
      <c r="AG225" s="7">
        <f t="shared" ref="AG225:AG226" si="18">SUM(O225:AE225)</f>
        <v>21913956</v>
      </c>
      <c r="AH225" s="7"/>
      <c r="AI225" s="7">
        <f t="shared" ref="AI225:AI226" si="19">+AG225+M225</f>
        <v>24721220</v>
      </c>
    </row>
    <row r="226" spans="1:37" ht="12" customHeight="1">
      <c r="A226" s="12" t="s">
        <v>869</v>
      </c>
      <c r="B226" s="11"/>
      <c r="C226" s="11" t="s">
        <v>358</v>
      </c>
      <c r="D226" s="11"/>
      <c r="E226" s="29">
        <v>45401</v>
      </c>
      <c r="G226" s="7">
        <v>954117</v>
      </c>
      <c r="I226" s="7">
        <v>3106053</v>
      </c>
      <c r="K226" s="7">
        <v>0</v>
      </c>
      <c r="M226" s="7">
        <f t="shared" ref="M226:M292" si="20">SUM(G226:L226)</f>
        <v>4060170</v>
      </c>
      <c r="O226" s="7">
        <f>2932393+346295+64088</f>
        <v>3342776</v>
      </c>
      <c r="Q226" s="7">
        <v>1616251</v>
      </c>
      <c r="S226" s="7">
        <v>12272174</v>
      </c>
      <c r="U226" s="7">
        <v>117560</v>
      </c>
      <c r="W226" s="7">
        <v>0</v>
      </c>
      <c r="Y226" s="7">
        <v>0</v>
      </c>
      <c r="AA226" s="7">
        <v>247971</v>
      </c>
      <c r="AB226" s="58"/>
      <c r="AC226" s="7">
        <v>0</v>
      </c>
      <c r="AE226" s="7">
        <v>0</v>
      </c>
      <c r="AG226" s="7">
        <f t="shared" si="18"/>
        <v>17596732</v>
      </c>
      <c r="AH226" s="7"/>
      <c r="AI226" s="7">
        <f t="shared" si="19"/>
        <v>21656902</v>
      </c>
    </row>
    <row r="227" spans="1:37" s="7" customFormat="1" ht="12" customHeight="1">
      <c r="A227" s="12" t="s">
        <v>237</v>
      </c>
      <c r="B227" s="12"/>
      <c r="C227" s="12" t="s">
        <v>17</v>
      </c>
      <c r="D227" s="12"/>
      <c r="E227" s="29">
        <v>46235</v>
      </c>
      <c r="F227" s="10"/>
      <c r="G227" s="7">
        <v>1428681</v>
      </c>
      <c r="I227" s="7">
        <v>1885766</v>
      </c>
      <c r="K227" s="7">
        <v>0</v>
      </c>
      <c r="M227" s="7">
        <f t="shared" si="20"/>
        <v>3314447</v>
      </c>
      <c r="O227" s="7">
        <v>6976262</v>
      </c>
      <c r="Q227" s="7">
        <v>0</v>
      </c>
      <c r="S227" s="7">
        <v>7633893</v>
      </c>
      <c r="U227" s="7">
        <v>11663</v>
      </c>
      <c r="W227" s="7">
        <v>0</v>
      </c>
      <c r="Y227" s="7">
        <v>0</v>
      </c>
      <c r="AA227" s="7">
        <v>31433</v>
      </c>
      <c r="AB227" s="58"/>
      <c r="AC227" s="7">
        <v>0</v>
      </c>
      <c r="AE227" s="7">
        <v>0</v>
      </c>
      <c r="AG227" s="7">
        <f t="shared" ref="AG227:AG293" si="21">SUM(O227:AE227)</f>
        <v>14653251</v>
      </c>
      <c r="AI227" s="7">
        <f t="shared" ref="AI227:AI292" si="22">+AG227+M227</f>
        <v>17967698</v>
      </c>
      <c r="AK227" s="14"/>
    </row>
    <row r="228" spans="1:37" ht="12" customHeight="1">
      <c r="A228" s="11" t="s">
        <v>288</v>
      </c>
      <c r="B228" s="11"/>
      <c r="C228" s="11" t="s">
        <v>21</v>
      </c>
      <c r="D228" s="11"/>
      <c r="E228" s="29">
        <v>44099</v>
      </c>
      <c r="G228" s="7">
        <v>1213071</v>
      </c>
      <c r="I228" s="7">
        <v>4789176</v>
      </c>
      <c r="K228" s="7">
        <v>161334</v>
      </c>
      <c r="M228" s="7">
        <f t="shared" si="20"/>
        <v>6163581</v>
      </c>
      <c r="O228" s="7">
        <f>9736329+432694</f>
        <v>10169023</v>
      </c>
      <c r="Q228" s="7">
        <v>1773036</v>
      </c>
      <c r="S228" s="7">
        <v>13195694</v>
      </c>
      <c r="U228" s="7">
        <v>17338</v>
      </c>
      <c r="W228" s="7">
        <v>40687</v>
      </c>
      <c r="Y228" s="7">
        <v>16611</v>
      </c>
      <c r="AA228" s="7">
        <v>89507</v>
      </c>
      <c r="AB228" s="58"/>
      <c r="AC228" s="7">
        <v>0</v>
      </c>
      <c r="AE228" s="7">
        <v>0</v>
      </c>
      <c r="AG228" s="7">
        <f t="shared" si="21"/>
        <v>25301896</v>
      </c>
      <c r="AH228" s="7"/>
      <c r="AI228" s="7">
        <f t="shared" si="22"/>
        <v>31465477</v>
      </c>
    </row>
    <row r="229" spans="1:37" ht="12" customHeight="1">
      <c r="A229" s="11" t="s">
        <v>310</v>
      </c>
      <c r="B229" s="11"/>
      <c r="C229" s="11" t="s">
        <v>27</v>
      </c>
      <c r="D229" s="11"/>
      <c r="E229" s="29">
        <v>46979</v>
      </c>
      <c r="G229" s="7">
        <v>2316770</v>
      </c>
      <c r="I229" s="7">
        <v>10818151</v>
      </c>
      <c r="K229" s="7">
        <v>0</v>
      </c>
      <c r="M229" s="7">
        <f t="shared" si="20"/>
        <v>13134921</v>
      </c>
      <c r="O229" s="7">
        <f>27573017+1287865</f>
        <v>28860882</v>
      </c>
      <c r="Q229" s="7">
        <v>0</v>
      </c>
      <c r="S229" s="7">
        <v>32972081</v>
      </c>
      <c r="U229" s="7">
        <v>5427</v>
      </c>
      <c r="W229" s="7">
        <f>218301+794677</f>
        <v>1012978</v>
      </c>
      <c r="Y229" s="7">
        <v>0</v>
      </c>
      <c r="AA229" s="7">
        <v>254037</v>
      </c>
      <c r="AB229" s="58"/>
      <c r="AC229" s="7">
        <v>0</v>
      </c>
      <c r="AE229" s="7">
        <v>0</v>
      </c>
      <c r="AG229" s="7">
        <f t="shared" si="21"/>
        <v>63105405</v>
      </c>
      <c r="AH229" s="7"/>
      <c r="AI229" s="7">
        <f t="shared" si="22"/>
        <v>76240326</v>
      </c>
      <c r="AK229" s="14"/>
    </row>
    <row r="230" spans="1:37" ht="12" hidden="1" customHeight="1">
      <c r="A230" s="11" t="s">
        <v>225</v>
      </c>
      <c r="B230" s="11"/>
      <c r="C230" s="11" t="s">
        <v>223</v>
      </c>
      <c r="D230" s="11"/>
      <c r="E230" s="29">
        <v>44107</v>
      </c>
      <c r="F230" s="6"/>
      <c r="M230" s="7">
        <f>SUM(G230:L230)</f>
        <v>0</v>
      </c>
      <c r="AB230" s="58"/>
      <c r="AG230" s="7">
        <f>SUM(O230:AE230)</f>
        <v>0</v>
      </c>
      <c r="AH230" s="7"/>
      <c r="AI230" s="7">
        <f t="shared" si="22"/>
        <v>0</v>
      </c>
      <c r="AK230" s="7" t="s">
        <v>903</v>
      </c>
    </row>
    <row r="231" spans="1:37" ht="12" customHeight="1">
      <c r="A231" s="11" t="s">
        <v>925</v>
      </c>
      <c r="B231" s="11"/>
      <c r="C231" s="11" t="s">
        <v>27</v>
      </c>
      <c r="D231" s="11"/>
      <c r="E231" s="29">
        <v>46953</v>
      </c>
      <c r="G231" s="7">
        <v>949965</v>
      </c>
      <c r="I231" s="7">
        <v>4865512</v>
      </c>
      <c r="K231" s="7">
        <v>0</v>
      </c>
      <c r="M231" s="7">
        <f t="shared" ref="M231:M232" si="23">SUM(G231:L231)</f>
        <v>5815477</v>
      </c>
      <c r="O231" s="7">
        <f>4638019+1605026+325845</f>
        <v>6568890</v>
      </c>
      <c r="Q231" s="7">
        <v>0</v>
      </c>
      <c r="S231" s="7">
        <v>17877462</v>
      </c>
      <c r="U231" s="7">
        <v>16124</v>
      </c>
      <c r="W231" s="7">
        <v>0</v>
      </c>
      <c r="AA231" s="7">
        <v>97584</v>
      </c>
      <c r="AB231" s="58"/>
      <c r="AC231" s="7">
        <v>0</v>
      </c>
      <c r="AE231" s="7">
        <v>0</v>
      </c>
      <c r="AG231" s="7">
        <f t="shared" ref="AG231" si="24">SUM(O231:AE231)</f>
        <v>24560060</v>
      </c>
      <c r="AH231" s="7"/>
      <c r="AI231" s="7">
        <f t="shared" si="22"/>
        <v>30375537</v>
      </c>
      <c r="AK231" s="7"/>
    </row>
    <row r="232" spans="1:37" ht="12" customHeight="1">
      <c r="A232" s="11" t="s">
        <v>349</v>
      </c>
      <c r="B232" s="11"/>
      <c r="C232" s="11" t="s">
        <v>348</v>
      </c>
      <c r="D232" s="11"/>
      <c r="E232" s="29">
        <v>47498</v>
      </c>
      <c r="G232" s="7">
        <v>557296</v>
      </c>
      <c r="I232" s="7">
        <v>634867</v>
      </c>
      <c r="K232" s="7">
        <v>221523</v>
      </c>
      <c r="M232" s="7">
        <f t="shared" si="23"/>
        <v>1413686</v>
      </c>
      <c r="O232" s="7">
        <f>973975+19368+203108+111951+861806</f>
        <v>2170208</v>
      </c>
      <c r="Q232" s="7">
        <v>0</v>
      </c>
      <c r="S232" s="7">
        <v>2393419</v>
      </c>
      <c r="U232" s="7">
        <v>2539</v>
      </c>
      <c r="W232" s="7">
        <v>0</v>
      </c>
      <c r="Y232" s="7">
        <v>0</v>
      </c>
      <c r="AA232" s="7">
        <v>22357</v>
      </c>
      <c r="AB232" s="58"/>
      <c r="AC232" s="7">
        <v>0</v>
      </c>
      <c r="AE232" s="7">
        <v>0</v>
      </c>
      <c r="AG232" s="7">
        <f t="shared" si="21"/>
        <v>4588523</v>
      </c>
      <c r="AH232" s="7"/>
      <c r="AI232" s="7">
        <f t="shared" si="22"/>
        <v>6002209</v>
      </c>
      <c r="AK232" s="14"/>
    </row>
    <row r="233" spans="1:37" ht="12" customHeight="1">
      <c r="A233" s="11" t="s">
        <v>506</v>
      </c>
      <c r="B233" s="11"/>
      <c r="C233" s="11" t="s">
        <v>61</v>
      </c>
      <c r="D233" s="11"/>
      <c r="E233" s="29">
        <v>49791</v>
      </c>
      <c r="G233" s="7">
        <v>1078919</v>
      </c>
      <c r="I233" s="7">
        <v>985310</v>
      </c>
      <c r="K233" s="7">
        <v>0</v>
      </c>
      <c r="M233" s="7">
        <f t="shared" si="20"/>
        <v>2064229</v>
      </c>
      <c r="O233" s="7">
        <f>1595428+513140+37369</f>
        <v>2145937</v>
      </c>
      <c r="Q233" s="7">
        <f>432316+230755</f>
        <v>663071</v>
      </c>
      <c r="S233" s="7">
        <v>4143012</v>
      </c>
      <c r="U233" s="7">
        <v>89808</v>
      </c>
      <c r="W233" s="7">
        <v>0</v>
      </c>
      <c r="Y233" s="7">
        <v>2000</v>
      </c>
      <c r="AA233" s="7">
        <v>66491</v>
      </c>
      <c r="AB233" s="58"/>
      <c r="AC233" s="7">
        <v>0</v>
      </c>
      <c r="AE233" s="7">
        <v>0</v>
      </c>
      <c r="AG233" s="7">
        <f t="shared" si="21"/>
        <v>7110319</v>
      </c>
      <c r="AH233" s="7"/>
      <c r="AI233" s="7">
        <f t="shared" si="22"/>
        <v>9174548</v>
      </c>
      <c r="AK233" s="7"/>
    </row>
    <row r="234" spans="1:37" ht="12" hidden="1" customHeight="1">
      <c r="A234" s="11" t="s">
        <v>353</v>
      </c>
      <c r="B234" s="11"/>
      <c r="C234" s="11" t="s">
        <v>352</v>
      </c>
      <c r="D234" s="11"/>
      <c r="E234" s="29">
        <v>45245</v>
      </c>
      <c r="M234" s="7">
        <f t="shared" si="20"/>
        <v>0</v>
      </c>
      <c r="AB234" s="58"/>
      <c r="AG234" s="7">
        <f t="shared" si="21"/>
        <v>0</v>
      </c>
      <c r="AH234" s="7"/>
      <c r="AI234" s="7">
        <f t="shared" si="22"/>
        <v>0</v>
      </c>
      <c r="AK234" s="7" t="s">
        <v>903</v>
      </c>
    </row>
    <row r="235" spans="1:37" ht="12" customHeight="1">
      <c r="A235" s="11" t="s">
        <v>384</v>
      </c>
      <c r="B235" s="11"/>
      <c r="C235" s="11" t="s">
        <v>42</v>
      </c>
      <c r="D235" s="11"/>
      <c r="E235" s="29">
        <v>44115</v>
      </c>
      <c r="G235" s="7">
        <v>568365</v>
      </c>
      <c r="I235" s="7">
        <v>1688192</v>
      </c>
      <c r="K235" s="7">
        <v>0</v>
      </c>
      <c r="M235" s="7">
        <f t="shared" si="20"/>
        <v>2256557</v>
      </c>
      <c r="O235" s="7">
        <f>6934888+1090509+196460</f>
        <v>8221857</v>
      </c>
      <c r="Q235" s="7">
        <v>0</v>
      </c>
      <c r="S235" s="7">
        <v>6391572</v>
      </c>
      <c r="U235" s="7">
        <v>11449</v>
      </c>
      <c r="W235" s="7">
        <v>0</v>
      </c>
      <c r="Y235" s="7">
        <v>0</v>
      </c>
      <c r="AA235" s="7">
        <v>521935</v>
      </c>
      <c r="AB235" s="58"/>
      <c r="AC235" s="7">
        <v>0</v>
      </c>
      <c r="AE235" s="7">
        <v>0</v>
      </c>
      <c r="AG235" s="7">
        <f t="shared" si="21"/>
        <v>15146813</v>
      </c>
      <c r="AH235" s="7"/>
      <c r="AI235" s="7">
        <f t="shared" si="22"/>
        <v>17403370</v>
      </c>
    </row>
    <row r="236" spans="1:37" ht="12" hidden="1" customHeight="1">
      <c r="A236" s="11" t="s">
        <v>699</v>
      </c>
      <c r="B236" s="11"/>
      <c r="C236" s="11" t="s">
        <v>22</v>
      </c>
      <c r="D236" s="11"/>
      <c r="E236" s="29">
        <v>45419</v>
      </c>
      <c r="M236" s="7">
        <f t="shared" si="20"/>
        <v>0</v>
      </c>
      <c r="AB236" s="58"/>
      <c r="AG236" s="7">
        <f t="shared" si="21"/>
        <v>0</v>
      </c>
      <c r="AH236" s="7"/>
      <c r="AI236" s="7">
        <f t="shared" si="22"/>
        <v>0</v>
      </c>
      <c r="AK236" s="7" t="s">
        <v>904</v>
      </c>
    </row>
    <row r="237" spans="1:37" ht="12" customHeight="1">
      <c r="A237" s="11" t="s">
        <v>430</v>
      </c>
      <c r="B237" s="11"/>
      <c r="C237" s="11" t="s">
        <v>47</v>
      </c>
      <c r="D237" s="11"/>
      <c r="E237" s="29">
        <v>48496</v>
      </c>
      <c r="G237" s="7">
        <v>2240201</v>
      </c>
      <c r="I237" s="7">
        <v>1934938</v>
      </c>
      <c r="K237" s="7">
        <v>219775</v>
      </c>
      <c r="M237" s="7">
        <f t="shared" si="20"/>
        <v>4394914</v>
      </c>
      <c r="O237" s="7">
        <f>14749803+2569187+965410</f>
        <v>18284400</v>
      </c>
      <c r="Q237" s="7">
        <v>0</v>
      </c>
      <c r="S237" s="7">
        <v>7994452</v>
      </c>
      <c r="U237" s="7">
        <v>72367</v>
      </c>
      <c r="W237" s="7">
        <v>0</v>
      </c>
      <c r="Y237" s="7">
        <v>0</v>
      </c>
      <c r="AA237" s="7">
        <f>3429+79652</f>
        <v>83081</v>
      </c>
      <c r="AB237" s="58"/>
      <c r="AC237" s="7">
        <v>0</v>
      </c>
      <c r="AE237" s="7">
        <v>0</v>
      </c>
      <c r="AG237" s="7">
        <f t="shared" si="21"/>
        <v>26434300</v>
      </c>
      <c r="AH237" s="7"/>
      <c r="AI237" s="7">
        <f t="shared" si="22"/>
        <v>30829214</v>
      </c>
    </row>
    <row r="238" spans="1:37" ht="12" customHeight="1">
      <c r="A238" s="11" t="s">
        <v>430</v>
      </c>
      <c r="B238" s="11"/>
      <c r="C238" s="11" t="s">
        <v>78</v>
      </c>
      <c r="D238" s="11"/>
      <c r="E238" s="29">
        <v>48801</v>
      </c>
      <c r="G238" s="7">
        <v>459501</v>
      </c>
      <c r="I238" s="7">
        <v>2930630</v>
      </c>
      <c r="K238" s="7">
        <v>0</v>
      </c>
      <c r="M238" s="7">
        <f t="shared" si="20"/>
        <v>3390131</v>
      </c>
      <c r="O238" s="7">
        <f>3421081+69533+807129+174315</f>
        <v>4472058</v>
      </c>
      <c r="Q238" s="7">
        <v>915496</v>
      </c>
      <c r="S238" s="7">
        <v>9089549</v>
      </c>
      <c r="U238" s="7">
        <v>46804</v>
      </c>
      <c r="W238" s="7">
        <v>0</v>
      </c>
      <c r="Y238" s="7">
        <v>6415</v>
      </c>
      <c r="AA238" s="7">
        <v>434284</v>
      </c>
      <c r="AB238" s="58"/>
      <c r="AC238" s="7">
        <v>0</v>
      </c>
      <c r="AE238" s="7">
        <v>0</v>
      </c>
      <c r="AG238" s="7">
        <f t="shared" si="21"/>
        <v>14964606</v>
      </c>
      <c r="AH238" s="7"/>
      <c r="AI238" s="7">
        <f t="shared" si="22"/>
        <v>18354737</v>
      </c>
    </row>
    <row r="239" spans="1:37" ht="12" customHeight="1">
      <c r="A239" s="11" t="s">
        <v>311</v>
      </c>
      <c r="B239" s="11"/>
      <c r="C239" s="11" t="s">
        <v>27</v>
      </c>
      <c r="D239" s="11"/>
      <c r="E239" s="29">
        <v>47019</v>
      </c>
      <c r="G239" s="7">
        <v>8624414</v>
      </c>
      <c r="I239" s="7">
        <v>13593714</v>
      </c>
      <c r="K239" s="7">
        <v>0</v>
      </c>
      <c r="M239" s="7">
        <f t="shared" si="20"/>
        <v>22218128</v>
      </c>
      <c r="O239" s="7">
        <f>93209760+13720546+4217280</f>
        <v>111147586</v>
      </c>
      <c r="Q239" s="7">
        <v>0</v>
      </c>
      <c r="S239" s="7">
        <v>58010452</v>
      </c>
      <c r="U239" s="7">
        <v>265473</v>
      </c>
      <c r="W239" s="7">
        <v>0</v>
      </c>
      <c r="Y239" s="7">
        <v>0</v>
      </c>
      <c r="AA239" s="7">
        <v>3623493</v>
      </c>
      <c r="AB239" s="58"/>
      <c r="AC239" s="7">
        <v>0</v>
      </c>
      <c r="AE239" s="7">
        <v>0</v>
      </c>
      <c r="AG239" s="7">
        <f t="shared" si="21"/>
        <v>173047004</v>
      </c>
      <c r="AH239" s="7"/>
      <c r="AI239" s="7">
        <f t="shared" si="22"/>
        <v>195265132</v>
      </c>
    </row>
    <row r="240" spans="1:37" ht="12" customHeight="1">
      <c r="A240" s="11" t="s">
        <v>360</v>
      </c>
      <c r="B240" s="11"/>
      <c r="C240" s="11" t="s">
        <v>358</v>
      </c>
      <c r="D240" s="11"/>
      <c r="E240" s="29">
        <v>44123</v>
      </c>
      <c r="G240" s="7">
        <v>1828489</v>
      </c>
      <c r="I240" s="7">
        <v>4097453</v>
      </c>
      <c r="K240" s="7">
        <v>300000</v>
      </c>
      <c r="M240" s="7">
        <f t="shared" si="20"/>
        <v>6225942</v>
      </c>
      <c r="O240" s="7">
        <f>5035124+938865+104805</f>
        <v>6078794</v>
      </c>
      <c r="Q240" s="7">
        <v>2277640</v>
      </c>
      <c r="S240" s="7">
        <v>12816823</v>
      </c>
      <c r="U240" s="7">
        <v>116815</v>
      </c>
      <c r="W240" s="7">
        <v>0</v>
      </c>
      <c r="Y240" s="7">
        <v>7351</v>
      </c>
      <c r="AA240" s="7">
        <v>630297</v>
      </c>
      <c r="AB240" s="58"/>
      <c r="AC240" s="7">
        <v>0</v>
      </c>
      <c r="AE240" s="7">
        <v>0</v>
      </c>
      <c r="AG240" s="7">
        <f t="shared" si="21"/>
        <v>21927720</v>
      </c>
      <c r="AH240" s="7"/>
      <c r="AI240" s="7">
        <f t="shared" si="22"/>
        <v>28153662</v>
      </c>
      <c r="AK240" s="7"/>
    </row>
    <row r="241" spans="1:37" ht="12" customHeight="1">
      <c r="A241" s="11" t="s">
        <v>205</v>
      </c>
      <c r="B241" s="11"/>
      <c r="C241" s="11" t="s">
        <v>11</v>
      </c>
      <c r="D241" s="11"/>
      <c r="E241" s="29">
        <v>45823</v>
      </c>
      <c r="F241" s="6"/>
      <c r="G241" s="7">
        <v>817185</v>
      </c>
      <c r="I241" s="7">
        <v>1307180</v>
      </c>
      <c r="K241" s="7">
        <v>0</v>
      </c>
      <c r="M241" s="7">
        <f t="shared" si="20"/>
        <v>2124365</v>
      </c>
      <c r="O241" s="7">
        <f>3994611+247444</f>
        <v>4242055</v>
      </c>
      <c r="Q241" s="7">
        <v>0</v>
      </c>
      <c r="S241" s="7">
        <v>4244287</v>
      </c>
      <c r="U241" s="7">
        <v>34117</v>
      </c>
      <c r="W241" s="7">
        <v>0</v>
      </c>
      <c r="Y241" s="7">
        <v>0</v>
      </c>
      <c r="AA241" s="7">
        <v>140342</v>
      </c>
      <c r="AB241" s="58"/>
      <c r="AC241" s="7">
        <v>0</v>
      </c>
      <c r="AE241" s="7">
        <v>0</v>
      </c>
      <c r="AG241" s="7">
        <f t="shared" si="21"/>
        <v>8660801</v>
      </c>
      <c r="AH241" s="7"/>
      <c r="AI241" s="7">
        <f t="shared" si="22"/>
        <v>10785166</v>
      </c>
    </row>
    <row r="242" spans="1:37" ht="12" customHeight="1">
      <c r="A242" s="11" t="s">
        <v>354</v>
      </c>
      <c r="B242" s="11"/>
      <c r="C242" s="11" t="s">
        <v>34</v>
      </c>
      <c r="D242" s="11"/>
      <c r="E242" s="29">
        <v>47571</v>
      </c>
      <c r="G242" s="7">
        <v>631188</v>
      </c>
      <c r="I242" s="7">
        <v>714366</v>
      </c>
      <c r="K242" s="7">
        <v>0</v>
      </c>
      <c r="M242" s="7">
        <f t="shared" si="20"/>
        <v>1345554</v>
      </c>
      <c r="O242" s="7">
        <f>753964+17008+299272+35784</f>
        <v>1106028</v>
      </c>
      <c r="Q242" s="7">
        <v>688698</v>
      </c>
      <c r="S242" s="7">
        <v>2564322</v>
      </c>
      <c r="U242" s="7">
        <v>28687</v>
      </c>
      <c r="W242" s="7">
        <v>1653</v>
      </c>
      <c r="Y242" s="7">
        <v>1415</v>
      </c>
      <c r="AA242" s="7">
        <f>66667+500000</f>
        <v>566667</v>
      </c>
      <c r="AB242" s="58"/>
      <c r="AC242" s="7">
        <v>0</v>
      </c>
      <c r="AE242" s="7">
        <v>0</v>
      </c>
      <c r="AG242" s="7">
        <f>SUM(O242:AE242)</f>
        <v>4957470</v>
      </c>
      <c r="AH242" s="7"/>
      <c r="AI242" s="7">
        <f t="shared" si="22"/>
        <v>6303024</v>
      </c>
    </row>
    <row r="243" spans="1:37" ht="12" customHeight="1">
      <c r="A243" s="11" t="s">
        <v>538</v>
      </c>
      <c r="B243" s="11"/>
      <c r="C243" s="11" t="s">
        <v>64</v>
      </c>
      <c r="D243" s="11"/>
      <c r="E243" s="29">
        <v>50161</v>
      </c>
      <c r="G243" s="7">
        <v>2171279</v>
      </c>
      <c r="I243" s="7">
        <v>3010042</v>
      </c>
      <c r="K243" s="7">
        <v>0</v>
      </c>
      <c r="M243" s="7">
        <f t="shared" si="20"/>
        <v>5181321</v>
      </c>
      <c r="O243" s="7">
        <f>15097658+174648+422181</f>
        <v>15694487</v>
      </c>
      <c r="Q243" s="7">
        <v>0</v>
      </c>
      <c r="S243" s="7">
        <v>10777270</v>
      </c>
      <c r="U243" s="7">
        <v>17575</v>
      </c>
      <c r="W243" s="7">
        <v>0</v>
      </c>
      <c r="Y243" s="7">
        <v>0</v>
      </c>
      <c r="AA243" s="7">
        <v>140614</v>
      </c>
      <c r="AB243" s="58"/>
      <c r="AC243" s="7">
        <v>0</v>
      </c>
      <c r="AE243" s="7">
        <v>0</v>
      </c>
      <c r="AG243" s="7">
        <f t="shared" si="21"/>
        <v>26629946</v>
      </c>
      <c r="AH243" s="7"/>
      <c r="AI243" s="7">
        <f t="shared" si="22"/>
        <v>31811267</v>
      </c>
    </row>
    <row r="244" spans="1:37" ht="12" customHeight="1">
      <c r="A244" s="11" t="s">
        <v>870</v>
      </c>
      <c r="B244" s="11"/>
      <c r="C244" s="11" t="s">
        <v>64</v>
      </c>
      <c r="D244" s="11"/>
      <c r="E244" s="29">
        <v>45427</v>
      </c>
      <c r="G244" s="7">
        <v>1665115</v>
      </c>
      <c r="I244" s="7">
        <v>2239504</v>
      </c>
      <c r="K244" s="7">
        <v>29500</v>
      </c>
      <c r="M244" s="7">
        <f t="shared" si="20"/>
        <v>3934119</v>
      </c>
      <c r="O244" s="7">
        <f>5612189+1131543+89259</f>
        <v>6832991</v>
      </c>
      <c r="Q244" s="7">
        <v>0</v>
      </c>
      <c r="S244" s="7">
        <v>10677144</v>
      </c>
      <c r="U244" s="7">
        <v>301369</v>
      </c>
      <c r="W244" s="7">
        <v>0</v>
      </c>
      <c r="Y244" s="7">
        <v>0</v>
      </c>
      <c r="AA244" s="7">
        <v>452432</v>
      </c>
      <c r="AB244" s="58"/>
      <c r="AC244" s="7">
        <v>0</v>
      </c>
      <c r="AE244" s="7">
        <v>0</v>
      </c>
      <c r="AG244" s="7">
        <f t="shared" si="21"/>
        <v>18263936</v>
      </c>
      <c r="AH244" s="7"/>
      <c r="AI244" s="7">
        <f t="shared" si="22"/>
        <v>22198055</v>
      </c>
    </row>
    <row r="245" spans="1:37" ht="12" customHeight="1">
      <c r="A245" s="11" t="s">
        <v>443</v>
      </c>
      <c r="B245" s="11"/>
      <c r="C245" s="11" t="s">
        <v>50</v>
      </c>
      <c r="D245" s="11"/>
      <c r="E245" s="29">
        <v>48751</v>
      </c>
      <c r="G245" s="7">
        <v>2899573</v>
      </c>
      <c r="I245" s="7">
        <v>8939941</v>
      </c>
      <c r="K245" s="7">
        <v>0</v>
      </c>
      <c r="M245" s="7">
        <f t="shared" si="20"/>
        <v>11839514</v>
      </c>
      <c r="O245" s="7">
        <f>26809113+4512017+971288</f>
        <v>32292418</v>
      </c>
      <c r="Q245" s="7">
        <v>0</v>
      </c>
      <c r="S245" s="7">
        <v>32002548</v>
      </c>
      <c r="U245" s="7">
        <v>328612</v>
      </c>
      <c r="W245" s="7">
        <v>0</v>
      </c>
      <c r="Y245" s="7">
        <v>0</v>
      </c>
      <c r="AA245" s="7">
        <v>318081</v>
      </c>
      <c r="AB245" s="58"/>
      <c r="AC245" s="7">
        <v>0</v>
      </c>
      <c r="AE245" s="7">
        <v>0</v>
      </c>
      <c r="AG245" s="7">
        <f t="shared" si="21"/>
        <v>64941659</v>
      </c>
      <c r="AH245" s="7"/>
      <c r="AI245" s="7">
        <f t="shared" si="22"/>
        <v>76781173</v>
      </c>
    </row>
    <row r="246" spans="1:37" ht="12" customHeight="1">
      <c r="A246" s="11" t="s">
        <v>525</v>
      </c>
      <c r="B246" s="11"/>
      <c r="C246" s="11" t="s">
        <v>63</v>
      </c>
      <c r="D246" s="11"/>
      <c r="E246" s="29">
        <v>50021</v>
      </c>
      <c r="G246" s="7">
        <v>2760156</v>
      </c>
      <c r="I246" s="7">
        <v>6202110</v>
      </c>
      <c r="K246" s="7">
        <v>46931</v>
      </c>
      <c r="M246" s="7">
        <f t="shared" si="20"/>
        <v>9009197</v>
      </c>
      <c r="O246" s="7">
        <f>37602792+2249137+1268003</f>
        <v>41119932</v>
      </c>
      <c r="Q246" s="7">
        <v>0</v>
      </c>
      <c r="S246" s="7">
        <v>20657581</v>
      </c>
      <c r="U246" s="7">
        <v>184402</v>
      </c>
      <c r="W246" s="7">
        <v>314000</v>
      </c>
      <c r="Y246" s="7">
        <v>0</v>
      </c>
      <c r="AA246" s="7">
        <v>225537</v>
      </c>
      <c r="AB246" s="58"/>
      <c r="AC246" s="7">
        <v>0</v>
      </c>
      <c r="AE246" s="7">
        <v>0</v>
      </c>
      <c r="AG246" s="7">
        <f t="shared" si="21"/>
        <v>62501452</v>
      </c>
      <c r="AH246" s="7"/>
      <c r="AI246" s="7">
        <f t="shared" si="22"/>
        <v>71510649</v>
      </c>
    </row>
    <row r="247" spans="1:37" ht="12" customHeight="1">
      <c r="A247" s="11" t="s">
        <v>489</v>
      </c>
      <c r="B247" s="11"/>
      <c r="C247" s="11" t="s">
        <v>58</v>
      </c>
      <c r="D247" s="11"/>
      <c r="E247" s="29">
        <v>49502</v>
      </c>
      <c r="G247" s="7">
        <v>325004</v>
      </c>
      <c r="I247" s="7">
        <v>8898730</v>
      </c>
      <c r="K247" s="7">
        <v>0</v>
      </c>
      <c r="M247" s="7">
        <f t="shared" si="20"/>
        <v>9223734</v>
      </c>
      <c r="O247" s="7">
        <f>1169116+75675+22264</f>
        <v>1267055</v>
      </c>
      <c r="Q247" s="7">
        <v>0</v>
      </c>
      <c r="S247" s="7">
        <v>2664916</v>
      </c>
      <c r="U247" s="7">
        <v>5233</v>
      </c>
      <c r="W247" s="7">
        <v>0</v>
      </c>
      <c r="Y247" s="7">
        <v>0</v>
      </c>
      <c r="AA247" s="7">
        <v>79542</v>
      </c>
      <c r="AB247" s="58"/>
      <c r="AC247" s="7">
        <v>0</v>
      </c>
      <c r="AE247" s="7">
        <v>0</v>
      </c>
      <c r="AG247" s="7">
        <f t="shared" si="21"/>
        <v>4016746</v>
      </c>
      <c r="AH247" s="7"/>
      <c r="AI247" s="7">
        <f t="shared" si="22"/>
        <v>13240480</v>
      </c>
    </row>
    <row r="248" spans="1:37" ht="12" customHeight="1">
      <c r="A248" s="11" t="s">
        <v>292</v>
      </c>
      <c r="B248" s="11"/>
      <c r="C248" s="11" t="s">
        <v>24</v>
      </c>
      <c r="D248" s="11"/>
      <c r="E248" s="29">
        <v>44131</v>
      </c>
      <c r="G248" s="7">
        <v>1004748</v>
      </c>
      <c r="I248" s="7">
        <v>1335327</v>
      </c>
      <c r="K248" s="7">
        <v>119792</v>
      </c>
      <c r="M248" s="7">
        <f t="shared" si="20"/>
        <v>2459867</v>
      </c>
      <c r="O248" s="7">
        <f>9713558+335550+450281</f>
        <v>10499389</v>
      </c>
      <c r="Q248" s="7">
        <v>0</v>
      </c>
      <c r="S248" s="7">
        <v>5402883</v>
      </c>
      <c r="U248" s="7">
        <v>43279</v>
      </c>
      <c r="W248" s="7">
        <v>0</v>
      </c>
      <c r="Y248" s="7">
        <v>0</v>
      </c>
      <c r="AA248" s="7">
        <v>128091</v>
      </c>
      <c r="AB248" s="58"/>
      <c r="AC248" s="7">
        <v>0</v>
      </c>
      <c r="AE248" s="7">
        <v>0</v>
      </c>
      <c r="AG248" s="7">
        <f t="shared" si="21"/>
        <v>16073642</v>
      </c>
      <c r="AH248" s="7"/>
      <c r="AI248" s="7">
        <f t="shared" si="22"/>
        <v>18533509</v>
      </c>
    </row>
    <row r="249" spans="1:37" ht="12" customHeight="1">
      <c r="A249" s="11" t="s">
        <v>275</v>
      </c>
      <c r="B249" s="11"/>
      <c r="C249" s="11" t="s">
        <v>20</v>
      </c>
      <c r="D249" s="11"/>
      <c r="E249" s="29">
        <v>46565</v>
      </c>
      <c r="G249" s="7">
        <v>575189</v>
      </c>
      <c r="I249" s="7">
        <v>453666</v>
      </c>
      <c r="K249" s="7">
        <v>0</v>
      </c>
      <c r="M249" s="7">
        <f t="shared" si="20"/>
        <v>1028855</v>
      </c>
      <c r="O249" s="7">
        <f>13386901+1300281+707984</f>
        <v>15395166</v>
      </c>
      <c r="Q249" s="7">
        <v>0</v>
      </c>
      <c r="S249" s="7">
        <v>3145482</v>
      </c>
      <c r="U249" s="7">
        <v>19779</v>
      </c>
      <c r="W249" s="7">
        <v>50000</v>
      </c>
      <c r="Y249" s="7">
        <v>0</v>
      </c>
      <c r="AA249" s="7">
        <v>84085</v>
      </c>
      <c r="AB249" s="58"/>
      <c r="AC249" s="7">
        <v>0</v>
      </c>
      <c r="AE249" s="7">
        <v>0</v>
      </c>
      <c r="AG249" s="7">
        <f t="shared" si="21"/>
        <v>18694512</v>
      </c>
      <c r="AH249" s="7"/>
      <c r="AI249" s="7">
        <f t="shared" si="22"/>
        <v>19723367</v>
      </c>
    </row>
    <row r="250" spans="1:37" ht="12" customHeight="1">
      <c r="A250" s="11" t="s">
        <v>373</v>
      </c>
      <c r="B250" s="11"/>
      <c r="C250" s="11" t="s">
        <v>39</v>
      </c>
      <c r="D250" s="11"/>
      <c r="E250" s="29">
        <v>47803</v>
      </c>
      <c r="G250" s="7">
        <v>2456529</v>
      </c>
      <c r="I250" s="7">
        <v>3320934</v>
      </c>
      <c r="K250" s="7">
        <v>665920</v>
      </c>
      <c r="M250" s="7">
        <f t="shared" si="20"/>
        <v>6443383</v>
      </c>
      <c r="O250" s="7">
        <f>6436294+719272+204094+136063</f>
        <v>7495723</v>
      </c>
      <c r="Q250" s="7">
        <v>0</v>
      </c>
      <c r="S250" s="7">
        <v>9746302</v>
      </c>
      <c r="U250" s="7">
        <v>95765</v>
      </c>
      <c r="W250" s="7">
        <v>0</v>
      </c>
      <c r="Y250" s="7">
        <v>0</v>
      </c>
      <c r="AA250" s="7">
        <v>154526</v>
      </c>
      <c r="AB250" s="58"/>
      <c r="AC250" s="7">
        <v>0</v>
      </c>
      <c r="AE250" s="7">
        <v>0</v>
      </c>
      <c r="AG250" s="7">
        <f t="shared" si="21"/>
        <v>17492316</v>
      </c>
      <c r="AH250" s="7"/>
      <c r="AI250" s="7">
        <f t="shared" si="22"/>
        <v>23935699</v>
      </c>
    </row>
    <row r="251" spans="1:37" ht="12" customHeight="1">
      <c r="A251" s="11" t="s">
        <v>871</v>
      </c>
      <c r="B251" s="11"/>
      <c r="C251" s="11" t="s">
        <v>32</v>
      </c>
      <c r="D251" s="11"/>
      <c r="E251" s="29">
        <v>45435</v>
      </c>
      <c r="G251" s="7">
        <v>811914</v>
      </c>
      <c r="I251" s="7">
        <v>2200047</v>
      </c>
      <c r="K251" s="7">
        <v>0</v>
      </c>
      <c r="M251" s="7">
        <f t="shared" si="20"/>
        <v>3011961</v>
      </c>
      <c r="O251" s="7">
        <f>24498876+3408740+1416481</f>
        <v>29324097</v>
      </c>
      <c r="Q251" s="7">
        <v>0</v>
      </c>
      <c r="S251" s="7">
        <v>5769553</v>
      </c>
      <c r="U251" s="7">
        <v>159690</v>
      </c>
      <c r="W251" s="7">
        <v>3567780</v>
      </c>
      <c r="Y251" s="7">
        <v>0</v>
      </c>
      <c r="AA251" s="7">
        <v>28075</v>
      </c>
      <c r="AB251" s="58"/>
      <c r="AC251" s="7">
        <v>0</v>
      </c>
      <c r="AE251" s="7">
        <v>0</v>
      </c>
      <c r="AG251" s="7">
        <f t="shared" si="21"/>
        <v>38849195</v>
      </c>
      <c r="AH251" s="7"/>
      <c r="AI251" s="7">
        <f t="shared" si="22"/>
        <v>41861156</v>
      </c>
    </row>
    <row r="252" spans="1:37" ht="12" hidden="1" customHeight="1">
      <c r="A252" s="11" t="s">
        <v>909</v>
      </c>
      <c r="B252" s="11"/>
      <c r="C252" s="11" t="s">
        <v>43</v>
      </c>
      <c r="D252" s="11"/>
      <c r="E252" s="29"/>
      <c r="M252" s="7">
        <f t="shared" si="20"/>
        <v>0</v>
      </c>
      <c r="AB252" s="58"/>
      <c r="AC252" s="7">
        <v>0</v>
      </c>
      <c r="AE252" s="7">
        <v>0</v>
      </c>
      <c r="AG252" s="7">
        <f t="shared" si="21"/>
        <v>0</v>
      </c>
      <c r="AH252" s="7"/>
      <c r="AI252" s="7">
        <f t="shared" si="22"/>
        <v>0</v>
      </c>
      <c r="AK252" s="7" t="s">
        <v>904</v>
      </c>
    </row>
    <row r="253" spans="1:37" ht="12" customHeight="1">
      <c r="A253" s="11" t="s">
        <v>552</v>
      </c>
      <c r="B253" s="11"/>
      <c r="C253" s="11" t="s">
        <v>65</v>
      </c>
      <c r="D253" s="11"/>
      <c r="E253" s="29">
        <v>50286</v>
      </c>
      <c r="G253" s="7">
        <v>2196293</v>
      </c>
      <c r="I253" s="7">
        <v>2584887</v>
      </c>
      <c r="K253" s="7">
        <v>0</v>
      </c>
      <c r="M253" s="7">
        <f t="shared" si="20"/>
        <v>4781180</v>
      </c>
      <c r="O253" s="7">
        <f>3803509+992821+69918</f>
        <v>4866248</v>
      </c>
      <c r="Q253" s="7">
        <v>0</v>
      </c>
      <c r="S253" s="7">
        <v>9716649</v>
      </c>
      <c r="U253" s="7">
        <v>5751</v>
      </c>
      <c r="W253" s="7">
        <v>0</v>
      </c>
      <c r="Y253" s="7">
        <v>0</v>
      </c>
      <c r="AA253" s="7">
        <v>8303</v>
      </c>
      <c r="AB253" s="58"/>
      <c r="AC253" s="7">
        <v>0</v>
      </c>
      <c r="AE253" s="7">
        <v>0</v>
      </c>
      <c r="AG253" s="7">
        <f t="shared" si="21"/>
        <v>14596951</v>
      </c>
      <c r="AH253" s="7"/>
      <c r="AI253" s="7">
        <f t="shared" si="22"/>
        <v>19378131</v>
      </c>
    </row>
    <row r="254" spans="1:37" ht="12" customHeight="1">
      <c r="A254" s="11" t="s">
        <v>380</v>
      </c>
      <c r="B254" s="11"/>
      <c r="C254" s="11" t="s">
        <v>377</v>
      </c>
      <c r="D254" s="11"/>
      <c r="E254" s="29">
        <v>44149</v>
      </c>
      <c r="G254" s="7">
        <v>1820418</v>
      </c>
      <c r="I254" s="7">
        <v>3696992</v>
      </c>
      <c r="K254" s="7">
        <v>0</v>
      </c>
      <c r="M254" s="7">
        <f t="shared" si="20"/>
        <v>5517410</v>
      </c>
      <c r="O254" s="7">
        <f>2167718+915510+49244</f>
        <v>3132472</v>
      </c>
      <c r="Q254" s="7">
        <v>0</v>
      </c>
      <c r="S254" s="7">
        <v>8698692</v>
      </c>
      <c r="U254" s="7">
        <v>23365</v>
      </c>
      <c r="W254" s="7">
        <v>0</v>
      </c>
      <c r="Y254" s="7">
        <v>0</v>
      </c>
      <c r="AA254" s="7">
        <f>43885+55750</f>
        <v>99635</v>
      </c>
      <c r="AB254" s="58"/>
      <c r="AC254" s="7">
        <v>0</v>
      </c>
      <c r="AE254" s="7">
        <v>0</v>
      </c>
      <c r="AG254" s="7">
        <f t="shared" si="21"/>
        <v>11954164</v>
      </c>
      <c r="AH254" s="7"/>
      <c r="AI254" s="7">
        <f t="shared" si="22"/>
        <v>17471574</v>
      </c>
    </row>
    <row r="255" spans="1:37" ht="12" hidden="1" customHeight="1">
      <c r="A255" s="11" t="s">
        <v>700</v>
      </c>
      <c r="B255" s="11"/>
      <c r="C255" s="11" t="s">
        <v>61</v>
      </c>
      <c r="D255" s="11"/>
      <c r="E255" s="29">
        <v>49809</v>
      </c>
      <c r="M255" s="7">
        <f t="shared" si="20"/>
        <v>0</v>
      </c>
      <c r="AB255" s="58"/>
      <c r="AC255" s="7">
        <v>0</v>
      </c>
      <c r="AE255" s="7">
        <v>0</v>
      </c>
      <c r="AG255" s="7">
        <f t="shared" si="21"/>
        <v>0</v>
      </c>
      <c r="AH255" s="7"/>
      <c r="AI255" s="7">
        <f t="shared" si="22"/>
        <v>0</v>
      </c>
      <c r="AK255" s="7" t="s">
        <v>904</v>
      </c>
    </row>
    <row r="256" spans="1:37" ht="12" hidden="1" customHeight="1">
      <c r="A256" s="11" t="s">
        <v>715</v>
      </c>
      <c r="B256" s="11"/>
      <c r="C256" s="11" t="s">
        <v>38</v>
      </c>
      <c r="D256" s="11"/>
      <c r="E256" s="29"/>
      <c r="M256" s="7">
        <f>SUM(G256:L256)</f>
        <v>0</v>
      </c>
      <c r="AB256" s="58"/>
      <c r="AC256" s="7">
        <v>0</v>
      </c>
      <c r="AE256" s="7">
        <v>0</v>
      </c>
      <c r="AG256" s="7">
        <f t="shared" si="21"/>
        <v>0</v>
      </c>
      <c r="AH256" s="7"/>
      <c r="AI256" s="7">
        <f t="shared" si="22"/>
        <v>0</v>
      </c>
      <c r="AK256" s="7" t="s">
        <v>904</v>
      </c>
    </row>
    <row r="257" spans="1:37" ht="12" customHeight="1">
      <c r="A257" s="11" t="s">
        <v>512</v>
      </c>
      <c r="B257" s="11"/>
      <c r="C257" s="11" t="s">
        <v>62</v>
      </c>
      <c r="D257" s="11"/>
      <c r="E257" s="29">
        <v>49858</v>
      </c>
      <c r="G257" s="7">
        <v>2813860</v>
      </c>
      <c r="I257" s="7">
        <v>3502903</v>
      </c>
      <c r="K257" s="7">
        <v>12514</v>
      </c>
      <c r="M257" s="7">
        <f t="shared" si="20"/>
        <v>6329277</v>
      </c>
      <c r="O257" s="7">
        <f>39800981+6005662+1217318</f>
        <v>47023961</v>
      </c>
      <c r="Q257" s="7">
        <v>0</v>
      </c>
      <c r="S257" s="7">
        <v>14427244</v>
      </c>
      <c r="U257" s="7">
        <v>113768</v>
      </c>
      <c r="W257" s="7">
        <v>50918</v>
      </c>
      <c r="Y257" s="7">
        <v>0</v>
      </c>
      <c r="AA257" s="7">
        <v>62005</v>
      </c>
      <c r="AB257" s="58"/>
      <c r="AC257" s="7">
        <v>0</v>
      </c>
      <c r="AE257" s="7">
        <v>0</v>
      </c>
      <c r="AG257" s="7">
        <f t="shared" si="21"/>
        <v>61677896</v>
      </c>
      <c r="AH257" s="7"/>
      <c r="AI257" s="7">
        <f t="shared" si="22"/>
        <v>68007173</v>
      </c>
    </row>
    <row r="258" spans="1:37" ht="12" customHeight="1">
      <c r="A258" s="11" t="s">
        <v>417</v>
      </c>
      <c r="B258" s="11"/>
      <c r="C258" s="11" t="s">
        <v>45</v>
      </c>
      <c r="D258" s="11"/>
      <c r="E258" s="29">
        <v>48322</v>
      </c>
      <c r="G258" s="7">
        <v>704054</v>
      </c>
      <c r="I258" s="7">
        <v>1270565</v>
      </c>
      <c r="K258" s="7">
        <v>0</v>
      </c>
      <c r="M258" s="7">
        <f t="shared" si="20"/>
        <v>1974619</v>
      </c>
      <c r="O258" s="7">
        <f>3258692+1216124+904847</f>
        <v>5379663</v>
      </c>
      <c r="Q258" s="7">
        <v>0</v>
      </c>
      <c r="S258" s="7">
        <v>3615289</v>
      </c>
      <c r="U258" s="7">
        <v>2520</v>
      </c>
      <c r="W258" s="7">
        <v>0</v>
      </c>
      <c r="Y258" s="7">
        <v>0</v>
      </c>
      <c r="AA258" s="7">
        <v>96731</v>
      </c>
      <c r="AB258" s="58"/>
      <c r="AC258" s="7">
        <v>0</v>
      </c>
      <c r="AE258" s="7">
        <v>0</v>
      </c>
      <c r="AG258" s="7">
        <f t="shared" si="21"/>
        <v>9094203</v>
      </c>
      <c r="AH258" s="7"/>
      <c r="AI258" s="7">
        <f t="shared" si="22"/>
        <v>11068822</v>
      </c>
    </row>
    <row r="259" spans="1:37" ht="12" customHeight="1">
      <c r="A259" s="11" t="s">
        <v>475</v>
      </c>
      <c r="B259" s="11"/>
      <c r="C259" s="11" t="s">
        <v>56</v>
      </c>
      <c r="D259" s="11"/>
      <c r="E259" s="29">
        <v>49205</v>
      </c>
      <c r="G259" s="7">
        <v>1632644</v>
      </c>
      <c r="I259" s="7">
        <v>2205734</v>
      </c>
      <c r="K259" s="7">
        <v>0</v>
      </c>
      <c r="M259" s="7">
        <f t="shared" si="20"/>
        <v>3838378</v>
      </c>
      <c r="O259" s="7">
        <f>3474529+352270</f>
        <v>3826799</v>
      </c>
      <c r="Q259" s="7">
        <v>0</v>
      </c>
      <c r="S259" s="7">
        <v>6105215</v>
      </c>
      <c r="U259" s="7">
        <v>16050</v>
      </c>
      <c r="W259" s="7">
        <v>0</v>
      </c>
      <c r="Y259" s="7">
        <v>0</v>
      </c>
      <c r="AA259" s="7">
        <v>25387</v>
      </c>
      <c r="AB259" s="58"/>
      <c r="AC259" s="7">
        <v>0</v>
      </c>
      <c r="AE259" s="7">
        <v>0</v>
      </c>
      <c r="AG259" s="7">
        <f t="shared" si="21"/>
        <v>9973451</v>
      </c>
      <c r="AH259" s="7"/>
      <c r="AI259" s="7">
        <f t="shared" si="22"/>
        <v>13811829</v>
      </c>
    </row>
    <row r="260" spans="1:37" ht="12" customHeight="1">
      <c r="A260" s="11" t="s">
        <v>210</v>
      </c>
      <c r="B260" s="11"/>
      <c r="C260" s="11" t="s">
        <v>12</v>
      </c>
      <c r="D260" s="11"/>
      <c r="E260" s="29">
        <v>45872</v>
      </c>
      <c r="F260" s="6"/>
      <c r="G260" s="7">
        <v>1878040</v>
      </c>
      <c r="I260" s="7">
        <v>1573733</v>
      </c>
      <c r="K260" s="7">
        <v>0</v>
      </c>
      <c r="M260" s="7">
        <f t="shared" si="20"/>
        <v>3451773</v>
      </c>
      <c r="O260" s="7">
        <f>4961271+1309284+263533+152084</f>
        <v>6686172</v>
      </c>
      <c r="Q260" s="7">
        <v>0</v>
      </c>
      <c r="S260" s="7">
        <v>9535614</v>
      </c>
      <c r="U260" s="7">
        <v>9004</v>
      </c>
      <c r="W260" s="7">
        <v>0</v>
      </c>
      <c r="Y260" s="7">
        <v>0</v>
      </c>
      <c r="AA260" s="7">
        <v>266849</v>
      </c>
      <c r="AB260" s="58"/>
      <c r="AC260" s="7">
        <v>0</v>
      </c>
      <c r="AE260" s="7">
        <v>0</v>
      </c>
      <c r="AG260" s="7">
        <f t="shared" si="21"/>
        <v>16497639</v>
      </c>
      <c r="AH260" s="7"/>
      <c r="AI260" s="7">
        <f t="shared" si="22"/>
        <v>19949412</v>
      </c>
      <c r="AK260" s="7"/>
    </row>
    <row r="261" spans="1:37" ht="12" customHeight="1">
      <c r="A261" s="11" t="s">
        <v>410</v>
      </c>
      <c r="B261" s="11"/>
      <c r="C261" s="11" t="s">
        <v>411</v>
      </c>
      <c r="D261" s="11"/>
      <c r="E261" s="29">
        <v>48256</v>
      </c>
      <c r="G261" s="7">
        <v>1305213</v>
      </c>
      <c r="I261" s="7">
        <v>1869283</v>
      </c>
      <c r="K261" s="7">
        <v>9774</v>
      </c>
      <c r="M261" s="7">
        <f t="shared" si="20"/>
        <v>3184270</v>
      </c>
      <c r="O261" s="7">
        <f>4008271+59842+1009570</f>
        <v>5077683</v>
      </c>
      <c r="Q261" s="7">
        <v>729591</v>
      </c>
      <c r="S261" s="7">
        <v>4575369</v>
      </c>
      <c r="U261" s="7">
        <v>11333</v>
      </c>
      <c r="W261" s="7">
        <v>602841</v>
      </c>
      <c r="Y261" s="7">
        <v>0</v>
      </c>
      <c r="AA261" s="7">
        <v>5534</v>
      </c>
      <c r="AB261" s="58"/>
      <c r="AC261" s="7">
        <v>0</v>
      </c>
      <c r="AE261" s="7">
        <v>0</v>
      </c>
      <c r="AG261" s="7">
        <f t="shared" si="21"/>
        <v>11002351</v>
      </c>
      <c r="AH261" s="7"/>
      <c r="AI261" s="7">
        <f t="shared" si="22"/>
        <v>14186621</v>
      </c>
    </row>
    <row r="262" spans="1:37" ht="12" customHeight="1">
      <c r="A262" s="11" t="s">
        <v>716</v>
      </c>
      <c r="B262" s="11"/>
      <c r="C262" s="11" t="s">
        <v>50</v>
      </c>
      <c r="D262" s="11"/>
      <c r="E262" s="29">
        <v>48686</v>
      </c>
      <c r="G262" s="7">
        <v>497149</v>
      </c>
      <c r="I262" s="7">
        <v>1749293</v>
      </c>
      <c r="K262" s="7">
        <v>0</v>
      </c>
      <c r="M262" s="7">
        <f t="shared" si="20"/>
        <v>2246442</v>
      </c>
      <c r="O262" s="7">
        <f>3050323+80086</f>
        <v>3130409</v>
      </c>
      <c r="Q262" s="7">
        <v>0</v>
      </c>
      <c r="S262" s="7">
        <v>3828979</v>
      </c>
      <c r="U262" s="7">
        <v>2589</v>
      </c>
      <c r="W262" s="7">
        <v>6462</v>
      </c>
      <c r="Y262" s="7">
        <v>0</v>
      </c>
      <c r="AA262" s="7">
        <v>111706</v>
      </c>
      <c r="AB262" s="58"/>
      <c r="AC262" s="7">
        <v>0</v>
      </c>
      <c r="AE262" s="7">
        <v>0</v>
      </c>
      <c r="AG262" s="7">
        <f t="shared" si="21"/>
        <v>7080145</v>
      </c>
      <c r="AH262" s="7"/>
      <c r="AI262" s="7">
        <f t="shared" si="22"/>
        <v>9326587</v>
      </c>
      <c r="AK262" s="7"/>
    </row>
    <row r="263" spans="1:37" ht="12" hidden="1" customHeight="1">
      <c r="A263" s="11" t="s">
        <v>910</v>
      </c>
      <c r="B263" s="11"/>
      <c r="C263" s="11" t="s">
        <v>482</v>
      </c>
      <c r="D263" s="11"/>
      <c r="E263" s="29"/>
      <c r="M263" s="7">
        <f t="shared" si="20"/>
        <v>0</v>
      </c>
      <c r="AB263" s="58"/>
      <c r="AC263" s="7">
        <v>0</v>
      </c>
      <c r="AE263" s="7">
        <v>0</v>
      </c>
      <c r="AG263" s="7">
        <f t="shared" si="21"/>
        <v>0</v>
      </c>
      <c r="AH263" s="7"/>
      <c r="AI263" s="7">
        <f t="shared" si="22"/>
        <v>0</v>
      </c>
      <c r="AK263" s="7" t="s">
        <v>904</v>
      </c>
    </row>
    <row r="264" spans="1:37" ht="12" customHeight="1">
      <c r="A264" s="11" t="s">
        <v>385</v>
      </c>
      <c r="B264" s="11"/>
      <c r="C264" s="11" t="s">
        <v>42</v>
      </c>
      <c r="D264" s="11"/>
      <c r="E264" s="29">
        <v>47985</v>
      </c>
      <c r="G264" s="7">
        <v>783267</v>
      </c>
      <c r="I264" s="7">
        <v>1781882</v>
      </c>
      <c r="K264" s="7">
        <v>0</v>
      </c>
      <c r="M264" s="7">
        <f t="shared" si="20"/>
        <v>2565149</v>
      </c>
      <c r="O264" s="7">
        <v>5549595</v>
      </c>
      <c r="Q264" s="7">
        <v>2184088</v>
      </c>
      <c r="S264" s="7">
        <v>5297194</v>
      </c>
      <c r="U264" s="7">
        <v>21985</v>
      </c>
      <c r="W264" s="7">
        <v>0</v>
      </c>
      <c r="Y264" s="7">
        <v>0</v>
      </c>
      <c r="AA264" s="7">
        <v>56936</v>
      </c>
      <c r="AB264" s="58"/>
      <c r="AC264" s="7">
        <v>0</v>
      </c>
      <c r="AE264" s="7">
        <v>0</v>
      </c>
      <c r="AG264" s="7">
        <f t="shared" si="21"/>
        <v>13109798</v>
      </c>
      <c r="AH264" s="7"/>
      <c r="AI264" s="7">
        <f t="shared" si="22"/>
        <v>15674947</v>
      </c>
    </row>
    <row r="265" spans="1:37" ht="12" customHeight="1">
      <c r="A265" s="11" t="s">
        <v>412</v>
      </c>
      <c r="B265" s="11"/>
      <c r="C265" s="11" t="s">
        <v>411</v>
      </c>
      <c r="D265" s="11"/>
      <c r="E265" s="29">
        <v>48264</v>
      </c>
      <c r="G265" s="7">
        <v>2057014</v>
      </c>
      <c r="I265" s="7">
        <v>2492598</v>
      </c>
      <c r="K265" s="7">
        <v>0</v>
      </c>
      <c r="M265" s="7">
        <f t="shared" si="20"/>
        <v>4549612</v>
      </c>
      <c r="O265" s="7">
        <f>5350794+1559528+382950</f>
        <v>7293272</v>
      </c>
      <c r="Q265" s="7">
        <v>1952963</v>
      </c>
      <c r="S265" s="7">
        <v>7392326</v>
      </c>
      <c r="U265" s="7">
        <v>12442</v>
      </c>
      <c r="W265" s="7">
        <v>0</v>
      </c>
      <c r="Y265" s="7">
        <v>0</v>
      </c>
      <c r="AA265" s="7">
        <v>48867</v>
      </c>
      <c r="AB265" s="58"/>
      <c r="AC265" s="7">
        <v>0</v>
      </c>
      <c r="AE265" s="7">
        <v>0</v>
      </c>
      <c r="AG265" s="7">
        <f t="shared" si="21"/>
        <v>16699870</v>
      </c>
      <c r="AH265" s="7"/>
      <c r="AI265" s="7">
        <f t="shared" si="22"/>
        <v>21249482</v>
      </c>
    </row>
    <row r="266" spans="1:37" ht="12" customHeight="1">
      <c r="A266" s="11" t="s">
        <v>539</v>
      </c>
      <c r="B266" s="11"/>
      <c r="C266" s="11" t="s">
        <v>64</v>
      </c>
      <c r="D266" s="11"/>
      <c r="E266" s="29">
        <v>50179</v>
      </c>
      <c r="G266" s="7">
        <v>326450</v>
      </c>
      <c r="I266" s="7">
        <v>916129</v>
      </c>
      <c r="K266" s="7">
        <v>8919</v>
      </c>
      <c r="M266" s="7">
        <f t="shared" si="20"/>
        <v>1251498</v>
      </c>
      <c r="O266" s="7">
        <f>2791730+552867+43281</f>
        <v>3387878</v>
      </c>
      <c r="Q266" s="7">
        <v>0</v>
      </c>
      <c r="S266" s="7">
        <v>4704469</v>
      </c>
      <c r="U266" s="7">
        <v>9415</v>
      </c>
      <c r="W266" s="7">
        <v>0</v>
      </c>
      <c r="Y266" s="7">
        <v>0</v>
      </c>
      <c r="AA266" s="7">
        <v>68812</v>
      </c>
      <c r="AB266" s="58"/>
      <c r="AC266" s="7">
        <v>0</v>
      </c>
      <c r="AE266" s="7">
        <v>0</v>
      </c>
      <c r="AG266" s="7">
        <f t="shared" si="21"/>
        <v>8170574</v>
      </c>
      <c r="AH266" s="7"/>
      <c r="AI266" s="7">
        <f t="shared" si="22"/>
        <v>9422072</v>
      </c>
    </row>
    <row r="267" spans="1:37" ht="12" customHeight="1">
      <c r="A267" s="11" t="s">
        <v>293</v>
      </c>
      <c r="B267" s="11"/>
      <c r="C267" s="11" t="s">
        <v>24</v>
      </c>
      <c r="D267" s="11"/>
      <c r="E267" s="29">
        <v>46797</v>
      </c>
      <c r="G267" s="7">
        <v>0</v>
      </c>
      <c r="I267" s="7">
        <v>59003</v>
      </c>
      <c r="K267" s="7">
        <v>0</v>
      </c>
      <c r="M267" s="7">
        <f t="shared" si="20"/>
        <v>59003</v>
      </c>
      <c r="O267" s="7">
        <f>871904+36339+38425</f>
        <v>946668</v>
      </c>
      <c r="Q267" s="7">
        <v>0</v>
      </c>
      <c r="S267" s="7">
        <v>129471</v>
      </c>
      <c r="U267" s="7">
        <v>5294</v>
      </c>
      <c r="W267" s="7">
        <v>0</v>
      </c>
      <c r="Y267" s="7">
        <v>0</v>
      </c>
      <c r="AA267" s="7">
        <v>15</v>
      </c>
      <c r="AB267" s="58"/>
      <c r="AC267" s="7">
        <v>0</v>
      </c>
      <c r="AE267" s="7">
        <v>0</v>
      </c>
      <c r="AG267" s="7">
        <f t="shared" si="21"/>
        <v>1081448</v>
      </c>
      <c r="AH267" s="7"/>
      <c r="AI267" s="7">
        <f t="shared" si="22"/>
        <v>1140451</v>
      </c>
      <c r="AK267" s="7"/>
    </row>
    <row r="268" spans="1:37" ht="12" customHeight="1">
      <c r="A268" s="11" t="s">
        <v>321</v>
      </c>
      <c r="B268" s="11"/>
      <c r="C268" s="11" t="s">
        <v>30</v>
      </c>
      <c r="D268" s="11"/>
      <c r="E268" s="29">
        <v>47191</v>
      </c>
      <c r="G268" s="7">
        <v>867916</v>
      </c>
      <c r="I268" s="7">
        <v>1522678</v>
      </c>
      <c r="K268" s="7">
        <v>385775</v>
      </c>
      <c r="M268" s="7">
        <f t="shared" si="20"/>
        <v>2776369</v>
      </c>
      <c r="O268" s="7">
        <f>24215991+2973053</f>
        <v>27189044</v>
      </c>
      <c r="Q268" s="7">
        <v>0</v>
      </c>
      <c r="S268" s="7">
        <v>10817773</v>
      </c>
      <c r="U268" s="7">
        <v>61275</v>
      </c>
      <c r="W268" s="7">
        <v>0</v>
      </c>
      <c r="Y268" s="7">
        <v>0</v>
      </c>
      <c r="AA268" s="7">
        <v>52221</v>
      </c>
      <c r="AB268" s="58"/>
      <c r="AC268" s="7">
        <v>0</v>
      </c>
      <c r="AE268" s="7">
        <v>0</v>
      </c>
      <c r="AG268" s="7">
        <f t="shared" si="21"/>
        <v>38120313</v>
      </c>
      <c r="AH268" s="7"/>
      <c r="AI268" s="7">
        <f t="shared" si="22"/>
        <v>40896682</v>
      </c>
    </row>
    <row r="269" spans="1:37" ht="12" customHeight="1">
      <c r="A269" s="11" t="s">
        <v>476</v>
      </c>
      <c r="B269" s="11"/>
      <c r="C269" s="11" t="s">
        <v>56</v>
      </c>
      <c r="D269" s="11"/>
      <c r="E269" s="29">
        <v>44164</v>
      </c>
      <c r="G269" s="7">
        <v>4459034</v>
      </c>
      <c r="I269" s="7">
        <v>4868267</v>
      </c>
      <c r="K269" s="7">
        <v>0</v>
      </c>
      <c r="M269" s="7">
        <f t="shared" si="20"/>
        <v>9327301</v>
      </c>
      <c r="O269" s="7">
        <f>18631988+2087452</f>
        <v>20719440</v>
      </c>
      <c r="Q269" s="7">
        <v>0</v>
      </c>
      <c r="S269" s="7">
        <v>17924691</v>
      </c>
      <c r="U269" s="7">
        <v>31616</v>
      </c>
      <c r="W269" s="7">
        <v>0</v>
      </c>
      <c r="Y269" s="7">
        <v>13185</v>
      </c>
      <c r="AA269" s="7">
        <v>25465</v>
      </c>
      <c r="AB269" s="58"/>
      <c r="AC269" s="7">
        <v>0</v>
      </c>
      <c r="AE269" s="7">
        <v>0</v>
      </c>
      <c r="AG269" s="7">
        <f t="shared" si="21"/>
        <v>38714397</v>
      </c>
      <c r="AH269" s="7"/>
      <c r="AI269" s="7">
        <f t="shared" si="22"/>
        <v>48041698</v>
      </c>
    </row>
    <row r="270" spans="1:37" ht="12" customHeight="1">
      <c r="A270" s="11" t="s">
        <v>350</v>
      </c>
      <c r="B270" s="11"/>
      <c r="C270" s="11" t="s">
        <v>348</v>
      </c>
      <c r="D270" s="11"/>
      <c r="E270" s="29">
        <v>44172</v>
      </c>
      <c r="G270" s="7">
        <v>1381548</v>
      </c>
      <c r="I270" s="7">
        <v>3286038</v>
      </c>
      <c r="K270" s="7">
        <v>18200</v>
      </c>
      <c r="M270" s="7">
        <f t="shared" si="20"/>
        <v>4685786</v>
      </c>
      <c r="O270" s="7">
        <v>3500012</v>
      </c>
      <c r="Q270" s="7">
        <v>1949074</v>
      </c>
      <c r="S270" s="7">
        <v>9585516</v>
      </c>
      <c r="U270" s="7">
        <v>5264</v>
      </c>
      <c r="W270" s="7">
        <v>0</v>
      </c>
      <c r="Y270" s="7">
        <v>0</v>
      </c>
      <c r="AA270" s="7">
        <v>201778</v>
      </c>
      <c r="AB270" s="58"/>
      <c r="AC270" s="7">
        <v>0</v>
      </c>
      <c r="AE270" s="7">
        <v>0</v>
      </c>
      <c r="AG270" s="7">
        <f t="shared" si="21"/>
        <v>15241644</v>
      </c>
      <c r="AH270" s="7"/>
      <c r="AI270" s="7">
        <f t="shared" si="22"/>
        <v>19927430</v>
      </c>
    </row>
    <row r="271" spans="1:37" s="32" customFormat="1" ht="12" customHeight="1">
      <c r="A271" s="31" t="s">
        <v>444</v>
      </c>
      <c r="B271" s="31"/>
      <c r="C271" s="31" t="s">
        <v>50</v>
      </c>
      <c r="D271" s="31"/>
      <c r="E271" s="31">
        <v>44180</v>
      </c>
      <c r="G271" s="32">
        <v>4103238</v>
      </c>
      <c r="I271" s="32">
        <v>17861591</v>
      </c>
      <c r="K271" s="32">
        <v>0</v>
      </c>
      <c r="M271" s="32">
        <f t="shared" si="20"/>
        <v>21964829</v>
      </c>
      <c r="O271" s="32">
        <v>61540434</v>
      </c>
      <c r="Q271" s="32">
        <v>0</v>
      </c>
      <c r="S271" s="32">
        <v>18477287</v>
      </c>
      <c r="U271" s="32">
        <v>73241</v>
      </c>
      <c r="W271" s="32">
        <v>0</v>
      </c>
      <c r="Y271" s="32">
        <v>0</v>
      </c>
      <c r="AA271" s="32">
        <v>454500</v>
      </c>
      <c r="AB271" s="57"/>
      <c r="AC271" s="32">
        <v>0</v>
      </c>
      <c r="AE271" s="32">
        <v>0</v>
      </c>
      <c r="AG271" s="32">
        <f t="shared" si="21"/>
        <v>80545462</v>
      </c>
      <c r="AI271" s="32">
        <f t="shared" si="22"/>
        <v>102510291</v>
      </c>
    </row>
    <row r="272" spans="1:37" ht="12" customHeight="1">
      <c r="A272" s="11" t="s">
        <v>666</v>
      </c>
      <c r="B272" s="11"/>
      <c r="C272" s="11" t="s">
        <v>44</v>
      </c>
      <c r="D272" s="11"/>
      <c r="E272" s="29">
        <v>48165</v>
      </c>
      <c r="G272" s="7">
        <v>1171789</v>
      </c>
      <c r="I272" s="7">
        <v>2389423</v>
      </c>
      <c r="K272" s="7">
        <v>0</v>
      </c>
      <c r="M272" s="7">
        <f t="shared" si="20"/>
        <v>3561212</v>
      </c>
      <c r="O272" s="7">
        <f>5098704+1221080+218383</f>
        <v>6538167</v>
      </c>
      <c r="Q272" s="7">
        <v>0</v>
      </c>
      <c r="S272" s="7">
        <v>7498166</v>
      </c>
      <c r="U272" s="7">
        <v>48618</v>
      </c>
      <c r="W272" s="7">
        <v>0</v>
      </c>
      <c r="Y272" s="7">
        <v>0</v>
      </c>
      <c r="AA272" s="7">
        <v>287507</v>
      </c>
      <c r="AB272" s="58"/>
      <c r="AC272" s="7">
        <v>0</v>
      </c>
      <c r="AE272" s="7">
        <v>0</v>
      </c>
      <c r="AG272" s="7">
        <f t="shared" si="21"/>
        <v>14372458</v>
      </c>
      <c r="AH272" s="7"/>
      <c r="AI272" s="7">
        <f t="shared" si="22"/>
        <v>17933670</v>
      </c>
    </row>
    <row r="273" spans="1:37" ht="12" customHeight="1">
      <c r="A273" s="11" t="s">
        <v>761</v>
      </c>
      <c r="B273" s="11"/>
      <c r="C273" s="11" t="s">
        <v>69</v>
      </c>
      <c r="D273" s="11"/>
      <c r="E273" s="29">
        <v>50435</v>
      </c>
      <c r="G273" s="7">
        <v>908483</v>
      </c>
      <c r="I273" s="7">
        <v>2818237</v>
      </c>
      <c r="K273" s="7">
        <v>0</v>
      </c>
      <c r="M273" s="7">
        <f t="shared" si="20"/>
        <v>3726720</v>
      </c>
      <c r="O273" s="7">
        <f>22583996+3069593+955227</f>
        <v>26608816</v>
      </c>
      <c r="Q273" s="7">
        <v>0</v>
      </c>
      <c r="S273" s="7">
        <v>13913335</v>
      </c>
      <c r="U273" s="7">
        <v>14959</v>
      </c>
      <c r="W273" s="7">
        <v>1914186</v>
      </c>
      <c r="Y273" s="7">
        <v>58205</v>
      </c>
      <c r="AA273" s="7">
        <v>354730</v>
      </c>
      <c r="AB273" s="58"/>
      <c r="AC273" s="7">
        <v>0</v>
      </c>
      <c r="AE273" s="7">
        <v>0</v>
      </c>
      <c r="AG273" s="7">
        <f t="shared" si="21"/>
        <v>42864231</v>
      </c>
      <c r="AH273" s="7"/>
      <c r="AI273" s="7">
        <f t="shared" si="22"/>
        <v>46590951</v>
      </c>
    </row>
    <row r="274" spans="1:37" ht="12" hidden="1" customHeight="1">
      <c r="A274" s="11" t="s">
        <v>729</v>
      </c>
      <c r="B274" s="11"/>
      <c r="C274" s="11" t="s">
        <v>41</v>
      </c>
      <c r="D274" s="11"/>
      <c r="E274" s="29">
        <v>47878</v>
      </c>
      <c r="M274" s="7">
        <f t="shared" si="20"/>
        <v>0</v>
      </c>
      <c r="AB274" s="58"/>
      <c r="AC274" s="7">
        <v>0</v>
      </c>
      <c r="AE274" s="7">
        <v>0</v>
      </c>
      <c r="AG274" s="7">
        <f t="shared" si="21"/>
        <v>0</v>
      </c>
      <c r="AH274" s="7"/>
      <c r="AI274" s="7">
        <f t="shared" si="22"/>
        <v>0</v>
      </c>
      <c r="AK274" s="7" t="s">
        <v>911</v>
      </c>
    </row>
    <row r="275" spans="1:37" ht="12" customHeight="1">
      <c r="A275" s="11" t="s">
        <v>540</v>
      </c>
      <c r="B275" s="11"/>
      <c r="C275" s="11" t="s">
        <v>64</v>
      </c>
      <c r="D275" s="11"/>
      <c r="E275" s="29">
        <v>50245</v>
      </c>
      <c r="G275" s="7">
        <v>1697996</v>
      </c>
      <c r="I275" s="7">
        <v>3387022</v>
      </c>
      <c r="K275" s="7">
        <v>0</v>
      </c>
      <c r="M275" s="7">
        <f t="shared" si="20"/>
        <v>5085018</v>
      </c>
      <c r="O275" s="7">
        <f>1717183+414063+31167+144439</f>
        <v>2306852</v>
      </c>
      <c r="Q275" s="7">
        <v>0</v>
      </c>
      <c r="S275" s="7">
        <v>7468886</v>
      </c>
      <c r="U275" s="7">
        <v>15669</v>
      </c>
      <c r="W275" s="7">
        <v>0</v>
      </c>
      <c r="Y275" s="7">
        <v>0</v>
      </c>
      <c r="AA275" s="7">
        <v>57691</v>
      </c>
      <c r="AB275" s="58"/>
      <c r="AC275" s="7">
        <v>0</v>
      </c>
      <c r="AE275" s="7">
        <v>0</v>
      </c>
      <c r="AG275" s="7">
        <f t="shared" si="21"/>
        <v>9849098</v>
      </c>
      <c r="AH275" s="7"/>
      <c r="AI275" s="7">
        <f t="shared" si="22"/>
        <v>14934116</v>
      </c>
    </row>
    <row r="276" spans="1:37" ht="12" customHeight="1">
      <c r="A276" s="11" t="s">
        <v>513</v>
      </c>
      <c r="B276" s="11"/>
      <c r="C276" s="11" t="s">
        <v>62</v>
      </c>
      <c r="D276" s="11"/>
      <c r="E276" s="29">
        <v>49866</v>
      </c>
      <c r="G276" s="7">
        <v>792357</v>
      </c>
      <c r="I276" s="7">
        <v>3005948</v>
      </c>
      <c r="K276" s="7">
        <v>665869</v>
      </c>
      <c r="M276" s="7">
        <f t="shared" si="20"/>
        <v>4464174</v>
      </c>
      <c r="O276" s="7">
        <f>13828350+1942687</f>
        <v>15771037</v>
      </c>
      <c r="Q276" s="7">
        <v>0</v>
      </c>
      <c r="S276" s="7">
        <v>16921423</v>
      </c>
      <c r="U276" s="7">
        <v>10322</v>
      </c>
      <c r="W276" s="7">
        <v>0</v>
      </c>
      <c r="Y276" s="7">
        <v>0</v>
      </c>
      <c r="AA276" s="7">
        <v>16727</v>
      </c>
      <c r="AB276" s="58"/>
      <c r="AC276" s="7">
        <v>0</v>
      </c>
      <c r="AE276" s="7">
        <v>0</v>
      </c>
      <c r="AG276" s="7">
        <f t="shared" si="21"/>
        <v>32719509</v>
      </c>
      <c r="AH276" s="7"/>
      <c r="AI276" s="7">
        <f t="shared" si="22"/>
        <v>37183683</v>
      </c>
    </row>
    <row r="277" spans="1:37" ht="12" hidden="1" customHeight="1">
      <c r="A277" s="11" t="s">
        <v>913</v>
      </c>
      <c r="B277" s="11"/>
      <c r="C277" s="11" t="s">
        <v>72</v>
      </c>
      <c r="D277" s="11"/>
      <c r="E277" s="29">
        <v>50690</v>
      </c>
      <c r="M277" s="7">
        <f t="shared" si="20"/>
        <v>0</v>
      </c>
      <c r="AB277" s="58"/>
      <c r="AC277" s="7">
        <v>0</v>
      </c>
      <c r="AE277" s="7">
        <v>0</v>
      </c>
      <c r="AG277" s="7">
        <f t="shared" si="21"/>
        <v>0</v>
      </c>
      <c r="AH277" s="7"/>
      <c r="AI277" s="7">
        <f t="shared" si="22"/>
        <v>0</v>
      </c>
      <c r="AK277" s="7" t="s">
        <v>912</v>
      </c>
    </row>
    <row r="278" spans="1:37" ht="12" customHeight="1">
      <c r="A278" s="11" t="s">
        <v>541</v>
      </c>
      <c r="B278" s="11"/>
      <c r="C278" s="11" t="s">
        <v>64</v>
      </c>
      <c r="D278" s="11"/>
      <c r="E278" s="29">
        <v>50187</v>
      </c>
      <c r="G278" s="7">
        <v>1222996</v>
      </c>
      <c r="I278" s="7">
        <v>2069832</v>
      </c>
      <c r="K278" s="7">
        <v>60155</v>
      </c>
      <c r="M278" s="7">
        <f t="shared" si="20"/>
        <v>3352983</v>
      </c>
      <c r="O278" s="7">
        <f>5633701+453342+231735</f>
        <v>6318778</v>
      </c>
      <c r="Q278" s="7">
        <v>0</v>
      </c>
      <c r="S278" s="7">
        <v>7914585</v>
      </c>
      <c r="U278" s="7">
        <v>10728</v>
      </c>
      <c r="W278" s="7">
        <v>0</v>
      </c>
      <c r="Y278" s="7">
        <v>0</v>
      </c>
      <c r="AA278" s="7">
        <v>21004</v>
      </c>
      <c r="AB278" s="58"/>
      <c r="AC278" s="7">
        <v>0</v>
      </c>
      <c r="AE278" s="7">
        <v>0</v>
      </c>
      <c r="AG278" s="7">
        <f t="shared" si="21"/>
        <v>14265095</v>
      </c>
      <c r="AH278" s="7"/>
      <c r="AI278" s="7">
        <f t="shared" si="22"/>
        <v>17618078</v>
      </c>
    </row>
    <row r="279" spans="1:37" ht="12" customHeight="1">
      <c r="A279" s="11" t="s">
        <v>276</v>
      </c>
      <c r="B279" s="11"/>
      <c r="C279" s="11" t="s">
        <v>20</v>
      </c>
      <c r="D279" s="11"/>
      <c r="E279" s="29">
        <v>44198</v>
      </c>
      <c r="G279" s="7">
        <v>4885242</v>
      </c>
      <c r="I279" s="7">
        <v>12081941</v>
      </c>
      <c r="K279" s="7">
        <v>0</v>
      </c>
      <c r="M279" s="7">
        <f t="shared" si="20"/>
        <v>16967183</v>
      </c>
      <c r="O279" s="7">
        <f>37654415+8435721</f>
        <v>46090136</v>
      </c>
      <c r="Q279" s="7">
        <v>0</v>
      </c>
      <c r="S279" s="7">
        <v>24305558</v>
      </c>
      <c r="U279" s="7">
        <v>155323</v>
      </c>
      <c r="W279" s="7">
        <v>67210</v>
      </c>
      <c r="Y279" s="7">
        <v>0</v>
      </c>
      <c r="AA279" s="7">
        <v>67799</v>
      </c>
      <c r="AB279" s="58"/>
      <c r="AC279" s="7">
        <v>0</v>
      </c>
      <c r="AE279" s="7">
        <v>0</v>
      </c>
      <c r="AG279" s="7">
        <f t="shared" si="21"/>
        <v>70686026</v>
      </c>
      <c r="AH279" s="7"/>
      <c r="AI279" s="7">
        <f t="shared" si="22"/>
        <v>87653209</v>
      </c>
      <c r="AK279" s="7" t="s">
        <v>914</v>
      </c>
    </row>
    <row r="280" spans="1:37" ht="12" customHeight="1">
      <c r="A280" s="11" t="s">
        <v>657</v>
      </c>
      <c r="B280" s="11"/>
      <c r="C280" s="11" t="s">
        <v>42</v>
      </c>
      <c r="D280" s="11"/>
      <c r="E280" s="29">
        <v>47993</v>
      </c>
      <c r="G280" s="7">
        <v>615198</v>
      </c>
      <c r="I280" s="7">
        <v>1596451</v>
      </c>
      <c r="K280" s="7">
        <v>51000</v>
      </c>
      <c r="M280" s="7">
        <f t="shared" si="20"/>
        <v>2262649</v>
      </c>
      <c r="O280" s="7">
        <f>10519556+978147</f>
        <v>11497703</v>
      </c>
      <c r="Q280" s="7">
        <v>0</v>
      </c>
      <c r="S280" s="7">
        <v>8861970</v>
      </c>
      <c r="U280" s="7">
        <v>31769</v>
      </c>
      <c r="W280" s="7">
        <v>0</v>
      </c>
      <c r="Y280" s="7">
        <v>0</v>
      </c>
      <c r="AA280" s="7">
        <v>64743</v>
      </c>
      <c r="AB280" s="58"/>
      <c r="AC280" s="7">
        <v>0</v>
      </c>
      <c r="AE280" s="7">
        <v>0</v>
      </c>
      <c r="AG280" s="7">
        <f t="shared" si="21"/>
        <v>20456185</v>
      </c>
      <c r="AH280" s="7"/>
      <c r="AI280" s="7">
        <f t="shared" si="22"/>
        <v>22718834</v>
      </c>
    </row>
    <row r="281" spans="1:37" ht="12" customHeight="1">
      <c r="A281" s="11" t="s">
        <v>226</v>
      </c>
      <c r="B281" s="11"/>
      <c r="C281" s="11" t="s">
        <v>223</v>
      </c>
      <c r="D281" s="11"/>
      <c r="E281" s="29">
        <v>46110</v>
      </c>
      <c r="F281" s="6"/>
      <c r="G281" s="7">
        <v>8555649</v>
      </c>
      <c r="I281" s="7">
        <v>14091811</v>
      </c>
      <c r="K281" s="7">
        <v>0</v>
      </c>
      <c r="M281" s="7">
        <f t="shared" si="20"/>
        <v>22647460</v>
      </c>
      <c r="O281" s="7">
        <f>71923151+11309553</f>
        <v>83232704</v>
      </c>
      <c r="Q281" s="7">
        <v>0</v>
      </c>
      <c r="S281" s="7">
        <v>58880750</v>
      </c>
      <c r="U281" s="7">
        <v>93272</v>
      </c>
      <c r="W281" s="7">
        <v>11874109</v>
      </c>
      <c r="Y281" s="7">
        <v>195225</v>
      </c>
      <c r="AA281" s="7">
        <v>503997</v>
      </c>
      <c r="AB281" s="58"/>
      <c r="AC281" s="7">
        <v>0</v>
      </c>
      <c r="AE281" s="7">
        <v>0</v>
      </c>
      <c r="AG281" s="7">
        <f t="shared" si="21"/>
        <v>154780057</v>
      </c>
      <c r="AH281" s="7"/>
      <c r="AI281" s="7">
        <f t="shared" si="22"/>
        <v>177427517</v>
      </c>
    </row>
    <row r="282" spans="1:37" s="32" customFormat="1" ht="12" hidden="1" customHeight="1">
      <c r="A282" s="11" t="s">
        <v>915</v>
      </c>
      <c r="B282" s="31"/>
      <c r="C282" s="31" t="s">
        <v>79</v>
      </c>
      <c r="D282" s="31"/>
      <c r="E282" s="29">
        <v>49569</v>
      </c>
      <c r="G282" s="7"/>
      <c r="H282" s="7"/>
      <c r="I282" s="7"/>
      <c r="J282" s="7"/>
      <c r="K282" s="7"/>
      <c r="L282" s="7"/>
      <c r="M282" s="7">
        <f t="shared" si="20"/>
        <v>0</v>
      </c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58"/>
      <c r="AC282" s="7">
        <v>0</v>
      </c>
      <c r="AD282" s="7"/>
      <c r="AE282" s="7">
        <v>0</v>
      </c>
      <c r="AF282" s="7"/>
      <c r="AG282" s="7">
        <f t="shared" si="21"/>
        <v>0</v>
      </c>
      <c r="AH282" s="7"/>
      <c r="AI282" s="7">
        <f t="shared" si="22"/>
        <v>0</v>
      </c>
      <c r="AK282" s="7" t="s">
        <v>903</v>
      </c>
    </row>
    <row r="283" spans="1:37" ht="12" customHeight="1">
      <c r="A283" s="11" t="s">
        <v>301</v>
      </c>
      <c r="B283" s="11"/>
      <c r="C283" s="11" t="s">
        <v>25</v>
      </c>
      <c r="D283" s="11"/>
      <c r="E283" s="29">
        <v>44206</v>
      </c>
      <c r="G283" s="7">
        <v>2469674</v>
      </c>
      <c r="I283" s="7">
        <v>9472098</v>
      </c>
      <c r="K283" s="7">
        <v>6367</v>
      </c>
      <c r="M283" s="7">
        <f t="shared" si="20"/>
        <v>11948139</v>
      </c>
      <c r="O283" s="7">
        <v>20337720</v>
      </c>
      <c r="Q283" s="7">
        <v>10074785</v>
      </c>
      <c r="S283" s="7">
        <v>25647701</v>
      </c>
      <c r="U283" s="7">
        <v>355164</v>
      </c>
      <c r="W283" s="7">
        <v>53200</v>
      </c>
      <c r="Y283" s="7">
        <v>2747</v>
      </c>
      <c r="AA283" s="7">
        <f>157225+11898</f>
        <v>169123</v>
      </c>
      <c r="AB283" s="58"/>
      <c r="AC283" s="7">
        <v>0</v>
      </c>
      <c r="AE283" s="7">
        <v>0</v>
      </c>
      <c r="AG283" s="7">
        <f t="shared" si="21"/>
        <v>56640440</v>
      </c>
      <c r="AH283" s="7"/>
      <c r="AI283" s="7">
        <f t="shared" si="22"/>
        <v>68588579</v>
      </c>
    </row>
    <row r="284" spans="1:37" ht="12" hidden="1" customHeight="1">
      <c r="A284" s="11" t="s">
        <v>771</v>
      </c>
      <c r="B284" s="11"/>
      <c r="C284" s="11" t="s">
        <v>69</v>
      </c>
      <c r="D284" s="11"/>
      <c r="E284" s="29">
        <v>44214</v>
      </c>
      <c r="M284" s="7">
        <f t="shared" si="20"/>
        <v>0</v>
      </c>
      <c r="AB284" s="58"/>
      <c r="AC284" s="7">
        <v>0</v>
      </c>
      <c r="AE284" s="7">
        <v>0</v>
      </c>
      <c r="AG284" s="7">
        <f t="shared" si="21"/>
        <v>0</v>
      </c>
      <c r="AH284" s="7"/>
      <c r="AI284" s="7">
        <f t="shared" si="22"/>
        <v>0</v>
      </c>
      <c r="AK284" s="7" t="s">
        <v>839</v>
      </c>
    </row>
    <row r="285" spans="1:37" ht="12" customHeight="1">
      <c r="A285" s="11" t="s">
        <v>322</v>
      </c>
      <c r="B285" s="11"/>
      <c r="C285" s="11" t="s">
        <v>30</v>
      </c>
      <c r="D285" s="11"/>
      <c r="E285" s="29">
        <v>47209</v>
      </c>
      <c r="G285" s="7">
        <v>463335</v>
      </c>
      <c r="I285" s="7">
        <v>646399</v>
      </c>
      <c r="K285" s="7">
        <v>0</v>
      </c>
      <c r="M285" s="7">
        <f t="shared" si="20"/>
        <v>1109734</v>
      </c>
      <c r="O285" s="7">
        <v>2074873</v>
      </c>
      <c r="Q285" s="7">
        <v>220984</v>
      </c>
      <c r="S285" s="7">
        <v>2580700</v>
      </c>
      <c r="U285" s="7">
        <v>1315</v>
      </c>
      <c r="W285" s="7">
        <v>0</v>
      </c>
      <c r="Y285" s="7">
        <v>0</v>
      </c>
      <c r="AA285" s="7">
        <v>10780</v>
      </c>
      <c r="AB285" s="58"/>
      <c r="AC285" s="7">
        <v>0</v>
      </c>
      <c r="AE285" s="7">
        <v>0</v>
      </c>
      <c r="AG285" s="7">
        <f t="shared" si="21"/>
        <v>4888652</v>
      </c>
      <c r="AH285" s="7"/>
      <c r="AI285" s="7">
        <f t="shared" si="22"/>
        <v>5998386</v>
      </c>
    </row>
    <row r="286" spans="1:37" ht="12" hidden="1" customHeight="1">
      <c r="A286" s="12" t="s">
        <v>872</v>
      </c>
      <c r="B286" s="11"/>
      <c r="C286" s="11" t="s">
        <v>112</v>
      </c>
      <c r="D286" s="11"/>
      <c r="E286" s="29"/>
      <c r="AB286" s="58"/>
      <c r="AC286" s="7">
        <v>0</v>
      </c>
      <c r="AE286" s="7">
        <v>0</v>
      </c>
      <c r="AH286" s="7"/>
      <c r="AK286" s="7" t="s">
        <v>917</v>
      </c>
    </row>
    <row r="287" spans="1:37" ht="12" hidden="1" customHeight="1">
      <c r="A287" s="11" t="s">
        <v>717</v>
      </c>
      <c r="B287" s="11"/>
      <c r="C287" s="11" t="s">
        <v>482</v>
      </c>
      <c r="D287" s="11"/>
      <c r="E287" s="29">
        <v>49353</v>
      </c>
      <c r="M287" s="7">
        <f t="shared" si="20"/>
        <v>0</v>
      </c>
      <c r="AB287" s="58"/>
      <c r="AC287" s="7">
        <v>0</v>
      </c>
      <c r="AE287" s="7">
        <v>0</v>
      </c>
      <c r="AG287" s="7">
        <f t="shared" si="21"/>
        <v>0</v>
      </c>
      <c r="AH287" s="7"/>
      <c r="AI287" s="7">
        <f t="shared" si="22"/>
        <v>0</v>
      </c>
      <c r="AK287" s="7" t="s">
        <v>839</v>
      </c>
    </row>
    <row r="288" spans="1:37" ht="12" hidden="1" customHeight="1">
      <c r="A288" s="11" t="s">
        <v>918</v>
      </c>
      <c r="B288" s="11"/>
      <c r="C288" s="11" t="s">
        <v>110</v>
      </c>
      <c r="D288" s="11"/>
      <c r="E288" s="29">
        <v>49437</v>
      </c>
      <c r="M288" s="7">
        <f t="shared" si="20"/>
        <v>0</v>
      </c>
      <c r="AB288" s="58"/>
      <c r="AC288" s="7">
        <v>0</v>
      </c>
      <c r="AE288" s="7">
        <v>0</v>
      </c>
      <c r="AG288" s="7">
        <f t="shared" si="21"/>
        <v>0</v>
      </c>
      <c r="AH288" s="7"/>
      <c r="AI288" s="7">
        <f t="shared" si="22"/>
        <v>0</v>
      </c>
      <c r="AK288" s="7" t="s">
        <v>912</v>
      </c>
    </row>
    <row r="289" spans="1:37" ht="12" customHeight="1">
      <c r="A289" s="11" t="s">
        <v>920</v>
      </c>
      <c r="B289" s="11"/>
      <c r="C289" s="11" t="s">
        <v>33</v>
      </c>
      <c r="D289" s="11"/>
      <c r="E289" s="29">
        <v>47449</v>
      </c>
      <c r="G289" s="7">
        <v>1264272</v>
      </c>
      <c r="I289" s="7">
        <v>1256813</v>
      </c>
      <c r="K289" s="7">
        <v>0</v>
      </c>
      <c r="M289" s="7">
        <f>SUM(G289:L289)</f>
        <v>2521085</v>
      </c>
      <c r="O289" s="7">
        <f>4057179+524171</f>
        <v>4581350</v>
      </c>
      <c r="Q289" s="7">
        <v>1277121</v>
      </c>
      <c r="S289" s="7">
        <v>5915800</v>
      </c>
      <c r="U289" s="7">
        <v>8110</v>
      </c>
      <c r="W289" s="7">
        <v>13148</v>
      </c>
      <c r="Y289" s="7">
        <v>3398</v>
      </c>
      <c r="AA289" s="7">
        <v>83749</v>
      </c>
      <c r="AB289" s="58"/>
      <c r="AC289" s="7">
        <v>0</v>
      </c>
      <c r="AE289" s="7">
        <v>0</v>
      </c>
      <c r="AG289" s="7">
        <f>SUM(O289:AE289)</f>
        <v>11882676</v>
      </c>
      <c r="AH289" s="7"/>
      <c r="AI289" s="7">
        <f>+AG289+M289</f>
        <v>14403761</v>
      </c>
    </row>
    <row r="290" spans="1:37" ht="12" customHeight="1">
      <c r="A290" s="11" t="s">
        <v>355</v>
      </c>
      <c r="B290" s="11"/>
      <c r="C290" s="11" t="s">
        <v>34</v>
      </c>
      <c r="D290" s="11"/>
      <c r="E290" s="29">
        <v>47589</v>
      </c>
      <c r="G290" s="7">
        <v>1688489</v>
      </c>
      <c r="I290" s="7">
        <v>1323515</v>
      </c>
      <c r="K290" s="7">
        <v>0</v>
      </c>
      <c r="M290" s="7">
        <f t="shared" si="20"/>
        <v>3012004</v>
      </c>
      <c r="O290" s="7">
        <f>2340296+134159+320022</f>
        <v>2794477</v>
      </c>
      <c r="Q290" s="7">
        <v>1899735</v>
      </c>
      <c r="S290" s="7">
        <v>5879441</v>
      </c>
      <c r="U290" s="7">
        <v>52683</v>
      </c>
      <c r="W290" s="7">
        <v>0</v>
      </c>
      <c r="Y290" s="7">
        <v>231961</v>
      </c>
      <c r="AA290" s="7">
        <v>31457</v>
      </c>
      <c r="AB290" s="58"/>
      <c r="AC290" s="7">
        <v>0</v>
      </c>
      <c r="AE290" s="7">
        <v>0</v>
      </c>
      <c r="AG290" s="7">
        <f t="shared" si="21"/>
        <v>10889754</v>
      </c>
      <c r="AH290" s="7"/>
      <c r="AI290" s="7">
        <f t="shared" si="22"/>
        <v>13901758</v>
      </c>
      <c r="AK290" s="7"/>
    </row>
    <row r="291" spans="1:37" ht="12" customHeight="1">
      <c r="A291" s="11" t="s">
        <v>542</v>
      </c>
      <c r="B291" s="11"/>
      <c r="C291" s="11" t="s">
        <v>64</v>
      </c>
      <c r="D291" s="11"/>
      <c r="E291" s="29">
        <v>50195</v>
      </c>
      <c r="G291" s="7">
        <v>933955</v>
      </c>
      <c r="I291" s="7">
        <v>2368780</v>
      </c>
      <c r="K291" s="7">
        <v>0</v>
      </c>
      <c r="M291" s="7">
        <f t="shared" si="20"/>
        <v>3302735</v>
      </c>
      <c r="O291" s="7">
        <f>7854207+792378+120803</f>
        <v>8767388</v>
      </c>
      <c r="Q291" s="7">
        <v>0</v>
      </c>
      <c r="S291" s="7">
        <v>6264702</v>
      </c>
      <c r="U291" s="7">
        <v>17553</v>
      </c>
      <c r="W291" s="7">
        <v>0</v>
      </c>
      <c r="Y291" s="7">
        <v>0</v>
      </c>
      <c r="AA291" s="7">
        <v>185839</v>
      </c>
      <c r="AB291" s="58"/>
      <c r="AC291" s="7">
        <v>0</v>
      </c>
      <c r="AE291" s="7">
        <v>0</v>
      </c>
      <c r="AG291" s="7">
        <f t="shared" si="21"/>
        <v>15235482</v>
      </c>
      <c r="AH291" s="7"/>
      <c r="AI291" s="7">
        <f t="shared" si="22"/>
        <v>18538217</v>
      </c>
      <c r="AK291" s="7"/>
    </row>
    <row r="292" spans="1:37" ht="12" customHeight="1">
      <c r="A292" s="11" t="s">
        <v>842</v>
      </c>
      <c r="B292" s="11"/>
      <c r="C292" s="11" t="s">
        <v>25</v>
      </c>
      <c r="D292" s="11"/>
      <c r="E292" s="29">
        <v>46888</v>
      </c>
      <c r="G292" s="7">
        <v>661068</v>
      </c>
      <c r="I292" s="7">
        <v>5014994</v>
      </c>
      <c r="K292" s="7">
        <v>0</v>
      </c>
      <c r="M292" s="7">
        <f t="shared" si="20"/>
        <v>5676062</v>
      </c>
      <c r="O292" s="7">
        <f>3113261+944360+130703</f>
        <v>4188324</v>
      </c>
      <c r="Q292" s="7">
        <v>2842895</v>
      </c>
      <c r="S292" s="7">
        <v>2314995</v>
      </c>
      <c r="U292" s="7">
        <v>51009</v>
      </c>
      <c r="W292" s="7">
        <v>0</v>
      </c>
      <c r="Y292" s="7">
        <v>0</v>
      </c>
      <c r="AA292" s="7">
        <f>378246+104743</f>
        <v>482989</v>
      </c>
      <c r="AB292" s="58"/>
      <c r="AC292" s="7">
        <v>0</v>
      </c>
      <c r="AE292" s="7">
        <v>0</v>
      </c>
      <c r="AG292" s="7">
        <f t="shared" si="21"/>
        <v>9880212</v>
      </c>
      <c r="AH292" s="7"/>
      <c r="AI292" s="7">
        <f t="shared" si="22"/>
        <v>15556274</v>
      </c>
    </row>
    <row r="293" spans="1:37" ht="12" customHeight="1">
      <c r="A293" s="11" t="s">
        <v>386</v>
      </c>
      <c r="B293" s="11"/>
      <c r="C293" s="11" t="s">
        <v>42</v>
      </c>
      <c r="D293" s="11"/>
      <c r="E293" s="29">
        <v>48009</v>
      </c>
      <c r="G293" s="7">
        <v>1284805</v>
      </c>
      <c r="I293" s="7">
        <v>2575310</v>
      </c>
      <c r="K293" s="7">
        <v>0</v>
      </c>
      <c r="M293" s="7">
        <f>SUM(G293:L293)</f>
        <v>3860115</v>
      </c>
      <c r="O293" s="7">
        <f>12471120+2508680+804299</f>
        <v>15784099</v>
      </c>
      <c r="Q293" s="7">
        <v>0</v>
      </c>
      <c r="S293" s="7">
        <v>10327810</v>
      </c>
      <c r="U293" s="7">
        <v>24072</v>
      </c>
      <c r="W293" s="7">
        <v>1659139</v>
      </c>
      <c r="Y293" s="7">
        <v>0</v>
      </c>
      <c r="AA293" s="7">
        <v>72034</v>
      </c>
      <c r="AB293" s="58"/>
      <c r="AC293" s="7">
        <v>0</v>
      </c>
      <c r="AE293" s="7">
        <v>0</v>
      </c>
      <c r="AG293" s="7">
        <f t="shared" si="21"/>
        <v>27867154</v>
      </c>
      <c r="AH293" s="7"/>
      <c r="AI293" s="7">
        <f>+AG293+M293</f>
        <v>31727269</v>
      </c>
    </row>
    <row r="294" spans="1:37" ht="12" customHeight="1">
      <c r="A294" s="11" t="s">
        <v>387</v>
      </c>
      <c r="B294" s="11"/>
      <c r="C294" s="11" t="s">
        <v>42</v>
      </c>
      <c r="D294" s="11"/>
      <c r="E294" s="29">
        <v>48017</v>
      </c>
      <c r="G294" s="7">
        <v>1685048</v>
      </c>
      <c r="I294" s="7">
        <v>3168314</v>
      </c>
      <c r="K294" s="7">
        <v>0</v>
      </c>
      <c r="M294" s="7">
        <f>SUM(G294:L294)</f>
        <v>4853362</v>
      </c>
      <c r="O294" s="7">
        <f>3336173+833921</f>
        <v>4170094</v>
      </c>
      <c r="Q294" s="7">
        <v>1888109</v>
      </c>
      <c r="S294" s="7">
        <v>8612352</v>
      </c>
      <c r="U294" s="7">
        <v>12533</v>
      </c>
      <c r="W294" s="7">
        <v>41302</v>
      </c>
      <c r="Y294" s="7">
        <v>0</v>
      </c>
      <c r="AA294" s="7">
        <v>184282</v>
      </c>
      <c r="AB294" s="58"/>
      <c r="AC294" s="7">
        <v>0</v>
      </c>
      <c r="AE294" s="7">
        <v>0</v>
      </c>
      <c r="AG294" s="7">
        <f>SUM(O294:AE294)</f>
        <v>14908672</v>
      </c>
      <c r="AH294" s="7"/>
      <c r="AI294" s="7">
        <f>+AG294+M294</f>
        <v>19762034</v>
      </c>
      <c r="AK294" s="84"/>
    </row>
    <row r="295" spans="1:37" ht="12" hidden="1" customHeight="1">
      <c r="A295" s="12" t="s">
        <v>718</v>
      </c>
      <c r="B295" s="12"/>
      <c r="C295" s="12" t="s">
        <v>10</v>
      </c>
      <c r="D295" s="11"/>
      <c r="E295" s="29"/>
      <c r="M295" s="7">
        <f>SUM(G295:L295)</f>
        <v>0</v>
      </c>
      <c r="AB295" s="58"/>
      <c r="AC295" s="7">
        <v>0</v>
      </c>
      <c r="AE295" s="7">
        <v>0</v>
      </c>
      <c r="AG295" s="7">
        <f t="shared" ref="AG295:AG297" si="25">SUM(O295:AE295)</f>
        <v>0</v>
      </c>
      <c r="AH295" s="7"/>
      <c r="AI295" s="7">
        <f t="shared" ref="AI295:AI297" si="26">+AG295+M295</f>
        <v>0</v>
      </c>
      <c r="AK295" s="7" t="s">
        <v>921</v>
      </c>
    </row>
    <row r="296" spans="1:37" ht="12" customHeight="1">
      <c r="A296" s="11" t="s">
        <v>557</v>
      </c>
      <c r="B296" s="11"/>
      <c r="C296" s="11" t="s">
        <v>67</v>
      </c>
      <c r="D296" s="11"/>
      <c r="E296" s="29">
        <v>50369</v>
      </c>
      <c r="G296" s="7">
        <v>2018593</v>
      </c>
      <c r="I296" s="7">
        <v>1645605</v>
      </c>
      <c r="K296" s="7">
        <v>10300</v>
      </c>
      <c r="M296" s="7">
        <f>SUM(G296:L296)</f>
        <v>3674498</v>
      </c>
      <c r="O296" s="7">
        <f>2086534+709774+30502+131464</f>
        <v>2958274</v>
      </c>
      <c r="Q296" s="7">
        <v>0</v>
      </c>
      <c r="S296" s="7">
        <v>3895874</v>
      </c>
      <c r="U296" s="7">
        <v>82667</v>
      </c>
      <c r="W296" s="7">
        <v>0</v>
      </c>
      <c r="Y296" s="7">
        <v>0</v>
      </c>
      <c r="AA296" s="7">
        <v>110881</v>
      </c>
      <c r="AB296" s="58"/>
      <c r="AC296" s="7">
        <v>0</v>
      </c>
      <c r="AE296" s="7">
        <v>0</v>
      </c>
      <c r="AG296" s="7">
        <f t="shared" si="25"/>
        <v>7047696</v>
      </c>
      <c r="AH296" s="7"/>
      <c r="AI296" s="7">
        <f t="shared" si="26"/>
        <v>10722194</v>
      </c>
    </row>
    <row r="297" spans="1:37" ht="12" customHeight="1">
      <c r="A297" s="11" t="s">
        <v>875</v>
      </c>
      <c r="B297" s="11"/>
      <c r="C297" s="11" t="s">
        <v>112</v>
      </c>
      <c r="D297" s="11"/>
      <c r="E297" s="29">
        <v>45450</v>
      </c>
      <c r="F297" s="37"/>
      <c r="G297" s="7">
        <v>1577606</v>
      </c>
      <c r="I297" s="7">
        <v>2931902</v>
      </c>
      <c r="K297" s="7">
        <v>152217</v>
      </c>
      <c r="M297" s="7">
        <f>SUM(G297:L297)</f>
        <v>4661725</v>
      </c>
      <c r="O297" s="7">
        <f>1451407+213335+316562</f>
        <v>1981304</v>
      </c>
      <c r="Q297" s="7">
        <v>0</v>
      </c>
      <c r="S297" s="7">
        <v>3846075</v>
      </c>
      <c r="U297" s="7">
        <v>85485</v>
      </c>
      <c r="W297" s="7">
        <v>0</v>
      </c>
      <c r="Y297" s="7">
        <v>0</v>
      </c>
      <c r="AA297" s="7">
        <v>0</v>
      </c>
      <c r="AB297" s="58"/>
      <c r="AC297" s="7">
        <v>0</v>
      </c>
      <c r="AE297" s="7">
        <v>0</v>
      </c>
      <c r="AG297" s="7">
        <f t="shared" si="25"/>
        <v>5912864</v>
      </c>
      <c r="AH297" s="7"/>
      <c r="AI297" s="7">
        <f t="shared" si="26"/>
        <v>10574589</v>
      </c>
    </row>
    <row r="298" spans="1:37" s="7" customFormat="1" ht="12" customHeight="1">
      <c r="A298" s="12" t="s">
        <v>562</v>
      </c>
      <c r="B298" s="12"/>
      <c r="C298" s="12" t="s">
        <v>69</v>
      </c>
      <c r="D298" s="12"/>
      <c r="E298" s="29">
        <v>50443</v>
      </c>
      <c r="G298" s="7">
        <v>2294955</v>
      </c>
      <c r="I298" s="7">
        <v>2807540</v>
      </c>
      <c r="K298" s="7">
        <v>0</v>
      </c>
      <c r="M298" s="7">
        <f t="shared" ref="M298:M310" si="27">SUM(G298:L298)</f>
        <v>5102495</v>
      </c>
      <c r="O298" s="7">
        <f>16606360+4524489+2142772</f>
        <v>23273621</v>
      </c>
      <c r="Q298" s="7">
        <v>0</v>
      </c>
      <c r="S298" s="7">
        <v>12231470</v>
      </c>
      <c r="U298" s="7">
        <v>22454</v>
      </c>
      <c r="W298" s="7">
        <v>0</v>
      </c>
      <c r="Y298" s="7">
        <v>24198</v>
      </c>
      <c r="AA298" s="7">
        <v>240894</v>
      </c>
      <c r="AB298" s="58"/>
      <c r="AC298" s="7">
        <v>0</v>
      </c>
      <c r="AE298" s="7">
        <v>0</v>
      </c>
      <c r="AG298" s="7">
        <f t="shared" ref="AG298:AG310" si="28">SUM(O298:AE298)</f>
        <v>35792637</v>
      </c>
      <c r="AI298" s="7">
        <f t="shared" ref="AI298:AI310" si="29">+AG298+M298</f>
        <v>40895132</v>
      </c>
      <c r="AK298" s="84"/>
    </row>
    <row r="299" spans="1:37" ht="12" hidden="1" customHeight="1">
      <c r="A299" s="11" t="s">
        <v>922</v>
      </c>
      <c r="B299" s="11"/>
      <c r="C299" s="11" t="s">
        <v>32</v>
      </c>
      <c r="D299" s="11"/>
      <c r="E299" s="29">
        <v>44230</v>
      </c>
      <c r="M299" s="7">
        <f t="shared" si="27"/>
        <v>0</v>
      </c>
      <c r="AB299" s="58"/>
      <c r="AC299" s="7">
        <v>0</v>
      </c>
      <c r="AE299" s="7">
        <v>0</v>
      </c>
      <c r="AG299" s="7">
        <f t="shared" si="28"/>
        <v>0</v>
      </c>
      <c r="AH299" s="7"/>
      <c r="AI299" s="7">
        <f t="shared" si="29"/>
        <v>0</v>
      </c>
      <c r="AK299" s="7" t="s">
        <v>839</v>
      </c>
    </row>
    <row r="300" spans="1:37" ht="12" customHeight="1">
      <c r="A300" s="11" t="s">
        <v>468</v>
      </c>
      <c r="B300" s="11"/>
      <c r="C300" s="11" t="s">
        <v>54</v>
      </c>
      <c r="D300" s="11"/>
      <c r="E300" s="29">
        <v>49080</v>
      </c>
      <c r="G300" s="7">
        <v>1520829</v>
      </c>
      <c r="I300" s="7">
        <v>3557585</v>
      </c>
      <c r="K300" s="7">
        <v>0</v>
      </c>
      <c r="M300" s="7">
        <f t="shared" si="27"/>
        <v>5078414</v>
      </c>
      <c r="O300" s="7">
        <f>7049129+181970</f>
        <v>7231099</v>
      </c>
      <c r="Q300" s="7">
        <v>2392754</v>
      </c>
      <c r="S300" s="7">
        <v>8710556</v>
      </c>
      <c r="U300" s="7">
        <v>25090</v>
      </c>
      <c r="W300" s="7">
        <v>0</v>
      </c>
      <c r="Y300" s="7">
        <v>0</v>
      </c>
      <c r="AA300" s="7">
        <v>19877</v>
      </c>
      <c r="AB300" s="58"/>
      <c r="AC300" s="7">
        <v>0</v>
      </c>
      <c r="AE300" s="7">
        <v>0</v>
      </c>
      <c r="AG300" s="7">
        <f t="shared" si="28"/>
        <v>18379376</v>
      </c>
      <c r="AH300" s="7"/>
      <c r="AI300" s="7">
        <f t="shared" si="29"/>
        <v>23457790</v>
      </c>
    </row>
    <row r="301" spans="1:37" ht="12" customHeight="1">
      <c r="A301" s="11" t="s">
        <v>362</v>
      </c>
      <c r="B301" s="11"/>
      <c r="C301" s="11" t="s">
        <v>35</v>
      </c>
      <c r="D301" s="11"/>
      <c r="E301" s="29">
        <v>44248</v>
      </c>
      <c r="G301" s="7">
        <v>1467730</v>
      </c>
      <c r="I301" s="7">
        <v>6637415</v>
      </c>
      <c r="K301" s="7">
        <v>11202</v>
      </c>
      <c r="M301" s="7">
        <f t="shared" si="27"/>
        <v>8116347</v>
      </c>
      <c r="O301" s="7">
        <f>9527698+2708110+661409+163928</f>
        <v>13061145</v>
      </c>
      <c r="Q301" s="7">
        <v>0</v>
      </c>
      <c r="S301" s="7">
        <v>21720717</v>
      </c>
      <c r="U301" s="7">
        <v>416984</v>
      </c>
      <c r="W301" s="7">
        <v>0</v>
      </c>
      <c r="Y301" s="7">
        <v>0</v>
      </c>
      <c r="AA301" s="7">
        <v>79205</v>
      </c>
      <c r="AB301" s="58"/>
      <c r="AC301" s="7">
        <v>0</v>
      </c>
      <c r="AE301" s="7">
        <v>0</v>
      </c>
      <c r="AG301" s="7">
        <f t="shared" si="28"/>
        <v>35278051</v>
      </c>
      <c r="AH301" s="7"/>
      <c r="AI301" s="7">
        <f t="shared" si="29"/>
        <v>43394398</v>
      </c>
      <c r="AK301" s="7"/>
    </row>
    <row r="302" spans="1:37" s="7" customFormat="1" ht="12" customHeight="1">
      <c r="A302" s="12" t="s">
        <v>413</v>
      </c>
      <c r="B302" s="12"/>
      <c r="C302" s="12" t="s">
        <v>411</v>
      </c>
      <c r="D302" s="12"/>
      <c r="E302" s="29">
        <v>44255</v>
      </c>
      <c r="G302" s="7">
        <v>2805263</v>
      </c>
      <c r="I302" s="7">
        <v>3114090</v>
      </c>
      <c r="K302" s="7">
        <v>0</v>
      </c>
      <c r="M302" s="7">
        <f t="shared" si="27"/>
        <v>5919353</v>
      </c>
      <c r="O302" s="7">
        <f>6497540+2462926+147120</f>
        <v>9107586</v>
      </c>
      <c r="Q302" s="7">
        <v>2824179</v>
      </c>
      <c r="S302" s="7">
        <v>9091857</v>
      </c>
      <c r="U302" s="7">
        <v>25909</v>
      </c>
      <c r="W302" s="7">
        <v>231927</v>
      </c>
      <c r="Y302" s="7">
        <v>29458</v>
      </c>
      <c r="AA302" s="7">
        <v>152555</v>
      </c>
      <c r="AB302" s="58"/>
      <c r="AC302" s="7">
        <v>0</v>
      </c>
      <c r="AE302" s="7">
        <v>0</v>
      </c>
      <c r="AG302" s="7">
        <f t="shared" si="28"/>
        <v>21463471</v>
      </c>
      <c r="AI302" s="7">
        <f t="shared" si="29"/>
        <v>27382824</v>
      </c>
    </row>
    <row r="303" spans="1:37" ht="12" customHeight="1">
      <c r="A303" s="11" t="s">
        <v>398</v>
      </c>
      <c r="B303" s="11"/>
      <c r="C303" s="11" t="s">
        <v>44</v>
      </c>
      <c r="D303" s="11"/>
      <c r="E303" s="29">
        <v>44263</v>
      </c>
      <c r="G303" s="7">
        <v>1837286</v>
      </c>
      <c r="I303" s="7">
        <v>22775096</v>
      </c>
      <c r="K303" s="7">
        <v>299694</v>
      </c>
      <c r="M303" s="7">
        <f t="shared" si="27"/>
        <v>24912076</v>
      </c>
      <c r="O303" s="7">
        <f>17784609+2648417+293232</f>
        <v>20726258</v>
      </c>
      <c r="Q303" s="7">
        <v>0</v>
      </c>
      <c r="S303" s="7">
        <v>71935169</v>
      </c>
      <c r="U303" s="7">
        <v>154621</v>
      </c>
      <c r="W303" s="7">
        <v>0</v>
      </c>
      <c r="Y303" s="7">
        <v>0</v>
      </c>
      <c r="AA303" s="7">
        <v>231415</v>
      </c>
      <c r="AB303" s="58"/>
      <c r="AC303" s="7">
        <v>0</v>
      </c>
      <c r="AE303" s="7">
        <v>0</v>
      </c>
      <c r="AG303" s="7">
        <f t="shared" si="28"/>
        <v>93047463</v>
      </c>
      <c r="AH303" s="7"/>
      <c r="AI303" s="7">
        <f t="shared" si="29"/>
        <v>117959539</v>
      </c>
      <c r="AK303" s="84"/>
    </row>
    <row r="304" spans="1:37" ht="12" customHeight="1">
      <c r="A304" s="11" t="s">
        <v>543</v>
      </c>
      <c r="B304" s="11"/>
      <c r="C304" s="11" t="s">
        <v>64</v>
      </c>
      <c r="D304" s="11"/>
      <c r="E304" s="29">
        <v>50203</v>
      </c>
      <c r="G304" s="7">
        <v>613265</v>
      </c>
      <c r="I304" s="7">
        <v>478529</v>
      </c>
      <c r="K304" s="7">
        <v>0</v>
      </c>
      <c r="M304" s="7">
        <f t="shared" si="27"/>
        <v>1091794</v>
      </c>
      <c r="O304" s="7">
        <f>3007407+289609</f>
        <v>3297016</v>
      </c>
      <c r="Q304" s="7">
        <v>0</v>
      </c>
      <c r="S304" s="7">
        <v>2720083</v>
      </c>
      <c r="U304" s="7">
        <v>1762</v>
      </c>
      <c r="W304" s="7">
        <v>0</v>
      </c>
      <c r="Y304" s="7">
        <v>0</v>
      </c>
      <c r="AA304" s="7">
        <v>173635</v>
      </c>
      <c r="AB304" s="58"/>
      <c r="AC304" s="7">
        <v>0</v>
      </c>
      <c r="AE304" s="7">
        <v>0</v>
      </c>
      <c r="AG304" s="7">
        <f t="shared" si="28"/>
        <v>6192496</v>
      </c>
      <c r="AH304" s="7"/>
      <c r="AI304" s="7">
        <f t="shared" si="29"/>
        <v>7284290</v>
      </c>
    </row>
    <row r="305" spans="1:37" ht="12" customHeight="1">
      <c r="A305" s="11" t="s">
        <v>719</v>
      </c>
      <c r="B305" s="11"/>
      <c r="C305" s="11" t="s">
        <v>11</v>
      </c>
      <c r="D305" s="11"/>
      <c r="E305" s="29">
        <v>45468</v>
      </c>
      <c r="F305" s="6"/>
      <c r="G305" s="7">
        <v>852174</v>
      </c>
      <c r="I305" s="7">
        <v>2235491</v>
      </c>
      <c r="K305" s="7">
        <v>0</v>
      </c>
      <c r="M305" s="7">
        <f t="shared" si="27"/>
        <v>3087665</v>
      </c>
      <c r="O305" s="7">
        <f>4524386+95337</f>
        <v>4619723</v>
      </c>
      <c r="Q305" s="7">
        <v>1460253</v>
      </c>
      <c r="S305" s="7">
        <v>4586072</v>
      </c>
      <c r="U305" s="7">
        <v>30896</v>
      </c>
      <c r="W305" s="7">
        <v>0</v>
      </c>
      <c r="Y305" s="7">
        <v>0</v>
      </c>
      <c r="AA305" s="7">
        <v>42466</v>
      </c>
      <c r="AB305" s="58"/>
      <c r="AC305" s="7">
        <v>0</v>
      </c>
      <c r="AE305" s="7">
        <v>0</v>
      </c>
      <c r="AG305" s="7">
        <f t="shared" si="28"/>
        <v>10739410</v>
      </c>
      <c r="AH305" s="7"/>
      <c r="AI305" s="7">
        <f t="shared" si="29"/>
        <v>13827075</v>
      </c>
      <c r="AK305" s="7" t="s">
        <v>914</v>
      </c>
    </row>
    <row r="306" spans="1:37" ht="12" customHeight="1">
      <c r="A306" s="11" t="s">
        <v>514</v>
      </c>
      <c r="B306" s="11"/>
      <c r="C306" s="11" t="s">
        <v>62</v>
      </c>
      <c r="D306" s="11"/>
      <c r="E306" s="29">
        <v>49874</v>
      </c>
      <c r="G306" s="7">
        <v>1808452</v>
      </c>
      <c r="I306" s="7">
        <v>5298327</v>
      </c>
      <c r="K306" s="7">
        <v>2611361</v>
      </c>
      <c r="M306" s="7">
        <f t="shared" si="27"/>
        <v>9718140</v>
      </c>
      <c r="O306" s="7">
        <f>6904851+1460537+245531+176121</f>
        <v>8787040</v>
      </c>
      <c r="Q306" s="7">
        <v>0</v>
      </c>
      <c r="S306" s="7">
        <v>14709917</v>
      </c>
      <c r="U306" s="7">
        <v>81036</v>
      </c>
      <c r="W306" s="7">
        <v>35527</v>
      </c>
      <c r="Y306" s="7">
        <v>5657</v>
      </c>
      <c r="AA306" s="7">
        <v>109816</v>
      </c>
      <c r="AB306" s="58"/>
      <c r="AC306" s="7">
        <v>0</v>
      </c>
      <c r="AE306" s="7">
        <v>0</v>
      </c>
      <c r="AG306" s="7">
        <f t="shared" si="28"/>
        <v>23728993</v>
      </c>
      <c r="AH306" s="7"/>
      <c r="AI306" s="7">
        <f t="shared" si="29"/>
        <v>33447133</v>
      </c>
      <c r="AK306" s="7" t="s">
        <v>923</v>
      </c>
    </row>
    <row r="307" spans="1:37" ht="12" customHeight="1">
      <c r="A307" s="11" t="s">
        <v>332</v>
      </c>
      <c r="B307" s="11"/>
      <c r="C307" s="11" t="s">
        <v>32</v>
      </c>
      <c r="D307" s="11"/>
      <c r="E307" s="29">
        <v>44271</v>
      </c>
      <c r="G307" s="7">
        <v>2359065</v>
      </c>
      <c r="I307" s="7">
        <v>4897061</v>
      </c>
      <c r="K307" s="7">
        <v>0</v>
      </c>
      <c r="M307" s="7">
        <f t="shared" si="27"/>
        <v>7256126</v>
      </c>
      <c r="O307" s="7">
        <f>24382072+2252881+3227794</f>
        <v>29862747</v>
      </c>
      <c r="Q307" s="7">
        <v>0</v>
      </c>
      <c r="S307" s="7">
        <v>14585748</v>
      </c>
      <c r="U307" s="7">
        <v>31149</v>
      </c>
      <c r="W307" s="7">
        <v>67765</v>
      </c>
      <c r="Y307" s="7">
        <v>17538</v>
      </c>
      <c r="AA307" s="7">
        <v>129305</v>
      </c>
      <c r="AB307" s="58"/>
      <c r="AC307" s="7">
        <v>0</v>
      </c>
      <c r="AE307" s="7">
        <v>0</v>
      </c>
      <c r="AG307" s="7">
        <f t="shared" si="28"/>
        <v>44694252</v>
      </c>
      <c r="AH307" s="7"/>
      <c r="AI307" s="7">
        <f t="shared" si="29"/>
        <v>51950378</v>
      </c>
    </row>
    <row r="308" spans="1:37" ht="12" customHeight="1">
      <c r="A308" s="11" t="s">
        <v>720</v>
      </c>
      <c r="B308" s="11"/>
      <c r="C308" s="11" t="s">
        <v>45</v>
      </c>
      <c r="D308" s="11"/>
      <c r="E308" s="29">
        <v>48330</v>
      </c>
      <c r="G308" s="7">
        <v>1695346</v>
      </c>
      <c r="I308" s="7">
        <v>1040538</v>
      </c>
      <c r="K308" s="7">
        <v>0</v>
      </c>
      <c r="M308" s="7">
        <f t="shared" si="27"/>
        <v>2735884</v>
      </c>
      <c r="O308" s="7">
        <f>842708+12322+147349</f>
        <v>1002379</v>
      </c>
      <c r="Q308" s="7">
        <v>0</v>
      </c>
      <c r="S308" s="7">
        <v>2128200</v>
      </c>
      <c r="U308" s="7">
        <v>40282</v>
      </c>
      <c r="W308" s="7">
        <v>0</v>
      </c>
      <c r="Y308" s="7">
        <v>0</v>
      </c>
      <c r="AA308" s="7">
        <v>22450</v>
      </c>
      <c r="AB308" s="58"/>
      <c r="AC308" s="7">
        <v>0</v>
      </c>
      <c r="AE308" s="7">
        <v>0</v>
      </c>
      <c r="AG308" s="7">
        <f t="shared" si="28"/>
        <v>3193311</v>
      </c>
      <c r="AH308" s="7"/>
      <c r="AI308" s="7">
        <f t="shared" si="29"/>
        <v>5929195</v>
      </c>
    </row>
    <row r="309" spans="1:37" ht="12" customHeight="1">
      <c r="A309" s="11" t="s">
        <v>924</v>
      </c>
      <c r="B309" s="11"/>
      <c r="C309" s="11" t="s">
        <v>110</v>
      </c>
      <c r="D309" s="11"/>
      <c r="E309" s="29">
        <v>49445</v>
      </c>
      <c r="G309" s="7">
        <v>349071</v>
      </c>
      <c r="I309" s="7">
        <v>926553</v>
      </c>
      <c r="K309" s="7">
        <v>11500</v>
      </c>
      <c r="M309" s="7">
        <f t="shared" si="27"/>
        <v>1287124</v>
      </c>
      <c r="O309" s="7">
        <v>2984047</v>
      </c>
      <c r="Q309" s="7">
        <v>0</v>
      </c>
      <c r="S309" s="7">
        <v>2241306</v>
      </c>
      <c r="U309" s="7">
        <v>716</v>
      </c>
      <c r="W309" s="7">
        <v>0</v>
      </c>
      <c r="Y309" s="7">
        <v>0</v>
      </c>
      <c r="AA309" s="7">
        <v>11975</v>
      </c>
      <c r="AB309" s="58"/>
      <c r="AC309" s="7">
        <v>0</v>
      </c>
      <c r="AE309" s="7">
        <v>0</v>
      </c>
      <c r="AG309" s="7">
        <f t="shared" si="28"/>
        <v>5238044</v>
      </c>
      <c r="AH309" s="7"/>
      <c r="AI309" s="7">
        <f t="shared" si="29"/>
        <v>6525168</v>
      </c>
    </row>
    <row r="310" spans="1:37" ht="12" customHeight="1">
      <c r="A310" s="11" t="s">
        <v>361</v>
      </c>
      <c r="B310" s="11"/>
      <c r="C310" s="11" t="s">
        <v>358</v>
      </c>
      <c r="D310" s="11"/>
      <c r="E310" s="29">
        <v>47639</v>
      </c>
      <c r="G310" s="7">
        <v>1049268</v>
      </c>
      <c r="I310" s="7">
        <v>2149689</v>
      </c>
      <c r="K310" s="7">
        <v>14000</v>
      </c>
      <c r="M310" s="7">
        <f t="shared" si="27"/>
        <v>3212957</v>
      </c>
      <c r="O310" s="7">
        <f>1708271+126349+36103</f>
        <v>1870723</v>
      </c>
      <c r="Q310" s="7">
        <v>0</v>
      </c>
      <c r="S310" s="7">
        <v>7756519</v>
      </c>
      <c r="U310" s="7">
        <v>89901</v>
      </c>
      <c r="W310" s="7">
        <v>0</v>
      </c>
      <c r="Y310" s="7">
        <v>364167</v>
      </c>
      <c r="AA310" s="7">
        <v>119814</v>
      </c>
      <c r="AB310" s="58"/>
      <c r="AC310" s="7">
        <v>0</v>
      </c>
      <c r="AE310" s="7">
        <v>0</v>
      </c>
      <c r="AG310" s="7">
        <f t="shared" si="28"/>
        <v>10201124</v>
      </c>
      <c r="AH310" s="7"/>
      <c r="AI310" s="7">
        <f t="shared" si="29"/>
        <v>13414081</v>
      </c>
      <c r="AK310" s="7" t="s">
        <v>927</v>
      </c>
    </row>
    <row r="311" spans="1:37" ht="12" customHeight="1">
      <c r="A311" s="12" t="s">
        <v>750</v>
      </c>
      <c r="B311" s="11"/>
      <c r="C311" s="11" t="s">
        <v>50</v>
      </c>
      <c r="D311" s="11"/>
      <c r="E311" s="29">
        <v>48702</v>
      </c>
      <c r="G311" s="7">
        <v>1521519</v>
      </c>
      <c r="I311" s="7">
        <v>10620051</v>
      </c>
      <c r="K311" s="7">
        <v>0</v>
      </c>
      <c r="M311" s="7">
        <f t="shared" ref="M311:M366" si="30">SUM(G311:L311)</f>
        <v>12141570</v>
      </c>
      <c r="O311" s="7">
        <f>8511039+97350+1239312</f>
        <v>9847701</v>
      </c>
      <c r="Q311" s="7">
        <v>0</v>
      </c>
      <c r="S311" s="7">
        <v>21279257</v>
      </c>
      <c r="U311" s="7">
        <v>74361</v>
      </c>
      <c r="W311" s="7">
        <v>0</v>
      </c>
      <c r="Y311" s="7">
        <v>8643</v>
      </c>
      <c r="AA311" s="7">
        <v>331943</v>
      </c>
      <c r="AB311" s="58"/>
      <c r="AC311" s="7">
        <v>0</v>
      </c>
      <c r="AE311" s="7">
        <v>0</v>
      </c>
      <c r="AG311" s="7">
        <f t="shared" ref="AG311:AG366" si="31">SUM(O311:AE311)</f>
        <v>31541905</v>
      </c>
      <c r="AH311" s="7"/>
      <c r="AI311" s="7">
        <f t="shared" ref="AI311:AI366" si="32">+AG311+M311</f>
        <v>43683475</v>
      </c>
      <c r="AK311" s="14"/>
    </row>
    <row r="312" spans="1:37" ht="12" customHeight="1">
      <c r="A312" s="11" t="s">
        <v>333</v>
      </c>
      <c r="B312" s="11"/>
      <c r="C312" s="11" t="s">
        <v>32</v>
      </c>
      <c r="D312" s="11"/>
      <c r="E312" s="29">
        <v>44289</v>
      </c>
      <c r="G312" s="7">
        <v>1112519</v>
      </c>
      <c r="I312" s="7">
        <v>1542400</v>
      </c>
      <c r="K312" s="7">
        <v>8000</v>
      </c>
      <c r="M312" s="7">
        <f t="shared" si="30"/>
        <v>2662919</v>
      </c>
      <c r="O312" s="7">
        <f>10747727+1879943</f>
        <v>12627670</v>
      </c>
      <c r="Q312" s="7">
        <v>0</v>
      </c>
      <c r="S312" s="7">
        <v>4833159</v>
      </c>
      <c r="U312" s="7">
        <v>5302</v>
      </c>
      <c r="W312" s="7">
        <v>383076</v>
      </c>
      <c r="Y312" s="7">
        <v>10000</v>
      </c>
      <c r="AA312" s="7">
        <v>127882</v>
      </c>
      <c r="AB312" s="58"/>
      <c r="AC312" s="7">
        <v>0</v>
      </c>
      <c r="AE312" s="7">
        <v>0</v>
      </c>
      <c r="AG312" s="7">
        <f t="shared" si="31"/>
        <v>17987089</v>
      </c>
      <c r="AH312" s="7"/>
      <c r="AI312" s="7">
        <f t="shared" si="32"/>
        <v>20650008</v>
      </c>
    </row>
    <row r="313" spans="1:37" ht="12" customHeight="1">
      <c r="A313" s="11" t="s">
        <v>227</v>
      </c>
      <c r="B313" s="11"/>
      <c r="C313" s="11" t="s">
        <v>223</v>
      </c>
      <c r="D313" s="11"/>
      <c r="E313" s="29">
        <v>46128</v>
      </c>
      <c r="G313" s="7">
        <v>1624500</v>
      </c>
      <c r="I313" s="7">
        <v>1357741</v>
      </c>
      <c r="K313" s="7">
        <v>0</v>
      </c>
      <c r="M313" s="7">
        <f t="shared" si="30"/>
        <v>2982241</v>
      </c>
      <c r="O313" s="7">
        <v>4363693</v>
      </c>
      <c r="Q313" s="7">
        <v>853291</v>
      </c>
      <c r="S313" s="7">
        <v>6518941</v>
      </c>
      <c r="U313" s="7">
        <v>13409</v>
      </c>
      <c r="W313" s="7">
        <v>0</v>
      </c>
      <c r="Y313" s="7">
        <v>0</v>
      </c>
      <c r="AA313" s="7">
        <v>490611</v>
      </c>
      <c r="AB313" s="58"/>
      <c r="AC313" s="7">
        <v>0</v>
      </c>
      <c r="AE313" s="7">
        <v>0</v>
      </c>
      <c r="AG313" s="7">
        <f t="shared" si="31"/>
        <v>12239945</v>
      </c>
      <c r="AH313" s="7"/>
      <c r="AI313" s="7">
        <f t="shared" si="32"/>
        <v>15222186</v>
      </c>
    </row>
    <row r="314" spans="1:37" ht="12" hidden="1" customHeight="1">
      <c r="A314" s="11" t="s">
        <v>772</v>
      </c>
      <c r="B314" s="11"/>
      <c r="C314" s="11" t="s">
        <v>41</v>
      </c>
      <c r="D314" s="11"/>
      <c r="E314" s="29"/>
      <c r="M314" s="7">
        <f t="shared" si="30"/>
        <v>0</v>
      </c>
      <c r="AB314" s="58"/>
      <c r="AC314" s="7">
        <v>0</v>
      </c>
      <c r="AE314" s="7">
        <v>0</v>
      </c>
      <c r="AG314" s="7">
        <f t="shared" si="31"/>
        <v>0</v>
      </c>
      <c r="AH314" s="7"/>
      <c r="AI314" s="7">
        <f t="shared" si="32"/>
        <v>0</v>
      </c>
      <c r="AK314" s="7" t="s">
        <v>839</v>
      </c>
    </row>
    <row r="315" spans="1:37" ht="12" customHeight="1">
      <c r="A315" s="11" t="s">
        <v>227</v>
      </c>
      <c r="B315" s="11"/>
      <c r="C315" s="11" t="s">
        <v>110</v>
      </c>
      <c r="D315" s="11"/>
      <c r="E315" s="29">
        <v>49452</v>
      </c>
      <c r="F315" s="6"/>
      <c r="G315" s="7">
        <v>2348256</v>
      </c>
      <c r="I315" s="7">
        <v>7621622</v>
      </c>
      <c r="K315" s="7">
        <v>0</v>
      </c>
      <c r="M315" s="7">
        <f t="shared" si="30"/>
        <v>9969878</v>
      </c>
      <c r="O315" s="7">
        <f>9395775+133717</f>
        <v>9529492</v>
      </c>
      <c r="Q315" s="7">
        <v>0</v>
      </c>
      <c r="S315" s="7">
        <f>15608625+11126656</f>
        <v>26735281</v>
      </c>
      <c r="U315" s="7">
        <v>156974</v>
      </c>
      <c r="W315" s="7">
        <v>233634</v>
      </c>
      <c r="Y315" s="7">
        <v>0</v>
      </c>
      <c r="AA315" s="7">
        <v>207874</v>
      </c>
      <c r="AB315" s="58"/>
      <c r="AC315" s="7">
        <v>-25000</v>
      </c>
      <c r="AE315" s="7">
        <v>0</v>
      </c>
      <c r="AG315" s="7">
        <f t="shared" si="31"/>
        <v>36838255</v>
      </c>
      <c r="AH315" s="7"/>
      <c r="AI315" s="7">
        <f t="shared" si="32"/>
        <v>46808133</v>
      </c>
    </row>
    <row r="316" spans="1:37" ht="12" customHeight="1">
      <c r="A316" s="11" t="s">
        <v>730</v>
      </c>
      <c r="B316" s="11"/>
      <c r="C316" s="11" t="s">
        <v>411</v>
      </c>
      <c r="D316" s="11"/>
      <c r="E316" s="29"/>
      <c r="F316" s="6"/>
      <c r="G316" s="7">
        <v>1432166</v>
      </c>
      <c r="I316" s="7">
        <v>1323917</v>
      </c>
      <c r="K316" s="7">
        <v>6074</v>
      </c>
      <c r="M316" s="7">
        <f t="shared" si="30"/>
        <v>2762157</v>
      </c>
      <c r="O316" s="7">
        <f>5847743+280502</f>
        <v>6128245</v>
      </c>
      <c r="Q316" s="7">
        <v>0</v>
      </c>
      <c r="S316" s="7">
        <v>6725791</v>
      </c>
      <c r="U316" s="7">
        <v>48317</v>
      </c>
      <c r="W316" s="7">
        <v>19519</v>
      </c>
      <c r="Y316" s="7">
        <v>0</v>
      </c>
      <c r="AA316" s="7">
        <v>295620</v>
      </c>
      <c r="AB316" s="58"/>
      <c r="AC316" s="7">
        <v>0</v>
      </c>
      <c r="AE316" s="7">
        <v>0</v>
      </c>
      <c r="AG316" s="7">
        <f t="shared" si="31"/>
        <v>13217492</v>
      </c>
      <c r="AH316" s="7"/>
      <c r="AI316" s="7">
        <f t="shared" si="32"/>
        <v>15979649</v>
      </c>
    </row>
    <row r="317" spans="1:37" ht="12" customHeight="1">
      <c r="A317" s="11" t="s">
        <v>630</v>
      </c>
      <c r="B317" s="11"/>
      <c r="C317" s="11" t="s">
        <v>201</v>
      </c>
      <c r="D317" s="11"/>
      <c r="E317" s="29"/>
      <c r="F317" s="6"/>
      <c r="G317" s="7">
        <v>763369</v>
      </c>
      <c r="I317" s="7">
        <v>1945790</v>
      </c>
      <c r="K317" s="7">
        <v>0</v>
      </c>
      <c r="M317" s="7">
        <f t="shared" si="30"/>
        <v>2709159</v>
      </c>
      <c r="O317" s="7">
        <f>6781440+1176825</f>
        <v>7958265</v>
      </c>
      <c r="Q317" s="7">
        <v>0</v>
      </c>
      <c r="S317" s="7">
        <v>5051609</v>
      </c>
      <c r="U317" s="7">
        <v>54790</v>
      </c>
      <c r="W317" s="7">
        <v>0</v>
      </c>
      <c r="Y317" s="7">
        <v>0</v>
      </c>
      <c r="AA317" s="7">
        <v>60881</v>
      </c>
      <c r="AB317" s="58"/>
      <c r="AC317" s="7">
        <v>0</v>
      </c>
      <c r="AE317" s="7">
        <v>0</v>
      </c>
      <c r="AG317" s="7">
        <f t="shared" si="31"/>
        <v>13125545</v>
      </c>
      <c r="AH317" s="7"/>
      <c r="AI317" s="7">
        <f t="shared" si="32"/>
        <v>15834704</v>
      </c>
    </row>
    <row r="318" spans="1:37" ht="12" hidden="1" customHeight="1">
      <c r="A318" s="11" t="s">
        <v>930</v>
      </c>
      <c r="B318" s="11"/>
      <c r="C318" s="11" t="s">
        <v>63</v>
      </c>
      <c r="D318" s="11"/>
      <c r="E318" s="29"/>
      <c r="M318" s="7">
        <f t="shared" ref="M318" si="33">SUM(G318:L318)</f>
        <v>0</v>
      </c>
      <c r="AB318" s="58"/>
      <c r="AC318" s="7">
        <v>0</v>
      </c>
      <c r="AE318" s="7">
        <v>0</v>
      </c>
      <c r="AG318" s="7">
        <f t="shared" ref="AG318" si="34">SUM(O318:AE318)</f>
        <v>0</v>
      </c>
      <c r="AH318" s="7"/>
      <c r="AI318" s="7">
        <f t="shared" ref="AI318" si="35">+AG318+M318</f>
        <v>0</v>
      </c>
      <c r="AK318" s="7" t="s">
        <v>931</v>
      </c>
    </row>
    <row r="319" spans="1:37" ht="12" customHeight="1">
      <c r="A319" s="11" t="s">
        <v>484</v>
      </c>
      <c r="B319" s="11"/>
      <c r="C319" s="11" t="s">
        <v>110</v>
      </c>
      <c r="D319" s="11"/>
      <c r="E319" s="29">
        <v>44297</v>
      </c>
      <c r="G319" s="7">
        <v>1728432</v>
      </c>
      <c r="I319" s="7">
        <v>16223730</v>
      </c>
      <c r="K319" s="7">
        <v>0</v>
      </c>
      <c r="M319" s="7">
        <f t="shared" si="30"/>
        <v>17952162</v>
      </c>
      <c r="O319" s="7">
        <f>14373048+149398+680036+752595</f>
        <v>15955077</v>
      </c>
      <c r="Q319" s="7">
        <v>0</v>
      </c>
      <c r="S319" s="7">
        <v>30502993</v>
      </c>
      <c r="U319" s="7">
        <v>160063</v>
      </c>
      <c r="W319" s="7">
        <v>0</v>
      </c>
      <c r="Y319" s="7">
        <v>0</v>
      </c>
      <c r="AA319" s="7">
        <v>1358998</v>
      </c>
      <c r="AB319" s="58"/>
      <c r="AC319" s="7">
        <v>0</v>
      </c>
      <c r="AE319" s="7">
        <v>0</v>
      </c>
      <c r="AG319" s="7">
        <f t="shared" si="31"/>
        <v>47977131</v>
      </c>
      <c r="AH319" s="7"/>
      <c r="AI319" s="7">
        <f t="shared" si="32"/>
        <v>65929293</v>
      </c>
    </row>
    <row r="320" spans="1:37" ht="12" customHeight="1">
      <c r="A320" s="11" t="s">
        <v>762</v>
      </c>
      <c r="B320" s="11"/>
      <c r="C320" s="11" t="s">
        <v>20</v>
      </c>
      <c r="D320" s="11"/>
      <c r="E320" s="29">
        <v>44305</v>
      </c>
      <c r="G320" s="7">
        <v>1685644</v>
      </c>
      <c r="I320" s="7">
        <v>7872865</v>
      </c>
      <c r="K320" s="7">
        <v>0</v>
      </c>
      <c r="M320" s="7">
        <f t="shared" si="30"/>
        <v>9558509</v>
      </c>
      <c r="O320" s="7">
        <f>14312601+197165+3055899+275563</f>
        <v>17841228</v>
      </c>
      <c r="Q320" s="7">
        <v>0</v>
      </c>
      <c r="S320" s="7">
        <v>21471991</v>
      </c>
      <c r="U320" s="7">
        <v>428168</v>
      </c>
      <c r="W320" s="7">
        <v>0</v>
      </c>
      <c r="Y320" s="7">
        <v>48946</v>
      </c>
      <c r="AA320" s="7">
        <v>285057</v>
      </c>
      <c r="AB320" s="58"/>
      <c r="AC320" s="7">
        <v>0</v>
      </c>
      <c r="AE320" s="7">
        <v>0</v>
      </c>
      <c r="AG320" s="7">
        <f t="shared" si="31"/>
        <v>40075390</v>
      </c>
      <c r="AH320" s="7"/>
      <c r="AI320" s="7">
        <f t="shared" si="32"/>
        <v>49633899</v>
      </c>
      <c r="AK320" s="14"/>
    </row>
    <row r="321" spans="1:38" ht="12" customHeight="1">
      <c r="A321" s="11" t="s">
        <v>206</v>
      </c>
      <c r="B321" s="11"/>
      <c r="C321" s="11" t="s">
        <v>11</v>
      </c>
      <c r="D321" s="11"/>
      <c r="E321" s="29">
        <v>45831</v>
      </c>
      <c r="F321" s="6"/>
      <c r="G321" s="7">
        <v>956323</v>
      </c>
      <c r="I321" s="7">
        <v>1677244</v>
      </c>
      <c r="K321" s="7">
        <v>42000</v>
      </c>
      <c r="M321" s="7">
        <f t="shared" si="30"/>
        <v>2675567</v>
      </c>
      <c r="O321" s="7">
        <f>2344278+41754+319595+209822</f>
        <v>2915449</v>
      </c>
      <c r="Q321" s="7">
        <v>0</v>
      </c>
      <c r="S321" s="7">
        <v>4461173</v>
      </c>
      <c r="U321" s="7">
        <v>22624</v>
      </c>
      <c r="W321" s="7">
        <v>0</v>
      </c>
      <c r="Y321" s="7">
        <v>0</v>
      </c>
      <c r="AA321" s="7">
        <v>11085</v>
      </c>
      <c r="AB321" s="58"/>
      <c r="AC321" s="7">
        <v>0</v>
      </c>
      <c r="AE321" s="7">
        <v>0</v>
      </c>
      <c r="AG321" s="7">
        <f t="shared" si="31"/>
        <v>7410331</v>
      </c>
      <c r="AH321" s="7"/>
      <c r="AI321" s="7">
        <f t="shared" si="32"/>
        <v>10085898</v>
      </c>
    </row>
    <row r="322" spans="1:38" ht="12" customHeight="1">
      <c r="A322" s="11" t="s">
        <v>544</v>
      </c>
      <c r="B322" s="11"/>
      <c r="C322" s="11" t="s">
        <v>64</v>
      </c>
      <c r="D322" s="11"/>
      <c r="E322" s="29">
        <v>50211</v>
      </c>
      <c r="G322" s="7">
        <v>589245</v>
      </c>
      <c r="I322" s="7">
        <v>1554372</v>
      </c>
      <c r="K322" s="7">
        <v>135400</v>
      </c>
      <c r="M322" s="7">
        <f t="shared" si="30"/>
        <v>2279017</v>
      </c>
      <c r="O322" s="7">
        <f>2295958+163809+134942+31391</f>
        <v>2626100</v>
      </c>
      <c r="Q322" s="7">
        <v>0</v>
      </c>
      <c r="S322" s="7">
        <v>5669164</v>
      </c>
      <c r="U322" s="7">
        <v>13804</v>
      </c>
      <c r="W322" s="7">
        <v>0</v>
      </c>
      <c r="Y322" s="7">
        <v>0</v>
      </c>
      <c r="AA322" s="7">
        <v>52710</v>
      </c>
      <c r="AB322" s="58"/>
      <c r="AC322" s="7">
        <v>0</v>
      </c>
      <c r="AE322" s="7">
        <v>0</v>
      </c>
      <c r="AG322" s="7">
        <f t="shared" si="31"/>
        <v>8361778</v>
      </c>
      <c r="AH322" s="7"/>
      <c r="AI322" s="7">
        <f t="shared" si="32"/>
        <v>10640795</v>
      </c>
    </row>
    <row r="323" spans="1:38" ht="12" customHeight="1">
      <c r="A323" s="11" t="s">
        <v>294</v>
      </c>
      <c r="B323" s="11"/>
      <c r="C323" s="11" t="s">
        <v>24</v>
      </c>
      <c r="D323" s="11"/>
      <c r="E323" s="29">
        <v>46805</v>
      </c>
      <c r="G323" s="7">
        <v>1270752</v>
      </c>
      <c r="I323" s="7">
        <v>1609060</v>
      </c>
      <c r="K323" s="7">
        <v>0</v>
      </c>
      <c r="M323" s="7">
        <f t="shared" si="30"/>
        <v>2879812</v>
      </c>
      <c r="O323" s="7">
        <f>4245466+128091</f>
        <v>4373557</v>
      </c>
      <c r="Q323" s="7">
        <v>0</v>
      </c>
      <c r="S323" s="7">
        <v>6223510</v>
      </c>
      <c r="U323" s="7">
        <v>944</v>
      </c>
      <c r="W323" s="7">
        <v>0</v>
      </c>
      <c r="Y323" s="7">
        <v>0</v>
      </c>
      <c r="AA323" s="7">
        <v>27969</v>
      </c>
      <c r="AB323" s="58"/>
      <c r="AC323" s="7">
        <v>0</v>
      </c>
      <c r="AE323" s="7">
        <v>0</v>
      </c>
      <c r="AG323" s="7">
        <f t="shared" si="31"/>
        <v>10625980</v>
      </c>
      <c r="AH323" s="7"/>
      <c r="AI323" s="7">
        <f t="shared" si="32"/>
        <v>13505792</v>
      </c>
      <c r="AK323" s="90"/>
    </row>
    <row r="324" spans="1:38" ht="12" customHeight="1">
      <c r="A324" s="11" t="s">
        <v>334</v>
      </c>
      <c r="B324" s="11"/>
      <c r="C324" s="11" t="s">
        <v>32</v>
      </c>
      <c r="D324" s="11"/>
      <c r="E324" s="29">
        <v>44313</v>
      </c>
      <c r="G324" s="7">
        <v>735301</v>
      </c>
      <c r="I324" s="7">
        <v>1029372</v>
      </c>
      <c r="K324" s="7">
        <v>0</v>
      </c>
      <c r="M324" s="7">
        <f t="shared" si="30"/>
        <v>1764673</v>
      </c>
      <c r="O324" s="7">
        <f>15589231+1457684</f>
        <v>17046915</v>
      </c>
      <c r="Q324" s="7">
        <v>0</v>
      </c>
      <c r="S324" s="7">
        <v>6518208</v>
      </c>
      <c r="U324" s="7">
        <v>166982</v>
      </c>
      <c r="W324" s="7">
        <v>0</v>
      </c>
      <c r="Y324" s="7">
        <v>0</v>
      </c>
      <c r="AA324" s="7">
        <v>149434</v>
      </c>
      <c r="AB324" s="58"/>
      <c r="AC324" s="7">
        <v>0</v>
      </c>
      <c r="AE324" s="7">
        <v>0</v>
      </c>
      <c r="AG324" s="7">
        <f t="shared" si="31"/>
        <v>23881539</v>
      </c>
      <c r="AH324" s="7"/>
      <c r="AI324" s="7">
        <f t="shared" si="32"/>
        <v>25646212</v>
      </c>
      <c r="AK324" s="7" t="s">
        <v>914</v>
      </c>
    </row>
    <row r="325" spans="1:38" ht="12" hidden="1" customHeight="1">
      <c r="A325" s="11" t="s">
        <v>638</v>
      </c>
      <c r="B325" s="11"/>
      <c r="C325" s="11" t="s">
        <v>70</v>
      </c>
      <c r="D325" s="11"/>
      <c r="E325" s="29">
        <v>44321</v>
      </c>
      <c r="M325" s="7">
        <f t="shared" si="30"/>
        <v>0</v>
      </c>
      <c r="AB325" s="58"/>
      <c r="AC325" s="7">
        <v>0</v>
      </c>
      <c r="AE325" s="7">
        <v>0</v>
      </c>
      <c r="AG325" s="7">
        <f t="shared" si="31"/>
        <v>0</v>
      </c>
      <c r="AH325" s="7"/>
      <c r="AI325" s="7">
        <f t="shared" si="32"/>
        <v>0</v>
      </c>
      <c r="AJ325" s="7"/>
      <c r="AK325" s="7" t="s">
        <v>839</v>
      </c>
      <c r="AL325" s="7"/>
    </row>
    <row r="326" spans="1:38" ht="12" customHeight="1">
      <c r="A326" s="11" t="s">
        <v>423</v>
      </c>
      <c r="B326" s="11"/>
      <c r="C326" s="11" t="s">
        <v>46</v>
      </c>
      <c r="D326" s="11"/>
      <c r="E326" s="29">
        <v>44339</v>
      </c>
      <c r="G326" s="7">
        <v>2837681</v>
      </c>
      <c r="I326" s="7">
        <v>11484322</v>
      </c>
      <c r="K326" s="7">
        <v>0</v>
      </c>
      <c r="M326" s="7">
        <f t="shared" si="30"/>
        <v>14322003</v>
      </c>
      <c r="O326" s="7">
        <f>8165752+124013+955035</f>
        <v>9244800</v>
      </c>
      <c r="Q326" s="7">
        <v>0</v>
      </c>
      <c r="S326" s="7">
        <v>30756194</v>
      </c>
      <c r="U326" s="7">
        <v>128428</v>
      </c>
      <c r="W326" s="7">
        <v>93519</v>
      </c>
      <c r="Y326" s="7">
        <v>1837</v>
      </c>
      <c r="AA326" s="7">
        <v>312803</v>
      </c>
      <c r="AB326" s="58"/>
      <c r="AC326" s="7">
        <v>0</v>
      </c>
      <c r="AE326" s="7">
        <v>0</v>
      </c>
      <c r="AG326" s="7">
        <f t="shared" si="31"/>
        <v>40537581</v>
      </c>
      <c r="AH326" s="7"/>
      <c r="AI326" s="7">
        <f t="shared" si="32"/>
        <v>54859584</v>
      </c>
    </row>
    <row r="327" spans="1:38" ht="12" hidden="1" customHeight="1">
      <c r="A327" s="11" t="s">
        <v>721</v>
      </c>
      <c r="B327" s="11"/>
      <c r="C327" s="11" t="s">
        <v>435</v>
      </c>
      <c r="D327" s="11"/>
      <c r="E327" s="29"/>
      <c r="M327" s="7">
        <f t="shared" si="30"/>
        <v>0</v>
      </c>
      <c r="AB327" s="58"/>
      <c r="AC327" s="7">
        <v>0</v>
      </c>
      <c r="AE327" s="7">
        <v>0</v>
      </c>
      <c r="AG327" s="7">
        <f t="shared" si="31"/>
        <v>0</v>
      </c>
      <c r="AH327" s="7"/>
      <c r="AI327" s="7">
        <f t="shared" si="32"/>
        <v>0</v>
      </c>
      <c r="AK327" s="7" t="s">
        <v>839</v>
      </c>
    </row>
    <row r="328" spans="1:38" ht="12" customHeight="1">
      <c r="A328" s="11" t="s">
        <v>515</v>
      </c>
      <c r="B328" s="11"/>
      <c r="C328" s="11" t="s">
        <v>62</v>
      </c>
      <c r="D328" s="11"/>
      <c r="E328" s="29">
        <v>49882</v>
      </c>
      <c r="G328" s="7">
        <v>1775611</v>
      </c>
      <c r="I328" s="7">
        <v>4805901</v>
      </c>
      <c r="K328" s="7">
        <v>265154</v>
      </c>
      <c r="M328" s="7">
        <f t="shared" si="30"/>
        <v>6846666</v>
      </c>
      <c r="O328" s="7">
        <f>8662657+469351</f>
        <v>9132008</v>
      </c>
      <c r="Q328" s="7">
        <v>0</v>
      </c>
      <c r="S328" s="7">
        <v>10843797</v>
      </c>
      <c r="U328" s="7">
        <v>39458</v>
      </c>
      <c r="W328" s="7">
        <v>0</v>
      </c>
      <c r="Y328" s="7">
        <v>0</v>
      </c>
      <c r="AA328" s="7">
        <v>171470</v>
      </c>
      <c r="AB328" s="58"/>
      <c r="AC328" s="7">
        <v>0</v>
      </c>
      <c r="AE328" s="7">
        <v>0</v>
      </c>
      <c r="AG328" s="7">
        <f t="shared" si="31"/>
        <v>20186733</v>
      </c>
      <c r="AH328" s="7"/>
      <c r="AI328" s="7">
        <f t="shared" si="32"/>
        <v>27033399</v>
      </c>
    </row>
    <row r="329" spans="1:38" ht="12" customHeight="1">
      <c r="A329" s="11" t="s">
        <v>217</v>
      </c>
      <c r="B329" s="11"/>
      <c r="C329" s="11" t="s">
        <v>15</v>
      </c>
      <c r="D329" s="11"/>
      <c r="E329" s="29">
        <v>44347</v>
      </c>
      <c r="F329" s="6"/>
      <c r="G329" s="7">
        <v>1348238</v>
      </c>
      <c r="I329" s="7">
        <v>2751843</v>
      </c>
      <c r="K329" s="7">
        <v>0</v>
      </c>
      <c r="M329" s="7">
        <f t="shared" si="30"/>
        <v>4100081</v>
      </c>
      <c r="O329" s="7">
        <f>2151989+79754+541156+52610</f>
        <v>2825509</v>
      </c>
      <c r="Q329" s="7">
        <v>0</v>
      </c>
      <c r="S329" s="7">
        <v>8556547</v>
      </c>
      <c r="U329" s="7">
        <v>756</v>
      </c>
      <c r="W329" s="7">
        <v>0</v>
      </c>
      <c r="Y329" s="7">
        <v>5729</v>
      </c>
      <c r="AA329" s="7">
        <v>12847</v>
      </c>
      <c r="AB329" s="58"/>
      <c r="AC329" s="7">
        <v>0</v>
      </c>
      <c r="AE329" s="7">
        <v>0</v>
      </c>
      <c r="AG329" s="7">
        <f t="shared" si="31"/>
        <v>11401388</v>
      </c>
      <c r="AH329" s="7"/>
      <c r="AI329" s="7">
        <f t="shared" si="32"/>
        <v>15501469</v>
      </c>
      <c r="AK329" s="90"/>
    </row>
    <row r="330" spans="1:38" ht="12" customHeight="1">
      <c r="A330" s="11" t="s">
        <v>876</v>
      </c>
      <c r="B330" s="11"/>
      <c r="C330" s="11" t="s">
        <v>66</v>
      </c>
      <c r="D330" s="11"/>
      <c r="E330" s="29">
        <v>45476</v>
      </c>
      <c r="G330" s="7">
        <v>2687593</v>
      </c>
      <c r="I330" s="7">
        <v>7094181</v>
      </c>
      <c r="K330" s="7">
        <v>26376</v>
      </c>
      <c r="M330" s="7">
        <f t="shared" si="30"/>
        <v>9808150</v>
      </c>
      <c r="O330" s="7">
        <f>19650748+3101978+2114519</f>
        <v>24867245</v>
      </c>
      <c r="Q330" s="7">
        <v>0</v>
      </c>
      <c r="S330" s="7">
        <v>24885334</v>
      </c>
      <c r="U330" s="7">
        <v>40399</v>
      </c>
      <c r="W330" s="7">
        <v>1289749</v>
      </c>
      <c r="Y330" s="7">
        <v>0</v>
      </c>
      <c r="AA330" s="7">
        <v>217140</v>
      </c>
      <c r="AB330" s="58"/>
      <c r="AC330" s="7">
        <v>0</v>
      </c>
      <c r="AE330" s="7">
        <v>0</v>
      </c>
      <c r="AG330" s="7">
        <f t="shared" si="31"/>
        <v>51299867</v>
      </c>
      <c r="AH330" s="7"/>
      <c r="AI330" s="7">
        <f t="shared" si="32"/>
        <v>61108017</v>
      </c>
    </row>
    <row r="331" spans="1:38" ht="12" customHeight="1">
      <c r="A331" s="11" t="s">
        <v>563</v>
      </c>
      <c r="B331" s="11"/>
      <c r="C331" s="11" t="s">
        <v>69</v>
      </c>
      <c r="D331" s="11"/>
      <c r="E331" s="29">
        <v>50450</v>
      </c>
      <c r="G331" s="7">
        <v>9878134</v>
      </c>
      <c r="I331" s="7">
        <v>9870113</v>
      </c>
      <c r="K331" s="7">
        <v>0</v>
      </c>
      <c r="M331" s="7">
        <f t="shared" si="30"/>
        <v>19748247</v>
      </c>
      <c r="O331" s="7">
        <f>52288070+12121055+608871</f>
        <v>65017996</v>
      </c>
      <c r="Q331" s="7">
        <v>0</v>
      </c>
      <c r="S331" s="7">
        <v>43721854</v>
      </c>
      <c r="U331" s="7">
        <v>199006</v>
      </c>
      <c r="W331" s="7">
        <v>2239232</v>
      </c>
      <c r="Y331" s="7">
        <v>0</v>
      </c>
      <c r="AA331" s="7">
        <v>535711</v>
      </c>
      <c r="AB331" s="58"/>
      <c r="AC331" s="7">
        <v>0</v>
      </c>
      <c r="AE331" s="7">
        <v>0</v>
      </c>
      <c r="AG331" s="7">
        <f t="shared" si="31"/>
        <v>111713799</v>
      </c>
      <c r="AH331" s="7"/>
      <c r="AI331" s="7">
        <f t="shared" si="32"/>
        <v>131462046</v>
      </c>
    </row>
    <row r="332" spans="1:38" ht="12" customHeight="1">
      <c r="A332" s="11" t="s">
        <v>516</v>
      </c>
      <c r="B332" s="11"/>
      <c r="C332" s="11" t="s">
        <v>62</v>
      </c>
      <c r="D332" s="11"/>
      <c r="E332" s="29">
        <v>44354</v>
      </c>
      <c r="G332" s="7">
        <v>3009864</v>
      </c>
      <c r="I332" s="7">
        <v>7766405</v>
      </c>
      <c r="K332" s="7">
        <v>15201</v>
      </c>
      <c r="M332" s="7">
        <f t="shared" si="30"/>
        <v>10791470</v>
      </c>
      <c r="O332" s="7">
        <f>13342239+2130127+171323</f>
        <v>15643689</v>
      </c>
      <c r="Q332" s="7">
        <v>19497</v>
      </c>
      <c r="S332" s="7">
        <v>25119172</v>
      </c>
      <c r="U332" s="7">
        <v>46300</v>
      </c>
      <c r="W332" s="7">
        <v>0</v>
      </c>
      <c r="Y332" s="7">
        <v>0</v>
      </c>
      <c r="AA332" s="7">
        <f>8835+127453</f>
        <v>136288</v>
      </c>
      <c r="AB332" s="58"/>
      <c r="AC332" s="7">
        <v>0</v>
      </c>
      <c r="AE332" s="7">
        <v>0</v>
      </c>
      <c r="AG332" s="7">
        <f t="shared" si="31"/>
        <v>40964946</v>
      </c>
      <c r="AH332" s="7"/>
      <c r="AI332" s="7">
        <f t="shared" si="32"/>
        <v>51756416</v>
      </c>
    </row>
    <row r="333" spans="1:38" ht="12" customHeight="1">
      <c r="A333" s="11" t="s">
        <v>545</v>
      </c>
      <c r="B333" s="11"/>
      <c r="C333" s="11" t="s">
        <v>64</v>
      </c>
      <c r="D333" s="11"/>
      <c r="E333" s="29">
        <v>50153</v>
      </c>
      <c r="G333" s="7">
        <v>755315</v>
      </c>
      <c r="I333" s="7">
        <v>1101826</v>
      </c>
      <c r="K333" s="7">
        <v>0</v>
      </c>
      <c r="M333" s="7">
        <f t="shared" si="30"/>
        <v>1857141</v>
      </c>
      <c r="O333" s="7">
        <f>4086832+138607</f>
        <v>4225439</v>
      </c>
      <c r="Q333" s="7">
        <v>0</v>
      </c>
      <c r="S333" s="7">
        <v>3578563</v>
      </c>
      <c r="U333" s="7">
        <v>9057</v>
      </c>
      <c r="W333" s="7">
        <v>0</v>
      </c>
      <c r="Y333" s="7">
        <v>0</v>
      </c>
      <c r="AA333" s="7">
        <v>40926</v>
      </c>
      <c r="AB333" s="58"/>
      <c r="AC333" s="7">
        <v>0</v>
      </c>
      <c r="AE333" s="7">
        <v>0</v>
      </c>
      <c r="AG333" s="7">
        <f t="shared" si="31"/>
        <v>7853985</v>
      </c>
      <c r="AH333" s="7"/>
      <c r="AI333" s="7">
        <f t="shared" si="32"/>
        <v>9711126</v>
      </c>
    </row>
    <row r="334" spans="1:38" ht="12" customHeight="1">
      <c r="A334" s="11" t="s">
        <v>403</v>
      </c>
      <c r="B334" s="11"/>
      <c r="C334" s="11" t="s">
        <v>115</v>
      </c>
      <c r="D334" s="11"/>
      <c r="E334" s="29">
        <v>44362</v>
      </c>
      <c r="G334" s="7">
        <v>1639213</v>
      </c>
      <c r="I334" s="7">
        <v>3092550</v>
      </c>
      <c r="K334" s="7">
        <v>0</v>
      </c>
      <c r="M334" s="7">
        <f t="shared" si="30"/>
        <v>4731763</v>
      </c>
      <c r="O334" s="7">
        <f>17523910+2081274+312110</f>
        <v>19917294</v>
      </c>
      <c r="Q334" s="7">
        <v>0</v>
      </c>
      <c r="S334" s="7">
        <v>10618302</v>
      </c>
      <c r="U334" s="7">
        <v>22954</v>
      </c>
      <c r="W334" s="7">
        <v>0</v>
      </c>
      <c r="Y334" s="7">
        <v>0</v>
      </c>
      <c r="AA334" s="7">
        <v>35297</v>
      </c>
      <c r="AB334" s="58"/>
      <c r="AC334" s="7">
        <v>0</v>
      </c>
      <c r="AE334" s="7">
        <v>0</v>
      </c>
      <c r="AG334" s="7">
        <f t="shared" si="31"/>
        <v>30593847</v>
      </c>
      <c r="AH334" s="7"/>
      <c r="AI334" s="7">
        <f t="shared" si="32"/>
        <v>35325610</v>
      </c>
    </row>
    <row r="335" spans="1:38" ht="12" customHeight="1">
      <c r="A335" s="11" t="s">
        <v>763</v>
      </c>
      <c r="B335" s="11"/>
      <c r="C335" s="11" t="s">
        <v>20</v>
      </c>
      <c r="D335" s="11"/>
      <c r="E335" s="29">
        <v>44370</v>
      </c>
      <c r="G335" s="7">
        <v>10584329</v>
      </c>
      <c r="I335" s="7">
        <v>7973179</v>
      </c>
      <c r="K335" s="7">
        <v>381859</v>
      </c>
      <c r="M335" s="7">
        <f t="shared" si="30"/>
        <v>18939367</v>
      </c>
      <c r="O335" s="7">
        <f>41214508+483832+2975068</f>
        <v>44673408</v>
      </c>
      <c r="Q335" s="7">
        <v>0</v>
      </c>
      <c r="S335" s="7">
        <v>13002832</v>
      </c>
      <c r="U335" s="7">
        <v>428170</v>
      </c>
      <c r="W335" s="7">
        <v>1815006</v>
      </c>
      <c r="Y335" s="7">
        <v>0</v>
      </c>
      <c r="AA335" s="7">
        <v>2419325</v>
      </c>
      <c r="AB335" s="58"/>
      <c r="AC335" s="7">
        <v>0</v>
      </c>
      <c r="AE335" s="7">
        <v>0</v>
      </c>
      <c r="AG335" s="7">
        <f t="shared" si="31"/>
        <v>62338741</v>
      </c>
      <c r="AH335" s="7"/>
      <c r="AI335" s="7">
        <f t="shared" si="32"/>
        <v>81278108</v>
      </c>
      <c r="AK335" s="14"/>
    </row>
    <row r="336" spans="1:38" ht="12" customHeight="1">
      <c r="A336" s="11" t="s">
        <v>458</v>
      </c>
      <c r="B336" s="11"/>
      <c r="C336" s="11" t="s">
        <v>51</v>
      </c>
      <c r="D336" s="11"/>
      <c r="E336" s="29">
        <v>48850</v>
      </c>
      <c r="G336" s="7">
        <v>3702712</v>
      </c>
      <c r="I336" s="7">
        <v>2972363</v>
      </c>
      <c r="K336" s="7">
        <v>719</v>
      </c>
      <c r="M336" s="7">
        <f t="shared" si="30"/>
        <v>6675794</v>
      </c>
      <c r="O336" s="7">
        <f>3200196+332659+62981</f>
        <v>3595836</v>
      </c>
      <c r="Q336" s="7">
        <v>0</v>
      </c>
      <c r="S336" s="7">
        <v>12476088</v>
      </c>
      <c r="U336" s="7">
        <v>352434</v>
      </c>
      <c r="W336" s="7">
        <v>4249</v>
      </c>
      <c r="Y336" s="7">
        <v>0</v>
      </c>
      <c r="AA336" s="7">
        <v>32570</v>
      </c>
      <c r="AB336" s="58"/>
      <c r="AC336" s="7">
        <v>0</v>
      </c>
      <c r="AE336" s="7">
        <v>0</v>
      </c>
      <c r="AG336" s="7">
        <f t="shared" si="31"/>
        <v>16461177</v>
      </c>
      <c r="AH336" s="7"/>
      <c r="AI336" s="7">
        <f t="shared" si="32"/>
        <v>23136971</v>
      </c>
    </row>
    <row r="337" spans="1:40" ht="12" hidden="1" customHeight="1">
      <c r="A337" s="11" t="s">
        <v>932</v>
      </c>
      <c r="B337" s="11"/>
      <c r="C337" s="11" t="s">
        <v>33</v>
      </c>
      <c r="D337" s="11"/>
      <c r="E337" s="29">
        <v>47456</v>
      </c>
      <c r="M337" s="7">
        <f t="shared" si="30"/>
        <v>0</v>
      </c>
      <c r="AB337" s="58"/>
      <c r="AC337" s="7">
        <v>0</v>
      </c>
      <c r="AE337" s="7">
        <v>0</v>
      </c>
      <c r="AG337" s="7">
        <f t="shared" si="31"/>
        <v>0</v>
      </c>
      <c r="AH337" s="7"/>
      <c r="AI337" s="7">
        <f t="shared" si="32"/>
        <v>0</v>
      </c>
      <c r="AK337" s="7" t="s">
        <v>839</v>
      </c>
    </row>
    <row r="338" spans="1:40" ht="12" customHeight="1">
      <c r="A338" s="11" t="s">
        <v>667</v>
      </c>
      <c r="B338" s="11"/>
      <c r="C338" s="11" t="s">
        <v>64</v>
      </c>
      <c r="D338" s="11"/>
      <c r="E338" s="29">
        <v>50229</v>
      </c>
      <c r="G338" s="7">
        <v>1227917</v>
      </c>
      <c r="I338" s="7">
        <v>949538</v>
      </c>
      <c r="K338" s="7">
        <v>0</v>
      </c>
      <c r="M338" s="7">
        <f t="shared" si="30"/>
        <v>2177455</v>
      </c>
      <c r="O338" s="7">
        <f>1375371+136792+47434+18211</f>
        <v>1577808</v>
      </c>
      <c r="Q338" s="7">
        <v>0</v>
      </c>
      <c r="S338" s="7">
        <v>3811217</v>
      </c>
      <c r="U338" s="7">
        <v>2796</v>
      </c>
      <c r="W338" s="7">
        <v>0</v>
      </c>
      <c r="Y338" s="7">
        <v>0</v>
      </c>
      <c r="AA338" s="7">
        <v>1695</v>
      </c>
      <c r="AB338" s="58"/>
      <c r="AC338" s="7">
        <v>0</v>
      </c>
      <c r="AE338" s="7">
        <v>0</v>
      </c>
      <c r="AG338" s="7">
        <f t="shared" si="31"/>
        <v>5393516</v>
      </c>
      <c r="AH338" s="7"/>
      <c r="AI338" s="7">
        <f t="shared" si="32"/>
        <v>7570971</v>
      </c>
      <c r="AK338" s="7"/>
      <c r="AN338" s="90"/>
    </row>
    <row r="339" spans="1:40" ht="12" customHeight="1">
      <c r="A339" s="11" t="s">
        <v>877</v>
      </c>
      <c r="B339" s="11"/>
      <c r="C339" s="11" t="s">
        <v>232</v>
      </c>
      <c r="D339" s="11"/>
      <c r="E339" s="29">
        <v>45484</v>
      </c>
      <c r="F339" s="6"/>
      <c r="G339" s="7">
        <v>1152367</v>
      </c>
      <c r="I339" s="7">
        <v>1807000</v>
      </c>
      <c r="K339" s="7">
        <v>0</v>
      </c>
      <c r="M339" s="7">
        <f t="shared" si="30"/>
        <v>2959367</v>
      </c>
      <c r="O339" s="7">
        <f>1701077+451018+31987+174408</f>
        <v>2358490</v>
      </c>
      <c r="Q339" s="7">
        <v>1279935</v>
      </c>
      <c r="S339" s="7">
        <v>4048646</v>
      </c>
      <c r="U339" s="7">
        <v>7257</v>
      </c>
      <c r="W339" s="7">
        <v>0</v>
      </c>
      <c r="Y339" s="7">
        <v>0</v>
      </c>
      <c r="AA339" s="7">
        <v>119357</v>
      </c>
      <c r="AB339" s="58"/>
      <c r="AC339" s="7">
        <v>0</v>
      </c>
      <c r="AE339" s="7">
        <v>0</v>
      </c>
      <c r="AG339" s="7">
        <f t="shared" si="31"/>
        <v>7813685</v>
      </c>
      <c r="AH339" s="7"/>
      <c r="AI339" s="7">
        <f t="shared" si="32"/>
        <v>10773052</v>
      </c>
    </row>
    <row r="340" spans="1:40" ht="12" customHeight="1">
      <c r="A340" s="11" t="s">
        <v>431</v>
      </c>
      <c r="B340" s="11"/>
      <c r="C340" s="11" t="s">
        <v>47</v>
      </c>
      <c r="D340" s="11"/>
      <c r="E340" s="29">
        <v>44388</v>
      </c>
      <c r="G340" s="7">
        <v>4869588</v>
      </c>
      <c r="I340" s="7">
        <v>4463374</v>
      </c>
      <c r="K340" s="7">
        <v>0</v>
      </c>
      <c r="M340" s="7">
        <f t="shared" si="30"/>
        <v>9332962</v>
      </c>
      <c r="O340" s="7">
        <f>39426335+5639778+420530</f>
        <v>45486643</v>
      </c>
      <c r="Q340" s="7">
        <v>0</v>
      </c>
      <c r="S340" s="7">
        <f>28647110+1988664</f>
        <v>30635774</v>
      </c>
      <c r="U340" s="7">
        <v>33502</v>
      </c>
      <c r="W340" s="7">
        <v>0</v>
      </c>
      <c r="Y340" s="7">
        <v>0</v>
      </c>
      <c r="AA340" s="7">
        <f>75999+314465</f>
        <v>390464</v>
      </c>
      <c r="AB340" s="58"/>
      <c r="AC340" s="7">
        <v>0</v>
      </c>
      <c r="AE340" s="7">
        <v>0</v>
      </c>
      <c r="AG340" s="7">
        <f t="shared" si="31"/>
        <v>76546383</v>
      </c>
      <c r="AH340" s="7"/>
      <c r="AI340" s="7">
        <f t="shared" si="32"/>
        <v>85879345</v>
      </c>
    </row>
    <row r="341" spans="1:40" ht="12" customHeight="1">
      <c r="A341" s="11" t="s">
        <v>434</v>
      </c>
      <c r="B341" s="11"/>
      <c r="C341" s="11" t="s">
        <v>433</v>
      </c>
      <c r="D341" s="11"/>
      <c r="E341" s="29">
        <v>48520</v>
      </c>
      <c r="G341" s="7">
        <v>1093336</v>
      </c>
      <c r="I341" s="7">
        <v>5089972</v>
      </c>
      <c r="K341" s="7">
        <v>0</v>
      </c>
      <c r="M341" s="7">
        <f t="shared" si="30"/>
        <v>6183308</v>
      </c>
      <c r="O341" s="7">
        <f>2469100+528272+46662</f>
        <v>3044034</v>
      </c>
      <c r="Q341" s="7">
        <v>0</v>
      </c>
      <c r="S341" s="7">
        <v>14344875</v>
      </c>
      <c r="U341" s="7">
        <v>73376</v>
      </c>
      <c r="W341" s="7">
        <v>0</v>
      </c>
      <c r="Y341" s="7">
        <v>20599</v>
      </c>
      <c r="AA341" s="7">
        <f>38811+2700</f>
        <v>41511</v>
      </c>
      <c r="AB341" s="58"/>
      <c r="AC341" s="7">
        <v>0</v>
      </c>
      <c r="AE341" s="7">
        <v>0</v>
      </c>
      <c r="AG341" s="7">
        <f t="shared" si="31"/>
        <v>17524395</v>
      </c>
      <c r="AH341" s="7"/>
      <c r="AI341" s="7">
        <f t="shared" si="32"/>
        <v>23707703</v>
      </c>
      <c r="AK341" s="7" t="s">
        <v>933</v>
      </c>
    </row>
    <row r="342" spans="1:40" ht="12" customHeight="1">
      <c r="A342" s="11" t="s">
        <v>878</v>
      </c>
      <c r="B342" s="11"/>
      <c r="C342" s="11" t="s">
        <v>41</v>
      </c>
      <c r="D342" s="11"/>
      <c r="E342" s="29">
        <v>45492</v>
      </c>
      <c r="G342" s="7">
        <v>5138543</v>
      </c>
      <c r="I342" s="7">
        <v>8000454</v>
      </c>
      <c r="K342" s="7">
        <v>297469</v>
      </c>
      <c r="M342" s="7">
        <f t="shared" si="30"/>
        <v>13436466</v>
      </c>
      <c r="O342" s="7">
        <f>61170651+1189811+1197778</f>
        <v>63558240</v>
      </c>
      <c r="Q342" s="7">
        <v>0</v>
      </c>
      <c r="S342" s="7">
        <v>33914434</v>
      </c>
      <c r="U342" s="7">
        <v>394628</v>
      </c>
      <c r="W342" s="7">
        <v>632472</v>
      </c>
      <c r="Y342" s="7">
        <v>26800</v>
      </c>
      <c r="AA342" s="7">
        <v>404274</v>
      </c>
      <c r="AB342" s="58"/>
      <c r="AC342" s="7">
        <v>35946</v>
      </c>
      <c r="AE342" s="7">
        <v>0</v>
      </c>
      <c r="AG342" s="7">
        <f t="shared" si="31"/>
        <v>98966794</v>
      </c>
      <c r="AH342" s="7"/>
      <c r="AI342" s="7">
        <f t="shared" si="32"/>
        <v>112403260</v>
      </c>
    </row>
    <row r="343" spans="1:40" ht="12" customHeight="1">
      <c r="A343" s="11" t="s">
        <v>437</v>
      </c>
      <c r="B343" s="11"/>
      <c r="C343" s="11" t="s">
        <v>48</v>
      </c>
      <c r="D343" s="11"/>
      <c r="E343" s="29">
        <v>48629</v>
      </c>
      <c r="G343" s="7">
        <v>1029676</v>
      </c>
      <c r="I343" s="7">
        <v>1512731</v>
      </c>
      <c r="K343" s="7">
        <v>2120</v>
      </c>
      <c r="M343" s="7">
        <f t="shared" si="30"/>
        <v>2544527</v>
      </c>
      <c r="O343" s="7">
        <f>3547335+81226+218066+1267647</f>
        <v>5114274</v>
      </c>
      <c r="Q343" s="7">
        <v>1758357</v>
      </c>
      <c r="S343" s="7">
        <v>5034413</v>
      </c>
      <c r="U343" s="7">
        <v>34147</v>
      </c>
      <c r="W343" s="7">
        <v>0</v>
      </c>
      <c r="Y343" s="7">
        <v>16647</v>
      </c>
      <c r="AA343" s="7">
        <v>68376</v>
      </c>
      <c r="AB343" s="58"/>
      <c r="AC343" s="7">
        <v>0</v>
      </c>
      <c r="AE343" s="7">
        <v>0</v>
      </c>
      <c r="AG343" s="7">
        <f t="shared" si="31"/>
        <v>12026214</v>
      </c>
      <c r="AH343" s="7"/>
      <c r="AI343" s="7">
        <f t="shared" si="32"/>
        <v>14570741</v>
      </c>
    </row>
    <row r="344" spans="1:40" ht="12" customHeight="1">
      <c r="A344" s="11" t="s">
        <v>303</v>
      </c>
      <c r="B344" s="11"/>
      <c r="C344" s="11" t="s">
        <v>26</v>
      </c>
      <c r="D344" s="11"/>
      <c r="E344" s="29">
        <v>46920</v>
      </c>
      <c r="G344" s="7">
        <v>2138213</v>
      </c>
      <c r="I344" s="7">
        <v>4060964</v>
      </c>
      <c r="K344" s="7">
        <v>0</v>
      </c>
      <c r="M344" s="7">
        <f t="shared" si="30"/>
        <v>6199177</v>
      </c>
      <c r="O344" s="7">
        <f>10813259+336496+2231023+394871</f>
        <v>13775649</v>
      </c>
      <c r="Q344" s="7">
        <v>0</v>
      </c>
      <c r="S344" s="7">
        <v>10692098</v>
      </c>
      <c r="U344" s="7">
        <v>41173</v>
      </c>
      <c r="W344" s="7">
        <v>504235</v>
      </c>
      <c r="Y344" s="7">
        <v>16652</v>
      </c>
      <c r="AA344" s="7">
        <v>156247</v>
      </c>
      <c r="AB344" s="58"/>
      <c r="AC344" s="7">
        <v>0</v>
      </c>
      <c r="AE344" s="7">
        <v>0</v>
      </c>
      <c r="AG344" s="7">
        <f t="shared" si="31"/>
        <v>25186054</v>
      </c>
      <c r="AH344" s="7"/>
      <c r="AI344" s="7">
        <f t="shared" si="32"/>
        <v>31385231</v>
      </c>
    </row>
    <row r="345" spans="1:40" ht="12" customHeight="1">
      <c r="A345" s="11" t="s">
        <v>445</v>
      </c>
      <c r="B345" s="11"/>
      <c r="C345" s="11" t="s">
        <v>50</v>
      </c>
      <c r="D345" s="11"/>
      <c r="E345" s="29">
        <v>44396</v>
      </c>
      <c r="G345" s="7">
        <v>2043910</v>
      </c>
      <c r="I345" s="7">
        <v>7692533</v>
      </c>
      <c r="K345" s="7">
        <v>0</v>
      </c>
      <c r="M345" s="7">
        <f t="shared" si="30"/>
        <v>9736443</v>
      </c>
      <c r="O345" s="7">
        <f>27474816+4665350+2675505</f>
        <v>34815671</v>
      </c>
      <c r="Q345" s="7">
        <v>0</v>
      </c>
      <c r="S345" s="7">
        <v>17684839</v>
      </c>
      <c r="U345" s="7">
        <v>96410</v>
      </c>
      <c r="W345" s="7">
        <v>78395</v>
      </c>
      <c r="Y345" s="7">
        <v>0</v>
      </c>
      <c r="AA345" s="7">
        <v>49169</v>
      </c>
      <c r="AB345" s="58"/>
      <c r="AC345" s="7">
        <v>0</v>
      </c>
      <c r="AE345" s="7">
        <v>0</v>
      </c>
      <c r="AG345" s="7">
        <f t="shared" si="31"/>
        <v>52724484</v>
      </c>
      <c r="AH345" s="7"/>
      <c r="AI345" s="7">
        <f t="shared" si="32"/>
        <v>62460927</v>
      </c>
      <c r="AK345" s="91"/>
    </row>
    <row r="346" spans="1:40" ht="12" hidden="1" customHeight="1">
      <c r="A346" s="11" t="s">
        <v>942</v>
      </c>
      <c r="B346" s="12"/>
      <c r="C346" s="12" t="s">
        <v>53</v>
      </c>
      <c r="D346" s="11"/>
      <c r="E346" s="29"/>
      <c r="M346" s="7">
        <f t="shared" si="30"/>
        <v>0</v>
      </c>
      <c r="AB346" s="58"/>
      <c r="AC346" s="7">
        <v>0</v>
      </c>
      <c r="AE346" s="7">
        <v>0</v>
      </c>
      <c r="AG346" s="7">
        <f t="shared" ref="AG346" si="36">SUM(O346:AE346)</f>
        <v>0</v>
      </c>
      <c r="AH346" s="7"/>
      <c r="AI346" s="7">
        <f t="shared" ref="AI346" si="37">+AG346+M346</f>
        <v>0</v>
      </c>
      <c r="AK346" s="7" t="s">
        <v>931</v>
      </c>
    </row>
    <row r="347" spans="1:40" ht="12" customHeight="1">
      <c r="A347" s="11" t="s">
        <v>228</v>
      </c>
      <c r="B347" s="11"/>
      <c r="C347" s="11" t="s">
        <v>223</v>
      </c>
      <c r="D347" s="11"/>
      <c r="E347" s="29">
        <v>44404</v>
      </c>
      <c r="F347" s="6"/>
      <c r="G347" s="7">
        <v>1698284</v>
      </c>
      <c r="I347" s="7">
        <v>19941094</v>
      </c>
      <c r="K347" s="7">
        <v>0</v>
      </c>
      <c r="M347" s="7">
        <f t="shared" si="30"/>
        <v>21639378</v>
      </c>
      <c r="O347" s="7">
        <f>28460928+3477334</f>
        <v>31938262</v>
      </c>
      <c r="Q347" s="7">
        <v>0</v>
      </c>
      <c r="S347" s="7">
        <v>32733997</v>
      </c>
      <c r="U347" s="7">
        <v>28936</v>
      </c>
      <c r="W347" s="7">
        <v>280612</v>
      </c>
      <c r="Y347" s="7">
        <v>0</v>
      </c>
      <c r="AA347" s="7">
        <v>37225</v>
      </c>
      <c r="AB347" s="58"/>
      <c r="AC347" s="7">
        <v>0</v>
      </c>
      <c r="AE347" s="7">
        <v>0</v>
      </c>
      <c r="AG347" s="7">
        <f t="shared" si="31"/>
        <v>65019032</v>
      </c>
      <c r="AH347" s="7"/>
      <c r="AI347" s="7">
        <f t="shared" si="32"/>
        <v>86658410</v>
      </c>
    </row>
    <row r="348" spans="1:40" ht="12" customHeight="1">
      <c r="A348" s="11" t="s">
        <v>399</v>
      </c>
      <c r="B348" s="11"/>
      <c r="C348" s="11" t="s">
        <v>44</v>
      </c>
      <c r="D348" s="11"/>
      <c r="E348" s="29">
        <v>48173</v>
      </c>
      <c r="G348" s="7">
        <v>793523</v>
      </c>
      <c r="I348" s="7">
        <v>2534545</v>
      </c>
      <c r="K348" s="7">
        <v>4775303</v>
      </c>
      <c r="M348" s="7">
        <f t="shared" si="30"/>
        <v>8103371</v>
      </c>
      <c r="O348" s="7">
        <f>10399959+1474848+244658</f>
        <v>12119465</v>
      </c>
      <c r="Q348" s="7">
        <v>0</v>
      </c>
      <c r="S348" s="7">
        <v>14946869</v>
      </c>
      <c r="U348" s="7">
        <v>17932</v>
      </c>
      <c r="W348" s="7">
        <v>0</v>
      </c>
      <c r="Y348" s="7">
        <v>0</v>
      </c>
      <c r="AA348" s="7">
        <v>494451</v>
      </c>
      <c r="AB348" s="58"/>
      <c r="AC348" s="7">
        <v>0</v>
      </c>
      <c r="AE348" s="7">
        <v>0</v>
      </c>
      <c r="AG348" s="7">
        <f t="shared" si="31"/>
        <v>27578717</v>
      </c>
      <c r="AH348" s="7"/>
      <c r="AI348" s="7">
        <f t="shared" si="32"/>
        <v>35682088</v>
      </c>
      <c r="AK348" s="7" t="s">
        <v>933</v>
      </c>
    </row>
    <row r="349" spans="1:40" ht="12" customHeight="1">
      <c r="A349" s="12" t="s">
        <v>879</v>
      </c>
      <c r="B349" s="11"/>
      <c r="C349" s="11" t="s">
        <v>113</v>
      </c>
      <c r="D349" s="11"/>
      <c r="E349" s="29">
        <v>45500</v>
      </c>
      <c r="F349" s="6"/>
      <c r="G349" s="7">
        <v>4797993</v>
      </c>
      <c r="I349" s="7">
        <v>5911254</v>
      </c>
      <c r="K349" s="7">
        <v>0</v>
      </c>
      <c r="M349" s="7">
        <f t="shared" si="30"/>
        <v>10709247</v>
      </c>
      <c r="O349" s="7">
        <f>31383792+3464639+219359</f>
        <v>35067790</v>
      </c>
      <c r="Q349" s="7">
        <v>0</v>
      </c>
      <c r="S349" s="7">
        <v>23066367</v>
      </c>
      <c r="U349" s="7">
        <v>66393</v>
      </c>
      <c r="W349" s="7">
        <v>1632213</v>
      </c>
      <c r="Y349" s="7">
        <v>130558</v>
      </c>
      <c r="AA349" s="7">
        <v>893395</v>
      </c>
      <c r="AB349" s="58"/>
      <c r="AC349" s="7">
        <v>0</v>
      </c>
      <c r="AE349" s="7">
        <v>0</v>
      </c>
      <c r="AG349" s="7">
        <f t="shared" si="31"/>
        <v>60856716</v>
      </c>
      <c r="AH349" s="7"/>
      <c r="AI349" s="7">
        <f t="shared" si="32"/>
        <v>71565963</v>
      </c>
    </row>
    <row r="350" spans="1:40" ht="12" hidden="1" customHeight="1">
      <c r="A350" s="11" t="s">
        <v>639</v>
      </c>
      <c r="B350" s="11"/>
      <c r="C350" s="11" t="s">
        <v>570</v>
      </c>
      <c r="D350" s="11"/>
      <c r="E350" s="29">
        <v>50633</v>
      </c>
      <c r="M350" s="7">
        <f t="shared" si="30"/>
        <v>0</v>
      </c>
      <c r="AB350" s="58"/>
      <c r="AC350" s="7">
        <v>0</v>
      </c>
      <c r="AE350" s="7">
        <v>0</v>
      </c>
      <c r="AG350" s="7">
        <f t="shared" si="31"/>
        <v>0</v>
      </c>
      <c r="AH350" s="7"/>
      <c r="AI350" s="7">
        <f t="shared" si="32"/>
        <v>0</v>
      </c>
      <c r="AK350" s="7" t="s">
        <v>839</v>
      </c>
    </row>
    <row r="351" spans="1:40" ht="12" hidden="1" customHeight="1">
      <c r="A351" s="12" t="s">
        <v>934</v>
      </c>
      <c r="B351" s="11"/>
      <c r="C351" s="11" t="s">
        <v>482</v>
      </c>
      <c r="D351" s="11"/>
      <c r="E351" s="29">
        <v>49361</v>
      </c>
      <c r="M351" s="7">
        <f t="shared" si="30"/>
        <v>0</v>
      </c>
      <c r="AB351" s="58"/>
      <c r="AC351" s="7">
        <v>0</v>
      </c>
      <c r="AE351" s="7">
        <v>0</v>
      </c>
      <c r="AG351" s="7">
        <f t="shared" si="31"/>
        <v>0</v>
      </c>
      <c r="AH351" s="7"/>
      <c r="AI351" s="7">
        <f t="shared" si="32"/>
        <v>0</v>
      </c>
      <c r="AK351" s="7" t="s">
        <v>839</v>
      </c>
    </row>
    <row r="352" spans="1:40" ht="12" hidden="1" customHeight="1">
      <c r="A352" s="11" t="s">
        <v>935</v>
      </c>
      <c r="B352" s="11"/>
      <c r="C352" s="11" t="s">
        <v>48</v>
      </c>
      <c r="D352" s="11"/>
      <c r="E352" s="29">
        <v>45518</v>
      </c>
      <c r="M352" s="7">
        <f t="shared" si="30"/>
        <v>0</v>
      </c>
      <c r="AB352" s="58"/>
      <c r="AC352" s="7">
        <v>0</v>
      </c>
      <c r="AE352" s="7">
        <v>0</v>
      </c>
      <c r="AG352" s="7">
        <f t="shared" si="31"/>
        <v>0</v>
      </c>
      <c r="AH352" s="7"/>
      <c r="AI352" s="7">
        <f t="shared" si="32"/>
        <v>0</v>
      </c>
      <c r="AK352" s="7" t="s">
        <v>903</v>
      </c>
    </row>
    <row r="353" spans="1:37" ht="12" customHeight="1">
      <c r="A353" s="11" t="s">
        <v>517</v>
      </c>
      <c r="B353" s="11"/>
      <c r="C353" s="11" t="s">
        <v>62</v>
      </c>
      <c r="D353" s="11"/>
      <c r="E353" s="29">
        <v>49890</v>
      </c>
      <c r="G353" s="7">
        <v>1401427</v>
      </c>
      <c r="I353" s="7">
        <v>2826199</v>
      </c>
      <c r="K353" s="7">
        <v>1321</v>
      </c>
      <c r="M353" s="7">
        <f t="shared" si="30"/>
        <v>4228947</v>
      </c>
      <c r="O353" s="7">
        <f>5635364+928576+92404</f>
        <v>6656344</v>
      </c>
      <c r="Q353" s="7">
        <v>0</v>
      </c>
      <c r="S353" s="7">
        <v>10931469</v>
      </c>
      <c r="U353" s="7">
        <v>4756</v>
      </c>
      <c r="W353" s="7">
        <v>0</v>
      </c>
      <c r="Y353" s="7">
        <v>0</v>
      </c>
      <c r="AA353" s="7">
        <v>73244</v>
      </c>
      <c r="AB353" s="58"/>
      <c r="AC353" s="7">
        <v>0</v>
      </c>
      <c r="AE353" s="7">
        <v>0</v>
      </c>
      <c r="AG353" s="7">
        <f t="shared" si="31"/>
        <v>17665813</v>
      </c>
      <c r="AH353" s="7"/>
      <c r="AI353" s="7">
        <f t="shared" si="32"/>
        <v>21894760</v>
      </c>
    </row>
    <row r="354" spans="1:37" ht="12" customHeight="1">
      <c r="A354" s="11" t="s">
        <v>497</v>
      </c>
      <c r="B354" s="11"/>
      <c r="C354" s="11" t="s">
        <v>59</v>
      </c>
      <c r="D354" s="11"/>
      <c r="E354" s="29">
        <v>49627</v>
      </c>
      <c r="G354" s="7">
        <v>2280797</v>
      </c>
      <c r="I354" s="7">
        <v>2935364</v>
      </c>
      <c r="K354" s="7">
        <v>0</v>
      </c>
      <c r="M354" s="7">
        <f t="shared" si="30"/>
        <v>5216161</v>
      </c>
      <c r="O354" s="7">
        <f>1651471+27934+169999</f>
        <v>1849404</v>
      </c>
      <c r="Q354" s="7">
        <v>0</v>
      </c>
      <c r="S354" s="7">
        <v>9277449</v>
      </c>
      <c r="U354" s="7">
        <v>0</v>
      </c>
      <c r="W354" s="7">
        <v>0</v>
      </c>
      <c r="Y354" s="7">
        <v>6305</v>
      </c>
      <c r="AA354" s="7">
        <f>2151+128203</f>
        <v>130354</v>
      </c>
      <c r="AB354" s="58"/>
      <c r="AC354" s="7">
        <v>0</v>
      </c>
      <c r="AE354" s="7">
        <v>0</v>
      </c>
      <c r="AG354" s="7">
        <f t="shared" si="31"/>
        <v>11263512</v>
      </c>
      <c r="AH354" s="7"/>
      <c r="AI354" s="7">
        <f t="shared" si="32"/>
        <v>16479673</v>
      </c>
    </row>
    <row r="355" spans="1:37" ht="12" customHeight="1">
      <c r="A355" s="11" t="s">
        <v>214</v>
      </c>
      <c r="B355" s="11"/>
      <c r="C355" s="11" t="s">
        <v>14</v>
      </c>
      <c r="D355" s="11"/>
      <c r="E355" s="29">
        <v>45948</v>
      </c>
      <c r="F355" s="6"/>
      <c r="G355" s="7">
        <v>472878</v>
      </c>
      <c r="I355" s="7">
        <v>756056</v>
      </c>
      <c r="K355" s="7">
        <v>4000</v>
      </c>
      <c r="M355" s="7">
        <f t="shared" si="30"/>
        <v>1232934</v>
      </c>
      <c r="O355" s="7">
        <f>3215748+11392+778950+29370</f>
        <v>4035460</v>
      </c>
      <c r="Q355" s="7">
        <v>518835</v>
      </c>
      <c r="S355" s="7">
        <v>4032342</v>
      </c>
      <c r="U355" s="7">
        <v>6665</v>
      </c>
      <c r="W355" s="7">
        <v>0</v>
      </c>
      <c r="Y355" s="7">
        <v>0</v>
      </c>
      <c r="AA355" s="7">
        <v>133840</v>
      </c>
      <c r="AB355" s="58"/>
      <c r="AC355" s="7">
        <v>0</v>
      </c>
      <c r="AE355" s="7">
        <v>0</v>
      </c>
      <c r="AG355" s="7">
        <f t="shared" si="31"/>
        <v>8727142</v>
      </c>
      <c r="AH355" s="7"/>
      <c r="AI355" s="7">
        <f t="shared" si="32"/>
        <v>9960076</v>
      </c>
    </row>
    <row r="356" spans="1:37" ht="12" hidden="1" customHeight="1">
      <c r="A356" s="11" t="s">
        <v>669</v>
      </c>
      <c r="B356" s="11"/>
      <c r="C356" s="11" t="s">
        <v>21</v>
      </c>
      <c r="D356" s="11"/>
      <c r="E356" s="29">
        <v>46672</v>
      </c>
      <c r="M356" s="7">
        <f t="shared" si="30"/>
        <v>0</v>
      </c>
      <c r="AB356" s="58"/>
      <c r="AC356" s="7">
        <v>0</v>
      </c>
      <c r="AE356" s="7">
        <v>0</v>
      </c>
      <c r="AG356" s="7">
        <f t="shared" si="31"/>
        <v>0</v>
      </c>
      <c r="AH356" s="7"/>
      <c r="AI356" s="7">
        <f t="shared" si="32"/>
        <v>0</v>
      </c>
      <c r="AK356" s="7" t="s">
        <v>839</v>
      </c>
    </row>
    <row r="357" spans="1:37" ht="12" customHeight="1">
      <c r="A357" s="11" t="s">
        <v>526</v>
      </c>
      <c r="B357" s="11"/>
      <c r="C357" s="11" t="s">
        <v>63</v>
      </c>
      <c r="D357" s="11"/>
      <c r="E357" s="29">
        <v>50039</v>
      </c>
      <c r="G357" s="7">
        <v>1549253</v>
      </c>
      <c r="I357" s="7">
        <v>878932</v>
      </c>
      <c r="K357" s="7">
        <v>0</v>
      </c>
      <c r="M357" s="7">
        <f t="shared" si="30"/>
        <v>2428185</v>
      </c>
      <c r="O357" s="7">
        <f>2391823+171049+472455</f>
        <v>3035327</v>
      </c>
      <c r="Q357" s="7">
        <v>0</v>
      </c>
      <c r="S357" s="7">
        <v>4423998</v>
      </c>
      <c r="U357" s="7">
        <v>91409</v>
      </c>
      <c r="W357" s="7">
        <v>0</v>
      </c>
      <c r="Y357" s="7">
        <v>0</v>
      </c>
      <c r="AA357" s="7">
        <v>15429</v>
      </c>
      <c r="AB357" s="58"/>
      <c r="AC357" s="7">
        <v>0</v>
      </c>
      <c r="AE357" s="7">
        <v>0</v>
      </c>
      <c r="AG357" s="7">
        <f t="shared" si="31"/>
        <v>7566163</v>
      </c>
      <c r="AH357" s="7"/>
      <c r="AI357" s="7">
        <f t="shared" si="32"/>
        <v>9994348</v>
      </c>
    </row>
    <row r="358" spans="1:37" ht="12" hidden="1" customHeight="1">
      <c r="A358" s="11" t="s">
        <v>648</v>
      </c>
      <c r="B358" s="11"/>
      <c r="C358" s="11" t="s">
        <v>577</v>
      </c>
      <c r="D358" s="11"/>
      <c r="E358" s="29">
        <v>50740</v>
      </c>
      <c r="M358" s="7">
        <f t="shared" si="30"/>
        <v>0</v>
      </c>
      <c r="AB358" s="58"/>
      <c r="AC358" s="7">
        <v>0</v>
      </c>
      <c r="AE358" s="7">
        <v>0</v>
      </c>
      <c r="AG358" s="7">
        <f t="shared" si="31"/>
        <v>0</v>
      </c>
      <c r="AH358" s="7"/>
      <c r="AI358" s="7">
        <f t="shared" si="32"/>
        <v>0</v>
      </c>
      <c r="AK358" s="7" t="s">
        <v>839</v>
      </c>
    </row>
    <row r="359" spans="1:37" ht="12" customHeight="1">
      <c r="A359" s="11" t="s">
        <v>229</v>
      </c>
      <c r="B359" s="11"/>
      <c r="C359" s="11" t="s">
        <v>223</v>
      </c>
      <c r="D359" s="11"/>
      <c r="E359" s="29">
        <v>139303</v>
      </c>
      <c r="F359" s="6"/>
      <c r="G359" s="7">
        <v>1369530</v>
      </c>
      <c r="I359" s="7">
        <v>1714710</v>
      </c>
      <c r="K359" s="7">
        <v>0</v>
      </c>
      <c r="M359" s="7">
        <f t="shared" si="30"/>
        <v>3084240</v>
      </c>
      <c r="O359" s="7">
        <v>11231065</v>
      </c>
      <c r="Q359" s="7">
        <v>1679193</v>
      </c>
      <c r="S359" s="7">
        <v>6881668</v>
      </c>
      <c r="U359" s="7">
        <v>4664</v>
      </c>
      <c r="W359" s="7">
        <v>0</v>
      </c>
      <c r="Y359" s="7">
        <v>0</v>
      </c>
      <c r="AA359" s="7">
        <v>145473</v>
      </c>
      <c r="AB359" s="58"/>
      <c r="AC359" s="7">
        <v>0</v>
      </c>
      <c r="AE359" s="7">
        <v>0</v>
      </c>
      <c r="AG359" s="7">
        <f t="shared" si="31"/>
        <v>19942063</v>
      </c>
      <c r="AH359" s="7"/>
      <c r="AI359" s="7">
        <f t="shared" si="32"/>
        <v>23026303</v>
      </c>
      <c r="AK359" s="7" t="s">
        <v>936</v>
      </c>
    </row>
    <row r="360" spans="1:37" s="32" customFormat="1" ht="12" customHeight="1">
      <c r="A360" s="31" t="s">
        <v>366</v>
      </c>
      <c r="B360" s="31"/>
      <c r="C360" s="31" t="s">
        <v>37</v>
      </c>
      <c r="D360" s="31"/>
      <c r="E360" s="31">
        <v>47712</v>
      </c>
      <c r="G360" s="32">
        <v>597999</v>
      </c>
      <c r="I360" s="32">
        <v>704465</v>
      </c>
      <c r="K360" s="32">
        <v>0</v>
      </c>
      <c r="M360" s="32">
        <f t="shared" si="30"/>
        <v>1302464</v>
      </c>
      <c r="O360" s="32">
        <f>2145061+71630</f>
        <v>2216691</v>
      </c>
      <c r="Q360" s="32">
        <v>1059046</v>
      </c>
      <c r="S360" s="32">
        <v>2662941</v>
      </c>
      <c r="U360" s="32">
        <v>2137</v>
      </c>
      <c r="W360" s="32">
        <v>0</v>
      </c>
      <c r="Y360" s="32">
        <v>0</v>
      </c>
      <c r="AA360" s="32">
        <v>59979</v>
      </c>
      <c r="AB360" s="57"/>
      <c r="AC360" s="32">
        <v>0</v>
      </c>
      <c r="AE360" s="32">
        <v>0</v>
      </c>
      <c r="AG360" s="32">
        <f t="shared" si="31"/>
        <v>6000794</v>
      </c>
      <c r="AI360" s="32">
        <f t="shared" si="32"/>
        <v>7303258</v>
      </c>
    </row>
    <row r="361" spans="1:37" ht="11.25" hidden="1" customHeight="1">
      <c r="A361" s="11" t="s">
        <v>937</v>
      </c>
      <c r="B361" s="11"/>
      <c r="C361" s="11" t="s">
        <v>570</v>
      </c>
      <c r="D361" s="11"/>
      <c r="E361" s="29">
        <v>45526</v>
      </c>
      <c r="M361" s="7">
        <f t="shared" si="30"/>
        <v>0</v>
      </c>
      <c r="AB361" s="58"/>
      <c r="AC361" s="7">
        <v>0</v>
      </c>
      <c r="AE361" s="7">
        <v>0</v>
      </c>
      <c r="AG361" s="7">
        <f t="shared" si="31"/>
        <v>0</v>
      </c>
      <c r="AH361" s="7"/>
      <c r="AI361" s="7">
        <f t="shared" si="32"/>
        <v>0</v>
      </c>
      <c r="AK361" s="7" t="s">
        <v>912</v>
      </c>
    </row>
    <row r="362" spans="1:37" ht="12" customHeight="1">
      <c r="A362" s="11" t="s">
        <v>452</v>
      </c>
      <c r="B362" s="11"/>
      <c r="C362" s="11" t="s">
        <v>453</v>
      </c>
      <c r="D362" s="11"/>
      <c r="E362" s="29">
        <v>48777</v>
      </c>
      <c r="G362" s="7">
        <v>784042</v>
      </c>
      <c r="I362" s="7">
        <v>3992441</v>
      </c>
      <c r="K362" s="7">
        <v>0</v>
      </c>
      <c r="M362" s="7">
        <f t="shared" si="30"/>
        <v>4776483</v>
      </c>
      <c r="O362" s="7">
        <f>3436702+886343+139251</f>
        <v>4462296</v>
      </c>
      <c r="Q362" s="7">
        <v>0</v>
      </c>
      <c r="S362" s="7">
        <v>15684299</v>
      </c>
      <c r="U362" s="7">
        <v>118392</v>
      </c>
      <c r="W362" s="7">
        <v>0</v>
      </c>
      <c r="Y362" s="7">
        <v>0</v>
      </c>
      <c r="AA362" s="7">
        <f>1626+145170</f>
        <v>146796</v>
      </c>
      <c r="AB362" s="58"/>
      <c r="AC362" s="7">
        <v>0</v>
      </c>
      <c r="AE362" s="7">
        <v>0</v>
      </c>
      <c r="AG362" s="7">
        <f t="shared" si="31"/>
        <v>20411783</v>
      </c>
      <c r="AH362" s="7"/>
      <c r="AI362" s="7">
        <f t="shared" si="32"/>
        <v>25188266</v>
      </c>
    </row>
    <row r="363" spans="1:37" ht="12" customHeight="1">
      <c r="A363" s="12" t="s">
        <v>880</v>
      </c>
      <c r="B363" s="11"/>
      <c r="C363" s="11" t="s">
        <v>78</v>
      </c>
      <c r="D363" s="11"/>
      <c r="E363" s="29">
        <v>45534</v>
      </c>
      <c r="G363" s="7">
        <v>1320265</v>
      </c>
      <c r="I363" s="7">
        <v>1814072</v>
      </c>
      <c r="K363" s="7">
        <v>0</v>
      </c>
      <c r="M363" s="7">
        <f t="shared" si="30"/>
        <v>3134337</v>
      </c>
      <c r="O363" s="7">
        <f>2680003+55431+741802+35084</f>
        <v>3512320</v>
      </c>
      <c r="Q363" s="7">
        <v>954481</v>
      </c>
      <c r="S363" s="7">
        <v>6128691</v>
      </c>
      <c r="U363" s="7">
        <v>21219</v>
      </c>
      <c r="W363" s="7">
        <v>0</v>
      </c>
      <c r="Y363" s="7">
        <v>0</v>
      </c>
      <c r="AA363" s="7">
        <v>648965</v>
      </c>
      <c r="AB363" s="58"/>
      <c r="AC363" s="7">
        <v>0</v>
      </c>
      <c r="AE363" s="7">
        <v>0</v>
      </c>
      <c r="AG363" s="7">
        <f t="shared" si="31"/>
        <v>11265676</v>
      </c>
      <c r="AH363" s="7"/>
      <c r="AI363" s="7">
        <f t="shared" si="32"/>
        <v>14400013</v>
      </c>
      <c r="AK363" s="7"/>
    </row>
    <row r="364" spans="1:37" ht="12" customHeight="1">
      <c r="A364" s="11" t="s">
        <v>375</v>
      </c>
      <c r="B364" s="11"/>
      <c r="C364" s="11" t="s">
        <v>40</v>
      </c>
      <c r="D364" s="11"/>
      <c r="E364" s="29">
        <v>44420</v>
      </c>
      <c r="G364" s="7">
        <v>2245589</v>
      </c>
      <c r="I364" s="7">
        <v>7231104</v>
      </c>
      <c r="K364" s="7">
        <v>0</v>
      </c>
      <c r="M364" s="7">
        <f t="shared" si="30"/>
        <v>9476693</v>
      </c>
      <c r="O364" s="7">
        <f>12560700+337525+816840</f>
        <v>13715065</v>
      </c>
      <c r="Q364" s="7">
        <v>446485</v>
      </c>
      <c r="S364" s="7">
        <v>14470862</v>
      </c>
      <c r="U364" s="7">
        <v>18119</v>
      </c>
      <c r="W364" s="7">
        <v>0</v>
      </c>
      <c r="Y364" s="7">
        <v>0</v>
      </c>
      <c r="AA364" s="7">
        <v>47252</v>
      </c>
      <c r="AB364" s="58"/>
      <c r="AC364" s="7">
        <v>0</v>
      </c>
      <c r="AE364" s="7">
        <v>0</v>
      </c>
      <c r="AG364" s="7">
        <f t="shared" si="31"/>
        <v>28697783</v>
      </c>
      <c r="AH364" s="7"/>
      <c r="AI364" s="7">
        <f t="shared" si="32"/>
        <v>38174476</v>
      </c>
    </row>
    <row r="365" spans="1:37" ht="12" customHeight="1">
      <c r="A365" s="12" t="s">
        <v>751</v>
      </c>
      <c r="B365" s="11"/>
      <c r="C365" s="11" t="s">
        <v>32</v>
      </c>
      <c r="D365" s="11"/>
      <c r="E365" s="29">
        <v>44412</v>
      </c>
      <c r="G365" s="7">
        <v>1380520</v>
      </c>
      <c r="I365" s="7">
        <v>12836965</v>
      </c>
      <c r="K365" s="7">
        <v>0</v>
      </c>
      <c r="M365" s="7">
        <f t="shared" si="30"/>
        <v>14217485</v>
      </c>
      <c r="O365" s="7">
        <f>11579338+154481+1889878</f>
        <v>13623697</v>
      </c>
      <c r="Q365" s="7">
        <v>0</v>
      </c>
      <c r="S365" s="7">
        <v>19120114</v>
      </c>
      <c r="U365" s="7">
        <v>48950</v>
      </c>
      <c r="W365" s="7">
        <v>0</v>
      </c>
      <c r="Y365" s="7">
        <v>29119</v>
      </c>
      <c r="AA365" s="7">
        <v>132096</v>
      </c>
      <c r="AB365" s="58"/>
      <c r="AC365" s="7">
        <v>0</v>
      </c>
      <c r="AE365" s="7">
        <v>0</v>
      </c>
      <c r="AG365" s="7">
        <f t="shared" si="31"/>
        <v>32953976</v>
      </c>
      <c r="AH365" s="7"/>
      <c r="AI365" s="7">
        <f t="shared" si="32"/>
        <v>47171461</v>
      </c>
      <c r="AK365" s="14"/>
    </row>
    <row r="366" spans="1:37" ht="12" customHeight="1">
      <c r="A366" s="11" t="s">
        <v>356</v>
      </c>
      <c r="B366" s="11"/>
      <c r="C366" s="11" t="s">
        <v>34</v>
      </c>
      <c r="D366" s="11"/>
      <c r="E366" s="29">
        <v>44438</v>
      </c>
      <c r="G366" s="7">
        <v>1617251</v>
      </c>
      <c r="I366" s="7">
        <v>2780279</v>
      </c>
      <c r="K366" s="7">
        <v>0</v>
      </c>
      <c r="M366" s="7">
        <f t="shared" si="30"/>
        <v>4397530</v>
      </c>
      <c r="O366" s="7">
        <f>7369769+924987+1478</f>
        <v>8296234</v>
      </c>
      <c r="Q366" s="7">
        <v>0</v>
      </c>
      <c r="S366" s="7">
        <v>11436433</v>
      </c>
      <c r="U366" s="7">
        <v>88110</v>
      </c>
      <c r="W366" s="7">
        <v>0</v>
      </c>
      <c r="Y366" s="7">
        <v>142048</v>
      </c>
      <c r="AA366" s="7">
        <v>49378</v>
      </c>
      <c r="AB366" s="58"/>
      <c r="AC366" s="7">
        <v>0</v>
      </c>
      <c r="AE366" s="7">
        <v>0</v>
      </c>
      <c r="AG366" s="7">
        <f t="shared" si="31"/>
        <v>20012203</v>
      </c>
      <c r="AH366" s="7"/>
      <c r="AI366" s="7">
        <f t="shared" si="32"/>
        <v>24409733</v>
      </c>
    </row>
    <row r="367" spans="1:37" ht="12" hidden="1" customHeight="1">
      <c r="A367" s="12" t="s">
        <v>874</v>
      </c>
      <c r="B367" s="12"/>
      <c r="C367" s="12" t="s">
        <v>57</v>
      </c>
      <c r="D367" s="11"/>
      <c r="E367" s="29"/>
      <c r="AB367" s="58"/>
      <c r="AC367" s="7">
        <v>0</v>
      </c>
      <c r="AE367" s="7">
        <v>0</v>
      </c>
      <c r="AH367" s="7"/>
      <c r="AK367" s="7" t="s">
        <v>938</v>
      </c>
    </row>
    <row r="368" spans="1:37" ht="12" customHeight="1">
      <c r="A368" s="11" t="s">
        <v>212</v>
      </c>
      <c r="B368" s="11"/>
      <c r="C368" s="11" t="s">
        <v>13</v>
      </c>
      <c r="D368" s="11"/>
      <c r="E368" s="29">
        <v>44446</v>
      </c>
      <c r="F368" s="6"/>
      <c r="G368" s="7">
        <v>721694</v>
      </c>
      <c r="I368" s="7">
        <v>8947652</v>
      </c>
      <c r="K368" s="7">
        <v>108779</v>
      </c>
      <c r="M368" s="7">
        <f>SUM(G368:L368)</f>
        <v>9778125</v>
      </c>
      <c r="O368" s="7">
        <f>1888815+553446+34479</f>
        <v>2476740</v>
      </c>
      <c r="Q368" s="7">
        <v>0</v>
      </c>
      <c r="S368" s="7">
        <v>2585700</v>
      </c>
      <c r="U368" s="7">
        <v>9065</v>
      </c>
      <c r="W368" s="7">
        <v>0</v>
      </c>
      <c r="Y368" s="7">
        <v>0</v>
      </c>
      <c r="AA368" s="7">
        <v>106694</v>
      </c>
      <c r="AB368" s="58"/>
      <c r="AC368" s="7">
        <v>0</v>
      </c>
      <c r="AE368" s="7">
        <v>0</v>
      </c>
      <c r="AG368" s="7">
        <f>SUM(O368:AE368)</f>
        <v>5178199</v>
      </c>
      <c r="AH368" s="7"/>
      <c r="AI368" s="7">
        <f>+AG368+M368</f>
        <v>14956324</v>
      </c>
    </row>
    <row r="369" spans="1:41" ht="12" customHeight="1">
      <c r="A369" s="11" t="s">
        <v>633</v>
      </c>
      <c r="B369" s="11"/>
      <c r="C369" s="11" t="s">
        <v>27</v>
      </c>
      <c r="D369" s="11"/>
      <c r="E369" s="29">
        <v>44461</v>
      </c>
      <c r="G369" s="7">
        <v>2673670</v>
      </c>
      <c r="I369" s="7">
        <v>2406759</v>
      </c>
      <c r="K369" s="7">
        <v>0</v>
      </c>
      <c r="M369" s="7">
        <f>SUM(G369:L369)</f>
        <v>5080429</v>
      </c>
      <c r="O369" s="7">
        <v>47580427</v>
      </c>
      <c r="Q369" s="7">
        <v>0</v>
      </c>
      <c r="S369" s="7">
        <v>7601996</v>
      </c>
      <c r="U369" s="7">
        <v>73932</v>
      </c>
      <c r="W369" s="7">
        <v>0</v>
      </c>
      <c r="Y369" s="7">
        <v>0</v>
      </c>
      <c r="AA369" s="7">
        <v>391657</v>
      </c>
      <c r="AB369" s="58"/>
      <c r="AC369" s="7">
        <v>0</v>
      </c>
      <c r="AE369" s="7">
        <v>0</v>
      </c>
      <c r="AG369" s="7">
        <f>SUM(O369:AE369)</f>
        <v>55648012</v>
      </c>
      <c r="AH369" s="7"/>
      <c r="AI369" s="7">
        <f>+AG369+M369</f>
        <v>60728441</v>
      </c>
    </row>
    <row r="370" spans="1:41" ht="12" customHeight="1">
      <c r="A370" s="11" t="s">
        <v>498</v>
      </c>
      <c r="B370" s="11"/>
      <c r="C370" s="11" t="s">
        <v>59</v>
      </c>
      <c r="D370" s="11"/>
      <c r="E370" s="29">
        <v>44461</v>
      </c>
      <c r="G370" s="7">
        <v>1132535</v>
      </c>
      <c r="I370" s="7">
        <v>1873182</v>
      </c>
      <c r="K370" s="7">
        <v>0</v>
      </c>
      <c r="M370" s="7">
        <f>SUM(G370:L370)</f>
        <v>3005717</v>
      </c>
      <c r="O370" s="7">
        <f>760019+212134+14918</f>
        <v>987071</v>
      </c>
      <c r="Q370" s="7">
        <v>0</v>
      </c>
      <c r="S370" s="7">
        <v>1811979</v>
      </c>
      <c r="U370" s="7">
        <v>151151</v>
      </c>
      <c r="W370" s="7">
        <v>0</v>
      </c>
      <c r="Y370" s="7">
        <v>2595</v>
      </c>
      <c r="AA370" s="7">
        <v>184599</v>
      </c>
      <c r="AB370" s="58"/>
      <c r="AC370" s="7">
        <v>0</v>
      </c>
      <c r="AE370" s="7">
        <v>0</v>
      </c>
      <c r="AG370" s="7">
        <f>SUM(O370:AE370)</f>
        <v>3137395</v>
      </c>
      <c r="AH370" s="7"/>
      <c r="AI370" s="7">
        <f>+AG370+M370</f>
        <v>6143112</v>
      </c>
    </row>
    <row r="371" spans="1:41" ht="12" customHeight="1">
      <c r="A371" s="11" t="s">
        <v>215</v>
      </c>
      <c r="B371" s="11"/>
      <c r="C371" s="11" t="s">
        <v>14</v>
      </c>
      <c r="D371" s="11"/>
      <c r="E371" s="29">
        <v>45955</v>
      </c>
      <c r="F371" s="6"/>
      <c r="G371" s="7">
        <v>676707</v>
      </c>
      <c r="I371" s="7">
        <v>1028657</v>
      </c>
      <c r="K371" s="7">
        <v>0</v>
      </c>
      <c r="M371" s="7">
        <f>SUM(G371:L371)</f>
        <v>1705364</v>
      </c>
      <c r="O371" s="7">
        <f>1923838+656358+68569</f>
        <v>2648765</v>
      </c>
      <c r="Q371" s="7">
        <v>1640050</v>
      </c>
      <c r="S371" s="7">
        <v>4459913</v>
      </c>
      <c r="U371" s="7">
        <v>77641</v>
      </c>
      <c r="W371" s="7">
        <v>30952</v>
      </c>
      <c r="Y371" s="7">
        <v>0</v>
      </c>
      <c r="AA371" s="7">
        <v>31724</v>
      </c>
      <c r="AB371" s="58"/>
      <c r="AC371" s="7">
        <v>0</v>
      </c>
      <c r="AE371" s="7">
        <v>0</v>
      </c>
      <c r="AG371" s="7">
        <f>SUM(O371:AE371)</f>
        <v>8889045</v>
      </c>
      <c r="AH371" s="7"/>
      <c r="AI371" s="7">
        <f>+AG371+M371</f>
        <v>10594409</v>
      </c>
    </row>
    <row r="372" spans="1:41" ht="12" hidden="1" customHeight="1">
      <c r="A372" s="11" t="s">
        <v>745</v>
      </c>
      <c r="B372" s="11"/>
      <c r="C372" s="11" t="s">
        <v>14</v>
      </c>
      <c r="D372" s="11"/>
      <c r="E372" s="29">
        <v>45963</v>
      </c>
      <c r="F372" s="6"/>
      <c r="M372" s="7">
        <f t="shared" ref="M372:M393" si="38">SUM(G372:L372)</f>
        <v>0</v>
      </c>
      <c r="AB372" s="58"/>
      <c r="AC372" s="7">
        <v>0</v>
      </c>
      <c r="AE372" s="7">
        <v>0</v>
      </c>
      <c r="AG372" s="7">
        <f t="shared" ref="AG372:AG393" si="39">SUM(O372:AE372)</f>
        <v>0</v>
      </c>
      <c r="AH372" s="7"/>
      <c r="AI372" s="7">
        <f t="shared" ref="AI372:AI393" si="40">+AG372+M372</f>
        <v>0</v>
      </c>
      <c r="AK372" s="7" t="s">
        <v>839</v>
      </c>
    </row>
    <row r="373" spans="1:41" ht="12" customHeight="1">
      <c r="A373" s="11" t="s">
        <v>446</v>
      </c>
      <c r="B373" s="11"/>
      <c r="C373" s="11" t="s">
        <v>50</v>
      </c>
      <c r="D373" s="11"/>
      <c r="E373" s="29">
        <v>48710</v>
      </c>
      <c r="G373" s="7">
        <v>894433</v>
      </c>
      <c r="I373" s="7">
        <v>2528780</v>
      </c>
      <c r="K373" s="7">
        <v>0</v>
      </c>
      <c r="M373" s="7">
        <f t="shared" si="38"/>
        <v>3423213</v>
      </c>
      <c r="O373" s="7">
        <f>2182000+37535+342658+231835</f>
        <v>2794028</v>
      </c>
      <c r="Q373" s="7">
        <v>1383934</v>
      </c>
      <c r="S373" s="7">
        <v>5559078</v>
      </c>
      <c r="U373" s="7">
        <v>12004</v>
      </c>
      <c r="W373" s="7">
        <v>0</v>
      </c>
      <c r="Y373" s="7">
        <v>0</v>
      </c>
      <c r="AA373" s="7">
        <v>40126</v>
      </c>
      <c r="AB373" s="58"/>
      <c r="AC373" s="7">
        <v>0</v>
      </c>
      <c r="AE373" s="7">
        <v>0</v>
      </c>
      <c r="AG373" s="7">
        <f t="shared" si="39"/>
        <v>9789170</v>
      </c>
      <c r="AH373" s="7"/>
      <c r="AI373" s="7">
        <f t="shared" si="40"/>
        <v>13212383</v>
      </c>
    </row>
    <row r="374" spans="1:41" ht="12" hidden="1" customHeight="1">
      <c r="A374" s="11" t="s">
        <v>939</v>
      </c>
      <c r="B374" s="11"/>
      <c r="C374" s="11" t="s">
        <v>466</v>
      </c>
      <c r="D374" s="11"/>
      <c r="E374" s="29">
        <v>44479</v>
      </c>
      <c r="M374" s="7">
        <f t="shared" si="38"/>
        <v>0</v>
      </c>
      <c r="AB374" s="58"/>
      <c r="AC374" s="7">
        <v>0</v>
      </c>
      <c r="AE374" s="7">
        <v>0</v>
      </c>
      <c r="AG374" s="7">
        <f t="shared" si="39"/>
        <v>0</v>
      </c>
      <c r="AH374" s="7"/>
      <c r="AI374" s="7">
        <f t="shared" si="40"/>
        <v>0</v>
      </c>
      <c r="AJ374" s="32"/>
      <c r="AK374" s="7" t="s">
        <v>839</v>
      </c>
      <c r="AL374" s="32"/>
      <c r="AM374" s="32"/>
      <c r="AN374" s="32"/>
      <c r="AO374" s="32"/>
    </row>
    <row r="375" spans="1:41" s="7" customFormat="1" ht="12" customHeight="1">
      <c r="A375" s="12" t="s">
        <v>367</v>
      </c>
      <c r="B375" s="12"/>
      <c r="C375" s="12" t="s">
        <v>37</v>
      </c>
      <c r="D375" s="12"/>
      <c r="E375" s="29">
        <v>47720</v>
      </c>
      <c r="G375" s="7">
        <v>765982</v>
      </c>
      <c r="I375" s="7">
        <v>2134710</v>
      </c>
      <c r="K375" s="7">
        <v>0</v>
      </c>
      <c r="M375" s="7">
        <f t="shared" si="38"/>
        <v>2900692</v>
      </c>
      <c r="O375" s="7">
        <f>2045258+38520+232406</f>
        <v>2316184</v>
      </c>
      <c r="Q375" s="7">
        <v>980694</v>
      </c>
      <c r="S375" s="7">
        <v>5254670</v>
      </c>
      <c r="U375" s="7">
        <v>21223</v>
      </c>
      <c r="W375" s="7">
        <v>0</v>
      </c>
      <c r="Y375" s="7">
        <v>0</v>
      </c>
      <c r="AA375" s="7">
        <v>2191</v>
      </c>
      <c r="AB375" s="58"/>
      <c r="AC375" s="7">
        <v>0</v>
      </c>
      <c r="AE375" s="7">
        <v>0</v>
      </c>
      <c r="AG375" s="7">
        <f t="shared" si="39"/>
        <v>8574962</v>
      </c>
      <c r="AI375" s="7">
        <f t="shared" si="40"/>
        <v>11475654</v>
      </c>
    </row>
    <row r="376" spans="1:41" ht="12" customHeight="1">
      <c r="A376" s="11" t="s">
        <v>230</v>
      </c>
      <c r="B376" s="11"/>
      <c r="C376" s="11" t="s">
        <v>223</v>
      </c>
      <c r="D376" s="11"/>
      <c r="E376" s="29">
        <v>46136</v>
      </c>
      <c r="F376" s="6"/>
      <c r="G376" s="7">
        <v>142523</v>
      </c>
      <c r="I376" s="7">
        <v>1688163</v>
      </c>
      <c r="K376" s="7">
        <v>0</v>
      </c>
      <c r="M376" s="7">
        <f t="shared" si="38"/>
        <v>1830686</v>
      </c>
      <c r="O376" s="7">
        <f>1014216+184960</f>
        <v>1199176</v>
      </c>
      <c r="Q376" s="7">
        <v>454762</v>
      </c>
      <c r="S376" s="7">
        <v>4535928</v>
      </c>
      <c r="U376" s="7">
        <v>7833</v>
      </c>
      <c r="W376" s="7">
        <v>0</v>
      </c>
      <c r="Y376" s="7">
        <v>0</v>
      </c>
      <c r="AA376" s="7">
        <v>82348</v>
      </c>
      <c r="AB376" s="58"/>
      <c r="AC376" s="7">
        <v>0</v>
      </c>
      <c r="AE376" s="7">
        <v>0</v>
      </c>
      <c r="AG376" s="7">
        <f t="shared" si="39"/>
        <v>6280047</v>
      </c>
      <c r="AH376" s="7"/>
      <c r="AI376" s="7">
        <f t="shared" si="40"/>
        <v>8110733</v>
      </c>
    </row>
    <row r="377" spans="1:41" s="7" customFormat="1" ht="12" customHeight="1">
      <c r="A377" s="12" t="s">
        <v>553</v>
      </c>
      <c r="B377" s="12"/>
      <c r="C377" s="12" t="s">
        <v>65</v>
      </c>
      <c r="D377" s="12"/>
      <c r="E377" s="29">
        <v>44487</v>
      </c>
      <c r="G377" s="7">
        <v>1397110</v>
      </c>
      <c r="I377" s="7">
        <v>2893479</v>
      </c>
      <c r="K377" s="7">
        <v>15925</v>
      </c>
      <c r="M377" s="7">
        <f t="shared" si="38"/>
        <v>4306514</v>
      </c>
      <c r="O377" s="7">
        <f>11340464+559155+158473</f>
        <v>12058092</v>
      </c>
      <c r="Q377" s="7">
        <v>0</v>
      </c>
      <c r="S377" s="7">
        <v>11354375</v>
      </c>
      <c r="U377" s="7">
        <v>45873</v>
      </c>
      <c r="W377" s="7">
        <v>0</v>
      </c>
      <c r="Y377" s="7">
        <v>0</v>
      </c>
      <c r="AA377" s="7">
        <v>665523</v>
      </c>
      <c r="AB377" s="58"/>
      <c r="AC377" s="7">
        <v>0</v>
      </c>
      <c r="AE377" s="7">
        <v>0</v>
      </c>
      <c r="AG377" s="7">
        <f t="shared" si="39"/>
        <v>24123863</v>
      </c>
      <c r="AI377" s="7">
        <f t="shared" si="40"/>
        <v>28430377</v>
      </c>
    </row>
    <row r="378" spans="1:41" ht="12" customHeight="1">
      <c r="A378" s="11" t="s">
        <v>881</v>
      </c>
      <c r="B378" s="11"/>
      <c r="C378" s="11" t="s">
        <v>113</v>
      </c>
      <c r="D378" s="11"/>
      <c r="E378" s="29">
        <v>45559</v>
      </c>
      <c r="F378" s="6"/>
      <c r="G378" s="7">
        <v>1391501</v>
      </c>
      <c r="I378" s="7">
        <v>2435290</v>
      </c>
      <c r="K378" s="7">
        <v>0</v>
      </c>
      <c r="M378" s="7">
        <f t="shared" si="38"/>
        <v>3826791</v>
      </c>
      <c r="O378" s="7">
        <v>13981720</v>
      </c>
      <c r="Q378" s="7">
        <v>0</v>
      </c>
      <c r="S378" s="7">
        <v>12830925</v>
      </c>
      <c r="U378" s="7">
        <v>95341</v>
      </c>
      <c r="W378" s="7">
        <v>0</v>
      </c>
      <c r="Y378" s="7">
        <v>0</v>
      </c>
      <c r="AA378" s="7">
        <v>104128</v>
      </c>
      <c r="AB378" s="58"/>
      <c r="AC378" s="7">
        <v>0</v>
      </c>
      <c r="AE378" s="7">
        <v>0</v>
      </c>
      <c r="AG378" s="7">
        <f t="shared" si="39"/>
        <v>27012114</v>
      </c>
      <c r="AH378" s="7"/>
      <c r="AI378" s="7">
        <f t="shared" si="40"/>
        <v>30838905</v>
      </c>
    </row>
    <row r="379" spans="1:41" ht="12" hidden="1" customHeight="1">
      <c r="A379" s="11" t="s">
        <v>940</v>
      </c>
      <c r="B379" s="11"/>
      <c r="C379" s="11" t="s">
        <v>60</v>
      </c>
      <c r="D379" s="11"/>
      <c r="E379" s="29">
        <v>45559</v>
      </c>
      <c r="F379" s="6"/>
      <c r="M379" s="7">
        <f t="shared" ref="M379" si="41">SUM(G379:L379)</f>
        <v>0</v>
      </c>
      <c r="AB379" s="58"/>
      <c r="AC379" s="7">
        <v>0</v>
      </c>
      <c r="AE379" s="7">
        <v>0</v>
      </c>
      <c r="AG379" s="7">
        <f t="shared" ref="AG379" si="42">SUM(O379:AE379)</f>
        <v>0</v>
      </c>
      <c r="AH379" s="7"/>
      <c r="AI379" s="7">
        <f t="shared" ref="AI379" si="43">+AG379+M379</f>
        <v>0</v>
      </c>
      <c r="AK379" s="7" t="s">
        <v>839</v>
      </c>
    </row>
    <row r="380" spans="1:41" ht="12" customHeight="1">
      <c r="A380" s="11" t="s">
        <v>388</v>
      </c>
      <c r="B380" s="11"/>
      <c r="C380" s="11" t="s">
        <v>42</v>
      </c>
      <c r="D380" s="11"/>
      <c r="E380" s="29">
        <v>44453</v>
      </c>
      <c r="G380" s="7">
        <v>1957055</v>
      </c>
      <c r="I380" s="7">
        <v>15262296</v>
      </c>
      <c r="K380" s="7">
        <v>142790</v>
      </c>
      <c r="M380" s="7">
        <f t="shared" si="38"/>
        <v>17362141</v>
      </c>
      <c r="O380" s="7">
        <f>17543757+3841620+825914+412881</f>
        <v>22624172</v>
      </c>
      <c r="Q380" s="7">
        <v>7774670</v>
      </c>
      <c r="S380" s="7">
        <v>26576387</v>
      </c>
      <c r="U380" s="7">
        <v>93035</v>
      </c>
      <c r="W380" s="7">
        <v>7884</v>
      </c>
      <c r="Y380" s="7">
        <v>0</v>
      </c>
      <c r="AA380" s="7">
        <f>818010+383565</f>
        <v>1201575</v>
      </c>
      <c r="AB380" s="58"/>
      <c r="AC380" s="7">
        <v>0</v>
      </c>
      <c r="AE380" s="7">
        <v>0</v>
      </c>
      <c r="AG380" s="7">
        <f t="shared" si="39"/>
        <v>58277723</v>
      </c>
      <c r="AH380" s="7"/>
      <c r="AI380" s="7">
        <f t="shared" si="40"/>
        <v>75639864</v>
      </c>
    </row>
    <row r="381" spans="1:41" ht="12" customHeight="1">
      <c r="A381" s="11" t="s">
        <v>323</v>
      </c>
      <c r="B381" s="11"/>
      <c r="C381" s="11" t="s">
        <v>30</v>
      </c>
      <c r="D381" s="11"/>
      <c r="E381" s="29">
        <v>47217</v>
      </c>
      <c r="G381" s="7">
        <v>428766</v>
      </c>
      <c r="I381" s="7">
        <v>678584</v>
      </c>
      <c r="K381" s="7">
        <v>0</v>
      </c>
      <c r="M381" s="7">
        <f t="shared" si="38"/>
        <v>1107350</v>
      </c>
      <c r="O381" s="7">
        <f>4964961+124541</f>
        <v>5089502</v>
      </c>
      <c r="Q381" s="7">
        <v>0</v>
      </c>
      <c r="S381" s="7">
        <v>2321048</v>
      </c>
      <c r="U381" s="7">
        <v>34485</v>
      </c>
      <c r="W381" s="7">
        <v>0</v>
      </c>
      <c r="Y381" s="7">
        <v>0</v>
      </c>
      <c r="AA381" s="7">
        <v>73346</v>
      </c>
      <c r="AB381" s="58"/>
      <c r="AC381" s="7">
        <v>0</v>
      </c>
      <c r="AE381" s="7">
        <v>0</v>
      </c>
      <c r="AG381" s="7">
        <f t="shared" si="39"/>
        <v>7518381</v>
      </c>
      <c r="AH381" s="7"/>
      <c r="AI381" s="7">
        <f t="shared" si="40"/>
        <v>8625731</v>
      </c>
      <c r="AK381" s="84"/>
    </row>
    <row r="382" spans="1:41" ht="12" customHeight="1">
      <c r="A382" s="11" t="s">
        <v>882</v>
      </c>
      <c r="B382" s="11"/>
      <c r="C382" s="11" t="s">
        <v>65</v>
      </c>
      <c r="D382" s="11"/>
      <c r="E382" s="29">
        <v>45542</v>
      </c>
      <c r="G382" s="7">
        <v>1085497</v>
      </c>
      <c r="I382" s="7">
        <v>3130392</v>
      </c>
      <c r="K382" s="7">
        <v>0</v>
      </c>
      <c r="M382" s="7">
        <f t="shared" si="38"/>
        <v>4215889</v>
      </c>
      <c r="O382" s="7">
        <f>2702190+34806+226339</f>
        <v>2963335</v>
      </c>
      <c r="Q382" s="7">
        <v>0</v>
      </c>
      <c r="S382" s="7">
        <v>5568394</v>
      </c>
      <c r="U382" s="7">
        <v>23</v>
      </c>
      <c r="W382" s="7">
        <v>0</v>
      </c>
      <c r="Y382" s="7">
        <v>0</v>
      </c>
      <c r="AA382" s="7">
        <v>429504</v>
      </c>
      <c r="AB382" s="58"/>
      <c r="AC382" s="7">
        <v>0</v>
      </c>
      <c r="AE382" s="7">
        <v>0</v>
      </c>
      <c r="AG382" s="7">
        <f t="shared" si="39"/>
        <v>8961256</v>
      </c>
      <c r="AH382" s="7"/>
      <c r="AI382" s="7">
        <f t="shared" si="40"/>
        <v>13177145</v>
      </c>
    </row>
    <row r="383" spans="1:41" ht="12" customHeight="1">
      <c r="A383" s="11" t="s">
        <v>883</v>
      </c>
      <c r="B383" s="11"/>
      <c r="C383" s="11" t="s">
        <v>64</v>
      </c>
      <c r="D383" s="11"/>
      <c r="E383" s="29">
        <v>45567</v>
      </c>
      <c r="G383" s="7">
        <v>598745</v>
      </c>
      <c r="I383" s="7">
        <v>2103150</v>
      </c>
      <c r="K383" s="7">
        <v>0</v>
      </c>
      <c r="M383" s="7">
        <f t="shared" si="38"/>
        <v>2701895</v>
      </c>
      <c r="O383" s="7">
        <f>2642251+58591+338818</f>
        <v>3039660</v>
      </c>
      <c r="Q383" s="7">
        <v>0</v>
      </c>
      <c r="S383" s="7">
        <v>7677737</v>
      </c>
      <c r="U383" s="7">
        <v>9772</v>
      </c>
      <c r="W383" s="7">
        <v>0</v>
      </c>
      <c r="Y383" s="7">
        <v>0</v>
      </c>
      <c r="AA383" s="7">
        <v>167663</v>
      </c>
      <c r="AB383" s="58"/>
      <c r="AC383" s="7">
        <v>0</v>
      </c>
      <c r="AE383" s="7">
        <v>0</v>
      </c>
      <c r="AG383" s="7">
        <f t="shared" si="39"/>
        <v>10894832</v>
      </c>
      <c r="AH383" s="7"/>
      <c r="AI383" s="7">
        <f t="shared" si="40"/>
        <v>13596727</v>
      </c>
    </row>
    <row r="384" spans="1:41" ht="12" hidden="1" customHeight="1">
      <c r="A384" s="11" t="s">
        <v>941</v>
      </c>
      <c r="B384" s="11"/>
      <c r="C384" s="11" t="s">
        <v>48</v>
      </c>
      <c r="D384" s="11"/>
      <c r="E384" s="29">
        <v>48637</v>
      </c>
      <c r="M384" s="7">
        <f t="shared" si="38"/>
        <v>0</v>
      </c>
      <c r="AB384" s="58"/>
      <c r="AC384" s="7">
        <v>0</v>
      </c>
      <c r="AE384" s="7">
        <v>0</v>
      </c>
      <c r="AG384" s="7">
        <f t="shared" si="39"/>
        <v>0</v>
      </c>
      <c r="AH384" s="7"/>
      <c r="AI384" s="7">
        <f t="shared" si="40"/>
        <v>0</v>
      </c>
      <c r="AK384" s="7" t="s">
        <v>912</v>
      </c>
    </row>
    <row r="385" spans="1:37" ht="12" customHeight="1">
      <c r="A385" s="11" t="s">
        <v>631</v>
      </c>
      <c r="B385" s="11"/>
      <c r="C385" s="11" t="s">
        <v>64</v>
      </c>
      <c r="D385" s="11"/>
      <c r="E385" s="29"/>
      <c r="G385" s="7">
        <v>1290644</v>
      </c>
      <c r="I385" s="7">
        <v>6213268</v>
      </c>
      <c r="K385" s="7">
        <v>0</v>
      </c>
      <c r="M385" s="7">
        <f t="shared" si="38"/>
        <v>7503912</v>
      </c>
      <c r="O385" s="7">
        <f>6920557+209337+1654986</f>
        <v>8784880</v>
      </c>
      <c r="Q385" s="7">
        <v>0</v>
      </c>
      <c r="S385" s="7">
        <v>13664585</v>
      </c>
      <c r="U385" s="7">
        <v>254258</v>
      </c>
      <c r="W385" s="7">
        <v>0</v>
      </c>
      <c r="Y385" s="7">
        <v>0</v>
      </c>
      <c r="AA385" s="7">
        <v>350586</v>
      </c>
      <c r="AB385" s="58"/>
      <c r="AC385" s="7">
        <v>0</v>
      </c>
      <c r="AE385" s="7">
        <v>0</v>
      </c>
      <c r="AG385" s="7">
        <f t="shared" si="39"/>
        <v>23054309</v>
      </c>
      <c r="AH385" s="7"/>
      <c r="AI385" s="7">
        <f t="shared" si="40"/>
        <v>30558221</v>
      </c>
    </row>
    <row r="386" spans="1:37" ht="12" customHeight="1">
      <c r="A386" s="11" t="s">
        <v>462</v>
      </c>
      <c r="B386" s="11"/>
      <c r="C386" s="11" t="s">
        <v>52</v>
      </c>
      <c r="D386" s="11"/>
      <c r="E386" s="29">
        <v>48900</v>
      </c>
      <c r="G386" s="7">
        <v>1044591</v>
      </c>
      <c r="I386" s="7">
        <v>1659358</v>
      </c>
      <c r="K386" s="7">
        <v>0</v>
      </c>
      <c r="M386" s="7">
        <f t="shared" si="38"/>
        <v>2703949</v>
      </c>
      <c r="O386" s="7">
        <v>2395497</v>
      </c>
      <c r="Q386" s="7">
        <v>0</v>
      </c>
      <c r="S386" s="7">
        <v>6049716</v>
      </c>
      <c r="U386" s="7">
        <v>90061</v>
      </c>
      <c r="W386" s="7">
        <v>0</v>
      </c>
      <c r="Y386" s="7">
        <v>1300</v>
      </c>
      <c r="AA386" s="7">
        <f>15930+749</f>
        <v>16679</v>
      </c>
      <c r="AB386" s="58"/>
      <c r="AC386" s="7">
        <v>0</v>
      </c>
      <c r="AE386" s="7">
        <v>0</v>
      </c>
      <c r="AG386" s="7">
        <f t="shared" si="39"/>
        <v>8553253</v>
      </c>
      <c r="AH386" s="7"/>
      <c r="AI386" s="7">
        <f t="shared" si="40"/>
        <v>11257202</v>
      </c>
    </row>
    <row r="387" spans="1:37" ht="12" customHeight="1">
      <c r="A387" s="11" t="s">
        <v>527</v>
      </c>
      <c r="B387" s="11"/>
      <c r="C387" s="11" t="s">
        <v>63</v>
      </c>
      <c r="D387" s="11"/>
      <c r="E387" s="29">
        <v>50047</v>
      </c>
      <c r="G387" s="7">
        <v>2146083</v>
      </c>
      <c r="I387" s="7">
        <v>3775690</v>
      </c>
      <c r="K387" s="7">
        <v>0</v>
      </c>
      <c r="M387" s="7">
        <f t="shared" si="38"/>
        <v>5921773</v>
      </c>
      <c r="O387" s="7">
        <f>25143381+3058893+609596</f>
        <v>28811870</v>
      </c>
      <c r="Q387" s="7">
        <v>0</v>
      </c>
      <c r="S387" s="7">
        <v>12156357</v>
      </c>
      <c r="U387" s="7">
        <v>16087</v>
      </c>
      <c r="W387" s="7">
        <v>0</v>
      </c>
      <c r="Y387" s="7">
        <v>0</v>
      </c>
      <c r="AA387" s="7">
        <v>79202</v>
      </c>
      <c r="AB387" s="58"/>
      <c r="AC387" s="7">
        <v>0</v>
      </c>
      <c r="AE387" s="7">
        <v>0</v>
      </c>
      <c r="AG387" s="7">
        <f t="shared" si="39"/>
        <v>41063516</v>
      </c>
      <c r="AH387" s="7"/>
      <c r="AI387" s="7">
        <f t="shared" si="40"/>
        <v>46985289</v>
      </c>
    </row>
    <row r="388" spans="1:37" ht="12" customHeight="1">
      <c r="A388" s="11" t="s">
        <v>574</v>
      </c>
      <c r="B388" s="11"/>
      <c r="C388" s="11" t="s">
        <v>72</v>
      </c>
      <c r="D388" s="11"/>
      <c r="E388" s="29">
        <v>50708</v>
      </c>
      <c r="G388" s="7">
        <v>472418</v>
      </c>
      <c r="I388" s="7">
        <v>1017065</v>
      </c>
      <c r="K388" s="7">
        <v>0</v>
      </c>
      <c r="M388" s="7">
        <f t="shared" si="38"/>
        <v>1489483</v>
      </c>
      <c r="O388" s="7">
        <f>2351997+593864+61340</f>
        <v>3007201</v>
      </c>
      <c r="Q388" s="7">
        <v>804734</v>
      </c>
      <c r="S388" s="7">
        <v>4461248</v>
      </c>
      <c r="U388" s="7">
        <v>39027</v>
      </c>
      <c r="W388" s="7">
        <v>0</v>
      </c>
      <c r="Y388" s="7">
        <v>0</v>
      </c>
      <c r="AA388" s="7">
        <v>339744</v>
      </c>
      <c r="AB388" s="58"/>
      <c r="AC388" s="7">
        <v>0</v>
      </c>
      <c r="AE388" s="7">
        <v>0</v>
      </c>
      <c r="AG388" s="7">
        <f t="shared" si="39"/>
        <v>8651954</v>
      </c>
      <c r="AH388" s="7"/>
      <c r="AI388" s="7">
        <f t="shared" si="40"/>
        <v>10141437</v>
      </c>
    </row>
    <row r="389" spans="1:37" ht="12" hidden="1" customHeight="1">
      <c r="A389" s="11" t="s">
        <v>943</v>
      </c>
      <c r="B389" s="11"/>
      <c r="C389" s="11" t="s">
        <v>53</v>
      </c>
      <c r="D389" s="11"/>
      <c r="E389" s="29">
        <v>48967</v>
      </c>
      <c r="M389" s="7">
        <f t="shared" si="38"/>
        <v>0</v>
      </c>
      <c r="W389" s="7">
        <v>0</v>
      </c>
      <c r="Y389" s="7">
        <v>0</v>
      </c>
      <c r="AB389" s="58"/>
      <c r="AC389" s="7">
        <v>0</v>
      </c>
      <c r="AE389" s="7">
        <v>0</v>
      </c>
      <c r="AG389" s="7">
        <f t="shared" si="39"/>
        <v>0</v>
      </c>
      <c r="AH389" s="7"/>
      <c r="AI389" s="7">
        <f t="shared" si="40"/>
        <v>0</v>
      </c>
      <c r="AK389" s="7" t="s">
        <v>839</v>
      </c>
    </row>
    <row r="390" spans="1:37" ht="12" customHeight="1">
      <c r="A390" s="11" t="s">
        <v>518</v>
      </c>
      <c r="B390" s="11"/>
      <c r="C390" s="11" t="s">
        <v>62</v>
      </c>
      <c r="D390" s="11"/>
      <c r="E390" s="29">
        <v>44503</v>
      </c>
      <c r="G390" s="7">
        <v>2755042</v>
      </c>
      <c r="I390" s="7">
        <v>4703073</v>
      </c>
      <c r="K390" s="7">
        <v>0</v>
      </c>
      <c r="M390" s="7">
        <f t="shared" si="38"/>
        <v>7458115</v>
      </c>
      <c r="O390" s="7">
        <f>23831268+1547396</f>
        <v>25378664</v>
      </c>
      <c r="Q390" s="7">
        <v>0</v>
      </c>
      <c r="S390" s="7">
        <v>17545464</v>
      </c>
      <c r="U390" s="7">
        <v>30912</v>
      </c>
      <c r="W390" s="7">
        <v>0</v>
      </c>
      <c r="Y390" s="7">
        <v>0</v>
      </c>
      <c r="AA390" s="7">
        <v>153316</v>
      </c>
      <c r="AB390" s="58"/>
      <c r="AC390" s="7">
        <v>0</v>
      </c>
      <c r="AE390" s="7">
        <v>0</v>
      </c>
      <c r="AG390" s="7">
        <f t="shared" si="39"/>
        <v>43108356</v>
      </c>
      <c r="AH390" s="7"/>
      <c r="AI390" s="7">
        <f t="shared" si="40"/>
        <v>50566471</v>
      </c>
    </row>
    <row r="391" spans="1:37" ht="12" hidden="1" customHeight="1">
      <c r="A391" s="11" t="s">
        <v>944</v>
      </c>
      <c r="B391" s="11"/>
      <c r="C391" s="11" t="s">
        <v>570</v>
      </c>
      <c r="D391" s="11"/>
      <c r="E391" s="29">
        <v>50641</v>
      </c>
      <c r="M391" s="7">
        <f t="shared" si="38"/>
        <v>0</v>
      </c>
      <c r="W391" s="7">
        <v>0</v>
      </c>
      <c r="Y391" s="7">
        <v>0</v>
      </c>
      <c r="AB391" s="58"/>
      <c r="AC391" s="7">
        <v>0</v>
      </c>
      <c r="AE391" s="7">
        <v>0</v>
      </c>
      <c r="AG391" s="7">
        <f t="shared" si="39"/>
        <v>0</v>
      </c>
      <c r="AH391" s="7"/>
      <c r="AI391" s="7">
        <f t="shared" si="40"/>
        <v>0</v>
      </c>
      <c r="AK391" s="7" t="s">
        <v>839</v>
      </c>
    </row>
    <row r="392" spans="1:37" ht="12" customHeight="1">
      <c r="A392" s="11" t="s">
        <v>748</v>
      </c>
      <c r="B392" s="11"/>
      <c r="C392" s="11" t="s">
        <v>32</v>
      </c>
      <c r="D392" s="11"/>
      <c r="E392" s="29">
        <v>44511</v>
      </c>
      <c r="G392" s="7">
        <v>410727</v>
      </c>
      <c r="I392" s="7">
        <v>2977895</v>
      </c>
      <c r="K392" s="7">
        <v>886502</v>
      </c>
      <c r="M392" s="7">
        <f t="shared" si="38"/>
        <v>4275124</v>
      </c>
      <c r="O392" s="7">
        <f>3811457+372668+584326</f>
        <v>4768451</v>
      </c>
      <c r="Q392" s="7">
        <v>0</v>
      </c>
      <c r="S392" s="7">
        <v>7878372</v>
      </c>
      <c r="U392" s="7">
        <v>12417</v>
      </c>
      <c r="W392" s="7">
        <v>0</v>
      </c>
      <c r="Y392" s="7">
        <v>0</v>
      </c>
      <c r="AA392" s="7">
        <f>1025746+4078</f>
        <v>1029824</v>
      </c>
      <c r="AB392" s="58"/>
      <c r="AC392" s="7">
        <v>0</v>
      </c>
      <c r="AE392" s="7">
        <v>0</v>
      </c>
      <c r="AG392" s="7">
        <f t="shared" si="39"/>
        <v>13689064</v>
      </c>
      <c r="AH392" s="7"/>
      <c r="AI392" s="7">
        <f t="shared" si="40"/>
        <v>17964188</v>
      </c>
      <c r="AK392" s="7" t="s">
        <v>945</v>
      </c>
    </row>
    <row r="393" spans="1:37" ht="12" customHeight="1">
      <c r="A393" s="11" t="s">
        <v>389</v>
      </c>
      <c r="B393" s="11"/>
      <c r="C393" s="11" t="s">
        <v>42</v>
      </c>
      <c r="D393" s="11"/>
      <c r="E393" s="29">
        <v>48025</v>
      </c>
      <c r="G393" s="7">
        <v>1150176</v>
      </c>
      <c r="I393" s="7">
        <v>3422273</v>
      </c>
      <c r="K393" s="7">
        <v>0</v>
      </c>
      <c r="M393" s="7">
        <f t="shared" si="38"/>
        <v>4572449</v>
      </c>
      <c r="O393" s="7">
        <f>3805174+85431+745159+133420</f>
        <v>4769184</v>
      </c>
      <c r="Q393" s="7">
        <v>1808027</v>
      </c>
      <c r="S393" s="7">
        <v>7930823</v>
      </c>
      <c r="U393" s="7">
        <v>19820</v>
      </c>
      <c r="W393" s="7">
        <v>0</v>
      </c>
      <c r="Y393" s="7">
        <v>0</v>
      </c>
      <c r="AA393" s="7">
        <v>22697</v>
      </c>
      <c r="AB393" s="58"/>
      <c r="AC393" s="7">
        <v>0</v>
      </c>
      <c r="AE393" s="7">
        <v>0</v>
      </c>
      <c r="AG393" s="7">
        <f t="shared" si="39"/>
        <v>14550551</v>
      </c>
      <c r="AH393" s="7"/>
      <c r="AI393" s="7">
        <f t="shared" si="40"/>
        <v>19123000</v>
      </c>
    </row>
    <row r="394" spans="1:37" ht="12" customHeight="1">
      <c r="A394" s="11" t="s">
        <v>277</v>
      </c>
      <c r="B394" s="11"/>
      <c r="C394" s="11" t="s">
        <v>20</v>
      </c>
      <c r="D394" s="11"/>
      <c r="E394" s="29">
        <v>44529</v>
      </c>
      <c r="G394" s="7">
        <v>1864612</v>
      </c>
      <c r="I394" s="7">
        <v>3896102</v>
      </c>
      <c r="K394" s="7">
        <v>0</v>
      </c>
      <c r="M394" s="7">
        <f t="shared" ref="M394:M398" si="44">SUM(G394:L394)</f>
        <v>5760714</v>
      </c>
      <c r="O394" s="7">
        <f>37907103+1106283</f>
        <v>39013386</v>
      </c>
      <c r="Q394" s="7">
        <v>0</v>
      </c>
      <c r="S394" s="7">
        <v>14919942</v>
      </c>
      <c r="U394" s="7">
        <v>25058</v>
      </c>
      <c r="W394" s="7">
        <v>0</v>
      </c>
      <c r="Y394" s="7">
        <v>0</v>
      </c>
      <c r="AA394" s="7">
        <v>669310</v>
      </c>
      <c r="AB394" s="58"/>
      <c r="AC394" s="7">
        <v>0</v>
      </c>
      <c r="AE394" s="7">
        <v>0</v>
      </c>
      <c r="AG394" s="7">
        <f t="shared" ref="AG394:AG440" si="45">SUM(O394:AE394)</f>
        <v>54627696</v>
      </c>
      <c r="AH394" s="7"/>
      <c r="AI394" s="7">
        <f t="shared" ref="AI394:AI440" si="46">+AG394+M394</f>
        <v>60388410</v>
      </c>
    </row>
    <row r="395" spans="1:37" ht="12" customHeight="1">
      <c r="A395" s="11" t="s">
        <v>400</v>
      </c>
      <c r="B395" s="11"/>
      <c r="C395" s="11" t="s">
        <v>44</v>
      </c>
      <c r="D395" s="11"/>
      <c r="E395" s="29">
        <v>44537</v>
      </c>
      <c r="G395" s="7">
        <v>1562708</v>
      </c>
      <c r="I395" s="7">
        <v>3052274</v>
      </c>
      <c r="K395" s="7">
        <v>0</v>
      </c>
      <c r="M395" s="7">
        <f t="shared" si="44"/>
        <v>4614982</v>
      </c>
      <c r="O395" s="7">
        <f>18711244+330891+661327</f>
        <v>19703462</v>
      </c>
      <c r="Q395" s="7">
        <v>0</v>
      </c>
      <c r="S395" s="7">
        <v>11689048</v>
      </c>
      <c r="U395" s="7">
        <v>14088</v>
      </c>
      <c r="W395" s="7">
        <v>0</v>
      </c>
      <c r="Y395" s="7">
        <v>0</v>
      </c>
      <c r="AA395" s="7">
        <v>983021</v>
      </c>
      <c r="AB395" s="58"/>
      <c r="AC395" s="7">
        <v>0</v>
      </c>
      <c r="AE395" s="7">
        <v>0</v>
      </c>
      <c r="AG395" s="7">
        <f t="shared" si="45"/>
        <v>32389619</v>
      </c>
      <c r="AH395" s="7"/>
      <c r="AI395" s="7">
        <f t="shared" si="46"/>
        <v>37004601</v>
      </c>
    </row>
    <row r="396" spans="1:37" ht="12" customHeight="1">
      <c r="A396" s="11" t="s">
        <v>278</v>
      </c>
      <c r="B396" s="11"/>
      <c r="C396" s="11" t="s">
        <v>20</v>
      </c>
      <c r="D396" s="11"/>
      <c r="E396" s="29">
        <v>44545</v>
      </c>
      <c r="G396" s="7">
        <v>2469099</v>
      </c>
      <c r="I396" s="7">
        <v>3470946</v>
      </c>
      <c r="K396" s="7">
        <v>634617</v>
      </c>
      <c r="M396" s="7">
        <f t="shared" si="44"/>
        <v>6574662</v>
      </c>
      <c r="O396" s="7">
        <f>34607536+1727765+909349</f>
        <v>37244650</v>
      </c>
      <c r="Q396" s="7">
        <v>0</v>
      </c>
      <c r="S396" s="7">
        <v>11273655</v>
      </c>
      <c r="U396" s="7">
        <v>66759</v>
      </c>
      <c r="W396" s="7">
        <v>0</v>
      </c>
      <c r="Y396" s="7">
        <v>0</v>
      </c>
      <c r="AA396" s="7">
        <v>229778</v>
      </c>
      <c r="AB396" s="58"/>
      <c r="AC396" s="7">
        <v>0</v>
      </c>
      <c r="AE396" s="7">
        <v>0</v>
      </c>
      <c r="AG396" s="7">
        <f t="shared" si="45"/>
        <v>48814842</v>
      </c>
      <c r="AH396" s="7"/>
      <c r="AI396" s="7">
        <f t="shared" si="46"/>
        <v>55389504</v>
      </c>
    </row>
    <row r="397" spans="1:37" ht="12" customHeight="1">
      <c r="A397" s="11" t="s">
        <v>556</v>
      </c>
      <c r="B397" s="11"/>
      <c r="C397" s="11" t="s">
        <v>66</v>
      </c>
      <c r="D397" s="11"/>
      <c r="E397" s="29">
        <v>50336</v>
      </c>
      <c r="G397" s="7">
        <v>1104265</v>
      </c>
      <c r="I397" s="7">
        <v>1930666</v>
      </c>
      <c r="K397" s="7">
        <v>0</v>
      </c>
      <c r="M397" s="7">
        <f t="shared" si="44"/>
        <v>3034931</v>
      </c>
      <c r="O397" s="7">
        <f>3856608+58561+705404+143486</f>
        <v>4764059</v>
      </c>
      <c r="Q397" s="7">
        <v>1573312</v>
      </c>
      <c r="S397" s="7">
        <v>7424188</v>
      </c>
      <c r="U397" s="7">
        <v>239046</v>
      </c>
      <c r="W397" s="7">
        <v>0</v>
      </c>
      <c r="Y397" s="7">
        <v>2000</v>
      </c>
      <c r="AA397" s="7">
        <v>154595</v>
      </c>
      <c r="AB397" s="58"/>
      <c r="AC397" s="7">
        <v>0</v>
      </c>
      <c r="AE397" s="7">
        <v>0</v>
      </c>
      <c r="AG397" s="7">
        <f t="shared" si="45"/>
        <v>14157200</v>
      </c>
      <c r="AH397" s="7"/>
      <c r="AI397" s="7">
        <f t="shared" si="46"/>
        <v>17192131</v>
      </c>
    </row>
    <row r="398" spans="1:37" ht="12" customHeight="1">
      <c r="A398" s="11" t="s">
        <v>238</v>
      </c>
      <c r="B398" s="11"/>
      <c r="C398" s="11" t="s">
        <v>17</v>
      </c>
      <c r="D398" s="11"/>
      <c r="E398" s="29">
        <v>46250</v>
      </c>
      <c r="F398" s="6"/>
      <c r="G398" s="7">
        <v>3056166</v>
      </c>
      <c r="I398" s="7">
        <v>3678521</v>
      </c>
      <c r="K398" s="7">
        <v>0</v>
      </c>
      <c r="M398" s="7">
        <f t="shared" si="44"/>
        <v>6734687</v>
      </c>
      <c r="O398" s="7">
        <v>11337817</v>
      </c>
      <c r="Q398" s="7">
        <v>0</v>
      </c>
      <c r="S398" s="7">
        <v>14954386</v>
      </c>
      <c r="U398" s="7">
        <v>23410</v>
      </c>
      <c r="W398" s="7">
        <v>0</v>
      </c>
      <c r="Y398" s="7">
        <v>70868</v>
      </c>
      <c r="AA398" s="7">
        <f>50898+440+1021+13203+4010</f>
        <v>69572</v>
      </c>
      <c r="AB398" s="58"/>
      <c r="AC398" s="7">
        <v>0</v>
      </c>
      <c r="AE398" s="7">
        <v>0</v>
      </c>
      <c r="AG398" s="7">
        <f t="shared" si="45"/>
        <v>26456053</v>
      </c>
      <c r="AH398" s="7"/>
      <c r="AI398" s="7">
        <f t="shared" si="46"/>
        <v>33190740</v>
      </c>
    </row>
    <row r="399" spans="1:37" ht="12" hidden="1" customHeight="1">
      <c r="A399" s="11" t="s">
        <v>946</v>
      </c>
      <c r="B399" s="11"/>
      <c r="C399" s="11" t="s">
        <v>22</v>
      </c>
      <c r="D399" s="11"/>
      <c r="E399" s="29">
        <v>46722</v>
      </c>
      <c r="M399" s="7">
        <f t="shared" ref="M399:M440" si="47">SUM(G399:L399)</f>
        <v>0</v>
      </c>
      <c r="AB399" s="58"/>
      <c r="AC399" s="7">
        <v>0</v>
      </c>
      <c r="AE399" s="7">
        <v>0</v>
      </c>
      <c r="AG399" s="7">
        <f t="shared" si="45"/>
        <v>0</v>
      </c>
      <c r="AH399" s="7"/>
      <c r="AI399" s="7">
        <f t="shared" si="46"/>
        <v>0</v>
      </c>
      <c r="AK399" s="7" t="s">
        <v>839</v>
      </c>
    </row>
    <row r="400" spans="1:37" ht="12" hidden="1" customHeight="1">
      <c r="A400" s="11" t="s">
        <v>947</v>
      </c>
      <c r="B400" s="11"/>
      <c r="C400" s="11" t="s">
        <v>466</v>
      </c>
      <c r="D400" s="11"/>
      <c r="E400" s="29"/>
      <c r="M400" s="7">
        <f t="shared" si="47"/>
        <v>0</v>
      </c>
      <c r="AB400" s="58"/>
      <c r="AC400" s="7">
        <v>0</v>
      </c>
      <c r="AE400" s="7">
        <v>0</v>
      </c>
      <c r="AG400" s="7">
        <f t="shared" ref="AG400" si="48">SUM(O400:AE400)</f>
        <v>0</v>
      </c>
      <c r="AH400" s="7"/>
      <c r="AI400" s="7">
        <f t="shared" ref="AI400" si="49">+AG400+M400</f>
        <v>0</v>
      </c>
      <c r="AK400" s="7" t="s">
        <v>931</v>
      </c>
    </row>
    <row r="401" spans="1:37" ht="12" customHeight="1">
      <c r="A401" s="11" t="s">
        <v>447</v>
      </c>
      <c r="B401" s="11"/>
      <c r="C401" s="11" t="s">
        <v>50</v>
      </c>
      <c r="D401" s="11"/>
      <c r="E401" s="29">
        <v>48728</v>
      </c>
      <c r="G401" s="7">
        <v>3678205</v>
      </c>
      <c r="I401" s="7">
        <v>7496165</v>
      </c>
      <c r="K401" s="7">
        <v>0</v>
      </c>
      <c r="M401" s="7">
        <f t="shared" si="47"/>
        <v>11174370</v>
      </c>
      <c r="O401" s="7">
        <v>24636398</v>
      </c>
      <c r="Q401" s="7">
        <v>0</v>
      </c>
      <c r="S401" s="7">
        <v>21967604</v>
      </c>
      <c r="U401" s="7">
        <v>11229</v>
      </c>
      <c r="W401" s="7">
        <v>402654</v>
      </c>
      <c r="Y401" s="7">
        <v>140010</v>
      </c>
      <c r="AA401" s="7">
        <v>135558</v>
      </c>
      <c r="AB401" s="58"/>
      <c r="AC401" s="7">
        <v>0</v>
      </c>
      <c r="AE401" s="7">
        <v>0</v>
      </c>
      <c r="AG401" s="7">
        <f t="shared" ref="AG401:AG403" si="50">SUM(O401:AE401)</f>
        <v>47293453</v>
      </c>
      <c r="AH401" s="7"/>
      <c r="AI401" s="7">
        <f t="shared" si="46"/>
        <v>58467823</v>
      </c>
    </row>
    <row r="402" spans="1:37" ht="12" customHeight="1">
      <c r="A402" s="11" t="s">
        <v>455</v>
      </c>
      <c r="B402" s="11"/>
      <c r="C402" s="11" t="s">
        <v>78</v>
      </c>
      <c r="D402" s="11"/>
      <c r="E402" s="29">
        <v>48819</v>
      </c>
      <c r="G402" s="7">
        <v>903523</v>
      </c>
      <c r="I402" s="7">
        <v>2554386</v>
      </c>
      <c r="K402" s="7">
        <v>0</v>
      </c>
      <c r="M402" s="7">
        <f t="shared" si="47"/>
        <v>3457909</v>
      </c>
      <c r="O402" s="7">
        <f>2959857+67557+886051+72556</f>
        <v>3986021</v>
      </c>
      <c r="Q402" s="7">
        <v>1357555</v>
      </c>
      <c r="S402" s="7">
        <v>4933670</v>
      </c>
      <c r="U402" s="7">
        <v>21477</v>
      </c>
      <c r="W402" s="7">
        <v>0</v>
      </c>
      <c r="Y402" s="7">
        <v>0</v>
      </c>
      <c r="AA402" s="7">
        <v>23626</v>
      </c>
      <c r="AB402" s="58"/>
      <c r="AC402" s="7">
        <v>0</v>
      </c>
      <c r="AE402" s="7">
        <v>0</v>
      </c>
      <c r="AG402" s="7">
        <f t="shared" si="50"/>
        <v>10322349</v>
      </c>
      <c r="AH402" s="7"/>
      <c r="AI402" s="7">
        <f t="shared" si="46"/>
        <v>13780258</v>
      </c>
    </row>
    <row r="403" spans="1:37" ht="12" customHeight="1">
      <c r="A403" s="11" t="s">
        <v>390</v>
      </c>
      <c r="B403" s="11"/>
      <c r="C403" s="12" t="s">
        <v>42</v>
      </c>
      <c r="D403" s="11"/>
      <c r="E403" s="29">
        <v>48033</v>
      </c>
      <c r="G403" s="7">
        <v>1188530</v>
      </c>
      <c r="I403" s="7">
        <v>1167848</v>
      </c>
      <c r="K403" s="7">
        <v>0</v>
      </c>
      <c r="M403" s="7">
        <f t="shared" si="47"/>
        <v>2356378</v>
      </c>
      <c r="O403" s="7">
        <f>5780460+691225+77459</f>
        <v>6549144</v>
      </c>
      <c r="Q403" s="7">
        <v>1348465</v>
      </c>
      <c r="S403" s="7">
        <v>5457011</v>
      </c>
      <c r="U403" s="7">
        <v>11954</v>
      </c>
      <c r="W403" s="7">
        <v>0</v>
      </c>
      <c r="Y403" s="7">
        <v>0</v>
      </c>
      <c r="AA403" s="7">
        <v>3206</v>
      </c>
      <c r="AB403" s="58"/>
      <c r="AC403" s="7">
        <v>0</v>
      </c>
      <c r="AE403" s="7">
        <v>0</v>
      </c>
      <c r="AG403" s="7">
        <f t="shared" si="50"/>
        <v>13369780</v>
      </c>
      <c r="AH403" s="7"/>
      <c r="AI403" s="7">
        <f t="shared" si="46"/>
        <v>15726158</v>
      </c>
      <c r="AK403" s="7" t="s">
        <v>948</v>
      </c>
    </row>
    <row r="404" spans="1:37" ht="12" customHeight="1">
      <c r="A404" s="11" t="s">
        <v>390</v>
      </c>
      <c r="B404" s="11"/>
      <c r="C404" s="12" t="s">
        <v>50</v>
      </c>
      <c r="D404" s="11"/>
      <c r="E404" s="29">
        <v>48736</v>
      </c>
      <c r="G404" s="7">
        <v>1840887</v>
      </c>
      <c r="I404" s="7">
        <v>4639382</v>
      </c>
      <c r="K404" s="7">
        <v>55</v>
      </c>
      <c r="M404" s="7">
        <f t="shared" ref="M404" si="51">SUM(G404:L404)</f>
        <v>6480324</v>
      </c>
      <c r="O404" s="7">
        <f>7018505+513397</f>
        <v>7531902</v>
      </c>
      <c r="Q404" s="7">
        <v>0</v>
      </c>
      <c r="S404" s="7">
        <v>10840514</v>
      </c>
      <c r="U404" s="7">
        <v>82847</v>
      </c>
      <c r="W404" s="7">
        <v>0</v>
      </c>
      <c r="Y404" s="7">
        <v>0</v>
      </c>
      <c r="AA404" s="7">
        <v>115738</v>
      </c>
      <c r="AB404" s="58"/>
      <c r="AC404" s="7">
        <v>0</v>
      </c>
      <c r="AE404" s="7">
        <v>0</v>
      </c>
      <c r="AG404" s="7">
        <f t="shared" ref="AG404" si="52">SUM(O404:AE404)</f>
        <v>18571001</v>
      </c>
      <c r="AH404" s="7"/>
      <c r="AI404" s="7">
        <f t="shared" si="46"/>
        <v>25051325</v>
      </c>
    </row>
    <row r="405" spans="1:37" ht="12" customHeight="1">
      <c r="A405" s="11" t="s">
        <v>335</v>
      </c>
      <c r="B405" s="11"/>
      <c r="C405" s="11" t="s">
        <v>32</v>
      </c>
      <c r="D405" s="11"/>
      <c r="E405" s="29">
        <v>47365</v>
      </c>
      <c r="G405" s="7">
        <v>4925256</v>
      </c>
      <c r="I405" s="7">
        <v>15251488</v>
      </c>
      <c r="K405" s="7">
        <v>0</v>
      </c>
      <c r="M405" s="7">
        <f t="shared" si="47"/>
        <v>20176744</v>
      </c>
      <c r="O405" s="7">
        <v>46423617</v>
      </c>
      <c r="Q405" s="7">
        <v>0</v>
      </c>
      <c r="S405" s="7">
        <v>35502090</v>
      </c>
      <c r="U405" s="7">
        <v>198962</v>
      </c>
      <c r="W405" s="7">
        <v>0</v>
      </c>
      <c r="Y405" s="7">
        <v>152446</v>
      </c>
      <c r="AA405" s="7">
        <v>3451355</v>
      </c>
      <c r="AB405" s="58"/>
      <c r="AC405" s="7">
        <v>0</v>
      </c>
      <c r="AE405" s="7">
        <v>0</v>
      </c>
      <c r="AG405" s="7">
        <f t="shared" si="45"/>
        <v>85728470</v>
      </c>
      <c r="AH405" s="7"/>
      <c r="AI405" s="7">
        <f t="shared" si="46"/>
        <v>105905214</v>
      </c>
    </row>
    <row r="406" spans="1:37" ht="12" customHeight="1">
      <c r="A406" s="11" t="s">
        <v>621</v>
      </c>
      <c r="B406" s="11"/>
      <c r="C406" s="11" t="s">
        <v>59</v>
      </c>
      <c r="D406" s="11"/>
      <c r="E406" s="29">
        <v>49635</v>
      </c>
      <c r="G406" s="7">
        <v>497127</v>
      </c>
      <c r="I406" s="7">
        <v>3321315</v>
      </c>
      <c r="K406" s="7">
        <v>0</v>
      </c>
      <c r="M406" s="7">
        <f t="shared" si="47"/>
        <v>3818442</v>
      </c>
      <c r="O406" s="7">
        <f>1788956+32163+66286</f>
        <v>1887405</v>
      </c>
      <c r="Q406" s="7">
        <v>0</v>
      </c>
      <c r="S406" s="7">
        <v>12238031</v>
      </c>
      <c r="U406" s="7">
        <v>792</v>
      </c>
      <c r="W406" s="7">
        <v>0</v>
      </c>
      <c r="Y406" s="7">
        <v>0</v>
      </c>
      <c r="AA406" s="7">
        <f>887+2807</f>
        <v>3694</v>
      </c>
      <c r="AB406" s="58"/>
      <c r="AC406" s="7">
        <v>0</v>
      </c>
      <c r="AE406" s="7">
        <v>0</v>
      </c>
      <c r="AG406" s="7">
        <f t="shared" si="45"/>
        <v>14129922</v>
      </c>
      <c r="AH406" s="7"/>
      <c r="AI406" s="7">
        <f t="shared" si="46"/>
        <v>17948364</v>
      </c>
    </row>
    <row r="407" spans="1:37" ht="12" customHeight="1">
      <c r="A407" s="11" t="s">
        <v>335</v>
      </c>
      <c r="B407" s="11"/>
      <c r="C407" s="11" t="s">
        <v>62</v>
      </c>
      <c r="D407" s="11"/>
      <c r="E407" s="29">
        <v>49908</v>
      </c>
      <c r="G407" s="7">
        <v>1049368</v>
      </c>
      <c r="I407" s="7">
        <v>3336223</v>
      </c>
      <c r="K407" s="7">
        <v>1036</v>
      </c>
      <c r="M407" s="7">
        <f t="shared" si="47"/>
        <v>4386627</v>
      </c>
      <c r="O407" s="7">
        <f>6551229+1285457+193403+210027</f>
        <v>8240116</v>
      </c>
      <c r="Q407" s="7">
        <v>371872</v>
      </c>
      <c r="S407" s="7">
        <v>9356834</v>
      </c>
      <c r="U407" s="7">
        <v>19847</v>
      </c>
      <c r="W407" s="7">
        <v>0</v>
      </c>
      <c r="Y407" s="7">
        <v>0</v>
      </c>
      <c r="AA407" s="7">
        <v>38523</v>
      </c>
      <c r="AB407" s="58"/>
      <c r="AC407" s="7">
        <v>0</v>
      </c>
      <c r="AE407" s="7">
        <v>0</v>
      </c>
      <c r="AG407" s="7">
        <f t="shared" ref="AG407:AG411" si="53">SUM(O407:AE407)</f>
        <v>18027192</v>
      </c>
      <c r="AH407" s="7"/>
      <c r="AI407" s="7">
        <f t="shared" si="46"/>
        <v>22413819</v>
      </c>
    </row>
    <row r="408" spans="1:37" ht="12" customHeight="1">
      <c r="A408" s="11" t="s">
        <v>239</v>
      </c>
      <c r="B408" s="11"/>
      <c r="C408" s="11" t="s">
        <v>17</v>
      </c>
      <c r="D408" s="11"/>
      <c r="E408" s="29">
        <v>46268</v>
      </c>
      <c r="F408" s="6"/>
      <c r="G408" s="7">
        <v>2181907</v>
      </c>
      <c r="I408" s="7">
        <v>1785558</v>
      </c>
      <c r="K408" s="7">
        <v>4226274</v>
      </c>
      <c r="M408" s="7">
        <f t="shared" si="47"/>
        <v>8193739</v>
      </c>
      <c r="O408" s="7">
        <v>6549151</v>
      </c>
      <c r="Q408" s="7">
        <v>1772611</v>
      </c>
      <c r="S408" s="7">
        <v>7873779</v>
      </c>
      <c r="U408" s="7">
        <v>93039</v>
      </c>
      <c r="W408" s="7">
        <v>0</v>
      </c>
      <c r="Y408" s="7">
        <v>0</v>
      </c>
      <c r="AA408" s="7">
        <v>47403</v>
      </c>
      <c r="AB408" s="58"/>
      <c r="AC408" s="7">
        <v>0</v>
      </c>
      <c r="AE408" s="7">
        <v>0</v>
      </c>
      <c r="AG408" s="7">
        <f t="shared" si="53"/>
        <v>16335983</v>
      </c>
      <c r="AH408" s="7"/>
      <c r="AI408" s="7">
        <f t="shared" si="46"/>
        <v>24529722</v>
      </c>
    </row>
    <row r="409" spans="1:37" ht="12" hidden="1" customHeight="1">
      <c r="A409" s="11" t="s">
        <v>801</v>
      </c>
      <c r="B409" s="11"/>
      <c r="C409" s="11" t="s">
        <v>71</v>
      </c>
      <c r="D409" s="11"/>
      <c r="E409" s="29"/>
      <c r="F409" s="6"/>
      <c r="AB409" s="58"/>
      <c r="AC409" s="7">
        <v>0</v>
      </c>
      <c r="AE409" s="7">
        <v>0</v>
      </c>
      <c r="AH409" s="7"/>
      <c r="AK409" s="7" t="s">
        <v>938</v>
      </c>
    </row>
    <row r="410" spans="1:37" ht="12" customHeight="1">
      <c r="A410" s="11" t="s">
        <v>575</v>
      </c>
      <c r="B410" s="11"/>
      <c r="C410" s="11" t="s">
        <v>72</v>
      </c>
      <c r="D410" s="11"/>
      <c r="E410" s="29">
        <v>50716</v>
      </c>
      <c r="G410" s="7">
        <v>910629</v>
      </c>
      <c r="I410" s="7">
        <v>1090164</v>
      </c>
      <c r="K410" s="7">
        <v>2600</v>
      </c>
      <c r="M410" s="7">
        <f t="shared" si="47"/>
        <v>2003393</v>
      </c>
      <c r="O410" s="7">
        <f>5775919+189488+178749</f>
        <v>6144156</v>
      </c>
      <c r="Q410" s="7">
        <v>0</v>
      </c>
      <c r="S410" s="7">
        <v>3850014</v>
      </c>
      <c r="U410" s="7">
        <v>13828</v>
      </c>
      <c r="W410" s="7">
        <v>176319</v>
      </c>
      <c r="Y410" s="7">
        <v>3524</v>
      </c>
      <c r="AA410" s="7">
        <v>114236</v>
      </c>
      <c r="AB410" s="58"/>
      <c r="AC410" s="7">
        <v>0</v>
      </c>
      <c r="AE410" s="7">
        <v>0</v>
      </c>
      <c r="AG410" s="7">
        <f t="shared" si="53"/>
        <v>10302077</v>
      </c>
      <c r="AH410" s="7"/>
      <c r="AI410" s="7">
        <f t="shared" si="46"/>
        <v>12305470</v>
      </c>
    </row>
    <row r="411" spans="1:37" ht="12" customHeight="1">
      <c r="A411" s="11" t="s">
        <v>528</v>
      </c>
      <c r="B411" s="11"/>
      <c r="C411" s="11" t="s">
        <v>63</v>
      </c>
      <c r="D411" s="11"/>
      <c r="E411" s="29">
        <v>44552</v>
      </c>
      <c r="G411" s="7">
        <v>4104067</v>
      </c>
      <c r="I411" s="7">
        <v>2124877</v>
      </c>
      <c r="K411" s="7">
        <v>0</v>
      </c>
      <c r="M411" s="7">
        <f t="shared" si="47"/>
        <v>6228944</v>
      </c>
      <c r="O411" s="7">
        <f>7922474+587051</f>
        <v>8509525</v>
      </c>
      <c r="Q411" s="7">
        <v>0</v>
      </c>
      <c r="S411" s="7">
        <v>8628017</v>
      </c>
      <c r="U411" s="7">
        <v>17030</v>
      </c>
      <c r="W411" s="7">
        <v>0</v>
      </c>
      <c r="Y411" s="7">
        <v>0</v>
      </c>
      <c r="AA411" s="7">
        <v>534</v>
      </c>
      <c r="AB411" s="58"/>
      <c r="AC411" s="7">
        <v>0</v>
      </c>
      <c r="AE411" s="7">
        <v>0</v>
      </c>
      <c r="AG411" s="7">
        <f t="shared" si="53"/>
        <v>17155106</v>
      </c>
      <c r="AH411" s="7"/>
      <c r="AI411" s="7">
        <f t="shared" si="46"/>
        <v>23384050</v>
      </c>
      <c r="AK411" s="7" t="s">
        <v>949</v>
      </c>
    </row>
    <row r="412" spans="1:37" ht="12" customHeight="1">
      <c r="A412" s="11" t="s">
        <v>368</v>
      </c>
      <c r="B412" s="11"/>
      <c r="C412" s="11" t="s">
        <v>37</v>
      </c>
      <c r="D412" s="11"/>
      <c r="E412" s="29">
        <v>44560</v>
      </c>
      <c r="G412" s="7">
        <v>1493771</v>
      </c>
      <c r="I412" s="7">
        <v>4357884</v>
      </c>
      <c r="K412" s="7">
        <v>24103</v>
      </c>
      <c r="M412" s="7">
        <f t="shared" si="47"/>
        <v>5875758</v>
      </c>
      <c r="O412" s="7">
        <f>6320734+1026673+406931</f>
        <v>7754338</v>
      </c>
      <c r="Q412" s="7">
        <v>1804257</v>
      </c>
      <c r="S412" s="7">
        <v>13995584</v>
      </c>
      <c r="U412" s="7">
        <v>104152</v>
      </c>
      <c r="W412" s="7">
        <v>0</v>
      </c>
      <c r="Y412" s="7">
        <v>0</v>
      </c>
      <c r="AA412" s="7">
        <v>109949</v>
      </c>
      <c r="AB412" s="58"/>
      <c r="AC412" s="7">
        <v>0</v>
      </c>
      <c r="AE412" s="7">
        <v>0</v>
      </c>
      <c r="AG412" s="7">
        <f t="shared" si="45"/>
        <v>23768280</v>
      </c>
      <c r="AH412" s="7"/>
      <c r="AI412" s="7">
        <f t="shared" si="46"/>
        <v>29644038</v>
      </c>
    </row>
    <row r="413" spans="1:37" ht="12" hidden="1" customHeight="1">
      <c r="A413" s="11" t="s">
        <v>950</v>
      </c>
      <c r="B413" s="11"/>
      <c r="C413" s="11" t="s">
        <v>71</v>
      </c>
      <c r="D413" s="11"/>
      <c r="E413" s="29"/>
      <c r="M413" s="7">
        <f t="shared" ref="M413" si="54">SUM(G413:L413)</f>
        <v>0</v>
      </c>
      <c r="AB413" s="58"/>
      <c r="AC413" s="7">
        <v>0</v>
      </c>
      <c r="AE413" s="7">
        <v>0</v>
      </c>
      <c r="AG413" s="7">
        <f t="shared" ref="AG413" si="55">SUM(O413:AE413)</f>
        <v>0</v>
      </c>
      <c r="AH413" s="7"/>
      <c r="AI413" s="7">
        <f t="shared" ref="AI413" si="56">+AG413+M413</f>
        <v>0</v>
      </c>
      <c r="AK413" s="7" t="s">
        <v>931</v>
      </c>
    </row>
    <row r="414" spans="1:37" ht="12" customHeight="1">
      <c r="A414" s="11" t="s">
        <v>658</v>
      </c>
      <c r="B414" s="11"/>
      <c r="C414" s="11" t="s">
        <v>32</v>
      </c>
      <c r="D414" s="11"/>
      <c r="E414" s="29">
        <v>44578</v>
      </c>
      <c r="G414" s="7">
        <v>810093</v>
      </c>
      <c r="I414" s="7">
        <v>5078877</v>
      </c>
      <c r="K414" s="7">
        <v>0</v>
      </c>
      <c r="M414" s="7">
        <f t="shared" si="47"/>
        <v>5888970</v>
      </c>
      <c r="O414" s="7">
        <v>11678882</v>
      </c>
      <c r="Q414" s="7">
        <v>0</v>
      </c>
      <c r="S414" s="7">
        <v>11345686</v>
      </c>
      <c r="U414" s="7">
        <v>2570</v>
      </c>
      <c r="W414" s="7">
        <v>321019</v>
      </c>
      <c r="Y414" s="7">
        <v>36434</v>
      </c>
      <c r="AA414" s="7">
        <v>94976</v>
      </c>
      <c r="AB414" s="58"/>
      <c r="AC414" s="7">
        <v>0</v>
      </c>
      <c r="AE414" s="7">
        <v>0</v>
      </c>
      <c r="AG414" s="7">
        <f t="shared" si="45"/>
        <v>23479567</v>
      </c>
      <c r="AH414" s="7"/>
      <c r="AI414" s="7">
        <f t="shared" si="46"/>
        <v>29368537</v>
      </c>
    </row>
    <row r="415" spans="1:37" ht="12" hidden="1" customHeight="1">
      <c r="A415" s="11" t="s">
        <v>799</v>
      </c>
      <c r="B415" s="11"/>
      <c r="C415" s="11" t="s">
        <v>38</v>
      </c>
      <c r="D415" s="11"/>
      <c r="E415" s="29"/>
      <c r="AB415" s="58"/>
      <c r="AC415" s="7">
        <v>0</v>
      </c>
      <c r="AE415" s="7">
        <v>0</v>
      </c>
      <c r="AH415" s="7"/>
      <c r="AK415" s="7" t="s">
        <v>938</v>
      </c>
    </row>
    <row r="416" spans="1:37" ht="12" customHeight="1">
      <c r="A416" s="11" t="s">
        <v>336</v>
      </c>
      <c r="B416" s="11"/>
      <c r="C416" s="11" t="s">
        <v>32</v>
      </c>
      <c r="D416" s="11"/>
      <c r="E416" s="29">
        <v>47373</v>
      </c>
      <c r="G416" s="7">
        <v>4786800</v>
      </c>
      <c r="I416" s="7">
        <v>8656757</v>
      </c>
      <c r="K416" s="7">
        <v>0</v>
      </c>
      <c r="M416" s="7">
        <f t="shared" si="47"/>
        <v>13443557</v>
      </c>
      <c r="O416" s="7">
        <f>22185957+2749573+4820177</f>
        <v>29755707</v>
      </c>
      <c r="Q416" s="7">
        <v>0</v>
      </c>
      <c r="S416" s="7">
        <v>26449129</v>
      </c>
      <c r="U416" s="7">
        <v>352248</v>
      </c>
      <c r="W416" s="7">
        <v>9577067</v>
      </c>
      <c r="Y416" s="7">
        <v>174606</v>
      </c>
      <c r="AA416" s="7">
        <v>303828</v>
      </c>
      <c r="AB416" s="58"/>
      <c r="AC416" s="7">
        <v>0</v>
      </c>
      <c r="AE416" s="7">
        <v>0</v>
      </c>
      <c r="AG416" s="7">
        <f t="shared" si="45"/>
        <v>66612585</v>
      </c>
      <c r="AH416" s="7"/>
      <c r="AI416" s="7">
        <f t="shared" si="46"/>
        <v>80056142</v>
      </c>
    </row>
    <row r="417" spans="1:37" ht="12" customHeight="1">
      <c r="A417" s="11" t="s">
        <v>448</v>
      </c>
      <c r="B417" s="11"/>
      <c r="C417" s="11" t="s">
        <v>50</v>
      </c>
      <c r="D417" s="11"/>
      <c r="E417" s="29">
        <v>44586</v>
      </c>
      <c r="G417" s="7">
        <v>1048201</v>
      </c>
      <c r="I417" s="7">
        <v>3176272</v>
      </c>
      <c r="K417" s="7">
        <v>0</v>
      </c>
      <c r="M417" s="7">
        <f t="shared" si="47"/>
        <v>4224473</v>
      </c>
      <c r="O417" s="7">
        <f>13853109+493864+2175823</f>
        <v>16522796</v>
      </c>
      <c r="Q417" s="7">
        <v>0</v>
      </c>
      <c r="S417" s="7">
        <v>5872141</v>
      </c>
      <c r="U417" s="7">
        <v>3617</v>
      </c>
      <c r="W417" s="7">
        <v>0</v>
      </c>
      <c r="Y417" s="7">
        <v>0</v>
      </c>
      <c r="AA417" s="7">
        <v>123053</v>
      </c>
      <c r="AB417" s="58"/>
      <c r="AC417" s="7">
        <v>0</v>
      </c>
      <c r="AE417" s="7">
        <v>0</v>
      </c>
      <c r="AG417" s="7">
        <f t="shared" si="45"/>
        <v>22521607</v>
      </c>
      <c r="AH417" s="7"/>
      <c r="AI417" s="7">
        <f t="shared" si="46"/>
        <v>26746080</v>
      </c>
    </row>
    <row r="418" spans="1:37" ht="12" customHeight="1">
      <c r="A418" s="11" t="s">
        <v>401</v>
      </c>
      <c r="B418" s="11"/>
      <c r="C418" s="11" t="s">
        <v>44</v>
      </c>
      <c r="D418" s="11"/>
      <c r="E418" s="29">
        <v>44594</v>
      </c>
      <c r="G418" s="7">
        <v>521486</v>
      </c>
      <c r="I418" s="7">
        <v>1549631</v>
      </c>
      <c r="K418" s="7">
        <v>0</v>
      </c>
      <c r="M418" s="7">
        <f t="shared" si="47"/>
        <v>2071117</v>
      </c>
      <c r="O418" s="7">
        <f>3748169+309867+212763</f>
        <v>4270799</v>
      </c>
      <c r="Q418" s="7">
        <v>3481661</v>
      </c>
      <c r="S418" s="7">
        <v>4373571</v>
      </c>
      <c r="U418" s="7">
        <v>1125</v>
      </c>
      <c r="W418" s="7">
        <v>0</v>
      </c>
      <c r="Y418" s="7">
        <v>0</v>
      </c>
      <c r="AA418" s="7">
        <v>296624</v>
      </c>
      <c r="AB418" s="58"/>
      <c r="AC418" s="7">
        <v>0</v>
      </c>
      <c r="AE418" s="7">
        <v>0</v>
      </c>
      <c r="AG418" s="7">
        <f t="shared" si="45"/>
        <v>12423780</v>
      </c>
      <c r="AH418" s="7"/>
      <c r="AI418" s="7">
        <f t="shared" si="46"/>
        <v>14494897</v>
      </c>
    </row>
    <row r="419" spans="1:37" ht="12" hidden="1" customHeight="1">
      <c r="A419" s="12" t="s">
        <v>640</v>
      </c>
      <c r="B419" s="11"/>
      <c r="C419" s="11" t="s">
        <v>60</v>
      </c>
      <c r="D419" s="11"/>
      <c r="E419" s="29">
        <v>49726</v>
      </c>
      <c r="M419" s="7">
        <f t="shared" si="47"/>
        <v>0</v>
      </c>
      <c r="Y419" s="7">
        <v>0</v>
      </c>
      <c r="AB419" s="58"/>
      <c r="AC419" s="7">
        <v>0</v>
      </c>
      <c r="AE419" s="7">
        <v>0</v>
      </c>
      <c r="AG419" s="7">
        <f t="shared" si="45"/>
        <v>0</v>
      </c>
      <c r="AH419" s="7"/>
      <c r="AI419" s="7">
        <f t="shared" si="46"/>
        <v>0</v>
      </c>
      <c r="AK419" s="7" t="s">
        <v>839</v>
      </c>
    </row>
    <row r="420" spans="1:37" ht="12" customHeight="1">
      <c r="A420" s="11" t="s">
        <v>290</v>
      </c>
      <c r="B420" s="11"/>
      <c r="C420" s="11" t="s">
        <v>23</v>
      </c>
      <c r="D420" s="11"/>
      <c r="E420" s="29">
        <v>46763</v>
      </c>
      <c r="G420" s="7">
        <v>8215627</v>
      </c>
      <c r="I420" s="7">
        <v>9170786</v>
      </c>
      <c r="K420" s="7">
        <v>0</v>
      </c>
      <c r="M420" s="7">
        <f t="shared" si="47"/>
        <v>17386413</v>
      </c>
      <c r="O420" s="7">
        <v>132244731</v>
      </c>
      <c r="Q420" s="7">
        <v>0</v>
      </c>
      <c r="S420" s="7">
        <v>23849493</v>
      </c>
      <c r="U420" s="7">
        <v>475887</v>
      </c>
      <c r="W420" s="7">
        <v>12063164</v>
      </c>
      <c r="Y420" s="7">
        <v>0</v>
      </c>
      <c r="AA420" s="7">
        <v>2795675</v>
      </c>
      <c r="AB420" s="58"/>
      <c r="AC420" s="7">
        <v>0</v>
      </c>
      <c r="AE420" s="7">
        <v>2100000</v>
      </c>
      <c r="AG420" s="7">
        <f t="shared" si="45"/>
        <v>173528950</v>
      </c>
      <c r="AH420" s="7"/>
      <c r="AI420" s="7">
        <f t="shared" si="46"/>
        <v>190915363</v>
      </c>
    </row>
    <row r="421" spans="1:37" ht="12" customHeight="1">
      <c r="A421" s="11" t="s">
        <v>279</v>
      </c>
      <c r="B421" s="11"/>
      <c r="C421" s="11" t="s">
        <v>20</v>
      </c>
      <c r="D421" s="11"/>
      <c r="E421" s="29">
        <v>46573</v>
      </c>
      <c r="G421" s="7">
        <v>2292194</v>
      </c>
      <c r="I421" s="7">
        <v>2682003</v>
      </c>
      <c r="K421" s="7">
        <v>125209</v>
      </c>
      <c r="M421" s="7">
        <f t="shared" si="47"/>
        <v>5099406</v>
      </c>
      <c r="O421" s="7">
        <f>21241653+199564+3009057</f>
        <v>24450274</v>
      </c>
      <c r="Q421" s="7">
        <v>0</v>
      </c>
      <c r="S421" s="7">
        <v>14790039</v>
      </c>
      <c r="U421" s="7">
        <v>39673</v>
      </c>
      <c r="W421" s="7">
        <v>0</v>
      </c>
      <c r="Y421" s="7">
        <v>0</v>
      </c>
      <c r="AB421" s="58"/>
      <c r="AC421" s="7">
        <v>0</v>
      </c>
      <c r="AE421" s="7">
        <v>0</v>
      </c>
      <c r="AG421" s="7">
        <f t="shared" si="45"/>
        <v>39279986</v>
      </c>
      <c r="AH421" s="7"/>
      <c r="AI421" s="7">
        <f t="shared" si="46"/>
        <v>44379392</v>
      </c>
    </row>
    <row r="422" spans="1:37" ht="12" customHeight="1">
      <c r="A422" s="11" t="s">
        <v>485</v>
      </c>
      <c r="B422" s="11"/>
      <c r="C422" s="11" t="s">
        <v>110</v>
      </c>
      <c r="D422" s="11"/>
      <c r="E422" s="29">
        <v>49478</v>
      </c>
      <c r="G422" s="7">
        <v>1049480</v>
      </c>
      <c r="I422" s="7">
        <v>1128683</v>
      </c>
      <c r="K422" s="7">
        <v>0</v>
      </c>
      <c r="M422" s="7">
        <f t="shared" si="47"/>
        <v>2178163</v>
      </c>
      <c r="O422" s="7">
        <f>8935394+1205496+261251</f>
        <v>10402141</v>
      </c>
      <c r="Q422" s="7">
        <v>0</v>
      </c>
      <c r="S422" s="7">
        <v>5868449</v>
      </c>
      <c r="U422" s="7">
        <v>82592</v>
      </c>
      <c r="W422" s="7">
        <v>142527</v>
      </c>
      <c r="Y422" s="7">
        <v>0</v>
      </c>
      <c r="AA422" s="7">
        <v>29103</v>
      </c>
      <c r="AB422" s="58"/>
      <c r="AC422" s="7">
        <v>0</v>
      </c>
      <c r="AE422" s="7">
        <v>0</v>
      </c>
      <c r="AG422" s="7">
        <f t="shared" si="45"/>
        <v>16524812</v>
      </c>
      <c r="AH422" s="7"/>
      <c r="AI422" s="7">
        <f t="shared" si="46"/>
        <v>18702975</v>
      </c>
    </row>
    <row r="423" spans="1:37" ht="12" customHeight="1">
      <c r="A423" s="11" t="s">
        <v>280</v>
      </c>
      <c r="B423" s="11"/>
      <c r="C423" s="11" t="s">
        <v>20</v>
      </c>
      <c r="D423" s="11"/>
      <c r="E423" s="29">
        <v>46581</v>
      </c>
      <c r="G423" s="7">
        <v>5010618</v>
      </c>
      <c r="I423" s="7">
        <v>2308631</v>
      </c>
      <c r="K423" s="7">
        <v>0</v>
      </c>
      <c r="M423" s="7">
        <f t="shared" si="47"/>
        <v>7319249</v>
      </c>
      <c r="O423" s="7">
        <f>34734232+2339709+620845</f>
        <v>37694786</v>
      </c>
      <c r="Q423" s="7">
        <v>0</v>
      </c>
      <c r="S423" s="7">
        <v>9217121</v>
      </c>
      <c r="U423" s="7">
        <v>296638</v>
      </c>
      <c r="W423" s="7">
        <v>0</v>
      </c>
      <c r="Y423" s="7">
        <v>0</v>
      </c>
      <c r="AA423" s="7">
        <v>69017</v>
      </c>
      <c r="AB423" s="58"/>
      <c r="AC423" s="7">
        <v>0</v>
      </c>
      <c r="AE423" s="7">
        <v>0</v>
      </c>
      <c r="AG423" s="7">
        <f t="shared" si="45"/>
        <v>47277562</v>
      </c>
      <c r="AH423" s="7"/>
      <c r="AI423" s="7">
        <f t="shared" si="46"/>
        <v>54596811</v>
      </c>
    </row>
    <row r="424" spans="1:37" ht="12" customHeight="1">
      <c r="A424" s="11" t="s">
        <v>404</v>
      </c>
      <c r="B424" s="11"/>
      <c r="C424" s="11" t="s">
        <v>115</v>
      </c>
      <c r="D424" s="11"/>
      <c r="E424" s="29">
        <v>44602</v>
      </c>
      <c r="G424" s="7">
        <v>3147351</v>
      </c>
      <c r="I424" s="7">
        <v>5755550</v>
      </c>
      <c r="K424" s="7">
        <v>0</v>
      </c>
      <c r="M424" s="7">
        <f t="shared" si="47"/>
        <v>8902901</v>
      </c>
      <c r="O424" s="7">
        <f>19302251+2145907+881002</f>
        <v>22329160</v>
      </c>
      <c r="Q424" s="7">
        <v>0</v>
      </c>
      <c r="S424" s="7">
        <v>18001996</v>
      </c>
      <c r="U424" s="7">
        <v>67085</v>
      </c>
      <c r="W424" s="7">
        <v>203020</v>
      </c>
      <c r="Y424" s="7">
        <v>0</v>
      </c>
      <c r="AA424" s="7">
        <v>83748</v>
      </c>
      <c r="AB424" s="58"/>
      <c r="AC424" s="7">
        <v>0</v>
      </c>
      <c r="AE424" s="7">
        <v>0</v>
      </c>
      <c r="AG424" s="7">
        <f t="shared" si="45"/>
        <v>40685009</v>
      </c>
      <c r="AH424" s="7"/>
      <c r="AI424" s="7">
        <f t="shared" si="46"/>
        <v>49587910</v>
      </c>
      <c r="AK424" s="7" t="s">
        <v>951</v>
      </c>
    </row>
    <row r="425" spans="1:37" ht="12" hidden="1" customHeight="1">
      <c r="A425" s="11" t="s">
        <v>952</v>
      </c>
      <c r="B425" s="11"/>
      <c r="C425" s="11" t="s">
        <v>71</v>
      </c>
      <c r="D425" s="11"/>
      <c r="E425" s="29">
        <v>44610</v>
      </c>
      <c r="M425" s="7">
        <f t="shared" si="47"/>
        <v>0</v>
      </c>
      <c r="Y425" s="7">
        <v>0</v>
      </c>
      <c r="AB425" s="58"/>
      <c r="AC425" s="7">
        <v>0</v>
      </c>
      <c r="AE425" s="7">
        <v>0</v>
      </c>
      <c r="AG425" s="7">
        <f t="shared" si="45"/>
        <v>0</v>
      </c>
      <c r="AH425" s="7"/>
      <c r="AI425" s="7">
        <f t="shared" si="46"/>
        <v>0</v>
      </c>
      <c r="AK425" s="7" t="s">
        <v>903</v>
      </c>
    </row>
    <row r="426" spans="1:37" ht="12" customHeight="1">
      <c r="A426" s="11" t="s">
        <v>519</v>
      </c>
      <c r="B426" s="11"/>
      <c r="C426" s="11" t="s">
        <v>62</v>
      </c>
      <c r="D426" s="11"/>
      <c r="E426" s="29">
        <v>49916</v>
      </c>
      <c r="G426" s="7">
        <v>934670</v>
      </c>
      <c r="I426" s="7">
        <v>1655823</v>
      </c>
      <c r="K426" s="7">
        <v>0</v>
      </c>
      <c r="M426" s="7">
        <f t="shared" si="47"/>
        <v>2590493</v>
      </c>
      <c r="O426" s="7">
        <f>2373658+44292+599245</f>
        <v>3017195</v>
      </c>
      <c r="Q426" s="7">
        <v>0</v>
      </c>
      <c r="S426" s="7">
        <v>3946935</v>
      </c>
      <c r="U426" s="7">
        <v>49762</v>
      </c>
      <c r="W426" s="7">
        <v>0</v>
      </c>
      <c r="Y426" s="7">
        <v>0</v>
      </c>
      <c r="AA426" s="7">
        <v>91622</v>
      </c>
      <c r="AB426" s="58"/>
      <c r="AC426" s="7">
        <v>0</v>
      </c>
      <c r="AE426" s="7">
        <v>0</v>
      </c>
      <c r="AG426" s="7">
        <f t="shared" si="45"/>
        <v>7105514</v>
      </c>
      <c r="AH426" s="7"/>
      <c r="AI426" s="7">
        <f t="shared" si="46"/>
        <v>9696007</v>
      </c>
      <c r="AK426" s="7"/>
    </row>
    <row r="427" spans="1:37" ht="12" customHeight="1">
      <c r="A427" s="11" t="s">
        <v>576</v>
      </c>
      <c r="B427" s="11"/>
      <c r="C427" s="11" t="s">
        <v>72</v>
      </c>
      <c r="D427" s="11"/>
      <c r="E427" s="29">
        <v>50724</v>
      </c>
      <c r="G427" s="7">
        <v>978256</v>
      </c>
      <c r="I427" s="7">
        <v>1415604</v>
      </c>
      <c r="K427" s="7">
        <v>2316</v>
      </c>
      <c r="M427" s="7">
        <f t="shared" si="47"/>
        <v>2396176</v>
      </c>
      <c r="O427" s="7">
        <f>4302915+1172365+75488</f>
        <v>5550768</v>
      </c>
      <c r="Q427" s="7">
        <v>2378119</v>
      </c>
      <c r="S427" s="7">
        <v>6614354</v>
      </c>
      <c r="U427" s="7">
        <v>16494</v>
      </c>
      <c r="W427" s="7">
        <v>0</v>
      </c>
      <c r="Y427" s="7">
        <v>5979</v>
      </c>
      <c r="AA427" s="7">
        <v>104869</v>
      </c>
      <c r="AB427" s="58"/>
      <c r="AC427" s="7">
        <v>0</v>
      </c>
      <c r="AE427" s="7">
        <v>0</v>
      </c>
      <c r="AG427" s="7">
        <f t="shared" si="45"/>
        <v>14670583</v>
      </c>
      <c r="AH427" s="7"/>
      <c r="AI427" s="7">
        <f t="shared" si="46"/>
        <v>17066759</v>
      </c>
    </row>
    <row r="428" spans="1:37" ht="12" customHeight="1">
      <c r="A428" s="11" t="s">
        <v>405</v>
      </c>
      <c r="B428" s="11"/>
      <c r="C428" s="11" t="s">
        <v>115</v>
      </c>
      <c r="D428" s="11"/>
      <c r="E428" s="29">
        <v>48215</v>
      </c>
      <c r="G428" s="7">
        <v>399966</v>
      </c>
      <c r="I428" s="7">
        <v>927825</v>
      </c>
      <c r="K428" s="7">
        <v>0</v>
      </c>
      <c r="M428" s="7">
        <f t="shared" si="47"/>
        <v>1327791</v>
      </c>
      <c r="O428" s="7">
        <f>9288684+366140+420610</f>
        <v>10075434</v>
      </c>
      <c r="Q428" s="7">
        <v>0</v>
      </c>
      <c r="S428" s="7">
        <v>3257177</v>
      </c>
      <c r="U428" s="7">
        <v>29043</v>
      </c>
      <c r="W428" s="7">
        <v>0</v>
      </c>
      <c r="Y428" s="7">
        <v>0</v>
      </c>
      <c r="AA428" s="7">
        <v>213181</v>
      </c>
      <c r="AB428" s="58"/>
      <c r="AC428" s="7">
        <v>0</v>
      </c>
      <c r="AE428" s="7">
        <v>0</v>
      </c>
      <c r="AG428" s="7">
        <f t="shared" si="45"/>
        <v>13574835</v>
      </c>
      <c r="AH428" s="7"/>
      <c r="AI428" s="7">
        <f t="shared" si="46"/>
        <v>14902626</v>
      </c>
    </row>
    <row r="429" spans="1:37" ht="12" hidden="1" customHeight="1">
      <c r="A429" s="12" t="s">
        <v>749</v>
      </c>
      <c r="B429" s="11"/>
      <c r="C429" s="11" t="s">
        <v>482</v>
      </c>
      <c r="D429" s="11"/>
      <c r="E429" s="29">
        <v>49379</v>
      </c>
      <c r="M429" s="7">
        <f t="shared" si="47"/>
        <v>0</v>
      </c>
      <c r="W429" s="7">
        <v>0</v>
      </c>
      <c r="AB429" s="58"/>
      <c r="AC429" s="7">
        <v>0</v>
      </c>
      <c r="AE429" s="7">
        <v>0</v>
      </c>
      <c r="AG429" s="7">
        <f t="shared" si="45"/>
        <v>0</v>
      </c>
      <c r="AH429" s="7"/>
      <c r="AI429" s="7">
        <f t="shared" si="46"/>
        <v>0</v>
      </c>
      <c r="AK429" s="7" t="s">
        <v>953</v>
      </c>
    </row>
    <row r="430" spans="1:37" ht="12" hidden="1" customHeight="1">
      <c r="A430" s="12" t="s">
        <v>955</v>
      </c>
      <c r="B430" s="11"/>
      <c r="C430" s="11" t="s">
        <v>482</v>
      </c>
      <c r="D430" s="11"/>
      <c r="E430" s="29">
        <v>49387</v>
      </c>
      <c r="M430" s="7">
        <f t="shared" si="47"/>
        <v>0</v>
      </c>
      <c r="W430" s="7">
        <v>0</v>
      </c>
      <c r="AB430" s="58"/>
      <c r="AC430" s="7">
        <v>0</v>
      </c>
      <c r="AE430" s="7">
        <v>0</v>
      </c>
      <c r="AG430" s="7">
        <f t="shared" si="45"/>
        <v>0</v>
      </c>
      <c r="AH430" s="7"/>
      <c r="AI430" s="7">
        <f t="shared" si="46"/>
        <v>0</v>
      </c>
      <c r="AK430" s="7" t="s">
        <v>954</v>
      </c>
    </row>
    <row r="431" spans="1:37" ht="12" hidden="1" customHeight="1">
      <c r="A431" s="11" t="s">
        <v>956</v>
      </c>
      <c r="B431" s="11"/>
      <c r="C431" s="11" t="s">
        <v>41</v>
      </c>
      <c r="D431" s="11"/>
      <c r="E431" s="29">
        <v>44628</v>
      </c>
      <c r="M431" s="7">
        <f t="shared" si="47"/>
        <v>0</v>
      </c>
      <c r="W431" s="7">
        <v>0</v>
      </c>
      <c r="AB431" s="58"/>
      <c r="AC431" s="7">
        <v>0</v>
      </c>
      <c r="AE431" s="7">
        <v>0</v>
      </c>
      <c r="AG431" s="7">
        <f t="shared" si="45"/>
        <v>0</v>
      </c>
      <c r="AH431" s="7"/>
      <c r="AI431" s="7">
        <f t="shared" si="46"/>
        <v>0</v>
      </c>
      <c r="AK431" s="7" t="s">
        <v>903</v>
      </c>
    </row>
    <row r="432" spans="1:37" ht="12" hidden="1" customHeight="1">
      <c r="A432" s="11" t="s">
        <v>893</v>
      </c>
      <c r="B432" s="11"/>
      <c r="C432" s="11" t="s">
        <v>41</v>
      </c>
      <c r="D432" s="11"/>
      <c r="E432" s="29">
        <v>47894</v>
      </c>
      <c r="M432" s="7">
        <f t="shared" si="47"/>
        <v>0</v>
      </c>
      <c r="W432" s="7">
        <v>0</v>
      </c>
      <c r="AB432" s="58"/>
      <c r="AC432" s="7">
        <v>0</v>
      </c>
      <c r="AE432" s="7">
        <v>0</v>
      </c>
      <c r="AG432" s="7">
        <f t="shared" si="45"/>
        <v>0</v>
      </c>
      <c r="AH432" s="7"/>
      <c r="AI432" s="7">
        <f t="shared" si="46"/>
        <v>0</v>
      </c>
      <c r="AK432" s="7" t="s">
        <v>790</v>
      </c>
    </row>
    <row r="433" spans="1:37" ht="12" customHeight="1">
      <c r="A433" s="11" t="s">
        <v>490</v>
      </c>
      <c r="B433" s="11"/>
      <c r="C433" s="11" t="s">
        <v>58</v>
      </c>
      <c r="D433" s="11"/>
      <c r="E433" s="29">
        <v>49510</v>
      </c>
      <c r="G433" s="7">
        <v>945679</v>
      </c>
      <c r="I433" s="7">
        <v>1611245</v>
      </c>
      <c r="K433" s="7">
        <v>0</v>
      </c>
      <c r="M433" s="7">
        <f t="shared" si="47"/>
        <v>2556924</v>
      </c>
      <c r="O433" s="7">
        <f>1593642+105249+28201+130062</f>
        <v>1857154</v>
      </c>
      <c r="Q433" s="7">
        <v>0</v>
      </c>
      <c r="S433" s="7">
        <v>6769809</v>
      </c>
      <c r="U433" s="7">
        <v>7373</v>
      </c>
      <c r="W433" s="7">
        <v>0</v>
      </c>
      <c r="Y433" s="7">
        <v>0</v>
      </c>
      <c r="AA433" s="7">
        <v>12467</v>
      </c>
      <c r="AB433" s="58"/>
      <c r="AC433" s="7">
        <v>0</v>
      </c>
      <c r="AE433" s="7">
        <v>0</v>
      </c>
      <c r="AG433" s="7">
        <f t="shared" si="45"/>
        <v>8646803</v>
      </c>
      <c r="AH433" s="7"/>
      <c r="AI433" s="7">
        <f t="shared" si="46"/>
        <v>11203727</v>
      </c>
      <c r="AK433" s="7"/>
    </row>
    <row r="434" spans="1:37" ht="12" hidden="1" customHeight="1">
      <c r="A434" s="11" t="s">
        <v>722</v>
      </c>
      <c r="B434" s="11"/>
      <c r="C434" s="11" t="s">
        <v>482</v>
      </c>
      <c r="D434" s="11"/>
      <c r="E434" s="29">
        <v>49395</v>
      </c>
      <c r="M434" s="7">
        <f t="shared" si="47"/>
        <v>0</v>
      </c>
      <c r="W434" s="7">
        <v>0</v>
      </c>
      <c r="AB434" s="58"/>
      <c r="AC434" s="7">
        <v>0</v>
      </c>
      <c r="AE434" s="7">
        <v>0</v>
      </c>
      <c r="AG434" s="7">
        <f t="shared" si="45"/>
        <v>0</v>
      </c>
      <c r="AH434" s="7"/>
      <c r="AI434" s="7">
        <f t="shared" si="46"/>
        <v>0</v>
      </c>
      <c r="AK434" s="7" t="s">
        <v>958</v>
      </c>
    </row>
    <row r="435" spans="1:37" ht="12" hidden="1" customHeight="1">
      <c r="A435" s="11" t="s">
        <v>723</v>
      </c>
      <c r="B435" s="11"/>
      <c r="C435" s="11" t="s">
        <v>435</v>
      </c>
      <c r="D435" s="11"/>
      <c r="E435" s="29">
        <v>48579</v>
      </c>
      <c r="M435" s="7">
        <f t="shared" si="47"/>
        <v>0</v>
      </c>
      <c r="W435" s="7">
        <v>0</v>
      </c>
      <c r="AB435" s="58"/>
      <c r="AC435" s="7">
        <v>0</v>
      </c>
      <c r="AE435" s="7">
        <v>0</v>
      </c>
      <c r="AG435" s="7">
        <f t="shared" si="45"/>
        <v>0</v>
      </c>
      <c r="AH435" s="7"/>
      <c r="AI435" s="7">
        <f t="shared" si="46"/>
        <v>0</v>
      </c>
      <c r="AK435" s="7" t="s">
        <v>839</v>
      </c>
    </row>
    <row r="436" spans="1:37" ht="12" customHeight="1">
      <c r="A436" s="11" t="s">
        <v>281</v>
      </c>
      <c r="B436" s="11"/>
      <c r="C436" s="11" t="s">
        <v>20</v>
      </c>
      <c r="D436" s="11"/>
      <c r="E436" s="29">
        <v>44636</v>
      </c>
      <c r="G436" s="7">
        <v>5405417</v>
      </c>
      <c r="I436" s="7">
        <v>16300213</v>
      </c>
      <c r="K436" s="7">
        <v>399825</v>
      </c>
      <c r="M436" s="7">
        <f t="shared" si="47"/>
        <v>22105455</v>
      </c>
      <c r="O436" s="7">
        <f>80883473+3633012+1782606</f>
        <v>86299091</v>
      </c>
      <c r="Q436" s="7">
        <v>0</v>
      </c>
      <c r="S436" s="7">
        <v>42688000</v>
      </c>
      <c r="U436" s="7">
        <v>32685</v>
      </c>
      <c r="W436" s="7">
        <v>0</v>
      </c>
      <c r="Y436" s="7">
        <v>0</v>
      </c>
      <c r="AA436" s="7">
        <v>2094706</v>
      </c>
      <c r="AB436" s="58"/>
      <c r="AC436" s="7">
        <v>0</v>
      </c>
      <c r="AE436" s="7">
        <v>0</v>
      </c>
      <c r="AG436" s="7">
        <f t="shared" si="45"/>
        <v>131114482</v>
      </c>
      <c r="AH436" s="7"/>
      <c r="AI436" s="7">
        <f t="shared" si="46"/>
        <v>153219937</v>
      </c>
      <c r="AK436" s="7" t="s">
        <v>951</v>
      </c>
    </row>
    <row r="437" spans="1:37" ht="12" customHeight="1">
      <c r="A437" s="11" t="s">
        <v>357</v>
      </c>
      <c r="B437" s="11"/>
      <c r="C437" s="11" t="s">
        <v>34</v>
      </c>
      <c r="D437" s="11"/>
      <c r="E437" s="29">
        <v>47597</v>
      </c>
      <c r="G437" s="7">
        <v>946230</v>
      </c>
      <c r="I437" s="7">
        <v>987194</v>
      </c>
      <c r="K437" s="7">
        <v>0</v>
      </c>
      <c r="M437" s="7">
        <f t="shared" si="47"/>
        <v>1933424</v>
      </c>
      <c r="O437" s="7">
        <f>2171554+174006+309837+54296</f>
        <v>2709693</v>
      </c>
      <c r="Q437" s="7">
        <v>1741085</v>
      </c>
      <c r="S437" s="7">
        <v>5282172</v>
      </c>
      <c r="U437" s="7">
        <v>9701</v>
      </c>
      <c r="W437" s="7">
        <v>0</v>
      </c>
      <c r="Y437" s="7">
        <v>500</v>
      </c>
      <c r="AA437" s="7">
        <v>128874</v>
      </c>
      <c r="AB437" s="58"/>
      <c r="AC437" s="7">
        <v>0</v>
      </c>
      <c r="AE437" s="7">
        <v>0</v>
      </c>
      <c r="AG437" s="7">
        <f t="shared" si="45"/>
        <v>9872025</v>
      </c>
      <c r="AH437" s="7"/>
      <c r="AI437" s="7">
        <f t="shared" si="46"/>
        <v>11805449</v>
      </c>
      <c r="AK437" s="7" t="s">
        <v>957</v>
      </c>
    </row>
    <row r="438" spans="1:37" ht="12" hidden="1" customHeight="1">
      <c r="A438" s="11" t="s">
        <v>884</v>
      </c>
      <c r="B438" s="11"/>
      <c r="C438" s="11" t="s">
        <v>465</v>
      </c>
      <c r="D438" s="11"/>
      <c r="E438" s="29">
        <v>45575</v>
      </c>
      <c r="M438" s="7">
        <f t="shared" si="47"/>
        <v>0</v>
      </c>
      <c r="AB438" s="58"/>
      <c r="AC438" s="7">
        <v>0</v>
      </c>
      <c r="AE438" s="7">
        <v>0</v>
      </c>
      <c r="AG438" s="7">
        <f>SUM(O438:AE438)</f>
        <v>0</v>
      </c>
      <c r="AH438" s="7"/>
      <c r="AI438" s="7">
        <f t="shared" si="46"/>
        <v>0</v>
      </c>
      <c r="AK438" s="7" t="s">
        <v>839</v>
      </c>
    </row>
    <row r="439" spans="1:37" ht="12" customHeight="1">
      <c r="A439" s="11" t="s">
        <v>295</v>
      </c>
      <c r="B439" s="11"/>
      <c r="C439" s="11" t="s">
        <v>24</v>
      </c>
      <c r="D439" s="11"/>
      <c r="E439" s="29">
        <v>46813</v>
      </c>
      <c r="G439" s="7">
        <v>4023043</v>
      </c>
      <c r="I439" s="7">
        <v>2218675</v>
      </c>
      <c r="K439" s="7">
        <v>0</v>
      </c>
      <c r="M439" s="7">
        <f t="shared" si="47"/>
        <v>6241718</v>
      </c>
      <c r="O439" s="7">
        <f>11845509+648129</f>
        <v>12493638</v>
      </c>
      <c r="Q439" s="7">
        <v>0</v>
      </c>
      <c r="S439" s="7">
        <v>7891126</v>
      </c>
      <c r="U439" s="7">
        <v>13845</v>
      </c>
      <c r="W439" s="7">
        <v>167329</v>
      </c>
      <c r="Y439" s="7">
        <v>0</v>
      </c>
      <c r="AA439" s="7">
        <v>46748</v>
      </c>
      <c r="AB439" s="58"/>
      <c r="AC439" s="7">
        <v>0</v>
      </c>
      <c r="AE439" s="7">
        <v>0</v>
      </c>
      <c r="AG439" s="7">
        <f t="shared" si="45"/>
        <v>20612686</v>
      </c>
      <c r="AH439" s="7"/>
      <c r="AI439" s="7">
        <f t="shared" si="46"/>
        <v>26854404</v>
      </c>
    </row>
    <row r="440" spans="1:37" ht="12" hidden="1" customHeight="1">
      <c r="A440" s="11" t="s">
        <v>724</v>
      </c>
      <c r="B440" s="11"/>
      <c r="C440" s="11" t="s">
        <v>10</v>
      </c>
      <c r="D440" s="11"/>
      <c r="E440" s="29"/>
      <c r="M440" s="7">
        <f t="shared" si="47"/>
        <v>0</v>
      </c>
      <c r="AB440" s="58"/>
      <c r="AC440" s="7">
        <v>0</v>
      </c>
      <c r="AE440" s="7">
        <v>0</v>
      </c>
      <c r="AG440" s="7">
        <f t="shared" si="45"/>
        <v>0</v>
      </c>
      <c r="AH440" s="7"/>
      <c r="AI440" s="7">
        <f t="shared" si="46"/>
        <v>0</v>
      </c>
      <c r="AK440" s="7" t="s">
        <v>959</v>
      </c>
    </row>
    <row r="441" spans="1:37" ht="12" customHeight="1">
      <c r="A441" s="11" t="s">
        <v>203</v>
      </c>
      <c r="B441" s="11"/>
      <c r="C441" s="11" t="s">
        <v>41</v>
      </c>
      <c r="D441" s="11"/>
      <c r="E441" s="29">
        <v>47902</v>
      </c>
      <c r="G441" s="7">
        <v>1094723</v>
      </c>
      <c r="I441" s="7">
        <v>1106282</v>
      </c>
      <c r="K441" s="7">
        <v>0</v>
      </c>
      <c r="M441" s="7">
        <f>SUM(G441:L441)</f>
        <v>2201005</v>
      </c>
      <c r="O441" s="7">
        <f>13699919+1192483</f>
        <v>14892402</v>
      </c>
      <c r="Q441" s="7">
        <v>0</v>
      </c>
      <c r="S441" s="7">
        <v>11987356</v>
      </c>
      <c r="U441" s="7">
        <v>137071</v>
      </c>
      <c r="W441" s="7">
        <v>0</v>
      </c>
      <c r="Y441" s="7">
        <v>0</v>
      </c>
      <c r="AA441" s="7">
        <v>499167</v>
      </c>
      <c r="AB441" s="58"/>
      <c r="AC441" s="7">
        <v>0</v>
      </c>
      <c r="AE441" s="7">
        <v>0</v>
      </c>
      <c r="AG441" s="7">
        <f>SUM(O441:AE441)</f>
        <v>27515996</v>
      </c>
      <c r="AH441" s="7"/>
      <c r="AI441" s="7">
        <f>+AG441+M441</f>
        <v>29717001</v>
      </c>
    </row>
    <row r="442" spans="1:37" ht="12" customHeight="1">
      <c r="A442" s="11" t="s">
        <v>203</v>
      </c>
      <c r="B442" s="11"/>
      <c r="C442" s="11" t="s">
        <v>62</v>
      </c>
      <c r="D442" s="11"/>
      <c r="E442" s="29">
        <v>49924</v>
      </c>
      <c r="G442" s="7">
        <v>3823279</v>
      </c>
      <c r="I442" s="7">
        <v>6430981</v>
      </c>
      <c r="K442" s="7">
        <v>0</v>
      </c>
      <c r="M442" s="7">
        <f>SUM(G442:L442)</f>
        <v>10254260</v>
      </c>
      <c r="O442" s="7">
        <f>19689808+858754</f>
        <v>20548562</v>
      </c>
      <c r="Q442" s="7">
        <v>0</v>
      </c>
      <c r="S442" s="7">
        <v>19484543</v>
      </c>
      <c r="U442" s="7">
        <v>158312</v>
      </c>
      <c r="W442" s="7">
        <v>0</v>
      </c>
      <c r="Y442" s="7">
        <v>0</v>
      </c>
      <c r="AA442" s="7">
        <v>328673</v>
      </c>
      <c r="AB442" s="58"/>
      <c r="AC442" s="7">
        <v>0</v>
      </c>
      <c r="AE442" s="7">
        <v>0</v>
      </c>
      <c r="AG442" s="7">
        <f>SUM(O442:AE442)</f>
        <v>40520090</v>
      </c>
      <c r="AH442" s="7"/>
      <c r="AI442" s="7">
        <f>+AG442+M442</f>
        <v>50774350</v>
      </c>
      <c r="AK442" s="7" t="s">
        <v>951</v>
      </c>
    </row>
    <row r="443" spans="1:37" ht="12" customHeight="1">
      <c r="A443" s="11" t="s">
        <v>885</v>
      </c>
      <c r="B443" s="11"/>
      <c r="C443" s="11" t="s">
        <v>72</v>
      </c>
      <c r="D443" s="11"/>
      <c r="E443" s="29">
        <v>45583</v>
      </c>
      <c r="G443" s="7">
        <v>2827592</v>
      </c>
      <c r="I443" s="7">
        <v>3608876</v>
      </c>
      <c r="K443" s="7">
        <v>132718</v>
      </c>
      <c r="M443" s="7">
        <f>SUM(G443:L443)</f>
        <v>6569186</v>
      </c>
      <c r="O443" s="7">
        <f>24192762+3319336+1971848</f>
        <v>29483946</v>
      </c>
      <c r="Q443" s="7">
        <v>5086253</v>
      </c>
      <c r="S443" s="7">
        <v>12987838</v>
      </c>
      <c r="U443" s="7">
        <v>14706</v>
      </c>
      <c r="W443" s="7">
        <v>336742</v>
      </c>
      <c r="Y443" s="7">
        <v>0</v>
      </c>
      <c r="AA443" s="7">
        <v>94881</v>
      </c>
      <c r="AB443" s="58"/>
      <c r="AC443" s="7">
        <v>0</v>
      </c>
      <c r="AE443" s="7">
        <v>0</v>
      </c>
      <c r="AG443" s="7">
        <f>SUM(O443:AE443)</f>
        <v>48004366</v>
      </c>
      <c r="AH443" s="7"/>
      <c r="AI443" s="7">
        <f>+AG443+M443</f>
        <v>54573552</v>
      </c>
      <c r="AK443" s="7"/>
    </row>
    <row r="444" spans="1:37" ht="12" hidden="1" customHeight="1">
      <c r="A444" s="11" t="s">
        <v>894</v>
      </c>
      <c r="B444" s="11"/>
      <c r="C444" s="11" t="s">
        <v>28</v>
      </c>
      <c r="D444" s="11"/>
      <c r="E444" s="29">
        <v>47076</v>
      </c>
      <c r="M444" s="7">
        <f>SUM(G444:L444)</f>
        <v>0</v>
      </c>
      <c r="Y444" s="7">
        <v>0</v>
      </c>
      <c r="AB444" s="58"/>
      <c r="AC444" s="7">
        <v>0</v>
      </c>
      <c r="AE444" s="7">
        <v>0</v>
      </c>
      <c r="AG444" s="7">
        <f>SUM(O444:AE444)</f>
        <v>0</v>
      </c>
      <c r="AH444" s="7"/>
      <c r="AI444" s="7">
        <f>+AG444+M444</f>
        <v>0</v>
      </c>
      <c r="AK444" s="7" t="s">
        <v>966</v>
      </c>
    </row>
    <row r="445" spans="1:37" ht="12" customHeight="1">
      <c r="A445" s="11" t="s">
        <v>302</v>
      </c>
      <c r="B445" s="11"/>
      <c r="C445" s="11" t="s">
        <v>25</v>
      </c>
      <c r="D445" s="11"/>
      <c r="E445" s="29">
        <v>46896</v>
      </c>
      <c r="G445" s="7">
        <v>4794506</v>
      </c>
      <c r="I445" s="7">
        <v>13557442</v>
      </c>
      <c r="K445" s="7">
        <v>0</v>
      </c>
      <c r="M445" s="7">
        <f>SUM(G445:L445)</f>
        <v>18351948</v>
      </c>
      <c r="O445" s="7">
        <f>28516543+376312+13419079</f>
        <v>42311934</v>
      </c>
      <c r="Q445" s="7">
        <v>13600552</v>
      </c>
      <c r="S445" s="7">
        <v>44477602</v>
      </c>
      <c r="U445" s="7">
        <v>206830</v>
      </c>
      <c r="W445" s="7">
        <v>231511</v>
      </c>
      <c r="Y445" s="7">
        <v>0</v>
      </c>
      <c r="AA445" s="7">
        <v>104079</v>
      </c>
      <c r="AB445" s="58"/>
      <c r="AC445" s="7">
        <v>0</v>
      </c>
      <c r="AE445" s="7">
        <v>0</v>
      </c>
      <c r="AG445" s="7">
        <f>SUM(O445:AE445)</f>
        <v>100932508</v>
      </c>
      <c r="AH445" s="7"/>
      <c r="AI445" s="7">
        <f>+AG445+M445</f>
        <v>119284456</v>
      </c>
      <c r="AK445" s="7"/>
    </row>
    <row r="446" spans="1:37" s="7" customFormat="1" ht="12" hidden="1" customHeight="1">
      <c r="A446" s="12" t="s">
        <v>961</v>
      </c>
      <c r="B446" s="12"/>
      <c r="C446" s="12" t="s">
        <v>28</v>
      </c>
      <c r="D446" s="12"/>
      <c r="E446" s="29">
        <v>47084</v>
      </c>
      <c r="M446" s="7">
        <f t="shared" ref="M446:M479" si="57">SUM(G446:L446)</f>
        <v>0</v>
      </c>
      <c r="Y446" s="7">
        <v>0</v>
      </c>
      <c r="AB446" s="58"/>
      <c r="AC446" s="7">
        <v>0</v>
      </c>
      <c r="AE446" s="7">
        <v>0</v>
      </c>
      <c r="AG446" s="7">
        <f t="shared" ref="AG446:AG513" si="58">SUM(O446:AE446)</f>
        <v>0</v>
      </c>
      <c r="AI446" s="7">
        <f t="shared" ref="AI446:AI513" si="59">+AG446+M446</f>
        <v>0</v>
      </c>
      <c r="AK446" s="7" t="s">
        <v>960</v>
      </c>
    </row>
    <row r="447" spans="1:37" ht="12" customHeight="1">
      <c r="A447" s="11" t="s">
        <v>438</v>
      </c>
      <c r="B447" s="11"/>
      <c r="C447" s="11" t="s">
        <v>48</v>
      </c>
      <c r="D447" s="11"/>
      <c r="E447" s="29">
        <v>44644</v>
      </c>
      <c r="G447" s="7">
        <v>767324</v>
      </c>
      <c r="I447" s="7">
        <v>4526847</v>
      </c>
      <c r="K447" s="7">
        <v>0</v>
      </c>
      <c r="M447" s="7">
        <f t="shared" si="57"/>
        <v>5294171</v>
      </c>
      <c r="O447" s="7">
        <f>9751326+1343490+571978</f>
        <v>11666794</v>
      </c>
      <c r="Q447" s="7">
        <v>4724090</v>
      </c>
      <c r="S447" s="7">
        <v>14444884</v>
      </c>
      <c r="U447" s="7">
        <v>302254</v>
      </c>
      <c r="W447" s="7">
        <v>0</v>
      </c>
      <c r="Y447" s="7">
        <v>0</v>
      </c>
      <c r="AA447" s="7">
        <v>248003</v>
      </c>
      <c r="AB447" s="58"/>
      <c r="AC447" s="7">
        <v>0</v>
      </c>
      <c r="AE447" s="7">
        <v>0</v>
      </c>
      <c r="AG447" s="7">
        <f t="shared" si="58"/>
        <v>31386025</v>
      </c>
      <c r="AH447" s="7"/>
      <c r="AI447" s="7">
        <f t="shared" si="59"/>
        <v>36680196</v>
      </c>
    </row>
    <row r="448" spans="1:37" s="7" customFormat="1" ht="12" customHeight="1">
      <c r="A448" s="12" t="s">
        <v>312</v>
      </c>
      <c r="B448" s="12"/>
      <c r="C448" s="12" t="s">
        <v>62</v>
      </c>
      <c r="D448" s="12"/>
      <c r="E448" s="29">
        <v>49932</v>
      </c>
      <c r="F448" s="9"/>
      <c r="G448" s="7">
        <v>3137703</v>
      </c>
      <c r="I448" s="7">
        <v>9803963</v>
      </c>
      <c r="K448" s="7">
        <v>153852</v>
      </c>
      <c r="M448" s="7">
        <f t="shared" si="57"/>
        <v>13095518</v>
      </c>
      <c r="O448" s="7">
        <f>29121637+3690251</f>
        <v>32811888</v>
      </c>
      <c r="Q448" s="7">
        <v>0</v>
      </c>
      <c r="S448" s="7">
        <v>19511849</v>
      </c>
      <c r="U448" s="7">
        <v>58320</v>
      </c>
      <c r="W448" s="7">
        <v>0</v>
      </c>
      <c r="Y448" s="7">
        <v>0</v>
      </c>
      <c r="AA448" s="7">
        <v>30711</v>
      </c>
      <c r="AB448" s="58"/>
      <c r="AC448" s="7">
        <v>0</v>
      </c>
      <c r="AE448" s="7">
        <v>0</v>
      </c>
      <c r="AG448" s="7">
        <f t="shared" si="58"/>
        <v>52412768</v>
      </c>
      <c r="AI448" s="7">
        <f t="shared" si="59"/>
        <v>65508286</v>
      </c>
    </row>
    <row r="449" spans="1:37" ht="12" customHeight="1">
      <c r="A449" s="11" t="s">
        <v>424</v>
      </c>
      <c r="B449" s="11"/>
      <c r="C449" s="11" t="s">
        <v>46</v>
      </c>
      <c r="D449" s="11"/>
      <c r="E449" s="29">
        <v>48421</v>
      </c>
      <c r="G449" s="7">
        <v>2527814</v>
      </c>
      <c r="I449" s="7">
        <v>815170</v>
      </c>
      <c r="K449" s="7">
        <v>0</v>
      </c>
      <c r="M449" s="7">
        <f t="shared" si="57"/>
        <v>3342984</v>
      </c>
      <c r="O449" s="7">
        <f>4201680+337748</f>
        <v>4539428</v>
      </c>
      <c r="Q449" s="7">
        <v>0</v>
      </c>
      <c r="S449" s="7">
        <v>5218109</v>
      </c>
      <c r="U449" s="7">
        <v>42277</v>
      </c>
      <c r="W449" s="7">
        <v>0</v>
      </c>
      <c r="Y449" s="7">
        <v>0</v>
      </c>
      <c r="AA449" s="7">
        <v>87084</v>
      </c>
      <c r="AB449" s="58"/>
      <c r="AC449" s="7">
        <v>0</v>
      </c>
      <c r="AE449" s="7">
        <v>0</v>
      </c>
      <c r="AG449" s="7">
        <f t="shared" si="58"/>
        <v>9886898</v>
      </c>
      <c r="AH449" s="7"/>
      <c r="AI449" s="7">
        <f t="shared" si="59"/>
        <v>13229882</v>
      </c>
    </row>
    <row r="450" spans="1:37" ht="12" customHeight="1">
      <c r="A450" s="11" t="s">
        <v>486</v>
      </c>
      <c r="B450" s="11"/>
      <c r="C450" s="11" t="s">
        <v>110</v>
      </c>
      <c r="D450" s="11"/>
      <c r="E450" s="29">
        <v>49460</v>
      </c>
      <c r="G450" s="7">
        <v>695509</v>
      </c>
      <c r="I450" s="7">
        <v>2305620</v>
      </c>
      <c r="K450" s="7">
        <v>0</v>
      </c>
      <c r="M450" s="7">
        <f t="shared" si="57"/>
        <v>3001129</v>
      </c>
      <c r="O450" s="7">
        <f>1501908+33570+133704</f>
        <v>1669182</v>
      </c>
      <c r="Q450" s="7">
        <v>742204</v>
      </c>
      <c r="S450" s="7">
        <v>4635551</v>
      </c>
      <c r="U450" s="7">
        <v>6581</v>
      </c>
      <c r="W450" s="7">
        <v>0</v>
      </c>
      <c r="Y450" s="7">
        <v>0</v>
      </c>
      <c r="AA450" s="7">
        <v>14604</v>
      </c>
      <c r="AB450" s="58"/>
      <c r="AC450" s="7">
        <v>0</v>
      </c>
      <c r="AE450" s="7">
        <v>0</v>
      </c>
      <c r="AG450" s="7">
        <f t="shared" si="58"/>
        <v>7068122</v>
      </c>
      <c r="AH450" s="7"/>
      <c r="AI450" s="7">
        <f t="shared" si="59"/>
        <v>10069251</v>
      </c>
      <c r="AK450" s="7"/>
    </row>
    <row r="451" spans="1:37" ht="12" customHeight="1">
      <c r="A451" s="11" t="s">
        <v>764</v>
      </c>
      <c r="B451" s="11"/>
      <c r="C451" s="11" t="s">
        <v>45</v>
      </c>
      <c r="D451" s="11"/>
      <c r="E451" s="29">
        <v>48348</v>
      </c>
      <c r="G451" s="7">
        <v>1155994</v>
      </c>
      <c r="I451" s="7">
        <v>2027132</v>
      </c>
      <c r="K451" s="7">
        <v>0</v>
      </c>
      <c r="M451" s="7">
        <f t="shared" si="57"/>
        <v>3183126</v>
      </c>
      <c r="O451" s="7">
        <f>10443656+987207+446139</f>
        <v>11877002</v>
      </c>
      <c r="Q451" s="7">
        <v>0</v>
      </c>
      <c r="S451" s="7">
        <v>7616621</v>
      </c>
      <c r="U451" s="7">
        <v>15876</v>
      </c>
      <c r="W451" s="7">
        <v>0</v>
      </c>
      <c r="Y451" s="7">
        <v>0</v>
      </c>
      <c r="AA451" s="7">
        <v>34007</v>
      </c>
      <c r="AB451" s="58"/>
      <c r="AC451" s="7">
        <v>0</v>
      </c>
      <c r="AE451" s="7">
        <v>0</v>
      </c>
      <c r="AG451" s="7">
        <f t="shared" si="58"/>
        <v>19543506</v>
      </c>
      <c r="AH451" s="7"/>
      <c r="AI451" s="7">
        <f t="shared" si="59"/>
        <v>22726632</v>
      </c>
      <c r="AK451" s="7"/>
    </row>
    <row r="452" spans="1:37" ht="12" hidden="1" customHeight="1">
      <c r="A452" s="11" t="s">
        <v>962</v>
      </c>
      <c r="B452" s="11"/>
      <c r="C452" s="11" t="s">
        <v>53</v>
      </c>
      <c r="D452" s="11"/>
      <c r="E452" s="29">
        <v>44651</v>
      </c>
      <c r="M452" s="7">
        <f t="shared" si="57"/>
        <v>0</v>
      </c>
      <c r="AB452" s="58"/>
      <c r="AC452" s="7">
        <v>0</v>
      </c>
      <c r="AE452" s="7">
        <v>0</v>
      </c>
      <c r="AG452" s="7">
        <f t="shared" si="58"/>
        <v>0</v>
      </c>
      <c r="AH452" s="7"/>
      <c r="AI452" s="7">
        <f t="shared" si="59"/>
        <v>0</v>
      </c>
      <c r="AK452" s="7" t="s">
        <v>903</v>
      </c>
    </row>
    <row r="453" spans="1:37" ht="12" customHeight="1">
      <c r="A453" s="11" t="s">
        <v>499</v>
      </c>
      <c r="B453" s="11"/>
      <c r="C453" s="11" t="s">
        <v>59</v>
      </c>
      <c r="D453" s="11"/>
      <c r="E453" s="29">
        <v>44669</v>
      </c>
      <c r="G453" s="7">
        <v>1195250</v>
      </c>
      <c r="I453" s="7">
        <v>7220511</v>
      </c>
      <c r="K453" s="7">
        <v>0</v>
      </c>
      <c r="M453" s="7">
        <f t="shared" si="57"/>
        <v>8415761</v>
      </c>
      <c r="O453" s="7">
        <f>4288395+1054789+251604</f>
        <v>5594788</v>
      </c>
      <c r="Q453" s="7">
        <v>0</v>
      </c>
      <c r="S453" s="7">
        <v>18375417</v>
      </c>
      <c r="U453" s="7">
        <v>18364</v>
      </c>
      <c r="W453" s="7">
        <v>0</v>
      </c>
      <c r="Y453" s="7">
        <v>33469</v>
      </c>
      <c r="AA453" s="7">
        <v>73796</v>
      </c>
      <c r="AB453" s="58"/>
      <c r="AC453" s="7">
        <v>0</v>
      </c>
      <c r="AE453" s="7">
        <v>0</v>
      </c>
      <c r="AG453" s="7">
        <f t="shared" si="58"/>
        <v>24095834</v>
      </c>
      <c r="AH453" s="7"/>
      <c r="AI453" s="7">
        <f t="shared" si="59"/>
        <v>32511595</v>
      </c>
    </row>
    <row r="454" spans="1:37" ht="12" hidden="1" customHeight="1">
      <c r="A454" s="11" t="s">
        <v>725</v>
      </c>
      <c r="B454" s="11"/>
      <c r="C454" s="11" t="s">
        <v>57</v>
      </c>
      <c r="D454" s="11"/>
      <c r="E454" s="29">
        <v>49288</v>
      </c>
      <c r="M454" s="7">
        <f t="shared" si="57"/>
        <v>0</v>
      </c>
      <c r="AB454" s="58"/>
      <c r="AC454" s="7">
        <v>0</v>
      </c>
      <c r="AE454" s="7">
        <v>0</v>
      </c>
      <c r="AG454" s="7">
        <f t="shared" si="58"/>
        <v>0</v>
      </c>
      <c r="AH454" s="7"/>
      <c r="AI454" s="7">
        <f t="shared" si="59"/>
        <v>0</v>
      </c>
      <c r="AK454" s="7" t="s">
        <v>959</v>
      </c>
    </row>
    <row r="455" spans="1:37" ht="12" customHeight="1">
      <c r="A455" s="11" t="s">
        <v>337</v>
      </c>
      <c r="B455" s="11"/>
      <c r="C455" s="11" t="s">
        <v>32</v>
      </c>
      <c r="D455" s="11"/>
      <c r="E455" s="29">
        <v>44677</v>
      </c>
      <c r="G455" s="7">
        <v>2837975</v>
      </c>
      <c r="I455" s="7">
        <v>10743225</v>
      </c>
      <c r="K455" s="7">
        <v>0</v>
      </c>
      <c r="M455" s="7">
        <f t="shared" si="57"/>
        <v>13581200</v>
      </c>
      <c r="O455" s="7">
        <f>39141605+4173292+2172338</f>
        <v>45487235</v>
      </c>
      <c r="Q455" s="7">
        <v>0</v>
      </c>
      <c r="S455" s="7">
        <v>27489047</v>
      </c>
      <c r="U455" s="7">
        <v>1603978</v>
      </c>
      <c r="W455" s="7">
        <v>0</v>
      </c>
      <c r="Y455" s="7">
        <v>0</v>
      </c>
      <c r="AA455" s="7">
        <v>1237850</v>
      </c>
      <c r="AB455" s="58"/>
      <c r="AC455" s="7">
        <v>0</v>
      </c>
      <c r="AE455" s="7">
        <v>0</v>
      </c>
      <c r="AG455" s="7">
        <f t="shared" si="58"/>
        <v>75818110</v>
      </c>
      <c r="AH455" s="7"/>
      <c r="AI455" s="7">
        <f t="shared" si="59"/>
        <v>89399310</v>
      </c>
      <c r="AK455" s="7"/>
    </row>
    <row r="456" spans="1:37" ht="12" hidden="1" customHeight="1">
      <c r="A456" s="11" t="s">
        <v>963</v>
      </c>
      <c r="B456" s="12"/>
      <c r="C456" s="12" t="s">
        <v>53</v>
      </c>
      <c r="D456" s="12"/>
      <c r="E456" s="29"/>
      <c r="M456" s="7">
        <f t="shared" ref="M456" si="60">SUM(G456:L456)</f>
        <v>0</v>
      </c>
      <c r="AB456" s="58"/>
      <c r="AC456" s="7">
        <v>0</v>
      </c>
      <c r="AE456" s="7">
        <v>0</v>
      </c>
      <c r="AG456" s="7">
        <f t="shared" ref="AG456" si="61">SUM(O456:AE456)</f>
        <v>0</v>
      </c>
      <c r="AH456" s="7"/>
      <c r="AI456" s="7">
        <f t="shared" ref="AI456" si="62">+AG456+M456</f>
        <v>0</v>
      </c>
      <c r="AK456" s="7" t="s">
        <v>964</v>
      </c>
    </row>
    <row r="457" spans="1:37" ht="12" hidden="1" customHeight="1">
      <c r="A457" s="11" t="s">
        <v>965</v>
      </c>
      <c r="B457" s="11"/>
      <c r="C457" s="11" t="s">
        <v>12</v>
      </c>
      <c r="D457" s="11"/>
      <c r="E457" s="29">
        <v>45880</v>
      </c>
      <c r="M457" s="7">
        <f t="shared" si="57"/>
        <v>0</v>
      </c>
      <c r="AB457" s="58"/>
      <c r="AC457" s="7">
        <v>0</v>
      </c>
      <c r="AE457" s="7">
        <v>0</v>
      </c>
      <c r="AG457" s="7">
        <f t="shared" si="58"/>
        <v>0</v>
      </c>
      <c r="AH457" s="7"/>
      <c r="AI457" s="7">
        <f t="shared" si="59"/>
        <v>0</v>
      </c>
      <c r="AK457" s="7" t="s">
        <v>903</v>
      </c>
    </row>
    <row r="458" spans="1:37" s="32" customFormat="1" ht="12" customHeight="1">
      <c r="A458" s="31" t="s">
        <v>659</v>
      </c>
      <c r="B458" s="31"/>
      <c r="C458" s="31" t="s">
        <v>56</v>
      </c>
      <c r="D458" s="31"/>
      <c r="E458" s="31"/>
      <c r="G458" s="32">
        <v>1669737</v>
      </c>
      <c r="I458" s="32">
        <v>4278533</v>
      </c>
      <c r="K458" s="32">
        <v>69063</v>
      </c>
      <c r="M458" s="32">
        <f t="shared" si="57"/>
        <v>6017333</v>
      </c>
      <c r="O458" s="32">
        <f>9299362+868693+246981</f>
        <v>10415036</v>
      </c>
      <c r="Q458" s="32">
        <v>0</v>
      </c>
      <c r="S458" s="32">
        <v>17152289</v>
      </c>
      <c r="U458" s="32">
        <v>34560</v>
      </c>
      <c r="W458" s="32">
        <v>0</v>
      </c>
      <c r="Y458" s="32">
        <v>0</v>
      </c>
      <c r="AA458" s="32">
        <f>68000+153798</f>
        <v>221798</v>
      </c>
      <c r="AB458" s="57"/>
      <c r="AC458" s="32">
        <v>0</v>
      </c>
      <c r="AE458" s="32">
        <v>0</v>
      </c>
      <c r="AG458" s="32">
        <f t="shared" si="58"/>
        <v>27823683</v>
      </c>
      <c r="AI458" s="32">
        <f t="shared" si="59"/>
        <v>33841016</v>
      </c>
    </row>
    <row r="459" spans="1:37" ht="12" customHeight="1">
      <c r="A459" s="11" t="s">
        <v>338</v>
      </c>
      <c r="B459" s="11"/>
      <c r="C459" s="11" t="s">
        <v>32</v>
      </c>
      <c r="D459" s="11"/>
      <c r="E459" s="29">
        <v>44693</v>
      </c>
      <c r="G459" s="7">
        <v>1872090</v>
      </c>
      <c r="I459" s="7">
        <v>2881756</v>
      </c>
      <c r="K459" s="7">
        <v>0</v>
      </c>
      <c r="M459" s="7">
        <f t="shared" si="57"/>
        <v>4753846</v>
      </c>
      <c r="O459" s="7">
        <v>7555854</v>
      </c>
      <c r="Q459" s="7">
        <v>0</v>
      </c>
      <c r="S459" s="7">
        <v>5782954</v>
      </c>
      <c r="U459" s="7">
        <v>20435</v>
      </c>
      <c r="W459" s="7">
        <v>0</v>
      </c>
      <c r="Y459" s="7">
        <v>31163</v>
      </c>
      <c r="AA459" s="7">
        <v>36795</v>
      </c>
      <c r="AB459" s="58"/>
      <c r="AC459" s="7">
        <v>0</v>
      </c>
      <c r="AE459" s="7">
        <v>0</v>
      </c>
      <c r="AG459" s="7">
        <f t="shared" si="58"/>
        <v>13427201</v>
      </c>
      <c r="AH459" s="7"/>
      <c r="AI459" s="7">
        <f t="shared" si="59"/>
        <v>18181047</v>
      </c>
      <c r="AK459" s="7" t="s">
        <v>967</v>
      </c>
    </row>
    <row r="460" spans="1:37" ht="12" customHeight="1">
      <c r="A460" s="11" t="s">
        <v>529</v>
      </c>
      <c r="B460" s="11"/>
      <c r="C460" s="11" t="s">
        <v>63</v>
      </c>
      <c r="D460" s="11"/>
      <c r="E460" s="29">
        <v>50054</v>
      </c>
      <c r="G460" s="7">
        <v>1558702</v>
      </c>
      <c r="I460" s="7">
        <v>1895809</v>
      </c>
      <c r="K460" s="7">
        <v>100000</v>
      </c>
      <c r="M460" s="7">
        <f t="shared" si="57"/>
        <v>3554511</v>
      </c>
      <c r="O460" s="7">
        <f>23355361+1288771+1221483</f>
        <v>25865615</v>
      </c>
      <c r="Q460" s="7">
        <v>0</v>
      </c>
      <c r="S460" s="7">
        <v>7422464</v>
      </c>
      <c r="U460" s="7">
        <v>83527</v>
      </c>
      <c r="W460" s="7">
        <v>0</v>
      </c>
      <c r="Y460" s="7">
        <v>0</v>
      </c>
      <c r="AA460" s="7">
        <v>150108</v>
      </c>
      <c r="AB460" s="58"/>
      <c r="AC460" s="7">
        <v>0</v>
      </c>
      <c r="AE460" s="7">
        <v>0</v>
      </c>
      <c r="AG460" s="7">
        <f t="shared" si="58"/>
        <v>33521714</v>
      </c>
      <c r="AH460" s="7"/>
      <c r="AI460" s="7">
        <f t="shared" si="59"/>
        <v>37076225</v>
      </c>
    </row>
    <row r="461" spans="1:37" ht="12" hidden="1" customHeight="1">
      <c r="A461" s="11" t="s">
        <v>968</v>
      </c>
      <c r="B461" s="11"/>
      <c r="C461" s="11" t="s">
        <v>27</v>
      </c>
      <c r="D461" s="11"/>
      <c r="E461" s="29">
        <v>47001</v>
      </c>
      <c r="M461" s="7">
        <f t="shared" si="57"/>
        <v>0</v>
      </c>
      <c r="AB461" s="58"/>
      <c r="AC461" s="7">
        <v>0</v>
      </c>
      <c r="AE461" s="7">
        <v>0</v>
      </c>
      <c r="AG461" s="7">
        <f t="shared" si="58"/>
        <v>0</v>
      </c>
      <c r="AH461" s="7"/>
      <c r="AI461" s="7">
        <f t="shared" si="59"/>
        <v>0</v>
      </c>
      <c r="AK461" s="7" t="s">
        <v>903</v>
      </c>
    </row>
    <row r="462" spans="1:37" ht="12" customHeight="1">
      <c r="A462" s="11" t="s">
        <v>282</v>
      </c>
      <c r="B462" s="11"/>
      <c r="C462" s="11" t="s">
        <v>20</v>
      </c>
      <c r="D462" s="11"/>
      <c r="E462" s="29">
        <v>46599</v>
      </c>
      <c r="G462" s="7">
        <v>271039</v>
      </c>
      <c r="I462" s="7">
        <v>393693</v>
      </c>
      <c r="K462" s="7">
        <v>28225</v>
      </c>
      <c r="M462" s="7">
        <f t="shared" si="57"/>
        <v>692957</v>
      </c>
      <c r="O462" s="7">
        <f>11093079+128213</f>
        <v>11221292</v>
      </c>
      <c r="Q462" s="7">
        <v>0</v>
      </c>
      <c r="S462" s="7">
        <v>3700198</v>
      </c>
      <c r="U462" s="7">
        <v>3182</v>
      </c>
      <c r="W462" s="7">
        <v>0</v>
      </c>
      <c r="Y462" s="7">
        <v>0</v>
      </c>
      <c r="AA462" s="7">
        <v>8026</v>
      </c>
      <c r="AB462" s="58"/>
      <c r="AC462" s="7">
        <v>0</v>
      </c>
      <c r="AE462" s="7">
        <v>0</v>
      </c>
      <c r="AG462" s="7">
        <f t="shared" si="58"/>
        <v>14932698</v>
      </c>
      <c r="AH462" s="7"/>
      <c r="AI462" s="7">
        <f t="shared" si="59"/>
        <v>15625655</v>
      </c>
      <c r="AK462" s="7"/>
    </row>
    <row r="463" spans="1:37" ht="12" customHeight="1">
      <c r="A463" s="11" t="s">
        <v>425</v>
      </c>
      <c r="B463" s="11"/>
      <c r="C463" s="11" t="s">
        <v>46</v>
      </c>
      <c r="D463" s="11"/>
      <c r="E463" s="29">
        <v>48439</v>
      </c>
      <c r="G463" s="7">
        <v>1540016</v>
      </c>
      <c r="I463" s="7">
        <v>821093</v>
      </c>
      <c r="K463" s="7">
        <v>0</v>
      </c>
      <c r="M463" s="7">
        <f t="shared" si="57"/>
        <v>2361109</v>
      </c>
      <c r="O463" s="7">
        <v>2869491</v>
      </c>
      <c r="Q463" s="7">
        <v>0</v>
      </c>
      <c r="S463" s="7">
        <v>3852442</v>
      </c>
      <c r="U463" s="7">
        <v>9248</v>
      </c>
      <c r="W463" s="7">
        <v>95181</v>
      </c>
      <c r="Y463" s="7">
        <v>0</v>
      </c>
      <c r="AA463" s="7">
        <v>29563</v>
      </c>
      <c r="AB463" s="58"/>
      <c r="AC463" s="7">
        <v>0</v>
      </c>
      <c r="AE463" s="7">
        <v>0</v>
      </c>
      <c r="AG463" s="7">
        <f t="shared" si="58"/>
        <v>6855925</v>
      </c>
      <c r="AH463" s="7"/>
      <c r="AI463" s="7">
        <f t="shared" si="59"/>
        <v>9217034</v>
      </c>
    </row>
    <row r="464" spans="1:37" ht="12" customHeight="1">
      <c r="A464" s="12" t="s">
        <v>752</v>
      </c>
      <c r="B464" s="11"/>
      <c r="C464" s="11" t="s">
        <v>348</v>
      </c>
      <c r="D464" s="11"/>
      <c r="E464" s="29">
        <v>47506</v>
      </c>
      <c r="G464" s="7">
        <v>697591</v>
      </c>
      <c r="I464" s="7">
        <v>940844</v>
      </c>
      <c r="K464" s="7">
        <v>0</v>
      </c>
      <c r="M464" s="7">
        <f t="shared" si="57"/>
        <v>1638435</v>
      </c>
      <c r="O464" s="7">
        <f>1017117+153490</f>
        <v>1170607</v>
      </c>
      <c r="Q464" s="7">
        <v>583469</v>
      </c>
      <c r="S464" s="7">
        <v>2520385</v>
      </c>
      <c r="U464" s="7">
        <v>2477</v>
      </c>
      <c r="W464" s="7">
        <v>0</v>
      </c>
      <c r="Y464" s="7">
        <v>0</v>
      </c>
      <c r="AA464" s="7">
        <v>83053</v>
      </c>
      <c r="AB464" s="58"/>
      <c r="AC464" s="7">
        <v>-17500</v>
      </c>
      <c r="AE464" s="7">
        <v>0</v>
      </c>
      <c r="AG464" s="7">
        <f t="shared" si="58"/>
        <v>4342491</v>
      </c>
      <c r="AH464" s="7"/>
      <c r="AI464" s="7">
        <f t="shared" si="59"/>
        <v>5980926</v>
      </c>
      <c r="AK464" s="14"/>
    </row>
    <row r="465" spans="1:37" ht="12" customHeight="1">
      <c r="A465" s="11" t="s">
        <v>260</v>
      </c>
      <c r="B465" s="11"/>
      <c r="C465" s="11" t="s">
        <v>19</v>
      </c>
      <c r="D465" s="11"/>
      <c r="E465" s="29">
        <v>46474</v>
      </c>
      <c r="G465" s="7">
        <v>796138</v>
      </c>
      <c r="I465" s="7">
        <v>2908165</v>
      </c>
      <c r="K465" s="7">
        <v>0</v>
      </c>
      <c r="M465" s="7">
        <f t="shared" si="57"/>
        <v>3704303</v>
      </c>
      <c r="O465" s="7">
        <f>2424334+244598+43692</f>
        <v>2712624</v>
      </c>
      <c r="Q465" s="7">
        <v>0</v>
      </c>
      <c r="S465" s="7">
        <v>7025420</v>
      </c>
      <c r="U465" s="7">
        <v>15108</v>
      </c>
      <c r="W465" s="7">
        <v>0</v>
      </c>
      <c r="Y465" s="7">
        <v>0</v>
      </c>
      <c r="AA465" s="7">
        <v>7818</v>
      </c>
      <c r="AB465" s="58"/>
      <c r="AC465" s="7">
        <v>0</v>
      </c>
      <c r="AE465" s="7">
        <v>0</v>
      </c>
      <c r="AG465" s="7">
        <f t="shared" si="58"/>
        <v>9760970</v>
      </c>
      <c r="AH465" s="7"/>
      <c r="AI465" s="7">
        <f t="shared" si="59"/>
        <v>13465273</v>
      </c>
      <c r="AK465" s="7"/>
    </row>
    <row r="466" spans="1:37" ht="12" hidden="1" customHeight="1">
      <c r="A466" s="11" t="s">
        <v>969</v>
      </c>
      <c r="B466" s="11"/>
      <c r="C466" s="11" t="s">
        <v>77</v>
      </c>
      <c r="D466" s="11"/>
      <c r="E466" s="29">
        <v>46078</v>
      </c>
      <c r="M466" s="7">
        <f t="shared" si="57"/>
        <v>0</v>
      </c>
      <c r="AB466" s="58"/>
      <c r="AC466" s="7">
        <v>0</v>
      </c>
      <c r="AE466" s="7">
        <v>0</v>
      </c>
      <c r="AG466" s="7">
        <f t="shared" si="58"/>
        <v>0</v>
      </c>
      <c r="AH466" s="7"/>
      <c r="AI466" s="7">
        <f t="shared" si="59"/>
        <v>0</v>
      </c>
      <c r="AK466" s="7" t="s">
        <v>903</v>
      </c>
    </row>
    <row r="467" spans="1:37" ht="12" hidden="1" customHeight="1">
      <c r="A467" s="11" t="s">
        <v>970</v>
      </c>
      <c r="B467" s="11"/>
      <c r="C467" s="11" t="s">
        <v>71</v>
      </c>
      <c r="D467" s="11"/>
      <c r="E467" s="29">
        <v>45591</v>
      </c>
      <c r="M467" s="7">
        <f t="shared" si="57"/>
        <v>0</v>
      </c>
      <c r="AB467" s="58"/>
      <c r="AC467" s="7">
        <v>0</v>
      </c>
      <c r="AE467" s="7">
        <v>0</v>
      </c>
      <c r="AG467" s="7">
        <f t="shared" si="58"/>
        <v>0</v>
      </c>
      <c r="AH467" s="7"/>
      <c r="AI467" s="7">
        <f t="shared" si="59"/>
        <v>0</v>
      </c>
      <c r="AK467" s="7" t="s">
        <v>903</v>
      </c>
    </row>
    <row r="468" spans="1:37" ht="12" customHeight="1">
      <c r="A468" s="11" t="s">
        <v>426</v>
      </c>
      <c r="B468" s="11"/>
      <c r="C468" s="11" t="s">
        <v>46</v>
      </c>
      <c r="D468" s="11"/>
      <c r="E468" s="29">
        <v>48447</v>
      </c>
      <c r="G468" s="7">
        <v>3756465</v>
      </c>
      <c r="I468" s="7">
        <v>2213911</v>
      </c>
      <c r="K468" s="7">
        <v>0</v>
      </c>
      <c r="M468" s="7">
        <f t="shared" si="57"/>
        <v>5970376</v>
      </c>
      <c r="O468" s="7">
        <f>5495815+95770+930587</f>
        <v>6522172</v>
      </c>
      <c r="Q468" s="7">
        <v>0</v>
      </c>
      <c r="S468" s="7">
        <v>6793394</v>
      </c>
      <c r="U468" s="7">
        <v>29651</v>
      </c>
      <c r="W468" s="7">
        <v>212794</v>
      </c>
      <c r="Y468" s="7">
        <v>15097</v>
      </c>
      <c r="AA468" s="7">
        <v>198811</v>
      </c>
      <c r="AB468" s="58"/>
      <c r="AC468" s="7">
        <v>0</v>
      </c>
      <c r="AE468" s="7">
        <v>0</v>
      </c>
      <c r="AG468" s="7">
        <f t="shared" si="58"/>
        <v>13771919</v>
      </c>
      <c r="AH468" s="7"/>
      <c r="AI468" s="7">
        <f t="shared" si="59"/>
        <v>19742295</v>
      </c>
    </row>
    <row r="469" spans="1:37" s="32" customFormat="1" ht="12" customHeight="1">
      <c r="A469" s="11" t="s">
        <v>261</v>
      </c>
      <c r="B469" s="31"/>
      <c r="C469" s="31" t="s">
        <v>19</v>
      </c>
      <c r="D469" s="31"/>
      <c r="E469" s="29">
        <v>46482</v>
      </c>
      <c r="G469" s="7">
        <v>1380678</v>
      </c>
      <c r="H469" s="7"/>
      <c r="I469" s="7">
        <v>3351123</v>
      </c>
      <c r="J469" s="7"/>
      <c r="K469" s="7">
        <v>270039</v>
      </c>
      <c r="L469" s="7"/>
      <c r="M469" s="7">
        <f t="shared" si="57"/>
        <v>5001840</v>
      </c>
      <c r="N469" s="7"/>
      <c r="O469" s="7">
        <f>8022074+452631</f>
        <v>8474705</v>
      </c>
      <c r="P469" s="7"/>
      <c r="Q469" s="7">
        <v>0</v>
      </c>
      <c r="R469" s="7"/>
      <c r="S469" s="7">
        <v>10532071</v>
      </c>
      <c r="T469" s="7"/>
      <c r="U469" s="7">
        <v>63992</v>
      </c>
      <c r="V469" s="7"/>
      <c r="W469" s="7">
        <v>0</v>
      </c>
      <c r="X469" s="7"/>
      <c r="Y469" s="7">
        <v>0</v>
      </c>
      <c r="Z469" s="7"/>
      <c r="AA469" s="7">
        <v>52939</v>
      </c>
      <c r="AB469" s="58"/>
      <c r="AC469" s="7">
        <v>0</v>
      </c>
      <c r="AD469" s="7"/>
      <c r="AE469" s="7">
        <v>0</v>
      </c>
      <c r="AF469" s="7"/>
      <c r="AG469" s="7">
        <f t="shared" si="58"/>
        <v>19123707</v>
      </c>
      <c r="AH469" s="7"/>
      <c r="AI469" s="7">
        <f t="shared" si="59"/>
        <v>24125547</v>
      </c>
      <c r="AK469" s="7"/>
    </row>
    <row r="470" spans="1:37" ht="12" hidden="1" customHeight="1">
      <c r="A470" s="11" t="s">
        <v>971</v>
      </c>
      <c r="B470" s="11"/>
      <c r="C470" s="11" t="s">
        <v>348</v>
      </c>
      <c r="D470" s="11"/>
      <c r="E470" s="29">
        <v>47514</v>
      </c>
      <c r="M470" s="7">
        <f t="shared" si="57"/>
        <v>0</v>
      </c>
      <c r="AB470" s="58"/>
      <c r="AC470" s="7">
        <v>0</v>
      </c>
      <c r="AE470" s="7">
        <v>0</v>
      </c>
      <c r="AG470" s="7">
        <f t="shared" si="58"/>
        <v>0</v>
      </c>
      <c r="AH470" s="7"/>
      <c r="AI470" s="7">
        <f t="shared" si="59"/>
        <v>0</v>
      </c>
      <c r="AK470" s="7" t="s">
        <v>912</v>
      </c>
    </row>
    <row r="471" spans="1:37" ht="12" customHeight="1">
      <c r="A471" s="11" t="s">
        <v>391</v>
      </c>
      <c r="B471" s="11"/>
      <c r="C471" s="11" t="s">
        <v>41</v>
      </c>
      <c r="D471" s="11"/>
      <c r="E471" s="29"/>
      <c r="G471" s="7">
        <v>1525334</v>
      </c>
      <c r="I471" s="7">
        <v>2493235</v>
      </c>
      <c r="K471" s="7">
        <v>0</v>
      </c>
      <c r="M471" s="7">
        <f t="shared" si="57"/>
        <v>4018569</v>
      </c>
      <c r="O471" s="7">
        <f>22273607+687095+1321038+2823669</f>
        <v>27105409</v>
      </c>
      <c r="Q471" s="7">
        <v>0</v>
      </c>
      <c r="S471" s="7">
        <v>12036271</v>
      </c>
      <c r="U471" s="7">
        <v>14719</v>
      </c>
      <c r="W471" s="7">
        <v>69772</v>
      </c>
      <c r="Y471" s="7">
        <v>0</v>
      </c>
      <c r="AA471" s="7">
        <v>95015</v>
      </c>
      <c r="AB471" s="58"/>
      <c r="AC471" s="7">
        <v>0</v>
      </c>
      <c r="AE471" s="7">
        <v>0</v>
      </c>
      <c r="AG471" s="7">
        <f t="shared" si="58"/>
        <v>39321186</v>
      </c>
      <c r="AH471" s="7"/>
      <c r="AI471" s="7">
        <f t="shared" si="59"/>
        <v>43339755</v>
      </c>
    </row>
    <row r="472" spans="1:37" ht="12" customHeight="1">
      <c r="A472" s="11" t="s">
        <v>391</v>
      </c>
      <c r="B472" s="11"/>
      <c r="C472" s="11" t="s">
        <v>43</v>
      </c>
      <c r="D472" s="11"/>
      <c r="E472" s="29">
        <v>48090</v>
      </c>
      <c r="G472" s="7">
        <v>655448</v>
      </c>
      <c r="I472" s="7">
        <v>1528357</v>
      </c>
      <c r="K472" s="7">
        <v>0</v>
      </c>
      <c r="M472" s="7">
        <f t="shared" si="57"/>
        <v>2183805</v>
      </c>
      <c r="O472" s="7">
        <f>1479384+302889+90656+27710</f>
        <v>1900639</v>
      </c>
      <c r="Q472" s="7">
        <v>1229999</v>
      </c>
      <c r="S472" s="7">
        <v>3859673</v>
      </c>
      <c r="U472" s="7">
        <v>8032</v>
      </c>
      <c r="W472" s="7">
        <v>0</v>
      </c>
      <c r="Y472" s="7">
        <v>0</v>
      </c>
      <c r="AA472" s="7">
        <v>43812</v>
      </c>
      <c r="AB472" s="58"/>
      <c r="AC472" s="7">
        <v>0</v>
      </c>
      <c r="AE472" s="7">
        <v>0</v>
      </c>
      <c r="AG472" s="7">
        <f t="shared" si="58"/>
        <v>7042155</v>
      </c>
      <c r="AH472" s="7"/>
      <c r="AI472" s="7">
        <f t="shared" si="59"/>
        <v>9225960</v>
      </c>
    </row>
    <row r="473" spans="1:37" ht="12" customHeight="1">
      <c r="A473" s="11" t="s">
        <v>381</v>
      </c>
      <c r="B473" s="11"/>
      <c r="C473" s="11" t="s">
        <v>377</v>
      </c>
      <c r="D473" s="11"/>
      <c r="E473" s="29">
        <v>47944</v>
      </c>
      <c r="G473" s="7">
        <v>1730975</v>
      </c>
      <c r="I473" s="7">
        <v>4329171</v>
      </c>
      <c r="K473" s="7">
        <v>0</v>
      </c>
      <c r="M473" s="7">
        <f t="shared" si="57"/>
        <v>6060146</v>
      </c>
      <c r="O473" s="7">
        <f>1926006+34150</f>
        <v>1960156</v>
      </c>
      <c r="Q473" s="7">
        <v>0</v>
      </c>
      <c r="S473" s="7">
        <v>12419066</v>
      </c>
      <c r="U473" s="7">
        <v>34202</v>
      </c>
      <c r="W473" s="7">
        <v>0</v>
      </c>
      <c r="Y473" s="7">
        <v>0</v>
      </c>
      <c r="AA473" s="7">
        <v>38977</v>
      </c>
      <c r="AB473" s="58"/>
      <c r="AC473" s="7">
        <v>0</v>
      </c>
      <c r="AE473" s="7">
        <v>0</v>
      </c>
      <c r="AG473" s="7">
        <f t="shared" si="58"/>
        <v>14452401</v>
      </c>
      <c r="AH473" s="7"/>
      <c r="AI473" s="7">
        <f t="shared" si="59"/>
        <v>20512547</v>
      </c>
      <c r="AK473" s="7"/>
    </row>
    <row r="474" spans="1:37" ht="12" customHeight="1">
      <c r="A474" s="12" t="s">
        <v>753</v>
      </c>
      <c r="B474" s="11"/>
      <c r="C474" s="11" t="s">
        <v>20</v>
      </c>
      <c r="D474" s="11"/>
      <c r="E474" s="29">
        <v>44701</v>
      </c>
      <c r="G474" s="7">
        <v>1374762</v>
      </c>
      <c r="I474" s="7">
        <v>3105455</v>
      </c>
      <c r="K474" s="7">
        <v>0</v>
      </c>
      <c r="M474" s="7">
        <f t="shared" si="57"/>
        <v>4480217</v>
      </c>
      <c r="O474" s="7">
        <f>25017106+3494806</f>
        <v>28511912</v>
      </c>
      <c r="Q474" s="7">
        <v>0</v>
      </c>
      <c r="S474" s="7">
        <v>7196864</v>
      </c>
      <c r="U474" s="7">
        <v>166881</v>
      </c>
      <c r="W474" s="7">
        <v>0</v>
      </c>
      <c r="Y474" s="7">
        <v>0</v>
      </c>
      <c r="AA474" s="7">
        <v>203200</v>
      </c>
      <c r="AB474" s="58"/>
      <c r="AC474" s="7">
        <v>0</v>
      </c>
      <c r="AE474" s="7">
        <v>0</v>
      </c>
      <c r="AG474" s="7">
        <f t="shared" si="58"/>
        <v>36078857</v>
      </c>
      <c r="AH474" s="7"/>
      <c r="AI474" s="7">
        <f t="shared" si="59"/>
        <v>40559074</v>
      </c>
      <c r="AK474" s="7"/>
    </row>
    <row r="475" spans="1:37" ht="12" customHeight="1">
      <c r="A475" s="11" t="s">
        <v>329</v>
      </c>
      <c r="B475" s="11"/>
      <c r="C475" s="11" t="s">
        <v>31</v>
      </c>
      <c r="D475" s="11"/>
      <c r="E475" s="29">
        <v>47308</v>
      </c>
      <c r="G475" s="7">
        <v>1105881</v>
      </c>
      <c r="I475" s="7">
        <v>3334736</v>
      </c>
      <c r="K475" s="7">
        <v>0</v>
      </c>
      <c r="M475" s="7">
        <f t="shared" si="57"/>
        <v>4440617</v>
      </c>
      <c r="O475" s="7">
        <v>6051689</v>
      </c>
      <c r="Q475" s="7">
        <v>0</v>
      </c>
      <c r="S475" s="7">
        <v>9991923</v>
      </c>
      <c r="U475" s="7">
        <v>10573</v>
      </c>
      <c r="W475" s="7">
        <v>0</v>
      </c>
      <c r="Y475" s="7">
        <v>98578</v>
      </c>
      <c r="AA475" s="7">
        <v>28272</v>
      </c>
      <c r="AB475" s="58"/>
      <c r="AC475" s="7">
        <v>0</v>
      </c>
      <c r="AE475" s="7">
        <v>0</v>
      </c>
      <c r="AG475" s="7">
        <f t="shared" si="58"/>
        <v>16181035</v>
      </c>
      <c r="AH475" s="7"/>
      <c r="AI475" s="7">
        <f t="shared" si="59"/>
        <v>20621652</v>
      </c>
    </row>
    <row r="476" spans="1:37" ht="12" customHeight="1">
      <c r="A476" s="11" t="s">
        <v>477</v>
      </c>
      <c r="B476" s="11"/>
      <c r="C476" s="11" t="s">
        <v>56</v>
      </c>
      <c r="D476" s="11"/>
      <c r="E476" s="29">
        <v>49213</v>
      </c>
      <c r="G476" s="7">
        <v>824164</v>
      </c>
      <c r="I476" s="7">
        <v>1189048</v>
      </c>
      <c r="K476" s="7">
        <v>0</v>
      </c>
      <c r="M476" s="7">
        <f t="shared" si="57"/>
        <v>2013212</v>
      </c>
      <c r="O476" s="7">
        <f>3882630+153159+250001</f>
        <v>4285790</v>
      </c>
      <c r="Q476" s="7">
        <v>0</v>
      </c>
      <c r="S476" s="7">
        <v>5141658</v>
      </c>
      <c r="U476" s="7">
        <v>10609</v>
      </c>
      <c r="W476" s="7">
        <v>0</v>
      </c>
      <c r="Y476" s="7">
        <v>0</v>
      </c>
      <c r="AA476" s="7">
        <v>197740</v>
      </c>
      <c r="AB476" s="58"/>
      <c r="AC476" s="7">
        <v>0</v>
      </c>
      <c r="AE476" s="7">
        <v>0</v>
      </c>
      <c r="AG476" s="7">
        <f t="shared" si="58"/>
        <v>9635797</v>
      </c>
      <c r="AH476" s="7"/>
      <c r="AI476" s="7">
        <f t="shared" si="59"/>
        <v>11649009</v>
      </c>
      <c r="AK476" s="7" t="s">
        <v>972</v>
      </c>
    </row>
    <row r="477" spans="1:37" ht="12" customHeight="1">
      <c r="A477" s="11" t="s">
        <v>754</v>
      </c>
      <c r="B477" s="11"/>
      <c r="C477" s="11" t="s">
        <v>223</v>
      </c>
      <c r="D477" s="11"/>
      <c r="E477" s="29">
        <v>46144</v>
      </c>
      <c r="G477" s="7">
        <v>1570536</v>
      </c>
      <c r="I477" s="7">
        <v>2951027</v>
      </c>
      <c r="K477" s="7">
        <v>0</v>
      </c>
      <c r="M477" s="7">
        <f t="shared" si="57"/>
        <v>4521563</v>
      </c>
      <c r="O477" s="7">
        <f>7486206+1348279+224108</f>
        <v>9058593</v>
      </c>
      <c r="Q477" s="7">
        <v>2594243</v>
      </c>
      <c r="S477" s="7">
        <v>11606019</v>
      </c>
      <c r="U477" s="7">
        <v>26859</v>
      </c>
      <c r="W477" s="7">
        <v>0</v>
      </c>
      <c r="Y477" s="7">
        <v>0</v>
      </c>
      <c r="AA477" s="7">
        <f>51266+403797</f>
        <v>455063</v>
      </c>
      <c r="AB477" s="58"/>
      <c r="AC477" s="7">
        <v>0</v>
      </c>
      <c r="AE477" s="7">
        <v>0</v>
      </c>
      <c r="AG477" s="7">
        <f t="shared" si="58"/>
        <v>23740777</v>
      </c>
      <c r="AH477" s="7"/>
      <c r="AI477" s="7">
        <f t="shared" si="59"/>
        <v>28262340</v>
      </c>
      <c r="AK477" s="14"/>
    </row>
    <row r="478" spans="1:37" ht="12" customHeight="1">
      <c r="A478" s="11" t="s">
        <v>886</v>
      </c>
      <c r="B478" s="11"/>
      <c r="C478" s="11" t="s">
        <v>72</v>
      </c>
      <c r="D478" s="11"/>
      <c r="E478" s="29">
        <v>45609</v>
      </c>
      <c r="G478" s="7">
        <v>1002528</v>
      </c>
      <c r="I478" s="7">
        <v>1918753</v>
      </c>
      <c r="K478" s="7">
        <v>0</v>
      </c>
      <c r="M478" s="7">
        <f t="shared" si="57"/>
        <v>2921281</v>
      </c>
      <c r="O478" s="7">
        <v>12998266</v>
      </c>
      <c r="Q478" s="7">
        <v>0</v>
      </c>
      <c r="S478" s="7">
        <v>8621980</v>
      </c>
      <c r="U478" s="7">
        <v>47465</v>
      </c>
      <c r="W478" s="7">
        <v>449909</v>
      </c>
      <c r="Y478" s="7">
        <v>1454918</v>
      </c>
      <c r="AA478" s="7">
        <v>145686</v>
      </c>
      <c r="AB478" s="58"/>
      <c r="AC478" s="7">
        <v>0</v>
      </c>
      <c r="AE478" s="7">
        <v>0</v>
      </c>
      <c r="AG478" s="7">
        <f t="shared" si="58"/>
        <v>23718224</v>
      </c>
      <c r="AH478" s="7"/>
      <c r="AI478" s="7">
        <f t="shared" si="59"/>
        <v>26639505</v>
      </c>
      <c r="AK478" s="7"/>
    </row>
    <row r="479" spans="1:37" ht="12" customHeight="1">
      <c r="A479" s="11" t="s">
        <v>507</v>
      </c>
      <c r="B479" s="11"/>
      <c r="C479" s="11" t="s">
        <v>61</v>
      </c>
      <c r="D479" s="11"/>
      <c r="E479" s="29">
        <v>49817</v>
      </c>
      <c r="G479" s="7">
        <v>539433</v>
      </c>
      <c r="I479" s="7">
        <v>438763</v>
      </c>
      <c r="K479" s="7">
        <v>0</v>
      </c>
      <c r="M479" s="7">
        <f t="shared" si="57"/>
        <v>978196</v>
      </c>
      <c r="O479" s="7">
        <f>902598+381668+17934</f>
        <v>1302200</v>
      </c>
      <c r="Q479" s="7">
        <v>306044</v>
      </c>
      <c r="S479" s="7">
        <v>2321436</v>
      </c>
      <c r="U479" s="7">
        <v>18568</v>
      </c>
      <c r="W479" s="7">
        <v>0</v>
      </c>
      <c r="Y479" s="7">
        <v>2037</v>
      </c>
      <c r="AA479" s="7">
        <v>25325</v>
      </c>
      <c r="AB479" s="58"/>
      <c r="AC479" s="7">
        <v>0</v>
      </c>
      <c r="AE479" s="7">
        <v>0</v>
      </c>
      <c r="AG479" s="7">
        <f t="shared" si="58"/>
        <v>3975610</v>
      </c>
      <c r="AH479" s="7"/>
      <c r="AI479" s="7">
        <f t="shared" si="59"/>
        <v>4953806</v>
      </c>
      <c r="AK479" s="7"/>
    </row>
    <row r="480" spans="1:37" ht="12" customHeight="1">
      <c r="A480" s="11" t="s">
        <v>632</v>
      </c>
      <c r="B480" s="11"/>
      <c r="C480" s="11" t="s">
        <v>112</v>
      </c>
      <c r="D480" s="11"/>
      <c r="E480" s="29"/>
      <c r="G480" s="7">
        <v>1882381</v>
      </c>
      <c r="I480" s="7">
        <v>3607004</v>
      </c>
      <c r="K480" s="7">
        <v>0</v>
      </c>
      <c r="M480" s="7">
        <f t="shared" ref="M480:M529" si="63">SUM(G480:L480)</f>
        <v>5489385</v>
      </c>
      <c r="O480" s="7">
        <f>7708672+490889</f>
        <v>8199561</v>
      </c>
      <c r="Q480" s="7">
        <v>3888</v>
      </c>
      <c r="S480" s="7">
        <v>9154690</v>
      </c>
      <c r="U480" s="7">
        <v>7111</v>
      </c>
      <c r="W480" s="7">
        <v>0</v>
      </c>
      <c r="Y480" s="7">
        <v>0</v>
      </c>
      <c r="AA480" s="7">
        <v>201585</v>
      </c>
      <c r="AB480" s="58"/>
      <c r="AC480" s="7">
        <v>0</v>
      </c>
      <c r="AE480" s="7">
        <v>0</v>
      </c>
      <c r="AG480" s="7">
        <f t="shared" si="58"/>
        <v>17566835</v>
      </c>
      <c r="AH480" s="7"/>
      <c r="AI480" s="7">
        <f t="shared" si="59"/>
        <v>23056220</v>
      </c>
    </row>
    <row r="481" spans="1:37" ht="12" customHeight="1">
      <c r="A481" s="11" t="s">
        <v>296</v>
      </c>
      <c r="B481" s="11"/>
      <c r="C481" s="11" t="s">
        <v>24</v>
      </c>
      <c r="D481" s="11"/>
      <c r="E481" s="29">
        <v>44743</v>
      </c>
      <c r="G481" s="7">
        <v>1812020</v>
      </c>
      <c r="I481" s="7">
        <v>11589280</v>
      </c>
      <c r="K481" s="7">
        <v>0</v>
      </c>
      <c r="M481" s="7">
        <f t="shared" si="63"/>
        <v>13401300</v>
      </c>
      <c r="O481" s="7">
        <f>17233827+901848</f>
        <v>18135675</v>
      </c>
      <c r="Q481" s="7">
        <v>0</v>
      </c>
      <c r="S481" s="7">
        <v>19364728</v>
      </c>
      <c r="U481" s="7">
        <v>64347</v>
      </c>
      <c r="W481" s="7">
        <v>96184</v>
      </c>
      <c r="Y481" s="7">
        <v>119684</v>
      </c>
      <c r="AA481" s="7">
        <v>111656</v>
      </c>
      <c r="AB481" s="58"/>
      <c r="AC481" s="7">
        <v>0</v>
      </c>
      <c r="AE481" s="7">
        <v>0</v>
      </c>
      <c r="AG481" s="7">
        <f t="shared" si="58"/>
        <v>37892274</v>
      </c>
      <c r="AH481" s="7"/>
      <c r="AI481" s="7">
        <f t="shared" si="59"/>
        <v>51293574</v>
      </c>
    </row>
    <row r="482" spans="1:37" ht="12" customHeight="1">
      <c r="A482" s="11" t="s">
        <v>520</v>
      </c>
      <c r="B482" s="11"/>
      <c r="C482" s="11" t="s">
        <v>62</v>
      </c>
      <c r="D482" s="11"/>
      <c r="E482" s="29">
        <v>49940</v>
      </c>
      <c r="G482" s="7">
        <v>1084485</v>
      </c>
      <c r="I482" s="7">
        <v>2467771</v>
      </c>
      <c r="K482" s="7">
        <v>0</v>
      </c>
      <c r="M482" s="7">
        <f t="shared" si="63"/>
        <v>3552256</v>
      </c>
      <c r="O482" s="7">
        <f>3754090+797777+62452+156648</f>
        <v>4770967</v>
      </c>
      <c r="Q482" s="7">
        <v>0</v>
      </c>
      <c r="S482" s="7">
        <v>8375697</v>
      </c>
      <c r="U482" s="7">
        <v>35128</v>
      </c>
      <c r="W482" s="7">
        <v>0</v>
      </c>
      <c r="Y482" s="7">
        <v>0</v>
      </c>
      <c r="AA482" s="7">
        <v>119871</v>
      </c>
      <c r="AB482" s="58"/>
      <c r="AC482" s="7">
        <v>0</v>
      </c>
      <c r="AE482" s="7">
        <v>0</v>
      </c>
      <c r="AG482" s="7">
        <f t="shared" si="58"/>
        <v>13301663</v>
      </c>
      <c r="AH482" s="7"/>
      <c r="AI482" s="7">
        <f t="shared" si="59"/>
        <v>16853919</v>
      </c>
      <c r="AK482" s="7"/>
    </row>
    <row r="483" spans="1:37" ht="12" customHeight="1">
      <c r="A483" s="11" t="s">
        <v>471</v>
      </c>
      <c r="B483" s="11"/>
      <c r="C483" s="11" t="s">
        <v>55</v>
      </c>
      <c r="D483" s="11"/>
      <c r="E483" s="29"/>
      <c r="G483" s="7">
        <v>910394</v>
      </c>
      <c r="I483" s="7">
        <v>3448101</v>
      </c>
      <c r="K483" s="7">
        <v>0</v>
      </c>
      <c r="M483" s="7">
        <f t="shared" si="63"/>
        <v>4358495</v>
      </c>
      <c r="O483" s="7">
        <f>1836812+18467</f>
        <v>1855279</v>
      </c>
      <c r="Q483" s="7">
        <v>0</v>
      </c>
      <c r="S483" s="7">
        <v>11220368</v>
      </c>
      <c r="U483" s="7">
        <v>29954</v>
      </c>
      <c r="W483" s="7">
        <v>0</v>
      </c>
      <c r="Y483" s="7">
        <v>0</v>
      </c>
      <c r="AA483" s="7">
        <f>189550+9825</f>
        <v>199375</v>
      </c>
      <c r="AB483" s="58"/>
      <c r="AC483" s="7">
        <v>0</v>
      </c>
      <c r="AE483" s="7">
        <v>0</v>
      </c>
      <c r="AG483" s="7">
        <f t="shared" si="58"/>
        <v>13304976</v>
      </c>
      <c r="AH483" s="7"/>
      <c r="AI483" s="7">
        <f t="shared" si="59"/>
        <v>17663471</v>
      </c>
    </row>
    <row r="484" spans="1:37" ht="12" customHeight="1">
      <c r="A484" s="11" t="s">
        <v>418</v>
      </c>
      <c r="B484" s="11"/>
      <c r="C484" s="11" t="s">
        <v>45</v>
      </c>
      <c r="D484" s="11"/>
      <c r="E484" s="29">
        <v>48355</v>
      </c>
      <c r="G484" s="7">
        <v>487810</v>
      </c>
      <c r="I484" s="7">
        <v>1105639</v>
      </c>
      <c r="K484" s="7">
        <v>3000</v>
      </c>
      <c r="M484" s="7">
        <f t="shared" si="63"/>
        <v>1596449</v>
      </c>
      <c r="O484" s="7">
        <f>1064309+169161+79423+17031</f>
        <v>1329924</v>
      </c>
      <c r="Q484" s="7">
        <v>449968</v>
      </c>
      <c r="S484" s="7">
        <v>4298423</v>
      </c>
      <c r="U484" s="7">
        <v>1813</v>
      </c>
      <c r="W484" s="7">
        <v>0</v>
      </c>
      <c r="Y484" s="7">
        <v>0</v>
      </c>
      <c r="AA484" s="7">
        <v>38432</v>
      </c>
      <c r="AB484" s="58"/>
      <c r="AC484" s="7">
        <v>0</v>
      </c>
      <c r="AE484" s="7">
        <v>0</v>
      </c>
      <c r="AG484" s="7">
        <f t="shared" si="58"/>
        <v>6118560</v>
      </c>
      <c r="AH484" s="7"/>
      <c r="AI484" s="7">
        <f t="shared" si="59"/>
        <v>7715009</v>
      </c>
    </row>
    <row r="485" spans="1:37" ht="12" customHeight="1">
      <c r="A485" s="11" t="s">
        <v>502</v>
      </c>
      <c r="B485" s="11"/>
      <c r="C485" s="11" t="s">
        <v>60</v>
      </c>
      <c r="D485" s="11"/>
      <c r="E485" s="29">
        <v>49684</v>
      </c>
      <c r="G485" s="7">
        <v>1269298</v>
      </c>
      <c r="I485" s="7">
        <v>1598961</v>
      </c>
      <c r="K485" s="7">
        <v>11994</v>
      </c>
      <c r="M485" s="7">
        <f t="shared" si="63"/>
        <v>2880253</v>
      </c>
      <c r="O485" s="7">
        <f>1636411+33557+646312</f>
        <v>2316280</v>
      </c>
      <c r="Q485" s="7">
        <v>973206</v>
      </c>
      <c r="S485" s="7">
        <v>4124237</v>
      </c>
      <c r="U485" s="7">
        <v>18319</v>
      </c>
      <c r="W485" s="7">
        <v>0</v>
      </c>
      <c r="Y485" s="7">
        <v>0</v>
      </c>
      <c r="AA485" s="7">
        <v>44872</v>
      </c>
      <c r="AB485" s="58"/>
      <c r="AC485" s="7">
        <v>0</v>
      </c>
      <c r="AE485" s="7">
        <v>0</v>
      </c>
      <c r="AG485" s="7">
        <f t="shared" si="58"/>
        <v>7476914</v>
      </c>
      <c r="AH485" s="7"/>
      <c r="AI485" s="7">
        <f t="shared" si="59"/>
        <v>10357167</v>
      </c>
    </row>
    <row r="486" spans="1:37" ht="12" customHeight="1">
      <c r="A486" s="11" t="s">
        <v>218</v>
      </c>
      <c r="B486" s="11"/>
      <c r="C486" s="11" t="s">
        <v>15</v>
      </c>
      <c r="D486" s="11"/>
      <c r="E486" s="29">
        <v>46003</v>
      </c>
      <c r="G486" s="7">
        <v>1435922</v>
      </c>
      <c r="I486" s="7">
        <v>1455395</v>
      </c>
      <c r="K486" s="7">
        <v>0</v>
      </c>
      <c r="M486" s="7">
        <f t="shared" si="63"/>
        <v>2891317</v>
      </c>
      <c r="O486" s="7">
        <f>2060715+315885+1221540</f>
        <v>3598140</v>
      </c>
      <c r="Q486" s="7">
        <v>0</v>
      </c>
      <c r="S486" s="7">
        <v>2665867</v>
      </c>
      <c r="U486" s="7">
        <v>31687</v>
      </c>
      <c r="W486" s="7">
        <v>169397</v>
      </c>
      <c r="Y486" s="7">
        <v>5643</v>
      </c>
      <c r="AA486" s="7">
        <v>12664</v>
      </c>
      <c r="AB486" s="58"/>
      <c r="AC486" s="7">
        <v>0</v>
      </c>
      <c r="AE486" s="7">
        <v>0</v>
      </c>
      <c r="AG486" s="7">
        <f t="shared" si="58"/>
        <v>6483398</v>
      </c>
      <c r="AH486" s="7"/>
      <c r="AI486" s="7">
        <f t="shared" si="59"/>
        <v>9374715</v>
      </c>
    </row>
    <row r="487" spans="1:37" ht="12" customHeight="1">
      <c r="A487" s="11" t="s">
        <v>755</v>
      </c>
      <c r="B487" s="11"/>
      <c r="C487" s="11" t="s">
        <v>20</v>
      </c>
      <c r="D487" s="11"/>
      <c r="E487" s="29">
        <v>44750</v>
      </c>
      <c r="G487" s="7">
        <v>2537770</v>
      </c>
      <c r="I487" s="7">
        <v>6174652</v>
      </c>
      <c r="K487" s="7">
        <v>79489</v>
      </c>
      <c r="M487" s="7">
        <f t="shared" si="63"/>
        <v>8791911</v>
      </c>
      <c r="O487" s="7">
        <f>63904018+2755119</f>
        <v>66659137</v>
      </c>
      <c r="Q487" s="7">
        <v>0</v>
      </c>
      <c r="S487" s="7">
        <v>25301197</v>
      </c>
      <c r="U487" s="7">
        <v>291878</v>
      </c>
      <c r="W487" s="7">
        <v>0</v>
      </c>
      <c r="Y487" s="7">
        <v>1090</v>
      </c>
      <c r="AA487" s="7">
        <f>388268+18750</f>
        <v>407018</v>
      </c>
      <c r="AB487" s="58"/>
      <c r="AC487" s="7">
        <v>0</v>
      </c>
      <c r="AE487" s="7">
        <v>0</v>
      </c>
      <c r="AG487" s="7">
        <f t="shared" si="58"/>
        <v>92660320</v>
      </c>
      <c r="AH487" s="7"/>
      <c r="AI487" s="7">
        <f t="shared" si="59"/>
        <v>101452231</v>
      </c>
      <c r="AK487" s="14"/>
    </row>
    <row r="488" spans="1:37" ht="12" hidden="1" customHeight="1">
      <c r="A488" s="11" t="s">
        <v>738</v>
      </c>
      <c r="B488" s="11"/>
      <c r="C488" s="11" t="s">
        <v>10</v>
      </c>
      <c r="D488" s="11"/>
      <c r="E488" s="29"/>
      <c r="M488" s="7">
        <f t="shared" si="63"/>
        <v>0</v>
      </c>
      <c r="AB488" s="58"/>
      <c r="AC488" s="7">
        <v>0</v>
      </c>
      <c r="AE488" s="7">
        <v>0</v>
      </c>
      <c r="AG488" s="7">
        <f t="shared" si="58"/>
        <v>0</v>
      </c>
      <c r="AH488" s="7"/>
      <c r="AI488" s="7">
        <f t="shared" si="59"/>
        <v>0</v>
      </c>
      <c r="AK488" s="7" t="s">
        <v>973</v>
      </c>
    </row>
    <row r="489" spans="1:37" ht="12" customHeight="1">
      <c r="A489" s="11" t="s">
        <v>899</v>
      </c>
      <c r="B489" s="11"/>
      <c r="C489" s="11" t="s">
        <v>44</v>
      </c>
      <c r="D489" s="11"/>
      <c r="E489" s="29">
        <v>44768</v>
      </c>
      <c r="G489" s="7">
        <v>1327543</v>
      </c>
      <c r="I489" s="7">
        <v>1874691</v>
      </c>
      <c r="K489" s="7">
        <v>0</v>
      </c>
      <c r="M489" s="7">
        <f t="shared" si="63"/>
        <v>3202234</v>
      </c>
      <c r="O489" s="7">
        <f>10997084+319339</f>
        <v>11316423</v>
      </c>
      <c r="Q489" s="7">
        <v>0</v>
      </c>
      <c r="S489" s="7">
        <v>7343218</v>
      </c>
      <c r="U489" s="7">
        <v>14176</v>
      </c>
      <c r="W489" s="7">
        <v>0</v>
      </c>
      <c r="Y489" s="7">
        <v>0</v>
      </c>
      <c r="AA489" s="7">
        <v>118919</v>
      </c>
      <c r="AB489" s="58"/>
      <c r="AC489" s="7">
        <v>0</v>
      </c>
      <c r="AE489" s="7">
        <v>0</v>
      </c>
      <c r="AG489" s="7">
        <f t="shared" si="58"/>
        <v>18792736</v>
      </c>
      <c r="AH489" s="7"/>
      <c r="AI489" s="7">
        <f t="shared" si="59"/>
        <v>21994970</v>
      </c>
      <c r="AK489" s="9" t="s">
        <v>802</v>
      </c>
    </row>
    <row r="490" spans="1:37" ht="12" customHeight="1">
      <c r="A490" s="11" t="s">
        <v>487</v>
      </c>
      <c r="B490" s="11"/>
      <c r="C490" s="11" t="s">
        <v>110</v>
      </c>
      <c r="D490" s="11"/>
      <c r="E490" s="29">
        <v>44776</v>
      </c>
      <c r="G490" s="7">
        <v>1253186</v>
      </c>
      <c r="I490" s="7">
        <v>3976258</v>
      </c>
      <c r="K490" s="7">
        <v>450000</v>
      </c>
      <c r="M490" s="7">
        <f t="shared" si="63"/>
        <v>5679444</v>
      </c>
      <c r="O490" s="7">
        <f>4956611+80515+587776+286859</f>
        <v>5911761</v>
      </c>
      <c r="Q490" s="7">
        <v>2340242</v>
      </c>
      <c r="S490" s="7">
        <v>8695703</v>
      </c>
      <c r="U490" s="7">
        <v>27979</v>
      </c>
      <c r="W490" s="7">
        <v>0</v>
      </c>
      <c r="Y490" s="7">
        <v>0</v>
      </c>
      <c r="AA490" s="7">
        <v>72947</v>
      </c>
      <c r="AB490" s="58"/>
      <c r="AC490" s="7">
        <v>0</v>
      </c>
      <c r="AE490" s="7">
        <v>11081198</v>
      </c>
      <c r="AG490" s="7">
        <f t="shared" si="58"/>
        <v>28129830</v>
      </c>
      <c r="AH490" s="7"/>
      <c r="AI490" s="7">
        <f t="shared" si="59"/>
        <v>33809274</v>
      </c>
    </row>
    <row r="491" spans="1:37" ht="12" hidden="1" customHeight="1">
      <c r="A491" s="11" t="s">
        <v>985</v>
      </c>
      <c r="B491" s="11"/>
      <c r="C491" s="11" t="s">
        <v>61</v>
      </c>
      <c r="D491" s="11"/>
      <c r="E491" s="29">
        <v>44784</v>
      </c>
      <c r="M491" s="7">
        <f t="shared" si="63"/>
        <v>0</v>
      </c>
      <c r="AB491" s="58"/>
      <c r="AC491" s="7">
        <v>0</v>
      </c>
      <c r="AE491" s="7">
        <v>0</v>
      </c>
      <c r="AG491" s="7">
        <f t="shared" si="58"/>
        <v>0</v>
      </c>
      <c r="AH491" s="7"/>
      <c r="AI491" s="7">
        <f t="shared" si="59"/>
        <v>0</v>
      </c>
      <c r="AK491" s="7" t="s">
        <v>974</v>
      </c>
    </row>
    <row r="492" spans="1:37" ht="12" customHeight="1">
      <c r="A492" s="11" t="s">
        <v>283</v>
      </c>
      <c r="B492" s="11"/>
      <c r="C492" s="11" t="s">
        <v>20</v>
      </c>
      <c r="D492" s="11"/>
      <c r="E492" s="29">
        <v>46607</v>
      </c>
      <c r="G492" s="7">
        <v>3309868</v>
      </c>
      <c r="I492" s="7">
        <v>3290011</v>
      </c>
      <c r="K492" s="7">
        <v>4998</v>
      </c>
      <c r="M492" s="7">
        <f t="shared" si="63"/>
        <v>6604877</v>
      </c>
      <c r="O492" s="7">
        <f>48846195+2958730+1281204</f>
        <v>53086129</v>
      </c>
      <c r="Q492" s="7">
        <v>0</v>
      </c>
      <c r="S492" s="7">
        <v>18638805</v>
      </c>
      <c r="U492" s="7">
        <v>111360</v>
      </c>
      <c r="W492" s="7">
        <v>741815</v>
      </c>
      <c r="Y492" s="7">
        <v>0</v>
      </c>
      <c r="AA492" s="7">
        <v>359383</v>
      </c>
      <c r="AB492" s="58"/>
      <c r="AC492" s="7">
        <v>0</v>
      </c>
      <c r="AE492" s="7">
        <v>0</v>
      </c>
      <c r="AG492" s="7">
        <f t="shared" si="58"/>
        <v>72937492</v>
      </c>
      <c r="AH492" s="7"/>
      <c r="AI492" s="7">
        <f t="shared" si="59"/>
        <v>79542369</v>
      </c>
    </row>
    <row r="493" spans="1:37" ht="12" customHeight="1">
      <c r="A493" s="11" t="s">
        <v>660</v>
      </c>
      <c r="B493" s="11"/>
      <c r="C493" s="12" t="s">
        <v>37</v>
      </c>
      <c r="D493" s="11"/>
      <c r="E493" s="29"/>
      <c r="G493" s="7">
        <v>607293</v>
      </c>
      <c r="I493" s="7">
        <v>2165762</v>
      </c>
      <c r="K493" s="7">
        <v>0</v>
      </c>
      <c r="M493" s="7">
        <f t="shared" si="63"/>
        <v>2773055</v>
      </c>
      <c r="O493" s="7">
        <f>1388031+132063+27411</f>
        <v>1547505</v>
      </c>
      <c r="Q493" s="7">
        <v>891621</v>
      </c>
      <c r="S493" s="7">
        <v>4550515</v>
      </c>
      <c r="U493" s="7">
        <v>13491</v>
      </c>
      <c r="W493" s="7">
        <v>0</v>
      </c>
      <c r="Y493" s="7">
        <v>0</v>
      </c>
      <c r="AA493" s="7">
        <v>25937</v>
      </c>
      <c r="AB493" s="58"/>
      <c r="AC493" s="7">
        <v>0</v>
      </c>
      <c r="AE493" s="7">
        <v>0</v>
      </c>
      <c r="AG493" s="7">
        <f t="shared" si="58"/>
        <v>7029069</v>
      </c>
      <c r="AH493" s="7"/>
      <c r="AI493" s="7">
        <f t="shared" si="59"/>
        <v>9802124</v>
      </c>
    </row>
    <row r="494" spans="1:37" ht="12" customHeight="1">
      <c r="A494" s="11" t="s">
        <v>284</v>
      </c>
      <c r="B494" s="11"/>
      <c r="C494" s="11" t="s">
        <v>20</v>
      </c>
      <c r="D494" s="11"/>
      <c r="E494" s="29">
        <v>44792</v>
      </c>
      <c r="G494" s="7">
        <v>3089094</v>
      </c>
      <c r="I494" s="7">
        <v>4267537</v>
      </c>
      <c r="K494" s="7">
        <v>330361</v>
      </c>
      <c r="M494" s="7">
        <f t="shared" si="63"/>
        <v>7686992</v>
      </c>
      <c r="O494" s="7">
        <v>44167065</v>
      </c>
      <c r="Q494" s="7">
        <v>0</v>
      </c>
      <c r="S494" s="7">
        <v>15478442</v>
      </c>
      <c r="U494" s="7">
        <v>21628</v>
      </c>
      <c r="W494" s="7">
        <v>385000</v>
      </c>
      <c r="Y494" s="7">
        <v>6798</v>
      </c>
      <c r="AA494" s="7">
        <v>985786</v>
      </c>
      <c r="AB494" s="58"/>
      <c r="AC494" s="7">
        <v>0</v>
      </c>
      <c r="AE494" s="7">
        <v>0</v>
      </c>
      <c r="AG494" s="7">
        <f t="shared" si="58"/>
        <v>61044719</v>
      </c>
      <c r="AH494" s="7"/>
      <c r="AI494" s="7">
        <f t="shared" si="59"/>
        <v>68731711</v>
      </c>
    </row>
    <row r="495" spans="1:37" ht="12" customHeight="1">
      <c r="A495" s="11" t="s">
        <v>382</v>
      </c>
      <c r="B495" s="11"/>
      <c r="C495" s="11" t="s">
        <v>377</v>
      </c>
      <c r="D495" s="11"/>
      <c r="E495" s="29">
        <v>47951</v>
      </c>
      <c r="G495" s="7">
        <v>488422</v>
      </c>
      <c r="I495" s="7">
        <v>8327785</v>
      </c>
      <c r="K495" s="7">
        <v>0</v>
      </c>
      <c r="M495" s="7">
        <f t="shared" si="63"/>
        <v>8816207</v>
      </c>
      <c r="O495" s="7">
        <f>3035866+619144+60675</f>
        <v>3715685</v>
      </c>
      <c r="Q495" s="7">
        <v>0</v>
      </c>
      <c r="S495" s="7">
        <v>7188720</v>
      </c>
      <c r="U495" s="7">
        <v>16744</v>
      </c>
      <c r="W495" s="7">
        <v>0</v>
      </c>
      <c r="Y495" s="7">
        <v>0</v>
      </c>
      <c r="AA495" s="7">
        <f>47259+39500</f>
        <v>86759</v>
      </c>
      <c r="AB495" s="58"/>
      <c r="AC495" s="7">
        <v>0</v>
      </c>
      <c r="AE495" s="7">
        <v>0</v>
      </c>
      <c r="AG495" s="7">
        <f t="shared" si="58"/>
        <v>11007908</v>
      </c>
      <c r="AH495" s="7"/>
      <c r="AI495" s="7">
        <f t="shared" si="59"/>
        <v>19824115</v>
      </c>
      <c r="AK495" s="7"/>
    </row>
    <row r="496" spans="1:37" ht="12" customHeight="1">
      <c r="A496" s="11" t="s">
        <v>419</v>
      </c>
      <c r="B496" s="11"/>
      <c r="C496" s="11" t="s">
        <v>45</v>
      </c>
      <c r="D496" s="11"/>
      <c r="E496" s="29">
        <v>48363</v>
      </c>
      <c r="G496" s="7">
        <v>493367</v>
      </c>
      <c r="I496" s="7">
        <v>1723020</v>
      </c>
      <c r="K496" s="7">
        <v>0</v>
      </c>
      <c r="M496" s="7">
        <f t="shared" si="63"/>
        <v>2216387</v>
      </c>
      <c r="O496" s="7">
        <f>4880173+77500+1191371</f>
        <v>6149044</v>
      </c>
      <c r="Q496" s="7">
        <v>0</v>
      </c>
      <c r="S496" s="7">
        <v>5547867</v>
      </c>
      <c r="U496" s="7">
        <v>24428</v>
      </c>
      <c r="W496" s="7">
        <v>0</v>
      </c>
      <c r="Y496" s="7">
        <v>0</v>
      </c>
      <c r="AA496" s="7">
        <v>26497</v>
      </c>
      <c r="AB496" s="58"/>
      <c r="AC496" s="7">
        <v>0</v>
      </c>
      <c r="AE496" s="7">
        <v>0</v>
      </c>
      <c r="AG496" s="7">
        <f t="shared" si="58"/>
        <v>11747836</v>
      </c>
      <c r="AH496" s="7"/>
      <c r="AI496" s="7">
        <f t="shared" si="59"/>
        <v>13964223</v>
      </c>
      <c r="AK496" s="7"/>
    </row>
    <row r="497" spans="1:37" ht="12" customHeight="1">
      <c r="A497" s="11" t="s">
        <v>478</v>
      </c>
      <c r="B497" s="11"/>
      <c r="C497" s="11" t="s">
        <v>56</v>
      </c>
      <c r="D497" s="11"/>
      <c r="E497" s="29">
        <v>49221</v>
      </c>
      <c r="G497" s="7">
        <v>942019</v>
      </c>
      <c r="I497" s="7">
        <v>2000005</v>
      </c>
      <c r="K497" s="7">
        <v>0</v>
      </c>
      <c r="M497" s="7">
        <f t="shared" si="63"/>
        <v>2942024</v>
      </c>
      <c r="O497" s="7">
        <f>5197109+411329+69488</f>
        <v>5677926</v>
      </c>
      <c r="Q497" s="7">
        <v>0</v>
      </c>
      <c r="S497" s="7">
        <v>17821256</v>
      </c>
      <c r="U497" s="7">
        <v>26653</v>
      </c>
      <c r="W497" s="7">
        <v>0</v>
      </c>
      <c r="Y497" s="7">
        <v>0</v>
      </c>
      <c r="AA497" s="7">
        <v>68498</v>
      </c>
      <c r="AB497" s="58"/>
      <c r="AC497" s="7">
        <v>0</v>
      </c>
      <c r="AE497" s="7">
        <v>0</v>
      </c>
      <c r="AG497" s="7">
        <f t="shared" si="58"/>
        <v>23594333</v>
      </c>
      <c r="AH497" s="7"/>
      <c r="AI497" s="7">
        <f t="shared" si="59"/>
        <v>26536357</v>
      </c>
      <c r="AK497" s="7"/>
    </row>
    <row r="498" spans="1:37" ht="12" customHeight="1">
      <c r="A498" s="11" t="s">
        <v>478</v>
      </c>
      <c r="B498" s="11"/>
      <c r="C498" s="11" t="s">
        <v>71</v>
      </c>
      <c r="D498" s="11"/>
      <c r="E498" s="29">
        <v>50583</v>
      </c>
      <c r="G498" s="7">
        <v>1052708</v>
      </c>
      <c r="I498" s="7">
        <v>3129598</v>
      </c>
      <c r="K498" s="7">
        <v>0</v>
      </c>
      <c r="M498" s="7">
        <f t="shared" si="63"/>
        <v>4182306</v>
      </c>
      <c r="O498" s="7">
        <f>6876104+271386</f>
        <v>7147490</v>
      </c>
      <c r="Q498" s="7">
        <v>0</v>
      </c>
      <c r="S498" s="7">
        <v>6050067</v>
      </c>
      <c r="U498" s="7">
        <v>2130</v>
      </c>
      <c r="W498" s="7">
        <v>0</v>
      </c>
      <c r="Y498" s="7">
        <v>0</v>
      </c>
      <c r="AA498" s="7">
        <v>19197</v>
      </c>
      <c r="AB498" s="58"/>
      <c r="AC498" s="7">
        <v>0</v>
      </c>
      <c r="AE498" s="7">
        <v>0</v>
      </c>
      <c r="AG498" s="7">
        <f t="shared" si="58"/>
        <v>13218884</v>
      </c>
      <c r="AH498" s="7"/>
      <c r="AI498" s="7">
        <f t="shared" si="59"/>
        <v>17401190</v>
      </c>
      <c r="AK498" s="7" t="s">
        <v>788</v>
      </c>
    </row>
    <row r="499" spans="1:37" ht="12" customHeight="1">
      <c r="A499" s="11" t="s">
        <v>240</v>
      </c>
      <c r="B499" s="11"/>
      <c r="C499" s="11" t="s">
        <v>17</v>
      </c>
      <c r="D499" s="11"/>
      <c r="E499" s="29">
        <v>46276</v>
      </c>
      <c r="G499" s="7">
        <v>714765</v>
      </c>
      <c r="I499" s="7">
        <v>818836</v>
      </c>
      <c r="K499" s="7">
        <v>0</v>
      </c>
      <c r="M499" s="7">
        <f t="shared" si="63"/>
        <v>1533601</v>
      </c>
      <c r="O499" s="7">
        <f>2395259+225665</f>
        <v>2620924</v>
      </c>
      <c r="Q499" s="7">
        <v>888760</v>
      </c>
      <c r="S499" s="7">
        <v>3747648</v>
      </c>
      <c r="U499" s="7">
        <v>16969</v>
      </c>
      <c r="W499" s="7">
        <v>0</v>
      </c>
      <c r="Y499" s="7">
        <v>0</v>
      </c>
      <c r="AA499" s="7">
        <v>8881</v>
      </c>
      <c r="AB499" s="58"/>
      <c r="AC499" s="7">
        <v>0</v>
      </c>
      <c r="AE499" s="7">
        <v>0</v>
      </c>
      <c r="AG499" s="7">
        <f t="shared" si="58"/>
        <v>7283182</v>
      </c>
      <c r="AH499" s="7"/>
      <c r="AI499" s="7">
        <f t="shared" si="59"/>
        <v>8816783</v>
      </c>
    </row>
    <row r="500" spans="1:37" ht="12" customHeight="1">
      <c r="A500" s="11" t="s">
        <v>240</v>
      </c>
      <c r="B500" s="11"/>
      <c r="C500" s="11" t="s">
        <v>58</v>
      </c>
      <c r="D500" s="11"/>
      <c r="E500" s="29">
        <v>49528</v>
      </c>
      <c r="G500" s="7">
        <v>1221110</v>
      </c>
      <c r="I500" s="7">
        <v>1661975</v>
      </c>
      <c r="K500" s="7">
        <v>0</v>
      </c>
      <c r="M500" s="7">
        <f t="shared" si="63"/>
        <v>2883085</v>
      </c>
      <c r="O500" s="7">
        <f>1672473+257283+30060</f>
        <v>1959816</v>
      </c>
      <c r="Q500" s="7">
        <v>24508</v>
      </c>
      <c r="S500" s="7">
        <v>7325361</v>
      </c>
      <c r="U500" s="7">
        <v>43943</v>
      </c>
      <c r="W500" s="7">
        <v>0</v>
      </c>
      <c r="Y500" s="7">
        <v>0</v>
      </c>
      <c r="AA500" s="7">
        <v>255478</v>
      </c>
      <c r="AB500" s="58"/>
      <c r="AC500" s="7">
        <v>0</v>
      </c>
      <c r="AE500" s="7">
        <v>0</v>
      </c>
      <c r="AG500" s="7">
        <f t="shared" si="58"/>
        <v>9609106</v>
      </c>
      <c r="AH500" s="7"/>
      <c r="AI500" s="7">
        <f t="shared" si="59"/>
        <v>12492191</v>
      </c>
    </row>
    <row r="501" spans="1:37">
      <c r="A501" s="11" t="s">
        <v>674</v>
      </c>
      <c r="B501" s="11"/>
      <c r="C501" s="11" t="s">
        <v>112</v>
      </c>
      <c r="D501" s="11"/>
      <c r="E501" s="29">
        <v>46441</v>
      </c>
      <c r="G501" s="7">
        <v>669621</v>
      </c>
      <c r="I501" s="7">
        <v>2709021</v>
      </c>
      <c r="K501" s="7">
        <v>0</v>
      </c>
      <c r="M501" s="7">
        <f>SUM(G501:L501)</f>
        <v>3378642</v>
      </c>
      <c r="O501" s="7">
        <f>1638754+232179+29021</f>
        <v>1899954</v>
      </c>
      <c r="Q501" s="7">
        <v>0</v>
      </c>
      <c r="S501" s="7">
        <v>5829711</v>
      </c>
      <c r="U501" s="7">
        <v>12360</v>
      </c>
      <c r="W501" s="7">
        <v>0</v>
      </c>
      <c r="Y501" s="7">
        <v>0</v>
      </c>
      <c r="AA501" s="7">
        <v>37735</v>
      </c>
      <c r="AB501" s="58"/>
      <c r="AC501" s="7">
        <v>0</v>
      </c>
      <c r="AE501" s="7">
        <v>0</v>
      </c>
      <c r="AG501" s="7">
        <f t="shared" si="58"/>
        <v>7779760</v>
      </c>
      <c r="AH501" s="7"/>
      <c r="AI501" s="7">
        <f t="shared" si="59"/>
        <v>11158402</v>
      </c>
      <c r="AK501" s="7"/>
    </row>
    <row r="502" spans="1:37">
      <c r="A502" s="11" t="s">
        <v>256</v>
      </c>
      <c r="B502" s="11"/>
      <c r="C502" s="11" t="s">
        <v>433</v>
      </c>
      <c r="D502" s="11"/>
      <c r="E502" s="29">
        <v>46441</v>
      </c>
      <c r="G502" s="7">
        <v>419237</v>
      </c>
      <c r="I502" s="7">
        <v>1887188</v>
      </c>
      <c r="K502" s="7">
        <v>8000</v>
      </c>
      <c r="M502" s="7">
        <f t="shared" si="63"/>
        <v>2314425</v>
      </c>
      <c r="O502" s="7">
        <f>2277860+344502+31714</f>
        <v>2654076</v>
      </c>
      <c r="Q502" s="7">
        <v>0</v>
      </c>
      <c r="S502" s="7">
        <v>12135670</v>
      </c>
      <c r="U502" s="7">
        <v>54206</v>
      </c>
      <c r="W502" s="7">
        <v>0</v>
      </c>
      <c r="Y502" s="7">
        <v>2128</v>
      </c>
      <c r="AA502" s="7">
        <v>28588</v>
      </c>
      <c r="AB502" s="58"/>
      <c r="AC502" s="7">
        <v>0</v>
      </c>
      <c r="AE502" s="7">
        <v>0</v>
      </c>
      <c r="AG502" s="7">
        <f t="shared" si="58"/>
        <v>14874668</v>
      </c>
      <c r="AH502" s="7"/>
      <c r="AI502" s="7">
        <f t="shared" si="59"/>
        <v>17189093</v>
      </c>
    </row>
    <row r="503" spans="1:37" hidden="1">
      <c r="A503" s="12" t="s">
        <v>739</v>
      </c>
      <c r="B503" s="12"/>
      <c r="C503" s="12" t="s">
        <v>466</v>
      </c>
      <c r="D503" s="11"/>
      <c r="E503" s="29"/>
      <c r="M503" s="7">
        <f t="shared" si="63"/>
        <v>0</v>
      </c>
      <c r="AB503" s="58"/>
      <c r="AC503" s="7">
        <v>0</v>
      </c>
      <c r="AE503" s="7">
        <v>0</v>
      </c>
      <c r="AG503" s="7">
        <f t="shared" si="58"/>
        <v>0</v>
      </c>
      <c r="AH503" s="7"/>
      <c r="AI503" s="7">
        <f t="shared" si="59"/>
        <v>0</v>
      </c>
      <c r="AK503" s="7" t="s">
        <v>789</v>
      </c>
    </row>
    <row r="504" spans="1:37" ht="12" customHeight="1">
      <c r="A504" s="11" t="s">
        <v>546</v>
      </c>
      <c r="B504" s="11"/>
      <c r="C504" s="11" t="s">
        <v>64</v>
      </c>
      <c r="D504" s="11"/>
      <c r="E504" s="29">
        <v>50237</v>
      </c>
      <c r="G504" s="7">
        <v>542316</v>
      </c>
      <c r="I504" s="7">
        <v>866615</v>
      </c>
      <c r="K504" s="7">
        <v>0</v>
      </c>
      <c r="M504" s="7">
        <f t="shared" si="63"/>
        <v>1408931</v>
      </c>
      <c r="O504" s="7">
        <f>1354536+445393+82455</f>
        <v>1882384</v>
      </c>
      <c r="Q504" s="7">
        <v>0</v>
      </c>
      <c r="S504" s="7">
        <v>2762362</v>
      </c>
      <c r="U504" s="7">
        <v>67391</v>
      </c>
      <c r="W504" s="7">
        <v>0</v>
      </c>
      <c r="Y504" s="7">
        <v>0</v>
      </c>
      <c r="AA504" s="7">
        <v>86325</v>
      </c>
      <c r="AB504" s="58"/>
      <c r="AC504" s="7">
        <v>0</v>
      </c>
      <c r="AE504" s="7">
        <v>0</v>
      </c>
      <c r="AG504" s="7">
        <f t="shared" si="58"/>
        <v>4798462</v>
      </c>
      <c r="AH504" s="7"/>
      <c r="AI504" s="7">
        <f t="shared" si="59"/>
        <v>6207393</v>
      </c>
    </row>
    <row r="505" spans="1:37" ht="12" hidden="1" customHeight="1">
      <c r="A505" s="11" t="s">
        <v>976</v>
      </c>
      <c r="B505" s="11"/>
      <c r="C505" s="11" t="s">
        <v>42</v>
      </c>
      <c r="D505" s="11"/>
      <c r="E505" s="29">
        <v>48041</v>
      </c>
      <c r="M505" s="7">
        <f t="shared" si="63"/>
        <v>0</v>
      </c>
      <c r="AB505" s="58"/>
      <c r="AC505" s="7">
        <v>0</v>
      </c>
      <c r="AE505" s="7">
        <v>0</v>
      </c>
      <c r="AG505" s="7">
        <f t="shared" si="58"/>
        <v>0</v>
      </c>
      <c r="AH505" s="7"/>
      <c r="AI505" s="7">
        <f t="shared" si="59"/>
        <v>0</v>
      </c>
    </row>
    <row r="506" spans="1:37" ht="12" customHeight="1">
      <c r="A506" s="11" t="s">
        <v>339</v>
      </c>
      <c r="B506" s="11"/>
      <c r="C506" s="11" t="s">
        <v>32</v>
      </c>
      <c r="D506" s="11"/>
      <c r="E506" s="29">
        <v>47381</v>
      </c>
      <c r="G506" s="7">
        <v>1543521</v>
      </c>
      <c r="I506" s="7">
        <v>4849908</v>
      </c>
      <c r="K506" s="7">
        <v>0</v>
      </c>
      <c r="M506" s="7">
        <f t="shared" si="63"/>
        <v>6393429</v>
      </c>
      <c r="O506" s="7">
        <f>10841923+1515080+48489</f>
        <v>12405492</v>
      </c>
      <c r="Q506" s="7">
        <v>3335647</v>
      </c>
      <c r="S506" s="7">
        <v>15120488</v>
      </c>
      <c r="U506" s="7">
        <v>37950</v>
      </c>
      <c r="W506" s="7">
        <v>160969</v>
      </c>
      <c r="Y506" s="7">
        <v>1200</v>
      </c>
      <c r="AA506" s="7">
        <v>199055</v>
      </c>
      <c r="AB506" s="58"/>
      <c r="AC506" s="7">
        <v>0</v>
      </c>
      <c r="AE506" s="7">
        <v>0</v>
      </c>
      <c r="AG506" s="7">
        <f t="shared" si="58"/>
        <v>31260801</v>
      </c>
      <c r="AH506" s="7"/>
      <c r="AI506" s="7">
        <f t="shared" si="59"/>
        <v>37654230</v>
      </c>
    </row>
    <row r="507" spans="1:37" ht="12" customHeight="1">
      <c r="A507" s="11" t="s">
        <v>313</v>
      </c>
      <c r="B507" s="11"/>
      <c r="C507" s="11" t="s">
        <v>27</v>
      </c>
      <c r="D507" s="11"/>
      <c r="E507" s="29">
        <v>44800</v>
      </c>
      <c r="G507" s="7">
        <v>4945008</v>
      </c>
      <c r="I507" s="7">
        <v>36908180</v>
      </c>
      <c r="K507" s="7">
        <v>0</v>
      </c>
      <c r="M507" s="7">
        <f t="shared" si="63"/>
        <v>41853188</v>
      </c>
      <c r="O507" s="7">
        <f>95084630+12143490+3954430</f>
        <v>111182550</v>
      </c>
      <c r="Q507" s="7">
        <v>0</v>
      </c>
      <c r="S507" s="7">
        <v>111373088</v>
      </c>
      <c r="U507" s="7">
        <v>344720</v>
      </c>
      <c r="W507" s="7">
        <v>2446398</v>
      </c>
      <c r="Y507" s="7">
        <v>0</v>
      </c>
      <c r="AA507" s="7">
        <v>6977570</v>
      </c>
      <c r="AB507" s="58"/>
      <c r="AC507" s="7">
        <v>0</v>
      </c>
      <c r="AE507" s="7">
        <v>0</v>
      </c>
      <c r="AG507" s="7">
        <f t="shared" si="58"/>
        <v>232324326</v>
      </c>
      <c r="AH507" s="7"/>
      <c r="AI507" s="7">
        <f t="shared" si="59"/>
        <v>274177514</v>
      </c>
    </row>
    <row r="508" spans="1:37" ht="12.75" hidden="1" customHeight="1">
      <c r="A508" s="11" t="s">
        <v>741</v>
      </c>
      <c r="B508" s="11"/>
      <c r="C508" s="11" t="s">
        <v>10</v>
      </c>
      <c r="D508" s="11"/>
      <c r="E508" s="29">
        <v>45807</v>
      </c>
      <c r="M508" s="7">
        <f t="shared" si="63"/>
        <v>0</v>
      </c>
      <c r="AB508" s="58"/>
      <c r="AC508" s="7">
        <v>0</v>
      </c>
      <c r="AE508" s="7">
        <v>0</v>
      </c>
      <c r="AG508" s="7">
        <f t="shared" si="58"/>
        <v>0</v>
      </c>
      <c r="AH508" s="7"/>
      <c r="AI508" s="7">
        <f t="shared" si="59"/>
        <v>0</v>
      </c>
      <c r="AK508" s="7" t="s">
        <v>789</v>
      </c>
    </row>
    <row r="509" spans="1:37" ht="12.75" customHeight="1">
      <c r="A509" s="11" t="s">
        <v>977</v>
      </c>
      <c r="B509" s="11"/>
      <c r="C509" s="11" t="s">
        <v>69</v>
      </c>
      <c r="D509" s="11"/>
      <c r="E509" s="29">
        <v>50427</v>
      </c>
      <c r="G509" s="7">
        <v>3587103</v>
      </c>
      <c r="I509" s="7">
        <v>2378029</v>
      </c>
      <c r="K509" s="7">
        <v>0</v>
      </c>
      <c r="M509" s="7">
        <f t="shared" si="63"/>
        <v>5965132</v>
      </c>
      <c r="O509" s="7">
        <f>27530283+5568934</f>
        <v>33099217</v>
      </c>
      <c r="Q509" s="7">
        <v>0</v>
      </c>
      <c r="S509" s="7">
        <v>15227204</v>
      </c>
      <c r="U509" s="7">
        <v>11867</v>
      </c>
      <c r="W509" s="7">
        <v>0</v>
      </c>
      <c r="Y509" s="7">
        <v>0</v>
      </c>
      <c r="AA509" s="7">
        <v>909063</v>
      </c>
      <c r="AB509" s="58"/>
      <c r="AC509" s="7">
        <v>0</v>
      </c>
      <c r="AE509" s="7">
        <v>0</v>
      </c>
      <c r="AG509" s="7">
        <f t="shared" si="58"/>
        <v>49247351</v>
      </c>
      <c r="AH509" s="7"/>
      <c r="AI509" s="7">
        <f t="shared" si="59"/>
        <v>55212483</v>
      </c>
      <c r="AK509" s="7"/>
    </row>
    <row r="510" spans="1:37" ht="12" customHeight="1">
      <c r="A510" s="11" t="s">
        <v>656</v>
      </c>
      <c r="B510" s="11"/>
      <c r="C510" s="11" t="s">
        <v>17</v>
      </c>
      <c r="D510" s="11"/>
      <c r="E510" s="29"/>
      <c r="G510" s="7">
        <v>2559235</v>
      </c>
      <c r="I510" s="7">
        <v>24532090</v>
      </c>
      <c r="K510" s="7">
        <v>0</v>
      </c>
      <c r="M510" s="7">
        <f t="shared" si="63"/>
        <v>27091325</v>
      </c>
      <c r="O510" s="7">
        <f>19890366+4653991+650916+238146</f>
        <v>25433419</v>
      </c>
      <c r="Q510" s="7">
        <v>0</v>
      </c>
      <c r="S510" s="7">
        <v>54806827</v>
      </c>
      <c r="U510" s="7">
        <v>90151</v>
      </c>
      <c r="W510" s="7">
        <v>0</v>
      </c>
      <c r="Y510" s="7">
        <v>0</v>
      </c>
      <c r="AA510" s="7">
        <v>417514</v>
      </c>
      <c r="AB510" s="58"/>
      <c r="AC510" s="7">
        <v>0</v>
      </c>
      <c r="AE510" s="7">
        <v>0</v>
      </c>
      <c r="AG510" s="7">
        <f t="shared" si="58"/>
        <v>80747911</v>
      </c>
      <c r="AH510" s="7"/>
      <c r="AI510" s="7">
        <f t="shared" si="59"/>
        <v>107839236</v>
      </c>
      <c r="AK510" s="7"/>
    </row>
    <row r="511" spans="1:37" ht="12" customHeight="1">
      <c r="A511" s="11" t="s">
        <v>756</v>
      </c>
      <c r="B511" s="11"/>
      <c r="C511" s="11" t="s">
        <v>115</v>
      </c>
      <c r="D511" s="11"/>
      <c r="E511" s="29">
        <v>48223</v>
      </c>
      <c r="G511" s="7">
        <v>2298047</v>
      </c>
      <c r="I511" s="7">
        <v>5414515</v>
      </c>
      <c r="K511" s="7">
        <v>0</v>
      </c>
      <c r="M511" s="7">
        <f t="shared" si="63"/>
        <v>7712562</v>
      </c>
      <c r="O511" s="7">
        <f>23065856+869660+2088489</f>
        <v>26024005</v>
      </c>
      <c r="Q511" s="7">
        <v>0</v>
      </c>
      <c r="S511" s="7">
        <v>11244628</v>
      </c>
      <c r="U511" s="7">
        <v>27414</v>
      </c>
      <c r="W511" s="7">
        <v>0</v>
      </c>
      <c r="Y511" s="7">
        <v>28935</v>
      </c>
      <c r="AA511" s="7">
        <f>575+416760</f>
        <v>417335</v>
      </c>
      <c r="AB511" s="58"/>
      <c r="AC511" s="7">
        <v>0</v>
      </c>
      <c r="AE511" s="7">
        <v>0</v>
      </c>
      <c r="AG511" s="7">
        <f t="shared" si="58"/>
        <v>37742317</v>
      </c>
      <c r="AH511" s="7"/>
      <c r="AI511" s="7">
        <f t="shared" si="59"/>
        <v>45454879</v>
      </c>
      <c r="AK511" s="7"/>
    </row>
    <row r="512" spans="1:37" ht="12" customHeight="1">
      <c r="A512" s="11" t="s">
        <v>406</v>
      </c>
      <c r="B512" s="11"/>
      <c r="C512" s="11" t="s">
        <v>45</v>
      </c>
      <c r="D512" s="11"/>
      <c r="E512" s="29">
        <v>48371</v>
      </c>
      <c r="G512" s="7">
        <v>483274</v>
      </c>
      <c r="I512" s="7">
        <v>1808325</v>
      </c>
      <c r="K512" s="7">
        <v>0</v>
      </c>
      <c r="M512" s="7">
        <f t="shared" si="63"/>
        <v>2291599</v>
      </c>
      <c r="O512" s="7">
        <f>2783187+136842+133817</f>
        <v>3053846</v>
      </c>
      <c r="Q512" s="7">
        <v>1727223</v>
      </c>
      <c r="S512" s="7">
        <v>4726563</v>
      </c>
      <c r="U512" s="7">
        <v>5088</v>
      </c>
      <c r="W512" s="7">
        <v>0</v>
      </c>
      <c r="Y512" s="7">
        <v>0</v>
      </c>
      <c r="AA512" s="7">
        <v>26965</v>
      </c>
      <c r="AB512" s="58"/>
      <c r="AC512" s="7">
        <v>0</v>
      </c>
      <c r="AE512" s="7">
        <v>0</v>
      </c>
      <c r="AG512" s="7">
        <f t="shared" si="58"/>
        <v>9539685</v>
      </c>
      <c r="AH512" s="7"/>
      <c r="AI512" s="7">
        <f t="shared" si="59"/>
        <v>11831284</v>
      </c>
    </row>
    <row r="513" spans="1:37" ht="12" customHeight="1">
      <c r="A513" s="11" t="s">
        <v>406</v>
      </c>
      <c r="B513" s="11"/>
      <c r="C513" s="11" t="s">
        <v>63</v>
      </c>
      <c r="D513" s="11"/>
      <c r="E513" s="29">
        <v>50062</v>
      </c>
      <c r="G513" s="7">
        <v>2915938</v>
      </c>
      <c r="I513" s="7">
        <v>5067139</v>
      </c>
      <c r="K513" s="7">
        <v>0</v>
      </c>
      <c r="M513" s="7">
        <f t="shared" si="63"/>
        <v>7983077</v>
      </c>
      <c r="O513" s="7">
        <f>10682198+1249299+386844</f>
        <v>12318341</v>
      </c>
      <c r="Q513" s="7">
        <v>0</v>
      </c>
      <c r="S513" s="7">
        <v>20080770</v>
      </c>
      <c r="U513" s="7">
        <v>4085</v>
      </c>
      <c r="W513" s="7">
        <v>0</v>
      </c>
      <c r="Y513" s="7">
        <v>0</v>
      </c>
      <c r="AA513" s="7">
        <v>86640</v>
      </c>
      <c r="AB513" s="58"/>
      <c r="AC513" s="7">
        <v>0</v>
      </c>
      <c r="AE513" s="7">
        <v>0</v>
      </c>
      <c r="AG513" s="7">
        <f t="shared" si="58"/>
        <v>32489836</v>
      </c>
      <c r="AH513" s="7"/>
      <c r="AI513" s="7">
        <f t="shared" si="59"/>
        <v>40472913</v>
      </c>
    </row>
    <row r="514" spans="1:37" ht="12" customHeight="1">
      <c r="A514" s="11" t="s">
        <v>896</v>
      </c>
      <c r="B514" s="11"/>
      <c r="C514" s="11" t="s">
        <v>32</v>
      </c>
      <c r="D514" s="11"/>
      <c r="E514" s="29">
        <v>44719</v>
      </c>
      <c r="G514" s="7">
        <v>1083068</v>
      </c>
      <c r="I514" s="7">
        <v>3010811</v>
      </c>
      <c r="K514" s="7">
        <v>0</v>
      </c>
      <c r="M514" s="7">
        <f t="shared" si="63"/>
        <v>4093879</v>
      </c>
      <c r="O514" s="7">
        <v>4797278</v>
      </c>
      <c r="Q514" s="7">
        <v>0</v>
      </c>
      <c r="S514" s="7">
        <v>5839785</v>
      </c>
      <c r="U514" s="7">
        <v>5851</v>
      </c>
      <c r="W514" s="7">
        <v>0</v>
      </c>
      <c r="Y514" s="7">
        <v>0</v>
      </c>
      <c r="AA514" s="7">
        <v>355819</v>
      </c>
      <c r="AB514" s="58"/>
      <c r="AC514" s="7">
        <v>0</v>
      </c>
      <c r="AE514" s="7">
        <v>0</v>
      </c>
      <c r="AG514" s="7">
        <f t="shared" ref="AG514:AG520" si="64">SUM(O514:AE514)</f>
        <v>10998733</v>
      </c>
      <c r="AH514" s="7"/>
      <c r="AI514" s="7">
        <f t="shared" ref="AI514:AI520" si="65">+AG514+M514</f>
        <v>15092612</v>
      </c>
    </row>
    <row r="515" spans="1:37" ht="12" customHeight="1">
      <c r="A515" s="11" t="s">
        <v>897</v>
      </c>
      <c r="B515" s="11"/>
      <c r="C515" s="11" t="s">
        <v>15</v>
      </c>
      <c r="D515" s="11"/>
      <c r="E515" s="29">
        <v>45997</v>
      </c>
      <c r="G515" s="7">
        <v>1631893</v>
      </c>
      <c r="I515" s="7">
        <v>2042083</v>
      </c>
      <c r="K515" s="7">
        <v>425589</v>
      </c>
      <c r="M515" s="7">
        <f t="shared" si="63"/>
        <v>4099565</v>
      </c>
      <c r="O515" s="7">
        <f>6350202+766636</f>
        <v>7116838</v>
      </c>
      <c r="Q515" s="7">
        <v>0</v>
      </c>
      <c r="S515" s="7">
        <v>4851357</v>
      </c>
      <c r="U515" s="7">
        <v>9609</v>
      </c>
      <c r="W515" s="7">
        <v>0</v>
      </c>
      <c r="Y515" s="7">
        <v>70628</v>
      </c>
      <c r="AA515" s="7">
        <v>60752</v>
      </c>
      <c r="AB515" s="58"/>
      <c r="AC515" s="7">
        <v>0</v>
      </c>
      <c r="AE515" s="7">
        <v>0</v>
      </c>
      <c r="AG515" s="7">
        <f t="shared" si="64"/>
        <v>12109184</v>
      </c>
      <c r="AH515" s="7"/>
      <c r="AI515" s="7">
        <f t="shared" si="65"/>
        <v>16208749</v>
      </c>
    </row>
    <row r="516" spans="1:37" ht="12" hidden="1" customHeight="1">
      <c r="A516" s="11" t="s">
        <v>742</v>
      </c>
      <c r="B516" s="11"/>
      <c r="C516" s="11" t="s">
        <v>435</v>
      </c>
      <c r="D516" s="11"/>
      <c r="E516" s="29">
        <v>48587</v>
      </c>
      <c r="M516" s="7">
        <f t="shared" si="63"/>
        <v>0</v>
      </c>
      <c r="AB516" s="58"/>
      <c r="AC516" s="7">
        <v>0</v>
      </c>
      <c r="AE516" s="7">
        <v>0</v>
      </c>
      <c r="AG516" s="7">
        <f t="shared" si="64"/>
        <v>0</v>
      </c>
      <c r="AH516" s="7"/>
      <c r="AI516" s="7">
        <f t="shared" si="65"/>
        <v>0</v>
      </c>
      <c r="AK516" s="7" t="s">
        <v>789</v>
      </c>
    </row>
    <row r="517" spans="1:37" ht="12" hidden="1" customHeight="1">
      <c r="A517" s="11" t="s">
        <v>743</v>
      </c>
      <c r="B517" s="11"/>
      <c r="C517" s="11" t="s">
        <v>14</v>
      </c>
      <c r="D517" s="11"/>
      <c r="E517" s="29">
        <v>44727</v>
      </c>
      <c r="M517" s="7">
        <f t="shared" si="63"/>
        <v>0</v>
      </c>
      <c r="AB517" s="58"/>
      <c r="AC517" s="7">
        <v>0</v>
      </c>
      <c r="AE517" s="7">
        <v>0</v>
      </c>
      <c r="AG517" s="7">
        <f t="shared" si="64"/>
        <v>0</v>
      </c>
      <c r="AH517" s="7"/>
      <c r="AI517" s="7">
        <f t="shared" si="65"/>
        <v>0</v>
      </c>
      <c r="AK517" s="7" t="s">
        <v>789</v>
      </c>
    </row>
    <row r="518" spans="1:37" s="7" customFormat="1" ht="12" customHeight="1">
      <c r="A518" s="12" t="s">
        <v>374</v>
      </c>
      <c r="B518" s="12"/>
      <c r="C518" s="12" t="s">
        <v>39</v>
      </c>
      <c r="D518" s="12"/>
      <c r="E518" s="29">
        <v>44826</v>
      </c>
      <c r="F518" s="9"/>
      <c r="G518" s="7">
        <v>3822158</v>
      </c>
      <c r="I518" s="7">
        <v>6708603</v>
      </c>
      <c r="K518" s="7">
        <v>343788</v>
      </c>
      <c r="M518" s="7">
        <f t="shared" si="63"/>
        <v>10874549</v>
      </c>
      <c r="O518" s="7">
        <f>3114287+869553+63646</f>
        <v>4047486</v>
      </c>
      <c r="Q518" s="7">
        <v>0</v>
      </c>
      <c r="S518" s="7">
        <v>11816331</v>
      </c>
      <c r="U518" s="7">
        <v>98603</v>
      </c>
      <c r="W518" s="7">
        <v>0</v>
      </c>
      <c r="Y518" s="7">
        <v>59448</v>
      </c>
      <c r="AA518" s="7">
        <v>82939</v>
      </c>
      <c r="AB518" s="58"/>
      <c r="AC518" s="7">
        <v>0</v>
      </c>
      <c r="AE518" s="7">
        <v>0</v>
      </c>
      <c r="AG518" s="7">
        <f t="shared" si="64"/>
        <v>16104807</v>
      </c>
      <c r="AI518" s="7">
        <f t="shared" si="65"/>
        <v>26979356</v>
      </c>
    </row>
    <row r="519" spans="1:37" ht="12" customHeight="1">
      <c r="A519" s="11" t="s">
        <v>530</v>
      </c>
      <c r="B519" s="11"/>
      <c r="C519" s="11" t="s">
        <v>63</v>
      </c>
      <c r="D519" s="11"/>
      <c r="E519" s="29">
        <v>44834</v>
      </c>
      <c r="G519" s="7">
        <v>3702367</v>
      </c>
      <c r="I519" s="7">
        <v>5902195</v>
      </c>
      <c r="K519" s="7">
        <v>0</v>
      </c>
      <c r="M519" s="7">
        <f t="shared" si="63"/>
        <v>9604562</v>
      </c>
      <c r="O519" s="7">
        <f>29094194+593938</f>
        <v>29688132</v>
      </c>
      <c r="Q519" s="7">
        <v>0</v>
      </c>
      <c r="S519" s="7">
        <v>18641456</v>
      </c>
      <c r="U519" s="7">
        <v>60285</v>
      </c>
      <c r="W519" s="7">
        <v>62280</v>
      </c>
      <c r="Y519" s="7">
        <v>0</v>
      </c>
      <c r="AA519" s="7">
        <v>152262</v>
      </c>
      <c r="AB519" s="58"/>
      <c r="AC519" s="7">
        <v>0</v>
      </c>
      <c r="AE519" s="7">
        <v>0</v>
      </c>
      <c r="AG519" s="7">
        <f t="shared" si="64"/>
        <v>48604415</v>
      </c>
      <c r="AH519" s="7"/>
      <c r="AI519" s="7">
        <f t="shared" si="65"/>
        <v>58208977</v>
      </c>
    </row>
    <row r="520" spans="1:37" ht="12" hidden="1" customHeight="1">
      <c r="A520" s="12" t="s">
        <v>744</v>
      </c>
      <c r="B520" s="11"/>
      <c r="C520" s="11" t="s">
        <v>65</v>
      </c>
      <c r="D520" s="11"/>
      <c r="E520" s="29">
        <v>50294</v>
      </c>
      <c r="M520" s="7">
        <f t="shared" si="63"/>
        <v>0</v>
      </c>
      <c r="AB520" s="58"/>
      <c r="AC520" s="7">
        <v>0</v>
      </c>
      <c r="AE520" s="7">
        <v>0</v>
      </c>
      <c r="AG520" s="7">
        <f t="shared" si="64"/>
        <v>0</v>
      </c>
      <c r="AH520" s="7"/>
      <c r="AI520" s="7">
        <f t="shared" si="65"/>
        <v>0</v>
      </c>
      <c r="AK520" s="7" t="s">
        <v>792</v>
      </c>
    </row>
    <row r="521" spans="1:37" s="7" customFormat="1" ht="12" customHeight="1">
      <c r="A521" s="12" t="s">
        <v>479</v>
      </c>
      <c r="B521" s="12"/>
      <c r="C521" s="12" t="s">
        <v>56</v>
      </c>
      <c r="D521" s="12"/>
      <c r="E521" s="29">
        <v>49239</v>
      </c>
      <c r="G521" s="7">
        <v>779887</v>
      </c>
      <c r="I521" s="7">
        <v>1763310</v>
      </c>
      <c r="K521" s="7">
        <v>4032470</v>
      </c>
      <c r="M521" s="7">
        <f t="shared" si="63"/>
        <v>6575667</v>
      </c>
      <c r="O521" s="7">
        <f>11472227+1053578+522840</f>
        <v>13048645</v>
      </c>
      <c r="Q521" s="7">
        <v>0</v>
      </c>
      <c r="S521" s="7">
        <v>8402768</v>
      </c>
      <c r="U521" s="7">
        <v>4851</v>
      </c>
      <c r="W521" s="7">
        <v>791594</v>
      </c>
      <c r="Y521" s="7">
        <v>0</v>
      </c>
      <c r="AA521" s="7">
        <f>59729+142642</f>
        <v>202371</v>
      </c>
      <c r="AB521" s="58"/>
      <c r="AC521" s="7">
        <v>0</v>
      </c>
      <c r="AE521" s="7">
        <v>0</v>
      </c>
      <c r="AG521" s="7">
        <f t="shared" ref="AG521:AG567" si="66">SUM(O521:AE521)</f>
        <v>22450229</v>
      </c>
      <c r="AI521" s="7">
        <f t="shared" ref="AI521:AI567" si="67">+AG521+M521</f>
        <v>29025896</v>
      </c>
    </row>
    <row r="522" spans="1:37" ht="12" customHeight="1">
      <c r="A522" s="11" t="s">
        <v>285</v>
      </c>
      <c r="B522" s="11"/>
      <c r="C522" s="11" t="s">
        <v>20</v>
      </c>
      <c r="D522" s="11"/>
      <c r="E522" s="29">
        <v>44842</v>
      </c>
      <c r="G522" s="7">
        <v>2971442</v>
      </c>
      <c r="I522" s="7">
        <v>4913840</v>
      </c>
      <c r="K522" s="7">
        <v>0</v>
      </c>
      <c r="M522" s="7">
        <f t="shared" si="63"/>
        <v>7885282</v>
      </c>
      <c r="O522" s="7">
        <f>47590334+3223632+1039911</f>
        <v>51853877</v>
      </c>
      <c r="Q522" s="7">
        <v>0</v>
      </c>
      <c r="S522" s="7">
        <v>23011921</v>
      </c>
      <c r="U522" s="7">
        <v>18215</v>
      </c>
      <c r="W522" s="7">
        <v>0</v>
      </c>
      <c r="Y522" s="7">
        <v>0</v>
      </c>
      <c r="AA522" s="7">
        <v>755556</v>
      </c>
      <c r="AB522" s="58"/>
      <c r="AC522" s="7">
        <v>0</v>
      </c>
      <c r="AE522" s="7">
        <v>0</v>
      </c>
      <c r="AG522" s="7">
        <f t="shared" si="66"/>
        <v>75639569</v>
      </c>
      <c r="AH522" s="7"/>
      <c r="AI522" s="7">
        <f t="shared" si="67"/>
        <v>83524851</v>
      </c>
      <c r="AK522" s="7"/>
    </row>
    <row r="523" spans="1:37" ht="12" customHeight="1">
      <c r="A523" s="11" t="s">
        <v>420</v>
      </c>
      <c r="B523" s="11"/>
      <c r="C523" s="11" t="s">
        <v>45</v>
      </c>
      <c r="D523" s="11"/>
      <c r="E523" s="29">
        <v>44859</v>
      </c>
      <c r="G523" s="7">
        <v>1785457</v>
      </c>
      <c r="I523" s="7">
        <v>3486561</v>
      </c>
      <c r="K523" s="7">
        <v>14505</v>
      </c>
      <c r="M523" s="7">
        <f t="shared" si="63"/>
        <v>5286523</v>
      </c>
      <c r="O523" s="7">
        <f>4269738+479665+66074</f>
        <v>4815477</v>
      </c>
      <c r="Q523" s="7">
        <v>0</v>
      </c>
      <c r="S523" s="7">
        <v>11770172</v>
      </c>
      <c r="U523" s="7">
        <v>15400</v>
      </c>
      <c r="W523" s="7">
        <v>0</v>
      </c>
      <c r="Y523" s="7">
        <v>0</v>
      </c>
      <c r="AA523" s="7">
        <f>46692+14505</f>
        <v>61197</v>
      </c>
      <c r="AB523" s="58"/>
      <c r="AC523" s="7">
        <v>0</v>
      </c>
      <c r="AE523" s="7">
        <v>0</v>
      </c>
      <c r="AG523" s="7">
        <f t="shared" si="66"/>
        <v>16662246</v>
      </c>
      <c r="AH523" s="7"/>
      <c r="AI523" s="7">
        <f t="shared" si="67"/>
        <v>21948769</v>
      </c>
    </row>
    <row r="524" spans="1:37" ht="12" customHeight="1">
      <c r="A524" s="11" t="s">
        <v>571</v>
      </c>
      <c r="B524" s="11"/>
      <c r="C524" s="11" t="s">
        <v>570</v>
      </c>
      <c r="D524" s="11"/>
      <c r="E524" s="29">
        <v>50658</v>
      </c>
      <c r="G524" s="7">
        <v>472166</v>
      </c>
      <c r="I524" s="7">
        <v>660137</v>
      </c>
      <c r="K524" s="7">
        <v>0</v>
      </c>
      <c r="M524" s="7">
        <f t="shared" si="63"/>
        <v>1132303</v>
      </c>
      <c r="O524" s="7">
        <f>1070938+185453+278977</f>
        <v>1535368</v>
      </c>
      <c r="Q524" s="7">
        <v>778854</v>
      </c>
      <c r="S524" s="7">
        <v>2371349</v>
      </c>
      <c r="U524" s="7">
        <v>5683</v>
      </c>
      <c r="W524" s="7">
        <v>0</v>
      </c>
      <c r="Y524" s="7">
        <v>20239</v>
      </c>
      <c r="AA524" s="7">
        <v>39167</v>
      </c>
      <c r="AB524" s="58"/>
      <c r="AC524" s="7">
        <v>0</v>
      </c>
      <c r="AE524" s="7">
        <v>0</v>
      </c>
      <c r="AG524" s="7">
        <f t="shared" si="66"/>
        <v>4750660</v>
      </c>
      <c r="AH524" s="7"/>
      <c r="AI524" s="7">
        <f t="shared" si="67"/>
        <v>5882963</v>
      </c>
      <c r="AK524" s="7"/>
    </row>
    <row r="525" spans="1:37" ht="12" customHeight="1">
      <c r="A525" s="11" t="s">
        <v>319</v>
      </c>
      <c r="B525" s="11"/>
      <c r="C525" s="11" t="s">
        <v>28</v>
      </c>
      <c r="D525" s="11"/>
      <c r="E525" s="29">
        <v>47092</v>
      </c>
      <c r="G525" s="7">
        <v>1041395</v>
      </c>
      <c r="I525" s="7">
        <v>1613278</v>
      </c>
      <c r="K525" s="7">
        <v>0</v>
      </c>
      <c r="M525" s="7">
        <f t="shared" si="63"/>
        <v>2654673</v>
      </c>
      <c r="O525" s="7">
        <f>4689617+1322156+181035</f>
        <v>6192808</v>
      </c>
      <c r="Q525" s="7">
        <v>1446293</v>
      </c>
      <c r="S525" s="7">
        <v>5686409</v>
      </c>
      <c r="U525" s="7">
        <v>63190</v>
      </c>
      <c r="W525" s="7">
        <v>0</v>
      </c>
      <c r="Y525" s="7">
        <v>13500</v>
      </c>
      <c r="AA525" s="7">
        <v>347408</v>
      </c>
      <c r="AB525" s="58"/>
      <c r="AC525" s="7">
        <v>0</v>
      </c>
      <c r="AE525" s="7">
        <v>0</v>
      </c>
      <c r="AG525" s="7">
        <f t="shared" si="66"/>
        <v>13749608</v>
      </c>
      <c r="AH525" s="7"/>
      <c r="AI525" s="7">
        <f t="shared" si="67"/>
        <v>16404281</v>
      </c>
      <c r="AK525" s="7"/>
    </row>
    <row r="526" spans="1:37" ht="12" customHeight="1">
      <c r="A526" s="11" t="s">
        <v>655</v>
      </c>
      <c r="B526" s="11"/>
      <c r="C526" s="11" t="s">
        <v>49</v>
      </c>
      <c r="D526" s="11"/>
      <c r="E526" s="29">
        <v>48652</v>
      </c>
      <c r="G526" s="7">
        <v>739247</v>
      </c>
      <c r="I526" s="7">
        <v>4414562</v>
      </c>
      <c r="K526" s="7">
        <v>236418</v>
      </c>
      <c r="M526" s="7">
        <f t="shared" si="63"/>
        <v>5390227</v>
      </c>
      <c r="O526" s="7">
        <f>8798187+2462426+610635+156639</f>
        <v>12027887</v>
      </c>
      <c r="Q526" s="7">
        <v>0</v>
      </c>
      <c r="S526" s="7">
        <v>17173694</v>
      </c>
      <c r="U526" s="7">
        <v>237875</v>
      </c>
      <c r="W526" s="7">
        <v>0</v>
      </c>
      <c r="Y526" s="7">
        <v>0</v>
      </c>
      <c r="AA526" s="7">
        <f>148329+13572</f>
        <v>161901</v>
      </c>
      <c r="AB526" s="58"/>
      <c r="AC526" s="7">
        <v>0</v>
      </c>
      <c r="AE526" s="7">
        <v>0</v>
      </c>
      <c r="AG526" s="7">
        <f t="shared" si="66"/>
        <v>29601357</v>
      </c>
      <c r="AH526" s="7"/>
      <c r="AI526" s="7">
        <f t="shared" si="67"/>
        <v>34991584</v>
      </c>
      <c r="AK526" s="7"/>
    </row>
    <row r="527" spans="1:37" ht="12" hidden="1" customHeight="1">
      <c r="A527" s="11" t="s">
        <v>340</v>
      </c>
      <c r="B527" s="11"/>
      <c r="C527" s="11" t="s">
        <v>32</v>
      </c>
      <c r="D527" s="11"/>
      <c r="E527" s="29">
        <v>44867</v>
      </c>
      <c r="M527" s="7">
        <f t="shared" si="63"/>
        <v>0</v>
      </c>
      <c r="AB527" s="58"/>
      <c r="AC527" s="7">
        <v>0</v>
      </c>
      <c r="AE527" s="7">
        <v>0</v>
      </c>
      <c r="AG527" s="7">
        <f t="shared" si="66"/>
        <v>0</v>
      </c>
      <c r="AH527" s="7"/>
      <c r="AI527" s="7">
        <f t="shared" si="67"/>
        <v>0</v>
      </c>
      <c r="AK527" s="7" t="s">
        <v>793</v>
      </c>
    </row>
    <row r="528" spans="1:37" ht="12" customHeight="1">
      <c r="A528" s="11" t="s">
        <v>407</v>
      </c>
      <c r="B528" s="11"/>
      <c r="C528" s="11" t="s">
        <v>115</v>
      </c>
      <c r="D528" s="11"/>
      <c r="E528" s="29">
        <v>44875</v>
      </c>
      <c r="G528" s="7">
        <v>3304715</v>
      </c>
      <c r="I528" s="7">
        <v>8667391</v>
      </c>
      <c r="K528" s="7">
        <v>0</v>
      </c>
      <c r="M528" s="7">
        <f t="shared" si="63"/>
        <v>11972106</v>
      </c>
      <c r="O528" s="7">
        <f>48100515+6945741+359711</f>
        <v>55405967</v>
      </c>
      <c r="Q528" s="7">
        <v>0</v>
      </c>
      <c r="S528" s="7">
        <v>24526349</v>
      </c>
      <c r="U528" s="7">
        <v>153599</v>
      </c>
      <c r="W528" s="7">
        <v>511286</v>
      </c>
      <c r="Y528" s="7">
        <v>0</v>
      </c>
      <c r="AA528" s="7">
        <v>423807</v>
      </c>
      <c r="AB528" s="58"/>
      <c r="AC528" s="7">
        <v>0</v>
      </c>
      <c r="AE528" s="7">
        <v>0</v>
      </c>
      <c r="AG528" s="7">
        <f t="shared" si="66"/>
        <v>81021008</v>
      </c>
      <c r="AH528" s="7"/>
      <c r="AI528" s="7">
        <f t="shared" si="67"/>
        <v>92993114</v>
      </c>
    </row>
    <row r="529" spans="1:37" ht="12" customHeight="1">
      <c r="A529" s="11" t="s">
        <v>383</v>
      </c>
      <c r="B529" s="11"/>
      <c r="C529" s="11" t="s">
        <v>377</v>
      </c>
      <c r="D529" s="11"/>
      <c r="E529" s="29">
        <v>47969</v>
      </c>
      <c r="G529" s="7">
        <v>751043</v>
      </c>
      <c r="I529" s="7">
        <v>1820468</v>
      </c>
      <c r="K529" s="7">
        <v>0</v>
      </c>
      <c r="M529" s="7">
        <f t="shared" si="63"/>
        <v>2571511</v>
      </c>
      <c r="O529" s="7">
        <f>872392+15040+140233</f>
        <v>1027665</v>
      </c>
      <c r="Q529" s="7">
        <v>0</v>
      </c>
      <c r="S529" s="7">
        <v>5977303</v>
      </c>
      <c r="U529" s="7">
        <v>24294</v>
      </c>
      <c r="W529" s="7">
        <v>0</v>
      </c>
      <c r="Y529" s="7">
        <v>0</v>
      </c>
      <c r="AA529" s="7">
        <f>23494+6805</f>
        <v>30299</v>
      </c>
      <c r="AB529" s="58"/>
      <c r="AC529" s="7">
        <v>0</v>
      </c>
      <c r="AE529" s="7">
        <v>0</v>
      </c>
      <c r="AG529" s="7">
        <f t="shared" si="66"/>
        <v>7059561</v>
      </c>
      <c r="AH529" s="7"/>
      <c r="AI529" s="7">
        <f t="shared" si="67"/>
        <v>9631072</v>
      </c>
      <c r="AK529" s="7"/>
    </row>
    <row r="530" spans="1:37" ht="12" customHeight="1">
      <c r="A530" s="11" t="s">
        <v>757</v>
      </c>
      <c r="B530" s="11"/>
      <c r="C530" s="11" t="s">
        <v>223</v>
      </c>
      <c r="D530" s="11"/>
      <c r="E530" s="29">
        <v>46151</v>
      </c>
      <c r="G530" s="7">
        <v>1852411</v>
      </c>
      <c r="I530" s="7">
        <v>2779257</v>
      </c>
      <c r="K530" s="7">
        <v>0</v>
      </c>
      <c r="M530" s="7">
        <f t="shared" ref="M530:M584" si="68">SUM(G530:L530)</f>
        <v>4631668</v>
      </c>
      <c r="O530" s="7">
        <f>14310672+3557968+1297814</f>
        <v>19166454</v>
      </c>
      <c r="Q530" s="7">
        <v>5792052</v>
      </c>
      <c r="S530" s="7">
        <v>11713470</v>
      </c>
      <c r="U530" s="7">
        <v>109472</v>
      </c>
      <c r="W530" s="7">
        <v>0</v>
      </c>
      <c r="Y530" s="7">
        <v>0</v>
      </c>
      <c r="AA530" s="7">
        <v>338468</v>
      </c>
      <c r="AB530" s="58"/>
      <c r="AC530" s="7">
        <v>0</v>
      </c>
      <c r="AE530" s="7">
        <v>0</v>
      </c>
      <c r="AG530" s="7">
        <f t="shared" si="66"/>
        <v>37119916</v>
      </c>
      <c r="AH530" s="7"/>
      <c r="AI530" s="7">
        <f t="shared" si="67"/>
        <v>41751584</v>
      </c>
      <c r="AK530" s="7"/>
    </row>
    <row r="531" spans="1:37" ht="12" customHeight="1">
      <c r="A531" s="11" t="s">
        <v>531</v>
      </c>
      <c r="B531" s="11"/>
      <c r="C531" s="11" t="s">
        <v>63</v>
      </c>
      <c r="D531" s="11"/>
      <c r="E531" s="29">
        <v>44883</v>
      </c>
      <c r="G531" s="7">
        <v>1684286</v>
      </c>
      <c r="I531" s="7">
        <v>2159927</v>
      </c>
      <c r="K531" s="7">
        <v>91216</v>
      </c>
      <c r="M531" s="7">
        <f t="shared" si="68"/>
        <v>3935429</v>
      </c>
      <c r="O531" s="7">
        <f>11876086+263336+1400626</f>
        <v>13540048</v>
      </c>
      <c r="Q531" s="7">
        <v>0</v>
      </c>
      <c r="S531" s="7">
        <v>11320516</v>
      </c>
      <c r="U531" s="7">
        <v>12735</v>
      </c>
      <c r="W531" s="7">
        <v>0</v>
      </c>
      <c r="Y531" s="7">
        <v>0</v>
      </c>
      <c r="AA531" s="7">
        <v>38278</v>
      </c>
      <c r="AB531" s="58"/>
      <c r="AC531" s="7">
        <v>0</v>
      </c>
      <c r="AE531" s="7">
        <v>0</v>
      </c>
      <c r="AG531" s="7">
        <f t="shared" si="66"/>
        <v>24911577</v>
      </c>
      <c r="AH531" s="7"/>
      <c r="AI531" s="7">
        <f t="shared" si="67"/>
        <v>28847006</v>
      </c>
      <c r="AK531" s="7"/>
    </row>
    <row r="532" spans="1:37" ht="12" customHeight="1">
      <c r="A532" s="11" t="s">
        <v>469</v>
      </c>
      <c r="B532" s="11"/>
      <c r="C532" s="11" t="s">
        <v>54</v>
      </c>
      <c r="D532" s="11"/>
      <c r="E532" s="29">
        <v>49098</v>
      </c>
      <c r="G532" s="7">
        <v>1646171</v>
      </c>
      <c r="I532" s="7">
        <v>5758315</v>
      </c>
      <c r="K532" s="7">
        <v>0</v>
      </c>
      <c r="M532" s="7">
        <f t="shared" si="68"/>
        <v>7404486</v>
      </c>
      <c r="O532" s="7">
        <f>9303857+3116362+1047823</f>
        <v>13468042</v>
      </c>
      <c r="Q532" s="7">
        <f>2825353+168355</f>
        <v>2993708</v>
      </c>
      <c r="S532" s="7">
        <v>15275322</v>
      </c>
      <c r="U532" s="7">
        <v>85093</v>
      </c>
      <c r="W532" s="7">
        <v>108985</v>
      </c>
      <c r="Y532" s="7">
        <v>0</v>
      </c>
      <c r="AA532" s="7">
        <v>34609</v>
      </c>
      <c r="AB532" s="58"/>
      <c r="AC532" s="7">
        <v>0</v>
      </c>
      <c r="AE532" s="7">
        <v>0</v>
      </c>
      <c r="AG532" s="7">
        <f t="shared" si="66"/>
        <v>31965759</v>
      </c>
      <c r="AH532" s="7"/>
      <c r="AI532" s="7">
        <f t="shared" si="67"/>
        <v>39370245</v>
      </c>
      <c r="AK532" s="7"/>
    </row>
    <row r="533" spans="1:37" ht="12" customHeight="1">
      <c r="A533" s="11" t="s">
        <v>241</v>
      </c>
      <c r="B533" s="11"/>
      <c r="C533" s="11" t="s">
        <v>17</v>
      </c>
      <c r="D533" s="11"/>
      <c r="E533" s="29">
        <v>46243</v>
      </c>
      <c r="G533" s="7">
        <v>2639372</v>
      </c>
      <c r="I533" s="7">
        <v>6213988</v>
      </c>
      <c r="K533" s="7">
        <v>0</v>
      </c>
      <c r="M533" s="7">
        <f t="shared" si="68"/>
        <v>8853360</v>
      </c>
      <c r="O533" s="7">
        <f>8285140+643171+1581245+121170</f>
        <v>10630726</v>
      </c>
      <c r="Q533" s="7">
        <v>0</v>
      </c>
      <c r="S533" s="7">
        <v>16850642</v>
      </c>
      <c r="U533" s="7">
        <v>9357</v>
      </c>
      <c r="W533" s="7">
        <v>0</v>
      </c>
      <c r="Y533" s="7">
        <v>1867</v>
      </c>
      <c r="AA533" s="7">
        <v>23953</v>
      </c>
      <c r="AB533" s="58"/>
      <c r="AC533" s="7">
        <v>0</v>
      </c>
      <c r="AE533" s="7">
        <v>0</v>
      </c>
      <c r="AG533" s="7">
        <f t="shared" si="66"/>
        <v>27516545</v>
      </c>
      <c r="AH533" s="7"/>
      <c r="AI533" s="7">
        <f t="shared" si="67"/>
        <v>36369905</v>
      </c>
    </row>
    <row r="534" spans="1:37" ht="12" customHeight="1">
      <c r="A534" s="12" t="s">
        <v>765</v>
      </c>
      <c r="B534" s="11"/>
      <c r="C534" s="11" t="s">
        <v>32</v>
      </c>
      <c r="D534" s="11"/>
      <c r="E534" s="29">
        <v>47399</v>
      </c>
      <c r="G534" s="7">
        <v>994468</v>
      </c>
      <c r="I534" s="7">
        <v>2094221</v>
      </c>
      <c r="K534" s="7">
        <v>0</v>
      </c>
      <c r="M534" s="7">
        <f t="shared" si="68"/>
        <v>3088689</v>
      </c>
      <c r="O534" s="7">
        <f>11092633+176787+1582813</f>
        <v>12852233</v>
      </c>
      <c r="Q534" s="7">
        <v>0</v>
      </c>
      <c r="S534" s="7">
        <f>7145286+26786599</f>
        <v>33931885</v>
      </c>
      <c r="U534" s="7">
        <v>351686</v>
      </c>
      <c r="W534" s="7">
        <v>2357423</v>
      </c>
      <c r="Y534" s="7">
        <v>0</v>
      </c>
      <c r="AA534" s="7">
        <v>1002810</v>
      </c>
      <c r="AB534" s="58"/>
      <c r="AC534" s="7">
        <v>0</v>
      </c>
      <c r="AE534" s="7">
        <v>0</v>
      </c>
      <c r="AG534" s="7">
        <f t="shared" si="66"/>
        <v>50496037</v>
      </c>
      <c r="AH534" s="7"/>
      <c r="AI534" s="7">
        <f t="shared" si="67"/>
        <v>53584726</v>
      </c>
      <c r="AK534" s="7"/>
    </row>
    <row r="535" spans="1:37" ht="12" customHeight="1">
      <c r="A535" s="11" t="s">
        <v>503</v>
      </c>
      <c r="B535" s="11"/>
      <c r="C535" s="11" t="s">
        <v>60</v>
      </c>
      <c r="D535" s="11"/>
      <c r="E535" s="29">
        <v>44891</v>
      </c>
      <c r="G535" s="7">
        <v>2288783</v>
      </c>
      <c r="I535" s="7">
        <v>5133235</v>
      </c>
      <c r="K535" s="7">
        <v>11947</v>
      </c>
      <c r="M535" s="7">
        <f t="shared" si="68"/>
        <v>7433965</v>
      </c>
      <c r="O535" s="7">
        <f>11016210+169541+905079+233847</f>
        <v>12324677</v>
      </c>
      <c r="Q535" s="7">
        <v>0</v>
      </c>
      <c r="S535" s="7">
        <v>10631992</v>
      </c>
      <c r="U535" s="7">
        <v>7819</v>
      </c>
      <c r="W535" s="7">
        <v>41322</v>
      </c>
      <c r="Y535" s="7">
        <v>0</v>
      </c>
      <c r="AA535" s="7">
        <f>40497+351842</f>
        <v>392339</v>
      </c>
      <c r="AB535" s="58"/>
      <c r="AC535" s="7">
        <v>0</v>
      </c>
      <c r="AE535" s="7">
        <v>0</v>
      </c>
      <c r="AG535" s="7">
        <f t="shared" si="66"/>
        <v>23398149</v>
      </c>
      <c r="AH535" s="7"/>
      <c r="AI535" s="7">
        <f t="shared" si="67"/>
        <v>30832114</v>
      </c>
      <c r="AK535" s="7"/>
    </row>
    <row r="536" spans="1:37" ht="12" customHeight="1">
      <c r="A536" s="11" t="s">
        <v>887</v>
      </c>
      <c r="B536" s="11"/>
      <c r="C536" s="11" t="s">
        <v>48</v>
      </c>
      <c r="D536" s="11"/>
      <c r="E536" s="29">
        <v>45617</v>
      </c>
      <c r="G536" s="7">
        <v>1805394</v>
      </c>
      <c r="I536" s="7">
        <v>2049594</v>
      </c>
      <c r="K536" s="7">
        <v>0</v>
      </c>
      <c r="M536" s="7">
        <f t="shared" si="68"/>
        <v>3854988</v>
      </c>
      <c r="O536" s="7">
        <f>11095101+1540024+590999</f>
        <v>13226124</v>
      </c>
      <c r="Q536" s="7">
        <v>0</v>
      </c>
      <c r="S536" s="7">
        <v>10492696</v>
      </c>
      <c r="U536" s="7">
        <v>11858</v>
      </c>
      <c r="W536" s="7">
        <v>0</v>
      </c>
      <c r="Y536" s="7">
        <v>0</v>
      </c>
      <c r="AA536" s="7">
        <v>161800</v>
      </c>
      <c r="AB536" s="58"/>
      <c r="AC536" s="7">
        <v>0</v>
      </c>
      <c r="AE536" s="7">
        <v>0</v>
      </c>
      <c r="AG536" s="7">
        <f t="shared" si="66"/>
        <v>23892478</v>
      </c>
      <c r="AH536" s="7"/>
      <c r="AI536" s="7">
        <f t="shared" si="67"/>
        <v>27747466</v>
      </c>
    </row>
    <row r="537" spans="1:37" ht="12" customHeight="1">
      <c r="A537" s="11" t="s">
        <v>408</v>
      </c>
      <c r="B537" s="11"/>
      <c r="C537" s="11" t="s">
        <v>115</v>
      </c>
      <c r="D537" s="11"/>
      <c r="E537" s="29">
        <v>44909</v>
      </c>
      <c r="G537" s="7">
        <v>14867083</v>
      </c>
      <c r="I537" s="7">
        <v>66851253</v>
      </c>
      <c r="K537" s="7">
        <v>0</v>
      </c>
      <c r="M537" s="7">
        <f t="shared" si="68"/>
        <v>81718336</v>
      </c>
      <c r="O537" s="7">
        <f>95606344+1002932+9129011+1432954</f>
        <v>107171241</v>
      </c>
      <c r="Q537" s="7">
        <v>0</v>
      </c>
      <c r="S537" s="7">
        <v>232087828</v>
      </c>
      <c r="U537" s="7">
        <v>-398979</v>
      </c>
      <c r="W537" s="7">
        <v>0</v>
      </c>
      <c r="Y537" s="7">
        <v>0</v>
      </c>
      <c r="AA537" s="7">
        <v>662157</v>
      </c>
      <c r="AB537" s="58"/>
      <c r="AC537" s="7">
        <v>0</v>
      </c>
      <c r="AE537" s="7">
        <v>0</v>
      </c>
      <c r="AG537" s="7">
        <f t="shared" si="66"/>
        <v>339522247</v>
      </c>
      <c r="AH537" s="7"/>
      <c r="AI537" s="7">
        <f t="shared" si="67"/>
        <v>421240583</v>
      </c>
      <c r="AK537" s="7"/>
    </row>
    <row r="538" spans="1:37" ht="12" hidden="1" customHeight="1">
      <c r="A538" s="12" t="s">
        <v>731</v>
      </c>
      <c r="B538" s="12"/>
      <c r="C538" s="12" t="s">
        <v>115</v>
      </c>
      <c r="D538" s="11"/>
      <c r="E538" s="29"/>
      <c r="M538" s="7">
        <f t="shared" si="68"/>
        <v>0</v>
      </c>
      <c r="AB538" s="58"/>
      <c r="AC538" s="7">
        <v>0</v>
      </c>
      <c r="AE538" s="7">
        <v>0</v>
      </c>
      <c r="AG538" s="7">
        <f t="shared" si="66"/>
        <v>0</v>
      </c>
      <c r="AH538" s="7"/>
      <c r="AI538" s="7">
        <f t="shared" si="67"/>
        <v>0</v>
      </c>
      <c r="AK538" s="7" t="s">
        <v>794</v>
      </c>
    </row>
    <row r="539" spans="1:37" ht="12" customHeight="1">
      <c r="A539" s="12" t="s">
        <v>766</v>
      </c>
      <c r="B539" s="11"/>
      <c r="C539" s="11" t="s">
        <v>39</v>
      </c>
      <c r="D539" s="11"/>
      <c r="E539" s="29">
        <v>44917</v>
      </c>
      <c r="G539" s="7">
        <v>803463</v>
      </c>
      <c r="I539" s="7">
        <v>1651412</v>
      </c>
      <c r="K539" s="7">
        <v>0</v>
      </c>
      <c r="M539" s="7">
        <f t="shared" si="68"/>
        <v>2454875</v>
      </c>
      <c r="O539" s="7">
        <f>1277894+259461+21802</f>
        <v>1559157</v>
      </c>
      <c r="Q539" s="7">
        <v>0</v>
      </c>
      <c r="S539" s="7">
        <f>4598546+11739413</f>
        <v>16337959</v>
      </c>
      <c r="U539" s="7">
        <v>63682</v>
      </c>
      <c r="W539" s="7">
        <v>0</v>
      </c>
      <c r="Y539" s="7">
        <v>9711</v>
      </c>
      <c r="AA539" s="7">
        <f>10922+4812</f>
        <v>15734</v>
      </c>
      <c r="AB539" s="58"/>
      <c r="AC539" s="7">
        <v>0</v>
      </c>
      <c r="AE539" s="7">
        <v>0</v>
      </c>
      <c r="AG539" s="7">
        <f t="shared" si="66"/>
        <v>17986243</v>
      </c>
      <c r="AH539" s="7"/>
      <c r="AI539" s="7">
        <f t="shared" si="67"/>
        <v>20441118</v>
      </c>
      <c r="AK539" s="7" t="s">
        <v>788</v>
      </c>
    </row>
    <row r="540" spans="1:37" ht="12" customHeight="1">
      <c r="A540" s="11" t="s">
        <v>233</v>
      </c>
      <c r="B540" s="11"/>
      <c r="C540" s="11" t="s">
        <v>232</v>
      </c>
      <c r="D540" s="11"/>
      <c r="E540" s="29">
        <v>46201</v>
      </c>
      <c r="G540" s="7">
        <v>1005284</v>
      </c>
      <c r="I540" s="7">
        <v>1927436</v>
      </c>
      <c r="K540" s="7">
        <v>25577</v>
      </c>
      <c r="M540" s="7">
        <f t="shared" si="68"/>
        <v>2958297</v>
      </c>
      <c r="O540" s="7">
        <f>2251085+36677+238796</f>
        <v>2526558</v>
      </c>
      <c r="Q540" s="7">
        <v>1574161</v>
      </c>
      <c r="S540" s="7">
        <v>4742975</v>
      </c>
      <c r="U540" s="7">
        <v>2907</v>
      </c>
      <c r="W540" s="7">
        <v>0</v>
      </c>
      <c r="Y540" s="7">
        <v>0</v>
      </c>
      <c r="AA540" s="7">
        <v>22284</v>
      </c>
      <c r="AB540" s="58"/>
      <c r="AC540" s="7">
        <v>0</v>
      </c>
      <c r="AE540" s="7">
        <v>0</v>
      </c>
      <c r="AG540" s="7">
        <f t="shared" si="66"/>
        <v>8868885</v>
      </c>
      <c r="AH540" s="7"/>
      <c r="AI540" s="7">
        <f t="shared" si="67"/>
        <v>11827182</v>
      </c>
    </row>
    <row r="541" spans="1:37" s="32" customFormat="1" ht="12" customHeight="1">
      <c r="A541" s="31" t="s">
        <v>481</v>
      </c>
      <c r="B541" s="31"/>
      <c r="C541" s="31" t="s">
        <v>57</v>
      </c>
      <c r="D541" s="31"/>
      <c r="E541" s="31">
        <v>91397</v>
      </c>
      <c r="G541" s="32">
        <v>603256</v>
      </c>
      <c r="I541" s="32">
        <v>1155871</v>
      </c>
      <c r="K541" s="32">
        <v>112027</v>
      </c>
      <c r="M541" s="32">
        <f t="shared" si="68"/>
        <v>1871154</v>
      </c>
      <c r="O541" s="32">
        <f>3995756+131804</f>
        <v>4127560</v>
      </c>
      <c r="Q541" s="32">
        <v>0</v>
      </c>
      <c r="S541" s="32">
        <v>4698759</v>
      </c>
      <c r="U541" s="32">
        <v>32438</v>
      </c>
      <c r="W541" s="32">
        <v>0</v>
      </c>
      <c r="Y541" s="32">
        <v>4905</v>
      </c>
      <c r="AA541" s="32">
        <v>59083</v>
      </c>
      <c r="AB541" s="57"/>
      <c r="AC541" s="32">
        <v>0</v>
      </c>
      <c r="AE541" s="32">
        <v>0</v>
      </c>
      <c r="AG541" s="32">
        <f t="shared" si="66"/>
        <v>8922745</v>
      </c>
      <c r="AI541" s="32">
        <f t="shared" si="67"/>
        <v>10793899</v>
      </c>
    </row>
    <row r="542" spans="1:37" ht="12" customHeight="1">
      <c r="A542" s="11" t="s">
        <v>213</v>
      </c>
      <c r="B542" s="11"/>
      <c r="C542" s="11" t="s">
        <v>13</v>
      </c>
      <c r="D542" s="11"/>
      <c r="E542" s="29">
        <v>45922</v>
      </c>
      <c r="G542" s="7">
        <v>838946</v>
      </c>
      <c r="I542" s="7">
        <v>3102240</v>
      </c>
      <c r="K542" s="7">
        <v>0</v>
      </c>
      <c r="M542" s="7">
        <f t="shared" si="68"/>
        <v>3941186</v>
      </c>
      <c r="O542" s="7">
        <f>731192+55045+12160</f>
        <v>798397</v>
      </c>
      <c r="Q542" s="7">
        <v>0</v>
      </c>
      <c r="S542" s="7">
        <v>6541320</v>
      </c>
      <c r="U542" s="7">
        <v>3473</v>
      </c>
      <c r="W542" s="7">
        <v>0</v>
      </c>
      <c r="Y542" s="7">
        <v>23078</v>
      </c>
      <c r="AA542" s="7">
        <v>104007</v>
      </c>
      <c r="AB542" s="58"/>
      <c r="AC542" s="7">
        <v>0</v>
      </c>
      <c r="AE542" s="7">
        <v>0</v>
      </c>
      <c r="AG542" s="7">
        <f t="shared" si="66"/>
        <v>7470275</v>
      </c>
      <c r="AH542" s="7"/>
      <c r="AI542" s="7">
        <f t="shared" si="67"/>
        <v>11411461</v>
      </c>
      <c r="AK542" s="7"/>
    </row>
    <row r="543" spans="1:37" ht="12" customHeight="1">
      <c r="A543" s="11" t="s">
        <v>459</v>
      </c>
      <c r="B543" s="11"/>
      <c r="C543" s="11" t="s">
        <v>51</v>
      </c>
      <c r="D543" s="11"/>
      <c r="E543" s="29">
        <v>48876</v>
      </c>
      <c r="G543" s="7">
        <v>2024051</v>
      </c>
      <c r="I543" s="7">
        <v>3814293</v>
      </c>
      <c r="K543" s="7">
        <v>25529</v>
      </c>
      <c r="M543" s="7">
        <f t="shared" si="68"/>
        <v>5863873</v>
      </c>
      <c r="O543" s="7">
        <f>6356852+1256431+124405</f>
        <v>7737688</v>
      </c>
      <c r="Q543" s="7">
        <v>0</v>
      </c>
      <c r="S543" s="7">
        <v>17024047</v>
      </c>
      <c r="U543" s="7">
        <v>71688</v>
      </c>
      <c r="W543" s="7">
        <v>0</v>
      </c>
      <c r="Y543" s="7">
        <v>0</v>
      </c>
      <c r="AA543" s="7">
        <v>927508</v>
      </c>
      <c r="AB543" s="58"/>
      <c r="AC543" s="7">
        <v>0</v>
      </c>
      <c r="AE543" s="7">
        <v>0</v>
      </c>
      <c r="AG543" s="7">
        <f t="shared" si="66"/>
        <v>25760931</v>
      </c>
      <c r="AH543" s="7"/>
      <c r="AI543" s="7">
        <f t="shared" si="67"/>
        <v>31624804</v>
      </c>
    </row>
    <row r="544" spans="1:37" ht="12" hidden="1" customHeight="1">
      <c r="A544" s="11" t="s">
        <v>726</v>
      </c>
      <c r="B544" s="11"/>
      <c r="C544" s="11" t="s">
        <v>21</v>
      </c>
      <c r="D544" s="11"/>
      <c r="E544" s="29">
        <v>46680</v>
      </c>
      <c r="M544" s="7">
        <f t="shared" si="68"/>
        <v>0</v>
      </c>
      <c r="AB544" s="58"/>
      <c r="AC544" s="7">
        <v>0</v>
      </c>
      <c r="AE544" s="7">
        <v>0</v>
      </c>
      <c r="AG544" s="7">
        <f t="shared" si="66"/>
        <v>0</v>
      </c>
      <c r="AH544" s="7"/>
      <c r="AI544" s="7">
        <f t="shared" si="67"/>
        <v>0</v>
      </c>
    </row>
    <row r="545" spans="1:37" ht="12" hidden="1" customHeight="1">
      <c r="A545" s="11" t="s">
        <v>569</v>
      </c>
      <c r="B545" s="11"/>
      <c r="C545" s="11" t="s">
        <v>71</v>
      </c>
      <c r="D545" s="11"/>
      <c r="E545" s="29">
        <v>50591</v>
      </c>
      <c r="M545" s="7">
        <f t="shared" si="68"/>
        <v>0</v>
      </c>
      <c r="AB545" s="58"/>
      <c r="AC545" s="7">
        <v>0</v>
      </c>
      <c r="AE545" s="7">
        <v>0</v>
      </c>
      <c r="AG545" s="7">
        <f t="shared" si="66"/>
        <v>0</v>
      </c>
      <c r="AH545" s="7"/>
      <c r="AI545" s="7">
        <f t="shared" si="67"/>
        <v>0</v>
      </c>
      <c r="AK545" s="7" t="s">
        <v>795</v>
      </c>
    </row>
    <row r="546" spans="1:37" ht="12" customHeight="1">
      <c r="A546" s="11" t="s">
        <v>449</v>
      </c>
      <c r="B546" s="11"/>
      <c r="C546" s="11" t="s">
        <v>50</v>
      </c>
      <c r="D546" s="11"/>
      <c r="E546" s="29">
        <v>48694</v>
      </c>
      <c r="G546" s="7">
        <v>739651</v>
      </c>
      <c r="I546" s="7">
        <v>9142375</v>
      </c>
      <c r="K546" s="7">
        <v>0</v>
      </c>
      <c r="M546" s="7">
        <f t="shared" si="68"/>
        <v>9882026</v>
      </c>
      <c r="O546" s="7">
        <f>8491828+521176+1570381+392297</f>
        <v>10975682</v>
      </c>
      <c r="Q546" s="7">
        <v>0</v>
      </c>
      <c r="S546" s="7">
        <v>20907721</v>
      </c>
      <c r="U546" s="7">
        <v>22071</v>
      </c>
      <c r="W546" s="7">
        <v>55770</v>
      </c>
      <c r="Y546" s="7">
        <v>0</v>
      </c>
      <c r="AA546" s="7">
        <v>430494</v>
      </c>
      <c r="AB546" s="58"/>
      <c r="AC546" s="7">
        <v>0</v>
      </c>
      <c r="AE546" s="7">
        <v>0</v>
      </c>
      <c r="AG546" s="7">
        <f t="shared" si="66"/>
        <v>32391738</v>
      </c>
      <c r="AH546" s="7"/>
      <c r="AI546" s="7">
        <f t="shared" si="67"/>
        <v>42273764</v>
      </c>
      <c r="AK546" s="7"/>
    </row>
    <row r="547" spans="1:37" ht="12" customHeight="1">
      <c r="A547" s="11" t="s">
        <v>439</v>
      </c>
      <c r="B547" s="11"/>
      <c r="C547" s="11" t="s">
        <v>48</v>
      </c>
      <c r="D547" s="11"/>
      <c r="E547" s="29">
        <v>44925</v>
      </c>
      <c r="G547" s="7">
        <v>3110577</v>
      </c>
      <c r="I547" s="7">
        <v>5813192</v>
      </c>
      <c r="K547" s="7">
        <v>25714</v>
      </c>
      <c r="M547" s="7">
        <f t="shared" si="68"/>
        <v>8949483</v>
      </c>
      <c r="O547" s="7">
        <f>15162978+356233+1441558+646236</f>
        <v>17607005</v>
      </c>
      <c r="Q547" s="7">
        <v>9074106</v>
      </c>
      <c r="S547" s="7">
        <v>17068449</v>
      </c>
      <c r="U547" s="7">
        <v>28709</v>
      </c>
      <c r="W547" s="7">
        <v>0</v>
      </c>
      <c r="Y547" s="7">
        <v>0</v>
      </c>
      <c r="AA547" s="7">
        <v>329241</v>
      </c>
      <c r="AB547" s="58"/>
      <c r="AC547" s="7">
        <v>0</v>
      </c>
      <c r="AE547" s="7">
        <v>0</v>
      </c>
      <c r="AG547" s="7">
        <f t="shared" si="66"/>
        <v>44107510</v>
      </c>
      <c r="AH547" s="7"/>
      <c r="AI547" s="7">
        <f t="shared" si="67"/>
        <v>53056993</v>
      </c>
    </row>
    <row r="548" spans="1:37" ht="12" customHeight="1">
      <c r="A548" s="11" t="s">
        <v>554</v>
      </c>
      <c r="B548" s="11"/>
      <c r="C548" s="11" t="s">
        <v>65</v>
      </c>
      <c r="D548" s="11"/>
      <c r="E548" s="29">
        <v>50302</v>
      </c>
      <c r="G548" s="7">
        <v>802924</v>
      </c>
      <c r="I548" s="7">
        <v>2313438</v>
      </c>
      <c r="K548" s="7">
        <v>0</v>
      </c>
      <c r="M548" s="7">
        <f t="shared" si="68"/>
        <v>3116362</v>
      </c>
      <c r="O548" s="7">
        <f>5147936+521102</f>
        <v>5669038</v>
      </c>
      <c r="Q548" s="7">
        <v>0</v>
      </c>
      <c r="S548" s="7">
        <v>5881882</v>
      </c>
      <c r="U548" s="7">
        <v>66788</v>
      </c>
      <c r="W548" s="7">
        <v>0</v>
      </c>
      <c r="Y548" s="7">
        <v>0</v>
      </c>
      <c r="AA548" s="7">
        <v>7621</v>
      </c>
      <c r="AB548" s="58"/>
      <c r="AC548" s="7">
        <v>0</v>
      </c>
      <c r="AE548" s="7">
        <v>0</v>
      </c>
      <c r="AG548" s="7">
        <f t="shared" si="66"/>
        <v>11625329</v>
      </c>
      <c r="AH548" s="7"/>
      <c r="AI548" s="7">
        <f t="shared" si="67"/>
        <v>14741691</v>
      </c>
    </row>
    <row r="549" spans="1:37" ht="12" customHeight="1">
      <c r="A549" s="11" t="s">
        <v>521</v>
      </c>
      <c r="B549" s="11"/>
      <c r="C549" s="11" t="s">
        <v>62</v>
      </c>
      <c r="D549" s="11"/>
      <c r="E549" s="29">
        <v>49957</v>
      </c>
      <c r="G549" s="7">
        <v>1422541</v>
      </c>
      <c r="I549" s="7">
        <v>1539473</v>
      </c>
      <c r="K549" s="7">
        <v>0</v>
      </c>
      <c r="M549" s="7">
        <f t="shared" si="68"/>
        <v>2962014</v>
      </c>
      <c r="O549" s="7">
        <f>4770100+886777</f>
        <v>5656877</v>
      </c>
      <c r="Q549" s="7">
        <v>0</v>
      </c>
      <c r="S549" s="7">
        <v>6940643</v>
      </c>
      <c r="U549" s="7">
        <v>16342</v>
      </c>
      <c r="W549" s="7">
        <v>0</v>
      </c>
      <c r="Y549" s="7">
        <v>0</v>
      </c>
      <c r="AA549" s="7">
        <v>34281</v>
      </c>
      <c r="AB549" s="58"/>
      <c r="AC549" s="7">
        <v>0</v>
      </c>
      <c r="AE549" s="7">
        <v>0</v>
      </c>
      <c r="AG549" s="7">
        <f t="shared" si="66"/>
        <v>12648143</v>
      </c>
      <c r="AH549" s="7"/>
      <c r="AI549" s="7">
        <f t="shared" si="67"/>
        <v>15610157</v>
      </c>
    </row>
    <row r="550" spans="1:37" ht="12" hidden="1" customHeight="1">
      <c r="A550" s="11" t="s">
        <v>732</v>
      </c>
      <c r="B550" s="11"/>
      <c r="C550" s="11" t="s">
        <v>57</v>
      </c>
      <c r="D550" s="11"/>
      <c r="E550" s="29">
        <v>49296</v>
      </c>
      <c r="M550" s="7">
        <f t="shared" si="68"/>
        <v>0</v>
      </c>
      <c r="AB550" s="58"/>
      <c r="AC550" s="7">
        <v>0</v>
      </c>
      <c r="AE550" s="7">
        <v>0</v>
      </c>
      <c r="AG550" s="7">
        <f t="shared" si="66"/>
        <v>0</v>
      </c>
      <c r="AH550" s="7"/>
      <c r="AI550" s="7">
        <f t="shared" si="67"/>
        <v>0</v>
      </c>
      <c r="AK550" s="7" t="s">
        <v>789</v>
      </c>
    </row>
    <row r="551" spans="1:37" ht="12" customHeight="1">
      <c r="A551" s="11" t="s">
        <v>532</v>
      </c>
      <c r="B551" s="11"/>
      <c r="C551" s="11" t="s">
        <v>63</v>
      </c>
      <c r="D551" s="11"/>
      <c r="E551" s="29">
        <v>50070</v>
      </c>
      <c r="G551" s="7">
        <v>2076315</v>
      </c>
      <c r="I551" s="7">
        <v>2436372</v>
      </c>
      <c r="K551" s="7">
        <v>3638</v>
      </c>
      <c r="M551" s="7">
        <f t="shared" si="68"/>
        <v>4516325</v>
      </c>
      <c r="O551" s="7">
        <f>23959198+2241073+1606944</f>
        <v>27807215</v>
      </c>
      <c r="Q551" s="7">
        <v>0</v>
      </c>
      <c r="S551" s="7">
        <v>15735651</v>
      </c>
      <c r="U551" s="7">
        <v>68720</v>
      </c>
      <c r="W551" s="7">
        <v>187451</v>
      </c>
      <c r="Y551" s="7">
        <v>0</v>
      </c>
      <c r="AA551" s="7">
        <v>35023</v>
      </c>
      <c r="AB551" s="58"/>
      <c r="AC551" s="7">
        <v>0</v>
      </c>
      <c r="AE551" s="7">
        <v>0</v>
      </c>
      <c r="AG551" s="7">
        <f t="shared" si="66"/>
        <v>43834060</v>
      </c>
      <c r="AH551" s="7"/>
      <c r="AI551" s="7">
        <f t="shared" si="67"/>
        <v>48350385</v>
      </c>
      <c r="AK551" s="7"/>
    </row>
    <row r="552" spans="1:37" ht="12" hidden="1" customHeight="1">
      <c r="A552" s="11" t="s">
        <v>219</v>
      </c>
      <c r="B552" s="11"/>
      <c r="C552" s="11" t="s">
        <v>15</v>
      </c>
      <c r="D552" s="11"/>
      <c r="E552" s="29">
        <v>46011</v>
      </c>
      <c r="M552" s="7">
        <f t="shared" si="68"/>
        <v>0</v>
      </c>
      <c r="AB552" s="58"/>
      <c r="AC552" s="7">
        <v>0</v>
      </c>
      <c r="AE552" s="7">
        <v>0</v>
      </c>
      <c r="AG552" s="7">
        <f t="shared" si="66"/>
        <v>0</v>
      </c>
      <c r="AH552" s="7"/>
      <c r="AI552" s="7">
        <f t="shared" si="67"/>
        <v>0</v>
      </c>
      <c r="AK552" s="7" t="s">
        <v>791</v>
      </c>
    </row>
    <row r="553" spans="1:37" ht="12" customHeight="1">
      <c r="A553" s="11" t="s">
        <v>491</v>
      </c>
      <c r="B553" s="11"/>
      <c r="C553" s="11" t="s">
        <v>58</v>
      </c>
      <c r="D553" s="11"/>
      <c r="E553" s="29">
        <v>49536</v>
      </c>
      <c r="G553" s="7">
        <v>3134158</v>
      </c>
      <c r="I553" s="7">
        <v>3399808</v>
      </c>
      <c r="K553" s="7">
        <v>0</v>
      </c>
      <c r="M553" s="7">
        <f t="shared" si="68"/>
        <v>6533966</v>
      </c>
      <c r="O553" s="7">
        <f>3508936+305924+62599</f>
        <v>3877459</v>
      </c>
      <c r="Q553" s="7">
        <v>1107167</v>
      </c>
      <c r="S553" s="7">
        <v>10013366</v>
      </c>
      <c r="U553" s="7">
        <v>60326</v>
      </c>
      <c r="W553" s="7">
        <v>0</v>
      </c>
      <c r="Y553" s="7">
        <v>6000</v>
      </c>
      <c r="AA553" s="7">
        <v>156620</v>
      </c>
      <c r="AB553" s="58"/>
      <c r="AC553" s="7">
        <v>0</v>
      </c>
      <c r="AE553" s="7">
        <v>0</v>
      </c>
      <c r="AG553" s="7">
        <f t="shared" si="66"/>
        <v>15220938</v>
      </c>
      <c r="AH553" s="7"/>
      <c r="AI553" s="7">
        <f t="shared" si="67"/>
        <v>21754904</v>
      </c>
      <c r="AK553" s="7"/>
    </row>
    <row r="554" spans="1:37" ht="12" customHeight="1">
      <c r="A554" s="11" t="s">
        <v>257</v>
      </c>
      <c r="B554" s="11"/>
      <c r="C554" s="11" t="s">
        <v>112</v>
      </c>
      <c r="D554" s="11"/>
      <c r="E554" s="29">
        <v>46458</v>
      </c>
      <c r="G554" s="7">
        <v>1331655</v>
      </c>
      <c r="I554" s="7">
        <v>2558459</v>
      </c>
      <c r="K554" s="7">
        <v>0</v>
      </c>
      <c r="M554" s="7">
        <f t="shared" si="68"/>
        <v>3890114</v>
      </c>
      <c r="O554" s="7">
        <f>2178949+258019</f>
        <v>2436968</v>
      </c>
      <c r="Q554" s="7">
        <v>671530</v>
      </c>
      <c r="S554" s="7">
        <v>6159496</v>
      </c>
      <c r="U554" s="7">
        <v>276593</v>
      </c>
      <c r="W554" s="7">
        <v>0</v>
      </c>
      <c r="Y554" s="7">
        <v>0</v>
      </c>
      <c r="AA554" s="7">
        <v>19991</v>
      </c>
      <c r="AB554" s="58"/>
      <c r="AC554" s="7">
        <v>0</v>
      </c>
      <c r="AE554" s="7">
        <v>0</v>
      </c>
      <c r="AG554" s="7">
        <f t="shared" si="66"/>
        <v>9564578</v>
      </c>
      <c r="AH554" s="7"/>
      <c r="AI554" s="7">
        <f t="shared" si="67"/>
        <v>13454692</v>
      </c>
    </row>
    <row r="555" spans="1:37" ht="12" customHeight="1">
      <c r="A555" s="11" t="s">
        <v>314</v>
      </c>
      <c r="B555" s="11"/>
      <c r="C555" s="11" t="s">
        <v>27</v>
      </c>
      <c r="D555" s="11"/>
      <c r="E555" s="29">
        <v>44933</v>
      </c>
      <c r="G555" s="7">
        <v>5337737</v>
      </c>
      <c r="I555" s="7">
        <v>3790297</v>
      </c>
      <c r="K555" s="7">
        <v>0</v>
      </c>
      <c r="M555" s="7">
        <f t="shared" si="68"/>
        <v>9128034</v>
      </c>
      <c r="O555" s="7">
        <v>67693830</v>
      </c>
      <c r="Q555" s="7">
        <v>0</v>
      </c>
      <c r="S555" s="7">
        <v>14967264</v>
      </c>
      <c r="U555" s="7">
        <v>264076</v>
      </c>
      <c r="W555" s="7">
        <v>117152</v>
      </c>
      <c r="Y555" s="7">
        <v>0</v>
      </c>
      <c r="AA555" s="7">
        <v>895903</v>
      </c>
      <c r="AB555" s="58"/>
      <c r="AC555" s="7">
        <v>0</v>
      </c>
      <c r="AE555" s="7">
        <v>0</v>
      </c>
      <c r="AG555" s="7">
        <f t="shared" si="66"/>
        <v>83938225</v>
      </c>
      <c r="AH555" s="7"/>
      <c r="AI555" s="7">
        <f t="shared" si="67"/>
        <v>93066259</v>
      </c>
    </row>
    <row r="556" spans="1:37" ht="12" hidden="1" customHeight="1">
      <c r="A556" s="11" t="s">
        <v>888</v>
      </c>
      <c r="B556" s="11"/>
      <c r="C556" s="11" t="s">
        <v>577</v>
      </c>
      <c r="D556" s="11"/>
      <c r="E556" s="29">
        <v>45625</v>
      </c>
      <c r="M556" s="7">
        <f t="shared" si="68"/>
        <v>0</v>
      </c>
      <c r="AB556" s="58"/>
      <c r="AC556" s="7">
        <v>0</v>
      </c>
      <c r="AE556" s="7">
        <v>0</v>
      </c>
      <c r="AG556" s="7">
        <f t="shared" si="66"/>
        <v>0</v>
      </c>
      <c r="AH556" s="7"/>
      <c r="AI556" s="7">
        <f t="shared" si="67"/>
        <v>0</v>
      </c>
      <c r="AK556" s="7" t="s">
        <v>789</v>
      </c>
    </row>
    <row r="557" spans="1:37" ht="12" hidden="1" customHeight="1">
      <c r="A557" s="11" t="s">
        <v>733</v>
      </c>
      <c r="B557" s="11"/>
      <c r="C557" s="11" t="s">
        <v>348</v>
      </c>
      <c r="D557" s="11"/>
      <c r="E557" s="28">
        <v>0</v>
      </c>
      <c r="M557" s="7">
        <f t="shared" si="68"/>
        <v>0</v>
      </c>
      <c r="AB557" s="58"/>
      <c r="AC557" s="7">
        <v>0</v>
      </c>
      <c r="AE557" s="7">
        <v>0</v>
      </c>
      <c r="AG557" s="7">
        <f t="shared" si="66"/>
        <v>0</v>
      </c>
      <c r="AH557" s="7"/>
      <c r="AI557" s="7">
        <f t="shared" si="67"/>
        <v>0</v>
      </c>
      <c r="AK557" s="7" t="s">
        <v>789</v>
      </c>
    </row>
    <row r="558" spans="1:37" s="32" customFormat="1" ht="12" customHeight="1">
      <c r="A558" s="31" t="s">
        <v>234</v>
      </c>
      <c r="B558" s="31"/>
      <c r="C558" s="31" t="s">
        <v>232</v>
      </c>
      <c r="D558" s="31"/>
      <c r="E558" s="29">
        <v>44941</v>
      </c>
      <c r="G558" s="7">
        <v>1533571</v>
      </c>
      <c r="H558" s="7"/>
      <c r="I558" s="7">
        <v>5663061</v>
      </c>
      <c r="J558" s="7"/>
      <c r="K558" s="7">
        <v>0</v>
      </c>
      <c r="L558" s="7"/>
      <c r="M558" s="7">
        <f t="shared" si="68"/>
        <v>7196632</v>
      </c>
      <c r="N558" s="7"/>
      <c r="O558" s="7">
        <f>7449291+344240</f>
        <v>7793531</v>
      </c>
      <c r="P558" s="7"/>
      <c r="Q558" s="7">
        <v>0</v>
      </c>
      <c r="R558" s="7"/>
      <c r="S558" s="7">
        <v>11233684</v>
      </c>
      <c r="T558" s="7"/>
      <c r="U558" s="7">
        <v>30786</v>
      </c>
      <c r="V558" s="7"/>
      <c r="W558" s="7">
        <v>0</v>
      </c>
      <c r="X558" s="7"/>
      <c r="Y558" s="7">
        <v>0</v>
      </c>
      <c r="Z558" s="7"/>
      <c r="AA558" s="7">
        <v>21956</v>
      </c>
      <c r="AB558" s="58"/>
      <c r="AC558" s="7">
        <v>0</v>
      </c>
      <c r="AD558" s="7"/>
      <c r="AE558" s="7">
        <v>0</v>
      </c>
      <c r="AF558" s="7"/>
      <c r="AG558" s="7">
        <f t="shared" si="66"/>
        <v>19079957</v>
      </c>
      <c r="AH558" s="7"/>
      <c r="AI558" s="7">
        <f t="shared" si="67"/>
        <v>26276589</v>
      </c>
    </row>
    <row r="559" spans="1:37" ht="12" hidden="1" customHeight="1">
      <c r="A559" s="11" t="s">
        <v>734</v>
      </c>
      <c r="B559" s="11"/>
      <c r="C559" s="11" t="s">
        <v>59</v>
      </c>
      <c r="D559" s="11"/>
      <c r="E559" s="29">
        <v>49643</v>
      </c>
      <c r="M559" s="7">
        <f t="shared" si="68"/>
        <v>0</v>
      </c>
      <c r="AB559" s="58"/>
      <c r="AC559" s="7">
        <v>0</v>
      </c>
      <c r="AE559" s="7">
        <v>0</v>
      </c>
      <c r="AG559" s="7">
        <f t="shared" si="66"/>
        <v>0</v>
      </c>
      <c r="AH559" s="7"/>
      <c r="AI559" s="7">
        <f t="shared" si="67"/>
        <v>0</v>
      </c>
      <c r="AK559" s="7" t="s">
        <v>789</v>
      </c>
    </row>
    <row r="560" spans="1:37" ht="12" customHeight="1">
      <c r="A560" s="11" t="s">
        <v>450</v>
      </c>
      <c r="B560" s="11"/>
      <c r="C560" s="11" t="s">
        <v>50</v>
      </c>
      <c r="D560" s="11"/>
      <c r="E560" s="29">
        <v>48744</v>
      </c>
      <c r="G560" s="7">
        <v>1039276</v>
      </c>
      <c r="I560" s="7">
        <v>2596722</v>
      </c>
      <c r="K560" s="7">
        <v>0</v>
      </c>
      <c r="M560" s="7">
        <f t="shared" si="68"/>
        <v>3635998</v>
      </c>
      <c r="O560" s="7">
        <f>4081891+752832</f>
        <v>4834723</v>
      </c>
      <c r="Q560" s="7">
        <v>2795370</v>
      </c>
      <c r="S560" s="7">
        <v>8012654</v>
      </c>
      <c r="U560" s="7">
        <v>51380</v>
      </c>
      <c r="W560" s="7">
        <v>0</v>
      </c>
      <c r="Y560" s="7">
        <v>0</v>
      </c>
      <c r="AA560" s="7">
        <v>29361</v>
      </c>
      <c r="AB560" s="58"/>
      <c r="AC560" s="7">
        <v>0</v>
      </c>
      <c r="AE560" s="7">
        <v>129733</v>
      </c>
      <c r="AG560" s="7">
        <f t="shared" si="66"/>
        <v>15853221</v>
      </c>
      <c r="AH560" s="7"/>
      <c r="AI560" s="7">
        <f t="shared" si="67"/>
        <v>19489219</v>
      </c>
    </row>
    <row r="561" spans="1:37" ht="12" customHeight="1">
      <c r="A561" s="11" t="s">
        <v>347</v>
      </c>
      <c r="B561" s="11"/>
      <c r="C561" s="11" t="s">
        <v>33</v>
      </c>
      <c r="D561" s="11"/>
      <c r="E561" s="29">
        <v>47464</v>
      </c>
      <c r="G561" s="7">
        <v>1259560</v>
      </c>
      <c r="I561" s="7">
        <v>469264</v>
      </c>
      <c r="K561" s="7">
        <v>3437</v>
      </c>
      <c r="M561" s="7">
        <f t="shared" si="68"/>
        <v>1732261</v>
      </c>
      <c r="O561" s="7">
        <f>5664180+794756+267115</f>
        <v>6726051</v>
      </c>
      <c r="Q561" s="7">
        <v>0</v>
      </c>
      <c r="S561" s="7">
        <v>3861437</v>
      </c>
      <c r="U561" s="7">
        <v>43521</v>
      </c>
      <c r="W561" s="7">
        <v>169815</v>
      </c>
      <c r="Y561" s="7">
        <v>61306</v>
      </c>
      <c r="AA561" s="7">
        <v>50522</v>
      </c>
      <c r="AB561" s="58"/>
      <c r="AC561" s="7">
        <v>0</v>
      </c>
      <c r="AE561" s="7">
        <v>0</v>
      </c>
      <c r="AG561" s="7">
        <f t="shared" si="66"/>
        <v>10912652</v>
      </c>
      <c r="AH561" s="7"/>
      <c r="AI561" s="7">
        <f t="shared" si="67"/>
        <v>12644913</v>
      </c>
    </row>
    <row r="562" spans="1:37" ht="12" hidden="1" customHeight="1">
      <c r="A562" s="11" t="s">
        <v>978</v>
      </c>
      <c r="B562" s="11"/>
      <c r="C562" s="11" t="s">
        <v>67</v>
      </c>
      <c r="D562" s="11"/>
      <c r="E562" s="29">
        <v>44966</v>
      </c>
      <c r="M562" s="7">
        <f t="shared" si="68"/>
        <v>0</v>
      </c>
      <c r="AB562" s="58"/>
      <c r="AC562" s="7">
        <v>0</v>
      </c>
      <c r="AE562" s="7">
        <v>0</v>
      </c>
      <c r="AG562" s="7">
        <f t="shared" si="66"/>
        <v>0</v>
      </c>
      <c r="AH562" s="7"/>
      <c r="AI562" s="7">
        <f t="shared" si="67"/>
        <v>0</v>
      </c>
      <c r="AK562" s="7" t="s">
        <v>979</v>
      </c>
    </row>
    <row r="563" spans="1:37" ht="12" customHeight="1">
      <c r="A563" s="11" t="s">
        <v>451</v>
      </c>
      <c r="B563" s="11"/>
      <c r="C563" s="11" t="s">
        <v>50</v>
      </c>
      <c r="D563" s="11"/>
      <c r="E563" s="29">
        <v>44958</v>
      </c>
      <c r="G563" s="7">
        <v>2146367</v>
      </c>
      <c r="I563" s="7">
        <v>3324197</v>
      </c>
      <c r="K563" s="7">
        <v>44590</v>
      </c>
      <c r="M563" s="7">
        <f t="shared" si="68"/>
        <v>5515154</v>
      </c>
      <c r="O563" s="7">
        <f>19236044+2994457</f>
        <v>22230501</v>
      </c>
      <c r="Q563" s="7">
        <v>0</v>
      </c>
      <c r="S563" s="7">
        <v>10478849</v>
      </c>
      <c r="U563" s="7">
        <v>104608</v>
      </c>
      <c r="W563" s="7">
        <v>437386</v>
      </c>
      <c r="Y563" s="7">
        <v>0</v>
      </c>
      <c r="AA563" s="7">
        <v>42793</v>
      </c>
      <c r="AB563" s="58"/>
      <c r="AC563" s="7">
        <v>0</v>
      </c>
      <c r="AE563" s="7">
        <v>0</v>
      </c>
      <c r="AG563" s="7">
        <f t="shared" si="66"/>
        <v>33294137</v>
      </c>
      <c r="AH563" s="7"/>
      <c r="AI563" s="7">
        <f t="shared" si="67"/>
        <v>38809291</v>
      </c>
    </row>
    <row r="564" spans="1:37" ht="12" hidden="1" customHeight="1">
      <c r="A564" s="11" t="s">
        <v>736</v>
      </c>
      <c r="B564" s="11"/>
      <c r="C564" s="11" t="s">
        <v>33</v>
      </c>
      <c r="D564" s="11"/>
      <c r="E564" s="29">
        <v>47472</v>
      </c>
      <c r="M564" s="7">
        <f t="shared" si="68"/>
        <v>0</v>
      </c>
      <c r="AB564" s="58"/>
      <c r="AC564" s="7">
        <v>0</v>
      </c>
      <c r="AE564" s="7">
        <v>0</v>
      </c>
      <c r="AG564" s="7">
        <f t="shared" si="66"/>
        <v>0</v>
      </c>
      <c r="AH564" s="7"/>
      <c r="AI564" s="7">
        <f t="shared" si="67"/>
        <v>0</v>
      </c>
      <c r="AK564" s="7" t="s">
        <v>789</v>
      </c>
    </row>
    <row r="565" spans="1:37" ht="12" customHeight="1">
      <c r="A565" s="11" t="s">
        <v>297</v>
      </c>
      <c r="B565" s="11"/>
      <c r="C565" s="11" t="s">
        <v>24</v>
      </c>
      <c r="D565" s="11"/>
      <c r="E565" s="29">
        <v>46821</v>
      </c>
      <c r="G565" s="7">
        <v>1444012</v>
      </c>
      <c r="I565" s="7">
        <v>2908411</v>
      </c>
      <c r="K565" s="7">
        <v>0</v>
      </c>
      <c r="M565" s="7">
        <f t="shared" si="68"/>
        <v>4352423</v>
      </c>
      <c r="O565" s="7">
        <f>14787440+215048</f>
        <v>15002488</v>
      </c>
      <c r="Q565" s="7">
        <v>0</v>
      </c>
      <c r="S565" s="7">
        <v>7645778</v>
      </c>
      <c r="U565" s="7">
        <v>92412</v>
      </c>
      <c r="W565" s="7">
        <v>0</v>
      </c>
      <c r="Y565" s="7">
        <v>0</v>
      </c>
      <c r="AA565" s="7">
        <v>34415</v>
      </c>
      <c r="AB565" s="58"/>
      <c r="AC565" s="7">
        <v>0</v>
      </c>
      <c r="AE565" s="7">
        <v>0</v>
      </c>
      <c r="AG565" s="7">
        <f t="shared" si="66"/>
        <v>22775093</v>
      </c>
      <c r="AH565" s="7"/>
      <c r="AI565" s="7">
        <f t="shared" si="67"/>
        <v>27127516</v>
      </c>
    </row>
    <row r="566" spans="1:37" ht="12" hidden="1" customHeight="1">
      <c r="A566" s="11" t="s">
        <v>737</v>
      </c>
      <c r="B566" s="11"/>
      <c r="C566" s="11" t="s">
        <v>21</v>
      </c>
      <c r="D566" s="11"/>
      <c r="E566" s="29"/>
      <c r="AB566" s="58"/>
      <c r="AC566" s="7">
        <v>0</v>
      </c>
      <c r="AE566" s="7">
        <v>0</v>
      </c>
      <c r="AH566" s="7"/>
      <c r="AK566" s="7" t="s">
        <v>789</v>
      </c>
    </row>
    <row r="567" spans="1:37" ht="12" customHeight="1">
      <c r="A567" s="11" t="s">
        <v>559</v>
      </c>
      <c r="B567" s="11"/>
      <c r="C567" s="11" t="s">
        <v>68</v>
      </c>
      <c r="D567" s="11"/>
      <c r="E567" s="29">
        <v>50393</v>
      </c>
      <c r="G567" s="7">
        <v>596878</v>
      </c>
      <c r="I567" s="7">
        <v>19118470</v>
      </c>
      <c r="K567" s="7">
        <v>0</v>
      </c>
      <c r="M567" s="7">
        <f t="shared" si="68"/>
        <v>19715348</v>
      </c>
      <c r="O567" s="7">
        <f>2117349+42315+340532</f>
        <v>2500196</v>
      </c>
      <c r="Q567" s="7">
        <v>0</v>
      </c>
      <c r="S567" s="7">
        <v>5041229</v>
      </c>
      <c r="U567" s="7">
        <v>122435</v>
      </c>
      <c r="W567" s="7">
        <v>641506</v>
      </c>
      <c r="Y567" s="7">
        <v>0</v>
      </c>
      <c r="AA567" s="7">
        <f>430065+212218+40874</f>
        <v>683157</v>
      </c>
      <c r="AB567" s="58"/>
      <c r="AC567" s="7">
        <v>0</v>
      </c>
      <c r="AE567" s="7">
        <v>0</v>
      </c>
      <c r="AG567" s="7">
        <f t="shared" si="66"/>
        <v>8988523</v>
      </c>
      <c r="AH567" s="7"/>
      <c r="AI567" s="7">
        <f t="shared" si="67"/>
        <v>28703871</v>
      </c>
    </row>
    <row r="568" spans="1:37" ht="12" customHeight="1">
      <c r="A568" s="11" t="s">
        <v>432</v>
      </c>
      <c r="B568" s="11"/>
      <c r="C568" s="11" t="s">
        <v>47</v>
      </c>
      <c r="D568" s="11"/>
      <c r="E568" s="29">
        <v>44974</v>
      </c>
      <c r="G568" s="7">
        <v>2443868</v>
      </c>
      <c r="I568" s="7">
        <v>6335264</v>
      </c>
      <c r="K568" s="7">
        <v>937433</v>
      </c>
      <c r="M568" s="7">
        <f t="shared" si="68"/>
        <v>9716565</v>
      </c>
      <c r="O568" s="7">
        <f>15399116+4724087</f>
        <v>20123203</v>
      </c>
      <c r="Q568" s="7">
        <v>0</v>
      </c>
      <c r="S568" s="7">
        <f>17775991+2476069</f>
        <v>20252060</v>
      </c>
      <c r="U568" s="7">
        <f>128915-405936</f>
        <v>-277021</v>
      </c>
      <c r="W568" s="7">
        <v>50167</v>
      </c>
      <c r="Y568" s="7">
        <v>0</v>
      </c>
      <c r="AA568" s="7">
        <v>160023</v>
      </c>
      <c r="AB568" s="58"/>
      <c r="AC568" s="7">
        <v>0</v>
      </c>
      <c r="AE568" s="7">
        <v>0</v>
      </c>
      <c r="AG568" s="7">
        <f t="shared" ref="AG568:AG584" si="69">SUM(O568:AE568)</f>
        <v>40308432</v>
      </c>
      <c r="AH568" s="7"/>
      <c r="AI568" s="7">
        <f t="shared" ref="AI568:AI584" si="70">+AG568+M568</f>
        <v>50024997</v>
      </c>
      <c r="AK568" s="7"/>
    </row>
    <row r="569" spans="1:37" ht="12" customHeight="1">
      <c r="A569" s="11" t="s">
        <v>547</v>
      </c>
      <c r="B569" s="11"/>
      <c r="C569" s="11" t="s">
        <v>64</v>
      </c>
      <c r="D569" s="11"/>
      <c r="E569" s="29">
        <v>44990</v>
      </c>
      <c r="G569" s="7">
        <v>2236731</v>
      </c>
      <c r="I569" s="7">
        <v>21465386</v>
      </c>
      <c r="K569" s="7">
        <v>0</v>
      </c>
      <c r="M569" s="7">
        <f t="shared" si="68"/>
        <v>23702117</v>
      </c>
      <c r="O569" s="7">
        <f>11742808+160029+1714432+153904</f>
        <v>13771173</v>
      </c>
      <c r="Q569" s="7">
        <v>0</v>
      </c>
      <c r="S569" s="7">
        <v>40246537</v>
      </c>
      <c r="U569" s="7">
        <v>329993</v>
      </c>
      <c r="W569" s="7">
        <v>0</v>
      </c>
      <c r="Y569" s="7">
        <v>0</v>
      </c>
      <c r="AA569" s="7">
        <v>79768</v>
      </c>
      <c r="AB569" s="58"/>
      <c r="AC569" s="7">
        <v>0</v>
      </c>
      <c r="AE569" s="7">
        <v>0</v>
      </c>
      <c r="AG569" s="7">
        <f t="shared" si="69"/>
        <v>54427471</v>
      </c>
      <c r="AH569" s="7"/>
      <c r="AI569" s="7">
        <f t="shared" si="70"/>
        <v>78129588</v>
      </c>
      <c r="AK569" s="7"/>
    </row>
    <row r="570" spans="1:37" ht="12" customHeight="1">
      <c r="A570" s="11" t="s">
        <v>566</v>
      </c>
      <c r="B570" s="11"/>
      <c r="C570" s="11" t="s">
        <v>70</v>
      </c>
      <c r="D570" s="11"/>
      <c r="E570" s="29">
        <v>50500</v>
      </c>
      <c r="G570" s="7">
        <v>1611899</v>
      </c>
      <c r="I570" s="7">
        <v>2897594</v>
      </c>
      <c r="K570" s="7">
        <v>0</v>
      </c>
      <c r="M570" s="7">
        <f t="shared" si="68"/>
        <v>4509493</v>
      </c>
      <c r="O570" s="7">
        <v>5588429</v>
      </c>
      <c r="Q570" s="7">
        <v>0</v>
      </c>
      <c r="S570" s="7">
        <v>11975918</v>
      </c>
      <c r="U570" s="7">
        <v>53966</v>
      </c>
      <c r="W570" s="7">
        <v>0</v>
      </c>
      <c r="Y570" s="7">
        <v>0</v>
      </c>
      <c r="AA570" s="7">
        <v>205259</v>
      </c>
      <c r="AB570" s="58"/>
      <c r="AC570" s="7">
        <v>0</v>
      </c>
      <c r="AE570" s="7">
        <v>0</v>
      </c>
      <c r="AG570" s="7">
        <f t="shared" si="69"/>
        <v>17823572</v>
      </c>
      <c r="AH570" s="7"/>
      <c r="AI570" s="7">
        <f t="shared" si="70"/>
        <v>22333065</v>
      </c>
    </row>
    <row r="571" spans="1:37" ht="12" customHeight="1">
      <c r="A571" s="11" t="s">
        <v>286</v>
      </c>
      <c r="B571" s="11"/>
      <c r="C571" s="11" t="s">
        <v>20</v>
      </c>
      <c r="D571" s="11"/>
      <c r="E571" s="29">
        <v>45005</v>
      </c>
      <c r="G571" s="7">
        <v>263041</v>
      </c>
      <c r="I571" s="7">
        <v>4993319</v>
      </c>
      <c r="K571" s="7">
        <v>116802</v>
      </c>
      <c r="M571" s="7">
        <f t="shared" si="68"/>
        <v>5373162</v>
      </c>
      <c r="O571" s="7">
        <f>19401715+2335111+593262+156154</f>
        <v>22486242</v>
      </c>
      <c r="Q571" s="7">
        <v>0</v>
      </c>
      <c r="S571" s="7">
        <v>15356832</v>
      </c>
      <c r="U571" s="7">
        <v>19773</v>
      </c>
      <c r="W571" s="7">
        <v>0</v>
      </c>
      <c r="Y571" s="7">
        <v>0</v>
      </c>
      <c r="AA571" s="7">
        <v>130895</v>
      </c>
      <c r="AB571" s="58"/>
      <c r="AC571" s="7">
        <v>0</v>
      </c>
      <c r="AE571" s="7">
        <v>0</v>
      </c>
      <c r="AG571" s="7">
        <f t="shared" si="69"/>
        <v>37993742</v>
      </c>
      <c r="AH571" s="7"/>
      <c r="AI571" s="7">
        <f t="shared" si="70"/>
        <v>43366904</v>
      </c>
    </row>
    <row r="572" spans="1:37" ht="12" customHeight="1">
      <c r="A572" s="11" t="s">
        <v>304</v>
      </c>
      <c r="B572" s="11"/>
      <c r="C572" s="11" t="s">
        <v>26</v>
      </c>
      <c r="D572" s="11"/>
      <c r="E572" s="29">
        <v>45013</v>
      </c>
      <c r="G572" s="7">
        <v>1593602</v>
      </c>
      <c r="I572" s="7">
        <v>5011002</v>
      </c>
      <c r="K572" s="7">
        <v>0</v>
      </c>
      <c r="M572" s="7">
        <f t="shared" si="68"/>
        <v>6604604</v>
      </c>
      <c r="O572" s="7">
        <f>3722305+85323+1196400+379808</f>
        <v>5383836</v>
      </c>
      <c r="Q572" s="7">
        <v>0</v>
      </c>
      <c r="S572" s="7">
        <v>11803132</v>
      </c>
      <c r="U572" s="7">
        <v>107</v>
      </c>
      <c r="W572" s="7">
        <v>19265</v>
      </c>
      <c r="Y572" s="7">
        <v>754</v>
      </c>
      <c r="AA572" s="7">
        <v>148642</v>
      </c>
      <c r="AB572" s="58"/>
      <c r="AC572" s="7">
        <v>0</v>
      </c>
      <c r="AE572" s="7">
        <v>20030</v>
      </c>
      <c r="AG572" s="7">
        <f t="shared" si="69"/>
        <v>17375766</v>
      </c>
      <c r="AH572" s="7"/>
      <c r="AI572" s="7">
        <f t="shared" si="70"/>
        <v>23980370</v>
      </c>
    </row>
    <row r="573" spans="1:37" ht="12" customHeight="1">
      <c r="A573" s="11" t="s">
        <v>409</v>
      </c>
      <c r="B573" s="11"/>
      <c r="C573" s="11" t="s">
        <v>115</v>
      </c>
      <c r="D573" s="11"/>
      <c r="E573" s="29">
        <v>48231</v>
      </c>
      <c r="G573" s="7">
        <v>2414553</v>
      </c>
      <c r="I573" s="7">
        <v>14070003</v>
      </c>
      <c r="K573" s="7">
        <v>0</v>
      </c>
      <c r="M573" s="7">
        <f t="shared" si="68"/>
        <v>16484556</v>
      </c>
      <c r="O573" s="7">
        <f>31119003+556392+1368636</f>
        <v>33044031</v>
      </c>
      <c r="Q573" s="7">
        <v>0</v>
      </c>
      <c r="S573" s="7">
        <v>29704665</v>
      </c>
      <c r="U573" s="7">
        <v>259140</v>
      </c>
      <c r="W573" s="7">
        <v>3554734</v>
      </c>
      <c r="Y573" s="7">
        <v>0</v>
      </c>
      <c r="AA573" s="7">
        <v>770172</v>
      </c>
      <c r="AB573" s="58"/>
      <c r="AC573" s="7">
        <v>0</v>
      </c>
      <c r="AE573" s="7">
        <v>0</v>
      </c>
      <c r="AG573" s="7">
        <f t="shared" si="69"/>
        <v>67332742</v>
      </c>
      <c r="AH573" s="7"/>
      <c r="AI573" s="7">
        <f t="shared" si="70"/>
        <v>83817298</v>
      </c>
    </row>
    <row r="574" spans="1:37" ht="12" customHeight="1">
      <c r="A574" s="11" t="s">
        <v>500</v>
      </c>
      <c r="B574" s="11"/>
      <c r="C574" s="11" t="s">
        <v>59</v>
      </c>
      <c r="D574" s="11"/>
      <c r="E574" s="29">
        <v>49650</v>
      </c>
      <c r="G574" s="7">
        <v>1646064</v>
      </c>
      <c r="I574" s="7">
        <v>3867885</v>
      </c>
      <c r="K574" s="7">
        <v>0</v>
      </c>
      <c r="M574" s="7">
        <f t="shared" si="68"/>
        <v>5513949</v>
      </c>
      <c r="O574" s="7">
        <f>1378050+22151+175109</f>
        <v>1575310</v>
      </c>
      <c r="Q574" s="7">
        <v>0</v>
      </c>
      <c r="S574" s="7">
        <v>10516513</v>
      </c>
      <c r="U574" s="7">
        <v>78344</v>
      </c>
      <c r="W574" s="7">
        <v>0</v>
      </c>
      <c r="Y574" s="7">
        <v>0</v>
      </c>
      <c r="AA574" s="7">
        <f>134504+1596</f>
        <v>136100</v>
      </c>
      <c r="AB574" s="58"/>
      <c r="AC574" s="7">
        <v>0</v>
      </c>
      <c r="AE574" s="7">
        <v>0</v>
      </c>
      <c r="AG574" s="7">
        <f t="shared" si="69"/>
        <v>12306267</v>
      </c>
      <c r="AH574" s="7"/>
      <c r="AI574" s="7">
        <f t="shared" si="70"/>
        <v>17820216</v>
      </c>
    </row>
    <row r="575" spans="1:37" ht="12" customHeight="1">
      <c r="A575" s="11" t="s">
        <v>480</v>
      </c>
      <c r="B575" s="11"/>
      <c r="C575" s="11" t="s">
        <v>56</v>
      </c>
      <c r="D575" s="11"/>
      <c r="E575" s="29">
        <v>49247</v>
      </c>
      <c r="G575" s="7">
        <v>693470</v>
      </c>
      <c r="I575" s="7">
        <v>1976181</v>
      </c>
      <c r="K575" s="7">
        <v>0</v>
      </c>
      <c r="M575" s="7">
        <f t="shared" si="68"/>
        <v>2669651</v>
      </c>
      <c r="O575" s="7">
        <f>2614275+49159+729239</f>
        <v>3392673</v>
      </c>
      <c r="Q575" s="7">
        <v>0</v>
      </c>
      <c r="S575" s="7">
        <v>5913669</v>
      </c>
      <c r="U575" s="7">
        <v>6461</v>
      </c>
      <c r="W575" s="7">
        <v>0</v>
      </c>
      <c r="Y575" s="7">
        <v>0</v>
      </c>
      <c r="AA575" s="7">
        <v>42736</v>
      </c>
      <c r="AB575" s="58"/>
      <c r="AC575" s="7">
        <v>0</v>
      </c>
      <c r="AE575" s="7">
        <v>0</v>
      </c>
      <c r="AG575" s="7">
        <f t="shared" si="69"/>
        <v>9355539</v>
      </c>
      <c r="AH575" s="7"/>
      <c r="AI575" s="7">
        <f t="shared" si="70"/>
        <v>12025190</v>
      </c>
    </row>
    <row r="576" spans="1:37" ht="12" customHeight="1">
      <c r="A576" s="11" t="s">
        <v>889</v>
      </c>
      <c r="B576" s="11"/>
      <c r="C576" s="11" t="s">
        <v>28</v>
      </c>
      <c r="D576" s="11"/>
      <c r="E576" s="29">
        <v>45641</v>
      </c>
      <c r="G576" s="7">
        <v>1346218</v>
      </c>
      <c r="I576" s="7">
        <v>3148158</v>
      </c>
      <c r="K576" s="7">
        <v>125000</v>
      </c>
      <c r="M576" s="7">
        <f t="shared" si="68"/>
        <v>4619376</v>
      </c>
      <c r="O576" s="7">
        <f>4219753+1903022+82817+156657</f>
        <v>6362249</v>
      </c>
      <c r="Q576" s="7">
        <v>0</v>
      </c>
      <c r="S576" s="7">
        <v>8648580</v>
      </c>
      <c r="U576" s="7">
        <v>41315</v>
      </c>
      <c r="W576" s="7">
        <v>0</v>
      </c>
      <c r="Y576" s="7">
        <v>0</v>
      </c>
      <c r="AA576" s="7">
        <v>103679</v>
      </c>
      <c r="AB576" s="58"/>
      <c r="AC576" s="7">
        <v>0</v>
      </c>
      <c r="AE576" s="7">
        <v>0</v>
      </c>
      <c r="AG576" s="7">
        <f t="shared" si="69"/>
        <v>15155823</v>
      </c>
      <c r="AH576" s="7"/>
      <c r="AI576" s="7">
        <f t="shared" si="70"/>
        <v>19775199</v>
      </c>
    </row>
    <row r="577" spans="1:37" ht="12" customHeight="1">
      <c r="A577" s="11" t="s">
        <v>472</v>
      </c>
      <c r="B577" s="11"/>
      <c r="C577" s="11" t="s">
        <v>55</v>
      </c>
      <c r="D577" s="11"/>
      <c r="E577" s="29">
        <v>49148</v>
      </c>
      <c r="G577" s="7">
        <v>1190009</v>
      </c>
      <c r="I577" s="7">
        <v>3961607</v>
      </c>
      <c r="K577" s="7">
        <v>12538</v>
      </c>
      <c r="M577" s="7">
        <f t="shared" si="68"/>
        <v>5164154</v>
      </c>
      <c r="O577" s="7">
        <f>3193518+568142+61938</f>
        <v>3823598</v>
      </c>
      <c r="Q577" s="7">
        <v>0</v>
      </c>
      <c r="S577" s="7">
        <v>10915776</v>
      </c>
      <c r="U577" s="7">
        <v>14069</v>
      </c>
      <c r="W577" s="7">
        <v>0</v>
      </c>
      <c r="Y577" s="7">
        <v>0</v>
      </c>
      <c r="AA577" s="7">
        <v>64890</v>
      </c>
      <c r="AB577" s="58"/>
      <c r="AC577" s="7">
        <v>0</v>
      </c>
      <c r="AE577" s="7">
        <v>0</v>
      </c>
      <c r="AG577" s="7">
        <f t="shared" si="69"/>
        <v>14818333</v>
      </c>
      <c r="AH577" s="7"/>
      <c r="AI577" s="7">
        <f t="shared" si="70"/>
        <v>19982487</v>
      </c>
      <c r="AK577" s="7"/>
    </row>
    <row r="578" spans="1:37" ht="12" hidden="1" customHeight="1">
      <c r="A578" s="11" t="s">
        <v>747</v>
      </c>
      <c r="B578" s="11"/>
      <c r="C578" s="11" t="s">
        <v>69</v>
      </c>
      <c r="D578" s="11"/>
      <c r="E578" s="29">
        <v>50468</v>
      </c>
      <c r="M578" s="7">
        <f t="shared" si="68"/>
        <v>0</v>
      </c>
      <c r="AB578" s="58"/>
      <c r="AC578" s="7">
        <v>0</v>
      </c>
      <c r="AE578" s="7">
        <v>0</v>
      </c>
      <c r="AG578" s="7">
        <f t="shared" si="69"/>
        <v>0</v>
      </c>
      <c r="AH578" s="7"/>
      <c r="AI578" s="7">
        <f t="shared" si="70"/>
        <v>0</v>
      </c>
      <c r="AK578" s="7"/>
    </row>
    <row r="579" spans="1:37" ht="12" hidden="1" customHeight="1">
      <c r="A579" s="11" t="s">
        <v>926</v>
      </c>
      <c r="B579" s="11"/>
      <c r="C579" s="11" t="s">
        <v>465</v>
      </c>
      <c r="D579" s="11"/>
      <c r="E579" s="29">
        <v>49031</v>
      </c>
      <c r="M579" s="7">
        <f t="shared" si="68"/>
        <v>0</v>
      </c>
      <c r="AB579" s="58"/>
      <c r="AC579" s="7">
        <v>0</v>
      </c>
      <c r="AE579" s="7">
        <v>0</v>
      </c>
      <c r="AG579" s="7">
        <f t="shared" si="69"/>
        <v>0</v>
      </c>
      <c r="AH579" s="7"/>
      <c r="AI579" s="7">
        <f t="shared" si="70"/>
        <v>0</v>
      </c>
      <c r="AK579" s="7"/>
    </row>
    <row r="580" spans="1:37" ht="12" hidden="1" customHeight="1">
      <c r="A580" s="11" t="s">
        <v>675</v>
      </c>
      <c r="B580" s="11"/>
      <c r="C580" s="11" t="s">
        <v>14</v>
      </c>
      <c r="D580" s="11"/>
      <c r="E580" s="29">
        <v>45971</v>
      </c>
      <c r="M580" s="7">
        <f t="shared" si="68"/>
        <v>0</v>
      </c>
      <c r="AB580" s="58"/>
      <c r="AC580" s="7">
        <v>0</v>
      </c>
      <c r="AE580" s="7">
        <v>0</v>
      </c>
      <c r="AG580" s="7">
        <f t="shared" si="69"/>
        <v>0</v>
      </c>
      <c r="AH580" s="7"/>
      <c r="AI580" s="7">
        <f t="shared" si="70"/>
        <v>0</v>
      </c>
      <c r="AK580" s="7"/>
    </row>
    <row r="581" spans="1:37" ht="12" customHeight="1">
      <c r="A581" s="11" t="s">
        <v>548</v>
      </c>
      <c r="B581" s="11"/>
      <c r="C581" s="11" t="s">
        <v>64</v>
      </c>
      <c r="D581" s="11"/>
      <c r="E581" s="29">
        <v>50252</v>
      </c>
      <c r="G581" s="7">
        <v>1830311</v>
      </c>
      <c r="I581" s="7">
        <v>1620604</v>
      </c>
      <c r="K581" s="7">
        <v>62830</v>
      </c>
      <c r="M581" s="7">
        <f t="shared" si="68"/>
        <v>3513745</v>
      </c>
      <c r="O581" s="7">
        <f>2272325+111214</f>
        <v>2383539</v>
      </c>
      <c r="Q581" s="7">
        <v>0</v>
      </c>
      <c r="S581" s="7">
        <v>4192065</v>
      </c>
      <c r="U581" s="7">
        <v>15315</v>
      </c>
      <c r="W581" s="7">
        <v>0</v>
      </c>
      <c r="Y581" s="7">
        <v>0</v>
      </c>
      <c r="AA581" s="7">
        <v>37784</v>
      </c>
      <c r="AB581" s="58"/>
      <c r="AC581" s="7">
        <v>0</v>
      </c>
      <c r="AE581" s="7">
        <v>0</v>
      </c>
      <c r="AG581" s="7">
        <f t="shared" si="69"/>
        <v>6628703</v>
      </c>
      <c r="AH581" s="7"/>
      <c r="AI581" s="7">
        <f t="shared" si="70"/>
        <v>10142448</v>
      </c>
    </row>
    <row r="582" spans="1:37" ht="12" customHeight="1">
      <c r="A582" s="11" t="s">
        <v>890</v>
      </c>
      <c r="B582" s="11"/>
      <c r="C582" s="11" t="s">
        <v>44</v>
      </c>
      <c r="D582" s="11"/>
      <c r="E582" s="29">
        <v>45658</v>
      </c>
      <c r="G582" s="7">
        <v>986940</v>
      </c>
      <c r="I582" s="7">
        <v>1319674</v>
      </c>
      <c r="K582" s="7">
        <v>0</v>
      </c>
      <c r="M582" s="7">
        <f t="shared" si="68"/>
        <v>2306614</v>
      </c>
      <c r="O582" s="7">
        <v>3535362</v>
      </c>
      <c r="Q582" s="7">
        <v>1561541</v>
      </c>
      <c r="S582" s="7">
        <v>6285971</v>
      </c>
      <c r="U582" s="7">
        <v>2577</v>
      </c>
      <c r="W582" s="7">
        <v>8823</v>
      </c>
      <c r="Y582" s="7">
        <v>0</v>
      </c>
      <c r="AA582" s="7">
        <v>12095</v>
      </c>
      <c r="AB582" s="58"/>
      <c r="AC582" s="7">
        <v>0</v>
      </c>
      <c r="AE582" s="7">
        <v>0</v>
      </c>
      <c r="AG582" s="7">
        <f t="shared" si="69"/>
        <v>11406369</v>
      </c>
      <c r="AH582" s="7"/>
      <c r="AI582" s="7">
        <f t="shared" si="70"/>
        <v>13712983</v>
      </c>
      <c r="AK582" s="7"/>
    </row>
    <row r="583" spans="1:37" ht="12" customHeight="1">
      <c r="A583" s="11" t="s">
        <v>371</v>
      </c>
      <c r="B583" s="11"/>
      <c r="C583" s="11" t="s">
        <v>38</v>
      </c>
      <c r="D583" s="11"/>
      <c r="E583" s="29">
        <v>45021</v>
      </c>
      <c r="G583" s="7">
        <v>736749</v>
      </c>
      <c r="I583" s="7">
        <v>4269252</v>
      </c>
      <c r="K583" s="7">
        <v>78441</v>
      </c>
      <c r="M583" s="7">
        <f t="shared" si="68"/>
        <v>5084442</v>
      </c>
      <c r="O583" s="7">
        <f>2047182+202660+39680</f>
        <v>2289522</v>
      </c>
      <c r="Q583" s="7">
        <v>0</v>
      </c>
      <c r="S583" s="7">
        <v>10201646</v>
      </c>
      <c r="U583" s="7">
        <v>27113</v>
      </c>
      <c r="W583" s="7">
        <v>0</v>
      </c>
      <c r="Y583" s="7">
        <v>8476</v>
      </c>
      <c r="AA583" s="7">
        <f>38234+6261+3417647</f>
        <v>3462142</v>
      </c>
      <c r="AB583" s="58"/>
      <c r="AC583" s="7">
        <v>0</v>
      </c>
      <c r="AE583" s="7">
        <v>0</v>
      </c>
      <c r="AG583" s="7">
        <f t="shared" si="69"/>
        <v>15988899</v>
      </c>
      <c r="AH583" s="7"/>
      <c r="AI583" s="7">
        <f t="shared" si="70"/>
        <v>21073341</v>
      </c>
      <c r="AK583" s="7"/>
    </row>
    <row r="584" spans="1:37" ht="12" customHeight="1">
      <c r="A584" s="11" t="s">
        <v>258</v>
      </c>
      <c r="B584" s="11"/>
      <c r="C584" s="11" t="s">
        <v>112</v>
      </c>
      <c r="D584" s="11"/>
      <c r="E584" s="29">
        <v>45039</v>
      </c>
      <c r="G584" s="7">
        <v>845212</v>
      </c>
      <c r="I584" s="7">
        <v>2523303</v>
      </c>
      <c r="K584" s="7">
        <v>0</v>
      </c>
      <c r="M584" s="7">
        <f t="shared" si="68"/>
        <v>3368515</v>
      </c>
      <c r="O584" s="7">
        <f>853764+129104+107351+16475</f>
        <v>1106694</v>
      </c>
      <c r="Q584" s="7">
        <v>0</v>
      </c>
      <c r="S584" s="7">
        <v>5277628</v>
      </c>
      <c r="U584" s="7">
        <v>38295</v>
      </c>
      <c r="W584" s="7">
        <v>0</v>
      </c>
      <c r="Y584" s="7">
        <v>0</v>
      </c>
      <c r="AA584" s="7">
        <v>272</v>
      </c>
      <c r="AB584" s="58"/>
      <c r="AC584" s="7">
        <v>0</v>
      </c>
      <c r="AE584" s="7">
        <v>0</v>
      </c>
      <c r="AG584" s="7">
        <f t="shared" si="69"/>
        <v>6422889</v>
      </c>
      <c r="AH584" s="7"/>
      <c r="AI584" s="7">
        <f t="shared" si="70"/>
        <v>9791404</v>
      </c>
      <c r="AK584" s="7"/>
    </row>
    <row r="585" spans="1:37">
      <c r="A585" s="11" t="s">
        <v>421</v>
      </c>
      <c r="B585" s="11"/>
      <c r="C585" s="11" t="s">
        <v>45</v>
      </c>
      <c r="D585" s="11"/>
      <c r="E585" s="29">
        <v>48389</v>
      </c>
      <c r="G585" s="7">
        <v>2402242</v>
      </c>
      <c r="I585" s="7">
        <v>4562770</v>
      </c>
      <c r="K585" s="7">
        <v>4000</v>
      </c>
      <c r="M585" s="7">
        <f t="shared" ref="M585:M591" si="71">SUM(G585:L585)</f>
        <v>6969012</v>
      </c>
      <c r="O585" s="7">
        <f>4123403+78975+541132</f>
        <v>4743510</v>
      </c>
      <c r="Q585" s="7">
        <v>0</v>
      </c>
      <c r="S585" s="7">
        <v>11083008</v>
      </c>
      <c r="U585" s="7">
        <v>19688</v>
      </c>
      <c r="W585" s="7">
        <v>0</v>
      </c>
      <c r="Y585" s="7">
        <v>0</v>
      </c>
      <c r="AA585" s="7">
        <v>283881</v>
      </c>
      <c r="AB585" s="58"/>
      <c r="AC585" s="7">
        <v>0</v>
      </c>
      <c r="AE585" s="7">
        <v>0</v>
      </c>
      <c r="AG585" s="7">
        <f t="shared" ref="AG585:AG591" si="72">SUM(O585:AE585)</f>
        <v>16130087</v>
      </c>
      <c r="AH585" s="7"/>
      <c r="AI585" s="7">
        <f t="shared" ref="AI585:AI591" si="73">+AG585+M585</f>
        <v>23099099</v>
      </c>
      <c r="AK585" s="7"/>
    </row>
    <row r="586" spans="1:37">
      <c r="A586" s="11" t="s">
        <v>746</v>
      </c>
      <c r="B586" s="11"/>
      <c r="C586" s="11" t="s">
        <v>50</v>
      </c>
      <c r="D586" s="11"/>
      <c r="E586" s="29"/>
      <c r="G586" s="7">
        <v>1193623</v>
      </c>
      <c r="I586" s="7">
        <v>6987039</v>
      </c>
      <c r="K586" s="7">
        <v>0</v>
      </c>
      <c r="M586" s="7">
        <f t="shared" si="71"/>
        <v>8180662</v>
      </c>
      <c r="O586" s="7">
        <f>16594044+695433</f>
        <v>17289477</v>
      </c>
      <c r="Q586" s="7">
        <v>0</v>
      </c>
      <c r="S586" s="7">
        <v>17811082</v>
      </c>
      <c r="U586" s="7">
        <v>281216</v>
      </c>
      <c r="W586" s="7">
        <v>0</v>
      </c>
      <c r="Y586" s="7">
        <v>0</v>
      </c>
      <c r="AA586" s="7">
        <v>271101</v>
      </c>
      <c r="AB586" s="58"/>
      <c r="AC586" s="7">
        <v>0</v>
      </c>
      <c r="AE586" s="7">
        <v>0</v>
      </c>
      <c r="AG586" s="7">
        <f t="shared" si="72"/>
        <v>35652876</v>
      </c>
      <c r="AH586" s="7"/>
      <c r="AI586" s="7">
        <f t="shared" si="73"/>
        <v>43833538</v>
      </c>
    </row>
    <row r="587" spans="1:37" ht="12" customHeight="1">
      <c r="A587" s="11" t="s">
        <v>246</v>
      </c>
      <c r="B587" s="11"/>
      <c r="C587" s="11" t="s">
        <v>113</v>
      </c>
      <c r="D587" s="11"/>
      <c r="E587" s="29">
        <v>46359</v>
      </c>
      <c r="G587" s="7">
        <v>2897334</v>
      </c>
      <c r="I587" s="7">
        <v>9888009</v>
      </c>
      <c r="K587" s="7">
        <v>0</v>
      </c>
      <c r="M587" s="7">
        <f t="shared" si="71"/>
        <v>12785343</v>
      </c>
      <c r="O587" s="7">
        <f>39402281+2921111+5148787</f>
        <v>47472179</v>
      </c>
      <c r="Q587" s="7">
        <v>0</v>
      </c>
      <c r="S587" s="7">
        <v>28651673</v>
      </c>
      <c r="U587" s="7">
        <v>51923</v>
      </c>
      <c r="W587" s="7">
        <v>0</v>
      </c>
      <c r="Y587" s="7">
        <v>0</v>
      </c>
      <c r="AA587" s="7">
        <v>542608</v>
      </c>
      <c r="AB587" s="58"/>
      <c r="AC587" s="7">
        <v>0</v>
      </c>
      <c r="AE587" s="7">
        <v>0</v>
      </c>
      <c r="AG587" s="7">
        <f t="shared" si="72"/>
        <v>76718383</v>
      </c>
      <c r="AH587" s="7"/>
      <c r="AI587" s="7">
        <f t="shared" si="73"/>
        <v>89503726</v>
      </c>
      <c r="AK587" s="7"/>
    </row>
    <row r="588" spans="1:37" s="7" customFormat="1" ht="12" customHeight="1">
      <c r="A588" s="12" t="s">
        <v>324</v>
      </c>
      <c r="B588" s="12"/>
      <c r="C588" s="12" t="s">
        <v>30</v>
      </c>
      <c r="D588" s="12"/>
      <c r="E588" s="29">
        <v>47225</v>
      </c>
      <c r="F588" s="9"/>
      <c r="G588" s="7">
        <v>2130998</v>
      </c>
      <c r="I588" s="7">
        <v>2121683</v>
      </c>
      <c r="K588" s="7">
        <v>19270</v>
      </c>
      <c r="M588" s="7">
        <f t="shared" si="71"/>
        <v>4271951</v>
      </c>
      <c r="O588" s="7">
        <f>12081806+2195812+5561466</f>
        <v>19839084</v>
      </c>
      <c r="Q588" s="7">
        <v>0</v>
      </c>
      <c r="S588" s="7">
        <v>6742781</v>
      </c>
      <c r="U588" s="7">
        <v>89044</v>
      </c>
      <c r="W588" s="7">
        <v>0</v>
      </c>
      <c r="Y588" s="7">
        <v>0</v>
      </c>
      <c r="AA588" s="7">
        <v>34434</v>
      </c>
      <c r="AB588" s="58"/>
      <c r="AC588" s="7">
        <v>0</v>
      </c>
      <c r="AE588" s="7">
        <v>0</v>
      </c>
      <c r="AG588" s="7">
        <f t="shared" si="72"/>
        <v>26705343</v>
      </c>
      <c r="AI588" s="7">
        <f t="shared" si="73"/>
        <v>30977294</v>
      </c>
      <c r="AJ588" s="9"/>
    </row>
    <row r="589" spans="1:37" ht="12" customHeight="1">
      <c r="A589" s="11" t="s">
        <v>364</v>
      </c>
      <c r="B589" s="11"/>
      <c r="C589" s="11" t="s">
        <v>36</v>
      </c>
      <c r="D589" s="11"/>
      <c r="E589" s="29">
        <v>47696</v>
      </c>
      <c r="G589" s="7">
        <v>1512509</v>
      </c>
      <c r="I589" s="7">
        <v>3470179</v>
      </c>
      <c r="K589" s="7">
        <v>100058</v>
      </c>
      <c r="M589" s="7">
        <f t="shared" si="71"/>
        <v>5082746</v>
      </c>
      <c r="O589" s="7">
        <f>8269454+981473+401002</f>
        <v>9651929</v>
      </c>
      <c r="Q589" s="7">
        <v>0</v>
      </c>
      <c r="S589" s="7">
        <v>12347405</v>
      </c>
      <c r="U589" s="7">
        <v>81692</v>
      </c>
      <c r="W589" s="7">
        <v>0</v>
      </c>
      <c r="Y589" s="7">
        <v>0</v>
      </c>
      <c r="AA589" s="7">
        <v>83951</v>
      </c>
      <c r="AB589" s="58"/>
      <c r="AC589" s="7">
        <v>0</v>
      </c>
      <c r="AE589" s="7">
        <v>0</v>
      </c>
      <c r="AG589" s="7">
        <f t="shared" si="72"/>
        <v>22164977</v>
      </c>
      <c r="AH589" s="7"/>
      <c r="AI589" s="7">
        <f t="shared" si="73"/>
        <v>27247723</v>
      </c>
      <c r="AK589" s="7"/>
    </row>
    <row r="590" spans="1:37" ht="12" customHeight="1">
      <c r="A590" s="11" t="s">
        <v>235</v>
      </c>
      <c r="B590" s="11"/>
      <c r="C590" s="11" t="s">
        <v>232</v>
      </c>
      <c r="D590" s="11"/>
      <c r="E590" s="29">
        <v>46219</v>
      </c>
      <c r="G590" s="7">
        <v>1653869</v>
      </c>
      <c r="I590" s="7">
        <v>2134393</v>
      </c>
      <c r="K590" s="7">
        <v>0</v>
      </c>
      <c r="M590" s="7">
        <f t="shared" si="71"/>
        <v>3788262</v>
      </c>
      <c r="O590" s="7">
        <f>2702356+167826</f>
        <v>2870182</v>
      </c>
      <c r="Q590" s="7">
        <v>1598845</v>
      </c>
      <c r="S590" s="7">
        <v>5321511</v>
      </c>
      <c r="U590" s="7">
        <v>26719</v>
      </c>
      <c r="W590" s="7">
        <v>0</v>
      </c>
      <c r="Y590" s="7">
        <v>0</v>
      </c>
      <c r="AA590" s="7">
        <v>121057</v>
      </c>
      <c r="AB590" s="58"/>
      <c r="AC590" s="7">
        <v>0</v>
      </c>
      <c r="AE590" s="7">
        <v>0</v>
      </c>
      <c r="AG590" s="7">
        <f t="shared" si="72"/>
        <v>9938314</v>
      </c>
      <c r="AH590" s="7"/>
      <c r="AI590" s="7">
        <f t="shared" si="73"/>
        <v>13726576</v>
      </c>
    </row>
    <row r="591" spans="1:37" ht="12" customHeight="1">
      <c r="A591" s="11" t="s">
        <v>460</v>
      </c>
      <c r="B591" s="11"/>
      <c r="C591" s="11" t="s">
        <v>51</v>
      </c>
      <c r="D591" s="11"/>
      <c r="E591" s="29">
        <v>48884</v>
      </c>
      <c r="G591" s="7">
        <v>1735989</v>
      </c>
      <c r="I591" s="7">
        <v>2602936</v>
      </c>
      <c r="K591" s="7">
        <v>2009</v>
      </c>
      <c r="M591" s="7">
        <f t="shared" si="71"/>
        <v>4340934</v>
      </c>
      <c r="O591" s="7">
        <f>5761093+1549899</f>
        <v>7310992</v>
      </c>
      <c r="Q591" s="7">
        <v>0</v>
      </c>
      <c r="S591" s="7">
        <v>7311711</v>
      </c>
      <c r="U591" s="7">
        <v>48249</v>
      </c>
      <c r="W591" s="7">
        <v>163796</v>
      </c>
      <c r="Y591" s="7">
        <v>20214</v>
      </c>
      <c r="AA591" s="7">
        <v>23757</v>
      </c>
      <c r="AB591" s="58"/>
      <c r="AC591" s="7">
        <v>0</v>
      </c>
      <c r="AE591" s="7">
        <v>0</v>
      </c>
      <c r="AG591" s="7">
        <f t="shared" si="72"/>
        <v>14878719</v>
      </c>
      <c r="AH591" s="7"/>
      <c r="AI591" s="7">
        <f t="shared" si="73"/>
        <v>19219653</v>
      </c>
      <c r="AK591" s="7"/>
    </row>
    <row r="592" spans="1:37" s="7" customFormat="1" ht="12" customHeight="1">
      <c r="A592" s="12" t="s">
        <v>222</v>
      </c>
      <c r="B592" s="12"/>
      <c r="C592" s="12" t="s">
        <v>77</v>
      </c>
      <c r="D592" s="12"/>
      <c r="E592" s="29">
        <v>46060</v>
      </c>
      <c r="G592" s="7">
        <v>1717810</v>
      </c>
      <c r="I592" s="7">
        <v>4278859</v>
      </c>
      <c r="K592" s="7">
        <v>0</v>
      </c>
      <c r="M592" s="7">
        <f t="shared" ref="M592:M618" si="74">SUM(G592:L592)</f>
        <v>5996669</v>
      </c>
      <c r="O592" s="7">
        <f>4676874+413833+91402</f>
        <v>5182109</v>
      </c>
      <c r="Q592" s="7">
        <v>0</v>
      </c>
      <c r="S592" s="7">
        <v>19513313</v>
      </c>
      <c r="U592" s="7">
        <v>19362</v>
      </c>
      <c r="W592" s="7">
        <v>97575</v>
      </c>
      <c r="Y592" s="7">
        <v>7773</v>
      </c>
      <c r="AA592" s="7">
        <v>105632</v>
      </c>
      <c r="AB592" s="58"/>
      <c r="AC592" s="7">
        <v>0</v>
      </c>
      <c r="AE592" s="7">
        <v>0</v>
      </c>
      <c r="AG592" s="7">
        <f t="shared" ref="AG592:AG618" si="75">SUM(O592:AE592)</f>
        <v>24925764</v>
      </c>
      <c r="AI592" s="7">
        <f t="shared" ref="AI592:AI618" si="76">+AG592+M592</f>
        <v>30922433</v>
      </c>
    </row>
    <row r="593" spans="1:37" ht="12" customHeight="1">
      <c r="A593" s="11" t="s">
        <v>473</v>
      </c>
      <c r="B593" s="11"/>
      <c r="C593" s="11" t="s">
        <v>55</v>
      </c>
      <c r="D593" s="11"/>
      <c r="E593" s="29">
        <v>49155</v>
      </c>
      <c r="G593" s="7">
        <v>264892</v>
      </c>
      <c r="I593" s="7">
        <v>2071217</v>
      </c>
      <c r="K593" s="7">
        <v>0</v>
      </c>
      <c r="M593" s="7">
        <f t="shared" si="74"/>
        <v>2336109</v>
      </c>
      <c r="O593" s="7">
        <f>724508+80329+13036</f>
        <v>817873</v>
      </c>
      <c r="Q593" s="7">
        <v>0</v>
      </c>
      <c r="S593" s="7">
        <v>5940029</v>
      </c>
      <c r="U593" s="7">
        <v>54697</v>
      </c>
      <c r="W593" s="7">
        <v>0</v>
      </c>
      <c r="Y593" s="7">
        <v>4660</v>
      </c>
      <c r="AA593" s="7">
        <f>3893+41025</f>
        <v>44918</v>
      </c>
      <c r="AB593" s="58"/>
      <c r="AC593" s="7">
        <v>0</v>
      </c>
      <c r="AE593" s="7">
        <v>0</v>
      </c>
      <c r="AG593" s="7">
        <f t="shared" si="75"/>
        <v>6862177</v>
      </c>
      <c r="AH593" s="7"/>
      <c r="AI593" s="7">
        <f t="shared" si="76"/>
        <v>9198286</v>
      </c>
    </row>
    <row r="594" spans="1:37" ht="12" customHeight="1">
      <c r="A594" s="11" t="s">
        <v>369</v>
      </c>
      <c r="B594" s="11"/>
      <c r="C594" s="11" t="s">
        <v>37</v>
      </c>
      <c r="D594" s="11"/>
      <c r="E594" s="29">
        <v>47746</v>
      </c>
      <c r="G594" s="7">
        <v>1119562</v>
      </c>
      <c r="I594" s="7">
        <v>2352913</v>
      </c>
      <c r="K594" s="7">
        <v>0</v>
      </c>
      <c r="M594" s="7">
        <f t="shared" si="74"/>
        <v>3472475</v>
      </c>
      <c r="O594" s="7">
        <f>2347187+46291+276790</f>
        <v>2670268</v>
      </c>
      <c r="Q594" s="7">
        <v>1665263</v>
      </c>
      <c r="S594" s="7">
        <v>5890813</v>
      </c>
      <c r="U594" s="7">
        <v>15316</v>
      </c>
      <c r="W594" s="7">
        <v>0</v>
      </c>
      <c r="Y594" s="7">
        <v>0</v>
      </c>
      <c r="AA594" s="7">
        <v>86781</v>
      </c>
      <c r="AB594" s="58"/>
      <c r="AC594" s="7">
        <v>0</v>
      </c>
      <c r="AE594" s="7">
        <v>0</v>
      </c>
      <c r="AG594" s="7">
        <f t="shared" si="75"/>
        <v>10328441</v>
      </c>
      <c r="AH594" s="7"/>
      <c r="AI594" s="7">
        <f t="shared" si="76"/>
        <v>13800916</v>
      </c>
      <c r="AK594" s="7"/>
    </row>
    <row r="595" spans="1:37" ht="12" customHeight="1">
      <c r="A595" s="11" t="s">
        <v>369</v>
      </c>
      <c r="B595" s="11"/>
      <c r="C595" s="11" t="s">
        <v>45</v>
      </c>
      <c r="D595" s="11"/>
      <c r="E595" s="29">
        <v>48397</v>
      </c>
      <c r="G595" s="7">
        <v>1048764</v>
      </c>
      <c r="I595" s="7">
        <v>784177</v>
      </c>
      <c r="K595" s="7">
        <v>0</v>
      </c>
      <c r="M595" s="7">
        <f t="shared" si="74"/>
        <v>1832941</v>
      </c>
      <c r="O595" s="7">
        <f>2569447+608310+121602+46027</f>
        <v>3345386</v>
      </c>
      <c r="Q595" s="7">
        <v>0</v>
      </c>
      <c r="S595" s="7">
        <v>3491689</v>
      </c>
      <c r="U595" s="7">
        <v>44129</v>
      </c>
      <c r="W595" s="7">
        <v>0</v>
      </c>
      <c r="Y595" s="7">
        <v>0</v>
      </c>
      <c r="AA595" s="7">
        <v>51028</v>
      </c>
      <c r="AB595" s="58"/>
      <c r="AC595" s="7">
        <v>0</v>
      </c>
      <c r="AE595" s="7">
        <v>0</v>
      </c>
      <c r="AG595" s="7">
        <f t="shared" si="75"/>
        <v>6932232</v>
      </c>
      <c r="AH595" s="7"/>
      <c r="AI595" s="7">
        <f t="shared" si="76"/>
        <v>8765173</v>
      </c>
    </row>
    <row r="596" spans="1:37" ht="12" customHeight="1">
      <c r="A596" s="11" t="s">
        <v>315</v>
      </c>
      <c r="B596" s="11"/>
      <c r="C596" s="11" t="s">
        <v>27</v>
      </c>
      <c r="D596" s="11"/>
      <c r="E596" s="29">
        <v>45047</v>
      </c>
      <c r="G596" s="7">
        <v>5922986</v>
      </c>
      <c r="I596" s="7">
        <v>10501731</v>
      </c>
      <c r="K596" s="7">
        <v>0</v>
      </c>
      <c r="M596" s="7">
        <f t="shared" si="74"/>
        <v>16424717</v>
      </c>
      <c r="O596" s="7">
        <f>97182551+8092890+7539296</f>
        <v>112814737</v>
      </c>
      <c r="S596" s="7">
        <v>52556276</v>
      </c>
      <c r="U596" s="7">
        <v>87739</v>
      </c>
      <c r="W596" s="7">
        <v>1279078</v>
      </c>
      <c r="Y596" s="7">
        <v>0</v>
      </c>
      <c r="AA596" s="7">
        <v>931842</v>
      </c>
      <c r="AB596" s="58"/>
      <c r="AC596" s="7">
        <v>0</v>
      </c>
      <c r="AE596" s="7">
        <v>0</v>
      </c>
      <c r="AG596" s="7">
        <f t="shared" si="75"/>
        <v>167669672</v>
      </c>
      <c r="AH596" s="7"/>
      <c r="AI596" s="7">
        <f t="shared" si="76"/>
        <v>184094389</v>
      </c>
    </row>
    <row r="597" spans="1:37" ht="12" customHeight="1">
      <c r="A597" s="11" t="s">
        <v>470</v>
      </c>
      <c r="B597" s="11"/>
      <c r="C597" s="11" t="s">
        <v>54</v>
      </c>
      <c r="D597" s="11"/>
      <c r="E597" s="29">
        <v>49106</v>
      </c>
      <c r="G597" s="7">
        <v>1165023</v>
      </c>
      <c r="I597" s="7">
        <v>2590419</v>
      </c>
      <c r="K597" s="7">
        <v>0</v>
      </c>
      <c r="M597" s="7">
        <f t="shared" si="74"/>
        <v>3755442</v>
      </c>
      <c r="O597" s="7">
        <f>5225644+81359+789619+784651</f>
        <v>6881273</v>
      </c>
      <c r="Q597" s="7">
        <v>0</v>
      </c>
      <c r="S597" s="7">
        <v>7966519</v>
      </c>
      <c r="U597" s="7">
        <v>35133</v>
      </c>
      <c r="W597" s="7">
        <v>0</v>
      </c>
      <c r="Y597" s="7">
        <v>3406</v>
      </c>
      <c r="AA597" s="7">
        <v>258195</v>
      </c>
      <c r="AB597" s="58"/>
      <c r="AC597" s="7">
        <v>0</v>
      </c>
      <c r="AE597" s="7">
        <v>0</v>
      </c>
      <c r="AG597" s="7">
        <f t="shared" si="75"/>
        <v>15144526</v>
      </c>
      <c r="AH597" s="7"/>
      <c r="AI597" s="7">
        <f t="shared" si="76"/>
        <v>18899968</v>
      </c>
      <c r="AK597" s="7"/>
    </row>
    <row r="598" spans="1:37" ht="12" customHeight="1">
      <c r="A598" s="11" t="s">
        <v>287</v>
      </c>
      <c r="B598" s="11"/>
      <c r="C598" s="11" t="s">
        <v>20</v>
      </c>
      <c r="D598" s="11"/>
      <c r="E598" s="29">
        <v>45062</v>
      </c>
      <c r="G598" s="7">
        <v>2025265</v>
      </c>
      <c r="I598" s="7">
        <v>6641993</v>
      </c>
      <c r="K598" s="7">
        <v>0</v>
      </c>
      <c r="M598" s="7">
        <f t="shared" si="74"/>
        <v>8667258</v>
      </c>
      <c r="O598" s="7">
        <f>39263204+5829681</f>
        <v>45092885</v>
      </c>
      <c r="Q598" s="7">
        <v>0</v>
      </c>
      <c r="S598" s="7">
        <v>9339814</v>
      </c>
      <c r="U598" s="7">
        <v>545781</v>
      </c>
      <c r="W598" s="7">
        <v>0</v>
      </c>
      <c r="Y598" s="7">
        <v>0</v>
      </c>
      <c r="AA598" s="7">
        <v>155827</v>
      </c>
      <c r="AB598" s="58"/>
      <c r="AC598" s="7">
        <v>0</v>
      </c>
      <c r="AE598" s="7">
        <v>0</v>
      </c>
      <c r="AG598" s="7">
        <f t="shared" si="75"/>
        <v>55134307</v>
      </c>
      <c r="AH598" s="7"/>
      <c r="AI598" s="7">
        <f t="shared" si="76"/>
        <v>63801565</v>
      </c>
    </row>
    <row r="599" spans="1:37" ht="12" customHeight="1">
      <c r="A599" s="11" t="s">
        <v>501</v>
      </c>
      <c r="B599" s="11"/>
      <c r="C599" s="11" t="s">
        <v>59</v>
      </c>
      <c r="D599" s="11"/>
      <c r="E599" s="29">
        <v>49668</v>
      </c>
      <c r="G599" s="7">
        <v>2483524</v>
      </c>
      <c r="I599" s="7">
        <v>2654945</v>
      </c>
      <c r="K599" s="7">
        <v>15000</v>
      </c>
      <c r="M599" s="7">
        <f t="shared" si="74"/>
        <v>5153469</v>
      </c>
      <c r="O599" s="7">
        <f>2636234+591293+157345+54373</f>
        <v>3439245</v>
      </c>
      <c r="Q599" s="7">
        <v>0</v>
      </c>
      <c r="S599" s="7">
        <v>7533903</v>
      </c>
      <c r="U599" s="7">
        <v>34470</v>
      </c>
      <c r="W599" s="7">
        <v>0</v>
      </c>
      <c r="Y599" s="7">
        <v>4916</v>
      </c>
      <c r="AA599" s="7">
        <v>48667</v>
      </c>
      <c r="AB599" s="58"/>
      <c r="AC599" s="7">
        <v>0</v>
      </c>
      <c r="AE599" s="7">
        <v>0</v>
      </c>
      <c r="AG599" s="7">
        <f t="shared" si="75"/>
        <v>11061201</v>
      </c>
      <c r="AH599" s="7"/>
      <c r="AI599" s="7">
        <f t="shared" si="76"/>
        <v>16214670</v>
      </c>
    </row>
    <row r="600" spans="1:37" ht="12" customHeight="1">
      <c r="A600" s="11" t="s">
        <v>316</v>
      </c>
      <c r="B600" s="11"/>
      <c r="C600" s="11" t="s">
        <v>27</v>
      </c>
      <c r="D600" s="11"/>
      <c r="E600" s="29">
        <v>45070</v>
      </c>
      <c r="G600" s="7">
        <v>637968</v>
      </c>
      <c r="I600" s="7">
        <v>5643039</v>
      </c>
      <c r="K600" s="7">
        <v>0</v>
      </c>
      <c r="M600" s="7">
        <f t="shared" si="74"/>
        <v>6281007</v>
      </c>
      <c r="O600" s="7">
        <f>9767608+2236235+140947</f>
        <v>12144790</v>
      </c>
      <c r="Q600" s="7">
        <v>0</v>
      </c>
      <c r="S600" s="7">
        <v>19630753</v>
      </c>
      <c r="U600" s="7">
        <v>844457</v>
      </c>
      <c r="W600" s="7">
        <v>1047567</v>
      </c>
      <c r="Y600" s="7">
        <v>0</v>
      </c>
      <c r="AA600" s="7">
        <v>229556</v>
      </c>
      <c r="AB600" s="58"/>
      <c r="AC600" s="7">
        <v>0</v>
      </c>
      <c r="AE600" s="7">
        <v>0</v>
      </c>
      <c r="AG600" s="7">
        <f t="shared" si="75"/>
        <v>33897123</v>
      </c>
      <c r="AH600" s="7"/>
      <c r="AI600" s="7">
        <f t="shared" si="76"/>
        <v>40178130</v>
      </c>
      <c r="AK600" s="7"/>
    </row>
    <row r="601" spans="1:37" ht="12" hidden="1" customHeight="1">
      <c r="A601" s="11" t="s">
        <v>649</v>
      </c>
      <c r="B601" s="11"/>
      <c r="C601" s="11" t="s">
        <v>41</v>
      </c>
      <c r="D601" s="11"/>
      <c r="E601" s="29">
        <v>45088</v>
      </c>
      <c r="G601" s="7">
        <v>0</v>
      </c>
      <c r="I601" s="7">
        <v>0</v>
      </c>
      <c r="K601" s="7">
        <v>0</v>
      </c>
      <c r="M601" s="7">
        <f t="shared" si="74"/>
        <v>0</v>
      </c>
      <c r="O601" s="7">
        <v>0</v>
      </c>
      <c r="Q601" s="7">
        <v>0</v>
      </c>
      <c r="S601" s="7">
        <v>0</v>
      </c>
      <c r="U601" s="7">
        <v>0</v>
      </c>
      <c r="W601" s="7">
        <v>0</v>
      </c>
      <c r="Y601" s="7">
        <v>0</v>
      </c>
      <c r="AA601" s="7">
        <v>0</v>
      </c>
      <c r="AB601" s="58"/>
      <c r="AC601" s="7">
        <v>0</v>
      </c>
      <c r="AE601" s="7">
        <v>0</v>
      </c>
      <c r="AG601" s="7">
        <f t="shared" si="75"/>
        <v>0</v>
      </c>
      <c r="AH601" s="7"/>
      <c r="AI601" s="7">
        <f t="shared" si="76"/>
        <v>0</v>
      </c>
      <c r="AK601" s="7"/>
    </row>
    <row r="602" spans="1:37" ht="12" customHeight="1">
      <c r="A602" s="11" t="s">
        <v>370</v>
      </c>
      <c r="B602" s="11"/>
      <c r="C602" s="11" t="s">
        <v>37</v>
      </c>
      <c r="D602" s="11"/>
      <c r="E602" s="29">
        <v>45096</v>
      </c>
      <c r="G602" s="7">
        <v>897029</v>
      </c>
      <c r="I602" s="7">
        <v>4784353</v>
      </c>
      <c r="K602" s="7">
        <v>0</v>
      </c>
      <c r="M602" s="7">
        <f t="shared" si="74"/>
        <v>5681382</v>
      </c>
      <c r="O602" s="7">
        <f>5163446+167210+161575</f>
        <v>5492231</v>
      </c>
      <c r="Q602" s="7">
        <v>0</v>
      </c>
      <c r="S602" s="7">
        <v>9983146</v>
      </c>
      <c r="U602" s="7">
        <v>15309</v>
      </c>
      <c r="W602" s="7">
        <v>0</v>
      </c>
      <c r="Y602" s="7">
        <v>0</v>
      </c>
      <c r="AA602" s="7">
        <v>103926</v>
      </c>
      <c r="AB602" s="58"/>
      <c r="AC602" s="7">
        <v>0</v>
      </c>
      <c r="AE602" s="7">
        <v>0</v>
      </c>
      <c r="AG602" s="7">
        <f t="shared" si="75"/>
        <v>15594612</v>
      </c>
      <c r="AH602" s="7"/>
      <c r="AI602" s="7">
        <f t="shared" si="76"/>
        <v>21275994</v>
      </c>
      <c r="AK602" s="7"/>
    </row>
    <row r="603" spans="1:37" ht="12" customHeight="1">
      <c r="A603" s="11" t="s">
        <v>247</v>
      </c>
      <c r="B603" s="11"/>
      <c r="C603" s="11" t="s">
        <v>113</v>
      </c>
      <c r="D603" s="11"/>
      <c r="E603" s="29">
        <v>46367</v>
      </c>
      <c r="G603" s="7">
        <v>1268246</v>
      </c>
      <c r="I603" s="7">
        <v>1417737</v>
      </c>
      <c r="K603" s="7">
        <v>0</v>
      </c>
      <c r="M603" s="7">
        <f t="shared" si="74"/>
        <v>2685983</v>
      </c>
      <c r="O603" s="7">
        <f>3672271+317548+50047</f>
        <v>4039866</v>
      </c>
      <c r="Q603" s="7">
        <v>0</v>
      </c>
      <c r="S603" s="7">
        <v>4323592</v>
      </c>
      <c r="U603" s="7">
        <v>12572</v>
      </c>
      <c r="W603" s="7">
        <v>0</v>
      </c>
      <c r="Y603" s="7">
        <v>11000</v>
      </c>
      <c r="AA603" s="7">
        <v>251895</v>
      </c>
      <c r="AB603" s="58"/>
      <c r="AC603" s="7">
        <v>0</v>
      </c>
      <c r="AE603" s="7">
        <v>0</v>
      </c>
      <c r="AG603" s="7">
        <f t="shared" si="75"/>
        <v>8638925</v>
      </c>
      <c r="AH603" s="7"/>
      <c r="AI603" s="7">
        <f t="shared" si="76"/>
        <v>11324908</v>
      </c>
    </row>
    <row r="604" spans="1:37" ht="12" customHeight="1">
      <c r="A604" s="11" t="s">
        <v>376</v>
      </c>
      <c r="B604" s="11"/>
      <c r="C604" s="11" t="s">
        <v>41</v>
      </c>
      <c r="D604" s="11"/>
      <c r="E604" s="29">
        <v>45104</v>
      </c>
      <c r="G604" s="7">
        <v>5148503</v>
      </c>
      <c r="I604" s="7">
        <v>8651758</v>
      </c>
      <c r="K604" s="7">
        <v>0</v>
      </c>
      <c r="M604" s="7">
        <f t="shared" si="74"/>
        <v>13800261</v>
      </c>
      <c r="O604" s="7">
        <f>57847642+81806+1106784+127859</f>
        <v>59164091</v>
      </c>
      <c r="Q604" s="7">
        <v>0</v>
      </c>
      <c r="S604" s="7">
        <v>28692609</v>
      </c>
      <c r="U604" s="7">
        <v>67620</v>
      </c>
      <c r="W604" s="7">
        <v>0</v>
      </c>
      <c r="Y604" s="7">
        <v>0</v>
      </c>
      <c r="AA604" s="7">
        <v>384081</v>
      </c>
      <c r="AB604" s="58"/>
      <c r="AC604" s="7">
        <v>0</v>
      </c>
      <c r="AE604" s="7">
        <v>0</v>
      </c>
      <c r="AG604" s="7">
        <f t="shared" si="75"/>
        <v>88308401</v>
      </c>
      <c r="AH604" s="7"/>
      <c r="AI604" s="7">
        <f t="shared" si="76"/>
        <v>102108662</v>
      </c>
      <c r="AK604" s="7"/>
    </row>
    <row r="605" spans="1:37" ht="12" customHeight="1">
      <c r="A605" s="11" t="s">
        <v>251</v>
      </c>
      <c r="B605" s="11"/>
      <c r="C605" s="11" t="s">
        <v>18</v>
      </c>
      <c r="D605" s="11"/>
      <c r="E605" s="29">
        <v>45112</v>
      </c>
      <c r="G605" s="7">
        <v>1405912</v>
      </c>
      <c r="I605" s="7">
        <v>3818055</v>
      </c>
      <c r="K605" s="7">
        <v>0</v>
      </c>
      <c r="M605" s="7">
        <f t="shared" si="74"/>
        <v>5223967</v>
      </c>
      <c r="O605" s="7">
        <f>8544497+172411+963933+80320</f>
        <v>9761161</v>
      </c>
      <c r="Q605" s="7">
        <v>3444814</v>
      </c>
      <c r="S605" s="7">
        <v>10673800</v>
      </c>
      <c r="U605" s="7">
        <v>16225</v>
      </c>
      <c r="W605" s="7">
        <v>11054</v>
      </c>
      <c r="Y605" s="7">
        <v>128969</v>
      </c>
      <c r="AA605" s="7">
        <v>17929</v>
      </c>
      <c r="AB605" s="58"/>
      <c r="AC605" s="7">
        <v>0</v>
      </c>
      <c r="AE605" s="7">
        <v>0</v>
      </c>
      <c r="AG605" s="7">
        <f t="shared" si="75"/>
        <v>24053952</v>
      </c>
      <c r="AH605" s="7"/>
      <c r="AI605" s="7">
        <f t="shared" si="76"/>
        <v>29277919</v>
      </c>
      <c r="AK605" s="7"/>
    </row>
    <row r="606" spans="1:37" ht="12" customHeight="1">
      <c r="A606" s="11" t="s">
        <v>891</v>
      </c>
      <c r="B606" s="11"/>
      <c r="C606" s="11" t="s">
        <v>56</v>
      </c>
      <c r="D606" s="11"/>
      <c r="E606" s="29">
        <v>45666</v>
      </c>
      <c r="G606" s="7">
        <v>419802</v>
      </c>
      <c r="I606" s="7">
        <v>2937622</v>
      </c>
      <c r="K606" s="7">
        <v>0</v>
      </c>
      <c r="M606" s="7">
        <f t="shared" si="74"/>
        <v>3357424</v>
      </c>
      <c r="O606" s="7">
        <f>1149583+48083+14928</f>
        <v>1212594</v>
      </c>
      <c r="Q606" s="7">
        <v>0</v>
      </c>
      <c r="S606" s="7">
        <v>5204762</v>
      </c>
      <c r="U606" s="7">
        <v>11466</v>
      </c>
      <c r="W606" s="7">
        <v>70561</v>
      </c>
      <c r="Y606" s="7">
        <v>0</v>
      </c>
      <c r="AA606" s="7">
        <v>16257</v>
      </c>
      <c r="AB606" s="58"/>
      <c r="AC606" s="7">
        <v>0</v>
      </c>
      <c r="AE606" s="7">
        <v>0</v>
      </c>
      <c r="AG606" s="7">
        <f t="shared" si="75"/>
        <v>6515640</v>
      </c>
      <c r="AH606" s="7"/>
      <c r="AI606" s="7">
        <f t="shared" si="76"/>
        <v>9873064</v>
      </c>
    </row>
    <row r="607" spans="1:37" ht="12" customHeight="1">
      <c r="A607" s="11" t="s">
        <v>341</v>
      </c>
      <c r="B607" s="11"/>
      <c r="C607" s="11" t="s">
        <v>32</v>
      </c>
      <c r="D607" s="11"/>
      <c r="E607" s="29">
        <v>44081</v>
      </c>
      <c r="G607" s="7">
        <v>1863027</v>
      </c>
      <c r="I607" s="7">
        <v>6860087</v>
      </c>
      <c r="K607" s="7">
        <v>0</v>
      </c>
      <c r="M607" s="7">
        <f t="shared" si="74"/>
        <v>8723114</v>
      </c>
      <c r="O607" s="7">
        <f>22556974+763810</f>
        <v>23320784</v>
      </c>
      <c r="Q607" s="7">
        <v>0</v>
      </c>
      <c r="S607" s="7">
        <v>16973343</v>
      </c>
      <c r="U607" s="7">
        <v>538</v>
      </c>
      <c r="W607" s="7">
        <v>340906</v>
      </c>
      <c r="Y607" s="7">
        <v>8670</v>
      </c>
      <c r="AA607" s="7">
        <v>423330</v>
      </c>
      <c r="AB607" s="58"/>
      <c r="AC607" s="7">
        <v>0</v>
      </c>
      <c r="AE607" s="7">
        <v>0</v>
      </c>
      <c r="AG607" s="7">
        <f t="shared" si="75"/>
        <v>41067571</v>
      </c>
      <c r="AH607" s="7"/>
      <c r="AI607" s="7">
        <f t="shared" si="76"/>
        <v>49790685</v>
      </c>
    </row>
    <row r="608" spans="1:37" ht="12" customHeight="1">
      <c r="A608" s="11" t="s">
        <v>567</v>
      </c>
      <c r="B608" s="11"/>
      <c r="C608" s="11" t="s">
        <v>70</v>
      </c>
      <c r="D608" s="11"/>
      <c r="E608" s="29">
        <v>50518</v>
      </c>
      <c r="G608" s="7">
        <v>531330</v>
      </c>
      <c r="I608" s="7">
        <v>808185</v>
      </c>
      <c r="K608" s="7">
        <v>0</v>
      </c>
      <c r="M608" s="7">
        <f t="shared" si="74"/>
        <v>1339515</v>
      </c>
      <c r="O608" s="7">
        <f>4304119+428691</f>
        <v>4732810</v>
      </c>
      <c r="Q608" s="7">
        <v>0</v>
      </c>
      <c r="S608" s="7">
        <v>2522313</v>
      </c>
      <c r="U608" s="7">
        <v>66450</v>
      </c>
      <c r="W608" s="7">
        <v>0</v>
      </c>
      <c r="Y608" s="7">
        <v>78000</v>
      </c>
      <c r="AA608" s="7">
        <f>2000+91656</f>
        <v>93656</v>
      </c>
      <c r="AB608" s="58"/>
      <c r="AC608" s="7">
        <v>0</v>
      </c>
      <c r="AE608" s="7">
        <v>0</v>
      </c>
      <c r="AG608" s="7">
        <f t="shared" si="75"/>
        <v>7493229</v>
      </c>
      <c r="AH608" s="7"/>
      <c r="AI608" s="7">
        <f t="shared" si="76"/>
        <v>8832744</v>
      </c>
    </row>
    <row r="609" spans="1:37" ht="12" customHeight="1">
      <c r="A609" s="11" t="s">
        <v>493</v>
      </c>
      <c r="B609" s="11"/>
      <c r="C609" s="11" t="s">
        <v>79</v>
      </c>
      <c r="D609" s="11"/>
      <c r="E609" s="29">
        <v>49577</v>
      </c>
      <c r="G609" s="7">
        <v>833183</v>
      </c>
      <c r="I609" s="7">
        <v>1878882</v>
      </c>
      <c r="K609" s="7">
        <v>0</v>
      </c>
      <c r="M609" s="7">
        <f t="shared" si="74"/>
        <v>2712065</v>
      </c>
      <c r="O609" s="7">
        <f>3670662+466985</f>
        <v>4137647</v>
      </c>
      <c r="Q609" s="7">
        <v>0</v>
      </c>
      <c r="S609" s="7">
        <v>4552495</v>
      </c>
      <c r="U609" s="7">
        <v>2386</v>
      </c>
      <c r="W609" s="7">
        <v>85000</v>
      </c>
      <c r="Y609" s="7">
        <v>0</v>
      </c>
      <c r="AA609" s="7">
        <v>3476</v>
      </c>
      <c r="AB609" s="58"/>
      <c r="AC609" s="7">
        <v>0</v>
      </c>
      <c r="AE609" s="7">
        <v>0</v>
      </c>
      <c r="AG609" s="7">
        <f t="shared" si="75"/>
        <v>8781004</v>
      </c>
      <c r="AH609" s="7"/>
      <c r="AI609" s="7">
        <f t="shared" si="76"/>
        <v>11493069</v>
      </c>
      <c r="AK609" s="7"/>
    </row>
    <row r="610" spans="1:37" ht="12" customHeight="1">
      <c r="A610" s="11" t="s">
        <v>533</v>
      </c>
      <c r="B610" s="11"/>
      <c r="C610" s="11" t="s">
        <v>63</v>
      </c>
      <c r="D610" s="11"/>
      <c r="E610" s="29">
        <v>49973</v>
      </c>
      <c r="G610" s="7">
        <v>1662871</v>
      </c>
      <c r="I610" s="7">
        <v>1851952</v>
      </c>
      <c r="K610" s="7">
        <v>0</v>
      </c>
      <c r="M610" s="7">
        <f t="shared" si="74"/>
        <v>3514823</v>
      </c>
      <c r="O610" s="7">
        <f>14264785+1433097+383020</f>
        <v>16080902</v>
      </c>
      <c r="Q610" s="7">
        <v>0</v>
      </c>
      <c r="S610" s="7">
        <v>5681747</v>
      </c>
      <c r="U610" s="7">
        <v>13603</v>
      </c>
      <c r="W610" s="7">
        <v>126392</v>
      </c>
      <c r="Y610" s="7">
        <v>0</v>
      </c>
      <c r="AA610" s="7">
        <v>62210</v>
      </c>
      <c r="AB610" s="58"/>
      <c r="AC610" s="7">
        <v>0</v>
      </c>
      <c r="AE610" s="7">
        <v>0</v>
      </c>
      <c r="AG610" s="7">
        <f t="shared" si="75"/>
        <v>21964854</v>
      </c>
      <c r="AH610" s="7"/>
      <c r="AI610" s="7">
        <f t="shared" si="76"/>
        <v>25479677</v>
      </c>
    </row>
    <row r="611" spans="1:37" ht="12" customHeight="1">
      <c r="A611" s="11" t="s">
        <v>650</v>
      </c>
      <c r="B611" s="11"/>
      <c r="C611" s="11" t="s">
        <v>71</v>
      </c>
      <c r="D611" s="11"/>
      <c r="E611" s="29">
        <v>45138</v>
      </c>
      <c r="G611" s="7">
        <v>1210609</v>
      </c>
      <c r="I611" s="7">
        <v>3446461</v>
      </c>
      <c r="K611" s="7">
        <v>0</v>
      </c>
      <c r="M611" s="7">
        <f t="shared" si="74"/>
        <v>4657070</v>
      </c>
      <c r="O611" s="7">
        <f>23293139+2163107+441646</f>
        <v>25897892</v>
      </c>
      <c r="Q611" s="7">
        <v>0</v>
      </c>
      <c r="S611" s="7">
        <v>17833292</v>
      </c>
      <c r="U611" s="7">
        <v>121843</v>
      </c>
      <c r="W611" s="7">
        <v>0</v>
      </c>
      <c r="Y611" s="7">
        <v>0</v>
      </c>
      <c r="AA611" s="7">
        <v>78841</v>
      </c>
      <c r="AB611" s="58"/>
      <c r="AC611" s="7">
        <v>0</v>
      </c>
      <c r="AE611" s="7">
        <v>0</v>
      </c>
      <c r="AG611" s="7">
        <f t="shared" si="75"/>
        <v>43931868</v>
      </c>
      <c r="AH611" s="7"/>
      <c r="AI611" s="7">
        <f t="shared" si="76"/>
        <v>48588938</v>
      </c>
    </row>
    <row r="612" spans="1:37" ht="12" customHeight="1">
      <c r="A612" s="11" t="s">
        <v>317</v>
      </c>
      <c r="B612" s="11"/>
      <c r="C612" s="11" t="s">
        <v>27</v>
      </c>
      <c r="D612" s="11"/>
      <c r="E612" s="29">
        <v>46524</v>
      </c>
      <c r="G612" s="7">
        <v>5439997</v>
      </c>
      <c r="I612" s="7">
        <v>7533794</v>
      </c>
      <c r="K612" s="7">
        <v>0</v>
      </c>
      <c r="M612" s="7">
        <f t="shared" si="74"/>
        <v>12973791</v>
      </c>
      <c r="O612" s="7">
        <f>78994083+6152424</f>
        <v>85146507</v>
      </c>
      <c r="Q612" s="7">
        <v>0</v>
      </c>
      <c r="S612" s="7">
        <v>38586728</v>
      </c>
      <c r="U612" s="7">
        <v>329330</v>
      </c>
      <c r="W612" s="7">
        <v>0</v>
      </c>
      <c r="Y612" s="7">
        <v>0</v>
      </c>
      <c r="AA612" s="7">
        <v>1062566</v>
      </c>
      <c r="AB612" s="58"/>
      <c r="AC612" s="7">
        <v>0</v>
      </c>
      <c r="AE612" s="7">
        <v>0</v>
      </c>
      <c r="AG612" s="7">
        <f t="shared" si="75"/>
        <v>125125131</v>
      </c>
      <c r="AH612" s="7"/>
      <c r="AI612" s="7">
        <f t="shared" si="76"/>
        <v>138098922</v>
      </c>
    </row>
    <row r="613" spans="1:37" ht="12" customHeight="1">
      <c r="A613" s="11" t="s">
        <v>266</v>
      </c>
      <c r="B613" s="11"/>
      <c r="C613" s="11" t="s">
        <v>111</v>
      </c>
      <c r="D613" s="11"/>
      <c r="E613" s="29">
        <v>45146</v>
      </c>
      <c r="G613" s="7">
        <v>1208485</v>
      </c>
      <c r="I613" s="7">
        <v>1495304</v>
      </c>
      <c r="K613" s="7">
        <v>0</v>
      </c>
      <c r="M613" s="7">
        <f t="shared" si="74"/>
        <v>2703789</v>
      </c>
      <c r="O613" s="7">
        <f>3236616+609499</f>
        <v>3846115</v>
      </c>
      <c r="Q613" s="7">
        <v>0</v>
      </c>
      <c r="S613" s="7">
        <v>5693221</v>
      </c>
      <c r="U613" s="7">
        <v>31741</v>
      </c>
      <c r="W613" s="7">
        <v>0</v>
      </c>
      <c r="Y613" s="7">
        <v>0</v>
      </c>
      <c r="AA613" s="7">
        <v>34653</v>
      </c>
      <c r="AB613" s="58"/>
      <c r="AC613" s="7">
        <v>0</v>
      </c>
      <c r="AE613" s="7">
        <v>0</v>
      </c>
      <c r="AG613" s="7">
        <f t="shared" si="75"/>
        <v>9605730</v>
      </c>
      <c r="AH613" s="7"/>
      <c r="AI613" s="7">
        <f t="shared" si="76"/>
        <v>12309519</v>
      </c>
    </row>
    <row r="614" spans="1:37" ht="12" customHeight="1">
      <c r="A614" s="11" t="s">
        <v>342</v>
      </c>
      <c r="B614" s="11"/>
      <c r="C614" s="11" t="s">
        <v>32</v>
      </c>
      <c r="D614" s="11"/>
      <c r="E614" s="29">
        <v>45153</v>
      </c>
      <c r="G614" s="7">
        <v>1331443</v>
      </c>
      <c r="I614" s="7">
        <v>1613828</v>
      </c>
      <c r="K614" s="7">
        <v>0</v>
      </c>
      <c r="M614" s="7">
        <f t="shared" si="74"/>
        <v>2945271</v>
      </c>
      <c r="O614" s="7">
        <f>8605560+1475675+401757</f>
        <v>10482992</v>
      </c>
      <c r="Q614" s="7">
        <v>5870201</v>
      </c>
      <c r="S614" s="7">
        <f>6539899+168219</f>
        <v>6708118</v>
      </c>
      <c r="U614" s="7">
        <v>92581</v>
      </c>
      <c r="W614" s="7">
        <v>0</v>
      </c>
      <c r="Y614" s="7">
        <v>0</v>
      </c>
      <c r="AA614" s="7">
        <v>225681</v>
      </c>
      <c r="AB614" s="58"/>
      <c r="AC614" s="7">
        <v>0</v>
      </c>
      <c r="AE614" s="7">
        <v>0</v>
      </c>
      <c r="AG614" s="7">
        <f t="shared" si="75"/>
        <v>23379573</v>
      </c>
      <c r="AH614" s="7"/>
      <c r="AI614" s="7">
        <f t="shared" si="76"/>
        <v>26324844</v>
      </c>
      <c r="AK614" s="7"/>
    </row>
    <row r="615" spans="1:37" ht="12" customHeight="1">
      <c r="A615" s="11" t="s">
        <v>892</v>
      </c>
      <c r="B615" s="11"/>
      <c r="C615" s="11" t="s">
        <v>114</v>
      </c>
      <c r="D615" s="11"/>
      <c r="E615" s="29">
        <v>45674</v>
      </c>
      <c r="G615" s="7">
        <v>1029224</v>
      </c>
      <c r="I615" s="7">
        <v>618997</v>
      </c>
      <c r="K615" s="7">
        <v>0</v>
      </c>
      <c r="M615" s="7">
        <f t="shared" si="74"/>
        <v>1648221</v>
      </c>
      <c r="O615" s="7">
        <f>3216925+121416+274061</f>
        <v>3612402</v>
      </c>
      <c r="Q615" s="7">
        <v>1118079</v>
      </c>
      <c r="S615" s="7">
        <v>1854516</v>
      </c>
      <c r="U615" s="7">
        <v>10509</v>
      </c>
      <c r="W615" s="7">
        <v>0</v>
      </c>
      <c r="Y615" s="7">
        <v>0</v>
      </c>
      <c r="AA615" s="7">
        <v>707</v>
      </c>
      <c r="AB615" s="58"/>
      <c r="AC615" s="7">
        <v>0</v>
      </c>
      <c r="AE615" s="7">
        <v>0</v>
      </c>
      <c r="AG615" s="7">
        <f t="shared" si="75"/>
        <v>6596213</v>
      </c>
      <c r="AH615" s="7"/>
      <c r="AI615" s="7">
        <f t="shared" si="76"/>
        <v>8244434</v>
      </c>
      <c r="AK615" s="7"/>
    </row>
    <row r="616" spans="1:37" ht="12" customHeight="1">
      <c r="A616" s="11" t="s">
        <v>422</v>
      </c>
      <c r="B616" s="11"/>
      <c r="C616" s="11" t="s">
        <v>45</v>
      </c>
      <c r="D616" s="11"/>
      <c r="E616" s="29">
        <v>45161</v>
      </c>
      <c r="G616" s="7">
        <v>1670727</v>
      </c>
      <c r="I616" s="7">
        <v>34425016</v>
      </c>
      <c r="K616" s="7">
        <v>414933</v>
      </c>
      <c r="M616" s="7">
        <f t="shared" si="74"/>
        <v>36510676</v>
      </c>
      <c r="O616" s="7">
        <f>19514163+1434822+199447</f>
        <v>21148432</v>
      </c>
      <c r="Q616" s="7">
        <v>0</v>
      </c>
      <c r="S616" s="7">
        <f>84241410+284475</f>
        <v>84525885</v>
      </c>
      <c r="U616" s="7">
        <v>92504</v>
      </c>
      <c r="W616" s="7">
        <v>0</v>
      </c>
      <c r="Y616" s="7">
        <v>0</v>
      </c>
      <c r="AA616" s="7">
        <v>744062</v>
      </c>
      <c r="AB616" s="58"/>
      <c r="AC616" s="7">
        <v>0</v>
      </c>
      <c r="AE616" s="7">
        <v>-11000000</v>
      </c>
      <c r="AG616" s="7">
        <f t="shared" si="75"/>
        <v>95510883</v>
      </c>
      <c r="AH616" s="7"/>
      <c r="AI616" s="7">
        <f t="shared" si="76"/>
        <v>132021559</v>
      </c>
      <c r="AK616" s="7"/>
    </row>
    <row r="617" spans="1:37" ht="12" customHeight="1">
      <c r="A617" s="11" t="s">
        <v>492</v>
      </c>
      <c r="B617" s="11"/>
      <c r="C617" s="11" t="s">
        <v>58</v>
      </c>
      <c r="D617" s="11"/>
      <c r="E617" s="29">
        <v>49544</v>
      </c>
      <c r="G617" s="7">
        <v>1167709</v>
      </c>
      <c r="I617" s="7">
        <v>5862131</v>
      </c>
      <c r="K617" s="7">
        <v>0</v>
      </c>
      <c r="M617" s="7">
        <f t="shared" si="74"/>
        <v>7029840</v>
      </c>
      <c r="O617" s="7">
        <f>3793797+324997+65827</f>
        <v>4184621</v>
      </c>
      <c r="Q617" s="7">
        <v>0</v>
      </c>
      <c r="S617" s="7">
        <v>2963289</v>
      </c>
      <c r="U617" s="7">
        <v>42062</v>
      </c>
      <c r="W617" s="7">
        <v>0</v>
      </c>
      <c r="Y617" s="7">
        <v>0</v>
      </c>
      <c r="AA617" s="7">
        <v>253376</v>
      </c>
      <c r="AB617" s="58"/>
      <c r="AC617" s="7">
        <v>0</v>
      </c>
      <c r="AE617" s="7">
        <v>0</v>
      </c>
      <c r="AG617" s="7">
        <f t="shared" si="75"/>
        <v>7443348</v>
      </c>
      <c r="AH617" s="7"/>
      <c r="AI617" s="7">
        <f t="shared" si="76"/>
        <v>14473188</v>
      </c>
      <c r="AK617" s="7"/>
    </row>
    <row r="618" spans="1:37" ht="12" customHeight="1">
      <c r="A618" s="11" t="s">
        <v>461</v>
      </c>
      <c r="B618" s="11"/>
      <c r="C618" s="11" t="s">
        <v>51</v>
      </c>
      <c r="D618" s="11"/>
      <c r="E618" s="29">
        <v>45179</v>
      </c>
      <c r="G618" s="7">
        <v>2259148</v>
      </c>
      <c r="I618" s="7">
        <v>9450901</v>
      </c>
      <c r="K618" s="7">
        <v>46802</v>
      </c>
      <c r="M618" s="7">
        <f t="shared" si="74"/>
        <v>11756851</v>
      </c>
      <c r="O618" s="7">
        <f>12806919+3154565+259807</f>
        <v>16221291</v>
      </c>
      <c r="Q618" s="7">
        <v>0</v>
      </c>
      <c r="S618" s="7">
        <f>26140580+1184766</f>
        <v>27325346</v>
      </c>
      <c r="U618" s="7">
        <v>74389</v>
      </c>
      <c r="W618" s="7">
        <v>23568</v>
      </c>
      <c r="Y618" s="7">
        <v>0</v>
      </c>
      <c r="AA618" s="7">
        <v>189754</v>
      </c>
      <c r="AB618" s="58"/>
      <c r="AC618" s="7">
        <v>0</v>
      </c>
      <c r="AE618" s="7">
        <v>0</v>
      </c>
      <c r="AG618" s="7">
        <f t="shared" si="75"/>
        <v>43834348</v>
      </c>
      <c r="AH618" s="7"/>
      <c r="AI618" s="7">
        <f t="shared" si="76"/>
        <v>55591199</v>
      </c>
      <c r="AK618" s="7"/>
    </row>
    <row r="619" spans="1:37" ht="12" customHeight="1">
      <c r="A619" s="11"/>
      <c r="B619" s="11"/>
      <c r="C619" s="11"/>
      <c r="D619" s="11"/>
      <c r="AB619" s="58"/>
      <c r="AH619" s="7"/>
    </row>
    <row r="620" spans="1:37" ht="12" customHeight="1">
      <c r="AB620" s="58"/>
      <c r="AH620" s="7"/>
    </row>
    <row r="621" spans="1:37" ht="12" customHeight="1">
      <c r="AB621" s="58"/>
      <c r="AH621" s="7"/>
    </row>
    <row r="622" spans="1:37" ht="12" customHeight="1"/>
    <row r="623" spans="1:37" ht="12" customHeight="1"/>
    <row r="624" spans="1:37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</sheetData>
  <mergeCells count="4">
    <mergeCell ref="O5:Q5"/>
    <mergeCell ref="O4:Q4"/>
    <mergeCell ref="S4:AA4"/>
    <mergeCell ref="S5:AA5"/>
  </mergeCells>
  <phoneticPr fontId="3" type="noConversion"/>
  <printOptions horizontalCentered="1"/>
  <pageMargins left="0.9" right="0.75" top="0.5" bottom="0.5" header="0.25" footer="0.25"/>
  <pageSetup scale="77" firstPageNumber="24" fitToWidth="2" fitToHeight="0" pageOrder="overThenDown" orientation="portrait" useFirstPageNumber="1" r:id="rId1"/>
  <headerFooter alignWithMargins="0"/>
  <colBreaks count="1" manualBreakCount="1">
    <brk id="17" max="62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26"/>
  <sheetViews>
    <sheetView view="pageBreakPreview" zoomScaleNormal="100" zoomScaleSheetLayoutView="100" workbookViewId="0">
      <pane xSplit="5" ySplit="9" topLeftCell="G468" activePane="bottomRight" state="frozen"/>
      <selection sqref="A1:IV65536"/>
      <selection pane="topRight" sqref="A1:IV65536"/>
      <selection pane="bottomLeft" sqref="A1:IV65536"/>
      <selection pane="bottomRight" activeCell="A6" sqref="A6"/>
    </sheetView>
  </sheetViews>
  <sheetFormatPr defaultColWidth="9.140625" defaultRowHeight="12"/>
  <cols>
    <col min="1" max="1" width="32" style="7" customWidth="1"/>
    <col min="2" max="2" width="1.7109375" style="7" customWidth="1"/>
    <col min="3" max="3" width="11.7109375" style="7" customWidth="1"/>
    <col min="4" max="4" width="1.7109375" style="7" customWidth="1"/>
    <col min="5" max="5" width="11.7109375" style="7" hidden="1" customWidth="1"/>
    <col min="6" max="6" width="1.7109375" style="7" hidden="1" customWidth="1"/>
    <col min="7" max="7" width="10.140625" style="7" bestFit="1" customWidth="1"/>
    <col min="8" max="8" width="1.7109375" style="7" customWidth="1"/>
    <col min="9" max="9" width="10.140625" style="7" bestFit="1" customWidth="1"/>
    <col min="10" max="10" width="1.7109375" style="7" customWidth="1"/>
    <col min="11" max="11" width="11.7109375" style="7" customWidth="1"/>
    <col min="12" max="12" width="1.7109375" style="7" customWidth="1"/>
    <col min="13" max="13" width="13.140625" style="7" bestFit="1" customWidth="1"/>
    <col min="14" max="14" width="1.7109375" style="7" customWidth="1"/>
    <col min="15" max="15" width="9.28515625" style="7" bestFit="1" customWidth="1"/>
    <col min="16" max="16" width="1.7109375" style="7" customWidth="1"/>
    <col min="17" max="17" width="11.7109375" style="7" customWidth="1"/>
    <col min="18" max="18" width="1.7109375" style="7" customWidth="1"/>
    <col min="19" max="19" width="11.7109375" style="7" customWidth="1"/>
    <col min="20" max="20" width="1.42578125" style="7" customWidth="1"/>
    <col min="21" max="21" width="11.7109375" style="7" customWidth="1"/>
    <col min="22" max="22" width="1.7109375" style="7" customWidth="1"/>
    <col min="23" max="23" width="11.7109375" style="7" customWidth="1"/>
    <col min="24" max="24" width="1.7109375" style="7" customWidth="1"/>
    <col min="25" max="25" width="9.28515625" style="7" bestFit="1" customWidth="1"/>
    <col min="26" max="26" width="1.7109375" style="7" customWidth="1"/>
    <col min="27" max="27" width="8.42578125" style="7" bestFit="1" customWidth="1"/>
    <col min="28" max="28" width="1.7109375" style="7" customWidth="1"/>
    <col min="29" max="29" width="11.7109375" style="7" customWidth="1"/>
    <col min="30" max="30" width="1.7109375" style="7" customWidth="1"/>
    <col min="31" max="31" width="11.7109375" style="7" customWidth="1"/>
    <col min="32" max="32" width="1.7109375" style="7" customWidth="1"/>
    <col min="33" max="33" width="11.7109375" style="7" customWidth="1"/>
    <col min="34" max="34" width="1.7109375" style="7" customWidth="1"/>
    <col min="35" max="35" width="41.85546875" style="7" customWidth="1"/>
    <col min="36" max="36" width="1.7109375" style="7" customWidth="1"/>
    <col min="37" max="37" width="13.7109375" style="7" customWidth="1"/>
    <col min="38" max="38" width="1.7109375" style="7" customWidth="1"/>
    <col min="39" max="39" width="9.28515625" style="7" bestFit="1" customWidth="1"/>
    <col min="40" max="40" width="1.7109375" style="7" customWidth="1"/>
    <col min="41" max="41" width="9.28515625" style="7" bestFit="1" customWidth="1"/>
    <col min="42" max="42" width="1.7109375" style="7" customWidth="1"/>
    <col min="43" max="43" width="11" style="7" bestFit="1" customWidth="1"/>
    <col min="44" max="44" width="1.7109375" style="7" customWidth="1"/>
    <col min="45" max="45" width="9.28515625" style="7" bestFit="1" customWidth="1"/>
    <col min="46" max="46" width="1.7109375" style="7" customWidth="1"/>
    <col min="47" max="47" width="11.7109375" style="7" hidden="1" customWidth="1"/>
    <col min="48" max="48" width="1.42578125" style="7" hidden="1" customWidth="1"/>
    <col min="49" max="49" width="10.85546875" style="7" bestFit="1" customWidth="1"/>
    <col min="50" max="50" width="1.7109375" style="7" customWidth="1"/>
    <col min="51" max="51" width="12.140625" style="7" customWidth="1"/>
    <col min="52" max="52" width="1.7109375" style="7" customWidth="1"/>
    <col min="53" max="53" width="11.7109375" style="7" customWidth="1"/>
    <col min="54" max="54" width="1.7109375" style="7" customWidth="1"/>
    <col min="55" max="55" width="11.7109375" style="7" customWidth="1"/>
    <col min="56" max="56" width="1.7109375" style="7" customWidth="1"/>
    <col min="57" max="57" width="11.7109375" style="7" customWidth="1"/>
    <col min="58" max="58" width="1.7109375" style="7" customWidth="1"/>
    <col min="59" max="61" width="11.7109375" style="7" customWidth="1"/>
    <col min="62" max="62" width="1.7109375" style="7" customWidth="1"/>
    <col min="63" max="63" width="9.140625" style="7"/>
    <col min="64" max="64" width="11.7109375" style="7" customWidth="1"/>
    <col min="65" max="65" width="9.140625" style="7"/>
    <col min="66" max="66" width="11.7109375" style="7" customWidth="1"/>
    <col min="67" max="67" width="9.140625" style="7"/>
    <col min="68" max="68" width="11.7109375" style="7" customWidth="1"/>
    <col min="69" max="16384" width="9.140625" style="7"/>
  </cols>
  <sheetData>
    <row r="1" spans="1:68">
      <c r="A1" s="112" t="s">
        <v>124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N1" s="81"/>
      <c r="AI1" s="112" t="s">
        <v>124</v>
      </c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</row>
    <row r="2" spans="1:68">
      <c r="A2" s="14" t="s">
        <v>770</v>
      </c>
      <c r="B2" s="14"/>
      <c r="C2" s="14"/>
      <c r="D2" s="14"/>
      <c r="E2" s="14"/>
      <c r="AI2" s="14" t="s">
        <v>770</v>
      </c>
      <c r="AJ2" s="14"/>
      <c r="AK2" s="14"/>
      <c r="AL2" s="14"/>
      <c r="AU2" s="55" t="s">
        <v>589</v>
      </c>
    </row>
    <row r="3" spans="1:68">
      <c r="A3" s="14" t="s">
        <v>622</v>
      </c>
      <c r="AI3" s="14" t="s">
        <v>622</v>
      </c>
      <c r="AU3" s="55" t="s">
        <v>590</v>
      </c>
    </row>
    <row r="4" spans="1:68">
      <c r="A4" s="14" t="s">
        <v>169</v>
      </c>
      <c r="B4" s="14"/>
      <c r="C4" s="14"/>
      <c r="D4" s="14"/>
      <c r="E4" s="14"/>
      <c r="AI4" s="14" t="s">
        <v>169</v>
      </c>
      <c r="AJ4" s="14"/>
      <c r="AK4" s="14"/>
      <c r="AL4" s="14"/>
      <c r="AU4" s="55" t="s">
        <v>591</v>
      </c>
    </row>
    <row r="5" spans="1:68">
      <c r="A5" s="59" t="s">
        <v>768</v>
      </c>
      <c r="AI5" s="59" t="s">
        <v>768</v>
      </c>
    </row>
    <row r="6" spans="1:68">
      <c r="A6" s="59"/>
      <c r="B6" s="14"/>
      <c r="C6" s="14"/>
      <c r="D6" s="14"/>
      <c r="E6" s="14"/>
      <c r="G6" s="17" t="s">
        <v>143</v>
      </c>
      <c r="H6" s="17"/>
      <c r="I6" s="17"/>
      <c r="J6" s="17"/>
      <c r="K6" s="17"/>
      <c r="L6" s="17"/>
      <c r="M6" s="17"/>
      <c r="N6" s="17"/>
      <c r="O6" s="17"/>
      <c r="Q6" s="17" t="s">
        <v>144</v>
      </c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I6" s="59"/>
      <c r="AJ6" s="14"/>
      <c r="AK6" s="14"/>
      <c r="AL6" s="14"/>
      <c r="AM6" s="17" t="s">
        <v>156</v>
      </c>
      <c r="AN6" s="17"/>
      <c r="AO6" s="17"/>
      <c r="AU6" s="15" t="s">
        <v>580</v>
      </c>
      <c r="BG6" s="15" t="s">
        <v>100</v>
      </c>
      <c r="BH6" s="15"/>
      <c r="BI6" s="15"/>
    </row>
    <row r="7" spans="1:68" ht="12" customHeight="1">
      <c r="A7" s="59"/>
      <c r="M7" s="15"/>
      <c r="O7" s="15"/>
      <c r="AC7" s="15" t="s">
        <v>151</v>
      </c>
      <c r="AI7" s="59"/>
      <c r="AU7" s="15" t="s">
        <v>581</v>
      </c>
      <c r="BA7" s="15"/>
      <c r="BB7" s="15"/>
      <c r="BC7" s="15" t="s">
        <v>100</v>
      </c>
      <c r="BD7" s="15"/>
      <c r="BE7" s="15" t="s">
        <v>100</v>
      </c>
      <c r="BG7" s="15" t="s">
        <v>167</v>
      </c>
      <c r="BH7" s="15"/>
      <c r="BI7" s="15"/>
    </row>
    <row r="8" spans="1:68">
      <c r="B8" s="4"/>
      <c r="C8" s="4"/>
      <c r="D8" s="4"/>
      <c r="E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 t="s">
        <v>145</v>
      </c>
      <c r="T8" s="4"/>
      <c r="U8" s="4" t="s">
        <v>147</v>
      </c>
      <c r="V8" s="4"/>
      <c r="W8" s="4"/>
      <c r="X8" s="4"/>
      <c r="Y8" s="4"/>
      <c r="Z8" s="4"/>
      <c r="AA8" s="4"/>
      <c r="AB8" s="4"/>
      <c r="AC8" s="4" t="s">
        <v>152</v>
      </c>
      <c r="AD8" s="4"/>
      <c r="AE8" s="4" t="s">
        <v>154</v>
      </c>
      <c r="AF8" s="4"/>
      <c r="AG8" s="4"/>
      <c r="AH8" s="4"/>
      <c r="AJ8" s="4"/>
      <c r="AK8" s="4"/>
      <c r="AL8" s="4"/>
      <c r="AM8" s="15" t="s">
        <v>157</v>
      </c>
      <c r="AN8" s="15"/>
      <c r="AO8" s="15"/>
      <c r="AP8" s="15"/>
      <c r="AQ8" s="15" t="s">
        <v>159</v>
      </c>
      <c r="AR8" s="15"/>
      <c r="AS8" s="15"/>
      <c r="AT8" s="15"/>
      <c r="AU8" s="15" t="s">
        <v>582</v>
      </c>
      <c r="AV8" s="15"/>
      <c r="AW8" s="15" t="s">
        <v>597</v>
      </c>
      <c r="AX8" s="15"/>
      <c r="AY8" s="4" t="s">
        <v>3</v>
      </c>
      <c r="AZ8" s="15"/>
      <c r="BA8" s="15" t="s">
        <v>119</v>
      </c>
      <c r="BB8" s="15"/>
      <c r="BC8" s="4" t="s">
        <v>163</v>
      </c>
      <c r="BD8" s="15"/>
      <c r="BE8" s="15" t="s">
        <v>165</v>
      </c>
      <c r="BG8" s="15" t="s">
        <v>168</v>
      </c>
      <c r="BH8" s="15"/>
      <c r="BI8" s="15"/>
    </row>
    <row r="9" spans="1:68">
      <c r="A9" s="82" t="s">
        <v>200</v>
      </c>
      <c r="B9" s="15"/>
      <c r="C9" s="82" t="s">
        <v>4</v>
      </c>
      <c r="D9" s="15"/>
      <c r="E9" s="82" t="s">
        <v>199</v>
      </c>
      <c r="G9" s="1" t="s">
        <v>608</v>
      </c>
      <c r="I9" s="1" t="s">
        <v>2</v>
      </c>
      <c r="K9" s="1" t="s">
        <v>142</v>
      </c>
      <c r="M9" s="1" t="s">
        <v>773</v>
      </c>
      <c r="O9" s="1" t="s">
        <v>82</v>
      </c>
      <c r="Q9" s="1" t="s">
        <v>614</v>
      </c>
      <c r="S9" s="1" t="s">
        <v>146</v>
      </c>
      <c r="U9" s="1" t="s">
        <v>148</v>
      </c>
      <c r="W9" s="1" t="s">
        <v>149</v>
      </c>
      <c r="Y9" s="1" t="s">
        <v>150</v>
      </c>
      <c r="Z9" s="4"/>
      <c r="AA9" s="82" t="s">
        <v>578</v>
      </c>
      <c r="AC9" s="1" t="s">
        <v>153</v>
      </c>
      <c r="AD9" s="4"/>
      <c r="AE9" s="82" t="s">
        <v>155</v>
      </c>
      <c r="AF9" s="4"/>
      <c r="AG9" s="82" t="s">
        <v>579</v>
      </c>
      <c r="AI9" s="82" t="s">
        <v>200</v>
      </c>
      <c r="AJ9" s="15"/>
      <c r="AK9" s="82" t="s">
        <v>4</v>
      </c>
      <c r="AL9" s="82"/>
      <c r="AM9" s="82" t="s">
        <v>158</v>
      </c>
      <c r="AO9" s="82" t="s">
        <v>824</v>
      </c>
      <c r="AP9" s="4"/>
      <c r="AQ9" s="82" t="s">
        <v>160</v>
      </c>
      <c r="AR9" s="4"/>
      <c r="AS9" s="82" t="s">
        <v>161</v>
      </c>
      <c r="AT9" s="4"/>
      <c r="AU9" s="82" t="s">
        <v>583</v>
      </c>
      <c r="AV9" s="4"/>
      <c r="AW9" s="82" t="s">
        <v>122</v>
      </c>
      <c r="AX9" s="4"/>
      <c r="AY9" s="82" t="s">
        <v>122</v>
      </c>
      <c r="AZ9" s="4"/>
      <c r="BA9" s="82" t="s">
        <v>100</v>
      </c>
      <c r="BB9" s="15"/>
      <c r="BC9" s="82" t="s">
        <v>164</v>
      </c>
      <c r="BD9" s="15"/>
      <c r="BE9" s="82" t="s">
        <v>166</v>
      </c>
      <c r="BG9" s="82" t="s">
        <v>135</v>
      </c>
      <c r="BH9" s="4"/>
      <c r="BI9" s="4"/>
      <c r="BL9" s="7" t="s">
        <v>828</v>
      </c>
      <c r="BM9" s="7" t="s">
        <v>829</v>
      </c>
      <c r="BO9" s="7" t="s">
        <v>815</v>
      </c>
      <c r="BP9" s="7" t="s">
        <v>831</v>
      </c>
    </row>
    <row r="10" spans="1:68" ht="12.75" customHeight="1">
      <c r="A10" s="12"/>
      <c r="B10" s="12"/>
      <c r="C10" s="12"/>
      <c r="D10" s="12"/>
      <c r="E10" s="12"/>
      <c r="G10" s="4"/>
      <c r="I10" s="4"/>
      <c r="K10" s="4"/>
      <c r="M10" s="4"/>
      <c r="O10" s="4"/>
      <c r="Q10" s="4"/>
      <c r="S10" s="4"/>
      <c r="U10" s="4"/>
      <c r="W10" s="4"/>
      <c r="Y10" s="4"/>
      <c r="Z10" s="4"/>
      <c r="AA10" s="4"/>
      <c r="AC10" s="4"/>
      <c r="AD10" s="4"/>
      <c r="AE10" s="4"/>
      <c r="AF10" s="4"/>
      <c r="AG10" s="4"/>
      <c r="AI10" s="12"/>
      <c r="AJ10" s="12"/>
      <c r="AK10" s="12"/>
      <c r="AL10" s="12"/>
      <c r="AM10" s="4"/>
      <c r="AO10" s="4"/>
      <c r="AQ10" s="4"/>
      <c r="AS10" s="4"/>
      <c r="AU10" s="4"/>
      <c r="AW10" s="4"/>
      <c r="BC10" s="4"/>
    </row>
    <row r="11" spans="1:68" s="32" customFormat="1">
      <c r="A11" s="31" t="s">
        <v>898</v>
      </c>
      <c r="B11" s="31"/>
      <c r="C11" s="31" t="s">
        <v>201</v>
      </c>
      <c r="D11" s="31"/>
      <c r="E11" s="31">
        <v>61903</v>
      </c>
      <c r="G11" s="32">
        <v>19265046</v>
      </c>
      <c r="I11" s="32">
        <v>3984576</v>
      </c>
      <c r="K11" s="32">
        <v>2763267</v>
      </c>
      <c r="M11" s="32">
        <v>438908</v>
      </c>
      <c r="O11" s="32">
        <v>503436</v>
      </c>
      <c r="Q11" s="32">
        <v>1765962</v>
      </c>
      <c r="S11" s="32">
        <v>3158544</v>
      </c>
      <c r="U11" s="32">
        <v>2887106</v>
      </c>
      <c r="W11" s="32">
        <v>68668</v>
      </c>
      <c r="Y11" s="32">
        <v>863924</v>
      </c>
      <c r="AA11" s="32">
        <v>389335</v>
      </c>
      <c r="AC11" s="32">
        <v>3013113</v>
      </c>
      <c r="AE11" s="32">
        <v>2884403</v>
      </c>
      <c r="AG11" s="32">
        <v>271172</v>
      </c>
      <c r="AI11" s="31" t="s">
        <v>898</v>
      </c>
      <c r="AJ11" s="31"/>
      <c r="AK11" s="31" t="s">
        <v>201</v>
      </c>
      <c r="AL11" s="31"/>
      <c r="AM11" s="32">
        <v>2397922</v>
      </c>
      <c r="AO11" s="32">
        <v>0</v>
      </c>
      <c r="AQ11" s="32">
        <v>622183</v>
      </c>
      <c r="AS11" s="32">
        <v>1700286</v>
      </c>
      <c r="AW11" s="32">
        <v>0</v>
      </c>
      <c r="AY11" s="32">
        <f>SUM(G11:AX11)</f>
        <v>46977851</v>
      </c>
      <c r="BA11" s="32">
        <f>+'St of Activites - GA Rev'!AI11-'St of Activities - GA Exp'!AY11</f>
        <v>194777</v>
      </c>
      <c r="BC11" s="32">
        <v>78142739</v>
      </c>
      <c r="BE11" s="32">
        <f>+BA11+BC11</f>
        <v>78337516</v>
      </c>
      <c r="BG11" s="32">
        <f>+'St of Net Assets - GA'!AA11-'St of Activities - GA Exp'!BE11</f>
        <v>0</v>
      </c>
      <c r="BL11" s="32" t="str">
        <f>A11</f>
        <v>Adams County/Ohio Valley Local SD</v>
      </c>
      <c r="BM11" s="32" t="b">
        <f>A11=AI11</f>
        <v>1</v>
      </c>
      <c r="BO11" s="32" t="str">
        <f>C11</f>
        <v>Adams</v>
      </c>
      <c r="BP11" s="32" t="b">
        <f>C11=AK11</f>
        <v>1</v>
      </c>
    </row>
    <row r="12" spans="1:68">
      <c r="A12" s="12" t="s">
        <v>607</v>
      </c>
      <c r="B12" s="12"/>
      <c r="C12" s="12" t="s">
        <v>58</v>
      </c>
      <c r="D12" s="12"/>
      <c r="E12" s="12">
        <v>49494</v>
      </c>
      <c r="G12" s="7">
        <v>5499425</v>
      </c>
      <c r="I12" s="7">
        <v>1356843</v>
      </c>
      <c r="K12" s="7">
        <v>9147</v>
      </c>
      <c r="M12" s="7">
        <v>0</v>
      </c>
      <c r="O12" s="7">
        <v>895661</v>
      </c>
      <c r="Q12" s="7">
        <v>463772</v>
      </c>
      <c r="S12" s="7">
        <v>618787</v>
      </c>
      <c r="U12" s="7">
        <v>39528</v>
      </c>
      <c r="W12" s="7">
        <v>953575</v>
      </c>
      <c r="Y12" s="7">
        <v>329584</v>
      </c>
      <c r="AA12" s="7">
        <v>0</v>
      </c>
      <c r="AC12" s="7">
        <v>983966</v>
      </c>
      <c r="AE12" s="7">
        <v>815519</v>
      </c>
      <c r="AG12" s="7">
        <v>80181</v>
      </c>
      <c r="AI12" s="12" t="s">
        <v>607</v>
      </c>
      <c r="AJ12" s="12"/>
      <c r="AK12" s="12" t="s">
        <v>58</v>
      </c>
      <c r="AL12" s="12"/>
      <c r="AM12" s="7">
        <v>0</v>
      </c>
      <c r="AO12" s="7">
        <v>461498</v>
      </c>
      <c r="AQ12" s="7">
        <v>381236</v>
      </c>
      <c r="AS12" s="7">
        <v>144074</v>
      </c>
      <c r="AW12" s="7">
        <v>0</v>
      </c>
      <c r="AY12" s="7">
        <f t="shared" ref="AY12:AY78" si="0">SUM(G12:AX12)</f>
        <v>13032796</v>
      </c>
      <c r="BA12" s="7">
        <f>+'St of Activites - GA Rev'!AI12-'St of Activities - GA Exp'!AY12</f>
        <v>-92917</v>
      </c>
      <c r="BC12" s="7">
        <v>22094139</v>
      </c>
      <c r="BE12" s="7">
        <f t="shared" ref="BE12:BE78" si="1">+BA12+BC12</f>
        <v>22001222</v>
      </c>
      <c r="BG12" s="7">
        <f>+'St of Net Assets - GA'!AA12-'St of Activities - GA Exp'!BE12</f>
        <v>0</v>
      </c>
      <c r="BL12" s="7" t="str">
        <f t="shared" ref="BL12:BL75" si="2">A12</f>
        <v xml:space="preserve">Adena Local SD </v>
      </c>
      <c r="BM12" s="7" t="b">
        <f t="shared" ref="BM12:BM75" si="3">A12=AI12</f>
        <v>1</v>
      </c>
      <c r="BO12" s="7" t="str">
        <f t="shared" ref="BO12:BO75" si="4">C12</f>
        <v>Ross</v>
      </c>
      <c r="BP12" s="7" t="b">
        <f t="shared" ref="BP12:BP75" si="5">C12=AK12</f>
        <v>1</v>
      </c>
    </row>
    <row r="13" spans="1:68">
      <c r="A13" s="12" t="s">
        <v>522</v>
      </c>
      <c r="B13" s="12"/>
      <c r="C13" s="12" t="s">
        <v>63</v>
      </c>
      <c r="D13" s="12"/>
      <c r="E13" s="12">
        <v>43489</v>
      </c>
      <c r="G13" s="7">
        <v>156299994</v>
      </c>
      <c r="I13" s="7">
        <v>37396455</v>
      </c>
      <c r="K13" s="7">
        <v>12376897</v>
      </c>
      <c r="M13" s="7">
        <v>760329</v>
      </c>
      <c r="O13" s="7">
        <v>11863077</v>
      </c>
      <c r="Q13" s="7">
        <v>20334056</v>
      </c>
      <c r="S13" s="7">
        <v>27912050</v>
      </c>
      <c r="U13" s="7">
        <v>98356</v>
      </c>
      <c r="W13" s="7">
        <v>20945015</v>
      </c>
      <c r="Y13" s="7">
        <v>4560933</v>
      </c>
      <c r="AA13" s="7">
        <v>2831966</v>
      </c>
      <c r="AC13" s="7">
        <v>47956179</v>
      </c>
      <c r="AE13" s="7">
        <v>11965691</v>
      </c>
      <c r="AG13" s="7">
        <v>9448294</v>
      </c>
      <c r="AI13" s="12" t="s">
        <v>522</v>
      </c>
      <c r="AJ13" s="12"/>
      <c r="AK13" s="12" t="s">
        <v>63</v>
      </c>
      <c r="AL13" s="12"/>
      <c r="AM13" s="7">
        <v>10963149</v>
      </c>
      <c r="AO13" s="7">
        <v>4058132</v>
      </c>
      <c r="AQ13" s="7">
        <v>3536105</v>
      </c>
      <c r="AS13" s="7">
        <v>0</v>
      </c>
      <c r="AW13" s="7">
        <v>0</v>
      </c>
      <c r="AY13" s="7">
        <f t="shared" si="0"/>
        <v>383306678</v>
      </c>
      <c r="BA13" s="7">
        <f>+'St of Activites - GA Rev'!AI13-'St of Activities - GA Exp'!AY13</f>
        <v>-16167294</v>
      </c>
      <c r="BC13" s="7">
        <v>331714449</v>
      </c>
      <c r="BE13" s="7">
        <f t="shared" si="1"/>
        <v>315547155</v>
      </c>
      <c r="BG13" s="7">
        <f>+'St of Net Assets - GA'!AA13-'St of Activities - GA Exp'!BE13</f>
        <v>0</v>
      </c>
      <c r="BL13" s="7" t="str">
        <f t="shared" si="2"/>
        <v>Akron City SD</v>
      </c>
      <c r="BM13" s="7" t="b">
        <f t="shared" si="3"/>
        <v>1</v>
      </c>
      <c r="BO13" s="7" t="str">
        <f t="shared" si="4"/>
        <v>Summit</v>
      </c>
      <c r="BP13" s="7" t="b">
        <f t="shared" si="5"/>
        <v>1</v>
      </c>
    </row>
    <row r="14" spans="1:68" ht="12" hidden="1" customHeight="1">
      <c r="A14" s="12" t="s">
        <v>643</v>
      </c>
      <c r="B14" s="12"/>
      <c r="C14" s="12" t="s">
        <v>13</v>
      </c>
      <c r="D14" s="12"/>
      <c r="E14" s="12">
        <v>45906</v>
      </c>
      <c r="AI14" s="12" t="s">
        <v>643</v>
      </c>
      <c r="AJ14" s="12"/>
      <c r="AK14" s="12" t="s">
        <v>13</v>
      </c>
      <c r="AL14" s="12"/>
      <c r="AY14" s="7">
        <f t="shared" si="0"/>
        <v>0</v>
      </c>
      <c r="BA14" s="7">
        <f>+'St of Activites - GA Rev'!AI14-'St of Activities - GA Exp'!AY14</f>
        <v>0</v>
      </c>
      <c r="BE14" s="7">
        <f t="shared" si="1"/>
        <v>0</v>
      </c>
      <c r="BG14" s="7">
        <f>+'St of Net Assets - GA'!AA14-'St of Activities - GA Exp'!BE14</f>
        <v>0</v>
      </c>
      <c r="BH14" s="7" t="s">
        <v>778</v>
      </c>
      <c r="BL14" s="7" t="str">
        <f t="shared" si="2"/>
        <v>Alexander Local SD (CASH)</v>
      </c>
      <c r="BM14" s="7" t="b">
        <f t="shared" si="3"/>
        <v>1</v>
      </c>
      <c r="BO14" s="7" t="str">
        <f t="shared" si="4"/>
        <v>Athens</v>
      </c>
      <c r="BP14" s="7" t="b">
        <f t="shared" si="5"/>
        <v>1</v>
      </c>
    </row>
    <row r="15" spans="1:68">
      <c r="A15" s="12" t="s">
        <v>508</v>
      </c>
      <c r="B15" s="12"/>
      <c r="C15" s="12" t="s">
        <v>62</v>
      </c>
      <c r="D15" s="12"/>
      <c r="E15" s="12">
        <v>43497</v>
      </c>
      <c r="G15" s="7">
        <v>12966270</v>
      </c>
      <c r="I15" s="7">
        <v>4869150</v>
      </c>
      <c r="K15" s="7">
        <v>1445340</v>
      </c>
      <c r="M15" s="7">
        <v>882608</v>
      </c>
      <c r="O15" s="7">
        <f>179866+288557</f>
        <v>468423</v>
      </c>
      <c r="Q15" s="7">
        <v>2128148</v>
      </c>
      <c r="S15" s="7">
        <v>1352147</v>
      </c>
      <c r="U15" s="7">
        <v>39069</v>
      </c>
      <c r="W15" s="7">
        <v>2586039</v>
      </c>
      <c r="Y15" s="7">
        <v>559719</v>
      </c>
      <c r="AA15" s="7">
        <v>331748</v>
      </c>
      <c r="AC15" s="7">
        <v>5335306</v>
      </c>
      <c r="AE15" s="7">
        <v>820563</v>
      </c>
      <c r="AG15" s="7">
        <v>105985</v>
      </c>
      <c r="AI15" s="12" t="s">
        <v>508</v>
      </c>
      <c r="AJ15" s="12"/>
      <c r="AK15" s="12" t="s">
        <v>62</v>
      </c>
      <c r="AL15" s="12"/>
      <c r="AM15" s="7">
        <v>1430004</v>
      </c>
      <c r="AO15" s="7">
        <v>127079</v>
      </c>
      <c r="AQ15" s="7">
        <v>591978</v>
      </c>
      <c r="AS15" s="7">
        <v>572356</v>
      </c>
      <c r="AW15" s="7">
        <v>0</v>
      </c>
      <c r="AY15" s="7">
        <f t="shared" si="0"/>
        <v>36611932</v>
      </c>
      <c r="BA15" s="7">
        <f>+'St of Activites - GA Rev'!AI15-'St of Activities - GA Exp'!AY15</f>
        <v>-245864</v>
      </c>
      <c r="BC15" s="7">
        <v>42429510</v>
      </c>
      <c r="BE15" s="7">
        <f t="shared" si="1"/>
        <v>42183646</v>
      </c>
      <c r="BG15" s="7">
        <f>+'St of Net Assets - GA'!AA15-'St of Activities - GA Exp'!BE15</f>
        <v>0</v>
      </c>
      <c r="BL15" s="7" t="str">
        <f t="shared" si="2"/>
        <v>Alliance City SD</v>
      </c>
      <c r="BM15" s="7" t="b">
        <f t="shared" si="3"/>
        <v>1</v>
      </c>
      <c r="BO15" s="7" t="str">
        <f t="shared" si="4"/>
        <v>Stark</v>
      </c>
      <c r="BP15" s="7" t="b">
        <f t="shared" si="5"/>
        <v>1</v>
      </c>
    </row>
    <row r="16" spans="1:68">
      <c r="A16" s="12" t="s">
        <v>298</v>
      </c>
      <c r="B16" s="12"/>
      <c r="C16" s="12" t="s">
        <v>25</v>
      </c>
      <c r="D16" s="12"/>
      <c r="E16" s="12">
        <v>46847</v>
      </c>
      <c r="G16" s="7">
        <v>6999845</v>
      </c>
      <c r="I16" s="7">
        <v>2221868</v>
      </c>
      <c r="K16" s="7">
        <v>457227</v>
      </c>
      <c r="M16" s="7">
        <v>175859</v>
      </c>
      <c r="O16" s="7">
        <v>45974</v>
      </c>
      <c r="Q16" s="7">
        <v>596671</v>
      </c>
      <c r="S16" s="7">
        <v>432304</v>
      </c>
      <c r="U16" s="7">
        <v>72491</v>
      </c>
      <c r="W16" s="7">
        <v>926445</v>
      </c>
      <c r="Y16" s="7">
        <v>351965</v>
      </c>
      <c r="AA16" s="7">
        <v>33946</v>
      </c>
      <c r="AC16" s="7">
        <v>1427868</v>
      </c>
      <c r="AE16" s="7">
        <v>1234891</v>
      </c>
      <c r="AG16" s="7">
        <v>20512</v>
      </c>
      <c r="AI16" s="12" t="s">
        <v>298</v>
      </c>
      <c r="AJ16" s="12"/>
      <c r="AK16" s="12" t="s">
        <v>25</v>
      </c>
      <c r="AL16" s="12"/>
      <c r="AM16" s="7">
        <v>744560</v>
      </c>
      <c r="AO16" s="7">
        <v>0</v>
      </c>
      <c r="AQ16" s="7">
        <v>314922</v>
      </c>
      <c r="AS16" s="7">
        <v>142494</v>
      </c>
      <c r="AW16" s="7">
        <v>0</v>
      </c>
      <c r="AY16" s="7">
        <f t="shared" si="0"/>
        <v>16199842</v>
      </c>
      <c r="BA16" s="7">
        <f>+'St of Activites - GA Rev'!AI16-'St of Activities - GA Exp'!AY16</f>
        <v>-451897</v>
      </c>
      <c r="BC16" s="7">
        <v>28881280</v>
      </c>
      <c r="BE16" s="7">
        <f t="shared" si="1"/>
        <v>28429383</v>
      </c>
      <c r="BG16" s="7">
        <f>+'St of Net Assets - GA'!AA16-'St of Activities - GA Exp'!BE16</f>
        <v>0</v>
      </c>
      <c r="BL16" s="7" t="str">
        <f t="shared" si="2"/>
        <v>Amanda-Clearcreek Local SD</v>
      </c>
      <c r="BM16" s="7" t="b">
        <f t="shared" si="3"/>
        <v>1</v>
      </c>
      <c r="BO16" s="7" t="str">
        <f t="shared" si="4"/>
        <v>Fairfield</v>
      </c>
      <c r="BP16" s="7" t="b">
        <f t="shared" si="5"/>
        <v>1</v>
      </c>
    </row>
    <row r="17" spans="1:68" ht="12" customHeight="1">
      <c r="A17" s="12" t="s">
        <v>858</v>
      </c>
      <c r="B17" s="12"/>
      <c r="C17" s="12" t="s">
        <v>44</v>
      </c>
      <c r="D17" s="12"/>
      <c r="E17" s="12">
        <v>45195</v>
      </c>
      <c r="G17" s="7">
        <v>18772997</v>
      </c>
      <c r="I17" s="7">
        <v>5309722</v>
      </c>
      <c r="K17" s="7">
        <v>392134</v>
      </c>
      <c r="M17" s="7">
        <v>0</v>
      </c>
      <c r="O17" s="7">
        <v>0</v>
      </c>
      <c r="Q17" s="7">
        <v>1689320</v>
      </c>
      <c r="S17" s="7">
        <v>1861736</v>
      </c>
      <c r="U17" s="7">
        <v>20656</v>
      </c>
      <c r="W17" s="7">
        <v>3102629</v>
      </c>
      <c r="Y17" s="7">
        <v>719870</v>
      </c>
      <c r="AA17" s="7">
        <v>0</v>
      </c>
      <c r="AC17" s="7">
        <v>3726989</v>
      </c>
      <c r="AE17" s="7">
        <v>1385056</v>
      </c>
      <c r="AG17" s="7">
        <v>29562</v>
      </c>
      <c r="AI17" s="12" t="s">
        <v>858</v>
      </c>
      <c r="AJ17" s="12"/>
      <c r="AK17" s="12" t="s">
        <v>44</v>
      </c>
      <c r="AL17" s="12"/>
      <c r="AM17" s="7">
        <v>0</v>
      </c>
      <c r="AO17" s="7">
        <v>1721018</v>
      </c>
      <c r="AQ17" s="7">
        <v>740996</v>
      </c>
      <c r="AS17" s="7">
        <v>1119071</v>
      </c>
      <c r="AW17" s="7">
        <v>0</v>
      </c>
      <c r="AY17" s="7">
        <f>SUM(G17:AX17)</f>
        <v>40591756</v>
      </c>
      <c r="BA17" s="7">
        <f>+'St of Activites - GA Rev'!AI17-'St of Activities - GA Exp'!AY17</f>
        <v>1562339</v>
      </c>
      <c r="BC17" s="7">
        <v>8965627</v>
      </c>
      <c r="BE17" s="7">
        <f>+BA17+BC17</f>
        <v>10527966</v>
      </c>
      <c r="BG17" s="7">
        <f>+'St of Net Assets - GA'!AA17-'St of Activities - GA Exp'!BE17</f>
        <v>0</v>
      </c>
      <c r="BL17" s="7" t="str">
        <f t="shared" si="2"/>
        <v xml:space="preserve">Amherst Exempted Village SD </v>
      </c>
      <c r="BM17" s="7" t="b">
        <f t="shared" si="3"/>
        <v>1</v>
      </c>
      <c r="BO17" s="7" t="str">
        <f t="shared" si="4"/>
        <v>Lorain</v>
      </c>
      <c r="BP17" s="7" t="b">
        <f t="shared" si="5"/>
        <v>1</v>
      </c>
    </row>
    <row r="18" spans="1:68">
      <c r="A18" s="12" t="s">
        <v>928</v>
      </c>
      <c r="B18" s="12"/>
      <c r="C18" s="12" t="s">
        <v>61</v>
      </c>
      <c r="D18" s="12"/>
      <c r="E18" s="12">
        <v>49759</v>
      </c>
      <c r="G18" s="7">
        <v>5297341</v>
      </c>
      <c r="I18" s="7">
        <v>1033363</v>
      </c>
      <c r="K18" s="7">
        <v>424950</v>
      </c>
      <c r="M18" s="7">
        <v>25167</v>
      </c>
      <c r="O18" s="7">
        <v>0</v>
      </c>
      <c r="Q18" s="7">
        <v>478342</v>
      </c>
      <c r="S18" s="7">
        <v>344860</v>
      </c>
      <c r="U18" s="7">
        <v>62309</v>
      </c>
      <c r="W18" s="7">
        <v>779170</v>
      </c>
      <c r="Y18" s="7">
        <v>370072</v>
      </c>
      <c r="AA18" s="7">
        <v>69123</v>
      </c>
      <c r="AC18" s="7">
        <v>1058083</v>
      </c>
      <c r="AE18" s="7">
        <v>572613</v>
      </c>
      <c r="AG18" s="7">
        <v>3183</v>
      </c>
      <c r="AI18" s="12" t="s">
        <v>928</v>
      </c>
      <c r="AJ18" s="12"/>
      <c r="AK18" s="12" t="s">
        <v>61</v>
      </c>
      <c r="AL18" s="12"/>
      <c r="AM18" s="7">
        <v>0</v>
      </c>
      <c r="AO18" s="7">
        <v>466374</v>
      </c>
      <c r="AQ18" s="7">
        <v>676881</v>
      </c>
      <c r="AS18" s="7">
        <v>168109</v>
      </c>
      <c r="AW18" s="7">
        <v>6935</v>
      </c>
      <c r="AY18" s="7">
        <f t="shared" si="0"/>
        <v>11836875</v>
      </c>
      <c r="BA18" s="7">
        <f>+'St of Activites - GA Rev'!AI18-'St of Activities - GA Exp'!AY18</f>
        <v>125543</v>
      </c>
      <c r="BC18" s="7">
        <v>12227955</v>
      </c>
      <c r="BE18" s="7">
        <f t="shared" si="1"/>
        <v>12353498</v>
      </c>
      <c r="BG18" s="7">
        <f>+'St of Net Assets - GA'!AA18-'St of Activities - GA Exp'!BE18</f>
        <v>0</v>
      </c>
      <c r="BH18" s="7" t="s">
        <v>929</v>
      </c>
      <c r="BL18" s="7" t="str">
        <f t="shared" si="2"/>
        <v>Anna Local SD</v>
      </c>
      <c r="BM18" s="7" t="b">
        <f t="shared" si="3"/>
        <v>1</v>
      </c>
      <c r="BO18" s="7" t="str">
        <f t="shared" si="4"/>
        <v>Shelby</v>
      </c>
      <c r="BP18" s="7" t="b">
        <f t="shared" si="5"/>
        <v>1</v>
      </c>
    </row>
    <row r="19" spans="1:68" hidden="1">
      <c r="A19" s="12" t="s">
        <v>727</v>
      </c>
      <c r="B19" s="12"/>
      <c r="C19" s="12" t="s">
        <v>628</v>
      </c>
      <c r="D19" s="12"/>
      <c r="E19" s="12"/>
      <c r="AI19" s="12" t="s">
        <v>727</v>
      </c>
      <c r="AJ19" s="12"/>
      <c r="AK19" s="12" t="s">
        <v>628</v>
      </c>
      <c r="AL19" s="12"/>
      <c r="AY19" s="7">
        <f t="shared" si="0"/>
        <v>0</v>
      </c>
      <c r="BA19" s="7">
        <f>+'St of Activites - GA Rev'!AI19-'St of Activities - GA Exp'!AY19</f>
        <v>0</v>
      </c>
      <c r="BE19" s="7">
        <f t="shared" si="1"/>
        <v>0</v>
      </c>
      <c r="BG19" s="7">
        <f>+'St of Net Assets - GA'!AA19-'St of Activities - GA Exp'!BE19</f>
        <v>0</v>
      </c>
      <c r="BH19" s="7" t="s">
        <v>778</v>
      </c>
      <c r="BL19" s="7" t="str">
        <f t="shared" si="2"/>
        <v>Ansonia Local SD (CASH)</v>
      </c>
      <c r="BM19" s="7" t="b">
        <f t="shared" si="3"/>
        <v>1</v>
      </c>
      <c r="BO19" s="7" t="str">
        <f t="shared" si="4"/>
        <v xml:space="preserve">Darke </v>
      </c>
      <c r="BP19" s="7" t="b">
        <f t="shared" si="5"/>
        <v>1</v>
      </c>
    </row>
    <row r="20" spans="1:68">
      <c r="A20" s="12" t="s">
        <v>402</v>
      </c>
      <c r="B20" s="12"/>
      <c r="C20" s="12" t="s">
        <v>115</v>
      </c>
      <c r="D20" s="12"/>
      <c r="E20" s="12">
        <v>48207</v>
      </c>
      <c r="G20" s="7">
        <v>19025102</v>
      </c>
      <c r="I20" s="7">
        <v>3133446</v>
      </c>
      <c r="K20" s="7">
        <v>9817</v>
      </c>
      <c r="M20" s="7">
        <v>0</v>
      </c>
      <c r="O20" s="7">
        <v>0</v>
      </c>
      <c r="Q20" s="7">
        <v>1764319</v>
      </c>
      <c r="S20" s="7">
        <v>914061</v>
      </c>
      <c r="U20" s="7">
        <v>795091</v>
      </c>
      <c r="W20" s="7">
        <v>3002288</v>
      </c>
      <c r="Y20" s="7">
        <v>876090</v>
      </c>
      <c r="AA20" s="7">
        <v>18296</v>
      </c>
      <c r="AC20" s="7">
        <v>4019899</v>
      </c>
      <c r="AE20" s="7">
        <v>2712877</v>
      </c>
      <c r="AG20" s="7">
        <v>73233</v>
      </c>
      <c r="AI20" s="12" t="s">
        <v>402</v>
      </c>
      <c r="AJ20" s="12"/>
      <c r="AK20" s="12" t="s">
        <v>115</v>
      </c>
      <c r="AL20" s="12"/>
      <c r="AM20" s="7">
        <v>1109688</v>
      </c>
      <c r="AO20" s="7">
        <v>238264</v>
      </c>
      <c r="AQ20" s="7">
        <v>1106948</v>
      </c>
      <c r="AS20" s="7">
        <v>1414532</v>
      </c>
      <c r="AW20" s="7">
        <v>0</v>
      </c>
      <c r="AY20" s="7">
        <f t="shared" si="0"/>
        <v>40213951</v>
      </c>
      <c r="BA20" s="7">
        <f>+'St of Activites - GA Rev'!AI20-'St of Activities - GA Exp'!AY20</f>
        <v>2948563</v>
      </c>
      <c r="BC20" s="7">
        <v>6445770</v>
      </c>
      <c r="BE20" s="7">
        <f t="shared" si="1"/>
        <v>9394333</v>
      </c>
      <c r="BG20" s="7">
        <f>+'St of Net Assets - GA'!AA20-'St of Activities - GA Exp'!BE20</f>
        <v>0</v>
      </c>
      <c r="BL20" s="7" t="str">
        <f t="shared" si="2"/>
        <v>Anthony Wayne Local SD</v>
      </c>
      <c r="BM20" s="7" t="b">
        <f t="shared" si="3"/>
        <v>1</v>
      </c>
      <c r="BO20" s="7" t="str">
        <f t="shared" si="4"/>
        <v>Lucas</v>
      </c>
      <c r="BP20" s="7" t="b">
        <f t="shared" si="5"/>
        <v>1</v>
      </c>
    </row>
    <row r="21" spans="1:68">
      <c r="A21" s="12" t="s">
        <v>343</v>
      </c>
      <c r="B21" s="12"/>
      <c r="C21" s="12" t="s">
        <v>33</v>
      </c>
      <c r="D21" s="12"/>
      <c r="E21" s="12">
        <v>47415</v>
      </c>
      <c r="G21" s="7">
        <v>2680453</v>
      </c>
      <c r="I21" s="7">
        <v>639264</v>
      </c>
      <c r="K21" s="7">
        <v>300621</v>
      </c>
      <c r="M21" s="7">
        <v>0</v>
      </c>
      <c r="O21" s="7">
        <v>0</v>
      </c>
      <c r="Q21" s="7">
        <v>230057</v>
      </c>
      <c r="S21" s="7">
        <v>194118</v>
      </c>
      <c r="U21" s="7">
        <v>36946</v>
      </c>
      <c r="W21" s="7">
        <v>600018</v>
      </c>
      <c r="Y21" s="7">
        <v>204913</v>
      </c>
      <c r="AA21" s="7">
        <v>0</v>
      </c>
      <c r="AC21" s="7">
        <v>343179</v>
      </c>
      <c r="AE21" s="7">
        <v>293714</v>
      </c>
      <c r="AG21" s="7">
        <v>1054</v>
      </c>
      <c r="AI21" s="12" t="s">
        <v>343</v>
      </c>
      <c r="AJ21" s="12"/>
      <c r="AK21" s="12" t="s">
        <v>33</v>
      </c>
      <c r="AL21" s="12"/>
      <c r="AM21" s="7">
        <v>0</v>
      </c>
      <c r="AO21" s="7">
        <v>268183</v>
      </c>
      <c r="AQ21" s="7">
        <v>325038</v>
      </c>
      <c r="AS21" s="7">
        <v>0</v>
      </c>
      <c r="AW21" s="7">
        <v>0</v>
      </c>
      <c r="AY21" s="7">
        <f t="shared" si="0"/>
        <v>6117558</v>
      </c>
      <c r="BA21" s="7">
        <f>+'St of Activites - GA Rev'!AI21-'St of Activities - GA Exp'!AY21</f>
        <v>474846</v>
      </c>
      <c r="BC21" s="7">
        <v>4494004</v>
      </c>
      <c r="BE21" s="7">
        <f t="shared" si="1"/>
        <v>4968850</v>
      </c>
      <c r="BG21" s="7">
        <f>+'St of Net Assets - GA'!AA21-'St of Activities - GA Exp'!BE21</f>
        <v>0</v>
      </c>
      <c r="BL21" s="7" t="str">
        <f t="shared" si="2"/>
        <v>Arcadia Local SD</v>
      </c>
      <c r="BM21" s="7" t="b">
        <f t="shared" si="3"/>
        <v>1</v>
      </c>
      <c r="BO21" s="7" t="str">
        <f t="shared" si="4"/>
        <v>Hancock</v>
      </c>
      <c r="BP21" s="7" t="b">
        <f t="shared" si="5"/>
        <v>1</v>
      </c>
    </row>
    <row r="22" spans="1:68" ht="12" hidden="1" customHeight="1">
      <c r="A22" s="12" t="s">
        <v>702</v>
      </c>
      <c r="B22" s="12"/>
      <c r="C22" s="12" t="s">
        <v>21</v>
      </c>
      <c r="D22" s="12"/>
      <c r="E22" s="12">
        <v>46631</v>
      </c>
      <c r="AI22" s="12" t="s">
        <v>702</v>
      </c>
      <c r="AJ22" s="12"/>
      <c r="AK22" s="12" t="s">
        <v>21</v>
      </c>
      <c r="AL22" s="12"/>
      <c r="AY22" s="7">
        <f t="shared" si="0"/>
        <v>0</v>
      </c>
      <c r="BA22" s="7">
        <f>+'St of Activites - GA Rev'!AI22-'St of Activities - GA Exp'!AY22</f>
        <v>0</v>
      </c>
      <c r="BE22" s="7">
        <f t="shared" si="1"/>
        <v>0</v>
      </c>
      <c r="BG22" s="7">
        <f>+'St of Net Assets - GA'!AA22-'St of Activities - GA Exp'!BE22</f>
        <v>0</v>
      </c>
      <c r="BH22" s="7" t="s">
        <v>778</v>
      </c>
      <c r="BL22" s="7" t="str">
        <f t="shared" si="2"/>
        <v>Arcanum Butler Local SD (CASH)</v>
      </c>
      <c r="BM22" s="7" t="b">
        <f t="shared" si="3"/>
        <v>1</v>
      </c>
      <c r="BO22" s="7" t="str">
        <f t="shared" si="4"/>
        <v>Darke</v>
      </c>
      <c r="BP22" s="7" t="b">
        <f t="shared" si="5"/>
        <v>1</v>
      </c>
    </row>
    <row r="23" spans="1:68">
      <c r="A23" s="12" t="s">
        <v>318</v>
      </c>
      <c r="B23" s="12"/>
      <c r="C23" s="12" t="s">
        <v>28</v>
      </c>
      <c r="D23" s="12"/>
      <c r="E23" s="12">
        <v>47043</v>
      </c>
      <c r="G23" s="7">
        <v>6942079</v>
      </c>
      <c r="I23" s="7">
        <v>1270027</v>
      </c>
      <c r="K23" s="7">
        <v>209643</v>
      </c>
      <c r="M23" s="7">
        <v>6646</v>
      </c>
      <c r="O23" s="7">
        <v>38948</v>
      </c>
      <c r="Q23" s="7">
        <v>892452</v>
      </c>
      <c r="S23" s="7">
        <v>511162</v>
      </c>
      <c r="U23" s="7">
        <v>33224</v>
      </c>
      <c r="W23" s="7">
        <v>809828</v>
      </c>
      <c r="Y23" s="7">
        <v>371875</v>
      </c>
      <c r="AA23" s="7">
        <v>0</v>
      </c>
      <c r="AC23" s="7">
        <v>1090722</v>
      </c>
      <c r="AE23" s="7">
        <v>524762</v>
      </c>
      <c r="AG23" s="7">
        <v>0</v>
      </c>
      <c r="AI23" s="12" t="s">
        <v>318</v>
      </c>
      <c r="AJ23" s="12"/>
      <c r="AK23" s="12" t="s">
        <v>28</v>
      </c>
      <c r="AL23" s="12"/>
      <c r="AM23" s="7">
        <v>0</v>
      </c>
      <c r="AO23" s="7">
        <v>517510</v>
      </c>
      <c r="AQ23" s="7">
        <v>743651</v>
      </c>
      <c r="AS23" s="7">
        <v>0</v>
      </c>
      <c r="AW23" s="7">
        <f>403595+474912+79266</f>
        <v>957773</v>
      </c>
      <c r="AY23" s="7">
        <f t="shared" si="0"/>
        <v>14920302</v>
      </c>
      <c r="BA23" s="7">
        <f>+'St of Activites - GA Rev'!AI23-'St of Activities - GA Exp'!AY23</f>
        <v>-84425</v>
      </c>
      <c r="BC23" s="7">
        <v>13986704</v>
      </c>
      <c r="BE23" s="7">
        <f t="shared" si="1"/>
        <v>13902279</v>
      </c>
      <c r="BG23" s="7">
        <f>+'St of Net Assets - GA'!AA23-'St of Activities - GA Exp'!BE23</f>
        <v>0</v>
      </c>
      <c r="BL23" s="7" t="str">
        <f t="shared" si="2"/>
        <v>Archbold-Area Local SD</v>
      </c>
      <c r="BM23" s="7" t="b">
        <f t="shared" si="3"/>
        <v>1</v>
      </c>
      <c r="BO23" s="7" t="str">
        <f t="shared" si="4"/>
        <v>Fulton</v>
      </c>
      <c r="BP23" s="7" t="b">
        <f t="shared" si="5"/>
        <v>1</v>
      </c>
    </row>
    <row r="24" spans="1:68">
      <c r="A24" s="12" t="s">
        <v>344</v>
      </c>
      <c r="B24" s="12"/>
      <c r="C24" s="12" t="s">
        <v>33</v>
      </c>
      <c r="D24" s="12"/>
      <c r="E24" s="12">
        <v>47423</v>
      </c>
      <c r="G24" s="7">
        <v>3138716</v>
      </c>
      <c r="I24" s="7">
        <v>789997</v>
      </c>
      <c r="K24" s="7">
        <v>323205</v>
      </c>
      <c r="M24" s="7">
        <v>0</v>
      </c>
      <c r="O24" s="7">
        <v>0</v>
      </c>
      <c r="Q24" s="7">
        <v>285746</v>
      </c>
      <c r="S24" s="7">
        <v>360649</v>
      </c>
      <c r="U24" s="7">
        <v>32589</v>
      </c>
      <c r="W24" s="7">
        <v>499216</v>
      </c>
      <c r="Y24" s="7">
        <v>215704</v>
      </c>
      <c r="AA24" s="7">
        <v>0</v>
      </c>
      <c r="AC24" s="7">
        <v>545859</v>
      </c>
      <c r="AE24" s="7">
        <v>277740</v>
      </c>
      <c r="AG24" s="7">
        <v>683</v>
      </c>
      <c r="AI24" s="12" t="s">
        <v>344</v>
      </c>
      <c r="AJ24" s="12"/>
      <c r="AK24" s="12" t="s">
        <v>33</v>
      </c>
      <c r="AL24" s="12"/>
      <c r="AM24" s="7">
        <v>0</v>
      </c>
      <c r="AO24" s="7">
        <v>250261</v>
      </c>
      <c r="AQ24" s="7">
        <v>308876</v>
      </c>
      <c r="AS24" s="7">
        <v>28368</v>
      </c>
      <c r="AW24" s="7">
        <v>0</v>
      </c>
      <c r="AY24" s="7">
        <f t="shared" si="0"/>
        <v>7057609</v>
      </c>
      <c r="BA24" s="7">
        <f>+'St of Activites - GA Rev'!AI24-'St of Activities - GA Exp'!AY24</f>
        <v>-232573</v>
      </c>
      <c r="BC24" s="7">
        <v>6132096</v>
      </c>
      <c r="BE24" s="7">
        <f t="shared" si="1"/>
        <v>5899523</v>
      </c>
      <c r="BG24" s="7">
        <f>+'St of Net Assets - GA'!AA24-'St of Activities - GA Exp'!BE24</f>
        <v>0</v>
      </c>
      <c r="BL24" s="7" t="str">
        <f t="shared" si="2"/>
        <v>Arlington Local SD</v>
      </c>
      <c r="BM24" s="7" t="b">
        <f t="shared" si="3"/>
        <v>1</v>
      </c>
      <c r="BO24" s="7" t="str">
        <f t="shared" si="4"/>
        <v>Hancock</v>
      </c>
      <c r="BP24" s="7" t="b">
        <f t="shared" si="5"/>
        <v>1</v>
      </c>
    </row>
    <row r="25" spans="1:68">
      <c r="A25" s="12" t="s">
        <v>204</v>
      </c>
      <c r="B25" s="12"/>
      <c r="C25" s="12" t="s">
        <v>11</v>
      </c>
      <c r="D25" s="12"/>
      <c r="E25" s="12">
        <v>43505</v>
      </c>
      <c r="G25" s="7">
        <v>15704309</v>
      </c>
      <c r="I25" s="7">
        <v>4775489</v>
      </c>
      <c r="K25" s="7">
        <v>947226</v>
      </c>
      <c r="M25" s="7">
        <v>16</v>
      </c>
      <c r="O25" s="7">
        <v>866663</v>
      </c>
      <c r="Q25" s="7">
        <v>1846168</v>
      </c>
      <c r="S25" s="7">
        <v>1852201</v>
      </c>
      <c r="U25" s="7">
        <v>111861</v>
      </c>
      <c r="W25" s="7">
        <v>2542423</v>
      </c>
      <c r="Y25" s="7">
        <v>761257</v>
      </c>
      <c r="AA25" s="7">
        <v>319291</v>
      </c>
      <c r="AC25" s="7">
        <v>2587690</v>
      </c>
      <c r="AE25" s="7">
        <v>1267294</v>
      </c>
      <c r="AG25" s="7">
        <v>334254</v>
      </c>
      <c r="AI25" s="12" t="s">
        <v>204</v>
      </c>
      <c r="AJ25" s="12"/>
      <c r="AK25" s="12" t="s">
        <v>11</v>
      </c>
      <c r="AL25" s="12"/>
      <c r="AM25" s="7">
        <v>1537440</v>
      </c>
      <c r="AO25" s="7">
        <v>187628</v>
      </c>
      <c r="AQ25" s="7">
        <v>968034</v>
      </c>
      <c r="AS25" s="7">
        <v>124625</v>
      </c>
      <c r="AW25" s="7">
        <v>0</v>
      </c>
      <c r="AY25" s="7">
        <f t="shared" si="0"/>
        <v>36733869</v>
      </c>
      <c r="BA25" s="7">
        <f>+'St of Activites - GA Rev'!AI25-'St of Activities - GA Exp'!AY25</f>
        <v>583837</v>
      </c>
      <c r="BC25" s="7">
        <v>15628397</v>
      </c>
      <c r="BE25" s="7">
        <f t="shared" si="1"/>
        <v>16212234</v>
      </c>
      <c r="BG25" s="7">
        <f>+'St of Net Assets - GA'!AA25-'St of Activities - GA Exp'!BE25</f>
        <v>0</v>
      </c>
      <c r="BL25" s="7" t="str">
        <f t="shared" si="2"/>
        <v>Ashland City SD</v>
      </c>
      <c r="BM25" s="7" t="b">
        <f t="shared" si="3"/>
        <v>1</v>
      </c>
      <c r="BO25" s="7" t="str">
        <f t="shared" si="4"/>
        <v>Ashland</v>
      </c>
      <c r="BP25" s="7" t="b">
        <f t="shared" si="5"/>
        <v>1</v>
      </c>
    </row>
    <row r="26" spans="1:68" ht="12" customHeight="1">
      <c r="A26" s="12" t="s">
        <v>701</v>
      </c>
      <c r="B26" s="12"/>
      <c r="C26" s="12" t="s">
        <v>12</v>
      </c>
      <c r="D26" s="12"/>
      <c r="E26" s="12">
        <v>43513</v>
      </c>
      <c r="G26" s="7">
        <v>23069612</v>
      </c>
      <c r="I26" s="7">
        <v>7716120</v>
      </c>
      <c r="K26" s="7">
        <v>221272</v>
      </c>
      <c r="M26" s="7">
        <v>0</v>
      </c>
      <c r="O26" s="7">
        <v>1340118</v>
      </c>
      <c r="Q26" s="7">
        <v>1826799</v>
      </c>
      <c r="S26" s="7">
        <v>3060758</v>
      </c>
      <c r="U26" s="7">
        <v>175024</v>
      </c>
      <c r="W26" s="7">
        <v>2509908</v>
      </c>
      <c r="Y26" s="7">
        <v>812945</v>
      </c>
      <c r="AA26" s="7">
        <v>528679</v>
      </c>
      <c r="AC26" s="7">
        <v>3802918</v>
      </c>
      <c r="AE26" s="7">
        <v>2776058</v>
      </c>
      <c r="AG26" s="7">
        <v>173295</v>
      </c>
      <c r="AI26" s="12" t="s">
        <v>701</v>
      </c>
      <c r="AJ26" s="12"/>
      <c r="AK26" s="12" t="s">
        <v>12</v>
      </c>
      <c r="AL26" s="12"/>
      <c r="AM26" s="7">
        <v>1687771</v>
      </c>
      <c r="AO26" s="7">
        <v>0</v>
      </c>
      <c r="AQ26" s="7">
        <v>859464</v>
      </c>
      <c r="AS26" s="7">
        <v>1675593</v>
      </c>
      <c r="AW26" s="7">
        <v>2128045</v>
      </c>
      <c r="AY26" s="7">
        <f t="shared" si="0"/>
        <v>54364379</v>
      </c>
      <c r="BA26" s="7">
        <f>+'St of Activites - GA Rev'!AI26-'St of Activities - GA Exp'!AY26</f>
        <v>24738536</v>
      </c>
      <c r="BC26" s="7">
        <v>65609777</v>
      </c>
      <c r="BE26" s="7">
        <f t="shared" si="1"/>
        <v>90348313</v>
      </c>
      <c r="BG26" s="7">
        <f>+'St of Net Assets - GA'!AA26-'St of Activities - GA Exp'!BE26</f>
        <v>0</v>
      </c>
      <c r="BL26" s="7" t="str">
        <f t="shared" si="2"/>
        <v xml:space="preserve">Ashtabula Area City SD </v>
      </c>
      <c r="BM26" s="7" t="b">
        <f t="shared" si="3"/>
        <v>1</v>
      </c>
      <c r="BO26" s="7" t="str">
        <f t="shared" si="4"/>
        <v>Ashtabula</v>
      </c>
      <c r="BP26" s="7" t="b">
        <f t="shared" si="5"/>
        <v>1</v>
      </c>
    </row>
    <row r="27" spans="1:68">
      <c r="A27" s="12" t="s">
        <v>211</v>
      </c>
      <c r="B27" s="12"/>
      <c r="C27" s="12" t="s">
        <v>13</v>
      </c>
      <c r="D27" s="12"/>
      <c r="E27" s="12">
        <v>43521</v>
      </c>
      <c r="G27" s="7">
        <v>15973261</v>
      </c>
      <c r="I27" s="7">
        <v>3563124</v>
      </c>
      <c r="K27" s="7">
        <v>508534</v>
      </c>
      <c r="M27" s="7">
        <v>133738</v>
      </c>
      <c r="O27" s="7">
        <v>0</v>
      </c>
      <c r="Q27" s="7">
        <v>1419013</v>
      </c>
      <c r="S27" s="7">
        <v>2583514</v>
      </c>
      <c r="U27" s="7">
        <v>123282</v>
      </c>
      <c r="W27" s="7">
        <v>1794241</v>
      </c>
      <c r="Y27" s="7">
        <v>664616</v>
      </c>
      <c r="AA27" s="7">
        <v>548213</v>
      </c>
      <c r="AC27" s="7">
        <v>3427110</v>
      </c>
      <c r="AE27" s="7">
        <v>1887563</v>
      </c>
      <c r="AG27" s="7">
        <v>124258</v>
      </c>
      <c r="AI27" s="12" t="s">
        <v>211</v>
      </c>
      <c r="AJ27" s="12"/>
      <c r="AK27" s="12" t="s">
        <v>13</v>
      </c>
      <c r="AL27" s="12"/>
      <c r="AM27" s="7">
        <v>823199</v>
      </c>
      <c r="AO27" s="7">
        <v>33650</v>
      </c>
      <c r="AQ27" s="7">
        <v>617610</v>
      </c>
      <c r="AS27" s="7">
        <v>819837</v>
      </c>
      <c r="AW27" s="7">
        <v>0</v>
      </c>
      <c r="AY27" s="7">
        <f t="shared" si="0"/>
        <v>35044763</v>
      </c>
      <c r="BA27" s="7">
        <f>+'St of Activites - GA Rev'!AI27-'St of Activities - GA Exp'!AY27</f>
        <v>1252595</v>
      </c>
      <c r="BC27" s="7">
        <v>23764182</v>
      </c>
      <c r="BE27" s="7">
        <f t="shared" si="1"/>
        <v>25016777</v>
      </c>
      <c r="BG27" s="7">
        <f>+'St of Net Assets - GA'!AA27-'St of Activities - GA Exp'!BE27</f>
        <v>0</v>
      </c>
      <c r="BL27" s="7" t="str">
        <f t="shared" si="2"/>
        <v>Athens City SD</v>
      </c>
      <c r="BM27" s="7" t="b">
        <f t="shared" si="3"/>
        <v>1</v>
      </c>
      <c r="BO27" s="7" t="str">
        <f t="shared" si="4"/>
        <v>Athens</v>
      </c>
      <c r="BP27" s="7" t="b">
        <f t="shared" si="5"/>
        <v>1</v>
      </c>
    </row>
    <row r="28" spans="1:68">
      <c r="A28" s="12" t="s">
        <v>474</v>
      </c>
      <c r="B28" s="12"/>
      <c r="C28" s="12" t="s">
        <v>56</v>
      </c>
      <c r="D28" s="12"/>
      <c r="E28" s="12">
        <v>49171</v>
      </c>
      <c r="G28" s="7">
        <v>15151728</v>
      </c>
      <c r="I28" s="7">
        <v>2263700</v>
      </c>
      <c r="K28" s="7">
        <v>254876</v>
      </c>
      <c r="M28" s="7">
        <v>0</v>
      </c>
      <c r="O28" s="7">
        <v>1316034</v>
      </c>
      <c r="Q28" s="7">
        <v>1868639</v>
      </c>
      <c r="S28" s="7">
        <v>2796730</v>
      </c>
      <c r="U28" s="7">
        <v>223248</v>
      </c>
      <c r="W28" s="7">
        <v>2177342</v>
      </c>
      <c r="Y28" s="7">
        <v>829471</v>
      </c>
      <c r="AA28" s="7">
        <v>213161</v>
      </c>
      <c r="AC28" s="7">
        <v>3488605</v>
      </c>
      <c r="AE28" s="7">
        <v>1673567</v>
      </c>
      <c r="AG28" s="7">
        <v>172480</v>
      </c>
      <c r="AI28" s="12" t="s">
        <v>474</v>
      </c>
      <c r="AJ28" s="12"/>
      <c r="AK28" s="12" t="s">
        <v>56</v>
      </c>
      <c r="AL28" s="12"/>
      <c r="AM28" s="7">
        <v>815895</v>
      </c>
      <c r="AO28" s="7">
        <v>133961</v>
      </c>
      <c r="AQ28" s="7">
        <v>589034</v>
      </c>
      <c r="AS28" s="7">
        <v>1449426</v>
      </c>
      <c r="AW28" s="7">
        <v>0</v>
      </c>
      <c r="AY28" s="7">
        <f t="shared" si="0"/>
        <v>35417897</v>
      </c>
      <c r="BA28" s="7">
        <f>+'St of Activites - GA Rev'!AI28-'St of Activities - GA Exp'!AY28</f>
        <v>33849</v>
      </c>
      <c r="BC28" s="7">
        <v>5195263</v>
      </c>
      <c r="BE28" s="7">
        <f t="shared" si="1"/>
        <v>5229112</v>
      </c>
      <c r="BG28" s="7">
        <f>+'St of Net Assets - GA'!AA28-'St of Activities - GA Exp'!BE28</f>
        <v>0</v>
      </c>
      <c r="BL28" s="7" t="str">
        <f t="shared" si="2"/>
        <v>Aurora City SD</v>
      </c>
      <c r="BM28" s="7" t="b">
        <f t="shared" si="3"/>
        <v>1</v>
      </c>
      <c r="BO28" s="7" t="str">
        <f t="shared" si="4"/>
        <v>Portage</v>
      </c>
      <c r="BP28" s="7" t="b">
        <f t="shared" si="5"/>
        <v>1</v>
      </c>
    </row>
    <row r="29" spans="1:68">
      <c r="A29" s="12" t="s">
        <v>414</v>
      </c>
      <c r="B29" s="12"/>
      <c r="C29" s="12" t="s">
        <v>45</v>
      </c>
      <c r="D29" s="12"/>
      <c r="E29" s="12">
        <v>48298</v>
      </c>
      <c r="G29" s="7">
        <v>19873586</v>
      </c>
      <c r="I29" s="7">
        <v>5880047</v>
      </c>
      <c r="K29" s="7">
        <v>233553</v>
      </c>
      <c r="M29" s="7">
        <v>0</v>
      </c>
      <c r="O29" s="7">
        <v>1788380</v>
      </c>
      <c r="Q29" s="7">
        <v>2848283</v>
      </c>
      <c r="S29" s="7">
        <v>1466491</v>
      </c>
      <c r="U29" s="7">
        <v>78862</v>
      </c>
      <c r="W29" s="7">
        <v>3711310</v>
      </c>
      <c r="Y29" s="7">
        <v>869790</v>
      </c>
      <c r="AA29" s="7">
        <v>51035</v>
      </c>
      <c r="AC29" s="7">
        <v>3992828</v>
      </c>
      <c r="AE29" s="7">
        <v>2691538</v>
      </c>
      <c r="AG29" s="7">
        <v>7278</v>
      </c>
      <c r="AI29" s="12" t="s">
        <v>414</v>
      </c>
      <c r="AJ29" s="12"/>
      <c r="AK29" s="12" t="s">
        <v>45</v>
      </c>
      <c r="AL29" s="12"/>
      <c r="AM29" s="7">
        <v>1960212</v>
      </c>
      <c r="AO29" s="7">
        <v>158420</v>
      </c>
      <c r="AQ29" s="7">
        <v>983310</v>
      </c>
      <c r="AS29" s="7">
        <v>2621249</v>
      </c>
      <c r="AW29" s="7">
        <v>5000</v>
      </c>
      <c r="AY29" s="7">
        <f t="shared" si="0"/>
        <v>49221172</v>
      </c>
      <c r="BA29" s="7">
        <f>+'St of Activites - GA Rev'!AI29-'St of Activities - GA Exp'!AY29</f>
        <v>25986871</v>
      </c>
      <c r="BC29" s="7">
        <v>12489158</v>
      </c>
      <c r="BE29" s="7">
        <f t="shared" si="1"/>
        <v>38476029</v>
      </c>
      <c r="BG29" s="7">
        <f>+'St of Net Assets - GA'!AA29-'St of Activities - GA Exp'!BE29</f>
        <v>0</v>
      </c>
      <c r="BL29" s="7" t="str">
        <f t="shared" si="2"/>
        <v>Austintown Local SD</v>
      </c>
      <c r="BM29" s="7" t="b">
        <f t="shared" si="3"/>
        <v>1</v>
      </c>
      <c r="BO29" s="7" t="str">
        <f t="shared" si="4"/>
        <v>Mahoning</v>
      </c>
      <c r="BP29" s="7" t="b">
        <f t="shared" si="5"/>
        <v>1</v>
      </c>
    </row>
    <row r="30" spans="1:68">
      <c r="A30" s="12" t="s">
        <v>392</v>
      </c>
      <c r="B30" s="12"/>
      <c r="C30" s="12" t="s">
        <v>44</v>
      </c>
      <c r="D30" s="12"/>
      <c r="E30" s="12">
        <v>48124</v>
      </c>
      <c r="G30" s="7">
        <v>21087414</v>
      </c>
      <c r="I30" s="7">
        <v>2982052</v>
      </c>
      <c r="K30" s="7">
        <v>217831</v>
      </c>
      <c r="M30" s="7">
        <v>24489</v>
      </c>
      <c r="O30" s="7">
        <v>1430175</v>
      </c>
      <c r="Q30" s="7">
        <v>3771628</v>
      </c>
      <c r="S30" s="7">
        <v>975585</v>
      </c>
      <c r="U30" s="7">
        <v>19913</v>
      </c>
      <c r="W30" s="7">
        <v>3408972</v>
      </c>
      <c r="Y30" s="7">
        <v>1130131</v>
      </c>
      <c r="AA30" s="7">
        <v>146305</v>
      </c>
      <c r="AC30" s="7">
        <v>7717754</v>
      </c>
      <c r="AE30" s="7">
        <v>1724226</v>
      </c>
      <c r="AG30" s="7">
        <v>160103</v>
      </c>
      <c r="AI30" s="12" t="s">
        <v>392</v>
      </c>
      <c r="AJ30" s="12"/>
      <c r="AK30" s="12" t="s">
        <v>44</v>
      </c>
      <c r="AL30" s="12"/>
      <c r="AM30" s="7">
        <v>1305908</v>
      </c>
      <c r="AO30" s="7">
        <v>283718</v>
      </c>
      <c r="AQ30" s="7">
        <v>1318728</v>
      </c>
      <c r="AS30" s="7">
        <v>4645376</v>
      </c>
      <c r="AW30" s="7">
        <v>0</v>
      </c>
      <c r="AY30" s="7">
        <f t="shared" si="0"/>
        <v>52350308</v>
      </c>
      <c r="BA30" s="7">
        <f>+'St of Activites - GA Rev'!AI30-'St of Activities - GA Exp'!AY30</f>
        <v>-4362564</v>
      </c>
      <c r="BC30" s="7">
        <v>24690227</v>
      </c>
      <c r="BE30" s="7">
        <f t="shared" si="1"/>
        <v>20327663</v>
      </c>
      <c r="BG30" s="7">
        <f>+'St of Net Assets - GA'!AA30-'St of Activities - GA Exp'!BE30</f>
        <v>0</v>
      </c>
      <c r="BL30" s="7" t="str">
        <f t="shared" si="2"/>
        <v>Avon Lake City SD</v>
      </c>
      <c r="BM30" s="7" t="b">
        <f t="shared" si="3"/>
        <v>1</v>
      </c>
      <c r="BO30" s="7" t="str">
        <f t="shared" si="4"/>
        <v>Lorain</v>
      </c>
      <c r="BP30" s="7" t="b">
        <f t="shared" si="5"/>
        <v>1</v>
      </c>
    </row>
    <row r="31" spans="1:68">
      <c r="A31" s="12" t="s">
        <v>393</v>
      </c>
      <c r="B31" s="12"/>
      <c r="C31" s="12" t="s">
        <v>44</v>
      </c>
      <c r="D31" s="12"/>
      <c r="E31" s="12">
        <v>48116</v>
      </c>
      <c r="G31" s="7">
        <v>14949779</v>
      </c>
      <c r="I31" s="7">
        <v>3909702</v>
      </c>
      <c r="K31" s="7">
        <v>171486</v>
      </c>
      <c r="M31" s="7">
        <v>0</v>
      </c>
      <c r="O31" s="7">
        <v>684781</v>
      </c>
      <c r="Q31" s="7">
        <v>1075442</v>
      </c>
      <c r="S31" s="7">
        <v>1730447</v>
      </c>
      <c r="U31" s="7">
        <v>212223</v>
      </c>
      <c r="W31" s="7">
        <v>1871960</v>
      </c>
      <c r="Y31" s="7">
        <v>840840</v>
      </c>
      <c r="AA31" s="7">
        <v>18069</v>
      </c>
      <c r="AC31" s="7">
        <v>2286762</v>
      </c>
      <c r="AE31" s="7">
        <v>1854172</v>
      </c>
      <c r="AG31" s="7">
        <v>270120</v>
      </c>
      <c r="AI31" s="12" t="s">
        <v>393</v>
      </c>
      <c r="AJ31" s="12"/>
      <c r="AK31" s="12" t="s">
        <v>44</v>
      </c>
      <c r="AL31" s="12"/>
      <c r="AM31" s="7">
        <v>812613</v>
      </c>
      <c r="AO31" s="7">
        <f>188861+475268</f>
        <v>664129</v>
      </c>
      <c r="AQ31" s="7">
        <f>62642+800982+31660</f>
        <v>895284</v>
      </c>
      <c r="AS31" s="7">
        <v>1800192</v>
      </c>
      <c r="AW31" s="7">
        <v>0</v>
      </c>
      <c r="AY31" s="7">
        <f t="shared" si="0"/>
        <v>34048001</v>
      </c>
      <c r="BA31" s="7">
        <f>+'St of Activites - GA Rev'!AI31-'St of Activities - GA Exp'!AY31</f>
        <v>5503548</v>
      </c>
      <c r="BC31" s="7">
        <v>18917450</v>
      </c>
      <c r="BE31" s="7">
        <f t="shared" si="1"/>
        <v>24420998</v>
      </c>
      <c r="BG31" s="7">
        <f>+'St of Net Assets - GA'!AA31-'St of Activities - GA Exp'!BE31</f>
        <v>0</v>
      </c>
      <c r="BL31" s="7" t="str">
        <f t="shared" si="2"/>
        <v>Avon Local SD</v>
      </c>
      <c r="BM31" s="7" t="b">
        <f t="shared" si="3"/>
        <v>1</v>
      </c>
      <c r="BO31" s="7" t="str">
        <f t="shared" si="4"/>
        <v>Lorain</v>
      </c>
      <c r="BP31" s="7" t="b">
        <f t="shared" si="5"/>
        <v>1</v>
      </c>
    </row>
    <row r="32" spans="1:68">
      <c r="A32" s="12" t="s">
        <v>289</v>
      </c>
      <c r="B32" s="12"/>
      <c r="C32" s="12" t="s">
        <v>22</v>
      </c>
      <c r="D32" s="12"/>
      <c r="E32" s="12">
        <v>46706</v>
      </c>
      <c r="G32" s="7">
        <v>3887057</v>
      </c>
      <c r="I32" s="7">
        <v>549841</v>
      </c>
      <c r="K32" s="7">
        <v>60466</v>
      </c>
      <c r="M32" s="7">
        <v>0</v>
      </c>
      <c r="O32" s="7">
        <v>341453</v>
      </c>
      <c r="Q32" s="7">
        <v>351971</v>
      </c>
      <c r="S32" s="7">
        <v>333858</v>
      </c>
      <c r="U32" s="7">
        <v>35656</v>
      </c>
      <c r="W32" s="7">
        <v>617350</v>
      </c>
      <c r="Y32" s="7">
        <v>294626</v>
      </c>
      <c r="AA32" s="7">
        <v>0</v>
      </c>
      <c r="AC32" s="7">
        <v>621039</v>
      </c>
      <c r="AE32" s="7">
        <v>273033</v>
      </c>
      <c r="AG32" s="7">
        <v>52316</v>
      </c>
      <c r="AI32" s="12" t="s">
        <v>289</v>
      </c>
      <c r="AJ32" s="12"/>
      <c r="AK32" s="12" t="s">
        <v>22</v>
      </c>
      <c r="AL32" s="12"/>
      <c r="AM32" s="7">
        <v>350236</v>
      </c>
      <c r="AO32" s="7">
        <v>174077</v>
      </c>
      <c r="AQ32" s="7">
        <v>457574</v>
      </c>
      <c r="AS32" s="7">
        <v>6580</v>
      </c>
      <c r="AW32" s="7">
        <v>0</v>
      </c>
      <c r="AY32" s="7">
        <f t="shared" si="0"/>
        <v>8407133</v>
      </c>
      <c r="BA32" s="7">
        <f>+'St of Activites - GA Rev'!AI32-'St of Activities - GA Exp'!AY32</f>
        <v>423940</v>
      </c>
      <c r="BC32" s="7">
        <v>5243439</v>
      </c>
      <c r="BE32" s="7">
        <f t="shared" si="1"/>
        <v>5667379</v>
      </c>
      <c r="BG32" s="7">
        <f>+'St of Net Assets - GA'!AA32-'St of Activities - GA Exp'!BE32</f>
        <v>0</v>
      </c>
      <c r="BL32" s="7" t="str">
        <f t="shared" si="2"/>
        <v>Ayersville Local SD</v>
      </c>
      <c r="BM32" s="7" t="b">
        <f t="shared" si="3"/>
        <v>1</v>
      </c>
      <c r="BO32" s="7" t="str">
        <f t="shared" si="4"/>
        <v>Defiance</v>
      </c>
      <c r="BP32" s="7" t="b">
        <f t="shared" si="5"/>
        <v>1</v>
      </c>
    </row>
    <row r="33" spans="1:68">
      <c r="A33" s="12" t="s">
        <v>523</v>
      </c>
      <c r="B33" s="12"/>
      <c r="C33" s="12" t="s">
        <v>63</v>
      </c>
      <c r="D33" s="12"/>
      <c r="E33" s="12">
        <v>43539</v>
      </c>
      <c r="G33" s="7">
        <v>19077317</v>
      </c>
      <c r="I33" s="7">
        <v>6516272</v>
      </c>
      <c r="K33" s="7">
        <v>1320688</v>
      </c>
      <c r="M33" s="7">
        <v>0</v>
      </c>
      <c r="O33" s="7">
        <v>4930186</v>
      </c>
      <c r="Q33" s="7">
        <v>2311323</v>
      </c>
      <c r="S33" s="7">
        <v>2515505</v>
      </c>
      <c r="U33" s="7">
        <v>29089</v>
      </c>
      <c r="W33" s="7">
        <v>3404037</v>
      </c>
      <c r="Y33" s="7">
        <v>658499</v>
      </c>
      <c r="AA33" s="7">
        <v>380576</v>
      </c>
      <c r="AC33" s="7">
        <v>3868311</v>
      </c>
      <c r="AE33" s="7">
        <v>1289452</v>
      </c>
      <c r="AG33" s="7">
        <v>140497</v>
      </c>
      <c r="AI33" s="12" t="s">
        <v>523</v>
      </c>
      <c r="AJ33" s="12"/>
      <c r="AK33" s="12" t="s">
        <v>63</v>
      </c>
      <c r="AL33" s="12"/>
      <c r="AM33" s="7">
        <v>2110998</v>
      </c>
      <c r="AO33" s="7">
        <v>276521</v>
      </c>
      <c r="AQ33" s="7">
        <v>2044778</v>
      </c>
      <c r="AS33" s="7">
        <v>2681908</v>
      </c>
      <c r="AW33" s="7">
        <v>0</v>
      </c>
      <c r="AY33" s="7">
        <f t="shared" si="0"/>
        <v>53555957</v>
      </c>
      <c r="BA33" s="7">
        <f>+'St of Activites - GA Rev'!AI33-'St of Activities - GA Exp'!AY33</f>
        <v>674657</v>
      </c>
      <c r="BC33" s="7">
        <v>84282549</v>
      </c>
      <c r="BE33" s="7">
        <f t="shared" si="1"/>
        <v>84957206</v>
      </c>
      <c r="BG33" s="7">
        <f>+'St of Net Assets - GA'!AA33-'St of Activities - GA Exp'!BE33</f>
        <v>0</v>
      </c>
      <c r="BL33" s="7" t="str">
        <f t="shared" si="2"/>
        <v>Barberton City SD</v>
      </c>
      <c r="BM33" s="7" t="b">
        <f t="shared" si="3"/>
        <v>1</v>
      </c>
      <c r="BO33" s="7" t="str">
        <f t="shared" si="4"/>
        <v>Summit</v>
      </c>
      <c r="BP33" s="7" t="b">
        <f t="shared" si="5"/>
        <v>1</v>
      </c>
    </row>
    <row r="34" spans="1:68">
      <c r="A34" s="12" t="s">
        <v>859</v>
      </c>
      <c r="B34" s="12"/>
      <c r="C34" s="12" t="s">
        <v>15</v>
      </c>
      <c r="D34" s="12"/>
      <c r="E34" s="12"/>
      <c r="G34" s="7">
        <v>5332048</v>
      </c>
      <c r="I34" s="7">
        <v>1601489</v>
      </c>
      <c r="K34" s="7">
        <v>181388</v>
      </c>
      <c r="M34" s="7">
        <v>0</v>
      </c>
      <c r="O34" s="7">
        <v>236629</v>
      </c>
      <c r="Q34" s="7">
        <v>637667</v>
      </c>
      <c r="S34" s="7">
        <v>314735</v>
      </c>
      <c r="U34" s="7">
        <v>146417</v>
      </c>
      <c r="W34" s="7">
        <v>957648</v>
      </c>
      <c r="Y34" s="7">
        <v>377487</v>
      </c>
      <c r="AA34" s="7">
        <v>42176</v>
      </c>
      <c r="AC34" s="7">
        <v>1219535</v>
      </c>
      <c r="AE34" s="7">
        <v>584629</v>
      </c>
      <c r="AG34" s="7">
        <v>172765</v>
      </c>
      <c r="AI34" s="12" t="s">
        <v>859</v>
      </c>
      <c r="AJ34" s="12"/>
      <c r="AK34" s="12" t="s">
        <v>15</v>
      </c>
      <c r="AL34" s="12"/>
      <c r="AM34" s="7">
        <v>382495</v>
      </c>
      <c r="AO34" s="7">
        <v>39293</v>
      </c>
      <c r="AQ34" s="7">
        <v>206263</v>
      </c>
      <c r="AS34" s="7">
        <v>151207</v>
      </c>
      <c r="AW34" s="7">
        <v>0</v>
      </c>
      <c r="AY34" s="7">
        <f t="shared" si="0"/>
        <v>12583871</v>
      </c>
      <c r="BA34" s="7">
        <f>+'St of Activites - GA Rev'!AI34-'St of Activities - GA Exp'!AY34</f>
        <v>-133126</v>
      </c>
      <c r="BC34" s="7">
        <v>15637084</v>
      </c>
      <c r="BE34" s="7">
        <f t="shared" si="1"/>
        <v>15503958</v>
      </c>
      <c r="BG34" s="7">
        <f>+'St of Net Assets - GA'!AA34-'St of Activities - GA Exp'!BE34</f>
        <v>0</v>
      </c>
      <c r="BL34" s="7" t="str">
        <f t="shared" si="2"/>
        <v>Barnesville Exempted Village SD</v>
      </c>
      <c r="BM34" s="7" t="b">
        <f t="shared" si="3"/>
        <v>1</v>
      </c>
      <c r="BO34" s="7" t="str">
        <f t="shared" si="4"/>
        <v>Belmont</v>
      </c>
      <c r="BP34" s="7" t="b">
        <f t="shared" si="5"/>
        <v>1</v>
      </c>
    </row>
    <row r="35" spans="1:68">
      <c r="A35" s="12" t="s">
        <v>242</v>
      </c>
      <c r="B35" s="12"/>
      <c r="C35" s="12" t="s">
        <v>113</v>
      </c>
      <c r="D35" s="12"/>
      <c r="E35" s="12">
        <v>46300</v>
      </c>
      <c r="G35" s="7">
        <v>8902673</v>
      </c>
      <c r="I35" s="7">
        <v>4528711</v>
      </c>
      <c r="K35" s="7">
        <v>0</v>
      </c>
      <c r="M35" s="7">
        <v>0</v>
      </c>
      <c r="O35" s="7">
        <v>94458</v>
      </c>
      <c r="Q35" s="7">
        <v>586541</v>
      </c>
      <c r="S35" s="7">
        <v>412940</v>
      </c>
      <c r="U35" s="7">
        <v>149184</v>
      </c>
      <c r="W35" s="7">
        <v>1412208</v>
      </c>
      <c r="Y35" s="7">
        <v>513276</v>
      </c>
      <c r="AA35" s="7">
        <v>0</v>
      </c>
      <c r="AC35" s="7">
        <v>1400637</v>
      </c>
      <c r="AE35" s="7">
        <v>1659572</v>
      </c>
      <c r="AG35" s="7">
        <v>11134</v>
      </c>
      <c r="AI35" s="12" t="s">
        <v>242</v>
      </c>
      <c r="AJ35" s="12"/>
      <c r="AK35" s="12" t="s">
        <v>113</v>
      </c>
      <c r="AL35" s="12"/>
      <c r="AM35" s="7">
        <v>0</v>
      </c>
      <c r="AO35" s="7">
        <v>0</v>
      </c>
      <c r="AQ35" s="7">
        <v>523690</v>
      </c>
      <c r="AS35" s="7">
        <v>423154</v>
      </c>
      <c r="AW35" s="7">
        <v>0</v>
      </c>
      <c r="AY35" s="7">
        <f t="shared" si="0"/>
        <v>20618178</v>
      </c>
      <c r="BA35" s="7">
        <f>+'St of Activites - GA Rev'!AI35-'St of Activities - GA Exp'!AY35</f>
        <v>-587857</v>
      </c>
      <c r="BC35" s="7">
        <v>5807274</v>
      </c>
      <c r="BE35" s="7">
        <f t="shared" si="1"/>
        <v>5219417</v>
      </c>
      <c r="BG35" s="7">
        <f>+'St of Net Assets - GA'!AA35-'St of Activities - GA Exp'!BE35</f>
        <v>0</v>
      </c>
      <c r="BL35" s="7" t="str">
        <f t="shared" si="2"/>
        <v>Batavia Local SD</v>
      </c>
      <c r="BM35" s="7" t="b">
        <f t="shared" si="3"/>
        <v>1</v>
      </c>
      <c r="BO35" s="7" t="str">
        <f t="shared" si="4"/>
        <v>Clermont</v>
      </c>
      <c r="BP35" s="7" t="b">
        <f t="shared" si="5"/>
        <v>1</v>
      </c>
    </row>
    <row r="36" spans="1:68" ht="12" hidden="1" customHeight="1">
      <c r="A36" s="12" t="s">
        <v>703</v>
      </c>
      <c r="B36" s="12"/>
      <c r="C36" s="12" t="s">
        <v>10</v>
      </c>
      <c r="D36" s="12"/>
      <c r="E36" s="12">
        <v>45765</v>
      </c>
      <c r="AI36" s="12" t="s">
        <v>703</v>
      </c>
      <c r="AJ36" s="12"/>
      <c r="AK36" s="12" t="s">
        <v>10</v>
      </c>
      <c r="AL36" s="12"/>
      <c r="AY36" s="7">
        <f t="shared" si="0"/>
        <v>0</v>
      </c>
      <c r="BA36" s="7">
        <f>+'St of Activites - GA Rev'!AI36-'St of Activities - GA Exp'!AY36</f>
        <v>0</v>
      </c>
      <c r="BE36" s="7">
        <f t="shared" si="1"/>
        <v>0</v>
      </c>
      <c r="BG36" s="7">
        <f>+'St of Net Assets - GA'!AA36-'St of Activities - GA Exp'!BE36</f>
        <v>0</v>
      </c>
      <c r="BH36" s="7" t="s">
        <v>778</v>
      </c>
      <c r="BL36" s="7" t="str">
        <f t="shared" si="2"/>
        <v>Bath Local SD (CASH)</v>
      </c>
      <c r="BM36" s="7" t="b">
        <f t="shared" si="3"/>
        <v>1</v>
      </c>
      <c r="BO36" s="7" t="str">
        <f t="shared" si="4"/>
        <v>Allen</v>
      </c>
      <c r="BP36" s="7" t="b">
        <f t="shared" si="5"/>
        <v>1</v>
      </c>
    </row>
    <row r="37" spans="1:68" ht="12" customHeight="1">
      <c r="A37" s="12" t="s">
        <v>661</v>
      </c>
      <c r="B37" s="12"/>
      <c r="C37" s="12" t="s">
        <v>20</v>
      </c>
      <c r="D37" s="12"/>
      <c r="E37" s="12">
        <v>43547</v>
      </c>
      <c r="G37" s="7">
        <v>13596606</v>
      </c>
      <c r="I37" s="7">
        <v>2250471</v>
      </c>
      <c r="K37" s="7">
        <v>346912</v>
      </c>
      <c r="M37" s="7">
        <v>0</v>
      </c>
      <c r="O37" s="7">
        <v>873032</v>
      </c>
      <c r="Q37" s="7">
        <v>2939501</v>
      </c>
      <c r="S37" s="7">
        <v>919671</v>
      </c>
      <c r="U37" s="7">
        <v>27524</v>
      </c>
      <c r="W37" s="7">
        <v>2380342</v>
      </c>
      <c r="Y37" s="7">
        <v>836510</v>
      </c>
      <c r="AA37" s="7">
        <v>391247</v>
      </c>
      <c r="AC37" s="7">
        <v>2577116</v>
      </c>
      <c r="AE37" s="7">
        <v>1139420</v>
      </c>
      <c r="AG37" s="7">
        <v>455473</v>
      </c>
      <c r="AI37" s="12" t="s">
        <v>661</v>
      </c>
      <c r="AJ37" s="12"/>
      <c r="AK37" s="12" t="s">
        <v>20</v>
      </c>
      <c r="AL37" s="12"/>
      <c r="AM37" s="7">
        <v>805309</v>
      </c>
      <c r="AO37" s="7">
        <f>589501+850693</f>
        <v>1440194</v>
      </c>
      <c r="AQ37" s="7">
        <f>109695+836424+235164</f>
        <v>1181283</v>
      </c>
      <c r="AS37" s="7">
        <v>1399745</v>
      </c>
      <c r="AW37" s="7">
        <v>0</v>
      </c>
      <c r="AY37" s="7">
        <f t="shared" si="0"/>
        <v>33560356</v>
      </c>
      <c r="BA37" s="7">
        <f>+'St of Activites - GA Rev'!AI37-'St of Activities - GA Exp'!AY37</f>
        <v>1677387</v>
      </c>
      <c r="BC37" s="7">
        <v>17439674</v>
      </c>
      <c r="BE37" s="7">
        <f t="shared" si="1"/>
        <v>19117061</v>
      </c>
      <c r="BG37" s="7">
        <f>+'St of Net Assets - GA'!AA37-'St of Activities - GA Exp'!BE37</f>
        <v>0</v>
      </c>
      <c r="BL37" s="7" t="str">
        <f t="shared" si="2"/>
        <v xml:space="preserve">Bay Village City SD </v>
      </c>
      <c r="BM37" s="7" t="b">
        <f t="shared" si="3"/>
        <v>1</v>
      </c>
      <c r="BO37" s="7" t="str">
        <f t="shared" si="4"/>
        <v>Cuyahoga</v>
      </c>
      <c r="BP37" s="7" t="b">
        <f t="shared" si="5"/>
        <v>1</v>
      </c>
    </row>
    <row r="38" spans="1:68">
      <c r="A38" s="12" t="s">
        <v>267</v>
      </c>
      <c r="B38" s="12"/>
      <c r="C38" s="12" t="s">
        <v>20</v>
      </c>
      <c r="D38" s="12"/>
      <c r="E38" s="12">
        <v>43554</v>
      </c>
      <c r="G38" s="7">
        <v>11817943</v>
      </c>
      <c r="I38" s="7">
        <v>6393564</v>
      </c>
      <c r="K38" s="7">
        <v>1566475</v>
      </c>
      <c r="M38" s="7">
        <v>172423</v>
      </c>
      <c r="O38" s="7">
        <v>128063</v>
      </c>
      <c r="Q38" s="7">
        <v>2447124</v>
      </c>
      <c r="S38" s="7">
        <v>1229125</v>
      </c>
      <c r="U38" s="7">
        <v>562724</v>
      </c>
      <c r="W38" s="7">
        <v>2396922</v>
      </c>
      <c r="Y38" s="7">
        <v>443112</v>
      </c>
      <c r="AA38" s="7">
        <v>464459</v>
      </c>
      <c r="AC38" s="7">
        <v>3435706</v>
      </c>
      <c r="AE38" s="7">
        <v>2394212</v>
      </c>
      <c r="AG38" s="7">
        <v>779644</v>
      </c>
      <c r="AI38" s="12" t="s">
        <v>267</v>
      </c>
      <c r="AJ38" s="12"/>
      <c r="AK38" s="12" t="s">
        <v>20</v>
      </c>
      <c r="AL38" s="12"/>
      <c r="AM38" s="7">
        <v>670283</v>
      </c>
      <c r="AO38" s="7">
        <v>945174</v>
      </c>
      <c r="AQ38" s="7">
        <v>1001511</v>
      </c>
      <c r="AS38" s="7">
        <v>1759116</v>
      </c>
      <c r="AW38" s="7">
        <v>0</v>
      </c>
      <c r="AY38" s="7">
        <f t="shared" si="0"/>
        <v>38607580</v>
      </c>
      <c r="BA38" s="7">
        <f>+'St of Activites - GA Rev'!AI38-'St of Activities - GA Exp'!AY38</f>
        <v>3535752</v>
      </c>
      <c r="BC38" s="7">
        <v>35176149</v>
      </c>
      <c r="BE38" s="7">
        <f t="shared" si="1"/>
        <v>38711901</v>
      </c>
      <c r="BG38" s="7">
        <f>+'St of Net Assets - GA'!AA38-'St of Activities - GA Exp'!BE38</f>
        <v>0</v>
      </c>
      <c r="BL38" s="7" t="str">
        <f t="shared" si="2"/>
        <v>Beachwood City SD</v>
      </c>
      <c r="BM38" s="7" t="b">
        <f t="shared" si="3"/>
        <v>1</v>
      </c>
      <c r="BO38" s="7" t="str">
        <f t="shared" si="4"/>
        <v>Cuyahoga</v>
      </c>
      <c r="BP38" s="7" t="b">
        <f t="shared" si="5"/>
        <v>1</v>
      </c>
    </row>
    <row r="39" spans="1:68">
      <c r="A39" s="12" t="s">
        <v>252</v>
      </c>
      <c r="B39" s="12"/>
      <c r="C39" s="12" t="s">
        <v>112</v>
      </c>
      <c r="D39" s="12"/>
      <c r="E39" s="12">
        <v>46425</v>
      </c>
      <c r="G39" s="7">
        <v>10093957</v>
      </c>
      <c r="I39" s="7">
        <v>2150949</v>
      </c>
      <c r="K39" s="7">
        <v>8441</v>
      </c>
      <c r="M39" s="7">
        <v>0</v>
      </c>
      <c r="O39" s="7">
        <f>7151+175</f>
        <v>7326</v>
      </c>
      <c r="Q39" s="7">
        <v>590763</v>
      </c>
      <c r="S39" s="7">
        <v>651592</v>
      </c>
      <c r="U39" s="7">
        <v>40780</v>
      </c>
      <c r="W39" s="7">
        <v>1733694</v>
      </c>
      <c r="Y39" s="7">
        <v>426312</v>
      </c>
      <c r="AA39" s="7">
        <v>0</v>
      </c>
      <c r="AC39" s="7">
        <v>1513615</v>
      </c>
      <c r="AE39" s="7">
        <v>1769620</v>
      </c>
      <c r="AG39" s="7">
        <v>13717</v>
      </c>
      <c r="AI39" s="12" t="s">
        <v>252</v>
      </c>
      <c r="AJ39" s="12"/>
      <c r="AK39" s="12" t="s">
        <v>112</v>
      </c>
      <c r="AL39" s="12"/>
      <c r="AM39" s="7">
        <v>0</v>
      </c>
      <c r="AO39" s="7">
        <v>841173</v>
      </c>
      <c r="AQ39" s="7">
        <v>541764</v>
      </c>
      <c r="AS39" s="7">
        <v>3307</v>
      </c>
      <c r="AW39" s="7">
        <v>84054</v>
      </c>
      <c r="AY39" s="7">
        <f t="shared" si="0"/>
        <v>20471064</v>
      </c>
      <c r="BA39" s="7">
        <f>+'St of Activites - GA Rev'!AI39-'St of Activities - GA Exp'!AY39</f>
        <v>208688</v>
      </c>
      <c r="BC39" s="7">
        <v>1595516</v>
      </c>
      <c r="BE39" s="7">
        <f t="shared" si="1"/>
        <v>1804204</v>
      </c>
      <c r="BG39" s="7">
        <f>+'St of Net Assets - GA'!AA39-'St of Activities - GA Exp'!BE39</f>
        <v>0</v>
      </c>
      <c r="BL39" s="7" t="str">
        <f t="shared" si="2"/>
        <v>Beaver Local SD</v>
      </c>
      <c r="BM39" s="7" t="b">
        <f t="shared" si="3"/>
        <v>1</v>
      </c>
      <c r="BO39" s="7" t="str">
        <f t="shared" si="4"/>
        <v>Columbiana</v>
      </c>
      <c r="BP39" s="7" t="b">
        <f t="shared" si="5"/>
        <v>1</v>
      </c>
    </row>
    <row r="40" spans="1:68">
      <c r="A40" s="12" t="s">
        <v>325</v>
      </c>
      <c r="B40" s="12"/>
      <c r="C40" s="12" t="s">
        <v>114</v>
      </c>
      <c r="D40" s="12"/>
      <c r="E40" s="12">
        <v>47241</v>
      </c>
      <c r="G40" s="7">
        <v>34616078</v>
      </c>
      <c r="I40" s="7">
        <v>10501809</v>
      </c>
      <c r="K40" s="7">
        <v>359422</v>
      </c>
      <c r="M40" s="7">
        <v>0</v>
      </c>
      <c r="O40" s="7">
        <f>1190219+894326</f>
        <v>2084545</v>
      </c>
      <c r="Q40" s="7">
        <v>5193634</v>
      </c>
      <c r="S40" s="7">
        <v>6196184</v>
      </c>
      <c r="U40" s="7">
        <v>51215</v>
      </c>
      <c r="W40" s="7">
        <v>4723839</v>
      </c>
      <c r="Y40" s="7">
        <v>1772536</v>
      </c>
      <c r="AA40" s="7">
        <v>526918</v>
      </c>
      <c r="AC40" s="7">
        <v>6844339</v>
      </c>
      <c r="AE40" s="7">
        <v>5942577</v>
      </c>
      <c r="AG40" s="7">
        <v>2828770</v>
      </c>
      <c r="AI40" s="12" t="s">
        <v>325</v>
      </c>
      <c r="AJ40" s="12"/>
      <c r="AK40" s="12" t="s">
        <v>114</v>
      </c>
      <c r="AL40" s="12"/>
      <c r="AM40" s="7">
        <v>2650847</v>
      </c>
      <c r="AO40" s="7">
        <v>1024001</v>
      </c>
      <c r="AQ40" s="7">
        <f>466710+1063609+34199</f>
        <v>1564518</v>
      </c>
      <c r="AS40" s="7">
        <v>4317257</v>
      </c>
      <c r="AW40" s="7">
        <v>0</v>
      </c>
      <c r="AY40" s="7">
        <f t="shared" si="0"/>
        <v>91198489</v>
      </c>
      <c r="BA40" s="7">
        <f>+'St of Activites - GA Rev'!AI40-'St of Activities - GA Exp'!AY40</f>
        <v>-1481470</v>
      </c>
      <c r="BC40" s="7">
        <v>31806548</v>
      </c>
      <c r="BE40" s="7">
        <f t="shared" si="1"/>
        <v>30325078</v>
      </c>
      <c r="BG40" s="7">
        <f>+'St of Net Assets - GA'!AA40-'St of Activities - GA Exp'!BE40</f>
        <v>0</v>
      </c>
      <c r="BL40" s="7" t="str">
        <f t="shared" si="2"/>
        <v>Beavercreek City SD</v>
      </c>
      <c r="BM40" s="7" t="b">
        <f t="shared" si="3"/>
        <v>1</v>
      </c>
      <c r="BO40" s="7" t="str">
        <f t="shared" si="4"/>
        <v>Greene</v>
      </c>
      <c r="BP40" s="7" t="b">
        <f t="shared" si="5"/>
        <v>1</v>
      </c>
    </row>
    <row r="41" spans="1:68">
      <c r="A41" s="12" t="s">
        <v>268</v>
      </c>
      <c r="B41" s="12"/>
      <c r="C41" s="12" t="s">
        <v>20</v>
      </c>
      <c r="D41" s="12"/>
      <c r="E41" s="12">
        <v>43562</v>
      </c>
      <c r="G41" s="7">
        <v>18698444</v>
      </c>
      <c r="I41" s="7">
        <v>5358120</v>
      </c>
      <c r="K41" s="7">
        <v>915394</v>
      </c>
      <c r="M41" s="7">
        <v>0</v>
      </c>
      <c r="O41" s="7">
        <v>50876</v>
      </c>
      <c r="Q41" s="7">
        <v>3034339</v>
      </c>
      <c r="S41" s="7">
        <v>2735600</v>
      </c>
      <c r="U41" s="7">
        <v>85953</v>
      </c>
      <c r="W41" s="7">
        <v>3969440</v>
      </c>
      <c r="Y41" s="7">
        <v>1309344</v>
      </c>
      <c r="AA41" s="7">
        <v>877396</v>
      </c>
      <c r="AC41" s="7">
        <v>6645111</v>
      </c>
      <c r="AE41" s="7">
        <v>3513967</v>
      </c>
      <c r="AG41" s="7">
        <v>335344</v>
      </c>
      <c r="AI41" s="12" t="s">
        <v>268</v>
      </c>
      <c r="AJ41" s="12"/>
      <c r="AK41" s="12" t="s">
        <v>20</v>
      </c>
      <c r="AL41" s="12"/>
      <c r="AM41" s="7">
        <v>1705905</v>
      </c>
      <c r="AO41" s="7">
        <v>394207</v>
      </c>
      <c r="AQ41" s="7">
        <v>838622</v>
      </c>
      <c r="AS41" s="7">
        <v>357696</v>
      </c>
      <c r="AW41" s="7">
        <v>0</v>
      </c>
      <c r="AY41" s="7">
        <f t="shared" si="0"/>
        <v>50825758</v>
      </c>
      <c r="BA41" s="7">
        <f>+'St of Activites - GA Rev'!AI41-'St of Activities - GA Exp'!AY41</f>
        <v>4825401</v>
      </c>
      <c r="BC41" s="7">
        <v>32637807</v>
      </c>
      <c r="BE41" s="7">
        <f t="shared" si="1"/>
        <v>37463208</v>
      </c>
      <c r="BG41" s="7">
        <f>+'St of Net Assets - GA'!AA41-'St of Activities - GA Exp'!BE41</f>
        <v>0</v>
      </c>
      <c r="BL41" s="7" t="str">
        <f t="shared" si="2"/>
        <v>Bedford City SD</v>
      </c>
      <c r="BM41" s="7" t="b">
        <f t="shared" si="3"/>
        <v>1</v>
      </c>
      <c r="BO41" s="7" t="str">
        <f t="shared" si="4"/>
        <v>Cuyahoga</v>
      </c>
      <c r="BP41" s="7" t="b">
        <f t="shared" si="5"/>
        <v>1</v>
      </c>
    </row>
    <row r="42" spans="1:68">
      <c r="A42" s="12" t="s">
        <v>216</v>
      </c>
      <c r="B42" s="12"/>
      <c r="C42" s="12" t="s">
        <v>15</v>
      </c>
      <c r="D42" s="12"/>
      <c r="E42" s="12">
        <v>43570</v>
      </c>
      <c r="G42" s="7">
        <v>8220689</v>
      </c>
      <c r="I42" s="7">
        <v>2003770</v>
      </c>
      <c r="K42" s="7">
        <v>2009</v>
      </c>
      <c r="M42" s="7">
        <v>0</v>
      </c>
      <c r="O42" s="7">
        <v>0</v>
      </c>
      <c r="Q42" s="7">
        <v>1364019</v>
      </c>
      <c r="S42" s="7">
        <v>204039</v>
      </c>
      <c r="U42" s="7">
        <v>28089</v>
      </c>
      <c r="W42" s="7">
        <v>1190331</v>
      </c>
      <c r="Y42" s="7">
        <v>412770</v>
      </c>
      <c r="AA42" s="7">
        <v>0</v>
      </c>
      <c r="AC42" s="7">
        <v>1412973</v>
      </c>
      <c r="AE42" s="7">
        <v>1205205</v>
      </c>
      <c r="AG42" s="7">
        <v>889</v>
      </c>
      <c r="AI42" s="12" t="s">
        <v>216</v>
      </c>
      <c r="AJ42" s="12"/>
      <c r="AK42" s="12" t="s">
        <v>15</v>
      </c>
      <c r="AL42" s="12"/>
      <c r="AM42" s="7">
        <v>662176</v>
      </c>
      <c r="AO42" s="7">
        <v>146181</v>
      </c>
      <c r="AQ42" s="7">
        <v>294985</v>
      </c>
      <c r="AS42" s="7">
        <v>136049</v>
      </c>
      <c r="AW42" s="7">
        <v>0</v>
      </c>
      <c r="AY42" s="7">
        <f t="shared" si="0"/>
        <v>17284174</v>
      </c>
      <c r="BA42" s="7">
        <f>+'St of Activites - GA Rev'!AI42-'St of Activities - GA Exp'!AY42</f>
        <v>903302</v>
      </c>
      <c r="BC42" s="7">
        <v>14122598</v>
      </c>
      <c r="BE42" s="7">
        <f t="shared" si="1"/>
        <v>15025900</v>
      </c>
      <c r="BG42" s="7">
        <f>+'St of Net Assets - GA'!AA42-'St of Activities - GA Exp'!BE42</f>
        <v>0</v>
      </c>
      <c r="BL42" s="7" t="str">
        <f t="shared" si="2"/>
        <v>Bellaire Local SD</v>
      </c>
      <c r="BM42" s="7" t="b">
        <f t="shared" si="3"/>
        <v>1</v>
      </c>
      <c r="BO42" s="7" t="str">
        <f t="shared" si="4"/>
        <v>Belmont</v>
      </c>
      <c r="BP42" s="7" t="b">
        <f t="shared" si="5"/>
        <v>1</v>
      </c>
    </row>
    <row r="43" spans="1:68">
      <c r="A43" s="12" t="s">
        <v>796</v>
      </c>
      <c r="B43" s="12"/>
      <c r="C43" s="12" t="s">
        <v>114</v>
      </c>
      <c r="D43" s="12"/>
      <c r="E43" s="12"/>
      <c r="G43" s="7">
        <v>11393360</v>
      </c>
      <c r="I43" s="7">
        <v>3297883</v>
      </c>
      <c r="K43" s="7">
        <v>11160</v>
      </c>
      <c r="M43" s="7">
        <v>0</v>
      </c>
      <c r="O43" s="7">
        <v>0</v>
      </c>
      <c r="Q43" s="7">
        <v>1295256</v>
      </c>
      <c r="S43" s="7">
        <v>972685</v>
      </c>
      <c r="U43" s="7">
        <v>63976</v>
      </c>
      <c r="W43" s="7">
        <v>1981191</v>
      </c>
      <c r="Y43" s="7">
        <v>900119</v>
      </c>
      <c r="AA43" s="7">
        <v>196407</v>
      </c>
      <c r="AC43" s="7">
        <v>2974508</v>
      </c>
      <c r="AE43" s="7">
        <v>1525914</v>
      </c>
      <c r="AG43" s="7">
        <v>100632</v>
      </c>
      <c r="AI43" s="12" t="s">
        <v>796</v>
      </c>
      <c r="AJ43" s="12"/>
      <c r="AK43" s="12" t="s">
        <v>114</v>
      </c>
      <c r="AL43" s="12"/>
      <c r="AM43" s="7">
        <v>0</v>
      </c>
      <c r="AO43" s="7">
        <v>715644</v>
      </c>
      <c r="AQ43" s="7">
        <v>1289481</v>
      </c>
      <c r="AS43" s="7">
        <v>2129932</v>
      </c>
      <c r="AW43" s="7">
        <v>1753891</v>
      </c>
      <c r="AY43" s="7">
        <f t="shared" si="0"/>
        <v>30602039</v>
      </c>
      <c r="BA43" s="7">
        <f>+'St of Activites - GA Rev'!AI43-'St of Activities - GA Exp'!AY43</f>
        <v>628243</v>
      </c>
      <c r="BC43" s="7">
        <v>6445922</v>
      </c>
      <c r="BE43" s="7">
        <f t="shared" si="1"/>
        <v>7074165</v>
      </c>
      <c r="BG43" s="7">
        <f>+'St of Net Assets - GA'!AA43-'St of Activities - GA Exp'!BE43</f>
        <v>0</v>
      </c>
      <c r="BH43" s="7" t="s">
        <v>780</v>
      </c>
      <c r="BL43" s="7" t="str">
        <f t="shared" si="2"/>
        <v>Bellbrook-Sugarcreek Local SD</v>
      </c>
      <c r="BM43" s="7" t="b">
        <f t="shared" si="3"/>
        <v>1</v>
      </c>
      <c r="BO43" s="7" t="str">
        <f t="shared" si="4"/>
        <v>Greene</v>
      </c>
      <c r="BP43" s="7" t="b">
        <f t="shared" si="5"/>
        <v>1</v>
      </c>
    </row>
    <row r="44" spans="1:68">
      <c r="A44" s="12" t="s">
        <v>365</v>
      </c>
      <c r="B44" s="12"/>
      <c r="C44" s="12" t="s">
        <v>37</v>
      </c>
      <c r="D44" s="12"/>
      <c r="E44" s="12">
        <v>43596</v>
      </c>
      <c r="G44" s="7">
        <v>8353720</v>
      </c>
      <c r="I44" s="7">
        <v>3388438</v>
      </c>
      <c r="K44" s="7">
        <v>396797</v>
      </c>
      <c r="M44" s="7">
        <v>0</v>
      </c>
      <c r="O44" s="7">
        <v>1017544</v>
      </c>
      <c r="Q44" s="7">
        <v>1170406</v>
      </c>
      <c r="S44" s="7">
        <v>958918</v>
      </c>
      <c r="U44" s="7">
        <v>21870</v>
      </c>
      <c r="W44" s="7">
        <v>1423335</v>
      </c>
      <c r="Y44" s="7">
        <v>529413</v>
      </c>
      <c r="AA44" s="7">
        <v>12623</v>
      </c>
      <c r="AC44" s="7">
        <v>1960048</v>
      </c>
      <c r="AE44" s="7">
        <v>1048891</v>
      </c>
      <c r="AG44" s="7">
        <v>65983</v>
      </c>
      <c r="AI44" s="12" t="s">
        <v>365</v>
      </c>
      <c r="AJ44" s="12"/>
      <c r="AK44" s="12" t="s">
        <v>37</v>
      </c>
      <c r="AL44" s="12"/>
      <c r="AM44" s="7">
        <v>815121</v>
      </c>
      <c r="AO44" s="7">
        <v>148486</v>
      </c>
      <c r="AQ44" s="7">
        <v>702909</v>
      </c>
      <c r="AS44" s="7">
        <v>1030482</v>
      </c>
      <c r="AW44" s="7">
        <v>0</v>
      </c>
      <c r="AY44" s="7">
        <f t="shared" si="0"/>
        <v>23044984</v>
      </c>
      <c r="BA44" s="7">
        <f>+'St of Activites - GA Rev'!AI44-'St of Activities - GA Exp'!AY44</f>
        <v>2765320</v>
      </c>
      <c r="BC44" s="7">
        <v>25278735</v>
      </c>
      <c r="BE44" s="7">
        <f t="shared" si="1"/>
        <v>28044055</v>
      </c>
      <c r="BG44" s="7">
        <f>+'St of Net Assets - GA'!AA44-'St of Activities - GA Exp'!BE44</f>
        <v>0</v>
      </c>
      <c r="BL44" s="7" t="str">
        <f t="shared" si="2"/>
        <v>Bellevue City SD</v>
      </c>
      <c r="BM44" s="7" t="b">
        <f t="shared" si="3"/>
        <v>1</v>
      </c>
      <c r="BO44" s="7" t="str">
        <f t="shared" si="4"/>
        <v>Huron</v>
      </c>
      <c r="BP44" s="7" t="b">
        <f t="shared" si="5"/>
        <v>1</v>
      </c>
    </row>
    <row r="45" spans="1:68">
      <c r="A45" s="12" t="s">
        <v>564</v>
      </c>
      <c r="B45" s="12"/>
      <c r="C45" s="12" t="s">
        <v>70</v>
      </c>
      <c r="D45" s="12"/>
      <c r="E45" s="12">
        <v>43604</v>
      </c>
      <c r="G45" s="7">
        <v>3289911</v>
      </c>
      <c r="I45" s="7">
        <v>1812599</v>
      </c>
      <c r="K45" s="7">
        <v>185</v>
      </c>
      <c r="M45" s="7">
        <v>0</v>
      </c>
      <c r="O45" s="7">
        <v>833889</v>
      </c>
      <c r="Q45" s="7">
        <v>1029622</v>
      </c>
      <c r="S45" s="7">
        <v>659569</v>
      </c>
      <c r="U45" s="7">
        <v>62971</v>
      </c>
      <c r="W45" s="7">
        <v>897342</v>
      </c>
      <c r="Y45" s="7">
        <v>386592</v>
      </c>
      <c r="AA45" s="7">
        <v>1491</v>
      </c>
      <c r="AC45" s="7">
        <v>1250411</v>
      </c>
      <c r="AE45" s="7">
        <v>396648</v>
      </c>
      <c r="AG45" s="7">
        <v>1619</v>
      </c>
      <c r="AI45" s="12" t="s">
        <v>564</v>
      </c>
      <c r="AJ45" s="12"/>
      <c r="AK45" s="12" t="s">
        <v>70</v>
      </c>
      <c r="AL45" s="12"/>
      <c r="AM45" s="7">
        <v>447488</v>
      </c>
      <c r="AO45" s="7">
        <v>1095</v>
      </c>
      <c r="AQ45" s="7">
        <v>281595</v>
      </c>
      <c r="AS45" s="7">
        <v>1043</v>
      </c>
      <c r="AW45" s="7">
        <v>0</v>
      </c>
      <c r="AY45" s="7">
        <f t="shared" si="0"/>
        <v>11354070</v>
      </c>
      <c r="BA45" s="7">
        <f>+'St of Activites - GA Rev'!AI45-'St of Activities - GA Exp'!AY45</f>
        <v>574552</v>
      </c>
      <c r="BC45" s="7">
        <v>6178883</v>
      </c>
      <c r="BE45" s="7">
        <f t="shared" si="1"/>
        <v>6753435</v>
      </c>
      <c r="BG45" s="7">
        <f>+'St of Net Assets - GA'!AA45-'St of Activities - GA Exp'!BE45</f>
        <v>0</v>
      </c>
      <c r="BL45" s="7" t="str">
        <f t="shared" si="2"/>
        <v>Belpre City SD</v>
      </c>
      <c r="BM45" s="7" t="b">
        <f t="shared" si="3"/>
        <v>1</v>
      </c>
      <c r="BO45" s="7" t="str">
        <f t="shared" si="4"/>
        <v>Washington</v>
      </c>
      <c r="BP45" s="7" t="b">
        <f t="shared" si="5"/>
        <v>1</v>
      </c>
    </row>
    <row r="46" spans="1:68">
      <c r="A46" s="12" t="s">
        <v>463</v>
      </c>
      <c r="B46" s="12"/>
      <c r="C46" s="12" t="s">
        <v>53</v>
      </c>
      <c r="D46" s="12"/>
      <c r="E46" s="12">
        <v>48926</v>
      </c>
      <c r="G46" s="7">
        <v>10140737</v>
      </c>
      <c r="I46" s="7">
        <v>1861374</v>
      </c>
      <c r="K46" s="7">
        <v>23576</v>
      </c>
      <c r="M46" s="7">
        <v>17723</v>
      </c>
      <c r="O46" s="7">
        <v>177890</v>
      </c>
      <c r="Q46" s="7">
        <v>1316050</v>
      </c>
      <c r="S46" s="7">
        <v>1392922</v>
      </c>
      <c r="U46" s="7">
        <v>106749</v>
      </c>
      <c r="W46" s="7">
        <v>1859375</v>
      </c>
      <c r="Y46" s="7">
        <v>479675</v>
      </c>
      <c r="AA46" s="7">
        <v>0</v>
      </c>
      <c r="AC46" s="7">
        <v>2907590</v>
      </c>
      <c r="AE46" s="7">
        <v>1296161</v>
      </c>
      <c r="AG46" s="7">
        <v>392943</v>
      </c>
      <c r="AI46" s="12" t="s">
        <v>463</v>
      </c>
      <c r="AJ46" s="12"/>
      <c r="AK46" s="12" t="s">
        <v>53</v>
      </c>
      <c r="AL46" s="12"/>
      <c r="AM46" s="7">
        <v>875915</v>
      </c>
      <c r="AO46" s="7">
        <v>238886</v>
      </c>
      <c r="AQ46" s="7">
        <v>755515</v>
      </c>
      <c r="AS46" s="7">
        <v>0</v>
      </c>
      <c r="AW46" s="7">
        <v>0</v>
      </c>
      <c r="AY46" s="7">
        <f t="shared" si="0"/>
        <v>23843081</v>
      </c>
      <c r="BA46" s="7">
        <f>+'St of Activites - GA Rev'!AI46-'St of Activities - GA Exp'!AY46</f>
        <v>-2001602</v>
      </c>
      <c r="BC46" s="7">
        <v>15566522</v>
      </c>
      <c r="BE46" s="7">
        <f t="shared" si="1"/>
        <v>13564920</v>
      </c>
      <c r="BG46" s="7">
        <f>+'St of Net Assets - GA'!AA46-'St of Activities - GA Exp'!BE46</f>
        <v>0</v>
      </c>
      <c r="BL46" s="7" t="str">
        <f t="shared" si="2"/>
        <v>Benton Carroll Salem Local SD</v>
      </c>
      <c r="BM46" s="7" t="b">
        <f t="shared" si="3"/>
        <v>1</v>
      </c>
      <c r="BO46" s="7" t="str">
        <f t="shared" si="4"/>
        <v>Ottawa</v>
      </c>
      <c r="BP46" s="7" t="b">
        <f t="shared" si="5"/>
        <v>1</v>
      </c>
    </row>
    <row r="47" spans="1:68">
      <c r="A47" s="12" t="s">
        <v>269</v>
      </c>
      <c r="B47" s="12"/>
      <c r="C47" s="12" t="s">
        <v>20</v>
      </c>
      <c r="D47" s="12"/>
      <c r="E47" s="12">
        <v>43612</v>
      </c>
      <c r="G47" s="7">
        <v>48702062</v>
      </c>
      <c r="I47" s="7">
        <v>8879849</v>
      </c>
      <c r="K47" s="7">
        <v>747511</v>
      </c>
      <c r="M47" s="7">
        <v>167</v>
      </c>
      <c r="O47" s="7">
        <v>0</v>
      </c>
      <c r="Q47" s="7">
        <v>5233024</v>
      </c>
      <c r="S47" s="7">
        <v>5898656</v>
      </c>
      <c r="U47" s="7">
        <v>40279</v>
      </c>
      <c r="W47" s="7">
        <v>4481530</v>
      </c>
      <c r="Y47" s="7">
        <v>1713498</v>
      </c>
      <c r="AA47" s="7">
        <v>836727</v>
      </c>
      <c r="AC47" s="7">
        <v>7697334</v>
      </c>
      <c r="AE47" s="7">
        <v>3577492</v>
      </c>
      <c r="AG47" s="7">
        <v>2750598</v>
      </c>
      <c r="AI47" s="12" t="s">
        <v>269</v>
      </c>
      <c r="AJ47" s="12"/>
      <c r="AK47" s="12" t="s">
        <v>20</v>
      </c>
      <c r="AL47" s="12"/>
      <c r="AM47" s="7">
        <v>0</v>
      </c>
      <c r="AO47" s="7">
        <v>2561931</v>
      </c>
      <c r="AQ47" s="7">
        <v>1711255</v>
      </c>
      <c r="AS47" s="7">
        <v>2190396</v>
      </c>
      <c r="AW47" s="7">
        <v>0</v>
      </c>
      <c r="AY47" s="7">
        <f t="shared" si="0"/>
        <v>97022309</v>
      </c>
      <c r="BA47" s="7">
        <f>+'St of Activites - GA Rev'!AI47-'St of Activities - GA Exp'!AY47</f>
        <v>-10880723</v>
      </c>
      <c r="BC47" s="7">
        <v>45910686</v>
      </c>
      <c r="BE47" s="7">
        <f>+BA47+BC47</f>
        <v>35029963</v>
      </c>
      <c r="BG47" s="7">
        <f>+'St of Net Assets - GA'!AA47-'St of Activities - GA Exp'!BE47</f>
        <v>0</v>
      </c>
      <c r="BH47" s="7" t="s">
        <v>781</v>
      </c>
      <c r="BL47" s="7" t="str">
        <f t="shared" si="2"/>
        <v>Berea City SD</v>
      </c>
      <c r="BM47" s="7" t="b">
        <f t="shared" si="3"/>
        <v>1</v>
      </c>
      <c r="BO47" s="7" t="str">
        <f t="shared" si="4"/>
        <v>Cuyahoga</v>
      </c>
      <c r="BP47" s="7" t="b">
        <f t="shared" si="5"/>
        <v>1</v>
      </c>
    </row>
    <row r="48" spans="1:68" ht="12" customHeight="1">
      <c r="A48" s="12" t="s">
        <v>668</v>
      </c>
      <c r="B48" s="12"/>
      <c r="C48" s="12" t="s">
        <v>30</v>
      </c>
      <c r="D48" s="12"/>
      <c r="E48" s="12">
        <v>47167</v>
      </c>
      <c r="G48" s="7">
        <v>5126717</v>
      </c>
      <c r="I48" s="7">
        <v>1807617</v>
      </c>
      <c r="K48" s="7">
        <v>75058</v>
      </c>
      <c r="M48" s="7">
        <v>0</v>
      </c>
      <c r="O48" s="7">
        <v>191649</v>
      </c>
      <c r="Q48" s="7">
        <v>698939</v>
      </c>
      <c r="S48" s="7">
        <v>475608</v>
      </c>
      <c r="U48" s="7">
        <v>50980</v>
      </c>
      <c r="W48" s="7">
        <v>1227358</v>
      </c>
      <c r="Y48" s="7">
        <v>438902</v>
      </c>
      <c r="AA48" s="7">
        <v>30680</v>
      </c>
      <c r="AC48" s="7">
        <v>1194648</v>
      </c>
      <c r="AE48" s="7">
        <v>1143081</v>
      </c>
      <c r="AG48" s="7">
        <v>0</v>
      </c>
      <c r="AI48" s="12" t="s">
        <v>668</v>
      </c>
      <c r="AJ48" s="12"/>
      <c r="AK48" s="12" t="s">
        <v>30</v>
      </c>
      <c r="AL48" s="12"/>
      <c r="AM48" s="7">
        <v>320036</v>
      </c>
      <c r="AO48" s="7">
        <v>0</v>
      </c>
      <c r="AQ48" s="7">
        <v>365520</v>
      </c>
      <c r="AS48" s="7">
        <v>0</v>
      </c>
      <c r="AW48" s="7">
        <v>0</v>
      </c>
      <c r="AY48" s="7">
        <f t="shared" si="0"/>
        <v>13146793</v>
      </c>
      <c r="BA48" s="7">
        <f>+'St of Activites - GA Rev'!AI48-'St of Activities - GA Exp'!AY48</f>
        <v>-705210</v>
      </c>
      <c r="BC48" s="7">
        <v>5666874</v>
      </c>
      <c r="BE48" s="7">
        <f t="shared" si="1"/>
        <v>4961664</v>
      </c>
      <c r="BG48" s="7">
        <f>+'St of Net Assets - GA'!AA48-'St of Activities - GA Exp'!BE48</f>
        <v>0</v>
      </c>
      <c r="BL48" s="7" t="str">
        <f t="shared" si="2"/>
        <v xml:space="preserve">Berkshire Local SD </v>
      </c>
      <c r="BM48" s="7" t="b">
        <f t="shared" si="3"/>
        <v>1</v>
      </c>
      <c r="BO48" s="7" t="str">
        <f t="shared" si="4"/>
        <v>Geauga</v>
      </c>
      <c r="BP48" s="7" t="b">
        <f t="shared" si="5"/>
        <v>1</v>
      </c>
    </row>
    <row r="49" spans="1:68">
      <c r="A49" s="12" t="s">
        <v>291</v>
      </c>
      <c r="B49" s="12"/>
      <c r="C49" s="12" t="s">
        <v>24</v>
      </c>
      <c r="D49" s="12"/>
      <c r="E49" s="12">
        <v>46789</v>
      </c>
      <c r="G49" s="7">
        <v>6912881</v>
      </c>
      <c r="I49" s="7">
        <v>2445820</v>
      </c>
      <c r="K49" s="7">
        <v>74935</v>
      </c>
      <c r="M49" s="7">
        <v>0</v>
      </c>
      <c r="O49" s="7">
        <v>724572</v>
      </c>
      <c r="Q49" s="7">
        <v>957325</v>
      </c>
      <c r="S49" s="7">
        <v>375746</v>
      </c>
      <c r="U49" s="7">
        <v>46207</v>
      </c>
      <c r="W49" s="7">
        <v>1319392</v>
      </c>
      <c r="Y49" s="7">
        <v>319206</v>
      </c>
      <c r="AA49" s="7">
        <v>0</v>
      </c>
      <c r="AC49" s="7">
        <v>1051110</v>
      </c>
      <c r="AE49" s="7">
        <v>853887</v>
      </c>
      <c r="AG49" s="7">
        <v>151604</v>
      </c>
      <c r="AI49" s="12" t="s">
        <v>291</v>
      </c>
      <c r="AJ49" s="12"/>
      <c r="AK49" s="12" t="s">
        <v>24</v>
      </c>
      <c r="AL49" s="12"/>
      <c r="AM49" s="7">
        <v>654124</v>
      </c>
      <c r="AO49" s="7">
        <v>155389</v>
      </c>
      <c r="AQ49" s="7">
        <v>693130</v>
      </c>
      <c r="AS49" s="7">
        <v>4085</v>
      </c>
      <c r="AW49" s="7">
        <v>0</v>
      </c>
      <c r="AY49" s="7">
        <f t="shared" si="0"/>
        <v>16739413</v>
      </c>
      <c r="BA49" s="7">
        <f>+'St of Activites - GA Rev'!AI49-'St of Activities - GA Exp'!AY49</f>
        <v>665182</v>
      </c>
      <c r="BC49" s="7">
        <v>9011204</v>
      </c>
      <c r="BE49" s="7">
        <f t="shared" si="1"/>
        <v>9676386</v>
      </c>
      <c r="BG49" s="7">
        <f>+'St of Net Assets - GA'!AA49-'St of Activities - GA Exp'!BE49</f>
        <v>0</v>
      </c>
      <c r="BL49" s="7" t="str">
        <f t="shared" si="2"/>
        <v>Berlin-Milan Local SD</v>
      </c>
      <c r="BM49" s="7" t="b">
        <f t="shared" si="3"/>
        <v>1</v>
      </c>
      <c r="BO49" s="7" t="str">
        <f t="shared" si="4"/>
        <v>Erie</v>
      </c>
      <c r="BP49" s="7" t="b">
        <f t="shared" si="5"/>
        <v>1</v>
      </c>
    </row>
    <row r="50" spans="1:68" hidden="1">
      <c r="A50" s="12" t="s">
        <v>905</v>
      </c>
      <c r="B50" s="12"/>
      <c r="C50" s="12" t="s">
        <v>25</v>
      </c>
      <c r="D50" s="12"/>
      <c r="E50" s="12">
        <v>46854</v>
      </c>
      <c r="AI50" s="12" t="s">
        <v>905</v>
      </c>
      <c r="AJ50" s="12"/>
      <c r="AK50" s="12" t="s">
        <v>25</v>
      </c>
      <c r="AL50" s="12"/>
      <c r="AY50" s="7">
        <f t="shared" si="0"/>
        <v>0</v>
      </c>
      <c r="BA50" s="7">
        <f>+'St of Activites - GA Rev'!AI50-'St of Activities - GA Exp'!AY50</f>
        <v>0</v>
      </c>
      <c r="BE50" s="7">
        <f t="shared" si="1"/>
        <v>0</v>
      </c>
      <c r="BG50" s="7">
        <f>+'St of Net Assets - GA'!AA50-'St of Activities - GA Exp'!BE50</f>
        <v>0</v>
      </c>
      <c r="BH50" s="7" t="s">
        <v>903</v>
      </c>
      <c r="BL50" s="7" t="str">
        <f t="shared" si="2"/>
        <v>Berne Union Local SD (CASH)</v>
      </c>
      <c r="BM50" s="7" t="b">
        <f t="shared" si="3"/>
        <v>1</v>
      </c>
      <c r="BO50" s="7" t="str">
        <f t="shared" si="4"/>
        <v>Fairfield</v>
      </c>
      <c r="BP50" s="7" t="b">
        <f t="shared" si="5"/>
        <v>1</v>
      </c>
    </row>
    <row r="51" spans="1:68">
      <c r="A51" s="12" t="s">
        <v>436</v>
      </c>
      <c r="B51" s="12"/>
      <c r="C51" s="12" t="s">
        <v>48</v>
      </c>
      <c r="D51" s="12"/>
      <c r="E51" s="12">
        <v>48611</v>
      </c>
      <c r="G51" s="7">
        <v>3655193</v>
      </c>
      <c r="I51" s="7">
        <v>1095493</v>
      </c>
      <c r="K51" s="7">
        <v>0</v>
      </c>
      <c r="M51" s="7">
        <v>0</v>
      </c>
      <c r="O51" s="7">
        <v>485388</v>
      </c>
      <c r="Q51" s="7">
        <v>271326</v>
      </c>
      <c r="S51" s="7">
        <v>281736</v>
      </c>
      <c r="U51" s="7">
        <v>63475</v>
      </c>
      <c r="W51" s="7">
        <v>621943</v>
      </c>
      <c r="Y51" s="7">
        <v>339274</v>
      </c>
      <c r="AA51" s="7">
        <v>59533</v>
      </c>
      <c r="AC51" s="7">
        <v>549582</v>
      </c>
      <c r="AE51" s="7">
        <v>725387</v>
      </c>
      <c r="AG51" s="7">
        <v>200145</v>
      </c>
      <c r="AI51" s="12" t="s">
        <v>436</v>
      </c>
      <c r="AJ51" s="12"/>
      <c r="AK51" s="12" t="s">
        <v>48</v>
      </c>
      <c r="AL51" s="12"/>
      <c r="AM51" s="7">
        <v>0</v>
      </c>
      <c r="AO51" s="7">
        <v>584229</v>
      </c>
      <c r="AQ51" s="7">
        <v>324263</v>
      </c>
      <c r="AS51" s="7">
        <v>46385</v>
      </c>
      <c r="AW51" s="7">
        <v>94474</v>
      </c>
      <c r="AY51" s="7">
        <f t="shared" si="0"/>
        <v>9397826</v>
      </c>
      <c r="BA51" s="7">
        <f>+'St of Activites - GA Rev'!AI51-'St of Activities - GA Exp'!AY51</f>
        <v>-370826</v>
      </c>
      <c r="BC51" s="7">
        <v>4393361</v>
      </c>
      <c r="BE51" s="7">
        <f t="shared" si="1"/>
        <v>4022535</v>
      </c>
      <c r="BG51" s="7">
        <f>+'St of Net Assets - GA'!AA51-'St of Activities - GA Exp'!BE51</f>
        <v>0</v>
      </c>
      <c r="BL51" s="7" t="str">
        <f t="shared" si="2"/>
        <v>Bethel Local SD</v>
      </c>
      <c r="BM51" s="7" t="b">
        <f t="shared" si="3"/>
        <v>1</v>
      </c>
      <c r="BO51" s="7" t="str">
        <f t="shared" si="4"/>
        <v>Miami</v>
      </c>
      <c r="BP51" s="7" t="b">
        <f t="shared" si="5"/>
        <v>1</v>
      </c>
    </row>
    <row r="52" spans="1:68">
      <c r="A52" s="12" t="s">
        <v>243</v>
      </c>
      <c r="B52" s="12"/>
      <c r="C52" s="12" t="s">
        <v>113</v>
      </c>
      <c r="D52" s="12"/>
      <c r="E52" s="12">
        <v>46318</v>
      </c>
      <c r="G52" s="7">
        <v>9281587</v>
      </c>
      <c r="I52" s="7">
        <v>1619296</v>
      </c>
      <c r="K52" s="7">
        <v>170826</v>
      </c>
      <c r="M52" s="7">
        <v>0</v>
      </c>
      <c r="O52" s="7">
        <v>29308</v>
      </c>
      <c r="Q52" s="7">
        <v>635424</v>
      </c>
      <c r="S52" s="7">
        <v>763951</v>
      </c>
      <c r="U52" s="7">
        <v>32126</v>
      </c>
      <c r="W52" s="7">
        <v>1096936</v>
      </c>
      <c r="Y52" s="7">
        <v>417687</v>
      </c>
      <c r="AA52" s="7">
        <v>0</v>
      </c>
      <c r="AC52" s="7">
        <v>1574851</v>
      </c>
      <c r="AE52" s="7">
        <v>871768</v>
      </c>
      <c r="AG52" s="7">
        <v>161696</v>
      </c>
      <c r="AI52" s="12" t="s">
        <v>243</v>
      </c>
      <c r="AJ52" s="12"/>
      <c r="AK52" s="12" t="s">
        <v>113</v>
      </c>
      <c r="AL52" s="12"/>
      <c r="AM52" s="7">
        <v>0</v>
      </c>
      <c r="AO52" s="7">
        <v>613388</v>
      </c>
      <c r="AQ52" s="7">
        <v>442903</v>
      </c>
      <c r="AS52" s="7">
        <v>423602</v>
      </c>
      <c r="AW52" s="7">
        <v>0</v>
      </c>
      <c r="AY52" s="7">
        <f t="shared" si="0"/>
        <v>18135349</v>
      </c>
      <c r="BA52" s="7">
        <f>+'St of Activites - GA Rev'!AI52-'St of Activities - GA Exp'!AY52</f>
        <v>-496933</v>
      </c>
      <c r="BC52" s="7">
        <v>22180838</v>
      </c>
      <c r="BE52" s="7">
        <f t="shared" si="1"/>
        <v>21683905</v>
      </c>
      <c r="BG52" s="7">
        <f>+'St of Net Assets - GA'!AA52-'St of Activities - GA Exp'!BE52</f>
        <v>0</v>
      </c>
      <c r="BL52" s="7" t="str">
        <f t="shared" si="2"/>
        <v>Bethel-Tate Local SD</v>
      </c>
      <c r="BM52" s="7" t="b">
        <f t="shared" si="3"/>
        <v>1</v>
      </c>
      <c r="BO52" s="7" t="str">
        <f t="shared" si="4"/>
        <v>Clermont</v>
      </c>
      <c r="BP52" s="7" t="b">
        <f t="shared" si="5"/>
        <v>1</v>
      </c>
    </row>
    <row r="53" spans="1:68" ht="12" hidden="1" customHeight="1">
      <c r="A53" s="12" t="s">
        <v>705</v>
      </c>
      <c r="B53" s="12"/>
      <c r="C53" s="12" t="s">
        <v>60</v>
      </c>
      <c r="D53" s="12"/>
      <c r="E53" s="12">
        <v>49692</v>
      </c>
      <c r="AI53" s="12" t="s">
        <v>705</v>
      </c>
      <c r="AJ53" s="12"/>
      <c r="AK53" s="12" t="s">
        <v>60</v>
      </c>
      <c r="AL53" s="12"/>
      <c r="AY53" s="7">
        <f t="shared" si="0"/>
        <v>0</v>
      </c>
      <c r="BA53" s="7">
        <f>+'St of Activites - GA Rev'!AI53-'St of Activities - GA Exp'!AY53</f>
        <v>0</v>
      </c>
      <c r="BE53" s="7">
        <f t="shared" si="1"/>
        <v>0</v>
      </c>
      <c r="BG53" s="7">
        <f>+'St of Net Assets - GA'!AA53-'St of Activities - GA Exp'!BE53</f>
        <v>0</v>
      </c>
      <c r="BH53" s="7" t="s">
        <v>778</v>
      </c>
      <c r="BL53" s="7" t="str">
        <f t="shared" si="2"/>
        <v>Bettsville Local SD (CASH)</v>
      </c>
      <c r="BM53" s="7" t="b">
        <f t="shared" si="3"/>
        <v>1</v>
      </c>
      <c r="BO53" s="7" t="str">
        <f t="shared" si="4"/>
        <v>Seneca</v>
      </c>
      <c r="BP53" s="7" t="b">
        <f t="shared" si="5"/>
        <v>1</v>
      </c>
    </row>
    <row r="54" spans="1:68">
      <c r="A54" s="12" t="s">
        <v>305</v>
      </c>
      <c r="B54" s="12"/>
      <c r="C54" s="12" t="s">
        <v>27</v>
      </c>
      <c r="D54" s="12"/>
      <c r="E54" s="12">
        <v>43620</v>
      </c>
      <c r="G54" s="7">
        <v>15289903</v>
      </c>
      <c r="I54" s="7">
        <v>3895376</v>
      </c>
      <c r="K54" s="7">
        <v>337040</v>
      </c>
      <c r="M54" s="7">
        <v>0</v>
      </c>
      <c r="O54" s="7">
        <v>0</v>
      </c>
      <c r="Q54" s="7">
        <v>1493420</v>
      </c>
      <c r="S54" s="7">
        <v>2129354</v>
      </c>
      <c r="U54" s="7">
        <v>47056</v>
      </c>
      <c r="W54" s="7">
        <v>1945697</v>
      </c>
      <c r="Y54" s="7">
        <v>1140512</v>
      </c>
      <c r="AA54" s="7">
        <v>0</v>
      </c>
      <c r="AC54" s="7">
        <v>3369632</v>
      </c>
      <c r="AE54" s="7">
        <v>552596</v>
      </c>
      <c r="AG54" s="7">
        <v>130877</v>
      </c>
      <c r="AI54" s="12" t="s">
        <v>305</v>
      </c>
      <c r="AJ54" s="12"/>
      <c r="AK54" s="12" t="s">
        <v>27</v>
      </c>
      <c r="AL54" s="12"/>
      <c r="AM54" s="7">
        <v>603655</v>
      </c>
      <c r="AO54" s="7">
        <v>888558</v>
      </c>
      <c r="AQ54" s="7">
        <v>1081794</v>
      </c>
      <c r="AS54" s="7">
        <v>1150492</v>
      </c>
      <c r="AW54" s="7">
        <v>1160569</v>
      </c>
      <c r="AY54" s="7">
        <f t="shared" si="0"/>
        <v>35216531</v>
      </c>
      <c r="BA54" s="7">
        <f>+'St of Activites - GA Rev'!AI54-'St of Activities - GA Exp'!AY54</f>
        <v>2780677</v>
      </c>
      <c r="BC54" s="7">
        <v>32888577</v>
      </c>
      <c r="BE54" s="7">
        <f t="shared" si="1"/>
        <v>35669254</v>
      </c>
      <c r="BG54" s="7">
        <f>+'St of Net Assets - GA'!AA54-'St of Activities - GA Exp'!BE54</f>
        <v>0</v>
      </c>
      <c r="BL54" s="7" t="str">
        <f t="shared" si="2"/>
        <v>Bexley City SD</v>
      </c>
      <c r="BM54" s="7" t="b">
        <f t="shared" si="3"/>
        <v>1</v>
      </c>
      <c r="BO54" s="7" t="str">
        <f t="shared" si="4"/>
        <v>Franklin</v>
      </c>
      <c r="BP54" s="7" t="b">
        <f t="shared" si="5"/>
        <v>1</v>
      </c>
    </row>
    <row r="55" spans="1:68" ht="12" customHeight="1">
      <c r="A55" s="12" t="s">
        <v>664</v>
      </c>
      <c r="B55" s="12"/>
      <c r="C55" s="12" t="s">
        <v>23</v>
      </c>
      <c r="D55" s="12"/>
      <c r="E55" s="12">
        <v>46748</v>
      </c>
      <c r="G55" s="7">
        <v>13570840</v>
      </c>
      <c r="I55" s="7">
        <v>2357267</v>
      </c>
      <c r="K55" s="7">
        <v>103403</v>
      </c>
      <c r="M55" s="7">
        <v>0</v>
      </c>
      <c r="O55" s="7">
        <v>0</v>
      </c>
      <c r="Q55" s="7">
        <v>1180712</v>
      </c>
      <c r="S55" s="7">
        <v>1540737</v>
      </c>
      <c r="U55" s="7">
        <v>122235</v>
      </c>
      <c r="W55" s="7">
        <v>2471483</v>
      </c>
      <c r="Y55" s="7">
        <v>974751</v>
      </c>
      <c r="AA55" s="7">
        <v>61444</v>
      </c>
      <c r="AC55" s="7">
        <v>2348454</v>
      </c>
      <c r="AE55" s="7">
        <v>1850810</v>
      </c>
      <c r="AG55" s="7">
        <v>672</v>
      </c>
      <c r="AI55" s="12" t="s">
        <v>664</v>
      </c>
      <c r="AJ55" s="12"/>
      <c r="AK55" s="12" t="s">
        <v>23</v>
      </c>
      <c r="AL55" s="12"/>
      <c r="AM55" s="7">
        <v>0</v>
      </c>
      <c r="AO55" s="7">
        <v>1222178</v>
      </c>
      <c r="AQ55" s="7">
        <v>637595</v>
      </c>
      <c r="AS55" s="7">
        <v>1934381</v>
      </c>
      <c r="AW55" s="7">
        <v>0</v>
      </c>
      <c r="AY55" s="7">
        <f t="shared" si="0"/>
        <v>30376962</v>
      </c>
      <c r="BA55" s="7">
        <f>+'St of Activites - GA Rev'!AI55-'St of Activities - GA Exp'!AY55</f>
        <v>5774276</v>
      </c>
      <c r="BC55" s="7">
        <v>8849907</v>
      </c>
      <c r="BE55" s="7">
        <f t="shared" si="1"/>
        <v>14624183</v>
      </c>
      <c r="BG55" s="7">
        <f>+'St of Net Assets - GA'!AA55-'St of Activities - GA Exp'!BE55</f>
        <v>0</v>
      </c>
      <c r="BL55" s="7" t="str">
        <f t="shared" si="2"/>
        <v xml:space="preserve">Big Walnut Local SD </v>
      </c>
      <c r="BM55" s="7" t="b">
        <f t="shared" si="3"/>
        <v>1</v>
      </c>
      <c r="BO55" s="7" t="str">
        <f t="shared" si="4"/>
        <v>Delaware</v>
      </c>
      <c r="BP55" s="7" t="b">
        <f t="shared" si="5"/>
        <v>1</v>
      </c>
    </row>
    <row r="56" spans="1:68" ht="12" customHeight="1">
      <c r="A56" s="12" t="s">
        <v>427</v>
      </c>
      <c r="B56" s="12"/>
      <c r="C56" s="12" t="s">
        <v>47</v>
      </c>
      <c r="D56" s="12"/>
      <c r="E56" s="12">
        <v>48462</v>
      </c>
      <c r="G56" s="7">
        <v>7109496</v>
      </c>
      <c r="I56" s="7">
        <v>1804450</v>
      </c>
      <c r="K56" s="7">
        <v>153003</v>
      </c>
      <c r="M56" s="7">
        <v>0</v>
      </c>
      <c r="O56" s="7">
        <v>1966</v>
      </c>
      <c r="Q56" s="7">
        <v>645306</v>
      </c>
      <c r="S56" s="7">
        <v>851519</v>
      </c>
      <c r="U56" s="7">
        <v>33562</v>
      </c>
      <c r="W56" s="7">
        <v>1072738</v>
      </c>
      <c r="Y56" s="7">
        <v>349960</v>
      </c>
      <c r="AA56" s="7">
        <v>31838</v>
      </c>
      <c r="AC56" s="7">
        <v>1094022</v>
      </c>
      <c r="AE56" s="7">
        <v>1103257</v>
      </c>
      <c r="AG56" s="7">
        <v>60070</v>
      </c>
      <c r="AI56" s="12" t="s">
        <v>427</v>
      </c>
      <c r="AJ56" s="12"/>
      <c r="AK56" s="12" t="s">
        <v>47</v>
      </c>
      <c r="AL56" s="12"/>
      <c r="AM56" s="7">
        <v>444886</v>
      </c>
      <c r="AO56" s="7">
        <v>2337</v>
      </c>
      <c r="AQ56" s="7">
        <v>576964</v>
      </c>
      <c r="AS56" s="7">
        <v>152544</v>
      </c>
      <c r="AW56" s="7">
        <v>0</v>
      </c>
      <c r="AY56" s="7">
        <f t="shared" si="0"/>
        <v>15487918</v>
      </c>
      <c r="BA56" s="7">
        <f>+'St of Activites - GA Rev'!AI56-'St of Activities - GA Exp'!AY56</f>
        <v>-546036</v>
      </c>
      <c r="BC56" s="7">
        <v>6657286</v>
      </c>
      <c r="BE56" s="7">
        <f t="shared" si="1"/>
        <v>6111250</v>
      </c>
      <c r="BG56" s="7">
        <f>+'St of Net Assets - GA'!AA56-'St of Activities - GA Exp'!BE56</f>
        <v>0</v>
      </c>
      <c r="BL56" s="7" t="str">
        <f t="shared" si="2"/>
        <v>Black River Local SD</v>
      </c>
      <c r="BM56" s="7" t="b">
        <f t="shared" si="3"/>
        <v>1</v>
      </c>
      <c r="BO56" s="7" t="str">
        <f t="shared" si="4"/>
        <v>Medina</v>
      </c>
      <c r="BP56" s="7" t="b">
        <f t="shared" si="5"/>
        <v>1</v>
      </c>
    </row>
    <row r="57" spans="1:68">
      <c r="A57" s="12" t="s">
        <v>248</v>
      </c>
      <c r="B57" s="12"/>
      <c r="C57" s="12" t="s">
        <v>18</v>
      </c>
      <c r="D57" s="12"/>
      <c r="E57" s="12">
        <v>46383</v>
      </c>
      <c r="G57" s="7">
        <v>6770858</v>
      </c>
      <c r="I57" s="7">
        <v>888012</v>
      </c>
      <c r="K57" s="7">
        <v>307832</v>
      </c>
      <c r="M57" s="7">
        <v>0</v>
      </c>
      <c r="O57" s="7">
        <v>732185</v>
      </c>
      <c r="Q57" s="7">
        <v>583416</v>
      </c>
      <c r="S57" s="7">
        <v>1786934</v>
      </c>
      <c r="U57" s="7">
        <v>24167</v>
      </c>
      <c r="W57" s="7">
        <v>1455098</v>
      </c>
      <c r="Y57" s="7">
        <v>392613</v>
      </c>
      <c r="AA57" s="7">
        <v>7506</v>
      </c>
      <c r="AC57" s="7">
        <v>1488354</v>
      </c>
      <c r="AE57" s="7">
        <v>935576</v>
      </c>
      <c r="AG57" s="7">
        <v>17286</v>
      </c>
      <c r="AI57" s="12" t="s">
        <v>248</v>
      </c>
      <c r="AJ57" s="12"/>
      <c r="AK57" s="12" t="s">
        <v>18</v>
      </c>
      <c r="AL57" s="12"/>
      <c r="AM57" s="7">
        <v>0</v>
      </c>
      <c r="AO57" s="7">
        <v>913868</v>
      </c>
      <c r="AQ57" s="7">
        <v>440700</v>
      </c>
      <c r="AS57" s="7">
        <v>173698</v>
      </c>
      <c r="AW57" s="7">
        <v>0</v>
      </c>
      <c r="AY57" s="7">
        <f t="shared" si="0"/>
        <v>16918103</v>
      </c>
      <c r="BA57" s="7">
        <f>+'St of Activites - GA Rev'!AI57-'St of Activities - GA Exp'!AY57</f>
        <v>-106969</v>
      </c>
      <c r="BC57" s="7">
        <v>20934140</v>
      </c>
      <c r="BE57" s="7">
        <f t="shared" si="1"/>
        <v>20827171</v>
      </c>
      <c r="BG57" s="7">
        <f>+'St of Net Assets - GA'!AA57-'St of Activities - GA Exp'!BE57</f>
        <v>0</v>
      </c>
      <c r="BL57" s="7" t="str">
        <f t="shared" si="2"/>
        <v>Blanchester Local SD</v>
      </c>
      <c r="BM57" s="7" t="b">
        <f t="shared" si="3"/>
        <v>1</v>
      </c>
      <c r="BO57" s="7" t="str">
        <f t="shared" si="4"/>
        <v>Clinton</v>
      </c>
      <c r="BP57" s="7" t="b">
        <f t="shared" si="5"/>
        <v>1</v>
      </c>
    </row>
    <row r="58" spans="1:68">
      <c r="A58" s="12" t="s">
        <v>299</v>
      </c>
      <c r="B58" s="12"/>
      <c r="C58" s="12" t="s">
        <v>25</v>
      </c>
      <c r="D58" s="12"/>
      <c r="E58" s="12">
        <v>46862</v>
      </c>
      <c r="G58" s="7">
        <v>5449615</v>
      </c>
      <c r="I58" s="7">
        <v>1721478</v>
      </c>
      <c r="K58" s="7">
        <v>238294</v>
      </c>
      <c r="M58" s="7">
        <v>0</v>
      </c>
      <c r="O58" s="7">
        <f>69549+534657</f>
        <v>604206</v>
      </c>
      <c r="Q58" s="7">
        <v>704462</v>
      </c>
      <c r="S58" s="7">
        <v>900444</v>
      </c>
      <c r="U58" s="7">
        <v>236317</v>
      </c>
      <c r="W58" s="7">
        <v>1691411</v>
      </c>
      <c r="Y58" s="7">
        <v>225137</v>
      </c>
      <c r="AA58" s="7">
        <v>0</v>
      </c>
      <c r="AC58" s="7">
        <v>1369118</v>
      </c>
      <c r="AE58" s="7">
        <v>1194082</v>
      </c>
      <c r="AG58" s="7">
        <v>56391</v>
      </c>
      <c r="AI58" s="12" t="s">
        <v>299</v>
      </c>
      <c r="AJ58" s="12"/>
      <c r="AK58" s="12" t="s">
        <v>25</v>
      </c>
      <c r="AL58" s="12"/>
      <c r="AM58" s="7">
        <v>507708</v>
      </c>
      <c r="AO58" s="7">
        <v>750</v>
      </c>
      <c r="AQ58" s="7">
        <v>651789</v>
      </c>
      <c r="AS58" s="7">
        <v>1781646</v>
      </c>
      <c r="AW58" s="7">
        <v>0</v>
      </c>
      <c r="AY58" s="7">
        <f t="shared" si="0"/>
        <v>17332848</v>
      </c>
      <c r="BA58" s="7">
        <f>+'St of Activites - GA Rev'!AI58-'St of Activities - GA Exp'!AY58</f>
        <v>1591971</v>
      </c>
      <c r="BC58" s="7">
        <v>6938038</v>
      </c>
      <c r="BE58" s="7">
        <f t="shared" si="1"/>
        <v>8530009</v>
      </c>
      <c r="BG58" s="7">
        <f>+'St of Net Assets - GA'!AA58-'St of Activities - GA Exp'!BE58</f>
        <v>0</v>
      </c>
      <c r="BL58" s="7" t="str">
        <f t="shared" si="2"/>
        <v>Bloom-Carroll Local SD</v>
      </c>
      <c r="BM58" s="7" t="b">
        <f t="shared" si="3"/>
        <v>1</v>
      </c>
      <c r="BO58" s="7" t="str">
        <f t="shared" si="4"/>
        <v>Fairfield</v>
      </c>
      <c r="BP58" s="7" t="b">
        <f t="shared" si="5"/>
        <v>1</v>
      </c>
    </row>
    <row r="59" spans="1:68">
      <c r="A59" s="12" t="s">
        <v>534</v>
      </c>
      <c r="B59" s="12"/>
      <c r="C59" s="12" t="s">
        <v>64</v>
      </c>
      <c r="D59" s="12"/>
      <c r="E59" s="12">
        <v>50096</v>
      </c>
      <c r="G59" s="7">
        <v>1559587</v>
      </c>
      <c r="I59" s="7">
        <v>714186</v>
      </c>
      <c r="K59" s="7">
        <v>69878</v>
      </c>
      <c r="M59" s="7">
        <v>0</v>
      </c>
      <c r="O59" s="7">
        <v>0</v>
      </c>
      <c r="Q59" s="7">
        <v>131712</v>
      </c>
      <c r="S59" s="7">
        <v>240003</v>
      </c>
      <c r="U59" s="7">
        <v>14135</v>
      </c>
      <c r="W59" s="7">
        <v>465958</v>
      </c>
      <c r="Y59" s="7">
        <v>218787</v>
      </c>
      <c r="AA59" s="7">
        <v>0</v>
      </c>
      <c r="AC59" s="7">
        <v>386200</v>
      </c>
      <c r="AE59" s="7">
        <v>267154</v>
      </c>
      <c r="AG59" s="7">
        <v>4550</v>
      </c>
      <c r="AI59" s="12" t="s">
        <v>534</v>
      </c>
      <c r="AJ59" s="12"/>
      <c r="AK59" s="12" t="s">
        <v>64</v>
      </c>
      <c r="AL59" s="12"/>
      <c r="AM59" s="7">
        <v>138995</v>
      </c>
      <c r="AO59" s="7">
        <v>0</v>
      </c>
      <c r="AQ59" s="7">
        <v>95086</v>
      </c>
      <c r="AS59" s="7">
        <v>7646</v>
      </c>
      <c r="AW59" s="7">
        <v>0</v>
      </c>
      <c r="AY59" s="7">
        <f t="shared" si="0"/>
        <v>4313877</v>
      </c>
      <c r="BA59" s="7">
        <f>+'St of Activites - GA Rev'!AI59-'St of Activities - GA Exp'!AY59</f>
        <v>-20513</v>
      </c>
      <c r="BC59" s="7">
        <v>1428536</v>
      </c>
      <c r="BE59" s="7">
        <f t="shared" si="1"/>
        <v>1408023</v>
      </c>
      <c r="BG59" s="7">
        <f>+'St of Net Assets - GA'!AA59-'St of Activities - GA Exp'!BE59</f>
        <v>0</v>
      </c>
      <c r="BL59" s="7" t="str">
        <f t="shared" si="2"/>
        <v>Bloomfield-Mespo Local SD</v>
      </c>
      <c r="BM59" s="7" t="b">
        <f t="shared" si="3"/>
        <v>1</v>
      </c>
      <c r="BO59" s="7" t="str">
        <f t="shared" si="4"/>
        <v>Trumbull</v>
      </c>
      <c r="BP59" s="7" t="b">
        <f t="shared" si="5"/>
        <v>1</v>
      </c>
    </row>
    <row r="60" spans="1:68">
      <c r="A60" s="12" t="s">
        <v>494</v>
      </c>
      <c r="B60" s="12"/>
      <c r="C60" s="12" t="s">
        <v>59</v>
      </c>
      <c r="D60" s="12"/>
      <c r="E60" s="12">
        <v>49593</v>
      </c>
      <c r="G60" s="7">
        <v>4675632</v>
      </c>
      <c r="I60" s="7">
        <v>1352025</v>
      </c>
      <c r="K60" s="7">
        <v>10906</v>
      </c>
      <c r="M60" s="7">
        <v>0</v>
      </c>
      <c r="O60" s="7">
        <v>180646</v>
      </c>
      <c r="Q60" s="7">
        <v>311309</v>
      </c>
      <c r="S60" s="7">
        <v>462206</v>
      </c>
      <c r="U60" s="7">
        <v>34226</v>
      </c>
      <c r="W60" s="7">
        <v>847577</v>
      </c>
      <c r="Y60" s="7">
        <v>190424</v>
      </c>
      <c r="AA60" s="7">
        <v>28506</v>
      </c>
      <c r="AC60" s="7">
        <v>991143</v>
      </c>
      <c r="AE60" s="7">
        <v>870129</v>
      </c>
      <c r="AG60" s="7">
        <v>9489</v>
      </c>
      <c r="AI60" s="12" t="s">
        <v>494</v>
      </c>
      <c r="AJ60" s="12"/>
      <c r="AK60" s="12" t="s">
        <v>59</v>
      </c>
      <c r="AL60" s="12"/>
      <c r="AM60" s="7">
        <v>566198</v>
      </c>
      <c r="AO60" s="7">
        <v>118</v>
      </c>
      <c r="AQ60" s="7">
        <v>179063</v>
      </c>
      <c r="AS60" s="7">
        <v>49145</v>
      </c>
      <c r="AW60" s="7">
        <v>37500</v>
      </c>
      <c r="AY60" s="7">
        <f>SUM(G60:AX60)</f>
        <v>10796242</v>
      </c>
      <c r="BA60" s="7">
        <f>+'St of Activites - GA Rev'!AI60-'St of Activities - GA Exp'!AY60</f>
        <v>164541</v>
      </c>
      <c r="BC60" s="7">
        <v>17050752</v>
      </c>
      <c r="BE60" s="7">
        <f>+BA60+BC60</f>
        <v>17215293</v>
      </c>
      <c r="BG60" s="7">
        <f>+'St of Net Assets - GA'!AA60-'St of Activities - GA Exp'!BE60</f>
        <v>0</v>
      </c>
      <c r="BL60" s="7" t="str">
        <f t="shared" si="2"/>
        <v>Bloom-Vernon Local SD</v>
      </c>
      <c r="BM60" s="7" t="b">
        <f t="shared" si="3"/>
        <v>1</v>
      </c>
      <c r="BO60" s="7" t="str">
        <f t="shared" si="4"/>
        <v>Scioto</v>
      </c>
      <c r="BP60" s="7" t="b">
        <f t="shared" si="5"/>
        <v>1</v>
      </c>
    </row>
    <row r="61" spans="1:68" hidden="1">
      <c r="A61" s="12" t="s">
        <v>676</v>
      </c>
      <c r="B61" s="12"/>
      <c r="C61" s="12" t="s">
        <v>10</v>
      </c>
      <c r="D61" s="12"/>
      <c r="E61" s="12">
        <v>49593</v>
      </c>
      <c r="AI61" s="12" t="s">
        <v>676</v>
      </c>
      <c r="AJ61" s="12"/>
      <c r="AK61" s="12" t="s">
        <v>10</v>
      </c>
      <c r="AL61" s="12"/>
      <c r="AY61" s="7">
        <f t="shared" si="0"/>
        <v>0</v>
      </c>
      <c r="BA61" s="7">
        <f>+'St of Activites - GA Rev'!AI61-'St of Activities - GA Exp'!AY61</f>
        <v>0</v>
      </c>
      <c r="BE61" s="7">
        <f t="shared" si="1"/>
        <v>0</v>
      </c>
      <c r="BG61" s="7">
        <f>+'St of Net Assets - GA'!AA61-'St of Activities - GA Exp'!BE61</f>
        <v>0</v>
      </c>
      <c r="BH61" s="7" t="s">
        <v>778</v>
      </c>
      <c r="BL61" s="7" t="str">
        <f t="shared" si="2"/>
        <v>Bluffton Ex Vill SD (OCBOA)</v>
      </c>
      <c r="BM61" s="7" t="b">
        <f t="shared" si="3"/>
        <v>1</v>
      </c>
      <c r="BO61" s="7" t="str">
        <f t="shared" si="4"/>
        <v>Allen</v>
      </c>
      <c r="BP61" s="7" t="b">
        <f t="shared" si="5"/>
        <v>1</v>
      </c>
    </row>
    <row r="62" spans="1:68" ht="12" customHeight="1">
      <c r="A62" s="12" t="s">
        <v>415</v>
      </c>
      <c r="B62" s="12"/>
      <c r="C62" s="12" t="s">
        <v>45</v>
      </c>
      <c r="D62" s="12"/>
      <c r="E62" s="12">
        <v>48306</v>
      </c>
      <c r="G62" s="7">
        <v>23128336</v>
      </c>
      <c r="I62" s="7">
        <v>5333973</v>
      </c>
      <c r="K62" s="7">
        <v>0</v>
      </c>
      <c r="M62" s="7">
        <v>6174</v>
      </c>
      <c r="O62" s="7">
        <v>152398</v>
      </c>
      <c r="Q62" s="7">
        <v>2020538</v>
      </c>
      <c r="S62" s="7">
        <v>2493869</v>
      </c>
      <c r="U62" s="7">
        <v>159712</v>
      </c>
      <c r="W62" s="7">
        <v>2676981</v>
      </c>
      <c r="Y62" s="7">
        <v>1010209</v>
      </c>
      <c r="AA62" s="7">
        <v>151302</v>
      </c>
      <c r="AC62" s="7">
        <v>4881316</v>
      </c>
      <c r="AE62" s="7">
        <v>2905498</v>
      </c>
      <c r="AG62" s="7">
        <v>49214</v>
      </c>
      <c r="AI62" s="12" t="s">
        <v>415</v>
      </c>
      <c r="AJ62" s="12"/>
      <c r="AK62" s="12" t="s">
        <v>45</v>
      </c>
      <c r="AL62" s="12"/>
      <c r="AM62" s="7">
        <v>1452188</v>
      </c>
      <c r="AO62" s="7">
        <v>799034</v>
      </c>
      <c r="AQ62" s="7">
        <v>1131889</v>
      </c>
      <c r="AS62" s="7">
        <v>405354</v>
      </c>
      <c r="AW62" s="7">
        <v>0</v>
      </c>
      <c r="AY62" s="7">
        <f t="shared" si="0"/>
        <v>48757985</v>
      </c>
      <c r="BA62" s="7">
        <f>+'St of Activites - GA Rev'!AI62-'St of Activities - GA Exp'!AY62</f>
        <v>-951744</v>
      </c>
      <c r="BC62" s="7">
        <v>24283986</v>
      </c>
      <c r="BE62" s="7">
        <f t="shared" si="1"/>
        <v>23332242</v>
      </c>
      <c r="BG62" s="7">
        <f>+'St of Net Assets - GA'!AA62-'St of Activities - GA Exp'!BE62</f>
        <v>0</v>
      </c>
      <c r="BL62" s="7" t="str">
        <f t="shared" si="2"/>
        <v>Boardman Local SD</v>
      </c>
      <c r="BM62" s="7" t="b">
        <f t="shared" si="3"/>
        <v>1</v>
      </c>
      <c r="BO62" s="7" t="str">
        <f t="shared" si="4"/>
        <v>Mahoning</v>
      </c>
      <c r="BP62" s="7" t="b">
        <f t="shared" si="5"/>
        <v>1</v>
      </c>
    </row>
    <row r="63" spans="1:68">
      <c r="A63" s="12" t="s">
        <v>504</v>
      </c>
      <c r="B63" s="12"/>
      <c r="C63" s="12" t="s">
        <v>61</v>
      </c>
      <c r="D63" s="12"/>
      <c r="E63" s="12">
        <v>49767</v>
      </c>
      <c r="G63" s="7">
        <v>2268910</v>
      </c>
      <c r="I63" s="7">
        <v>468347</v>
      </c>
      <c r="K63" s="7">
        <v>154955</v>
      </c>
      <c r="M63" s="7">
        <v>0</v>
      </c>
      <c r="O63" s="7">
        <f>14442+19990</f>
        <v>34432</v>
      </c>
      <c r="Q63" s="7">
        <v>157920</v>
      </c>
      <c r="S63" s="7">
        <v>262708</v>
      </c>
      <c r="U63" s="7">
        <v>11076</v>
      </c>
      <c r="W63" s="7">
        <v>400061</v>
      </c>
      <c r="Y63" s="7">
        <v>186472</v>
      </c>
      <c r="AA63" s="7">
        <v>0</v>
      </c>
      <c r="AC63" s="7">
        <v>385918</v>
      </c>
      <c r="AE63" s="7">
        <v>161318</v>
      </c>
      <c r="AG63" s="7">
        <v>15273</v>
      </c>
      <c r="AI63" s="12" t="s">
        <v>504</v>
      </c>
      <c r="AJ63" s="12"/>
      <c r="AK63" s="12" t="s">
        <v>61</v>
      </c>
      <c r="AL63" s="12"/>
      <c r="AM63" s="7">
        <v>0</v>
      </c>
      <c r="AO63" s="7">
        <v>222846</v>
      </c>
      <c r="AQ63" s="7">
        <v>246583</v>
      </c>
      <c r="AS63" s="7">
        <v>16681</v>
      </c>
      <c r="AW63" s="7">
        <v>0</v>
      </c>
      <c r="AY63" s="7">
        <f t="shared" si="0"/>
        <v>4993500</v>
      </c>
      <c r="BA63" s="7">
        <f>+'St of Activites - GA Rev'!AI63-'St of Activities - GA Exp'!AY63</f>
        <v>1056954</v>
      </c>
      <c r="BC63" s="7">
        <v>5613813</v>
      </c>
      <c r="BE63" s="7">
        <f t="shared" si="1"/>
        <v>6670767</v>
      </c>
      <c r="BG63" s="7">
        <f>+'St of Net Assets - GA'!AA63-'St of Activities - GA Exp'!BE63</f>
        <v>0</v>
      </c>
      <c r="BL63" s="7" t="str">
        <f t="shared" si="2"/>
        <v>Botkins Local SD</v>
      </c>
      <c r="BM63" s="7" t="b">
        <f t="shared" si="3"/>
        <v>1</v>
      </c>
      <c r="BO63" s="7" t="str">
        <f t="shared" si="4"/>
        <v>Shelby</v>
      </c>
      <c r="BP63" s="7" t="b">
        <f t="shared" si="5"/>
        <v>1</v>
      </c>
    </row>
    <row r="64" spans="1:68">
      <c r="A64" s="12" t="s">
        <v>572</v>
      </c>
      <c r="B64" s="12"/>
      <c r="C64" s="12" t="s">
        <v>72</v>
      </c>
      <c r="D64" s="12"/>
      <c r="E64" s="12">
        <v>43638</v>
      </c>
      <c r="G64" s="7">
        <v>21022876</v>
      </c>
      <c r="I64" s="7">
        <v>0</v>
      </c>
      <c r="K64" s="7">
        <v>0</v>
      </c>
      <c r="M64" s="7">
        <v>0</v>
      </c>
      <c r="O64" s="7">
        <v>0</v>
      </c>
      <c r="Q64" s="7">
        <v>10889560</v>
      </c>
      <c r="S64" s="7">
        <v>0</v>
      </c>
      <c r="U64" s="7">
        <v>0</v>
      </c>
      <c r="W64" s="7">
        <v>0</v>
      </c>
      <c r="Y64" s="7">
        <v>0</v>
      </c>
      <c r="AA64" s="7">
        <v>0</v>
      </c>
      <c r="AC64" s="7">
        <v>740091</v>
      </c>
      <c r="AE64" s="7">
        <v>0</v>
      </c>
      <c r="AG64" s="7">
        <v>0</v>
      </c>
      <c r="AI64" s="12" t="s">
        <v>572</v>
      </c>
      <c r="AJ64" s="12"/>
      <c r="AK64" s="12" t="s">
        <v>72</v>
      </c>
      <c r="AL64" s="12"/>
      <c r="AM64" s="7">
        <v>0</v>
      </c>
      <c r="AO64" s="7">
        <v>415808</v>
      </c>
      <c r="AQ64" s="7">
        <v>873638</v>
      </c>
      <c r="AS64" s="7">
        <v>1207730</v>
      </c>
      <c r="AW64" s="7">
        <v>605030</v>
      </c>
      <c r="AY64" s="7">
        <f t="shared" si="0"/>
        <v>35754733</v>
      </c>
      <c r="BA64" s="7">
        <f>+'St of Activites - GA Rev'!AI64-'St of Activities - GA Exp'!AY64</f>
        <v>-335100</v>
      </c>
      <c r="BC64" s="7">
        <v>17623623</v>
      </c>
      <c r="BE64" s="7">
        <f t="shared" si="1"/>
        <v>17288523</v>
      </c>
      <c r="BG64" s="7">
        <f>+'St of Net Assets - GA'!AA64-'St of Activities - GA Exp'!BE64</f>
        <v>0</v>
      </c>
      <c r="BH64" s="7" t="s">
        <v>803</v>
      </c>
      <c r="BL64" s="7" t="str">
        <f t="shared" si="2"/>
        <v>Bowling Green City SD</v>
      </c>
      <c r="BM64" s="7" t="b">
        <f t="shared" si="3"/>
        <v>1</v>
      </c>
      <c r="BO64" s="7" t="str">
        <f t="shared" si="4"/>
        <v>Wood</v>
      </c>
      <c r="BP64" s="7" t="b">
        <f t="shared" si="5"/>
        <v>1</v>
      </c>
    </row>
    <row r="65" spans="1:68" hidden="1">
      <c r="A65" s="12" t="s">
        <v>704</v>
      </c>
      <c r="B65" s="12"/>
      <c r="C65" s="12" t="s">
        <v>48</v>
      </c>
      <c r="D65" s="12"/>
      <c r="E65" s="12">
        <v>43646</v>
      </c>
      <c r="AI65" s="12" t="s">
        <v>704</v>
      </c>
      <c r="AJ65" s="12" t="s">
        <v>662</v>
      </c>
      <c r="AK65" s="12" t="s">
        <v>48</v>
      </c>
      <c r="AL65" s="12"/>
      <c r="AY65" s="7">
        <f>SUM(G65:AX65)</f>
        <v>0</v>
      </c>
      <c r="BA65" s="7">
        <f>+'St of Activites - GA Rev'!AI65-'St of Activities - GA Exp'!AY65</f>
        <v>0</v>
      </c>
      <c r="BE65" s="7">
        <f>+BA65+BC65</f>
        <v>0</v>
      </c>
      <c r="BG65" s="7">
        <f>+'St of Net Assets - GA'!AA65-'St of Activities - GA Exp'!BE65</f>
        <v>0</v>
      </c>
      <c r="BH65" s="7" t="s">
        <v>778</v>
      </c>
      <c r="BL65" s="7" t="str">
        <f t="shared" si="2"/>
        <v>Bradford Ex Vill SD (cash) Two year audit</v>
      </c>
      <c r="BM65" s="7" t="b">
        <f t="shared" si="3"/>
        <v>1</v>
      </c>
      <c r="BO65" s="7" t="str">
        <f t="shared" si="4"/>
        <v>Miami</v>
      </c>
      <c r="BP65" s="7" t="b">
        <f t="shared" si="5"/>
        <v>1</v>
      </c>
    </row>
    <row r="66" spans="1:68">
      <c r="A66" s="12" t="s">
        <v>895</v>
      </c>
      <c r="B66" s="12"/>
      <c r="C66" s="12" t="s">
        <v>20</v>
      </c>
      <c r="D66" s="12"/>
      <c r="E66" s="12">
        <v>43646</v>
      </c>
      <c r="G66" s="7">
        <v>24051870</v>
      </c>
      <c r="I66" s="7">
        <v>6666990</v>
      </c>
      <c r="K66" s="7">
        <v>152958</v>
      </c>
      <c r="M66" s="7">
        <v>16149</v>
      </c>
      <c r="O66" s="7">
        <v>50573</v>
      </c>
      <c r="Q66" s="7">
        <v>3762403</v>
      </c>
      <c r="S66" s="7">
        <v>3463419</v>
      </c>
      <c r="U66" s="7">
        <v>85536</v>
      </c>
      <c r="W66" s="7">
        <v>3444930</v>
      </c>
      <c r="Y66" s="7">
        <v>1235547</v>
      </c>
      <c r="AA66" s="7">
        <v>464730</v>
      </c>
      <c r="AC66" s="7">
        <v>4352062</v>
      </c>
      <c r="AE66" s="7">
        <v>3478499</v>
      </c>
      <c r="AG66" s="7">
        <v>273213</v>
      </c>
      <c r="AI66" s="12" t="s">
        <v>895</v>
      </c>
      <c r="AJ66" s="12"/>
      <c r="AK66" s="12" t="s">
        <v>20</v>
      </c>
      <c r="AL66" s="12"/>
      <c r="AM66" s="7">
        <v>1679488</v>
      </c>
      <c r="AO66" s="7">
        <v>893420</v>
      </c>
      <c r="AQ66" s="7">
        <v>1046032</v>
      </c>
      <c r="AS66" s="7">
        <v>1172708</v>
      </c>
      <c r="AW66" s="7">
        <v>392003</v>
      </c>
      <c r="AY66" s="7">
        <f t="shared" si="0"/>
        <v>56682530</v>
      </c>
      <c r="BA66" s="7">
        <f>+'St of Activites - GA Rev'!AI66-'St of Activities - GA Exp'!AY66</f>
        <v>-1006421</v>
      </c>
      <c r="BC66" s="7">
        <v>25803415</v>
      </c>
      <c r="BE66" s="7">
        <f t="shared" si="1"/>
        <v>24796994</v>
      </c>
      <c r="BG66" s="7">
        <f>+'St of Net Assets - GA'!AA66-'St of Activities - GA Exp'!BE66</f>
        <v>0</v>
      </c>
      <c r="BL66" s="7" t="str">
        <f t="shared" si="2"/>
        <v>Brecksville-Broadview Heights City SD</v>
      </c>
      <c r="BM66" s="7" t="b">
        <f t="shared" si="3"/>
        <v>1</v>
      </c>
      <c r="BO66" s="7" t="str">
        <f t="shared" si="4"/>
        <v>Cuyahoga</v>
      </c>
      <c r="BP66" s="7" t="b">
        <f t="shared" si="5"/>
        <v>1</v>
      </c>
    </row>
    <row r="67" spans="1:68">
      <c r="A67" s="12" t="s">
        <v>860</v>
      </c>
      <c r="B67" s="12"/>
      <c r="C67" s="12" t="s">
        <v>15</v>
      </c>
      <c r="D67" s="12"/>
      <c r="E67" s="12">
        <v>45237</v>
      </c>
      <c r="G67" s="7">
        <v>3858548</v>
      </c>
      <c r="I67" s="7">
        <v>912513</v>
      </c>
      <c r="K67" s="7">
        <v>41568</v>
      </c>
      <c r="M67" s="7">
        <v>0</v>
      </c>
      <c r="O67" s="7">
        <v>55305</v>
      </c>
      <c r="Q67" s="7">
        <v>191425</v>
      </c>
      <c r="S67" s="7">
        <v>395287</v>
      </c>
      <c r="U67" s="7">
        <v>35558</v>
      </c>
      <c r="W67" s="7">
        <v>569146</v>
      </c>
      <c r="Y67" s="7">
        <v>391217</v>
      </c>
      <c r="AA67" s="7">
        <v>50202</v>
      </c>
      <c r="AC67" s="7">
        <v>898459</v>
      </c>
      <c r="AE67" s="7">
        <v>370407</v>
      </c>
      <c r="AG67" s="7">
        <v>12524</v>
      </c>
      <c r="AI67" s="12" t="s">
        <v>860</v>
      </c>
      <c r="AJ67" s="12"/>
      <c r="AK67" s="12" t="s">
        <v>15</v>
      </c>
      <c r="AL67" s="12"/>
      <c r="AM67" s="7">
        <v>376016</v>
      </c>
      <c r="AO67" s="7">
        <v>66448</v>
      </c>
      <c r="AQ67" s="7">
        <v>159767</v>
      </c>
      <c r="AS67" s="7">
        <v>205955</v>
      </c>
      <c r="AW67" s="7">
        <v>442655</v>
      </c>
      <c r="AY67" s="7">
        <f t="shared" si="0"/>
        <v>9033000</v>
      </c>
      <c r="BA67" s="7">
        <f>+'St of Activites - GA Rev'!AI67-'St of Activities - GA Exp'!AY67</f>
        <v>167733</v>
      </c>
      <c r="BC67" s="7">
        <v>15735488</v>
      </c>
      <c r="BE67" s="7">
        <f t="shared" si="1"/>
        <v>15903221</v>
      </c>
      <c r="BG67" s="7">
        <f>+'St of Net Assets - GA'!AA67-'St of Activities - GA Exp'!BE67</f>
        <v>0</v>
      </c>
      <c r="BL67" s="7" t="str">
        <f t="shared" si="2"/>
        <v>Bridgeport Exempted Village SD</v>
      </c>
      <c r="BM67" s="7" t="b">
        <f t="shared" si="3"/>
        <v>1</v>
      </c>
      <c r="BO67" s="7" t="str">
        <f t="shared" si="4"/>
        <v>Belmont</v>
      </c>
      <c r="BP67" s="7" t="b">
        <f t="shared" si="5"/>
        <v>1</v>
      </c>
    </row>
    <row r="68" spans="1:68" hidden="1">
      <c r="A68" s="12" t="s">
        <v>906</v>
      </c>
      <c r="B68" s="12"/>
      <c r="C68" s="12" t="s">
        <v>358</v>
      </c>
      <c r="D68" s="12"/>
      <c r="E68" s="12">
        <v>47613</v>
      </c>
      <c r="AI68" s="12" t="s">
        <v>906</v>
      </c>
      <c r="AJ68" s="12"/>
      <c r="AK68" s="12" t="s">
        <v>358</v>
      </c>
      <c r="AL68" s="12"/>
      <c r="AY68" s="7">
        <f t="shared" si="0"/>
        <v>0</v>
      </c>
      <c r="BA68" s="7">
        <f>+'St of Activites - GA Rev'!AI68-'St of Activities - GA Exp'!AY68</f>
        <v>0</v>
      </c>
      <c r="BE68" s="7">
        <f t="shared" si="1"/>
        <v>0</v>
      </c>
      <c r="BG68" s="7">
        <f>+'St of Net Assets - GA'!AA68-'St of Activities - GA Exp'!BE68</f>
        <v>0</v>
      </c>
      <c r="BH68" s="7" t="s">
        <v>903</v>
      </c>
      <c r="BL68" s="7" t="str">
        <f t="shared" si="2"/>
        <v>Bright Local SD (CASH)</v>
      </c>
      <c r="BM68" s="7" t="b">
        <f t="shared" si="3"/>
        <v>1</v>
      </c>
      <c r="BO68" s="7" t="str">
        <f t="shared" si="4"/>
        <v>Highland</v>
      </c>
      <c r="BP68" s="7" t="b">
        <f t="shared" si="5"/>
        <v>1</v>
      </c>
    </row>
    <row r="69" spans="1:68">
      <c r="A69" s="12" t="s">
        <v>535</v>
      </c>
      <c r="B69" s="12"/>
      <c r="C69" s="12" t="s">
        <v>64</v>
      </c>
      <c r="D69" s="12"/>
      <c r="E69" s="12">
        <v>50112</v>
      </c>
      <c r="G69" s="7">
        <v>3956307</v>
      </c>
      <c r="I69" s="7">
        <v>885164</v>
      </c>
      <c r="K69" s="7">
        <v>54501</v>
      </c>
      <c r="M69" s="7">
        <v>0</v>
      </c>
      <c r="O69" s="7">
        <v>6547</v>
      </c>
      <c r="Q69" s="7">
        <v>240349</v>
      </c>
      <c r="S69" s="7">
        <v>72751</v>
      </c>
      <c r="U69" s="7">
        <v>35787</v>
      </c>
      <c r="W69" s="7">
        <v>631260</v>
      </c>
      <c r="Y69" s="7">
        <v>237752</v>
      </c>
      <c r="AA69" s="7">
        <v>25256</v>
      </c>
      <c r="AC69" s="7">
        <v>612419</v>
      </c>
      <c r="AE69" s="7">
        <v>468593</v>
      </c>
      <c r="AG69" s="7">
        <v>9849</v>
      </c>
      <c r="AI69" s="12" t="s">
        <v>535</v>
      </c>
      <c r="AJ69" s="12"/>
      <c r="AK69" s="12" t="s">
        <v>64</v>
      </c>
      <c r="AL69" s="12"/>
      <c r="AM69" s="7">
        <v>240364</v>
      </c>
      <c r="AO69" s="7">
        <v>11571</v>
      </c>
      <c r="AQ69" s="7">
        <v>195717</v>
      </c>
      <c r="AS69" s="7">
        <v>22161</v>
      </c>
      <c r="AW69" s="7">
        <v>0</v>
      </c>
      <c r="AY69" s="7">
        <f t="shared" si="0"/>
        <v>7706348</v>
      </c>
      <c r="BA69" s="7">
        <f>+'St of Activites - GA Rev'!AI69-'St of Activities - GA Exp'!AY69</f>
        <v>365525</v>
      </c>
      <c r="BC69" s="7">
        <v>9750142</v>
      </c>
      <c r="BE69" s="7">
        <f t="shared" si="1"/>
        <v>10115667</v>
      </c>
      <c r="BG69" s="7">
        <f>+'St of Net Assets - GA'!AA69-'St of Activities - GA Exp'!BE69</f>
        <v>0</v>
      </c>
      <c r="BL69" s="7" t="str">
        <f t="shared" si="2"/>
        <v>Bristol Local SD</v>
      </c>
      <c r="BM69" s="7" t="b">
        <f t="shared" si="3"/>
        <v>1</v>
      </c>
      <c r="BO69" s="7" t="str">
        <f t="shared" si="4"/>
        <v>Trumbull</v>
      </c>
      <c r="BP69" s="7" t="b">
        <f t="shared" si="5"/>
        <v>1</v>
      </c>
    </row>
    <row r="70" spans="1:68" ht="12" customHeight="1">
      <c r="A70" s="12" t="s">
        <v>706</v>
      </c>
      <c r="B70" s="12"/>
      <c r="C70" s="12" t="s">
        <v>64</v>
      </c>
      <c r="D70" s="12"/>
      <c r="E70" s="12">
        <v>50120</v>
      </c>
      <c r="G70" s="7">
        <v>4987336</v>
      </c>
      <c r="I70" s="7">
        <v>1786098</v>
      </c>
      <c r="K70" s="7">
        <v>154717</v>
      </c>
      <c r="M70" s="7">
        <v>0</v>
      </c>
      <c r="O70" s="7">
        <v>0</v>
      </c>
      <c r="Q70" s="7">
        <v>523427</v>
      </c>
      <c r="S70" s="7">
        <v>440625</v>
      </c>
      <c r="U70" s="7">
        <v>13737</v>
      </c>
      <c r="W70" s="7">
        <v>793316</v>
      </c>
      <c r="Y70" s="7">
        <v>296827</v>
      </c>
      <c r="AA70" s="7">
        <v>56522</v>
      </c>
      <c r="AC70" s="7">
        <v>948526</v>
      </c>
      <c r="AE70" s="7">
        <v>694951</v>
      </c>
      <c r="AG70" s="7">
        <v>1954</v>
      </c>
      <c r="AI70" s="12" t="s">
        <v>706</v>
      </c>
      <c r="AJ70" s="12"/>
      <c r="AK70" s="12" t="s">
        <v>64</v>
      </c>
      <c r="AL70" s="12"/>
      <c r="AM70" s="7">
        <v>537540</v>
      </c>
      <c r="AO70" s="7">
        <v>0</v>
      </c>
      <c r="AQ70" s="7">
        <v>380725</v>
      </c>
      <c r="AS70" s="7">
        <v>706252</v>
      </c>
      <c r="AW70" s="7">
        <v>0</v>
      </c>
      <c r="AY70" s="7">
        <f>SUM(G70:AX70)</f>
        <v>12322553</v>
      </c>
      <c r="BA70" s="7">
        <f>+'St of Activites - GA Rev'!AI70-'St of Activities - GA Exp'!AY70</f>
        <v>411631</v>
      </c>
      <c r="BC70" s="7">
        <v>21843385</v>
      </c>
      <c r="BE70" s="7">
        <f t="shared" si="1"/>
        <v>22255016</v>
      </c>
      <c r="BG70" s="7">
        <f>+'St of Net Assets - GA'!AA70-'St of Activities - GA Exp'!BE70</f>
        <v>0</v>
      </c>
      <c r="BL70" s="7" t="str">
        <f t="shared" si="2"/>
        <v xml:space="preserve">Brookfield Local SD </v>
      </c>
      <c r="BM70" s="7" t="b">
        <f t="shared" si="3"/>
        <v>1</v>
      </c>
      <c r="BO70" s="7" t="str">
        <f t="shared" si="4"/>
        <v>Trumbull</v>
      </c>
      <c r="BP70" s="7" t="b">
        <f t="shared" si="5"/>
        <v>1</v>
      </c>
    </row>
    <row r="71" spans="1:68">
      <c r="A71" s="12" t="s">
        <v>270</v>
      </c>
      <c r="B71" s="12"/>
      <c r="C71" s="12" t="s">
        <v>20</v>
      </c>
      <c r="D71" s="12"/>
      <c r="E71" s="12">
        <v>43653</v>
      </c>
      <c r="G71" s="7">
        <v>7021844</v>
      </c>
      <c r="I71" s="7">
        <v>2589546</v>
      </c>
      <c r="K71" s="7">
        <v>119038</v>
      </c>
      <c r="M71" s="7">
        <v>0</v>
      </c>
      <c r="O71" s="7">
        <v>0</v>
      </c>
      <c r="Q71" s="7">
        <v>1647776</v>
      </c>
      <c r="S71" s="7">
        <v>118158</v>
      </c>
      <c r="U71" s="7">
        <v>38511</v>
      </c>
      <c r="W71" s="7">
        <v>1534206</v>
      </c>
      <c r="Y71" s="7">
        <v>722418</v>
      </c>
      <c r="AA71" s="7">
        <v>94867</v>
      </c>
      <c r="AC71" s="7">
        <v>1181004</v>
      </c>
      <c r="AE71" s="7">
        <v>344044</v>
      </c>
      <c r="AG71" s="7">
        <v>250501</v>
      </c>
      <c r="AI71" s="12" t="s">
        <v>270</v>
      </c>
      <c r="AJ71" s="12"/>
      <c r="AK71" s="12" t="s">
        <v>20</v>
      </c>
      <c r="AL71" s="12"/>
      <c r="AM71" s="7">
        <v>471153</v>
      </c>
      <c r="AO71" s="7">
        <v>364965</v>
      </c>
      <c r="AQ71" s="7">
        <v>381488</v>
      </c>
      <c r="AS71" s="7">
        <v>0</v>
      </c>
      <c r="AW71" s="7">
        <v>0</v>
      </c>
      <c r="AY71" s="7">
        <f t="shared" si="0"/>
        <v>16879519</v>
      </c>
      <c r="BA71" s="7">
        <f>+'St of Activites - GA Rev'!AI71-'St of Activities - GA Exp'!AY71</f>
        <v>1550224</v>
      </c>
      <c r="BC71" s="7">
        <v>8418118</v>
      </c>
      <c r="BE71" s="7">
        <f t="shared" si="1"/>
        <v>9968342</v>
      </c>
      <c r="BG71" s="7">
        <f>+'St of Net Assets - GA'!AA71-'St of Activities - GA Exp'!BE71</f>
        <v>0</v>
      </c>
      <c r="BL71" s="7" t="str">
        <f t="shared" si="2"/>
        <v>Brooklyn City SD</v>
      </c>
      <c r="BM71" s="7" t="b">
        <f t="shared" si="3"/>
        <v>1</v>
      </c>
      <c r="BO71" s="7" t="str">
        <f t="shared" si="4"/>
        <v>Cuyahoga</v>
      </c>
      <c r="BP71" s="7" t="b">
        <f t="shared" si="5"/>
        <v>1</v>
      </c>
    </row>
    <row r="72" spans="1:68">
      <c r="A72" s="12" t="s">
        <v>441</v>
      </c>
      <c r="B72" s="12"/>
      <c r="C72" s="12" t="s">
        <v>50</v>
      </c>
      <c r="D72" s="12"/>
      <c r="E72" s="12">
        <v>48678</v>
      </c>
      <c r="G72" s="7">
        <v>6357937</v>
      </c>
      <c r="I72" s="7">
        <v>1311487</v>
      </c>
      <c r="K72" s="7">
        <v>171445</v>
      </c>
      <c r="M72" s="7">
        <v>0</v>
      </c>
      <c r="O72" s="7">
        <v>110681</v>
      </c>
      <c r="Q72" s="7">
        <v>907769</v>
      </c>
      <c r="S72" s="7">
        <v>1080116</v>
      </c>
      <c r="U72" s="7">
        <v>21133</v>
      </c>
      <c r="W72" s="7">
        <v>1397778</v>
      </c>
      <c r="Y72" s="7">
        <v>338253</v>
      </c>
      <c r="AA72" s="7">
        <v>876</v>
      </c>
      <c r="AC72" s="7">
        <v>1496060</v>
      </c>
      <c r="AE72" s="7">
        <v>730484</v>
      </c>
      <c r="AG72" s="7">
        <v>23252</v>
      </c>
      <c r="AI72" s="12" t="s">
        <v>441</v>
      </c>
      <c r="AJ72" s="12"/>
      <c r="AK72" s="12" t="s">
        <v>50</v>
      </c>
      <c r="AL72" s="12"/>
      <c r="AM72" s="7">
        <v>754068</v>
      </c>
      <c r="AO72" s="7">
        <v>0</v>
      </c>
      <c r="AQ72" s="7">
        <v>623822</v>
      </c>
      <c r="AS72" s="7">
        <v>957128</v>
      </c>
      <c r="AW72" s="7">
        <v>0</v>
      </c>
      <c r="AY72" s="7">
        <f t="shared" si="0"/>
        <v>16282289</v>
      </c>
      <c r="BA72" s="7">
        <f>+'St of Activites - GA Rev'!AI72-'St of Activities - GA Exp'!AY72</f>
        <v>-437495</v>
      </c>
      <c r="BC72" s="7">
        <v>25706154</v>
      </c>
      <c r="BE72" s="7">
        <f t="shared" si="1"/>
        <v>25268659</v>
      </c>
      <c r="BG72" s="7">
        <f>+'St of Net Assets - GA'!AA72-'St of Activities - GA Exp'!BE72</f>
        <v>0</v>
      </c>
      <c r="BL72" s="7" t="str">
        <f t="shared" si="2"/>
        <v>Brookville Local SD</v>
      </c>
      <c r="BM72" s="7" t="b">
        <f t="shared" si="3"/>
        <v>1</v>
      </c>
      <c r="BO72" s="7" t="str">
        <f t="shared" si="4"/>
        <v>Montgomery</v>
      </c>
      <c r="BP72" s="7" t="b">
        <f t="shared" si="5"/>
        <v>1</v>
      </c>
    </row>
    <row r="73" spans="1:68">
      <c r="A73" s="12" t="s">
        <v>231</v>
      </c>
      <c r="B73" s="12"/>
      <c r="C73" s="12" t="s">
        <v>16</v>
      </c>
      <c r="D73" s="12"/>
      <c r="E73" s="12">
        <v>46177</v>
      </c>
      <c r="G73" s="7">
        <v>4047890</v>
      </c>
      <c r="I73" s="7">
        <v>486701</v>
      </c>
      <c r="K73" s="7">
        <v>58360</v>
      </c>
      <c r="M73" s="7">
        <v>0</v>
      </c>
      <c r="O73" s="7">
        <v>0</v>
      </c>
      <c r="Q73" s="7">
        <v>255519</v>
      </c>
      <c r="S73" s="7">
        <v>360406</v>
      </c>
      <c r="U73" s="7">
        <v>189810</v>
      </c>
      <c r="W73" s="7">
        <v>645340</v>
      </c>
      <c r="Y73" s="7">
        <v>179129</v>
      </c>
      <c r="AA73" s="7">
        <v>5163</v>
      </c>
      <c r="AC73" s="7">
        <v>525377</v>
      </c>
      <c r="AE73" s="7">
        <v>384382</v>
      </c>
      <c r="AG73" s="7">
        <v>6866</v>
      </c>
      <c r="AI73" s="12" t="s">
        <v>231</v>
      </c>
      <c r="AJ73" s="12"/>
      <c r="AK73" s="12" t="s">
        <v>16</v>
      </c>
      <c r="AL73" s="12"/>
      <c r="AM73" s="7">
        <v>349367</v>
      </c>
      <c r="AO73" s="7">
        <v>0</v>
      </c>
      <c r="AQ73" s="7">
        <v>303760</v>
      </c>
      <c r="AS73" s="7">
        <v>2340</v>
      </c>
      <c r="AW73" s="7">
        <v>0</v>
      </c>
      <c r="AY73" s="7">
        <f t="shared" si="0"/>
        <v>7800410</v>
      </c>
      <c r="BA73" s="7">
        <f>+'St of Activites - GA Rev'!AI73-'St of Activities - GA Exp'!AY73</f>
        <v>1346325</v>
      </c>
      <c r="BC73" s="7">
        <v>4478514</v>
      </c>
      <c r="BE73" s="7">
        <f t="shared" si="1"/>
        <v>5824839</v>
      </c>
      <c r="BG73" s="7">
        <f>+'St of Net Assets - GA'!AA73-'St of Activities - GA Exp'!BE73</f>
        <v>0</v>
      </c>
      <c r="BL73" s="7" t="str">
        <f t="shared" si="2"/>
        <v>Brown Local SD</v>
      </c>
      <c r="BM73" s="7" t="b">
        <f t="shared" si="3"/>
        <v>1</v>
      </c>
      <c r="BO73" s="7" t="str">
        <f t="shared" si="4"/>
        <v>Carroll</v>
      </c>
      <c r="BP73" s="7" t="b">
        <f t="shared" si="5"/>
        <v>1</v>
      </c>
    </row>
    <row r="74" spans="1:68">
      <c r="A74" s="12" t="s">
        <v>428</v>
      </c>
      <c r="B74" s="12"/>
      <c r="C74" s="12" t="s">
        <v>47</v>
      </c>
      <c r="D74" s="12"/>
      <c r="E74" s="12">
        <v>43661</v>
      </c>
      <c r="G74" s="7">
        <v>32092365</v>
      </c>
      <c r="I74" s="7">
        <v>8312389</v>
      </c>
      <c r="K74" s="7">
        <v>210345</v>
      </c>
      <c r="M74" s="7">
        <v>0</v>
      </c>
      <c r="O74" s="7">
        <v>1717450</v>
      </c>
      <c r="Q74" s="7">
        <v>5773396</v>
      </c>
      <c r="S74" s="7">
        <v>3485398</v>
      </c>
      <c r="U74" s="7">
        <v>682276</v>
      </c>
      <c r="W74" s="7">
        <v>4845581</v>
      </c>
      <c r="Y74" s="7">
        <v>1218645</v>
      </c>
      <c r="AA74" s="7">
        <v>462985</v>
      </c>
      <c r="AC74" s="7">
        <v>6372935</v>
      </c>
      <c r="AE74" s="7">
        <v>4564726</v>
      </c>
      <c r="AG74" s="7">
        <v>251557</v>
      </c>
      <c r="AI74" s="12" t="s">
        <v>428</v>
      </c>
      <c r="AJ74" s="12"/>
      <c r="AK74" s="12" t="s">
        <v>47</v>
      </c>
      <c r="AL74" s="12"/>
      <c r="AM74" s="7">
        <v>2173546</v>
      </c>
      <c r="AO74" s="7">
        <v>505924</v>
      </c>
      <c r="AQ74" s="7">
        <v>1824612</v>
      </c>
      <c r="AS74" s="7">
        <v>2193821</v>
      </c>
      <c r="AW74" s="7">
        <v>0</v>
      </c>
      <c r="AY74" s="7">
        <f t="shared" si="0"/>
        <v>76687951</v>
      </c>
      <c r="BA74" s="7">
        <f>+'St of Activites - GA Rev'!AI74-'St of Activities - GA Exp'!AY74</f>
        <v>-781902</v>
      </c>
      <c r="BC74" s="7">
        <v>14615508</v>
      </c>
      <c r="BE74" s="7">
        <f t="shared" si="1"/>
        <v>13833606</v>
      </c>
      <c r="BG74" s="7">
        <f>+'St of Net Assets - GA'!AA74-'St of Activities - GA Exp'!BE74</f>
        <v>0</v>
      </c>
      <c r="BL74" s="7" t="str">
        <f t="shared" si="2"/>
        <v>Brunswick City SD</v>
      </c>
      <c r="BM74" s="7" t="b">
        <f t="shared" si="3"/>
        <v>1</v>
      </c>
      <c r="BO74" s="7" t="str">
        <f t="shared" si="4"/>
        <v>Medina</v>
      </c>
      <c r="BP74" s="7" t="b">
        <f t="shared" si="5"/>
        <v>1</v>
      </c>
    </row>
    <row r="75" spans="1:68" ht="12" hidden="1" customHeight="1">
      <c r="A75" s="12" t="s">
        <v>707</v>
      </c>
      <c r="B75" s="12"/>
      <c r="C75" s="12" t="s">
        <v>570</v>
      </c>
      <c r="D75" s="12"/>
      <c r="E75" s="12">
        <v>43679</v>
      </c>
      <c r="AI75" s="12" t="s">
        <v>707</v>
      </c>
      <c r="AJ75" s="12"/>
      <c r="AK75" s="12" t="s">
        <v>570</v>
      </c>
      <c r="AL75" s="12"/>
      <c r="AY75" s="7">
        <f t="shared" si="0"/>
        <v>0</v>
      </c>
      <c r="BA75" s="7">
        <f>+'St of Activites - GA Rev'!AI75-'St of Activities - GA Exp'!AY75</f>
        <v>0</v>
      </c>
      <c r="BE75" s="7">
        <f t="shared" si="1"/>
        <v>0</v>
      </c>
      <c r="BG75" s="7">
        <f>+'St of Net Assets - GA'!AA75-'St of Activities - GA Exp'!BE75</f>
        <v>0</v>
      </c>
      <c r="BH75" s="7" t="s">
        <v>778</v>
      </c>
      <c r="BL75" s="7" t="str">
        <f t="shared" si="2"/>
        <v>Bryan City SD (CASH)</v>
      </c>
      <c r="BM75" s="7" t="b">
        <f t="shared" si="3"/>
        <v>1</v>
      </c>
      <c r="BO75" s="7" t="str">
        <f t="shared" si="4"/>
        <v>Williams</v>
      </c>
      <c r="BP75" s="7" t="b">
        <f t="shared" si="5"/>
        <v>1</v>
      </c>
    </row>
    <row r="76" spans="1:68">
      <c r="A76" s="12" t="s">
        <v>262</v>
      </c>
      <c r="B76" s="12"/>
      <c r="C76" s="12" t="s">
        <v>111</v>
      </c>
      <c r="D76" s="12"/>
      <c r="E76" s="12">
        <v>46508</v>
      </c>
      <c r="G76" s="7">
        <v>4814903</v>
      </c>
      <c r="I76" s="7">
        <v>968506</v>
      </c>
      <c r="K76" s="7">
        <v>152595</v>
      </c>
      <c r="M76" s="7">
        <v>0</v>
      </c>
      <c r="O76" s="7">
        <v>1185</v>
      </c>
      <c r="Q76" s="7">
        <v>218646</v>
      </c>
      <c r="S76" s="7">
        <v>287232</v>
      </c>
      <c r="U76" s="7">
        <v>18821</v>
      </c>
      <c r="W76" s="7">
        <v>741395</v>
      </c>
      <c r="Y76" s="7">
        <v>286320</v>
      </c>
      <c r="AA76" s="7">
        <v>22298</v>
      </c>
      <c r="AC76" s="7">
        <v>694104</v>
      </c>
      <c r="AE76" s="7">
        <v>557489</v>
      </c>
      <c r="AG76" s="7">
        <v>61296</v>
      </c>
      <c r="AI76" s="12" t="s">
        <v>262</v>
      </c>
      <c r="AJ76" s="12"/>
      <c r="AK76" s="12" t="s">
        <v>111</v>
      </c>
      <c r="AL76" s="12"/>
      <c r="AM76" s="7">
        <v>324969</v>
      </c>
      <c r="AO76" s="7">
        <v>84052</v>
      </c>
      <c r="AQ76" s="7">
        <v>542398</v>
      </c>
      <c r="AS76" s="7">
        <v>387685</v>
      </c>
      <c r="AW76" s="7">
        <v>0</v>
      </c>
      <c r="AY76" s="7">
        <f t="shared" si="0"/>
        <v>10163894</v>
      </c>
      <c r="BA76" s="7">
        <f>+'St of Activites - GA Rev'!AI76-'St of Activities - GA Exp'!AY76</f>
        <v>-202306</v>
      </c>
      <c r="BC76" s="7">
        <v>20171468</v>
      </c>
      <c r="BE76" s="7">
        <f t="shared" si="1"/>
        <v>19969162</v>
      </c>
      <c r="BG76" s="7">
        <f>+'St of Net Assets - GA'!AA76-'St of Activities - GA Exp'!BE76</f>
        <v>0</v>
      </c>
      <c r="BL76" s="7" t="str">
        <f t="shared" ref="BL76:BL139" si="6">A76</f>
        <v>Buckeye Central Local SD</v>
      </c>
      <c r="BM76" s="7" t="b">
        <f t="shared" ref="BM76:BM139" si="7">A76=AI76</f>
        <v>1</v>
      </c>
      <c r="BO76" s="7" t="str">
        <f t="shared" ref="BO76:BO139" si="8">C76</f>
        <v>Crawford</v>
      </c>
      <c r="BP76" s="7" t="b">
        <f t="shared" ref="BP76:BP139" si="9">C76=AK76</f>
        <v>1</v>
      </c>
    </row>
    <row r="77" spans="1:68">
      <c r="A77" s="12" t="s">
        <v>207</v>
      </c>
      <c r="B77" s="12"/>
      <c r="C77" s="12" t="s">
        <v>12</v>
      </c>
      <c r="D77" s="12"/>
      <c r="E77" s="12">
        <v>45856</v>
      </c>
      <c r="G77" s="7">
        <v>9728347</v>
      </c>
      <c r="I77" s="7">
        <v>2147746</v>
      </c>
      <c r="K77" s="7">
        <v>323592</v>
      </c>
      <c r="M77" s="7">
        <v>4920</v>
      </c>
      <c r="O77" s="7">
        <v>0</v>
      </c>
      <c r="Q77" s="7">
        <v>589826</v>
      </c>
      <c r="S77" s="7">
        <v>414300</v>
      </c>
      <c r="U77" s="7">
        <v>28333</v>
      </c>
      <c r="W77" s="7">
        <v>1323848</v>
      </c>
      <c r="Y77" s="7">
        <v>516532</v>
      </c>
      <c r="AA77" s="7">
        <v>84917</v>
      </c>
      <c r="AC77" s="7">
        <v>1879879</v>
      </c>
      <c r="AE77" s="7">
        <v>1045244</v>
      </c>
      <c r="AG77" s="7">
        <v>65476</v>
      </c>
      <c r="AI77" s="12" t="s">
        <v>207</v>
      </c>
      <c r="AJ77" s="12"/>
      <c r="AK77" s="12" t="s">
        <v>12</v>
      </c>
      <c r="AL77" s="12"/>
      <c r="AM77" s="7">
        <v>884709</v>
      </c>
      <c r="AO77" s="7">
        <v>8629</v>
      </c>
      <c r="AQ77" s="7">
        <v>494596</v>
      </c>
      <c r="AS77" s="7">
        <v>7214</v>
      </c>
      <c r="AW77" s="7">
        <v>0</v>
      </c>
      <c r="AY77" s="7">
        <f t="shared" si="0"/>
        <v>19548108</v>
      </c>
      <c r="BA77" s="7">
        <f>+'St of Activites - GA Rev'!AI77-'St of Activities - GA Exp'!AY77</f>
        <v>922182</v>
      </c>
      <c r="BC77" s="7">
        <v>7971116</v>
      </c>
      <c r="BE77" s="7">
        <f t="shared" si="1"/>
        <v>8893298</v>
      </c>
      <c r="BG77" s="7">
        <f>+'St of Net Assets - GA'!AA77-'St of Activities - GA Exp'!BE77</f>
        <v>0</v>
      </c>
      <c r="BL77" s="7" t="str">
        <f t="shared" si="6"/>
        <v>Buckeye Local SD</v>
      </c>
      <c r="BM77" s="7" t="b">
        <f t="shared" si="7"/>
        <v>1</v>
      </c>
      <c r="BO77" s="7" t="str">
        <f t="shared" si="8"/>
        <v>Ashtabula</v>
      </c>
      <c r="BP77" s="7" t="b">
        <f t="shared" si="9"/>
        <v>1</v>
      </c>
    </row>
    <row r="78" spans="1:68">
      <c r="A78" s="12" t="s">
        <v>207</v>
      </c>
      <c r="B78" s="12"/>
      <c r="C78" s="12" t="s">
        <v>39</v>
      </c>
      <c r="D78" s="12"/>
      <c r="E78" s="12">
        <v>47787</v>
      </c>
      <c r="G78" s="7">
        <v>9262149</v>
      </c>
      <c r="I78" s="7">
        <v>2556657</v>
      </c>
      <c r="K78" s="7">
        <v>640612</v>
      </c>
      <c r="M78" s="7">
        <v>153437</v>
      </c>
      <c r="O78" s="7">
        <v>0</v>
      </c>
      <c r="Q78" s="7">
        <v>776847</v>
      </c>
      <c r="S78" s="7">
        <v>682564</v>
      </c>
      <c r="U78" s="7">
        <v>103682</v>
      </c>
      <c r="W78" s="7">
        <v>2147278</v>
      </c>
      <c r="Y78" s="7">
        <v>457176</v>
      </c>
      <c r="AA78" s="7">
        <v>55197</v>
      </c>
      <c r="AC78" s="7">
        <v>2144428</v>
      </c>
      <c r="AE78" s="7">
        <v>1816985</v>
      </c>
      <c r="AG78" s="7">
        <v>0</v>
      </c>
      <c r="AI78" s="12" t="s">
        <v>207</v>
      </c>
      <c r="AJ78" s="12"/>
      <c r="AK78" s="12" t="s">
        <v>39</v>
      </c>
      <c r="AL78" s="12"/>
      <c r="AM78" s="7">
        <v>880656</v>
      </c>
      <c r="AO78" s="7">
        <v>10200</v>
      </c>
      <c r="AQ78" s="7">
        <v>393834</v>
      </c>
      <c r="AS78" s="7">
        <v>40003</v>
      </c>
      <c r="AW78" s="7">
        <v>0</v>
      </c>
      <c r="AY78" s="7">
        <f t="shared" si="0"/>
        <v>22121705</v>
      </c>
      <c r="BA78" s="7">
        <f>+'St of Activites - GA Rev'!AI78-'St of Activities - GA Exp'!AY78</f>
        <v>874692</v>
      </c>
      <c r="BC78" s="7">
        <v>8083816</v>
      </c>
      <c r="BE78" s="7">
        <f t="shared" si="1"/>
        <v>8958508</v>
      </c>
      <c r="BG78" s="7">
        <f>+'St of Net Assets - GA'!AA78-'St of Activities - GA Exp'!BE78</f>
        <v>0</v>
      </c>
      <c r="BL78" s="7" t="str">
        <f t="shared" si="6"/>
        <v>Buckeye Local SD</v>
      </c>
      <c r="BM78" s="7" t="b">
        <f t="shared" si="7"/>
        <v>1</v>
      </c>
      <c r="BO78" s="7" t="str">
        <f t="shared" si="8"/>
        <v>Jefferson</v>
      </c>
      <c r="BP78" s="7" t="b">
        <f t="shared" si="9"/>
        <v>1</v>
      </c>
    </row>
    <row r="79" spans="1:68" ht="12" customHeight="1">
      <c r="A79" s="12" t="s">
        <v>708</v>
      </c>
      <c r="B79" s="12"/>
      <c r="C79" s="12" t="s">
        <v>47</v>
      </c>
      <c r="D79" s="12"/>
      <c r="E79" s="12">
        <v>48470</v>
      </c>
      <c r="G79" s="7">
        <v>9348702</v>
      </c>
      <c r="I79" s="7">
        <v>2193307</v>
      </c>
      <c r="K79" s="7">
        <v>221541</v>
      </c>
      <c r="M79" s="7">
        <v>723018</v>
      </c>
      <c r="O79" s="7">
        <v>0</v>
      </c>
      <c r="Q79" s="7">
        <v>1010923</v>
      </c>
      <c r="S79" s="7">
        <v>1191216</v>
      </c>
      <c r="U79" s="7">
        <v>36876</v>
      </c>
      <c r="W79" s="7">
        <v>1577266</v>
      </c>
      <c r="Y79" s="7">
        <v>637602</v>
      </c>
      <c r="AA79" s="7">
        <v>26478</v>
      </c>
      <c r="AC79" s="7">
        <v>1622714</v>
      </c>
      <c r="AE79" s="7">
        <v>1100004</v>
      </c>
      <c r="AG79" s="7">
        <v>768</v>
      </c>
      <c r="AI79" s="12" t="s">
        <v>708</v>
      </c>
      <c r="AJ79" s="12"/>
      <c r="AK79" s="12" t="s">
        <v>47</v>
      </c>
      <c r="AL79" s="12"/>
      <c r="AM79" s="7">
        <v>569855</v>
      </c>
      <c r="AO79" s="7">
        <v>2829</v>
      </c>
      <c r="AQ79" s="7">
        <v>627136</v>
      </c>
      <c r="AS79" s="7">
        <v>1077888</v>
      </c>
      <c r="AW79" s="7">
        <v>0</v>
      </c>
      <c r="AY79" s="7">
        <f t="shared" ref="AY79:AY87" si="10">SUM(G79:AX79)</f>
        <v>21968123</v>
      </c>
      <c r="BA79" s="7">
        <f>+'St of Activites - GA Rev'!AI79-'St of Activities - GA Exp'!AY79</f>
        <v>-167485</v>
      </c>
      <c r="BC79" s="7">
        <v>10900893</v>
      </c>
      <c r="BE79" s="7">
        <f t="shared" ref="BE79:BE89" si="11">+BA79+BC79</f>
        <v>10733408</v>
      </c>
      <c r="BG79" s="7">
        <f>+'St of Net Assets - GA'!AA79-'St of Activities - GA Exp'!BE79</f>
        <v>0</v>
      </c>
      <c r="BL79" s="7" t="str">
        <f t="shared" si="6"/>
        <v xml:space="preserve">Buckeye Local SD </v>
      </c>
      <c r="BM79" s="7" t="b">
        <f t="shared" si="7"/>
        <v>1</v>
      </c>
      <c r="BO79" s="7" t="str">
        <f t="shared" si="8"/>
        <v>Medina</v>
      </c>
      <c r="BP79" s="7" t="b">
        <f t="shared" si="9"/>
        <v>1</v>
      </c>
    </row>
    <row r="80" spans="1:68" ht="12" hidden="1" customHeight="1">
      <c r="A80" s="54" t="s">
        <v>908</v>
      </c>
      <c r="B80" s="12"/>
      <c r="C80" s="12" t="s">
        <v>112</v>
      </c>
      <c r="D80" s="12"/>
      <c r="E80" s="12">
        <v>46755</v>
      </c>
      <c r="AI80" s="54" t="s">
        <v>908</v>
      </c>
      <c r="AJ80" s="12"/>
      <c r="AK80" s="12" t="s">
        <v>112</v>
      </c>
      <c r="AL80" s="12"/>
      <c r="AY80" s="7">
        <f t="shared" si="10"/>
        <v>0</v>
      </c>
      <c r="BA80" s="7">
        <f>+'St of Activites - GA Rev'!AI80-'St of Activities - GA Exp'!AY80</f>
        <v>0</v>
      </c>
      <c r="BE80" s="7">
        <f t="shared" si="11"/>
        <v>0</v>
      </c>
      <c r="BG80" s="7">
        <f>+'St of Net Assets - GA'!AA80-'St of Activities - GA Exp'!BE80</f>
        <v>0</v>
      </c>
      <c r="BH80" s="7" t="s">
        <v>907</v>
      </c>
      <c r="BL80" s="7" t="str">
        <f t="shared" si="6"/>
        <v>Buckeye Online School for Success (now Community School)</v>
      </c>
      <c r="BM80" s="7" t="b">
        <f t="shared" si="7"/>
        <v>1</v>
      </c>
      <c r="BO80" s="7" t="str">
        <f t="shared" si="8"/>
        <v>Columbiana</v>
      </c>
      <c r="BP80" s="7" t="b">
        <f t="shared" si="9"/>
        <v>1</v>
      </c>
    </row>
    <row r="81" spans="1:68" ht="12" customHeight="1">
      <c r="A81" s="12" t="s">
        <v>665</v>
      </c>
      <c r="B81" s="12"/>
      <c r="C81" s="12" t="s">
        <v>23</v>
      </c>
      <c r="D81" s="12"/>
      <c r="E81" s="12">
        <v>46755</v>
      </c>
      <c r="G81" s="7">
        <v>11562228</v>
      </c>
      <c r="I81" s="7">
        <v>1954527</v>
      </c>
      <c r="K81" s="7">
        <v>254049</v>
      </c>
      <c r="M81" s="7">
        <v>0</v>
      </c>
      <c r="O81" s="7">
        <v>16080</v>
      </c>
      <c r="Q81" s="7">
        <v>2002362</v>
      </c>
      <c r="S81" s="7">
        <v>457391</v>
      </c>
      <c r="U81" s="7">
        <v>162806</v>
      </c>
      <c r="W81" s="7">
        <v>2082001</v>
      </c>
      <c r="Y81" s="7">
        <v>607428</v>
      </c>
      <c r="AA81" s="7">
        <v>0</v>
      </c>
      <c r="AC81" s="7">
        <v>2666576</v>
      </c>
      <c r="AE81" s="7">
        <v>1831372</v>
      </c>
      <c r="AG81" s="7">
        <v>38148</v>
      </c>
      <c r="AI81" s="12" t="s">
        <v>665</v>
      </c>
      <c r="AJ81" s="12"/>
      <c r="AK81" s="12" t="s">
        <v>23</v>
      </c>
      <c r="AL81" s="12"/>
      <c r="AM81" s="7">
        <v>833200</v>
      </c>
      <c r="AO81" s="7">
        <v>27062</v>
      </c>
      <c r="AQ81" s="7">
        <v>593702</v>
      </c>
      <c r="AS81" s="7">
        <v>1198491</v>
      </c>
      <c r="AW81" s="7">
        <v>0</v>
      </c>
      <c r="AY81" s="7">
        <f t="shared" si="10"/>
        <v>26287423</v>
      </c>
      <c r="BA81" s="7">
        <f>+'St of Activites - GA Rev'!AI81-'St of Activities - GA Exp'!AY81</f>
        <v>1151352</v>
      </c>
      <c r="BC81" s="7">
        <v>13959303</v>
      </c>
      <c r="BE81" s="7">
        <f t="shared" si="11"/>
        <v>15110655</v>
      </c>
      <c r="BG81" s="7">
        <f>+'St of Net Assets - GA'!AA81-'St of Activities - GA Exp'!BE81</f>
        <v>0</v>
      </c>
      <c r="BL81" s="7" t="str">
        <f t="shared" si="6"/>
        <v xml:space="preserve">Buckeye Valley Local SD </v>
      </c>
      <c r="BM81" s="7" t="b">
        <f t="shared" si="7"/>
        <v>1</v>
      </c>
      <c r="BO81" s="7" t="str">
        <f t="shared" si="8"/>
        <v>Delaware</v>
      </c>
      <c r="BP81" s="7" t="b">
        <f t="shared" si="9"/>
        <v>1</v>
      </c>
    </row>
    <row r="82" spans="1:68">
      <c r="A82" s="12" t="s">
        <v>263</v>
      </c>
      <c r="B82" s="12"/>
      <c r="C82" s="12" t="s">
        <v>111</v>
      </c>
      <c r="D82" s="12"/>
      <c r="E82" s="12">
        <v>43687</v>
      </c>
      <c r="G82" s="7">
        <v>8457426</v>
      </c>
      <c r="I82" s="7">
        <v>2214288</v>
      </c>
      <c r="K82" s="7">
        <v>178481</v>
      </c>
      <c r="M82" s="7">
        <v>0</v>
      </c>
      <c r="O82" s="7">
        <v>0</v>
      </c>
      <c r="Q82" s="7">
        <v>1008179</v>
      </c>
      <c r="S82" s="7">
        <v>1593718</v>
      </c>
      <c r="U82" s="7">
        <v>94974</v>
      </c>
      <c r="W82" s="7">
        <v>1498346</v>
      </c>
      <c r="Y82" s="7">
        <v>464205</v>
      </c>
      <c r="AA82" s="7">
        <v>250728</v>
      </c>
      <c r="AC82" s="7">
        <v>1759208</v>
      </c>
      <c r="AE82" s="7">
        <v>360588</v>
      </c>
      <c r="AG82" s="7">
        <v>226325</v>
      </c>
      <c r="AI82" s="12" t="s">
        <v>263</v>
      </c>
      <c r="AJ82" s="12"/>
      <c r="AK82" s="12" t="s">
        <v>111</v>
      </c>
      <c r="AL82" s="12"/>
      <c r="AM82" s="7">
        <v>0</v>
      </c>
      <c r="AO82" s="7">
        <v>1144080</v>
      </c>
      <c r="AQ82" s="7">
        <v>523237</v>
      </c>
      <c r="AS82" s="7">
        <v>555972</v>
      </c>
      <c r="AW82" s="7">
        <v>0</v>
      </c>
      <c r="AY82" s="7">
        <f t="shared" si="10"/>
        <v>20329755</v>
      </c>
      <c r="BA82" s="7">
        <f>+'St of Activites - GA Rev'!AI82-'St of Activities - GA Exp'!AY82</f>
        <v>-1271811</v>
      </c>
      <c r="BC82" s="7">
        <v>33934847</v>
      </c>
      <c r="BE82" s="7">
        <f t="shared" si="11"/>
        <v>32663036</v>
      </c>
      <c r="BG82" s="7">
        <f>+'St of Net Assets - GA'!AA82-'St of Activities - GA Exp'!BE82</f>
        <v>0</v>
      </c>
      <c r="BL82" s="7" t="str">
        <f t="shared" si="6"/>
        <v>Bucyrus City SD</v>
      </c>
      <c r="BM82" s="7" t="b">
        <f t="shared" si="7"/>
        <v>1</v>
      </c>
      <c r="BO82" s="7" t="str">
        <f t="shared" si="8"/>
        <v>Crawford</v>
      </c>
      <c r="BP82" s="7" t="b">
        <f t="shared" si="9"/>
        <v>1</v>
      </c>
    </row>
    <row r="83" spans="1:68">
      <c r="A83" s="12" t="s">
        <v>861</v>
      </c>
      <c r="B83" s="12"/>
      <c r="C83" s="12" t="s">
        <v>52</v>
      </c>
      <c r="D83" s="12"/>
      <c r="E83" s="12">
        <v>45252</v>
      </c>
      <c r="G83" s="7">
        <v>4317825</v>
      </c>
      <c r="I83" s="7">
        <v>808402</v>
      </c>
      <c r="K83" s="7">
        <v>104739</v>
      </c>
      <c r="M83" s="7">
        <v>5326</v>
      </c>
      <c r="O83" s="7">
        <v>927</v>
      </c>
      <c r="Q83" s="7">
        <v>580666</v>
      </c>
      <c r="S83" s="7">
        <v>577499</v>
      </c>
      <c r="U83" s="7">
        <v>37538</v>
      </c>
      <c r="W83" s="7">
        <v>705554</v>
      </c>
      <c r="Y83" s="7">
        <v>330424</v>
      </c>
      <c r="AA83" s="7">
        <v>0</v>
      </c>
      <c r="AC83" s="7">
        <v>571286</v>
      </c>
      <c r="AE83" s="7">
        <v>677445</v>
      </c>
      <c r="AG83" s="7">
        <v>4408</v>
      </c>
      <c r="AI83" s="12" t="s">
        <v>861</v>
      </c>
      <c r="AJ83" s="12"/>
      <c r="AK83" s="12" t="s">
        <v>52</v>
      </c>
      <c r="AL83" s="12"/>
      <c r="AM83" s="7">
        <v>410533</v>
      </c>
      <c r="AO83" s="7">
        <v>35972</v>
      </c>
      <c r="AQ83" s="7">
        <v>312689</v>
      </c>
      <c r="AS83" s="7">
        <v>0</v>
      </c>
      <c r="AW83" s="7">
        <v>0</v>
      </c>
      <c r="AY83" s="7">
        <f t="shared" ref="AY83" si="12">SUM(G83:AX83)</f>
        <v>9481233</v>
      </c>
      <c r="BA83" s="7">
        <f>+'St of Activites - GA Rev'!AI83-'St of Activities - GA Exp'!AY83</f>
        <v>-440123</v>
      </c>
      <c r="BC83" s="7">
        <v>7633018</v>
      </c>
      <c r="BE83" s="7">
        <f t="shared" ref="BE83" si="13">+BA83+BC83</f>
        <v>7192895</v>
      </c>
      <c r="BG83" s="7">
        <f>+'St of Net Assets - GA'!AA83-'St of Activities - GA Exp'!BE83</f>
        <v>0</v>
      </c>
      <c r="BL83" s="7" t="str">
        <f t="shared" si="6"/>
        <v>Caldwell Exempted Village SD</v>
      </c>
      <c r="BM83" s="7" t="b">
        <f t="shared" si="7"/>
        <v>1</v>
      </c>
      <c r="BO83" s="7" t="str">
        <f t="shared" si="8"/>
        <v>Noble</v>
      </c>
      <c r="BP83" s="7" t="b">
        <f t="shared" si="9"/>
        <v>1</v>
      </c>
    </row>
    <row r="84" spans="1:68">
      <c r="A84" s="12" t="s">
        <v>327</v>
      </c>
      <c r="B84" s="12"/>
      <c r="C84" s="12" t="s">
        <v>31</v>
      </c>
      <c r="D84" s="12"/>
      <c r="E84" s="12">
        <v>43695</v>
      </c>
      <c r="G84" s="7">
        <v>11674161</v>
      </c>
      <c r="I84" s="7">
        <v>3366575</v>
      </c>
      <c r="K84" s="7">
        <v>290628</v>
      </c>
      <c r="M84" s="7">
        <v>14240</v>
      </c>
      <c r="O84" s="7">
        <v>25972</v>
      </c>
      <c r="Q84" s="7">
        <v>1236437</v>
      </c>
      <c r="S84" s="7">
        <v>1514014</v>
      </c>
      <c r="U84" s="7">
        <v>73694</v>
      </c>
      <c r="W84" s="7">
        <v>1535364</v>
      </c>
      <c r="Y84" s="7">
        <v>519089</v>
      </c>
      <c r="AA84" s="7">
        <v>87633</v>
      </c>
      <c r="AC84" s="7">
        <v>2412363</v>
      </c>
      <c r="AE84" s="7">
        <v>1202721</v>
      </c>
      <c r="AG84" s="7">
        <v>247946</v>
      </c>
      <c r="AI84" s="12" t="s">
        <v>327</v>
      </c>
      <c r="AJ84" s="12"/>
      <c r="AK84" s="12" t="s">
        <v>31</v>
      </c>
      <c r="AL84" s="12"/>
      <c r="AM84" s="7">
        <v>1049166</v>
      </c>
      <c r="AO84" s="7">
        <v>112865</v>
      </c>
      <c r="AQ84" s="7">
        <v>602435</v>
      </c>
      <c r="AS84" s="7">
        <v>655367</v>
      </c>
      <c r="AW84" s="7">
        <v>0</v>
      </c>
      <c r="AY84" s="7">
        <f t="shared" si="10"/>
        <v>26620670</v>
      </c>
      <c r="BA84" s="7">
        <f>+'St of Activites - GA Rev'!AI84-'St of Activities - GA Exp'!AY84</f>
        <v>1247511</v>
      </c>
      <c r="BC84" s="7">
        <v>39812011</v>
      </c>
      <c r="BE84" s="7">
        <f t="shared" si="11"/>
        <v>41059522</v>
      </c>
      <c r="BG84" s="7">
        <f>+'St of Net Assets - GA'!AA84-'St of Activities - GA Exp'!BE84</f>
        <v>0</v>
      </c>
      <c r="BL84" s="7" t="str">
        <f t="shared" si="6"/>
        <v>Cambridge City SD</v>
      </c>
      <c r="BM84" s="7" t="b">
        <f t="shared" si="7"/>
        <v>1</v>
      </c>
      <c r="BO84" s="7" t="str">
        <f t="shared" si="8"/>
        <v>Guernsey</v>
      </c>
      <c r="BP84" s="7" t="b">
        <f t="shared" si="9"/>
        <v>1</v>
      </c>
    </row>
    <row r="85" spans="1:68" ht="12" customHeight="1">
      <c r="A85" s="12" t="s">
        <v>677</v>
      </c>
      <c r="B85" s="12"/>
      <c r="C85" s="12" t="s">
        <v>45</v>
      </c>
      <c r="D85" s="12"/>
      <c r="E85" s="12">
        <v>43703</v>
      </c>
      <c r="G85" s="7">
        <v>7959086</v>
      </c>
      <c r="I85" s="7">
        <v>2537337</v>
      </c>
      <c r="K85" s="7">
        <v>207296</v>
      </c>
      <c r="M85" s="7">
        <v>0</v>
      </c>
      <c r="O85" s="7">
        <v>572399</v>
      </c>
      <c r="Q85" s="7">
        <v>334230</v>
      </c>
      <c r="S85" s="7">
        <v>660342</v>
      </c>
      <c r="U85" s="7">
        <v>20483</v>
      </c>
      <c r="W85" s="7">
        <v>961633</v>
      </c>
      <c r="Y85" s="7">
        <v>324170</v>
      </c>
      <c r="AA85" s="7">
        <v>56866</v>
      </c>
      <c r="AC85" s="7">
        <v>1513072</v>
      </c>
      <c r="AE85" s="7">
        <v>449219</v>
      </c>
      <c r="AG85" s="7">
        <v>0</v>
      </c>
      <c r="AI85" s="12" t="s">
        <v>677</v>
      </c>
      <c r="AJ85" s="12"/>
      <c r="AK85" s="12" t="s">
        <v>45</v>
      </c>
      <c r="AL85" s="12"/>
      <c r="AM85" s="7">
        <v>627551</v>
      </c>
      <c r="AO85" s="7">
        <v>82160</v>
      </c>
      <c r="AQ85" s="7">
        <v>641326</v>
      </c>
      <c r="AS85" s="7">
        <v>218068</v>
      </c>
      <c r="AW85" s="7">
        <v>0</v>
      </c>
      <c r="AY85" s="7">
        <f t="shared" si="10"/>
        <v>17165238</v>
      </c>
      <c r="BA85" s="7">
        <f>+'St of Activites - GA Rev'!AI85-'St of Activities - GA Exp'!AY85</f>
        <v>-854973</v>
      </c>
      <c r="BC85" s="7">
        <v>30899544</v>
      </c>
      <c r="BE85" s="7">
        <f t="shared" si="11"/>
        <v>30044571</v>
      </c>
      <c r="BG85" s="7">
        <f>+'St of Net Assets - GA'!AA85-'St of Activities - GA Exp'!BE85</f>
        <v>0</v>
      </c>
      <c r="BL85" s="7" t="str">
        <f t="shared" si="6"/>
        <v xml:space="preserve">Campbell City SD </v>
      </c>
      <c r="BM85" s="7" t="b">
        <f t="shared" si="7"/>
        <v>1</v>
      </c>
      <c r="BO85" s="7" t="str">
        <f t="shared" si="8"/>
        <v>Mahoning</v>
      </c>
      <c r="BP85" s="7" t="b">
        <f t="shared" si="9"/>
        <v>1</v>
      </c>
    </row>
    <row r="86" spans="1:68">
      <c r="A86" s="12" t="s">
        <v>306</v>
      </c>
      <c r="B86" s="12"/>
      <c r="C86" s="12" t="s">
        <v>27</v>
      </c>
      <c r="D86" s="12"/>
      <c r="E86" s="12">
        <v>46946</v>
      </c>
      <c r="G86" s="7">
        <v>16452249</v>
      </c>
      <c r="I86" s="7">
        <v>4023824</v>
      </c>
      <c r="K86" s="7">
        <v>475595</v>
      </c>
      <c r="M86" s="7">
        <v>0</v>
      </c>
      <c r="O86" s="7">
        <v>410222</v>
      </c>
      <c r="Q86" s="7">
        <v>2156770</v>
      </c>
      <c r="S86" s="7">
        <v>1766319</v>
      </c>
      <c r="U86" s="7">
        <v>170357</v>
      </c>
      <c r="W86" s="7">
        <v>2902533</v>
      </c>
      <c r="Y86" s="7">
        <v>933943</v>
      </c>
      <c r="AA86" s="7">
        <v>0</v>
      </c>
      <c r="AC86" s="7">
        <v>4439809</v>
      </c>
      <c r="AE86" s="7">
        <v>2643485</v>
      </c>
      <c r="AG86" s="7">
        <v>366207</v>
      </c>
      <c r="AI86" s="12" t="s">
        <v>306</v>
      </c>
      <c r="AJ86" s="12"/>
      <c r="AK86" s="12" t="s">
        <v>27</v>
      </c>
      <c r="AL86" s="12"/>
      <c r="AM86" s="7">
        <v>0</v>
      </c>
      <c r="AO86" s="7">
        <v>18912</v>
      </c>
      <c r="AQ86" s="7">
        <v>1009434</v>
      </c>
      <c r="AS86" s="7">
        <v>3036205</v>
      </c>
      <c r="AW86" s="7">
        <v>0</v>
      </c>
      <c r="AY86" s="7">
        <f t="shared" si="10"/>
        <v>40805864</v>
      </c>
      <c r="BA86" s="7">
        <f>+'St of Activites - GA Rev'!AI86-'St of Activities - GA Exp'!AY86</f>
        <v>2683948</v>
      </c>
      <c r="BC86" s="7">
        <v>16645840</v>
      </c>
      <c r="BE86" s="7">
        <f t="shared" si="11"/>
        <v>19329788</v>
      </c>
      <c r="BG86" s="7">
        <f>+'St of Net Assets - GA'!AA86-'St of Activities - GA Exp'!BE86</f>
        <v>0</v>
      </c>
      <c r="BL86" s="7" t="str">
        <f t="shared" si="6"/>
        <v>Canal Winchester Local SD</v>
      </c>
      <c r="BM86" s="7" t="b">
        <f t="shared" si="7"/>
        <v>1</v>
      </c>
      <c r="BO86" s="7" t="str">
        <f t="shared" si="8"/>
        <v>Franklin</v>
      </c>
      <c r="BP86" s="7" t="b">
        <f t="shared" si="9"/>
        <v>1</v>
      </c>
    </row>
    <row r="87" spans="1:68">
      <c r="A87" s="12" t="s">
        <v>416</v>
      </c>
      <c r="B87" s="12"/>
      <c r="C87" s="12" t="s">
        <v>45</v>
      </c>
      <c r="D87" s="12"/>
      <c r="E87" s="12">
        <v>48314</v>
      </c>
      <c r="G87" s="7">
        <v>14331540</v>
      </c>
      <c r="I87" s="7">
        <v>2131986</v>
      </c>
      <c r="K87" s="7">
        <v>299694</v>
      </c>
      <c r="M87" s="7">
        <v>0</v>
      </c>
      <c r="O87" s="7">
        <v>0</v>
      </c>
      <c r="Q87" s="7">
        <v>1275543</v>
      </c>
      <c r="S87" s="7">
        <v>1470033</v>
      </c>
      <c r="U87" s="7">
        <v>34700</v>
      </c>
      <c r="W87" s="7">
        <v>1735225</v>
      </c>
      <c r="Y87" s="7">
        <v>563932</v>
      </c>
      <c r="AA87" s="7">
        <v>256488</v>
      </c>
      <c r="AC87" s="7">
        <v>2203221</v>
      </c>
      <c r="AE87" s="7">
        <v>1875530</v>
      </c>
      <c r="AG87" s="7">
        <v>146686</v>
      </c>
      <c r="AI87" s="12" t="s">
        <v>416</v>
      </c>
      <c r="AJ87" s="12"/>
      <c r="AK87" s="12" t="s">
        <v>45</v>
      </c>
      <c r="AL87" s="12"/>
      <c r="AM87" s="7">
        <v>949154</v>
      </c>
      <c r="AO87" s="7">
        <v>59234</v>
      </c>
      <c r="AQ87" s="7">
        <v>859281</v>
      </c>
      <c r="AS87" s="7">
        <v>47500</v>
      </c>
      <c r="AW87" s="7">
        <v>0</v>
      </c>
      <c r="AY87" s="7">
        <f t="shared" si="10"/>
        <v>28239747</v>
      </c>
      <c r="BA87" s="7">
        <f>+'St of Activites - GA Rev'!AI87-'St of Activities - GA Exp'!AY87</f>
        <v>338825</v>
      </c>
      <c r="BC87" s="7">
        <v>17455539</v>
      </c>
      <c r="BE87" s="7">
        <f t="shared" si="11"/>
        <v>17794364</v>
      </c>
      <c r="BG87" s="7">
        <f>+'St of Net Assets - GA'!AA87-'St of Activities - GA Exp'!BE87</f>
        <v>0</v>
      </c>
      <c r="BL87" s="7" t="str">
        <f t="shared" si="6"/>
        <v>Canfield Local SD</v>
      </c>
      <c r="BM87" s="7" t="b">
        <f t="shared" si="7"/>
        <v>1</v>
      </c>
      <c r="BO87" s="7" t="str">
        <f t="shared" si="8"/>
        <v>Mahoning</v>
      </c>
      <c r="BP87" s="7" t="b">
        <f t="shared" si="9"/>
        <v>1</v>
      </c>
    </row>
    <row r="88" spans="1:68">
      <c r="A88" s="12" t="s">
        <v>509</v>
      </c>
      <c r="B88" s="12"/>
      <c r="C88" s="12" t="s">
        <v>62</v>
      </c>
      <c r="D88" s="12"/>
      <c r="E88" s="12">
        <v>49833</v>
      </c>
      <c r="G88" s="7">
        <v>9707078</v>
      </c>
      <c r="I88" s="7">
        <v>2738980</v>
      </c>
      <c r="K88" s="7">
        <v>1746805</v>
      </c>
      <c r="M88" s="7">
        <v>1000</v>
      </c>
      <c r="O88" s="7">
        <v>660349</v>
      </c>
      <c r="Q88" s="7">
        <v>1292532</v>
      </c>
      <c r="S88" s="7">
        <v>1002177</v>
      </c>
      <c r="U88" s="7">
        <v>31050</v>
      </c>
      <c r="W88" s="7">
        <v>1851836</v>
      </c>
      <c r="Y88" s="7">
        <v>335955</v>
      </c>
      <c r="AA88" s="7">
        <v>269035</v>
      </c>
      <c r="AC88" s="7">
        <v>2215183</v>
      </c>
      <c r="AE88" s="7">
        <v>1140955</v>
      </c>
      <c r="AG88" s="7">
        <v>383363</v>
      </c>
      <c r="AI88" s="12" t="s">
        <v>509</v>
      </c>
      <c r="AJ88" s="12"/>
      <c r="AK88" s="12" t="s">
        <v>62</v>
      </c>
      <c r="AL88" s="12"/>
      <c r="AM88" s="7">
        <v>1175685</v>
      </c>
      <c r="AO88" s="7">
        <v>52323</v>
      </c>
      <c r="AQ88" s="7">
        <v>688698</v>
      </c>
      <c r="AS88" s="7">
        <v>81743</v>
      </c>
      <c r="AW88" s="7">
        <v>0</v>
      </c>
      <c r="AY88" s="7">
        <f>SUM(G88:AX88)</f>
        <v>25374747</v>
      </c>
      <c r="BA88" s="7">
        <f>+'St of Activites - GA Rev'!AI88-'St of Activities - GA Exp'!AY88</f>
        <v>3457926</v>
      </c>
      <c r="BC88" s="7">
        <v>-641292</v>
      </c>
      <c r="BE88" s="7">
        <f>+BA88+BC88</f>
        <v>2816634</v>
      </c>
      <c r="BG88" s="7">
        <f>+'St of Net Assets - GA'!AA88-'St of Activities - GA Exp'!BE88</f>
        <v>0</v>
      </c>
      <c r="BH88" s="7" t="s">
        <v>782</v>
      </c>
      <c r="BL88" s="7" t="str">
        <f>A88</f>
        <v>Canton City SD</v>
      </c>
      <c r="BM88" s="7" t="b">
        <f>A88=AI88</f>
        <v>1</v>
      </c>
      <c r="BO88" s="7" t="str">
        <f>C88</f>
        <v>Stark</v>
      </c>
      <c r="BP88" s="7" t="b">
        <f>C88=AK88</f>
        <v>1</v>
      </c>
    </row>
    <row r="89" spans="1:68" ht="12" customHeight="1">
      <c r="A89" s="12" t="s">
        <v>510</v>
      </c>
      <c r="B89" s="12"/>
      <c r="C89" s="12" t="s">
        <v>62</v>
      </c>
      <c r="D89" s="12"/>
      <c r="E89" s="12">
        <v>43711</v>
      </c>
      <c r="G89" s="7">
        <v>46483000</v>
      </c>
      <c r="I89" s="7">
        <v>18721000</v>
      </c>
      <c r="K89" s="7">
        <v>2233000</v>
      </c>
      <c r="M89" s="7">
        <v>1704000</v>
      </c>
      <c r="O89" s="7">
        <v>11638000</v>
      </c>
      <c r="Q89" s="7">
        <v>7643000</v>
      </c>
      <c r="S89" s="7">
        <v>7716000</v>
      </c>
      <c r="U89" s="7">
        <v>35000</v>
      </c>
      <c r="W89" s="7">
        <v>8440000</v>
      </c>
      <c r="Y89" s="7">
        <v>1560000</v>
      </c>
      <c r="AA89" s="7">
        <v>550000</v>
      </c>
      <c r="AC89" s="7">
        <v>10876000</v>
      </c>
      <c r="AE89" s="7">
        <v>3360000</v>
      </c>
      <c r="AG89" s="7">
        <v>3009000</v>
      </c>
      <c r="AI89" s="12" t="s">
        <v>510</v>
      </c>
      <c r="AJ89" s="12"/>
      <c r="AK89" s="12" t="s">
        <v>62</v>
      </c>
      <c r="AL89" s="12"/>
      <c r="AM89" s="7">
        <v>4354000</v>
      </c>
      <c r="AO89" s="7">
        <v>1824000</v>
      </c>
      <c r="AQ89" s="7">
        <v>2726000</v>
      </c>
      <c r="AS89" s="7">
        <v>1915000</v>
      </c>
      <c r="AW89" s="7">
        <v>0</v>
      </c>
      <c r="AY89" s="7">
        <f t="shared" ref="AY89:AY149" si="14">SUM(G89:AX89)</f>
        <v>134787000</v>
      </c>
      <c r="BA89" s="7">
        <f>+'St of Activites - GA Rev'!AI89-'St of Activities - GA Exp'!AY89</f>
        <v>3492000</v>
      </c>
      <c r="BC89" s="7">
        <v>165907000</v>
      </c>
      <c r="BE89" s="7">
        <f t="shared" si="11"/>
        <v>169399000</v>
      </c>
      <c r="BG89" s="7">
        <f>+'St of Net Assets - GA'!AA89-'St of Activities - GA Exp'!BE89</f>
        <v>0</v>
      </c>
      <c r="BL89" s="7" t="str">
        <f t="shared" si="6"/>
        <v>Canton Local SD</v>
      </c>
      <c r="BM89" s="7" t="b">
        <f t="shared" si="7"/>
        <v>1</v>
      </c>
      <c r="BO89" s="7" t="str">
        <f t="shared" si="8"/>
        <v>Stark</v>
      </c>
      <c r="BP89" s="7" t="b">
        <f t="shared" si="9"/>
        <v>1</v>
      </c>
    </row>
    <row r="90" spans="1:68" ht="12" customHeight="1">
      <c r="A90" s="12" t="s">
        <v>678</v>
      </c>
      <c r="B90" s="12"/>
      <c r="C90" s="12" t="s">
        <v>30</v>
      </c>
      <c r="D90" s="12"/>
      <c r="E90" s="12">
        <v>47175</v>
      </c>
      <c r="G90" s="7">
        <v>6380880</v>
      </c>
      <c r="I90" s="7">
        <v>2918816</v>
      </c>
      <c r="K90" s="7">
        <v>0</v>
      </c>
      <c r="M90" s="7">
        <v>0</v>
      </c>
      <c r="O90" s="7">
        <v>0</v>
      </c>
      <c r="Q90" s="7">
        <v>516199</v>
      </c>
      <c r="S90" s="7">
        <v>678060</v>
      </c>
      <c r="U90" s="7">
        <v>33590</v>
      </c>
      <c r="W90" s="7">
        <v>1113651</v>
      </c>
      <c r="Y90" s="7">
        <v>443145</v>
      </c>
      <c r="AA90" s="7">
        <v>69379</v>
      </c>
      <c r="AC90" s="7">
        <v>1515611</v>
      </c>
      <c r="AE90" s="7">
        <v>1434109</v>
      </c>
      <c r="AG90" s="7">
        <v>220101</v>
      </c>
      <c r="AI90" s="12" t="s">
        <v>678</v>
      </c>
      <c r="AJ90" s="12"/>
      <c r="AK90" s="12" t="s">
        <v>30</v>
      </c>
      <c r="AL90" s="12"/>
      <c r="AM90" s="7">
        <v>552636</v>
      </c>
      <c r="AO90" s="7">
        <v>41486</v>
      </c>
      <c r="AQ90" s="7">
        <v>322650</v>
      </c>
      <c r="AS90" s="7">
        <v>522752</v>
      </c>
      <c r="AW90" s="7">
        <v>0</v>
      </c>
      <c r="AY90" s="7">
        <f t="shared" si="14"/>
        <v>16763065</v>
      </c>
      <c r="BA90" s="7">
        <f>+'St of Activites - GA Rev'!AI90-'St of Activities - GA Exp'!AY90</f>
        <v>346526</v>
      </c>
      <c r="BC90" s="7">
        <v>1532671</v>
      </c>
      <c r="BE90" s="7">
        <f t="shared" ref="BE90:BE145" si="15">+BA90+BC90</f>
        <v>1879197</v>
      </c>
      <c r="BG90" s="7">
        <f>+'St of Net Assets - GA'!AA90-'St of Activities - GA Exp'!BE90</f>
        <v>0</v>
      </c>
      <c r="BL90" s="7" t="str">
        <f t="shared" si="6"/>
        <v xml:space="preserve">Cardinal Local SD </v>
      </c>
      <c r="BM90" s="7" t="b">
        <f t="shared" si="7"/>
        <v>1</v>
      </c>
      <c r="BO90" s="7" t="str">
        <f t="shared" si="8"/>
        <v>Geauga</v>
      </c>
      <c r="BP90" s="7" t="b">
        <f t="shared" si="9"/>
        <v>1</v>
      </c>
    </row>
    <row r="91" spans="1:68" hidden="1">
      <c r="A91" s="12" t="s">
        <v>454</v>
      </c>
      <c r="B91" s="12"/>
      <c r="C91" s="12" t="s">
        <v>78</v>
      </c>
      <c r="D91" s="12"/>
      <c r="E91" s="12">
        <v>48793</v>
      </c>
      <c r="AI91" s="12" t="s">
        <v>454</v>
      </c>
      <c r="AJ91" s="12"/>
      <c r="AK91" s="12" t="s">
        <v>78</v>
      </c>
      <c r="AL91" s="12"/>
      <c r="AY91" s="7">
        <f t="shared" si="14"/>
        <v>0</v>
      </c>
      <c r="BA91" s="7">
        <f>+'St of Activites - GA Rev'!AI91-'St of Activities - GA Exp'!AY91</f>
        <v>0</v>
      </c>
      <c r="BE91" s="7">
        <f t="shared" si="15"/>
        <v>0</v>
      </c>
      <c r="BG91" s="7">
        <f>+'St of Net Assets - GA'!AA91-'St of Activities - GA Exp'!BE91</f>
        <v>0</v>
      </c>
      <c r="BH91" s="7" t="s">
        <v>981</v>
      </c>
      <c r="BL91" s="7" t="str">
        <f t="shared" si="6"/>
        <v>Cardington-Lincoln Local SD</v>
      </c>
      <c r="BM91" s="7" t="b">
        <f t="shared" si="7"/>
        <v>1</v>
      </c>
      <c r="BO91" s="7" t="str">
        <f t="shared" si="8"/>
        <v>Morrow</v>
      </c>
      <c r="BP91" s="7" t="b">
        <f t="shared" si="9"/>
        <v>1</v>
      </c>
    </row>
    <row r="92" spans="1:68" ht="12" hidden="1" customHeight="1">
      <c r="A92" s="12" t="s">
        <v>644</v>
      </c>
      <c r="B92" s="12"/>
      <c r="C92" s="12" t="s">
        <v>577</v>
      </c>
      <c r="D92" s="12"/>
      <c r="E92" s="12">
        <v>45260</v>
      </c>
      <c r="AI92" s="12" t="s">
        <v>644</v>
      </c>
      <c r="AJ92" s="12"/>
      <c r="AK92" s="12" t="s">
        <v>577</v>
      </c>
      <c r="AL92" s="12"/>
      <c r="AY92" s="7">
        <f t="shared" si="14"/>
        <v>0</v>
      </c>
      <c r="BA92" s="7">
        <f>+'St of Activites - GA Rev'!AI92-'St of Activities - GA Exp'!AY92</f>
        <v>0</v>
      </c>
      <c r="BE92" s="7">
        <f t="shared" si="15"/>
        <v>0</v>
      </c>
      <c r="BG92" s="7">
        <f>+'St of Net Assets - GA'!AA92-'St of Activities - GA Exp'!BE92</f>
        <v>0</v>
      </c>
      <c r="BH92" s="7" t="s">
        <v>778</v>
      </c>
      <c r="BL92" s="7" t="str">
        <f t="shared" si="6"/>
        <v>Carey Ex Vill SD (CASH)</v>
      </c>
      <c r="BM92" s="7" t="b">
        <f t="shared" si="7"/>
        <v>1</v>
      </c>
      <c r="BO92" s="7" t="str">
        <f t="shared" si="8"/>
        <v>Wyandot</v>
      </c>
      <c r="BP92" s="7" t="b">
        <f t="shared" si="9"/>
        <v>1</v>
      </c>
    </row>
    <row r="93" spans="1:68" s="32" customFormat="1" ht="12" customHeight="1">
      <c r="A93" s="31" t="s">
        <v>560</v>
      </c>
      <c r="B93" s="31"/>
      <c r="C93" s="31" t="s">
        <v>69</v>
      </c>
      <c r="D93" s="31"/>
      <c r="E93" s="31">
        <v>50419</v>
      </c>
      <c r="G93" s="32">
        <v>8276083</v>
      </c>
      <c r="I93" s="32">
        <v>2137724</v>
      </c>
      <c r="K93" s="32">
        <v>208252</v>
      </c>
      <c r="M93" s="32">
        <v>0</v>
      </c>
      <c r="O93" s="32">
        <v>67312</v>
      </c>
      <c r="Q93" s="32">
        <v>731875</v>
      </c>
      <c r="S93" s="32">
        <v>1057398</v>
      </c>
      <c r="U93" s="32">
        <v>38895</v>
      </c>
      <c r="W93" s="32">
        <v>1039159</v>
      </c>
      <c r="Y93" s="32">
        <v>504178</v>
      </c>
      <c r="AA93" s="32">
        <v>12389</v>
      </c>
      <c r="AC93" s="32">
        <v>1542992</v>
      </c>
      <c r="AE93" s="32">
        <v>904262</v>
      </c>
      <c r="AG93" s="32">
        <v>48403</v>
      </c>
      <c r="AI93" s="31" t="s">
        <v>560</v>
      </c>
      <c r="AJ93" s="31"/>
      <c r="AK93" s="31" t="s">
        <v>69</v>
      </c>
      <c r="AL93" s="31"/>
      <c r="AM93" s="32">
        <v>629682</v>
      </c>
      <c r="AO93" s="32">
        <v>0</v>
      </c>
      <c r="AQ93" s="32">
        <v>591898</v>
      </c>
      <c r="AS93" s="32">
        <v>24727</v>
      </c>
      <c r="AW93" s="32">
        <v>0</v>
      </c>
      <c r="AY93" s="32">
        <f t="shared" si="14"/>
        <v>17815229</v>
      </c>
      <c r="BA93" s="32">
        <f>+'St of Activites - GA Rev'!AI93-'St of Activities - GA Exp'!AY93</f>
        <v>-517214</v>
      </c>
      <c r="BC93" s="32">
        <v>2366254</v>
      </c>
      <c r="BE93" s="32">
        <f t="shared" si="15"/>
        <v>1849040</v>
      </c>
      <c r="BG93" s="32">
        <f>+'St of Net Assets - GA'!AA93-'St of Activities - GA Exp'!BE93</f>
        <v>0</v>
      </c>
      <c r="BL93" s="32" t="str">
        <f t="shared" si="6"/>
        <v>Carlisle Local SD</v>
      </c>
      <c r="BM93" s="32" t="b">
        <f t="shared" si="7"/>
        <v>1</v>
      </c>
      <c r="BO93" s="32" t="str">
        <f t="shared" si="8"/>
        <v>Warren</v>
      </c>
      <c r="BP93" s="32" t="b">
        <f t="shared" si="9"/>
        <v>1</v>
      </c>
    </row>
    <row r="94" spans="1:68" ht="11.25" customHeight="1">
      <c r="A94" s="12" t="s">
        <v>862</v>
      </c>
      <c r="B94" s="12"/>
      <c r="C94" s="12" t="s">
        <v>16</v>
      </c>
      <c r="D94" s="12"/>
      <c r="E94" s="12">
        <v>45278</v>
      </c>
      <c r="G94" s="7">
        <v>9454427</v>
      </c>
      <c r="I94" s="7">
        <v>2518567</v>
      </c>
      <c r="K94" s="7">
        <v>232349</v>
      </c>
      <c r="M94" s="7">
        <v>0</v>
      </c>
      <c r="O94" s="7">
        <f>21148+340623</f>
        <v>361771</v>
      </c>
      <c r="Q94" s="7">
        <v>1452352</v>
      </c>
      <c r="S94" s="7">
        <v>975022</v>
      </c>
      <c r="U94" s="7">
        <v>13436</v>
      </c>
      <c r="W94" s="7">
        <v>1498751</v>
      </c>
      <c r="Y94" s="7">
        <v>638880</v>
      </c>
      <c r="AA94" s="7">
        <v>122223</v>
      </c>
      <c r="AC94" s="7">
        <v>1773043</v>
      </c>
      <c r="AE94" s="7">
        <v>1639686</v>
      </c>
      <c r="AG94" s="7">
        <v>46807</v>
      </c>
      <c r="AI94" s="12" t="s">
        <v>862</v>
      </c>
      <c r="AJ94" s="12"/>
      <c r="AK94" s="12" t="s">
        <v>16</v>
      </c>
      <c r="AL94" s="12"/>
      <c r="AM94" s="7">
        <v>713748</v>
      </c>
      <c r="AO94" s="7">
        <v>49588</v>
      </c>
      <c r="AQ94" s="7">
        <v>570434</v>
      </c>
      <c r="AS94" s="7">
        <v>212</v>
      </c>
      <c r="AW94" s="7">
        <v>0</v>
      </c>
      <c r="AY94" s="7">
        <f t="shared" si="14"/>
        <v>22061296</v>
      </c>
      <c r="BA94" s="7">
        <f>+'St of Activites - GA Rev'!AI94-'St of Activities - GA Exp'!AY94</f>
        <v>2538133</v>
      </c>
      <c r="BC94" s="7">
        <v>10115625</v>
      </c>
      <c r="BE94" s="7">
        <f t="shared" si="15"/>
        <v>12653758</v>
      </c>
      <c r="BG94" s="7">
        <f>+'St of Net Assets - GA'!AA94-'St of Activities - GA Exp'!BE94</f>
        <v>0</v>
      </c>
      <c r="BL94" s="7" t="str">
        <f t="shared" si="6"/>
        <v>Carrollton Exempted Village SD</v>
      </c>
      <c r="BM94" s="7" t="b">
        <f t="shared" si="7"/>
        <v>1</v>
      </c>
      <c r="BO94" s="7" t="str">
        <f t="shared" si="8"/>
        <v>Carroll</v>
      </c>
      <c r="BP94" s="7" t="b">
        <f t="shared" si="9"/>
        <v>1</v>
      </c>
    </row>
    <row r="95" spans="1:68">
      <c r="A95" s="12" t="s">
        <v>679</v>
      </c>
      <c r="B95" s="12"/>
      <c r="C95" s="12" t="s">
        <v>114</v>
      </c>
      <c r="D95" s="12"/>
      <c r="E95" s="12">
        <v>47258</v>
      </c>
      <c r="G95" s="7">
        <v>2596215</v>
      </c>
      <c r="I95" s="7">
        <v>579053</v>
      </c>
      <c r="K95" s="7">
        <v>3230</v>
      </c>
      <c r="M95" s="7">
        <v>0</v>
      </c>
      <c r="O95" s="7">
        <f>18063+368351</f>
        <v>386414</v>
      </c>
      <c r="Q95" s="7">
        <v>447182</v>
      </c>
      <c r="S95" s="7">
        <v>354242</v>
      </c>
      <c r="U95" s="7">
        <v>30704</v>
      </c>
      <c r="W95" s="7">
        <v>748904</v>
      </c>
      <c r="Y95" s="7">
        <v>329743</v>
      </c>
      <c r="AA95" s="7">
        <v>3131</v>
      </c>
      <c r="AC95" s="7">
        <v>447642</v>
      </c>
      <c r="AE95" s="7">
        <v>264530</v>
      </c>
      <c r="AG95" s="7">
        <v>99776</v>
      </c>
      <c r="AI95" s="12" t="s">
        <v>679</v>
      </c>
      <c r="AJ95" s="12"/>
      <c r="AK95" s="12" t="s">
        <v>114</v>
      </c>
      <c r="AL95" s="12"/>
      <c r="AM95" s="7">
        <v>0</v>
      </c>
      <c r="AO95" s="7">
        <v>153812</v>
      </c>
      <c r="AQ95" s="7">
        <v>260362</v>
      </c>
      <c r="AS95" s="7">
        <f>103718+743292</f>
        <v>847010</v>
      </c>
      <c r="AW95" s="7">
        <v>7319</v>
      </c>
      <c r="AY95" s="7">
        <f t="shared" si="14"/>
        <v>7559269</v>
      </c>
      <c r="BA95" s="7">
        <f>+'St of Activites - GA Rev'!AI95-'St of Activities - GA Exp'!AY95</f>
        <v>944465</v>
      </c>
      <c r="BC95" s="7">
        <v>14522993</v>
      </c>
      <c r="BE95" s="7">
        <f t="shared" si="15"/>
        <v>15467458</v>
      </c>
      <c r="BG95" s="7">
        <f>+'St of Net Assets - GA'!AA95-'St of Activities - GA Exp'!BE95</f>
        <v>0</v>
      </c>
      <c r="BH95" s="7" t="s">
        <v>783</v>
      </c>
      <c r="BL95" s="7" t="str">
        <f t="shared" si="6"/>
        <v xml:space="preserve">Cedar Cliff Local SD </v>
      </c>
      <c r="BM95" s="7" t="b">
        <f t="shared" si="7"/>
        <v>1</v>
      </c>
      <c r="BO95" s="7" t="str">
        <f t="shared" si="8"/>
        <v>Greene</v>
      </c>
      <c r="BP95" s="7" t="b">
        <f t="shared" si="9"/>
        <v>1</v>
      </c>
    </row>
    <row r="96" spans="1:68" ht="12" hidden="1" customHeight="1">
      <c r="A96" s="12" t="s">
        <v>645</v>
      </c>
      <c r="B96" s="12"/>
      <c r="C96" s="12" t="s">
        <v>435</v>
      </c>
      <c r="D96" s="12"/>
      <c r="E96" s="12">
        <v>43729</v>
      </c>
      <c r="AI96" s="12" t="s">
        <v>645</v>
      </c>
      <c r="AJ96" s="12"/>
      <c r="AK96" s="12" t="s">
        <v>435</v>
      </c>
      <c r="AL96" s="12"/>
      <c r="AY96" s="7">
        <f t="shared" si="14"/>
        <v>0</v>
      </c>
      <c r="BA96" s="7">
        <f>+'St of Activites - GA Rev'!AI96-'St of Activities - GA Exp'!AY96</f>
        <v>0</v>
      </c>
      <c r="BE96" s="7">
        <f t="shared" si="15"/>
        <v>0</v>
      </c>
      <c r="BG96" s="7">
        <f>+'St of Net Assets - GA'!AA96-'St of Activities - GA Exp'!BE96</f>
        <v>0</v>
      </c>
      <c r="BH96" s="7" t="s">
        <v>778</v>
      </c>
      <c r="BL96" s="7" t="str">
        <f t="shared" si="6"/>
        <v>Celina City SD (CASH)</v>
      </c>
      <c r="BM96" s="7" t="b">
        <f t="shared" si="7"/>
        <v>1</v>
      </c>
      <c r="BO96" s="7" t="str">
        <f t="shared" si="8"/>
        <v>Mercer</v>
      </c>
      <c r="BP96" s="7" t="b">
        <f t="shared" si="9"/>
        <v>1</v>
      </c>
    </row>
    <row r="97" spans="1:68">
      <c r="A97" s="12" t="s">
        <v>680</v>
      </c>
      <c r="B97" s="12"/>
      <c r="C97" s="12" t="s">
        <v>40</v>
      </c>
      <c r="D97" s="12"/>
      <c r="E97" s="12">
        <v>47829</v>
      </c>
      <c r="G97" s="7">
        <v>5410309</v>
      </c>
      <c r="I97" s="7">
        <v>1350028</v>
      </c>
      <c r="K97" s="7">
        <v>194184</v>
      </c>
      <c r="M97" s="7">
        <v>0</v>
      </c>
      <c r="O97" s="7">
        <v>127053</v>
      </c>
      <c r="Q97" s="7">
        <v>356177</v>
      </c>
      <c r="S97" s="7">
        <v>299776</v>
      </c>
      <c r="U97" s="7">
        <v>9266</v>
      </c>
      <c r="W97" s="7">
        <v>1052621</v>
      </c>
      <c r="Y97" s="7">
        <v>314784</v>
      </c>
      <c r="AA97" s="7">
        <v>0</v>
      </c>
      <c r="AC97" s="7">
        <v>947755</v>
      </c>
      <c r="AE97" s="7">
        <v>764821</v>
      </c>
      <c r="AG97" s="7">
        <v>6000</v>
      </c>
      <c r="AI97" s="12" t="s">
        <v>680</v>
      </c>
      <c r="AJ97" s="12"/>
      <c r="AK97" s="12" t="s">
        <v>40</v>
      </c>
      <c r="AL97" s="12"/>
      <c r="AM97" s="7">
        <v>0</v>
      </c>
      <c r="AO97" s="7">
        <v>243007</v>
      </c>
      <c r="AQ97" s="7">
        <v>343791</v>
      </c>
      <c r="AS97" s="7">
        <v>135669</v>
      </c>
      <c r="AW97" s="7">
        <v>0</v>
      </c>
      <c r="AY97" s="7">
        <f t="shared" si="14"/>
        <v>11555241</v>
      </c>
      <c r="BA97" s="7">
        <f>+'St of Activites - GA Rev'!AI97-'St of Activities - GA Exp'!AY97</f>
        <v>-318032</v>
      </c>
      <c r="BC97" s="7">
        <v>19739924</v>
      </c>
      <c r="BE97" s="7">
        <f t="shared" si="15"/>
        <v>19421892</v>
      </c>
      <c r="BG97" s="7">
        <f>+'St of Net Assets - GA'!AA97-'St of Activities - GA Exp'!BE97</f>
        <v>0</v>
      </c>
      <c r="BL97" s="7" t="str">
        <f t="shared" si="6"/>
        <v xml:space="preserve">Centerburg Local SD </v>
      </c>
      <c r="BM97" s="7" t="b">
        <f t="shared" si="7"/>
        <v>1</v>
      </c>
      <c r="BO97" s="7" t="str">
        <f t="shared" si="8"/>
        <v>Knox</v>
      </c>
      <c r="BP97" s="7" t="b">
        <f t="shared" si="9"/>
        <v>1</v>
      </c>
    </row>
    <row r="98" spans="1:68">
      <c r="A98" s="12" t="s">
        <v>681</v>
      </c>
      <c r="B98" s="12"/>
      <c r="C98" s="12" t="s">
        <v>50</v>
      </c>
      <c r="D98" s="12"/>
      <c r="E98" s="12">
        <v>43737</v>
      </c>
      <c r="G98" s="7">
        <v>40061495</v>
      </c>
      <c r="I98" s="7">
        <v>10136002</v>
      </c>
      <c r="K98" s="7">
        <v>2638353</v>
      </c>
      <c r="M98" s="7">
        <v>0</v>
      </c>
      <c r="O98" s="7">
        <v>984476</v>
      </c>
      <c r="Q98" s="7">
        <v>4736966</v>
      </c>
      <c r="S98" s="7">
        <v>7495036</v>
      </c>
      <c r="U98" s="7">
        <v>18192</v>
      </c>
      <c r="W98" s="7">
        <v>4699993</v>
      </c>
      <c r="Y98" s="7">
        <v>1617902</v>
      </c>
      <c r="AA98" s="7">
        <v>520931</v>
      </c>
      <c r="AC98" s="7">
        <v>6070571</v>
      </c>
      <c r="AE98" s="7">
        <v>7647060</v>
      </c>
      <c r="AG98" s="7">
        <v>66148</v>
      </c>
      <c r="AI98" s="12" t="s">
        <v>681</v>
      </c>
      <c r="AJ98" s="12"/>
      <c r="AK98" s="12" t="s">
        <v>50</v>
      </c>
      <c r="AL98" s="12"/>
      <c r="AM98" s="7">
        <v>0</v>
      </c>
      <c r="AO98" s="7">
        <v>4652500</v>
      </c>
      <c r="AQ98" s="7">
        <v>795539</v>
      </c>
      <c r="AS98" s="7">
        <v>3098943</v>
      </c>
      <c r="AW98" s="7">
        <v>2149162</v>
      </c>
      <c r="AY98" s="7">
        <f t="shared" si="14"/>
        <v>97389269</v>
      </c>
      <c r="BA98" s="7">
        <f>+'St of Activites - GA Rev'!AI98-'St of Activities - GA Exp'!AY98</f>
        <v>3750256</v>
      </c>
      <c r="BC98" s="7">
        <v>45736758</v>
      </c>
      <c r="BE98" s="7">
        <f t="shared" si="15"/>
        <v>49487014</v>
      </c>
      <c r="BG98" s="7">
        <f>+'St of Net Assets - GA'!AA98-'St of Activities - GA Exp'!BE98</f>
        <v>0</v>
      </c>
      <c r="BL98" s="7" t="str">
        <f t="shared" si="6"/>
        <v xml:space="preserve">Centerville City SD </v>
      </c>
      <c r="BM98" s="7" t="b">
        <f t="shared" si="7"/>
        <v>1</v>
      </c>
      <c r="BO98" s="7" t="str">
        <f t="shared" si="8"/>
        <v>Montgomery</v>
      </c>
      <c r="BP98" s="7" t="b">
        <f t="shared" si="9"/>
        <v>1</v>
      </c>
    </row>
    <row r="99" spans="1:68" hidden="1">
      <c r="A99" s="12" t="s">
        <v>797</v>
      </c>
      <c r="B99" s="12"/>
      <c r="C99" s="12" t="s">
        <v>22</v>
      </c>
      <c r="D99" s="12"/>
      <c r="E99" s="12">
        <v>46714</v>
      </c>
      <c r="AI99" s="12" t="s">
        <v>797</v>
      </c>
      <c r="AJ99" s="12"/>
      <c r="AK99" s="12" t="s">
        <v>22</v>
      </c>
      <c r="AL99" s="12"/>
      <c r="AY99" s="7">
        <f t="shared" si="14"/>
        <v>0</v>
      </c>
      <c r="BA99" s="7">
        <f>+'St of Activites - GA Rev'!AI99-'St of Activities - GA Exp'!AY99</f>
        <v>0</v>
      </c>
      <c r="BE99" s="7">
        <f>+BA99+BC99</f>
        <v>0</v>
      </c>
      <c r="BG99" s="7">
        <f>+'St of Net Assets - GA'!AA99-'St of Activities - GA Exp'!BE99</f>
        <v>0</v>
      </c>
      <c r="BH99" s="7" t="s">
        <v>786</v>
      </c>
      <c r="BL99" s="7" t="str">
        <f t="shared" si="6"/>
        <v>Central Local SD (CASH)</v>
      </c>
      <c r="BM99" s="7" t="b">
        <f t="shared" si="7"/>
        <v>1</v>
      </c>
      <c r="BO99" s="7" t="str">
        <f t="shared" si="8"/>
        <v>Defiance</v>
      </c>
      <c r="BP99" s="7" t="b">
        <f t="shared" si="9"/>
        <v>1</v>
      </c>
    </row>
    <row r="100" spans="1:68">
      <c r="A100" s="12" t="s">
        <v>863</v>
      </c>
      <c r="B100" s="12"/>
      <c r="C100" s="12" t="s">
        <v>20</v>
      </c>
      <c r="D100" s="12"/>
      <c r="E100" s="12">
        <v>45286</v>
      </c>
      <c r="G100" s="7">
        <v>12757788</v>
      </c>
      <c r="I100" s="7">
        <v>2248567</v>
      </c>
      <c r="K100" s="7">
        <v>519757</v>
      </c>
      <c r="M100" s="7">
        <v>0</v>
      </c>
      <c r="O100" s="7">
        <v>20409</v>
      </c>
      <c r="Q100" s="7">
        <v>1104342</v>
      </c>
      <c r="S100" s="7">
        <v>1627692</v>
      </c>
      <c r="U100" s="7">
        <v>65485</v>
      </c>
      <c r="W100" s="7">
        <v>2226136</v>
      </c>
      <c r="Y100" s="7">
        <v>911785</v>
      </c>
      <c r="AA100" s="7">
        <v>400</v>
      </c>
      <c r="AC100" s="7">
        <v>2626552</v>
      </c>
      <c r="AE100" s="7">
        <v>1357761</v>
      </c>
      <c r="AG100" s="7">
        <v>18801</v>
      </c>
      <c r="AI100" s="12" t="s">
        <v>863</v>
      </c>
      <c r="AJ100" s="12"/>
      <c r="AK100" s="12" t="s">
        <v>20</v>
      </c>
      <c r="AL100" s="12"/>
      <c r="AM100" s="7">
        <v>0</v>
      </c>
      <c r="AO100" s="7">
        <v>198606</v>
      </c>
      <c r="AQ100" s="7">
        <v>945683</v>
      </c>
      <c r="AS100" s="7">
        <v>1369563</v>
      </c>
      <c r="AW100" s="7">
        <v>0</v>
      </c>
      <c r="AY100" s="7">
        <f t="shared" si="14"/>
        <v>27999327</v>
      </c>
      <c r="BA100" s="7">
        <f>+'St of Activites - GA Rev'!AI100-'St of Activities - GA Exp'!AY100</f>
        <v>1263578</v>
      </c>
      <c r="BC100" s="7">
        <v>11289859</v>
      </c>
      <c r="BE100" s="7">
        <f t="shared" si="15"/>
        <v>12553437</v>
      </c>
      <c r="BG100" s="7">
        <f>+'St of Net Assets - GA'!AA100-'St of Activities - GA Exp'!BE100</f>
        <v>0</v>
      </c>
      <c r="BL100" s="7" t="str">
        <f t="shared" si="6"/>
        <v>Chagrin Falls Exempted Village SD</v>
      </c>
      <c r="BM100" s="7" t="b">
        <f t="shared" si="7"/>
        <v>1</v>
      </c>
      <c r="BO100" s="7" t="str">
        <f t="shared" si="8"/>
        <v>Cuyahoga</v>
      </c>
      <c r="BP100" s="7" t="b">
        <f t="shared" si="9"/>
        <v>1</v>
      </c>
    </row>
    <row r="101" spans="1:68">
      <c r="A101" s="12" t="s">
        <v>536</v>
      </c>
      <c r="B101" s="12"/>
      <c r="C101" s="12" t="s">
        <v>64</v>
      </c>
      <c r="D101" s="12"/>
      <c r="E101" s="12">
        <v>50138</v>
      </c>
      <c r="G101" s="7">
        <v>6479985</v>
      </c>
      <c r="I101" s="7">
        <v>1690800</v>
      </c>
      <c r="K101" s="7">
        <v>185070</v>
      </c>
      <c r="M101" s="7">
        <v>0</v>
      </c>
      <c r="O101" s="7">
        <v>458738</v>
      </c>
      <c r="Q101" s="7">
        <v>616565</v>
      </c>
      <c r="S101" s="7">
        <v>363695</v>
      </c>
      <c r="U101" s="7">
        <v>36754</v>
      </c>
      <c r="W101" s="7">
        <v>1719919</v>
      </c>
      <c r="Y101" s="7">
        <v>376048</v>
      </c>
      <c r="AA101" s="7">
        <v>0</v>
      </c>
      <c r="AC101" s="7">
        <v>1553603</v>
      </c>
      <c r="AE101" s="7">
        <v>837838</v>
      </c>
      <c r="AG101" s="7">
        <v>11159</v>
      </c>
      <c r="AI101" s="12" t="s">
        <v>536</v>
      </c>
      <c r="AJ101" s="12"/>
      <c r="AK101" s="12" t="s">
        <v>64</v>
      </c>
      <c r="AL101" s="12"/>
      <c r="AM101" s="7">
        <v>457196</v>
      </c>
      <c r="AO101" s="7">
        <v>13637</v>
      </c>
      <c r="AQ101" s="7">
        <v>523908</v>
      </c>
      <c r="AS101" s="7">
        <v>105468</v>
      </c>
      <c r="AW101" s="7">
        <v>0</v>
      </c>
      <c r="AY101" s="7">
        <f t="shared" si="14"/>
        <v>15430383</v>
      </c>
      <c r="BA101" s="7">
        <f>+'St of Activites - GA Rev'!AI101-'St of Activities - GA Exp'!AY101</f>
        <v>-96281</v>
      </c>
      <c r="BC101" s="7">
        <v>325099</v>
      </c>
      <c r="BE101" s="7">
        <f t="shared" si="15"/>
        <v>228818</v>
      </c>
      <c r="BG101" s="7">
        <f>+'St of Net Assets - GA'!AA101-'St of Activities - GA Exp'!BE101</f>
        <v>0</v>
      </c>
      <c r="BL101" s="7" t="str">
        <f t="shared" si="6"/>
        <v>Champion Local SD</v>
      </c>
      <c r="BM101" s="7" t="b">
        <f t="shared" si="7"/>
        <v>1</v>
      </c>
      <c r="BO101" s="7" t="str">
        <f t="shared" si="8"/>
        <v>Trumbull</v>
      </c>
      <c r="BP101" s="7" t="b">
        <f t="shared" si="9"/>
        <v>1</v>
      </c>
    </row>
    <row r="102" spans="1:68" hidden="1">
      <c r="A102" s="12" t="s">
        <v>798</v>
      </c>
      <c r="B102" s="12"/>
      <c r="C102" s="12" t="s">
        <v>30</v>
      </c>
      <c r="D102" s="12"/>
      <c r="E102" s="12">
        <v>47183</v>
      </c>
      <c r="AI102" s="12" t="s">
        <v>798</v>
      </c>
      <c r="AJ102" s="12"/>
      <c r="AK102" s="12" t="s">
        <v>30</v>
      </c>
      <c r="AL102" s="12"/>
      <c r="AY102" s="7">
        <f t="shared" si="14"/>
        <v>0</v>
      </c>
      <c r="BA102" s="7">
        <f>+'St of Activites - GA Rev'!AI102-'St of Activities - GA Exp'!AY102</f>
        <v>0</v>
      </c>
      <c r="BE102" s="7">
        <f t="shared" si="15"/>
        <v>0</v>
      </c>
      <c r="BG102" s="7">
        <f>+'St of Net Assets - GA'!AA102-'St of Activities - GA Exp'!BE102</f>
        <v>0</v>
      </c>
      <c r="BH102" s="7" t="s">
        <v>786</v>
      </c>
      <c r="BL102" s="7" t="str">
        <f t="shared" si="6"/>
        <v>Chardon Local SD (CASH)</v>
      </c>
      <c r="BM102" s="7" t="b">
        <f t="shared" si="7"/>
        <v>1</v>
      </c>
      <c r="BO102" s="7" t="str">
        <f t="shared" si="8"/>
        <v>Geauga</v>
      </c>
      <c r="BP102" s="7" t="b">
        <f t="shared" si="9"/>
        <v>1</v>
      </c>
    </row>
    <row r="103" spans="1:68">
      <c r="A103" s="12" t="s">
        <v>864</v>
      </c>
      <c r="B103" s="12"/>
      <c r="C103" s="12" t="s">
        <v>377</v>
      </c>
      <c r="D103" s="12"/>
      <c r="E103" s="12">
        <v>45294</v>
      </c>
      <c r="G103" s="7">
        <v>7887500</v>
      </c>
      <c r="I103" s="7">
        <v>1504734</v>
      </c>
      <c r="K103" s="7">
        <v>0</v>
      </c>
      <c r="M103" s="7">
        <v>0</v>
      </c>
      <c r="O103" s="7">
        <v>158501</v>
      </c>
      <c r="Q103" s="7">
        <v>475738</v>
      </c>
      <c r="S103" s="7">
        <v>947397</v>
      </c>
      <c r="U103" s="7">
        <v>122968</v>
      </c>
      <c r="W103" s="7">
        <v>1235845</v>
      </c>
      <c r="Y103" s="7">
        <v>319176</v>
      </c>
      <c r="AA103" s="7">
        <v>0</v>
      </c>
      <c r="AC103" s="7">
        <v>1091158</v>
      </c>
      <c r="AE103" s="7">
        <v>854948</v>
      </c>
      <c r="AG103" s="7">
        <v>139204</v>
      </c>
      <c r="AI103" s="12" t="s">
        <v>864</v>
      </c>
      <c r="AJ103" s="12"/>
      <c r="AK103" s="12" t="s">
        <v>377</v>
      </c>
      <c r="AL103" s="12"/>
      <c r="AM103" s="7">
        <v>0</v>
      </c>
      <c r="AO103" s="7">
        <v>500043</v>
      </c>
      <c r="AQ103" s="7">
        <v>353772</v>
      </c>
      <c r="AS103" s="7">
        <v>75839</v>
      </c>
      <c r="AW103" s="7">
        <v>0</v>
      </c>
      <c r="AY103" s="7">
        <f t="shared" si="14"/>
        <v>15666823</v>
      </c>
      <c r="BA103" s="7">
        <f>+'St of Activites - GA Rev'!AI103-'St of Activities - GA Exp'!AY103</f>
        <v>-1577587</v>
      </c>
      <c r="BC103" s="7">
        <v>20653369</v>
      </c>
      <c r="BE103" s="7">
        <f t="shared" si="15"/>
        <v>19075782</v>
      </c>
      <c r="BG103" s="7">
        <f>+'St of Net Assets - GA'!AA103-'St of Activities - GA Exp'!BE103</f>
        <v>0</v>
      </c>
      <c r="BL103" s="7" t="str">
        <f t="shared" si="6"/>
        <v>Chesapeake Union Exempted Village SD</v>
      </c>
      <c r="BM103" s="7" t="b">
        <f t="shared" si="7"/>
        <v>1</v>
      </c>
      <c r="BO103" s="7" t="str">
        <f t="shared" si="8"/>
        <v>Lawrence</v>
      </c>
      <c r="BP103" s="7" t="b">
        <f t="shared" si="9"/>
        <v>1</v>
      </c>
    </row>
    <row r="104" spans="1:68">
      <c r="A104" s="12" t="s">
        <v>488</v>
      </c>
      <c r="B104" s="12"/>
      <c r="C104" s="12" t="s">
        <v>58</v>
      </c>
      <c r="D104" s="12"/>
      <c r="E104" s="12">
        <v>43745</v>
      </c>
      <c r="G104" s="7">
        <v>17812357</v>
      </c>
      <c r="I104" s="7">
        <v>3347177</v>
      </c>
      <c r="K104" s="7">
        <v>7226</v>
      </c>
      <c r="M104" s="7">
        <v>0</v>
      </c>
      <c r="O104" s="7">
        <v>474818</v>
      </c>
      <c r="Q104" s="7">
        <v>2062975</v>
      </c>
      <c r="S104" s="7">
        <v>1553883</v>
      </c>
      <c r="U104" s="7">
        <v>60106</v>
      </c>
      <c r="W104" s="7">
        <v>2555177</v>
      </c>
      <c r="Y104" s="7">
        <v>848132</v>
      </c>
      <c r="AA104" s="7">
        <v>99875</v>
      </c>
      <c r="AC104" s="7">
        <v>2565162</v>
      </c>
      <c r="AE104" s="7">
        <v>1021264</v>
      </c>
      <c r="AG104" s="7">
        <v>220892</v>
      </c>
      <c r="AI104" s="12" t="s">
        <v>488</v>
      </c>
      <c r="AJ104" s="12"/>
      <c r="AK104" s="12" t="s">
        <v>58</v>
      </c>
      <c r="AL104" s="12"/>
      <c r="AM104" s="7">
        <v>0</v>
      </c>
      <c r="AO104" s="7">
        <v>1693976</v>
      </c>
      <c r="AQ104" s="7">
        <v>529324</v>
      </c>
      <c r="AS104" s="7">
        <v>1581818</v>
      </c>
      <c r="AW104" s="7">
        <v>0</v>
      </c>
      <c r="AY104" s="7">
        <f t="shared" si="14"/>
        <v>36434162</v>
      </c>
      <c r="BA104" s="7">
        <f>+'St of Activites - GA Rev'!AI104-'St of Activities - GA Exp'!AY104</f>
        <v>-92222</v>
      </c>
      <c r="BC104" s="7">
        <v>8699165</v>
      </c>
      <c r="BE104" s="7">
        <f t="shared" si="15"/>
        <v>8606943</v>
      </c>
      <c r="BG104" s="7">
        <f>+'St of Net Assets - GA'!AA104-'St of Activities - GA Exp'!BE104</f>
        <v>0</v>
      </c>
      <c r="BL104" s="7" t="str">
        <f t="shared" si="6"/>
        <v>Chillicothe City SD</v>
      </c>
      <c r="BM104" s="7" t="b">
        <f t="shared" si="7"/>
        <v>1</v>
      </c>
      <c r="BO104" s="7" t="str">
        <f t="shared" si="8"/>
        <v>Ross</v>
      </c>
      <c r="BP104" s="7" t="b">
        <f t="shared" si="9"/>
        <v>1</v>
      </c>
    </row>
    <row r="105" spans="1:68" ht="12" customHeight="1">
      <c r="A105" s="12" t="s">
        <v>568</v>
      </c>
      <c r="B105" s="12"/>
      <c r="C105" s="12" t="s">
        <v>71</v>
      </c>
      <c r="D105" s="12"/>
      <c r="E105" s="12">
        <v>50534</v>
      </c>
      <c r="G105" s="7">
        <v>5268250</v>
      </c>
      <c r="I105" s="7">
        <v>1583360</v>
      </c>
      <c r="K105" s="7">
        <v>21933</v>
      </c>
      <c r="M105" s="7">
        <v>0</v>
      </c>
      <c r="O105" s="7">
        <v>237088</v>
      </c>
      <c r="Q105" s="7">
        <v>166264</v>
      </c>
      <c r="S105" s="7">
        <v>491262</v>
      </c>
      <c r="U105" s="7">
        <v>41165</v>
      </c>
      <c r="W105" s="7">
        <v>1144782</v>
      </c>
      <c r="Y105" s="7">
        <v>372610</v>
      </c>
      <c r="AA105" s="7">
        <v>0</v>
      </c>
      <c r="AC105" s="7">
        <v>1055488</v>
      </c>
      <c r="AE105" s="7">
        <v>618014</v>
      </c>
      <c r="AG105" s="7">
        <v>157896</v>
      </c>
      <c r="AI105" s="12" t="s">
        <v>568</v>
      </c>
      <c r="AJ105" s="12"/>
      <c r="AK105" s="12" t="s">
        <v>71</v>
      </c>
      <c r="AL105" s="12"/>
      <c r="AM105" s="7">
        <v>445514</v>
      </c>
      <c r="AO105" s="7">
        <v>116444</v>
      </c>
      <c r="AQ105" s="7">
        <v>480781</v>
      </c>
      <c r="AS105" s="7">
        <v>0</v>
      </c>
      <c r="AW105" s="7">
        <v>0</v>
      </c>
      <c r="AY105" s="7">
        <f t="shared" si="14"/>
        <v>12200851</v>
      </c>
      <c r="BA105" s="7">
        <f>+'St of Activites - GA Rev'!AI105-'St of Activities - GA Exp'!AY105</f>
        <v>1237202</v>
      </c>
      <c r="BC105" s="7">
        <v>9368988</v>
      </c>
      <c r="BE105" s="7">
        <f t="shared" si="15"/>
        <v>10606190</v>
      </c>
      <c r="BG105" s="7">
        <f>+'St of Net Assets - GA'!AA105-'St of Activities - GA Exp'!BE105</f>
        <v>0</v>
      </c>
      <c r="BL105" s="7" t="str">
        <f t="shared" si="6"/>
        <v>Chippewa Local SD</v>
      </c>
      <c r="BM105" s="7" t="b">
        <f t="shared" si="7"/>
        <v>1</v>
      </c>
      <c r="BO105" s="7" t="str">
        <f t="shared" si="8"/>
        <v>Wayne</v>
      </c>
      <c r="BP105" s="7" t="b">
        <f t="shared" si="9"/>
        <v>1</v>
      </c>
    </row>
    <row r="106" spans="1:68" ht="12" customHeight="1">
      <c r="A106" s="12" t="s">
        <v>683</v>
      </c>
      <c r="B106" s="12"/>
      <c r="C106" s="12" t="s">
        <v>32</v>
      </c>
      <c r="D106" s="12"/>
      <c r="E106" s="12">
        <v>43752</v>
      </c>
      <c r="G106" s="7">
        <v>212617087</v>
      </c>
      <c r="I106" s="7">
        <v>77918902</v>
      </c>
      <c r="K106" s="7">
        <v>7046640</v>
      </c>
      <c r="M106" s="7">
        <v>0</v>
      </c>
      <c r="O106" s="7">
        <v>613450</v>
      </c>
      <c r="Q106" s="7">
        <v>29702228</v>
      </c>
      <c r="S106" s="7">
        <v>49720996</v>
      </c>
      <c r="U106" s="7">
        <v>343414</v>
      </c>
      <c r="W106" s="7">
        <v>35904173</v>
      </c>
      <c r="Y106" s="7">
        <v>7006980</v>
      </c>
      <c r="AA106" s="7">
        <v>1244023</v>
      </c>
      <c r="AC106" s="7">
        <v>47998030</v>
      </c>
      <c r="AE106" s="7">
        <v>27155167</v>
      </c>
      <c r="AG106" s="7">
        <v>15024579</v>
      </c>
      <c r="AI106" s="12" t="s">
        <v>683</v>
      </c>
      <c r="AJ106" s="12"/>
      <c r="AK106" s="12" t="s">
        <v>32</v>
      </c>
      <c r="AL106" s="12"/>
      <c r="AM106" s="7">
        <v>0</v>
      </c>
      <c r="AO106" s="7">
        <v>43667894</v>
      </c>
      <c r="AQ106" s="7">
        <v>5605603</v>
      </c>
      <c r="AS106" s="7">
        <v>34495353</v>
      </c>
      <c r="AW106" s="7">
        <v>0</v>
      </c>
      <c r="AY106" s="7">
        <f t="shared" si="14"/>
        <v>596064519</v>
      </c>
      <c r="BA106" s="7">
        <f>+'St of Activites - GA Rev'!AI106-'St of Activities - GA Exp'!AY106</f>
        <v>81792445</v>
      </c>
      <c r="BC106" s="7">
        <v>534134935</v>
      </c>
      <c r="BE106" s="7">
        <f t="shared" si="15"/>
        <v>615927380</v>
      </c>
      <c r="BG106" s="7">
        <f>+'St of Net Assets - GA'!AA106-'St of Activities - GA Exp'!BE106</f>
        <v>0</v>
      </c>
      <c r="BL106" s="7" t="str">
        <f t="shared" si="6"/>
        <v>Cincinnati City SD/Cincinnati Public SD</v>
      </c>
      <c r="BM106" s="7" t="b">
        <f t="shared" si="7"/>
        <v>1</v>
      </c>
      <c r="BO106" s="7" t="str">
        <f t="shared" si="8"/>
        <v>Hamilton</v>
      </c>
      <c r="BP106" s="7" t="b">
        <f t="shared" si="9"/>
        <v>1</v>
      </c>
    </row>
    <row r="107" spans="1:68">
      <c r="A107" s="12" t="s">
        <v>467</v>
      </c>
      <c r="B107" s="12"/>
      <c r="C107" s="12" t="s">
        <v>54</v>
      </c>
      <c r="D107" s="12"/>
      <c r="E107" s="12">
        <v>43760</v>
      </c>
      <c r="G107" s="7">
        <v>10942609</v>
      </c>
      <c r="I107" s="7">
        <v>2608654</v>
      </c>
      <c r="K107" s="7">
        <v>112944</v>
      </c>
      <c r="M107" s="7">
        <v>0</v>
      </c>
      <c r="O107" s="7">
        <v>96319</v>
      </c>
      <c r="Q107" s="7">
        <v>949939</v>
      </c>
      <c r="S107" s="7">
        <v>3496616</v>
      </c>
      <c r="U107" s="7">
        <v>144872</v>
      </c>
      <c r="W107" s="7">
        <v>1935059</v>
      </c>
      <c r="Y107" s="7">
        <v>605968</v>
      </c>
      <c r="AA107" s="7">
        <v>0</v>
      </c>
      <c r="AC107" s="7">
        <v>1658157</v>
      </c>
      <c r="AE107" s="7">
        <v>940650</v>
      </c>
      <c r="AG107" s="7">
        <v>0</v>
      </c>
      <c r="AI107" s="12" t="s">
        <v>467</v>
      </c>
      <c r="AJ107" s="12"/>
      <c r="AK107" s="12" t="s">
        <v>54</v>
      </c>
      <c r="AL107" s="12"/>
      <c r="AM107" s="7">
        <v>1054479</v>
      </c>
      <c r="AO107" s="7">
        <v>120828</v>
      </c>
      <c r="AQ107" s="7">
        <v>539741</v>
      </c>
      <c r="AS107" s="7">
        <v>2277764</v>
      </c>
      <c r="AW107" s="7">
        <v>0</v>
      </c>
      <c r="AY107" s="7">
        <f t="shared" si="14"/>
        <v>27484599</v>
      </c>
      <c r="BA107" s="7">
        <f>+'St of Activites - GA Rev'!AI107-'St of Activities - GA Exp'!AY107</f>
        <v>31473291</v>
      </c>
      <c r="BC107" s="7">
        <v>18092017</v>
      </c>
      <c r="BE107" s="7">
        <f t="shared" si="15"/>
        <v>49565308</v>
      </c>
      <c r="BG107" s="7">
        <f>+'St of Net Assets - GA'!AA107-'St of Activities - GA Exp'!BE107</f>
        <v>0</v>
      </c>
      <c r="BL107" s="7" t="str">
        <f t="shared" si="6"/>
        <v>Circleville City SD</v>
      </c>
      <c r="BM107" s="7" t="b">
        <f t="shared" si="7"/>
        <v>1</v>
      </c>
      <c r="BO107" s="7" t="str">
        <f t="shared" si="8"/>
        <v>Pickaway</v>
      </c>
      <c r="BP107" s="7" t="b">
        <f t="shared" si="9"/>
        <v>1</v>
      </c>
    </row>
    <row r="108" spans="1:68">
      <c r="A108" s="12" t="s">
        <v>236</v>
      </c>
      <c r="B108" s="12"/>
      <c r="C108" s="12" t="s">
        <v>17</v>
      </c>
      <c r="D108" s="12"/>
      <c r="E108" s="12">
        <v>46284</v>
      </c>
      <c r="G108" s="7">
        <v>10068445</v>
      </c>
      <c r="I108" s="7">
        <v>2569437</v>
      </c>
      <c r="K108" s="7">
        <v>209636</v>
      </c>
      <c r="M108" s="7">
        <v>11527</v>
      </c>
      <c r="O108" s="7">
        <v>382363</v>
      </c>
      <c r="Q108" s="7">
        <v>663240</v>
      </c>
      <c r="S108" s="7">
        <v>635429</v>
      </c>
      <c r="U108" s="7">
        <v>81746</v>
      </c>
      <c r="W108" s="7">
        <v>1668496</v>
      </c>
      <c r="Y108" s="7">
        <v>498109</v>
      </c>
      <c r="AA108" s="7">
        <v>13464</v>
      </c>
      <c r="AC108" s="7">
        <v>1757293</v>
      </c>
      <c r="AE108" s="7">
        <v>1080386</v>
      </c>
      <c r="AG108" s="7">
        <v>106330</v>
      </c>
      <c r="AI108" s="12" t="s">
        <v>236</v>
      </c>
      <c r="AJ108" s="12"/>
      <c r="AK108" s="12" t="s">
        <v>17</v>
      </c>
      <c r="AL108" s="12"/>
      <c r="AM108" s="7">
        <v>0</v>
      </c>
      <c r="AO108" s="7">
        <v>926629</v>
      </c>
      <c r="AQ108" s="7">
        <v>895543</v>
      </c>
      <c r="AS108" s="7">
        <v>1085</v>
      </c>
      <c r="AW108" s="7">
        <v>0</v>
      </c>
      <c r="AY108" s="7">
        <f t="shared" si="14"/>
        <v>21569158</v>
      </c>
      <c r="BA108" s="7">
        <f>+'St of Activites - GA Rev'!AI108-'St of Activities - GA Exp'!AY108</f>
        <v>758325</v>
      </c>
      <c r="BC108" s="7">
        <v>16786248</v>
      </c>
      <c r="BE108" s="7">
        <f t="shared" si="15"/>
        <v>17544573</v>
      </c>
      <c r="BG108" s="7">
        <f>+'St of Net Assets - GA'!AA108-'St of Activities - GA Exp'!BE108</f>
        <v>0</v>
      </c>
      <c r="BL108" s="7" t="str">
        <f t="shared" si="6"/>
        <v>Clark-Shawnee Local SD</v>
      </c>
      <c r="BM108" s="7" t="b">
        <f t="shared" si="7"/>
        <v>1</v>
      </c>
      <c r="BO108" s="7" t="str">
        <f t="shared" si="8"/>
        <v>Clark</v>
      </c>
      <c r="BP108" s="7" t="b">
        <f t="shared" si="9"/>
        <v>1</v>
      </c>
    </row>
    <row r="109" spans="1:68">
      <c r="A109" s="12" t="s">
        <v>495</v>
      </c>
      <c r="B109" s="12"/>
      <c r="C109" s="12" t="s">
        <v>59</v>
      </c>
      <c r="D109" s="12"/>
      <c r="E109" s="12">
        <v>49601</v>
      </c>
      <c r="G109" s="7">
        <v>3130863</v>
      </c>
      <c r="I109" s="7">
        <v>551385</v>
      </c>
      <c r="K109" s="7">
        <v>2142</v>
      </c>
      <c r="M109" s="7">
        <v>0</v>
      </c>
      <c r="O109" s="7">
        <v>2791</v>
      </c>
      <c r="Q109" s="7">
        <v>264510</v>
      </c>
      <c r="S109" s="7">
        <v>409114</v>
      </c>
      <c r="U109" s="7">
        <v>20279</v>
      </c>
      <c r="W109" s="7">
        <v>567800</v>
      </c>
      <c r="Y109" s="7">
        <v>143200</v>
      </c>
      <c r="AA109" s="7">
        <v>0</v>
      </c>
      <c r="AC109" s="7">
        <v>339669</v>
      </c>
      <c r="AE109" s="7">
        <v>274180</v>
      </c>
      <c r="AG109" s="7">
        <v>7651</v>
      </c>
      <c r="AI109" s="12" t="s">
        <v>495</v>
      </c>
      <c r="AJ109" s="12"/>
      <c r="AK109" s="12" t="s">
        <v>59</v>
      </c>
      <c r="AL109" s="12"/>
      <c r="AM109" s="7">
        <v>312717</v>
      </c>
      <c r="AO109" s="7">
        <v>0</v>
      </c>
      <c r="AQ109" s="7">
        <v>155105</v>
      </c>
      <c r="AS109" s="7">
        <v>278396</v>
      </c>
      <c r="AW109" s="7">
        <v>0</v>
      </c>
      <c r="AY109" s="7">
        <f t="shared" si="14"/>
        <v>6459802</v>
      </c>
      <c r="BA109" s="7">
        <f>+'St of Activites - GA Rev'!AI109-'St of Activities - GA Exp'!AY109</f>
        <v>339938</v>
      </c>
      <c r="BC109" s="7">
        <v>20393556</v>
      </c>
      <c r="BE109" s="7">
        <f t="shared" si="15"/>
        <v>20733494</v>
      </c>
      <c r="BG109" s="7">
        <f>+'St of Net Assets - GA'!AA109-'St of Activities - GA Exp'!BE109</f>
        <v>0</v>
      </c>
      <c r="BL109" s="7" t="str">
        <f t="shared" si="6"/>
        <v>Clay Local SD</v>
      </c>
      <c r="BM109" s="7" t="b">
        <f t="shared" si="7"/>
        <v>1</v>
      </c>
      <c r="BO109" s="7" t="str">
        <f t="shared" si="8"/>
        <v>Scioto</v>
      </c>
      <c r="BP109" s="7" t="b">
        <f t="shared" si="9"/>
        <v>1</v>
      </c>
    </row>
    <row r="110" spans="1:68">
      <c r="A110" s="12" t="s">
        <v>549</v>
      </c>
      <c r="B110" s="12"/>
      <c r="C110" s="12" t="s">
        <v>65</v>
      </c>
      <c r="D110" s="12"/>
      <c r="E110" s="12">
        <v>43778</v>
      </c>
      <c r="G110" s="7">
        <v>10015554</v>
      </c>
      <c r="I110" s="7">
        <v>2722377</v>
      </c>
      <c r="K110" s="7">
        <v>113754</v>
      </c>
      <c r="M110" s="7">
        <v>0</v>
      </c>
      <c r="O110" s="7">
        <v>7882</v>
      </c>
      <c r="Q110" s="7">
        <v>973110</v>
      </c>
      <c r="S110" s="7">
        <v>1353488</v>
      </c>
      <c r="U110" s="7">
        <v>40159</v>
      </c>
      <c r="W110" s="7">
        <v>1488353</v>
      </c>
      <c r="Y110" s="7">
        <v>348821</v>
      </c>
      <c r="AA110" s="7">
        <v>109598</v>
      </c>
      <c r="AC110" s="7">
        <v>2033005</v>
      </c>
      <c r="AE110" s="7">
        <v>789547</v>
      </c>
      <c r="AG110" s="7">
        <v>406823</v>
      </c>
      <c r="AI110" s="12" t="s">
        <v>549</v>
      </c>
      <c r="AJ110" s="12"/>
      <c r="AK110" s="12" t="s">
        <v>65</v>
      </c>
      <c r="AL110" s="12"/>
      <c r="AM110" s="7">
        <v>880594</v>
      </c>
      <c r="AO110" s="7">
        <v>82173</v>
      </c>
      <c r="AQ110" s="7">
        <v>551676</v>
      </c>
      <c r="AS110" s="7">
        <v>205248</v>
      </c>
      <c r="AW110" s="7">
        <v>0</v>
      </c>
      <c r="AY110" s="7">
        <f t="shared" si="14"/>
        <v>22122162</v>
      </c>
      <c r="BA110" s="7">
        <f>+'St of Activites - GA Rev'!AI110-'St of Activities - GA Exp'!AY110</f>
        <v>178087</v>
      </c>
      <c r="BC110" s="7">
        <v>20079487</v>
      </c>
      <c r="BE110" s="7">
        <f t="shared" si="15"/>
        <v>20257574</v>
      </c>
      <c r="BG110" s="7">
        <f>+'St of Net Assets - GA'!AA110-'St of Activities - GA Exp'!BE110</f>
        <v>0</v>
      </c>
      <c r="BL110" s="7" t="str">
        <f t="shared" si="6"/>
        <v>Claymont City SD</v>
      </c>
      <c r="BM110" s="7" t="b">
        <f t="shared" si="7"/>
        <v>1</v>
      </c>
      <c r="BO110" s="7" t="str">
        <f t="shared" si="8"/>
        <v>Tuscarawas</v>
      </c>
      <c r="BP110" s="7" t="b">
        <f t="shared" si="9"/>
        <v>1</v>
      </c>
    </row>
    <row r="111" spans="1:68">
      <c r="A111" s="12" t="s">
        <v>483</v>
      </c>
      <c r="B111" s="12"/>
      <c r="C111" s="12" t="s">
        <v>110</v>
      </c>
      <c r="D111" s="12"/>
      <c r="E111" s="12">
        <v>49411</v>
      </c>
      <c r="G111" s="7">
        <v>6645066</v>
      </c>
      <c r="I111" s="7">
        <v>1933511</v>
      </c>
      <c r="K111" s="7">
        <v>180347</v>
      </c>
      <c r="M111" s="7">
        <v>0</v>
      </c>
      <c r="O111" s="7">
        <v>642522</v>
      </c>
      <c r="Q111" s="7">
        <v>481352</v>
      </c>
      <c r="S111" s="7">
        <v>699916</v>
      </c>
      <c r="U111" s="7">
        <v>69429</v>
      </c>
      <c r="W111" s="7">
        <v>988713</v>
      </c>
      <c r="Y111" s="7">
        <v>341734</v>
      </c>
      <c r="AA111" s="7">
        <v>0</v>
      </c>
      <c r="AC111" s="7">
        <v>1850169</v>
      </c>
      <c r="AE111" s="7">
        <v>1266701</v>
      </c>
      <c r="AG111" s="7">
        <v>21650</v>
      </c>
      <c r="AI111" s="12" t="s">
        <v>483</v>
      </c>
      <c r="AJ111" s="12"/>
      <c r="AK111" s="12" t="s">
        <v>110</v>
      </c>
      <c r="AL111" s="12"/>
      <c r="AM111" s="7">
        <v>829520</v>
      </c>
      <c r="AO111" s="7">
        <v>3574</v>
      </c>
      <c r="AQ111" s="7">
        <v>465987</v>
      </c>
      <c r="AS111" s="7">
        <v>407390</v>
      </c>
      <c r="AW111" s="7">
        <v>0</v>
      </c>
      <c r="AY111" s="7">
        <f t="shared" si="14"/>
        <v>16827581</v>
      </c>
      <c r="BA111" s="7">
        <f>+'St of Activites - GA Rev'!AI111-'St of Activities - GA Exp'!AY111</f>
        <v>494588</v>
      </c>
      <c r="BC111" s="7">
        <v>9648836</v>
      </c>
      <c r="BE111" s="7">
        <f t="shared" si="15"/>
        <v>10143424</v>
      </c>
      <c r="BG111" s="7">
        <f>+'St of Net Assets - GA'!AA111-'St of Activities - GA Exp'!BE111</f>
        <v>0</v>
      </c>
      <c r="BL111" s="7" t="str">
        <f t="shared" si="6"/>
        <v>Clear Fork Valley Local SD</v>
      </c>
      <c r="BM111" s="7" t="b">
        <f t="shared" si="7"/>
        <v>1</v>
      </c>
      <c r="BO111" s="7" t="str">
        <f t="shared" si="8"/>
        <v>Richland</v>
      </c>
      <c r="BP111" s="7" t="b">
        <f t="shared" si="9"/>
        <v>1</v>
      </c>
    </row>
    <row r="112" spans="1:68">
      <c r="A112" s="12" t="s">
        <v>394</v>
      </c>
      <c r="B112" s="12"/>
      <c r="C112" s="12" t="s">
        <v>44</v>
      </c>
      <c r="D112" s="12"/>
      <c r="E112" s="12">
        <v>48132</v>
      </c>
      <c r="G112" s="7">
        <v>7749034</v>
      </c>
      <c r="I112" s="7">
        <v>1553813</v>
      </c>
      <c r="K112" s="7">
        <v>184205</v>
      </c>
      <c r="M112" s="7">
        <v>0</v>
      </c>
      <c r="O112" s="7">
        <v>54531</v>
      </c>
      <c r="Q112" s="7">
        <v>1075173</v>
      </c>
      <c r="S112" s="7">
        <v>584241</v>
      </c>
      <c r="U112" s="7">
        <v>55219</v>
      </c>
      <c r="W112" s="7">
        <v>919916</v>
      </c>
      <c r="Y112" s="7">
        <v>404367</v>
      </c>
      <c r="AA112" s="7">
        <v>288687</v>
      </c>
      <c r="AC112" s="7">
        <v>1635109</v>
      </c>
      <c r="AE112" s="7">
        <v>529972</v>
      </c>
      <c r="AG112" s="7">
        <v>145480</v>
      </c>
      <c r="AI112" s="12" t="s">
        <v>394</v>
      </c>
      <c r="AJ112" s="12"/>
      <c r="AK112" s="12" t="s">
        <v>44</v>
      </c>
      <c r="AL112" s="12"/>
      <c r="AM112" s="7">
        <v>885326</v>
      </c>
      <c r="AO112" s="7">
        <f>5660+27376</f>
        <v>33036</v>
      </c>
      <c r="AQ112" s="7">
        <v>451347</v>
      </c>
      <c r="AS112" s="7">
        <v>240213</v>
      </c>
      <c r="AW112" s="7">
        <v>0</v>
      </c>
      <c r="AY112" s="7">
        <f t="shared" si="14"/>
        <v>16789669</v>
      </c>
      <c r="BA112" s="7">
        <f>+'St of Activites - GA Rev'!AI112-'St of Activities - GA Exp'!AY112</f>
        <v>-196537</v>
      </c>
      <c r="BC112" s="7">
        <v>14038962</v>
      </c>
      <c r="BE112" s="7">
        <f t="shared" si="15"/>
        <v>13842425</v>
      </c>
      <c r="BG112" s="7">
        <f>+'St of Net Assets - GA'!AA112-'St of Activities - GA Exp'!BE112</f>
        <v>0</v>
      </c>
      <c r="BL112" s="7" t="str">
        <f t="shared" si="6"/>
        <v>Clearview Local SD</v>
      </c>
      <c r="BM112" s="7" t="b">
        <f t="shared" si="7"/>
        <v>1</v>
      </c>
      <c r="BO112" s="7" t="str">
        <f t="shared" si="8"/>
        <v>Lorain</v>
      </c>
      <c r="BP112" s="7" t="b">
        <f t="shared" si="9"/>
        <v>1</v>
      </c>
    </row>
    <row r="113" spans="1:68">
      <c r="A113" s="12" t="s">
        <v>684</v>
      </c>
      <c r="B113" s="12"/>
      <c r="C113" s="12" t="s">
        <v>113</v>
      </c>
      <c r="D113" s="12"/>
      <c r="E113" s="12"/>
      <c r="G113" s="7">
        <v>7821381</v>
      </c>
      <c r="I113" s="7">
        <v>2283933</v>
      </c>
      <c r="K113" s="7">
        <v>0</v>
      </c>
      <c r="M113" s="7">
        <v>0</v>
      </c>
      <c r="O113" s="7">
        <v>250287</v>
      </c>
      <c r="Q113" s="7">
        <v>803325</v>
      </c>
      <c r="S113" s="7">
        <v>853480</v>
      </c>
      <c r="U113" s="7">
        <v>91721</v>
      </c>
      <c r="W113" s="7">
        <v>1482996</v>
      </c>
      <c r="Y113" s="7">
        <v>455079</v>
      </c>
      <c r="AA113" s="7">
        <v>60814</v>
      </c>
      <c r="AC113" s="7">
        <v>2226707</v>
      </c>
      <c r="AE113" s="7">
        <v>1724916</v>
      </c>
      <c r="AG113" s="7">
        <v>316791</v>
      </c>
      <c r="AI113" s="12" t="s">
        <v>684</v>
      </c>
      <c r="AJ113" s="12"/>
      <c r="AK113" s="12" t="s">
        <v>113</v>
      </c>
      <c r="AL113" s="12"/>
      <c r="AM113" s="7">
        <v>723865</v>
      </c>
      <c r="AO113" s="7">
        <v>187232</v>
      </c>
      <c r="AQ113" s="7">
        <v>402841</v>
      </c>
      <c r="AS113" s="7">
        <v>34697</v>
      </c>
      <c r="AW113" s="7">
        <v>0</v>
      </c>
      <c r="AY113" s="7">
        <f t="shared" si="14"/>
        <v>19720065</v>
      </c>
      <c r="BA113" s="7">
        <f>+'St of Activites - GA Rev'!AI113-'St of Activities - GA Exp'!AY113</f>
        <v>263574</v>
      </c>
      <c r="BC113" s="7">
        <v>6699157</v>
      </c>
      <c r="BE113" s="7">
        <f t="shared" si="15"/>
        <v>6962731</v>
      </c>
      <c r="BG113" s="7">
        <f>+'St of Net Assets - GA'!AA113-'St of Activities - GA Exp'!BE113</f>
        <v>0</v>
      </c>
      <c r="BL113" s="7" t="str">
        <f t="shared" si="6"/>
        <v>Clermont Northeastern Local SD</v>
      </c>
      <c r="BM113" s="7" t="b">
        <f t="shared" si="7"/>
        <v>1</v>
      </c>
      <c r="BO113" s="7" t="str">
        <f t="shared" si="8"/>
        <v>Clermont</v>
      </c>
      <c r="BP113" s="7" t="b">
        <f t="shared" si="9"/>
        <v>1</v>
      </c>
    </row>
    <row r="114" spans="1:68">
      <c r="A114" s="12" t="s">
        <v>682</v>
      </c>
      <c r="B114" s="12"/>
      <c r="C114" s="12" t="s">
        <v>20</v>
      </c>
      <c r="D114" s="12"/>
      <c r="E114" s="12">
        <v>43794</v>
      </c>
      <c r="G114" s="7">
        <v>39923335</v>
      </c>
      <c r="I114" s="7">
        <v>14216999</v>
      </c>
      <c r="K114" s="7">
        <v>2117197</v>
      </c>
      <c r="M114" s="7">
        <v>349825</v>
      </c>
      <c r="O114" s="7">
        <v>5039676</v>
      </c>
      <c r="Q114" s="7">
        <v>8930015</v>
      </c>
      <c r="S114" s="7">
        <v>6207156</v>
      </c>
      <c r="U114" s="7">
        <v>590607</v>
      </c>
      <c r="W114" s="7">
        <v>6315903</v>
      </c>
      <c r="Y114" s="7">
        <v>2445404</v>
      </c>
      <c r="AA114" s="7">
        <v>2042637</v>
      </c>
      <c r="AC114" s="7">
        <v>12354549</v>
      </c>
      <c r="AE114" s="7">
        <v>4365645</v>
      </c>
      <c r="AG114" s="7">
        <v>3855169</v>
      </c>
      <c r="AI114" s="12" t="s">
        <v>682</v>
      </c>
      <c r="AJ114" s="12"/>
      <c r="AK114" s="12" t="s">
        <v>20</v>
      </c>
      <c r="AL114" s="12"/>
      <c r="AM114" s="7">
        <v>5489</v>
      </c>
      <c r="AO114" s="7">
        <v>2557000</v>
      </c>
      <c r="AQ114" s="7">
        <v>1600944</v>
      </c>
      <c r="AS114" s="7">
        <v>519722</v>
      </c>
      <c r="AW114" s="7">
        <v>0</v>
      </c>
      <c r="AY114" s="7">
        <f t="shared" si="14"/>
        <v>113437272</v>
      </c>
      <c r="BA114" s="7">
        <f>+'St of Activites - GA Rev'!AI114-'St of Activities - GA Exp'!AY114</f>
        <v>-7526168</v>
      </c>
      <c r="BC114" s="7">
        <v>89378532</v>
      </c>
      <c r="BE114" s="7">
        <f t="shared" si="15"/>
        <v>81852364</v>
      </c>
      <c r="BG114" s="7">
        <f>+'St of Net Assets - GA'!AA114-'St of Activities - GA Exp'!BE114</f>
        <v>0</v>
      </c>
      <c r="BL114" s="7" t="str">
        <f t="shared" si="6"/>
        <v>Cleveland Heights-University Heights City SD</v>
      </c>
      <c r="BM114" s="7" t="b">
        <f t="shared" si="7"/>
        <v>1</v>
      </c>
      <c r="BO114" s="7" t="str">
        <f t="shared" si="8"/>
        <v>Cuyahoga</v>
      </c>
      <c r="BP114" s="7" t="b">
        <f t="shared" si="9"/>
        <v>1</v>
      </c>
    </row>
    <row r="115" spans="1:68">
      <c r="A115" s="12" t="s">
        <v>271</v>
      </c>
      <c r="B115" s="12"/>
      <c r="C115" s="12" t="s">
        <v>20</v>
      </c>
      <c r="D115" s="12"/>
      <c r="E115" s="12">
        <v>43786</v>
      </c>
      <c r="G115" s="7">
        <v>297907426</v>
      </c>
      <c r="I115" s="7">
        <v>207990072</v>
      </c>
      <c r="K115" s="7">
        <v>10336437</v>
      </c>
      <c r="M115" s="7">
        <v>132537</v>
      </c>
      <c r="O115" s="7">
        <v>6384172</v>
      </c>
      <c r="Q115" s="7">
        <v>37463820</v>
      </c>
      <c r="S115" s="7">
        <v>59204651</v>
      </c>
      <c r="U115" s="7">
        <v>250996</v>
      </c>
      <c r="W115" s="7">
        <v>43536920</v>
      </c>
      <c r="Y115" s="7">
        <v>15131810</v>
      </c>
      <c r="AA115" s="7">
        <v>1643284</v>
      </c>
      <c r="AC115" s="7">
        <v>63176797</v>
      </c>
      <c r="AE115" s="7">
        <v>28923689</v>
      </c>
      <c r="AG115" s="7">
        <v>12437133</v>
      </c>
      <c r="AI115" s="12" t="s">
        <v>271</v>
      </c>
      <c r="AJ115" s="12"/>
      <c r="AK115" s="12" t="s">
        <v>20</v>
      </c>
      <c r="AL115" s="12"/>
      <c r="AM115" s="7">
        <v>0</v>
      </c>
      <c r="AO115" s="7">
        <v>42237400</v>
      </c>
      <c r="AQ115" s="7">
        <v>6418054</v>
      </c>
      <c r="AS115" s="7">
        <v>9869253</v>
      </c>
      <c r="AW115" s="7">
        <v>0</v>
      </c>
      <c r="AY115" s="7">
        <f t="shared" si="14"/>
        <v>843044451</v>
      </c>
      <c r="BA115" s="7">
        <f>+'St of Activites - GA Rev'!AI115-'St of Activities - GA Exp'!AY115</f>
        <v>80961228</v>
      </c>
      <c r="BC115" s="7">
        <v>868229993</v>
      </c>
      <c r="BE115" s="7">
        <f t="shared" si="15"/>
        <v>949191221</v>
      </c>
      <c r="BG115" s="7">
        <f>+'St of Net Assets - GA'!AA115-'St of Activities - GA Exp'!BE115</f>
        <v>0</v>
      </c>
      <c r="BH115" s="14" t="s">
        <v>800</v>
      </c>
      <c r="BL115" s="7" t="str">
        <f t="shared" si="6"/>
        <v>Cleveland Municipal SD</v>
      </c>
      <c r="BM115" s="7" t="b">
        <f t="shared" si="7"/>
        <v>1</v>
      </c>
      <c r="BO115" s="7" t="str">
        <f t="shared" si="8"/>
        <v>Cuyahoga</v>
      </c>
      <c r="BP115" s="7" t="b">
        <f t="shared" si="9"/>
        <v>1</v>
      </c>
    </row>
    <row r="116" spans="1:68">
      <c r="A116" s="12" t="s">
        <v>249</v>
      </c>
      <c r="B116" s="12"/>
      <c r="C116" s="12" t="s">
        <v>18</v>
      </c>
      <c r="D116" s="12"/>
      <c r="E116" s="12">
        <v>46391</v>
      </c>
      <c r="G116" s="7">
        <v>8545649</v>
      </c>
      <c r="I116" s="7">
        <v>1094036</v>
      </c>
      <c r="K116" s="7">
        <v>0</v>
      </c>
      <c r="M116" s="7">
        <v>0</v>
      </c>
      <c r="O116" s="7">
        <v>1049692</v>
      </c>
      <c r="Q116" s="7">
        <v>889182</v>
      </c>
      <c r="S116" s="7">
        <v>1040561</v>
      </c>
      <c r="U116" s="7">
        <v>74387</v>
      </c>
      <c r="W116" s="7">
        <v>1173653</v>
      </c>
      <c r="Y116" s="7">
        <v>403542</v>
      </c>
      <c r="AA116" s="7">
        <v>49</v>
      </c>
      <c r="AC116" s="7">
        <v>1748375</v>
      </c>
      <c r="AE116" s="7">
        <v>1116164</v>
      </c>
      <c r="AG116" s="7">
        <v>5975</v>
      </c>
      <c r="AI116" s="12" t="s">
        <v>249</v>
      </c>
      <c r="AJ116" s="12"/>
      <c r="AK116" s="12" t="s">
        <v>18</v>
      </c>
      <c r="AL116" s="12"/>
      <c r="AM116" s="7">
        <v>0</v>
      </c>
      <c r="AO116" s="7">
        <v>703599</v>
      </c>
      <c r="AQ116" s="7">
        <v>554140</v>
      </c>
      <c r="AS116" s="7">
        <v>566630</v>
      </c>
      <c r="AW116" s="7">
        <v>0</v>
      </c>
      <c r="AY116" s="7">
        <f t="shared" si="14"/>
        <v>18965634</v>
      </c>
      <c r="BA116" s="7">
        <f>+'St of Activites - GA Rev'!AI116-'St of Activities - GA Exp'!AY116</f>
        <v>-700715</v>
      </c>
      <c r="BC116" s="7">
        <v>42270560</v>
      </c>
      <c r="BE116" s="7">
        <f t="shared" si="15"/>
        <v>41569845</v>
      </c>
      <c r="BG116" s="7">
        <f>+'St of Net Assets - GA'!AA116-'St of Activities - GA Exp'!BE116</f>
        <v>0</v>
      </c>
      <c r="BL116" s="7" t="str">
        <f t="shared" si="6"/>
        <v>Clinton-Massie Local SD</v>
      </c>
      <c r="BM116" s="7" t="b">
        <f t="shared" si="7"/>
        <v>1</v>
      </c>
      <c r="BO116" s="7" t="str">
        <f t="shared" si="8"/>
        <v>Clinton</v>
      </c>
      <c r="BP116" s="7" t="b">
        <f t="shared" si="9"/>
        <v>1</v>
      </c>
    </row>
    <row r="117" spans="1:68">
      <c r="A117" s="12" t="s">
        <v>429</v>
      </c>
      <c r="B117" s="12"/>
      <c r="C117" s="12" t="s">
        <v>47</v>
      </c>
      <c r="D117" s="12"/>
      <c r="E117" s="12">
        <v>48488</v>
      </c>
      <c r="G117" s="7">
        <v>18330702</v>
      </c>
      <c r="I117" s="7">
        <v>0</v>
      </c>
      <c r="K117" s="7">
        <v>0</v>
      </c>
      <c r="M117" s="7">
        <v>0</v>
      </c>
      <c r="O117" s="7">
        <v>0</v>
      </c>
      <c r="Q117" s="7">
        <v>1431324</v>
      </c>
      <c r="S117" s="7">
        <v>1911292</v>
      </c>
      <c r="U117" s="7">
        <v>30351</v>
      </c>
      <c r="W117" s="7">
        <v>1660838</v>
      </c>
      <c r="Y117" s="7">
        <v>650179</v>
      </c>
      <c r="AA117" s="7">
        <v>283761</v>
      </c>
      <c r="AC117" s="7">
        <v>2148165</v>
      </c>
      <c r="AE117" s="7">
        <v>2428736</v>
      </c>
      <c r="AG117" s="7">
        <v>379750</v>
      </c>
      <c r="AI117" s="12" t="s">
        <v>429</v>
      </c>
      <c r="AJ117" s="12"/>
      <c r="AK117" s="12" t="s">
        <v>47</v>
      </c>
      <c r="AL117" s="12"/>
      <c r="AM117" s="7">
        <v>1069576</v>
      </c>
      <c r="AO117" s="7">
        <v>580655</v>
      </c>
      <c r="AQ117" s="7">
        <v>906106</v>
      </c>
      <c r="AS117" s="7">
        <v>1833768</v>
      </c>
      <c r="AW117" s="7">
        <v>0</v>
      </c>
      <c r="AY117" s="7">
        <f t="shared" si="14"/>
        <v>33645203</v>
      </c>
      <c r="BA117" s="7">
        <f>+'St of Activites - GA Rev'!AI117-'St of Activities - GA Exp'!AY117</f>
        <v>-1040571</v>
      </c>
      <c r="BC117" s="7">
        <v>12342147</v>
      </c>
      <c r="BE117" s="7">
        <f t="shared" si="15"/>
        <v>11301576</v>
      </c>
      <c r="BG117" s="7">
        <f>+'St of Net Assets - GA'!AA117-'St of Activities - GA Exp'!BE117</f>
        <v>0</v>
      </c>
      <c r="BH117" s="7" t="s">
        <v>804</v>
      </c>
      <c r="BL117" s="7" t="str">
        <f t="shared" si="6"/>
        <v>Cloverleaf Local SD</v>
      </c>
      <c r="BM117" s="7" t="b">
        <f t="shared" si="7"/>
        <v>1</v>
      </c>
      <c r="BO117" s="7" t="str">
        <f t="shared" si="8"/>
        <v>Medina</v>
      </c>
      <c r="BP117" s="7" t="b">
        <f t="shared" si="9"/>
        <v>1</v>
      </c>
    </row>
    <row r="118" spans="1:68">
      <c r="A118" s="12" t="s">
        <v>865</v>
      </c>
      <c r="B118" s="12"/>
      <c r="C118" s="12" t="s">
        <v>79</v>
      </c>
      <c r="D118" s="12"/>
      <c r="E118" s="12">
        <v>45302</v>
      </c>
      <c r="G118" s="7">
        <v>11182253</v>
      </c>
      <c r="I118" s="7">
        <v>2603976</v>
      </c>
      <c r="K118" s="7">
        <v>91900</v>
      </c>
      <c r="M118" s="7">
        <v>0</v>
      </c>
      <c r="O118" s="7">
        <v>744567</v>
      </c>
      <c r="Q118" s="7">
        <v>1366278</v>
      </c>
      <c r="S118" s="7">
        <v>596472</v>
      </c>
      <c r="U118" s="7">
        <v>28197</v>
      </c>
      <c r="W118" s="7">
        <v>1732155</v>
      </c>
      <c r="Y118" s="7">
        <v>566344</v>
      </c>
      <c r="AA118" s="7">
        <v>8945</v>
      </c>
      <c r="AC118" s="7">
        <v>2095204</v>
      </c>
      <c r="AE118" s="7">
        <v>1062618</v>
      </c>
      <c r="AG118" s="7">
        <v>193738</v>
      </c>
      <c r="AI118" s="12" t="s">
        <v>865</v>
      </c>
      <c r="AJ118" s="12"/>
      <c r="AK118" s="12" t="s">
        <v>79</v>
      </c>
      <c r="AL118" s="12"/>
      <c r="AM118" s="7">
        <v>1256268</v>
      </c>
      <c r="AO118" s="7">
        <v>34462</v>
      </c>
      <c r="AQ118" s="7">
        <v>772768</v>
      </c>
      <c r="AS118" s="7">
        <v>1363525</v>
      </c>
      <c r="AW118" s="7">
        <v>0</v>
      </c>
      <c r="AY118" s="7">
        <f t="shared" si="14"/>
        <v>25699670</v>
      </c>
      <c r="BA118" s="7">
        <f>+'St of Activites - GA Rev'!AI118-'St of Activities - GA Exp'!AY118</f>
        <v>-60959</v>
      </c>
      <c r="BC118" s="7">
        <v>31758081</v>
      </c>
      <c r="BE118" s="7">
        <f t="shared" si="15"/>
        <v>31697122</v>
      </c>
      <c r="BG118" s="7">
        <f>+'St of Net Assets - GA'!AA118-'St of Activities - GA Exp'!BE118</f>
        <v>0</v>
      </c>
      <c r="BL118" s="7" t="str">
        <f t="shared" si="6"/>
        <v>Clyde-Green Springs Exempted Village SD</v>
      </c>
      <c r="BM118" s="7" t="b">
        <f t="shared" si="7"/>
        <v>1</v>
      </c>
      <c r="BO118" s="7" t="str">
        <f t="shared" si="8"/>
        <v>Sandusky</v>
      </c>
      <c r="BP118" s="7" t="b">
        <f t="shared" si="9"/>
        <v>1</v>
      </c>
    </row>
    <row r="119" spans="1:68" hidden="1">
      <c r="A119" s="12" t="s">
        <v>685</v>
      </c>
      <c r="B119" s="12"/>
      <c r="C119" s="12" t="s">
        <v>435</v>
      </c>
      <c r="D119" s="12"/>
      <c r="E119" s="12"/>
      <c r="AI119" s="12" t="s">
        <v>685</v>
      </c>
      <c r="AJ119" s="12"/>
      <c r="AK119" s="12" t="s">
        <v>435</v>
      </c>
      <c r="AL119" s="12"/>
      <c r="AY119" s="7">
        <f t="shared" si="14"/>
        <v>0</v>
      </c>
      <c r="BA119" s="7">
        <f>+'St of Activites - GA Rev'!AI119-'St of Activities - GA Exp'!AY119</f>
        <v>0</v>
      </c>
      <c r="BE119" s="7">
        <f t="shared" si="15"/>
        <v>0</v>
      </c>
      <c r="BG119" s="7">
        <f>+'St of Net Assets - GA'!AA119-'St of Activities - GA Exp'!BE119</f>
        <v>0</v>
      </c>
      <c r="BH119" s="7" t="s">
        <v>778</v>
      </c>
      <c r="BL119" s="7" t="str">
        <f t="shared" si="6"/>
        <v>Coldwater Exempted Village SD (CASH)</v>
      </c>
      <c r="BM119" s="7" t="b">
        <f t="shared" si="7"/>
        <v>1</v>
      </c>
      <c r="BO119" s="7" t="str">
        <f t="shared" si="8"/>
        <v>Mercer</v>
      </c>
      <c r="BP119" s="7" t="b">
        <f t="shared" si="9"/>
        <v>1</v>
      </c>
    </row>
    <row r="120" spans="1:68" ht="12" hidden="1" customHeight="1">
      <c r="A120" s="12" t="s">
        <v>636</v>
      </c>
      <c r="B120" s="12"/>
      <c r="C120" s="12" t="s">
        <v>57</v>
      </c>
      <c r="D120" s="12"/>
      <c r="E120" s="12">
        <v>64964</v>
      </c>
      <c r="AI120" s="12" t="s">
        <v>636</v>
      </c>
      <c r="AJ120" s="12"/>
      <c r="AK120" s="12" t="s">
        <v>57</v>
      </c>
      <c r="AL120" s="12"/>
      <c r="AY120" s="7">
        <f t="shared" si="14"/>
        <v>0</v>
      </c>
      <c r="BA120" s="7">
        <f>+'St of Activites - GA Rev'!AI120-'St of Activities - GA Exp'!AY120</f>
        <v>0</v>
      </c>
      <c r="BE120" s="7">
        <f t="shared" si="15"/>
        <v>0</v>
      </c>
      <c r="BG120" s="7">
        <f>+'St of Net Assets - GA'!AA120-'St of Activities - GA Exp'!BE120</f>
        <v>0</v>
      </c>
      <c r="BH120" s="7" t="s">
        <v>778</v>
      </c>
      <c r="BL120" s="7" t="str">
        <f t="shared" si="6"/>
        <v>College Corner Local SD (CASH)</v>
      </c>
      <c r="BM120" s="7" t="b">
        <f t="shared" si="7"/>
        <v>1</v>
      </c>
      <c r="BO120" s="7" t="str">
        <f t="shared" si="8"/>
        <v>Preble</v>
      </c>
      <c r="BP120" s="7" t="b">
        <f t="shared" si="9"/>
        <v>1</v>
      </c>
    </row>
    <row r="121" spans="1:68">
      <c r="A121" s="12" t="s">
        <v>264</v>
      </c>
      <c r="B121" s="12"/>
      <c r="C121" s="12" t="s">
        <v>111</v>
      </c>
      <c r="D121" s="12"/>
      <c r="E121" s="12">
        <v>46516</v>
      </c>
      <c r="G121" s="7">
        <v>4015733</v>
      </c>
      <c r="I121" s="7">
        <v>1397348</v>
      </c>
      <c r="K121" s="7">
        <v>33768</v>
      </c>
      <c r="M121" s="7">
        <v>0</v>
      </c>
      <c r="O121" s="7">
        <v>418</v>
      </c>
      <c r="Q121" s="7">
        <v>614846</v>
      </c>
      <c r="S121" s="7">
        <v>265945</v>
      </c>
      <c r="U121" s="7">
        <v>24322</v>
      </c>
      <c r="W121" s="7">
        <v>742949</v>
      </c>
      <c r="Y121" s="7">
        <v>318410</v>
      </c>
      <c r="AA121" s="7">
        <v>206</v>
      </c>
      <c r="AC121" s="7">
        <v>997994</v>
      </c>
      <c r="AE121" s="7">
        <v>621800</v>
      </c>
      <c r="AG121" s="7">
        <v>59847</v>
      </c>
      <c r="AI121" s="12" t="s">
        <v>264</v>
      </c>
      <c r="AJ121" s="12"/>
      <c r="AK121" s="12" t="s">
        <v>111</v>
      </c>
      <c r="AL121" s="12"/>
      <c r="AM121" s="7">
        <v>372695</v>
      </c>
      <c r="AO121" s="7">
        <v>49648</v>
      </c>
      <c r="AQ121" s="7">
        <v>419132</v>
      </c>
      <c r="AS121" s="7">
        <v>694961</v>
      </c>
      <c r="AW121" s="7">
        <v>0</v>
      </c>
      <c r="AY121" s="7">
        <f t="shared" si="14"/>
        <v>10630022</v>
      </c>
      <c r="BA121" s="7">
        <f>+'St of Activites - GA Rev'!AI121-'St of Activities - GA Exp'!AY121</f>
        <v>170663</v>
      </c>
      <c r="BC121" s="7">
        <v>5027673</v>
      </c>
      <c r="BE121" s="7">
        <f t="shared" si="15"/>
        <v>5198336</v>
      </c>
      <c r="BG121" s="7">
        <f>+'St of Net Assets - GA'!AA121-'St of Activities - GA Exp'!BE121</f>
        <v>0</v>
      </c>
      <c r="BL121" s="7" t="str">
        <f t="shared" si="6"/>
        <v>Colonel Crawford Local SD</v>
      </c>
      <c r="BM121" s="7" t="b">
        <f t="shared" si="7"/>
        <v>1</v>
      </c>
      <c r="BO121" s="7" t="str">
        <f t="shared" si="8"/>
        <v>Crawford</v>
      </c>
      <c r="BP121" s="7" t="b">
        <f t="shared" si="9"/>
        <v>1</v>
      </c>
    </row>
    <row r="122" spans="1:68">
      <c r="A122" s="12" t="s">
        <v>395</v>
      </c>
      <c r="B122" s="12"/>
      <c r="C122" s="12" t="s">
        <v>44</v>
      </c>
      <c r="D122" s="12"/>
      <c r="E122" s="12">
        <v>48140</v>
      </c>
      <c r="G122" s="7">
        <v>4647012</v>
      </c>
      <c r="I122" s="7">
        <v>1014655</v>
      </c>
      <c r="K122" s="7">
        <v>177237</v>
      </c>
      <c r="M122" s="7">
        <v>0</v>
      </c>
      <c r="O122" s="7">
        <v>385394</v>
      </c>
      <c r="Q122" s="7">
        <v>671912</v>
      </c>
      <c r="S122" s="7">
        <v>395448</v>
      </c>
      <c r="U122" s="7">
        <v>26334</v>
      </c>
      <c r="W122" s="7">
        <v>980350</v>
      </c>
      <c r="Y122" s="7">
        <v>379192</v>
      </c>
      <c r="AA122" s="7">
        <v>0</v>
      </c>
      <c r="AC122" s="7">
        <v>1063056</v>
      </c>
      <c r="AE122" s="7">
        <v>797116</v>
      </c>
      <c r="AG122" s="7">
        <v>148860</v>
      </c>
      <c r="AI122" s="12" t="s">
        <v>395</v>
      </c>
      <c r="AJ122" s="12"/>
      <c r="AK122" s="12" t="s">
        <v>44</v>
      </c>
      <c r="AL122" s="12"/>
      <c r="AM122" s="7">
        <v>379463</v>
      </c>
      <c r="AO122" s="7">
        <v>100</v>
      </c>
      <c r="AQ122" s="7">
        <v>383044</v>
      </c>
      <c r="AS122" s="7">
        <v>45343</v>
      </c>
      <c r="AW122" s="7">
        <v>0</v>
      </c>
      <c r="AY122" s="7">
        <f t="shared" si="14"/>
        <v>11494516</v>
      </c>
      <c r="BA122" s="7">
        <f>+'St of Activites - GA Rev'!AI122-'St of Activities - GA Exp'!AY122</f>
        <v>54634</v>
      </c>
      <c r="BC122" s="7">
        <v>2512105</v>
      </c>
      <c r="BE122" s="7">
        <f t="shared" si="15"/>
        <v>2566739</v>
      </c>
      <c r="BG122" s="7">
        <f>+'St of Net Assets - GA'!AA122-'St of Activities - GA Exp'!BE122</f>
        <v>0</v>
      </c>
      <c r="BL122" s="7" t="str">
        <f t="shared" si="6"/>
        <v>Columbia Local SD</v>
      </c>
      <c r="BM122" s="7" t="b">
        <f t="shared" si="7"/>
        <v>1</v>
      </c>
      <c r="BO122" s="7" t="str">
        <f t="shared" si="8"/>
        <v>Lorain</v>
      </c>
      <c r="BP122" s="7" t="b">
        <f t="shared" si="9"/>
        <v>1</v>
      </c>
    </row>
    <row r="123" spans="1:68">
      <c r="A123" s="12" t="s">
        <v>866</v>
      </c>
      <c r="B123" s="12"/>
      <c r="C123" s="12" t="s">
        <v>112</v>
      </c>
      <c r="D123" s="12"/>
      <c r="E123" s="12">
        <v>45328</v>
      </c>
      <c r="G123" s="7">
        <v>5648434</v>
      </c>
      <c r="I123" s="7">
        <v>1505149</v>
      </c>
      <c r="K123" s="7">
        <v>0</v>
      </c>
      <c r="M123" s="7">
        <v>0</v>
      </c>
      <c r="O123" s="7">
        <v>0</v>
      </c>
      <c r="Q123" s="7">
        <v>345740</v>
      </c>
      <c r="S123" s="7">
        <v>382842</v>
      </c>
      <c r="U123" s="7">
        <v>21756</v>
      </c>
      <c r="W123" s="7">
        <v>810510</v>
      </c>
      <c r="Y123" s="7">
        <v>357689</v>
      </c>
      <c r="AA123" s="7">
        <v>0</v>
      </c>
      <c r="AC123" s="7">
        <v>746716</v>
      </c>
      <c r="AE123" s="7">
        <v>386760</v>
      </c>
      <c r="AG123" s="7">
        <v>31394</v>
      </c>
      <c r="AI123" s="12" t="s">
        <v>866</v>
      </c>
      <c r="AJ123" s="12"/>
      <c r="AK123" s="12" t="s">
        <v>112</v>
      </c>
      <c r="AL123" s="12"/>
      <c r="AM123" s="7">
        <v>353577</v>
      </c>
      <c r="AO123" s="7">
        <v>0</v>
      </c>
      <c r="AQ123" s="7">
        <v>424272</v>
      </c>
      <c r="AS123" s="7">
        <v>796361</v>
      </c>
      <c r="AW123" s="7">
        <v>0</v>
      </c>
      <c r="AY123" s="7">
        <f t="shared" si="14"/>
        <v>11811200</v>
      </c>
      <c r="BA123" s="7">
        <f>+'St of Activites - GA Rev'!AI123-'St of Activities - GA Exp'!AY123</f>
        <v>-91396</v>
      </c>
      <c r="BC123" s="7">
        <v>2053238</v>
      </c>
      <c r="BE123" s="7">
        <f t="shared" si="15"/>
        <v>1961842</v>
      </c>
      <c r="BG123" s="7">
        <f>+'St of Net Assets - GA'!AA123-'St of Activities - GA Exp'!BE123</f>
        <v>0</v>
      </c>
      <c r="BL123" s="7" t="str">
        <f t="shared" si="6"/>
        <v>Columbiana Exempted Village SD</v>
      </c>
      <c r="BM123" s="7" t="b">
        <f t="shared" si="7"/>
        <v>1</v>
      </c>
      <c r="BO123" s="7" t="str">
        <f t="shared" si="8"/>
        <v>Columbiana</v>
      </c>
      <c r="BP123" s="7" t="b">
        <f t="shared" si="9"/>
        <v>1</v>
      </c>
    </row>
    <row r="124" spans="1:68">
      <c r="A124" s="12" t="s">
        <v>307</v>
      </c>
      <c r="B124" s="12"/>
      <c r="C124" s="12" t="s">
        <v>27</v>
      </c>
      <c r="D124" s="12"/>
      <c r="E124" s="12">
        <v>43802</v>
      </c>
      <c r="G124" s="7">
        <v>367357778</v>
      </c>
      <c r="I124" s="7">
        <v>118664722</v>
      </c>
      <c r="K124" s="7">
        <v>11379831</v>
      </c>
      <c r="M124" s="7">
        <v>2414516</v>
      </c>
      <c r="O124" s="7">
        <v>2168895</v>
      </c>
      <c r="Q124" s="7">
        <v>61923056</v>
      </c>
      <c r="S124" s="7">
        <v>75738568</v>
      </c>
      <c r="U124" s="7">
        <v>79137</v>
      </c>
      <c r="W124" s="7">
        <v>48856324</v>
      </c>
      <c r="Y124" s="7">
        <v>10116691</v>
      </c>
      <c r="AA124" s="7">
        <v>2149456</v>
      </c>
      <c r="AC124" s="7">
        <v>63300077</v>
      </c>
      <c r="AE124" s="7">
        <v>56422250</v>
      </c>
      <c r="AG124" s="7">
        <v>16316005</v>
      </c>
      <c r="AI124" s="12" t="s">
        <v>307</v>
      </c>
      <c r="AJ124" s="12"/>
      <c r="AK124" s="12" t="s">
        <v>27</v>
      </c>
      <c r="AL124" s="12"/>
      <c r="AM124" s="7">
        <v>0</v>
      </c>
      <c r="AO124" s="7">
        <v>38081702</v>
      </c>
      <c r="AQ124" s="7">
        <v>8330333</v>
      </c>
      <c r="AS124" s="7">
        <v>24153683</v>
      </c>
      <c r="AW124" s="7">
        <v>0</v>
      </c>
      <c r="AY124" s="7">
        <f t="shared" si="14"/>
        <v>907453024</v>
      </c>
      <c r="BA124" s="7">
        <f>+'St of Activites - GA Rev'!AI124-'St of Activities - GA Exp'!AY124</f>
        <v>31379847</v>
      </c>
      <c r="BC124" s="7">
        <v>560471494</v>
      </c>
      <c r="BE124" s="7">
        <f t="shared" si="15"/>
        <v>591851341</v>
      </c>
      <c r="BG124" s="7">
        <f>+'St of Net Assets - GA'!AA124-'St of Activities - GA Exp'!BE124</f>
        <v>0</v>
      </c>
      <c r="BL124" s="7" t="str">
        <f t="shared" si="6"/>
        <v>Columbus City SD</v>
      </c>
      <c r="BM124" s="7" t="b">
        <f t="shared" si="7"/>
        <v>1</v>
      </c>
      <c r="BO124" s="7" t="str">
        <f t="shared" si="8"/>
        <v>Franklin</v>
      </c>
      <c r="BP124" s="7" t="b">
        <f t="shared" si="9"/>
        <v>1</v>
      </c>
    </row>
    <row r="125" spans="1:68" ht="12" hidden="1" customHeight="1">
      <c r="A125" s="12" t="s">
        <v>637</v>
      </c>
      <c r="B125" s="12"/>
      <c r="C125" s="12" t="s">
        <v>482</v>
      </c>
      <c r="D125" s="12"/>
      <c r="E125" s="12">
        <v>49312</v>
      </c>
      <c r="AI125" s="12" t="s">
        <v>637</v>
      </c>
      <c r="AJ125" s="12"/>
      <c r="AK125" s="12" t="s">
        <v>482</v>
      </c>
      <c r="AL125" s="12"/>
      <c r="AY125" s="7">
        <f t="shared" si="14"/>
        <v>0</v>
      </c>
      <c r="BA125" s="7">
        <f>+'St of Activites - GA Rev'!AI125-'St of Activities - GA Exp'!AY125</f>
        <v>0</v>
      </c>
      <c r="BE125" s="7">
        <f t="shared" si="15"/>
        <v>0</v>
      </c>
      <c r="BG125" s="7">
        <f>+'St of Net Assets - GA'!AA125-'St of Activities - GA Exp'!BE125</f>
        <v>0</v>
      </c>
      <c r="BH125" s="7" t="s">
        <v>778</v>
      </c>
      <c r="BL125" s="7" t="str">
        <f t="shared" si="6"/>
        <v>Columbus Grove Local SD (CASH)</v>
      </c>
      <c r="BM125" s="7" t="b">
        <f t="shared" si="7"/>
        <v>1</v>
      </c>
      <c r="BO125" s="7" t="str">
        <f t="shared" si="8"/>
        <v>Putnam</v>
      </c>
      <c r="BP125" s="7" t="b">
        <f t="shared" si="9"/>
        <v>1</v>
      </c>
    </row>
    <row r="126" spans="1:68">
      <c r="A126" s="12" t="s">
        <v>208</v>
      </c>
      <c r="B126" s="12"/>
      <c r="C126" s="12" t="s">
        <v>12</v>
      </c>
      <c r="D126" s="12"/>
      <c r="E126" s="12">
        <v>43810</v>
      </c>
      <c r="G126" s="7">
        <v>9239504</v>
      </c>
      <c r="I126" s="7">
        <v>2166855</v>
      </c>
      <c r="K126" s="7">
        <v>115728</v>
      </c>
      <c r="M126" s="7">
        <v>0</v>
      </c>
      <c r="O126" s="7">
        <v>1256853</v>
      </c>
      <c r="Q126" s="7">
        <v>1330775</v>
      </c>
      <c r="S126" s="7">
        <v>1473489</v>
      </c>
      <c r="U126" s="7">
        <v>30906</v>
      </c>
      <c r="W126" s="7">
        <v>1807127</v>
      </c>
      <c r="Y126" s="7">
        <v>410450</v>
      </c>
      <c r="AA126" s="7">
        <v>0</v>
      </c>
      <c r="AC126" s="7">
        <v>1878651</v>
      </c>
      <c r="AE126" s="7">
        <v>808510</v>
      </c>
      <c r="AG126" s="7">
        <v>62324</v>
      </c>
      <c r="AI126" s="12" t="s">
        <v>208</v>
      </c>
      <c r="AJ126" s="12"/>
      <c r="AK126" s="12" t="s">
        <v>12</v>
      </c>
      <c r="AL126" s="12"/>
      <c r="AM126" s="7">
        <v>790823</v>
      </c>
      <c r="AO126" s="7">
        <v>0</v>
      </c>
      <c r="AQ126" s="7">
        <v>368469</v>
      </c>
      <c r="AS126" s="7">
        <v>198200</v>
      </c>
      <c r="AW126" s="7">
        <v>0</v>
      </c>
      <c r="AY126" s="7">
        <f t="shared" si="14"/>
        <v>21938664</v>
      </c>
      <c r="BA126" s="7">
        <f>+'St of Activites - GA Rev'!AI126-'St of Activities - GA Exp'!AY126</f>
        <v>804348</v>
      </c>
      <c r="BC126" s="7">
        <v>41089066</v>
      </c>
      <c r="BE126" s="7">
        <f t="shared" si="15"/>
        <v>41893414</v>
      </c>
      <c r="BG126" s="7">
        <f>+'St of Net Assets - GA'!AA126-'St of Activities - GA Exp'!BE126</f>
        <v>0</v>
      </c>
      <c r="BL126" s="7" t="str">
        <f t="shared" si="6"/>
        <v>Conneaut Area City SD</v>
      </c>
      <c r="BM126" s="7" t="b">
        <f t="shared" si="7"/>
        <v>1</v>
      </c>
      <c r="BO126" s="7" t="str">
        <f t="shared" si="8"/>
        <v>Ashtabula</v>
      </c>
      <c r="BP126" s="7" t="b">
        <f t="shared" si="9"/>
        <v>1</v>
      </c>
    </row>
    <row r="127" spans="1:68">
      <c r="A127" s="12" t="s">
        <v>351</v>
      </c>
      <c r="B127" s="12"/>
      <c r="C127" s="12" t="s">
        <v>352</v>
      </c>
      <c r="D127" s="12"/>
      <c r="E127" s="12">
        <v>47548</v>
      </c>
      <c r="G127" s="7">
        <v>2705792</v>
      </c>
      <c r="I127" s="7">
        <v>653835</v>
      </c>
      <c r="K127" s="7">
        <v>69192</v>
      </c>
      <c r="M127" s="7">
        <v>0</v>
      </c>
      <c r="O127" s="7">
        <v>13447</v>
      </c>
      <c r="Q127" s="7">
        <v>203552</v>
      </c>
      <c r="S127" s="7">
        <v>294617</v>
      </c>
      <c r="U127" s="7">
        <v>14910</v>
      </c>
      <c r="W127" s="7">
        <v>477155</v>
      </c>
      <c r="Y127" s="7">
        <v>233130</v>
      </c>
      <c r="AA127" s="7">
        <v>41</v>
      </c>
      <c r="AC127" s="7">
        <v>489282</v>
      </c>
      <c r="AE127" s="7">
        <v>432451</v>
      </c>
      <c r="AG127" s="7">
        <v>25076</v>
      </c>
      <c r="AI127" s="12" t="s">
        <v>351</v>
      </c>
      <c r="AJ127" s="12"/>
      <c r="AK127" s="12" t="s">
        <v>352</v>
      </c>
      <c r="AL127" s="12"/>
      <c r="AM127" s="7">
        <v>271662</v>
      </c>
      <c r="AO127" s="7">
        <v>3539</v>
      </c>
      <c r="AQ127" s="7">
        <v>155052</v>
      </c>
      <c r="AS127" s="7">
        <v>703</v>
      </c>
      <c r="AW127" s="7">
        <v>0</v>
      </c>
      <c r="AY127" s="7">
        <f t="shared" si="14"/>
        <v>6043436</v>
      </c>
      <c r="BA127" s="7">
        <f>+'St of Activites - GA Rev'!AI127-'St of Activities - GA Exp'!AY127</f>
        <v>449000</v>
      </c>
      <c r="BC127" s="7">
        <v>922840</v>
      </c>
      <c r="BE127" s="7">
        <f t="shared" si="15"/>
        <v>1371840</v>
      </c>
      <c r="BG127" s="7">
        <f>+'St of Net Assets - GA'!AA127-'St of Activities - GA Exp'!BE127</f>
        <v>0</v>
      </c>
      <c r="BL127" s="7" t="str">
        <f t="shared" si="6"/>
        <v>Conotton Valley Union Local SD</v>
      </c>
      <c r="BM127" s="7" t="b">
        <f t="shared" si="7"/>
        <v>1</v>
      </c>
      <c r="BO127" s="7" t="str">
        <f t="shared" si="8"/>
        <v>Harrison</v>
      </c>
      <c r="BP127" s="7" t="b">
        <f t="shared" si="9"/>
        <v>1</v>
      </c>
    </row>
    <row r="128" spans="1:68" ht="12" hidden="1" customHeight="1">
      <c r="A128" s="12" t="s">
        <v>709</v>
      </c>
      <c r="B128" s="12"/>
      <c r="C128" s="12" t="s">
        <v>482</v>
      </c>
      <c r="D128" s="12"/>
      <c r="E128" s="12">
        <v>49320</v>
      </c>
      <c r="AI128" s="12" t="s">
        <v>709</v>
      </c>
      <c r="AJ128" s="12"/>
      <c r="AK128" s="12" t="s">
        <v>482</v>
      </c>
      <c r="AL128" s="12"/>
      <c r="AY128" s="7">
        <f t="shared" si="14"/>
        <v>0</v>
      </c>
      <c r="BA128" s="7">
        <f>+'St of Activites - GA Rev'!AI128-'St of Activities - GA Exp'!AY128</f>
        <v>0</v>
      </c>
      <c r="BE128" s="7">
        <f t="shared" si="15"/>
        <v>0</v>
      </c>
      <c r="BG128" s="7">
        <f>+'St of Net Assets - GA'!AA128-'St of Activities - GA Exp'!BE128</f>
        <v>0</v>
      </c>
      <c r="BH128" s="7" t="s">
        <v>778</v>
      </c>
      <c r="BL128" s="7" t="str">
        <f t="shared" si="6"/>
        <v>Continental Local SD (CASH) Two year Audit</v>
      </c>
      <c r="BM128" s="7" t="b">
        <f t="shared" si="7"/>
        <v>1</v>
      </c>
      <c r="BO128" s="7" t="str">
        <f t="shared" si="8"/>
        <v>Putnam</v>
      </c>
      <c r="BP128" s="7" t="b">
        <f t="shared" si="9"/>
        <v>1</v>
      </c>
    </row>
    <row r="129" spans="1:68">
      <c r="A129" s="12" t="s">
        <v>524</v>
      </c>
      <c r="B129" s="12"/>
      <c r="C129" s="12" t="s">
        <v>63</v>
      </c>
      <c r="D129" s="12"/>
      <c r="E129" s="12">
        <v>49981</v>
      </c>
      <c r="G129" s="7">
        <v>17368376</v>
      </c>
      <c r="I129" s="7">
        <v>3160222</v>
      </c>
      <c r="K129" s="7">
        <v>586427</v>
      </c>
      <c r="M129" s="7">
        <v>0</v>
      </c>
      <c r="O129" s="7">
        <v>0</v>
      </c>
      <c r="Q129" s="7">
        <v>1725396</v>
      </c>
      <c r="S129" s="7">
        <v>1701910</v>
      </c>
      <c r="U129" s="7">
        <v>141438</v>
      </c>
      <c r="W129" s="7">
        <v>1988604</v>
      </c>
      <c r="Y129" s="7">
        <v>967821</v>
      </c>
      <c r="AA129" s="7">
        <v>128876</v>
      </c>
      <c r="AC129" s="7">
        <v>2862571</v>
      </c>
      <c r="AE129" s="7">
        <v>1725038</v>
      </c>
      <c r="AG129" s="7">
        <v>243473</v>
      </c>
      <c r="AI129" s="12" t="s">
        <v>524</v>
      </c>
      <c r="AJ129" s="12"/>
      <c r="AK129" s="12" t="s">
        <v>63</v>
      </c>
      <c r="AL129" s="12"/>
      <c r="AM129" s="7">
        <v>883742</v>
      </c>
      <c r="AO129" s="7">
        <v>549332</v>
      </c>
      <c r="AQ129" s="7">
        <v>1158546</v>
      </c>
      <c r="AS129" s="7">
        <v>142880</v>
      </c>
      <c r="AW129" s="7">
        <v>0</v>
      </c>
      <c r="AY129" s="7">
        <f t="shared" si="14"/>
        <v>35334652</v>
      </c>
      <c r="BA129" s="7">
        <f>+'St of Activites - GA Rev'!AI129-'St of Activities - GA Exp'!AY129</f>
        <v>1525383</v>
      </c>
      <c r="BC129" s="7">
        <v>23524344</v>
      </c>
      <c r="BE129" s="7">
        <f t="shared" si="15"/>
        <v>25049727</v>
      </c>
      <c r="BG129" s="7">
        <f>+'St of Net Assets - GA'!AA129-'St of Activities - GA Exp'!BE129</f>
        <v>0</v>
      </c>
      <c r="BL129" s="7" t="str">
        <f t="shared" si="6"/>
        <v>Copley-Fairlawn City SD</v>
      </c>
      <c r="BM129" s="7" t="b">
        <f t="shared" si="7"/>
        <v>1</v>
      </c>
      <c r="BO129" s="7" t="str">
        <f t="shared" si="8"/>
        <v>Summit</v>
      </c>
      <c r="BP129" s="7" t="b">
        <f t="shared" si="9"/>
        <v>1</v>
      </c>
    </row>
    <row r="130" spans="1:68" ht="12" customHeight="1">
      <c r="A130" s="12" t="s">
        <v>345</v>
      </c>
      <c r="B130" s="12"/>
      <c r="C130" s="12" t="s">
        <v>33</v>
      </c>
      <c r="D130" s="12"/>
      <c r="E130" s="12">
        <v>47431</v>
      </c>
      <c r="G130" s="7">
        <v>3188080</v>
      </c>
      <c r="I130" s="7">
        <v>584029</v>
      </c>
      <c r="K130" s="7">
        <v>302289</v>
      </c>
      <c r="M130" s="7">
        <v>0</v>
      </c>
      <c r="O130" s="7">
        <v>0</v>
      </c>
      <c r="Q130" s="7">
        <v>236453</v>
      </c>
      <c r="S130" s="7">
        <v>302397</v>
      </c>
      <c r="U130" s="7">
        <v>42012</v>
      </c>
      <c r="W130" s="7">
        <v>863631</v>
      </c>
      <c r="Y130" s="7">
        <v>224034</v>
      </c>
      <c r="AA130" s="7">
        <v>0</v>
      </c>
      <c r="AC130" s="7">
        <v>640617</v>
      </c>
      <c r="AE130" s="7">
        <v>346276</v>
      </c>
      <c r="AG130" s="7">
        <v>11811</v>
      </c>
      <c r="AI130" s="12" t="s">
        <v>345</v>
      </c>
      <c r="AJ130" s="12"/>
      <c r="AK130" s="12" t="s">
        <v>33</v>
      </c>
      <c r="AL130" s="12"/>
      <c r="AM130" s="7">
        <v>0</v>
      </c>
      <c r="AO130" s="7">
        <v>271513</v>
      </c>
      <c r="AQ130" s="7">
        <v>267096</v>
      </c>
      <c r="AS130" s="7">
        <v>364579</v>
      </c>
      <c r="AW130" s="7">
        <v>0</v>
      </c>
      <c r="AY130" s="7">
        <f t="shared" si="14"/>
        <v>7644817</v>
      </c>
      <c r="BA130" s="7">
        <f>+'St of Activites - GA Rev'!AI130-'St of Activities - GA Exp'!AY130</f>
        <v>658407</v>
      </c>
      <c r="BC130" s="7">
        <v>8812837</v>
      </c>
      <c r="BE130" s="7">
        <f t="shared" si="15"/>
        <v>9471244</v>
      </c>
      <c r="BG130" s="7">
        <f>+'St of Net Assets - GA'!AA130-'St of Activities - GA Exp'!BE130</f>
        <v>0</v>
      </c>
      <c r="BL130" s="7" t="str">
        <f t="shared" si="6"/>
        <v>Cory-Rawson Local SD</v>
      </c>
      <c r="BM130" s="7" t="b">
        <f t="shared" si="7"/>
        <v>1</v>
      </c>
      <c r="BO130" s="7" t="str">
        <f t="shared" si="8"/>
        <v>Hancock</v>
      </c>
      <c r="BP130" s="7" t="b">
        <f t="shared" si="9"/>
        <v>1</v>
      </c>
    </row>
    <row r="131" spans="1:68">
      <c r="A131" s="12" t="s">
        <v>259</v>
      </c>
      <c r="B131" s="12"/>
      <c r="C131" s="12" t="s">
        <v>19</v>
      </c>
      <c r="D131" s="12"/>
      <c r="E131" s="12">
        <v>43828</v>
      </c>
      <c r="G131" s="7">
        <v>11802560</v>
      </c>
      <c r="I131" s="7">
        <v>0</v>
      </c>
      <c r="K131" s="7">
        <v>0</v>
      </c>
      <c r="M131" s="7">
        <v>0</v>
      </c>
      <c r="O131" s="7">
        <v>0</v>
      </c>
      <c r="Q131" s="7">
        <v>683415</v>
      </c>
      <c r="S131" s="7">
        <v>821641</v>
      </c>
      <c r="U131" s="7">
        <v>34194</v>
      </c>
      <c r="W131" s="7">
        <v>1406312</v>
      </c>
      <c r="Y131" s="7">
        <v>434377</v>
      </c>
      <c r="AA131" s="7">
        <v>315222</v>
      </c>
      <c r="AC131" s="7">
        <v>1507473</v>
      </c>
      <c r="AE131" s="7">
        <v>44743</v>
      </c>
      <c r="AG131" s="7">
        <v>60105</v>
      </c>
      <c r="AI131" s="12" t="s">
        <v>259</v>
      </c>
      <c r="AJ131" s="12"/>
      <c r="AK131" s="12" t="s">
        <v>19</v>
      </c>
      <c r="AL131" s="12"/>
      <c r="AM131" s="7">
        <v>802370</v>
      </c>
      <c r="AO131" s="7">
        <v>74358</v>
      </c>
      <c r="AQ131" s="7">
        <v>398447</v>
      </c>
      <c r="AS131" s="7">
        <v>567820</v>
      </c>
      <c r="AW131" s="7">
        <v>0</v>
      </c>
      <c r="AY131" s="7">
        <f t="shared" si="14"/>
        <v>18953037</v>
      </c>
      <c r="BA131" s="7">
        <f>+'St of Activites - GA Rev'!AI131-'St of Activities - GA Exp'!AY131</f>
        <v>17137168</v>
      </c>
      <c r="BC131" s="7">
        <v>7174548</v>
      </c>
      <c r="BE131" s="7">
        <f t="shared" si="15"/>
        <v>24311716</v>
      </c>
      <c r="BG131" s="7">
        <f>+'St of Net Assets - GA'!AA131-'St of Activities - GA Exp'!BE131</f>
        <v>0</v>
      </c>
      <c r="BH131" s="7" t="s">
        <v>805</v>
      </c>
      <c r="BL131" s="7" t="str">
        <f t="shared" si="6"/>
        <v>Coshocton City SD</v>
      </c>
      <c r="BM131" s="7" t="b">
        <f t="shared" si="7"/>
        <v>1</v>
      </c>
      <c r="BO131" s="7" t="str">
        <f t="shared" si="8"/>
        <v>Coshocton</v>
      </c>
      <c r="BP131" s="7" t="b">
        <f t="shared" si="9"/>
        <v>1</v>
      </c>
    </row>
    <row r="132" spans="1:68">
      <c r="A132" s="12" t="s">
        <v>629</v>
      </c>
      <c r="B132" s="12"/>
      <c r="C132" s="12" t="s">
        <v>63</v>
      </c>
      <c r="D132" s="12"/>
      <c r="E132" s="12"/>
      <c r="G132" s="7">
        <v>9881192</v>
      </c>
      <c r="I132" s="7">
        <v>2949356</v>
      </c>
      <c r="K132" s="7">
        <v>85594</v>
      </c>
      <c r="M132" s="7">
        <v>689</v>
      </c>
      <c r="O132" s="7">
        <v>654251</v>
      </c>
      <c r="Q132" s="7">
        <v>962197</v>
      </c>
      <c r="S132" s="7">
        <v>1266550</v>
      </c>
      <c r="U132" s="7">
        <v>116886</v>
      </c>
      <c r="W132" s="7">
        <v>1872325</v>
      </c>
      <c r="Y132" s="7">
        <v>401698</v>
      </c>
      <c r="AA132" s="7">
        <v>42401</v>
      </c>
      <c r="AC132" s="7">
        <v>2450396</v>
      </c>
      <c r="AE132" s="7">
        <v>1089470</v>
      </c>
      <c r="AG132" s="7">
        <v>151056</v>
      </c>
      <c r="AI132" s="12" t="s">
        <v>629</v>
      </c>
      <c r="AJ132" s="12"/>
      <c r="AK132" s="12" t="s">
        <v>63</v>
      </c>
      <c r="AL132" s="12"/>
      <c r="AM132" s="7">
        <v>839202</v>
      </c>
      <c r="AO132" s="7">
        <v>275162</v>
      </c>
      <c r="AQ132" s="7">
        <v>411698</v>
      </c>
      <c r="AS132" s="7">
        <v>258420</v>
      </c>
      <c r="AW132" s="7">
        <v>0</v>
      </c>
      <c r="AY132" s="7">
        <f t="shared" si="14"/>
        <v>23708543</v>
      </c>
      <c r="BA132" s="7">
        <f>+'St of Activites - GA Rev'!AI132-'St of Activities - GA Exp'!AY132</f>
        <v>436295</v>
      </c>
      <c r="BC132" s="7">
        <v>-3723341</v>
      </c>
      <c r="BE132" s="7">
        <f t="shared" si="15"/>
        <v>-3287046</v>
      </c>
      <c r="BG132" s="7">
        <f>+'St of Net Assets - GA'!AA132-'St of Activities - GA Exp'!BE132</f>
        <v>0</v>
      </c>
      <c r="BL132" s="7" t="str">
        <f t="shared" si="6"/>
        <v>Coventry Local SD</v>
      </c>
      <c r="BM132" s="7" t="b">
        <f t="shared" si="7"/>
        <v>1</v>
      </c>
      <c r="BO132" s="7" t="str">
        <f t="shared" si="8"/>
        <v>Summit</v>
      </c>
      <c r="BP132" s="7" t="b">
        <f t="shared" si="9"/>
        <v>1</v>
      </c>
    </row>
    <row r="133" spans="1:68">
      <c r="A133" s="12" t="s">
        <v>867</v>
      </c>
      <c r="B133" s="12"/>
      <c r="C133" s="12" t="s">
        <v>48</v>
      </c>
      <c r="D133" s="12"/>
      <c r="E133" s="12">
        <v>45336</v>
      </c>
      <c r="G133" s="7">
        <v>3917130</v>
      </c>
      <c r="I133" s="7">
        <v>919975</v>
      </c>
      <c r="K133" s="7">
        <v>0</v>
      </c>
      <c r="M133" s="7">
        <v>0</v>
      </c>
      <c r="O133" s="7">
        <v>7712</v>
      </c>
      <c r="Q133" s="7">
        <v>386194</v>
      </c>
      <c r="S133" s="7">
        <v>496309</v>
      </c>
      <c r="U133" s="7">
        <v>12234</v>
      </c>
      <c r="W133" s="7">
        <v>793640</v>
      </c>
      <c r="Y133" s="7">
        <v>259610</v>
      </c>
      <c r="AA133" s="7">
        <v>4012</v>
      </c>
      <c r="AC133" s="7">
        <v>617152</v>
      </c>
      <c r="AE133" s="7">
        <v>400750</v>
      </c>
      <c r="AG133" s="7">
        <v>90573</v>
      </c>
      <c r="AI133" s="12" t="s">
        <v>867</v>
      </c>
      <c r="AJ133" s="12"/>
      <c r="AK133" s="12" t="s">
        <v>48</v>
      </c>
      <c r="AL133" s="12"/>
      <c r="AM133" s="7">
        <v>314770</v>
      </c>
      <c r="AO133" s="7">
        <v>99175</v>
      </c>
      <c r="AQ133" s="7">
        <v>506249</v>
      </c>
      <c r="AS133" s="7">
        <v>7381</v>
      </c>
      <c r="AW133" s="7">
        <v>0</v>
      </c>
      <c r="AY133" s="7">
        <f t="shared" si="14"/>
        <v>8832866</v>
      </c>
      <c r="BA133" s="7">
        <f>+'St of Activites - GA Rev'!AI133-'St of Activities - GA Exp'!AY133</f>
        <v>15046</v>
      </c>
      <c r="BC133" s="7">
        <v>2592396</v>
      </c>
      <c r="BE133" s="7">
        <f t="shared" si="15"/>
        <v>2607442</v>
      </c>
      <c r="BG133" s="7">
        <f>+'St of Net Assets - GA'!AA133-'St of Activities - GA Exp'!BE133</f>
        <v>0</v>
      </c>
      <c r="BL133" s="7" t="str">
        <f t="shared" si="6"/>
        <v>Covington Exempted Village SD</v>
      </c>
      <c r="BM133" s="7" t="b">
        <f t="shared" si="7"/>
        <v>1</v>
      </c>
      <c r="BO133" s="7" t="str">
        <f t="shared" si="8"/>
        <v>Miami</v>
      </c>
      <c r="BP133" s="7" t="b">
        <f t="shared" si="9"/>
        <v>1</v>
      </c>
    </row>
    <row r="134" spans="1:68" hidden="1">
      <c r="A134" s="12" t="s">
        <v>982</v>
      </c>
      <c r="B134" s="12"/>
      <c r="C134" s="12" t="s">
        <v>111</v>
      </c>
      <c r="D134" s="12"/>
      <c r="E134" s="12">
        <v>45344</v>
      </c>
      <c r="AI134" s="12" t="s">
        <v>982</v>
      </c>
      <c r="AJ134" s="12"/>
      <c r="AK134" s="12" t="s">
        <v>111</v>
      </c>
      <c r="AL134" s="12"/>
      <c r="AY134" s="7">
        <f t="shared" si="14"/>
        <v>0</v>
      </c>
      <c r="BA134" s="7">
        <f>+'St of Activites - GA Rev'!AI134-'St of Activities - GA Exp'!AY134</f>
        <v>0</v>
      </c>
      <c r="BE134" s="7">
        <f t="shared" si="15"/>
        <v>0</v>
      </c>
      <c r="BG134" s="7">
        <f>+'St of Net Assets - GA'!AA134-'St of Activities - GA Exp'!BE134</f>
        <v>0</v>
      </c>
      <c r="BH134" s="7" t="s">
        <v>903</v>
      </c>
      <c r="BL134" s="7" t="str">
        <f t="shared" si="6"/>
        <v>Crestline Exempted Village SD (CASH)</v>
      </c>
      <c r="BM134" s="7" t="b">
        <f t="shared" si="7"/>
        <v>1</v>
      </c>
      <c r="BO134" s="7" t="str">
        <f t="shared" si="8"/>
        <v>Crawford</v>
      </c>
      <c r="BP134" s="7" t="b">
        <f t="shared" si="9"/>
        <v>1</v>
      </c>
    </row>
    <row r="135" spans="1:68">
      <c r="A135" s="12" t="s">
        <v>253</v>
      </c>
      <c r="B135" s="12"/>
      <c r="C135" s="12" t="s">
        <v>112</v>
      </c>
      <c r="D135" s="12"/>
      <c r="E135" s="12">
        <v>46433</v>
      </c>
      <c r="G135" s="7">
        <v>5629967</v>
      </c>
      <c r="I135" s="7">
        <v>1022381</v>
      </c>
      <c r="K135" s="7">
        <v>88730</v>
      </c>
      <c r="M135" s="7">
        <v>0</v>
      </c>
      <c r="O135" s="7">
        <v>98237</v>
      </c>
      <c r="Q135" s="7">
        <v>561024</v>
      </c>
      <c r="S135" s="7">
        <v>411822</v>
      </c>
      <c r="U135" s="7">
        <v>15473</v>
      </c>
      <c r="W135" s="7">
        <v>920485</v>
      </c>
      <c r="Y135" s="7">
        <v>336873</v>
      </c>
      <c r="AA135" s="7">
        <v>345</v>
      </c>
      <c r="AC135" s="7">
        <v>1298278</v>
      </c>
      <c r="AE135" s="7">
        <v>811813</v>
      </c>
      <c r="AG135" s="7">
        <v>18786</v>
      </c>
      <c r="AI135" s="12" t="s">
        <v>253</v>
      </c>
      <c r="AJ135" s="12"/>
      <c r="AK135" s="12" t="s">
        <v>112</v>
      </c>
      <c r="AL135" s="12"/>
      <c r="AM135" s="7">
        <v>565274</v>
      </c>
      <c r="AO135" s="7">
        <v>285</v>
      </c>
      <c r="AQ135" s="7">
        <v>403050</v>
      </c>
      <c r="AS135" s="7">
        <v>268721</v>
      </c>
      <c r="AW135" s="7">
        <v>0</v>
      </c>
      <c r="AY135" s="7">
        <f t="shared" si="14"/>
        <v>12451544</v>
      </c>
      <c r="BA135" s="7">
        <f>+'St of Activites - GA Rev'!AI135-'St of Activities - GA Exp'!AY135</f>
        <v>617406</v>
      </c>
      <c r="BC135" s="7">
        <v>11684210</v>
      </c>
      <c r="BE135" s="7">
        <f t="shared" si="15"/>
        <v>12301616</v>
      </c>
      <c r="BG135" s="7">
        <f>+'St of Net Assets - GA'!AA135-'St of Activities - GA Exp'!BE135</f>
        <v>0</v>
      </c>
      <c r="BL135" s="7" t="str">
        <f t="shared" si="6"/>
        <v>Crestview Local SD</v>
      </c>
      <c r="BM135" s="7" t="b">
        <f t="shared" si="7"/>
        <v>1</v>
      </c>
      <c r="BO135" s="7" t="str">
        <f t="shared" si="8"/>
        <v>Columbiana</v>
      </c>
      <c r="BP135" s="7" t="b">
        <f t="shared" si="9"/>
        <v>1</v>
      </c>
    </row>
    <row r="136" spans="1:68">
      <c r="A136" s="12" t="s">
        <v>253</v>
      </c>
      <c r="B136" s="12"/>
      <c r="C136" s="12" t="s">
        <v>110</v>
      </c>
      <c r="D136" s="12"/>
      <c r="E136" s="12">
        <v>49429</v>
      </c>
      <c r="G136" s="7">
        <v>5443903</v>
      </c>
      <c r="I136" s="7">
        <v>1352928</v>
      </c>
      <c r="K136" s="7">
        <v>262806</v>
      </c>
      <c r="M136" s="7">
        <v>0</v>
      </c>
      <c r="O136" s="7">
        <v>0</v>
      </c>
      <c r="Q136" s="7">
        <v>537537</v>
      </c>
      <c r="S136" s="7">
        <v>535175</v>
      </c>
      <c r="U136" s="7">
        <v>86669</v>
      </c>
      <c r="W136" s="7">
        <v>786343</v>
      </c>
      <c r="Y136" s="7">
        <v>250183</v>
      </c>
      <c r="AA136" s="7">
        <v>897</v>
      </c>
      <c r="AC136" s="7">
        <v>1038700</v>
      </c>
      <c r="AE136" s="7">
        <v>810252</v>
      </c>
      <c r="AG136" s="7">
        <v>29259</v>
      </c>
      <c r="AI136" s="12" t="s">
        <v>253</v>
      </c>
      <c r="AJ136" s="12"/>
      <c r="AK136" s="12" t="s">
        <v>110</v>
      </c>
      <c r="AL136" s="12"/>
      <c r="AM136" s="7">
        <v>500116</v>
      </c>
      <c r="AO136" s="7">
        <v>21509</v>
      </c>
      <c r="AQ136" s="7">
        <v>520504</v>
      </c>
      <c r="AS136" s="7">
        <v>266152</v>
      </c>
      <c r="AW136" s="7">
        <v>0</v>
      </c>
      <c r="AY136" s="7">
        <f t="shared" si="14"/>
        <v>12442933</v>
      </c>
      <c r="BA136" s="7">
        <f>+'St of Activites - GA Rev'!AI136-'St of Activities - GA Exp'!AY136</f>
        <v>302524</v>
      </c>
      <c r="BC136" s="7">
        <v>26866433</v>
      </c>
      <c r="BE136" s="7">
        <f t="shared" si="15"/>
        <v>27168957</v>
      </c>
      <c r="BG136" s="7">
        <f>+'St of Net Assets - GA'!AA136-'St of Activities - GA Exp'!BE136</f>
        <v>0</v>
      </c>
      <c r="BL136" s="7" t="str">
        <f t="shared" si="6"/>
        <v>Crestview Local SD</v>
      </c>
      <c r="BM136" s="7" t="b">
        <f t="shared" si="7"/>
        <v>1</v>
      </c>
      <c r="BO136" s="7" t="str">
        <f t="shared" si="8"/>
        <v>Richland</v>
      </c>
      <c r="BP136" s="7" t="b">
        <f t="shared" si="9"/>
        <v>1</v>
      </c>
    </row>
    <row r="137" spans="1:68" hidden="1">
      <c r="A137" s="12" t="s">
        <v>686</v>
      </c>
      <c r="B137" s="12"/>
      <c r="C137" s="12" t="s">
        <v>67</v>
      </c>
      <c r="D137" s="12"/>
      <c r="E137" s="12"/>
      <c r="AI137" s="12" t="s">
        <v>686</v>
      </c>
      <c r="AJ137" s="12"/>
      <c r="AK137" s="12" t="s">
        <v>67</v>
      </c>
      <c r="AL137" s="12"/>
      <c r="AY137" s="7">
        <f t="shared" si="14"/>
        <v>0</v>
      </c>
      <c r="BA137" s="7">
        <f>+'St of Activites - GA Rev'!AI137-'St of Activities - GA Exp'!AY137</f>
        <v>0</v>
      </c>
      <c r="BE137" s="7">
        <f t="shared" si="15"/>
        <v>0</v>
      </c>
      <c r="BG137" s="7">
        <f>+'St of Net Assets - GA'!AA137-'St of Activities - GA Exp'!BE137</f>
        <v>0</v>
      </c>
      <c r="BH137" s="7" t="s">
        <v>778</v>
      </c>
      <c r="BL137" s="7" t="str">
        <f t="shared" si="6"/>
        <v>Crestview Local SD (CASH)</v>
      </c>
      <c r="BM137" s="7" t="b">
        <f t="shared" si="7"/>
        <v>1</v>
      </c>
      <c r="BO137" s="7" t="str">
        <f t="shared" si="8"/>
        <v>Van Wert</v>
      </c>
      <c r="BP137" s="7" t="b">
        <f t="shared" si="9"/>
        <v>1</v>
      </c>
    </row>
    <row r="138" spans="1:68">
      <c r="A138" s="12" t="s">
        <v>758</v>
      </c>
      <c r="B138" s="12"/>
      <c r="C138" s="12" t="s">
        <v>56</v>
      </c>
      <c r="D138" s="12"/>
      <c r="E138" s="12">
        <v>49189</v>
      </c>
      <c r="G138" s="7">
        <v>9781099</v>
      </c>
      <c r="I138" s="7">
        <v>2282729</v>
      </c>
      <c r="K138" s="7">
        <v>181858</v>
      </c>
      <c r="M138" s="7">
        <f>214+163453</f>
        <v>163667</v>
      </c>
      <c r="O138" s="7">
        <v>1059808</v>
      </c>
      <c r="Q138" s="7">
        <v>982859</v>
      </c>
      <c r="S138" s="7">
        <v>1127805</v>
      </c>
      <c r="U138" s="7">
        <v>19635</v>
      </c>
      <c r="W138" s="7">
        <v>2278657</v>
      </c>
      <c r="Y138" s="7">
        <v>538362</v>
      </c>
      <c r="AA138" s="7">
        <v>43154</v>
      </c>
      <c r="AC138" s="7">
        <v>2240467</v>
      </c>
      <c r="AE138" s="7">
        <v>1787163</v>
      </c>
      <c r="AG138" s="7">
        <v>606995</v>
      </c>
      <c r="AI138" s="12" t="s">
        <v>758</v>
      </c>
      <c r="AJ138" s="12"/>
      <c r="AK138" s="12" t="s">
        <v>56</v>
      </c>
      <c r="AL138" s="12"/>
      <c r="AM138" s="7">
        <v>622171</v>
      </c>
      <c r="AO138" s="7">
        <v>26815</v>
      </c>
      <c r="AQ138" s="7">
        <v>563074</v>
      </c>
      <c r="AS138" s="7">
        <v>320119</v>
      </c>
      <c r="AW138" s="7">
        <v>0</v>
      </c>
      <c r="AY138" s="7">
        <f t="shared" si="14"/>
        <v>24626437</v>
      </c>
      <c r="BA138" s="7">
        <f>+'St of Activites - GA Rev'!AI138-'St of Activities - GA Exp'!AY138</f>
        <v>-1491079</v>
      </c>
      <c r="BC138" s="7">
        <v>23101590</v>
      </c>
      <c r="BE138" s="7">
        <f t="shared" si="15"/>
        <v>21610511</v>
      </c>
      <c r="BG138" s="7">
        <f>+'St of Net Assets - GA'!AA138-'St of Activities - GA Exp'!BE138</f>
        <v>0</v>
      </c>
      <c r="BL138" s="7" t="str">
        <f t="shared" si="6"/>
        <v xml:space="preserve">Crestwood Local SD </v>
      </c>
      <c r="BM138" s="7" t="b">
        <f t="shared" si="7"/>
        <v>1</v>
      </c>
      <c r="BO138" s="7" t="str">
        <f t="shared" si="8"/>
        <v>Portage</v>
      </c>
      <c r="BP138" s="7" t="b">
        <f t="shared" si="9"/>
        <v>1</v>
      </c>
    </row>
    <row r="139" spans="1:68">
      <c r="A139" s="12" t="s">
        <v>868</v>
      </c>
      <c r="B139" s="12"/>
      <c r="C139" s="12" t="s">
        <v>466</v>
      </c>
      <c r="D139" s="12"/>
      <c r="E139" s="12"/>
      <c r="G139" s="7">
        <v>6999213</v>
      </c>
      <c r="I139" s="7">
        <v>0</v>
      </c>
      <c r="K139" s="7">
        <v>0</v>
      </c>
      <c r="M139" s="7">
        <v>0</v>
      </c>
      <c r="O139" s="7">
        <v>0</v>
      </c>
      <c r="Q139" s="7">
        <v>856827</v>
      </c>
      <c r="S139" s="7">
        <v>411822</v>
      </c>
      <c r="U139" s="7">
        <v>37548</v>
      </c>
      <c r="W139" s="7">
        <v>959034</v>
      </c>
      <c r="Y139" s="7">
        <v>266918</v>
      </c>
      <c r="AA139" s="7">
        <v>0</v>
      </c>
      <c r="AC139" s="7">
        <v>1134984</v>
      </c>
      <c r="AE139" s="7">
        <v>763066</v>
      </c>
      <c r="AG139" s="7">
        <v>0</v>
      </c>
      <c r="AI139" s="12" t="s">
        <v>868</v>
      </c>
      <c r="AJ139" s="12"/>
      <c r="AK139" s="12" t="s">
        <v>466</v>
      </c>
      <c r="AL139" s="12"/>
      <c r="AM139" s="7">
        <v>524556</v>
      </c>
      <c r="AO139" s="7">
        <v>0</v>
      </c>
      <c r="AQ139" s="7">
        <v>406773</v>
      </c>
      <c r="AS139" s="7">
        <v>45957</v>
      </c>
      <c r="AW139" s="7">
        <v>0</v>
      </c>
      <c r="AY139" s="7">
        <f t="shared" si="14"/>
        <v>12406698</v>
      </c>
      <c r="BA139" s="7">
        <f>+'St of Activites - GA Rev'!AI139-'St of Activities - GA Exp'!AY139</f>
        <v>5822</v>
      </c>
      <c r="BC139" s="7">
        <v>9542989</v>
      </c>
      <c r="BE139" s="7">
        <f t="shared" si="15"/>
        <v>9548811</v>
      </c>
      <c r="BG139" s="7">
        <f>+'St of Net Assets - GA'!AA139-'St of Activities - GA Exp'!BE139</f>
        <v>0</v>
      </c>
      <c r="BH139" s="7" t="s">
        <v>805</v>
      </c>
      <c r="BL139" s="7" t="str">
        <f t="shared" si="6"/>
        <v>Crooksville Exempted Village SD</v>
      </c>
      <c r="BM139" s="7" t="b">
        <f t="shared" si="7"/>
        <v>1</v>
      </c>
      <c r="BO139" s="7" t="str">
        <f t="shared" si="8"/>
        <v>Perry</v>
      </c>
      <c r="BP139" s="7" t="b">
        <f t="shared" si="9"/>
        <v>1</v>
      </c>
    </row>
    <row r="140" spans="1:68">
      <c r="A140" s="12" t="s">
        <v>687</v>
      </c>
      <c r="B140" s="12"/>
      <c r="C140" s="12" t="s">
        <v>63</v>
      </c>
      <c r="D140" s="12"/>
      <c r="E140" s="12">
        <v>43836</v>
      </c>
      <c r="G140" s="7">
        <v>21922990</v>
      </c>
      <c r="I140" s="7">
        <v>5423597</v>
      </c>
      <c r="K140" s="7">
        <v>1337997</v>
      </c>
      <c r="M140" s="7">
        <v>0</v>
      </c>
      <c r="O140" s="7">
        <v>6009329</v>
      </c>
      <c r="Q140" s="7">
        <v>2793777</v>
      </c>
      <c r="S140" s="7">
        <v>1174606</v>
      </c>
      <c r="U140" s="7">
        <v>69512</v>
      </c>
      <c r="W140" s="7">
        <v>2839480</v>
      </c>
      <c r="Y140" s="7">
        <v>1048651</v>
      </c>
      <c r="AA140" s="7">
        <v>389963</v>
      </c>
      <c r="AC140" s="7">
        <v>4721746</v>
      </c>
      <c r="AE140" s="7">
        <v>1346972</v>
      </c>
      <c r="AG140" s="7">
        <v>329871</v>
      </c>
      <c r="AI140" s="12" t="s">
        <v>687</v>
      </c>
      <c r="AJ140" s="12"/>
      <c r="AK140" s="12" t="s">
        <v>63</v>
      </c>
      <c r="AL140" s="12"/>
      <c r="AM140" s="7">
        <v>1536178</v>
      </c>
      <c r="AO140" s="7">
        <v>1193473</v>
      </c>
      <c r="AQ140" s="7">
        <v>1158366</v>
      </c>
      <c r="AS140" s="7">
        <v>192492</v>
      </c>
      <c r="AW140" s="7">
        <v>0</v>
      </c>
      <c r="AY140" s="7">
        <f t="shared" si="14"/>
        <v>53489000</v>
      </c>
      <c r="BA140" s="7">
        <f>+'St of Activites - GA Rev'!AI140-'St of Activities - GA Exp'!AY140</f>
        <v>526878</v>
      </c>
      <c r="BC140" s="7">
        <v>9251967</v>
      </c>
      <c r="BE140" s="7">
        <f t="shared" si="15"/>
        <v>9778845</v>
      </c>
      <c r="BG140" s="7">
        <f>+'St of Net Assets - GA'!AA140-'St of Activities - GA Exp'!BE140</f>
        <v>0</v>
      </c>
      <c r="BL140" s="7" t="str">
        <f t="shared" ref="BL140:BL203" si="16">A140</f>
        <v xml:space="preserve">Cuyahoga Falls City SD </v>
      </c>
      <c r="BM140" s="7" t="b">
        <f t="shared" ref="BM140:BM203" si="17">A140=AI140</f>
        <v>1</v>
      </c>
      <c r="BO140" s="7" t="str">
        <f t="shared" ref="BO140:BO203" si="18">C140</f>
        <v>Summit</v>
      </c>
      <c r="BP140" s="7" t="b">
        <f t="shared" ref="BP140:BP203" si="19">C140=AK140</f>
        <v>1</v>
      </c>
    </row>
    <row r="141" spans="1:68">
      <c r="A141" s="12" t="s">
        <v>759</v>
      </c>
      <c r="B141" s="12"/>
      <c r="C141" s="12" t="s">
        <v>20</v>
      </c>
      <c r="D141" s="12"/>
      <c r="E141" s="12">
        <v>46557</v>
      </c>
      <c r="G141" s="7">
        <v>5881236</v>
      </c>
      <c r="I141" s="7">
        <v>1296872</v>
      </c>
      <c r="K141" s="7">
        <v>0</v>
      </c>
      <c r="M141" s="7">
        <v>0</v>
      </c>
      <c r="O141" s="7">
        <v>817</v>
      </c>
      <c r="Q141" s="7">
        <v>929578</v>
      </c>
      <c r="S141" s="7">
        <v>889526</v>
      </c>
      <c r="U141" s="7">
        <v>99870</v>
      </c>
      <c r="W141" s="7">
        <v>1503957</v>
      </c>
      <c r="Y141" s="7">
        <v>635018</v>
      </c>
      <c r="AA141" s="7">
        <v>131859</v>
      </c>
      <c r="AC141" s="7">
        <v>2008554</v>
      </c>
      <c r="AE141" s="7">
        <v>901802</v>
      </c>
      <c r="AG141" s="7">
        <v>1474373</v>
      </c>
      <c r="AI141" s="12" t="s">
        <v>759</v>
      </c>
      <c r="AJ141" s="12"/>
      <c r="AK141" s="12" t="s">
        <v>20</v>
      </c>
      <c r="AL141" s="12"/>
      <c r="AM141" s="7">
        <v>355505</v>
      </c>
      <c r="AO141" s="7">
        <v>100231</v>
      </c>
      <c r="AQ141" s="7">
        <v>1053182</v>
      </c>
      <c r="AS141" s="7">
        <v>115409</v>
      </c>
      <c r="AW141" s="7">
        <v>0</v>
      </c>
      <c r="AY141" s="7">
        <f t="shared" si="14"/>
        <v>17377789</v>
      </c>
      <c r="BA141" s="7">
        <f>+'St of Activites - GA Rev'!AI141-'St of Activities - GA Exp'!AY141</f>
        <v>-2132996</v>
      </c>
      <c r="BC141" s="7">
        <v>8150138</v>
      </c>
      <c r="BE141" s="7">
        <f t="shared" si="15"/>
        <v>6017142</v>
      </c>
      <c r="BG141" s="7">
        <f>+'St of Net Assets - GA'!AA141-'St of Activities - GA Exp'!BE141</f>
        <v>0</v>
      </c>
      <c r="BH141" s="14"/>
      <c r="BL141" s="7" t="str">
        <f t="shared" si="16"/>
        <v xml:space="preserve">Cuyahoga Heights Local SD </v>
      </c>
      <c r="BM141" s="7" t="b">
        <f t="shared" si="17"/>
        <v>1</v>
      </c>
      <c r="BO141" s="7" t="str">
        <f t="shared" si="18"/>
        <v>Cuyahoga</v>
      </c>
      <c r="BP141" s="7" t="b">
        <f t="shared" si="19"/>
        <v>1</v>
      </c>
    </row>
    <row r="142" spans="1:68">
      <c r="A142" s="12" t="s">
        <v>635</v>
      </c>
      <c r="B142" s="12"/>
      <c r="C142" s="12" t="s">
        <v>71</v>
      </c>
      <c r="D142" s="12"/>
      <c r="E142" s="12"/>
      <c r="G142" s="7">
        <v>3436998</v>
      </c>
      <c r="I142" s="7">
        <v>809969</v>
      </c>
      <c r="K142" s="7">
        <v>225479</v>
      </c>
      <c r="M142" s="7">
        <v>0</v>
      </c>
      <c r="O142" s="7">
        <v>248766</v>
      </c>
      <c r="Q142" s="7">
        <v>394820</v>
      </c>
      <c r="S142" s="7">
        <v>579461</v>
      </c>
      <c r="U142" s="7">
        <v>25157</v>
      </c>
      <c r="W142" s="7">
        <v>734106</v>
      </c>
      <c r="Y142" s="7">
        <v>292771</v>
      </c>
      <c r="AA142" s="7">
        <v>19796</v>
      </c>
      <c r="AC142" s="7">
        <v>832964</v>
      </c>
      <c r="AE142" s="7">
        <v>429607</v>
      </c>
      <c r="AG142" s="7">
        <v>41323</v>
      </c>
      <c r="AI142" s="12" t="s">
        <v>635</v>
      </c>
      <c r="AJ142" s="12"/>
      <c r="AK142" s="12" t="s">
        <v>71</v>
      </c>
      <c r="AL142" s="12"/>
      <c r="AM142" s="7">
        <v>255260</v>
      </c>
      <c r="AO142" s="7">
        <v>162744</v>
      </c>
      <c r="AQ142" s="7">
        <v>411919</v>
      </c>
      <c r="AS142" s="7">
        <v>2626</v>
      </c>
      <c r="AW142" s="7">
        <v>0</v>
      </c>
      <c r="AY142" s="7">
        <f t="shared" si="14"/>
        <v>8903766</v>
      </c>
      <c r="BA142" s="7">
        <f>+'St of Activites - GA Rev'!AI142-'St of Activities - GA Exp'!AY142</f>
        <v>617104</v>
      </c>
      <c r="BC142" s="7">
        <v>2126652</v>
      </c>
      <c r="BE142" s="7">
        <f t="shared" si="15"/>
        <v>2743756</v>
      </c>
      <c r="BG142" s="7">
        <f>+'St of Net Assets - GA'!AA142-'St of Activities - GA Exp'!BE142</f>
        <v>0</v>
      </c>
      <c r="BL142" s="7" t="str">
        <f t="shared" si="16"/>
        <v>Dalton Local SD</v>
      </c>
      <c r="BM142" s="7" t="b">
        <f t="shared" si="17"/>
        <v>1</v>
      </c>
      <c r="BO142" s="7" t="str">
        <f t="shared" si="18"/>
        <v>Wayne</v>
      </c>
      <c r="BP142" s="7" t="b">
        <f t="shared" si="19"/>
        <v>1</v>
      </c>
    </row>
    <row r="143" spans="1:68" ht="12" hidden="1" customHeight="1">
      <c r="A143" s="12" t="s">
        <v>838</v>
      </c>
      <c r="B143" s="12"/>
      <c r="C143" s="12" t="s">
        <v>53</v>
      </c>
      <c r="D143" s="12"/>
      <c r="E143" s="12">
        <v>48934</v>
      </c>
      <c r="AI143" s="12" t="s">
        <v>838</v>
      </c>
      <c r="AJ143" s="12"/>
      <c r="AK143" s="12" t="s">
        <v>53</v>
      </c>
      <c r="AL143" s="12"/>
      <c r="AY143" s="7">
        <f t="shared" si="14"/>
        <v>0</v>
      </c>
      <c r="BA143" s="7">
        <f>+'St of Activites - GA Rev'!AI143-'St of Activities - GA Exp'!AY143</f>
        <v>0</v>
      </c>
      <c r="BE143" s="7">
        <f t="shared" si="15"/>
        <v>0</v>
      </c>
      <c r="BG143" s="7">
        <f>+'St of Net Assets - GA'!AA143-'St of Activities - GA Exp'!BE143</f>
        <v>0</v>
      </c>
      <c r="BH143" s="7" t="s">
        <v>837</v>
      </c>
      <c r="BL143" s="7" t="str">
        <f t="shared" si="16"/>
        <v>Danbury Local SD (CASH)</v>
      </c>
      <c r="BM143" s="7" t="b">
        <f t="shared" si="17"/>
        <v>1</v>
      </c>
      <c r="BO143" s="7" t="str">
        <f t="shared" si="18"/>
        <v>Ottawa</v>
      </c>
      <c r="BP143" s="7" t="b">
        <f t="shared" si="19"/>
        <v>1</v>
      </c>
    </row>
    <row r="144" spans="1:68" hidden="1">
      <c r="A144" s="12" t="s">
        <v>688</v>
      </c>
      <c r="B144" s="12"/>
      <c r="C144" s="12" t="s">
        <v>40</v>
      </c>
      <c r="D144" s="12"/>
      <c r="E144" s="12">
        <v>47837</v>
      </c>
      <c r="AI144" s="12" t="s">
        <v>688</v>
      </c>
      <c r="AJ144" s="12"/>
      <c r="AK144" s="12" t="s">
        <v>40</v>
      </c>
      <c r="AL144" s="12"/>
      <c r="AY144" s="7">
        <f t="shared" si="14"/>
        <v>0</v>
      </c>
      <c r="BA144" s="7">
        <f>+'St of Activites - GA Rev'!AI144-'St of Activities - GA Exp'!AY144</f>
        <v>0</v>
      </c>
      <c r="BE144" s="7">
        <f t="shared" si="15"/>
        <v>0</v>
      </c>
      <c r="BG144" s="7">
        <f>+'St of Net Assets - GA'!AA144-'St of Activities - GA Exp'!BE144</f>
        <v>0</v>
      </c>
      <c r="BH144" s="7" t="s">
        <v>839</v>
      </c>
      <c r="BL144" s="7" t="str">
        <f t="shared" si="16"/>
        <v>Danville Local SD (CASH)</v>
      </c>
      <c r="BM144" s="7" t="b">
        <f t="shared" si="17"/>
        <v>1</v>
      </c>
      <c r="BO144" s="7" t="str">
        <f t="shared" si="18"/>
        <v>Knox</v>
      </c>
      <c r="BP144" s="7" t="b">
        <f t="shared" si="19"/>
        <v>1</v>
      </c>
    </row>
    <row r="145" spans="1:68">
      <c r="A145" s="12" t="s">
        <v>378</v>
      </c>
      <c r="B145" s="12"/>
      <c r="C145" s="12" t="s">
        <v>377</v>
      </c>
      <c r="D145" s="12"/>
      <c r="E145" s="12">
        <v>47928</v>
      </c>
      <c r="G145" s="7">
        <v>7709407</v>
      </c>
      <c r="I145" s="7">
        <v>697253</v>
      </c>
      <c r="K145" s="7">
        <v>203331</v>
      </c>
      <c r="M145" s="7">
        <v>0</v>
      </c>
      <c r="O145" s="7">
        <v>0</v>
      </c>
      <c r="Q145" s="7">
        <v>528997</v>
      </c>
      <c r="S145" s="7">
        <v>326797</v>
      </c>
      <c r="U145" s="7">
        <v>36935</v>
      </c>
      <c r="W145" s="7">
        <v>856344</v>
      </c>
      <c r="Y145" s="7">
        <v>444927</v>
      </c>
      <c r="AA145" s="7">
        <v>80325</v>
      </c>
      <c r="AC145" s="7">
        <v>1303156</v>
      </c>
      <c r="AE145" s="7">
        <v>782490</v>
      </c>
      <c r="AG145" s="7">
        <v>189603</v>
      </c>
      <c r="AI145" s="12" t="s">
        <v>378</v>
      </c>
      <c r="AJ145" s="12"/>
      <c r="AK145" s="12" t="s">
        <v>377</v>
      </c>
      <c r="AL145" s="12"/>
      <c r="AM145" s="7">
        <v>637746</v>
      </c>
      <c r="AO145" s="7">
        <v>13442</v>
      </c>
      <c r="AQ145" s="7">
        <v>464205</v>
      </c>
      <c r="AS145" s="7">
        <v>62676</v>
      </c>
      <c r="AW145" s="7">
        <v>0</v>
      </c>
      <c r="AY145" s="7">
        <f t="shared" si="14"/>
        <v>14337634</v>
      </c>
      <c r="BA145" s="7">
        <f>+'St of Activites - GA Rev'!AI145-'St of Activities - GA Exp'!AY145</f>
        <v>-821647</v>
      </c>
      <c r="BC145" s="7">
        <v>34275075</v>
      </c>
      <c r="BE145" s="7">
        <f t="shared" si="15"/>
        <v>33453428</v>
      </c>
      <c r="BG145" s="7">
        <f>+'St of Net Assets - GA'!AA145-'St of Activities - GA Exp'!BE145</f>
        <v>0</v>
      </c>
      <c r="BL145" s="7" t="str">
        <f t="shared" si="16"/>
        <v>Dawson-Bryant Local SD</v>
      </c>
      <c r="BM145" s="7" t="b">
        <f t="shared" si="17"/>
        <v>1</v>
      </c>
      <c r="BO145" s="7" t="str">
        <f t="shared" si="18"/>
        <v>Lawrence</v>
      </c>
      <c r="BP145" s="7" t="b">
        <f t="shared" si="19"/>
        <v>1</v>
      </c>
    </row>
    <row r="146" spans="1:68">
      <c r="A146" s="12" t="s">
        <v>442</v>
      </c>
      <c r="B146" s="12"/>
      <c r="C146" s="12" t="s">
        <v>50</v>
      </c>
      <c r="D146" s="12"/>
      <c r="E146" s="12">
        <v>43844</v>
      </c>
      <c r="G146" s="7">
        <v>59534906</v>
      </c>
      <c r="I146" s="7">
        <v>27622787</v>
      </c>
      <c r="K146" s="7">
        <v>2707511</v>
      </c>
      <c r="M146" s="7">
        <v>18747</v>
      </c>
      <c r="O146" s="7">
        <f>4855494+627334</f>
        <v>5482828</v>
      </c>
      <c r="Q146" s="7">
        <v>11333241</v>
      </c>
      <c r="S146" s="7">
        <v>17859066</v>
      </c>
      <c r="U146" s="7">
        <v>747968</v>
      </c>
      <c r="W146" s="7">
        <v>15189457</v>
      </c>
      <c r="Y146" s="7">
        <v>3614243</v>
      </c>
      <c r="AA146" s="7">
        <v>1543948</v>
      </c>
      <c r="AC146" s="7">
        <v>20595511</v>
      </c>
      <c r="AE146" s="7">
        <v>17954929</v>
      </c>
      <c r="AG146" s="7">
        <v>7798118</v>
      </c>
      <c r="AI146" s="12" t="s">
        <v>442</v>
      </c>
      <c r="AJ146" s="12"/>
      <c r="AK146" s="12" t="s">
        <v>50</v>
      </c>
      <c r="AL146" s="12"/>
      <c r="AM146" s="7">
        <v>0</v>
      </c>
      <c r="AO146" s="7">
        <v>72608042</v>
      </c>
      <c r="AQ146" s="7">
        <v>1885787</v>
      </c>
      <c r="AS146" s="7">
        <v>10796083</v>
      </c>
      <c r="AW146" s="7">
        <v>5819416</v>
      </c>
      <c r="AY146" s="7">
        <f t="shared" si="14"/>
        <v>283112588</v>
      </c>
      <c r="BA146" s="7">
        <f>+'St of Activites - GA Rev'!AI146-'St of Activities - GA Exp'!AY146</f>
        <v>14461128</v>
      </c>
      <c r="BC146" s="7">
        <v>379592025</v>
      </c>
      <c r="BE146" s="7">
        <f t="shared" ref="BE146:BE173" si="20">+BA146+BC146</f>
        <v>394053153</v>
      </c>
      <c r="BG146" s="7">
        <f>+'St of Net Assets - GA'!AA146-'St of Activities - GA Exp'!BE146</f>
        <v>0</v>
      </c>
      <c r="BH146" s="7" t="s">
        <v>844</v>
      </c>
      <c r="BL146" s="7" t="str">
        <f t="shared" si="16"/>
        <v>Dayton City SD</v>
      </c>
      <c r="BM146" s="7" t="b">
        <f t="shared" si="17"/>
        <v>1</v>
      </c>
      <c r="BO146" s="7" t="str">
        <f t="shared" si="18"/>
        <v>Montgomery</v>
      </c>
      <c r="BP146" s="7" t="b">
        <f t="shared" si="19"/>
        <v>1</v>
      </c>
    </row>
    <row r="147" spans="1:68">
      <c r="A147" s="12" t="s">
        <v>689</v>
      </c>
      <c r="B147" s="12"/>
      <c r="C147" s="12" t="s">
        <v>32</v>
      </c>
      <c r="D147" s="12"/>
      <c r="E147" s="12">
        <v>43851</v>
      </c>
      <c r="G147" s="7">
        <v>7107532</v>
      </c>
      <c r="I147" s="7">
        <v>1653887</v>
      </c>
      <c r="K147" s="7">
        <v>192903</v>
      </c>
      <c r="M147" s="7">
        <v>0</v>
      </c>
      <c r="O147" s="7">
        <v>0</v>
      </c>
      <c r="Q147" s="7">
        <v>919827</v>
      </c>
      <c r="S147" s="7">
        <v>957495</v>
      </c>
      <c r="U147" s="7">
        <v>84588</v>
      </c>
      <c r="W147" s="7">
        <v>1148703</v>
      </c>
      <c r="Y147" s="7">
        <v>540264</v>
      </c>
      <c r="AA147" s="7">
        <v>148106</v>
      </c>
      <c r="AC147" s="7">
        <v>1482685</v>
      </c>
      <c r="AE147" s="7">
        <v>327708</v>
      </c>
      <c r="AG147" s="7">
        <v>138729</v>
      </c>
      <c r="AI147" s="12" t="s">
        <v>689</v>
      </c>
      <c r="AJ147" s="12"/>
      <c r="AK147" s="12" t="s">
        <v>32</v>
      </c>
      <c r="AL147" s="12"/>
      <c r="AM147" s="7">
        <v>0</v>
      </c>
      <c r="AO147" s="7">
        <v>592397</v>
      </c>
      <c r="AQ147" s="7">
        <v>557954</v>
      </c>
      <c r="AS147" s="7">
        <v>20496</v>
      </c>
      <c r="AW147" s="7">
        <v>0</v>
      </c>
      <c r="AY147" s="7">
        <f t="shared" si="14"/>
        <v>15873274</v>
      </c>
      <c r="BA147" s="7">
        <f>+'St of Activites - GA Rev'!AI147-'St of Activities - GA Exp'!AY147</f>
        <v>588173</v>
      </c>
      <c r="BC147" s="7">
        <v>10501391</v>
      </c>
      <c r="BE147" s="7">
        <f t="shared" si="20"/>
        <v>11089564</v>
      </c>
      <c r="BG147" s="7">
        <f>+'St of Net Assets - GA'!AA147-'St of Activities - GA Exp'!BE147</f>
        <v>0</v>
      </c>
      <c r="BL147" s="7" t="str">
        <f t="shared" si="16"/>
        <v>Deer Park City SD</v>
      </c>
      <c r="BM147" s="7" t="b">
        <f t="shared" si="17"/>
        <v>1</v>
      </c>
      <c r="BO147" s="7" t="str">
        <f t="shared" si="18"/>
        <v>Hamilton</v>
      </c>
      <c r="BP147" s="7" t="b">
        <f t="shared" si="19"/>
        <v>1</v>
      </c>
    </row>
    <row r="148" spans="1:68" ht="12" hidden="1" customHeight="1">
      <c r="A148" s="12" t="s">
        <v>690</v>
      </c>
      <c r="B148" s="12"/>
      <c r="C148" s="12" t="s">
        <v>22</v>
      </c>
      <c r="D148" s="12"/>
      <c r="E148" s="12">
        <v>43869</v>
      </c>
      <c r="AI148" s="12" t="s">
        <v>690</v>
      </c>
      <c r="AJ148" s="12"/>
      <c r="AK148" s="12" t="s">
        <v>22</v>
      </c>
      <c r="AL148" s="12"/>
      <c r="AY148" s="7">
        <f t="shared" si="14"/>
        <v>0</v>
      </c>
      <c r="BA148" s="7">
        <f>+'St of Activites - GA Rev'!AI148-'St of Activities - GA Exp'!AY148</f>
        <v>0</v>
      </c>
      <c r="BE148" s="7">
        <f t="shared" si="20"/>
        <v>0</v>
      </c>
      <c r="BG148" s="7">
        <f>+'St of Net Assets - GA'!AA148-'St of Activities - GA Exp'!BE148</f>
        <v>0</v>
      </c>
      <c r="BH148" s="7" t="s">
        <v>839</v>
      </c>
      <c r="BL148" s="7" t="str">
        <f t="shared" si="16"/>
        <v>Defiance City SD (CASH)</v>
      </c>
      <c r="BM148" s="7" t="b">
        <f t="shared" si="17"/>
        <v>1</v>
      </c>
      <c r="BO148" s="7" t="str">
        <f t="shared" si="18"/>
        <v>Defiance</v>
      </c>
      <c r="BP148" s="7" t="b">
        <f t="shared" si="19"/>
        <v>1</v>
      </c>
    </row>
    <row r="149" spans="1:68">
      <c r="A149" s="12" t="s">
        <v>840</v>
      </c>
      <c r="B149" s="12"/>
      <c r="C149" s="12" t="s">
        <v>23</v>
      </c>
      <c r="D149" s="12"/>
      <c r="E149" s="12"/>
      <c r="G149" s="7">
        <v>22539999</v>
      </c>
      <c r="I149" s="7">
        <v>6254257</v>
      </c>
      <c r="K149" s="7">
        <v>307590</v>
      </c>
      <c r="M149" s="7">
        <v>0</v>
      </c>
      <c r="O149" s="7">
        <f>108645+2138369</f>
        <v>2247014</v>
      </c>
      <c r="Q149" s="7">
        <v>2468366</v>
      </c>
      <c r="S149" s="7">
        <v>3153118</v>
      </c>
      <c r="U149" s="7">
        <v>163664</v>
      </c>
      <c r="W149" s="7">
        <v>2930373</v>
      </c>
      <c r="Y149" s="7">
        <v>1135862</v>
      </c>
      <c r="AA149" s="7">
        <v>372744</v>
      </c>
      <c r="AC149" s="7">
        <v>4547833</v>
      </c>
      <c r="AE149" s="7">
        <v>3374544</v>
      </c>
      <c r="AG149" s="7">
        <v>152308</v>
      </c>
      <c r="AI149" s="12" t="s">
        <v>840</v>
      </c>
      <c r="AJ149" s="12"/>
      <c r="AK149" s="12" t="s">
        <v>23</v>
      </c>
      <c r="AL149" s="12"/>
      <c r="AM149" s="7">
        <v>0</v>
      </c>
      <c r="AO149" s="7">
        <v>1781285</v>
      </c>
      <c r="AQ149" s="7">
        <v>1166815</v>
      </c>
      <c r="AS149" s="7">
        <v>1378204</v>
      </c>
      <c r="AW149" s="7">
        <v>949603</v>
      </c>
      <c r="AY149" s="7">
        <f t="shared" si="14"/>
        <v>54923579</v>
      </c>
      <c r="BA149" s="7">
        <f>+'St of Activites - GA Rev'!AI149-'St of Activities - GA Exp'!AY149</f>
        <v>-655181</v>
      </c>
      <c r="BC149" s="7">
        <v>13677178</v>
      </c>
      <c r="BE149" s="7">
        <f t="shared" si="20"/>
        <v>13021997</v>
      </c>
      <c r="BG149" s="7">
        <f>+'St of Net Assets - GA'!AA149-'St of Activities - GA Exp'!BE149</f>
        <v>0</v>
      </c>
      <c r="BL149" s="7" t="str">
        <f t="shared" si="16"/>
        <v>Delaware City SD</v>
      </c>
      <c r="BM149" s="7" t="b">
        <f t="shared" si="17"/>
        <v>1</v>
      </c>
      <c r="BO149" s="7" t="str">
        <f t="shared" si="18"/>
        <v>Delaware</v>
      </c>
      <c r="BP149" s="7" t="b">
        <f t="shared" si="19"/>
        <v>1</v>
      </c>
    </row>
    <row r="150" spans="1:68">
      <c r="A150" s="12" t="s">
        <v>202</v>
      </c>
      <c r="B150" s="12"/>
      <c r="C150" s="12" t="s">
        <v>10</v>
      </c>
      <c r="D150" s="12"/>
      <c r="E150" s="12">
        <v>43885</v>
      </c>
      <c r="G150" s="7">
        <v>4626237</v>
      </c>
      <c r="I150" s="7">
        <v>1146833</v>
      </c>
      <c r="K150" s="7">
        <v>581820</v>
      </c>
      <c r="M150" s="7">
        <v>0</v>
      </c>
      <c r="O150" s="7">
        <v>0</v>
      </c>
      <c r="Q150" s="7">
        <v>510012</v>
      </c>
      <c r="S150" s="7">
        <v>491708</v>
      </c>
      <c r="U150" s="7">
        <v>30682</v>
      </c>
      <c r="W150" s="7">
        <v>911169</v>
      </c>
      <c r="Y150" s="7">
        <v>373440</v>
      </c>
      <c r="AA150" s="7">
        <v>0</v>
      </c>
      <c r="AC150" s="7">
        <v>646534</v>
      </c>
      <c r="AE150" s="7">
        <v>532219</v>
      </c>
      <c r="AG150" s="7">
        <v>771</v>
      </c>
      <c r="AI150" s="12" t="s">
        <v>202</v>
      </c>
      <c r="AJ150" s="12"/>
      <c r="AK150" s="12" t="s">
        <v>10</v>
      </c>
      <c r="AL150" s="12"/>
      <c r="AM150" s="7">
        <v>0</v>
      </c>
      <c r="AO150" s="7">
        <v>1111671</v>
      </c>
      <c r="AQ150" s="7">
        <v>379380</v>
      </c>
      <c r="AS150" s="7">
        <v>0</v>
      </c>
      <c r="AW150" s="7">
        <v>0</v>
      </c>
      <c r="AY150" s="7">
        <f t="shared" ref="AY150" si="21">SUM(G150:AX150)</f>
        <v>11342476</v>
      </c>
      <c r="BA150" s="7">
        <f>+'St of Activites - GA Rev'!AI150-'St of Activities - GA Exp'!AY150</f>
        <v>-302570</v>
      </c>
      <c r="BC150" s="7">
        <v>4476508</v>
      </c>
      <c r="BE150" s="7">
        <f t="shared" si="20"/>
        <v>4173938</v>
      </c>
      <c r="BG150" s="7">
        <f>+'St of Net Assets - GA'!AA150-'St of Activities - GA Exp'!BE150</f>
        <v>0</v>
      </c>
      <c r="BL150" s="7" t="str">
        <f t="shared" si="16"/>
        <v>Delphos City SD</v>
      </c>
      <c r="BM150" s="7" t="b">
        <f t="shared" si="17"/>
        <v>1</v>
      </c>
      <c r="BO150" s="7" t="str">
        <f t="shared" si="18"/>
        <v>Allen</v>
      </c>
      <c r="BP150" s="7" t="b">
        <f t="shared" si="19"/>
        <v>1</v>
      </c>
    </row>
    <row r="151" spans="1:68">
      <c r="A151" s="12" t="s">
        <v>550</v>
      </c>
      <c r="B151" s="12"/>
      <c r="C151" s="12" t="s">
        <v>65</v>
      </c>
      <c r="D151" s="12"/>
      <c r="E151" s="12">
        <v>43893</v>
      </c>
      <c r="G151" s="7">
        <v>11048347</v>
      </c>
      <c r="I151" s="7">
        <v>1971922</v>
      </c>
      <c r="K151" s="7">
        <v>25266</v>
      </c>
      <c r="M151" s="7">
        <v>0</v>
      </c>
      <c r="O151" s="7">
        <f>102302+189211</f>
        <v>291513</v>
      </c>
      <c r="Q151" s="7">
        <v>1354337</v>
      </c>
      <c r="S151" s="7">
        <v>1223520</v>
      </c>
      <c r="U151" s="7">
        <v>62188</v>
      </c>
      <c r="W151" s="7">
        <v>1789637</v>
      </c>
      <c r="Y151" s="7">
        <v>669349</v>
      </c>
      <c r="AA151" s="7">
        <v>0</v>
      </c>
      <c r="AC151" s="7">
        <v>1938062</v>
      </c>
      <c r="AE151" s="7">
        <v>767307</v>
      </c>
      <c r="AG151" s="7">
        <v>0</v>
      </c>
      <c r="AI151" s="12" t="s">
        <v>550</v>
      </c>
      <c r="AJ151" s="12"/>
      <c r="AK151" s="12" t="s">
        <v>65</v>
      </c>
      <c r="AL151" s="12"/>
      <c r="AM151" s="7">
        <v>808417</v>
      </c>
      <c r="AO151" s="7">
        <v>185786</v>
      </c>
      <c r="AQ151" s="7">
        <v>901985</v>
      </c>
      <c r="AS151" s="7">
        <v>217099</v>
      </c>
      <c r="AW151" s="7">
        <v>0</v>
      </c>
      <c r="AY151" s="7">
        <f t="shared" ref="AY151:AY173" si="22">SUM(G151:AX151)</f>
        <v>23254735</v>
      </c>
      <c r="BA151" s="7">
        <f>+'St of Activites - GA Rev'!AI151-'St of Activities - GA Exp'!AY151</f>
        <v>1731914</v>
      </c>
      <c r="BC151" s="7">
        <v>10758487</v>
      </c>
      <c r="BE151" s="7">
        <f t="shared" si="20"/>
        <v>12490401</v>
      </c>
      <c r="BG151" s="7">
        <f>+'St of Net Assets - GA'!AA151-'St of Activities - GA Exp'!BE151</f>
        <v>0</v>
      </c>
      <c r="BL151" s="7" t="str">
        <f t="shared" si="16"/>
        <v>Dover City SD</v>
      </c>
      <c r="BM151" s="7" t="b">
        <f t="shared" si="17"/>
        <v>1</v>
      </c>
      <c r="BO151" s="7" t="str">
        <f t="shared" si="18"/>
        <v>Tuscarawas</v>
      </c>
      <c r="BP151" s="7" t="b">
        <f t="shared" si="19"/>
        <v>1</v>
      </c>
    </row>
    <row r="152" spans="1:68">
      <c r="A152" s="12" t="s">
        <v>308</v>
      </c>
      <c r="B152" s="12"/>
      <c r="C152" s="12" t="s">
        <v>27</v>
      </c>
      <c r="D152" s="12"/>
      <c r="E152" s="12">
        <v>47027</v>
      </c>
      <c r="G152" s="7">
        <v>79876944</v>
      </c>
      <c r="I152" s="7">
        <v>22053033</v>
      </c>
      <c r="K152" s="7">
        <v>239121</v>
      </c>
      <c r="M152" s="7">
        <v>0</v>
      </c>
      <c r="O152" s="7">
        <v>115329</v>
      </c>
      <c r="Q152" s="7">
        <v>10601185</v>
      </c>
      <c r="S152" s="7">
        <v>16466928</v>
      </c>
      <c r="U152" s="7">
        <v>170418</v>
      </c>
      <c r="W152" s="7">
        <v>12061761</v>
      </c>
      <c r="Y152" s="7">
        <v>3718731</v>
      </c>
      <c r="AA152" s="7">
        <v>921348</v>
      </c>
      <c r="AC152" s="7">
        <v>14875290</v>
      </c>
      <c r="AE152" s="7">
        <v>8712938</v>
      </c>
      <c r="AG152" s="7">
        <v>5621797</v>
      </c>
      <c r="AI152" s="12" t="s">
        <v>308</v>
      </c>
      <c r="AJ152" s="12"/>
      <c r="AK152" s="12" t="s">
        <v>27</v>
      </c>
      <c r="AL152" s="12"/>
      <c r="AM152" s="7">
        <f>4792896</f>
        <v>4792896</v>
      </c>
      <c r="AO152" s="7">
        <f>614008+71449+152826</f>
        <v>838283</v>
      </c>
      <c r="AQ152" s="7">
        <v>5312790</v>
      </c>
      <c r="AS152" s="7">
        <v>8023258</v>
      </c>
      <c r="AW152" s="7">
        <v>14203</v>
      </c>
      <c r="AY152" s="7">
        <f t="shared" si="22"/>
        <v>194416253</v>
      </c>
      <c r="BA152" s="7">
        <f>+'St of Activites - GA Rev'!AI152-'St of Activities - GA Exp'!AY152</f>
        <v>8828419</v>
      </c>
      <c r="BC152" s="7">
        <v>62732287</v>
      </c>
      <c r="BE152" s="7">
        <f t="shared" si="20"/>
        <v>71560706</v>
      </c>
      <c r="BG152" s="7">
        <f>+'St of Net Assets - GA'!AA152-'St of Activities - GA Exp'!BE152</f>
        <v>0</v>
      </c>
      <c r="BL152" s="7" t="str">
        <f t="shared" si="16"/>
        <v>Dublin City SD</v>
      </c>
      <c r="BM152" s="7" t="b">
        <f t="shared" si="17"/>
        <v>1</v>
      </c>
      <c r="BO152" s="7" t="str">
        <f t="shared" si="18"/>
        <v>Franklin</v>
      </c>
      <c r="BP152" s="7" t="b">
        <f t="shared" si="19"/>
        <v>1</v>
      </c>
    </row>
    <row r="153" spans="1:68" ht="12" customHeight="1">
      <c r="A153" s="12" t="s">
        <v>272</v>
      </c>
      <c r="B153" s="12"/>
      <c r="C153" s="12" t="s">
        <v>20</v>
      </c>
      <c r="D153" s="12"/>
      <c r="E153" s="12">
        <v>43901</v>
      </c>
      <c r="G153" s="7">
        <v>17726510</v>
      </c>
      <c r="I153" s="7">
        <v>13473066</v>
      </c>
      <c r="K153" s="7">
        <v>1606447</v>
      </c>
      <c r="M153" s="7">
        <v>57362</v>
      </c>
      <c r="O153" s="7">
        <v>5212766</v>
      </c>
      <c r="Q153" s="7">
        <v>4141138</v>
      </c>
      <c r="S153" s="7">
        <v>4813879</v>
      </c>
      <c r="U153" s="7">
        <v>52061</v>
      </c>
      <c r="W153" s="7">
        <v>4571345</v>
      </c>
      <c r="Y153" s="7">
        <v>2729224</v>
      </c>
      <c r="AA153" s="7">
        <v>476437</v>
      </c>
      <c r="AC153" s="7">
        <v>5733546</v>
      </c>
      <c r="AE153" s="7">
        <v>1221218</v>
      </c>
      <c r="AG153" s="7">
        <v>2906628</v>
      </c>
      <c r="AI153" s="12" t="s">
        <v>272</v>
      </c>
      <c r="AJ153" s="12"/>
      <c r="AK153" s="12" t="s">
        <v>20</v>
      </c>
      <c r="AL153" s="12"/>
      <c r="AM153" s="7">
        <v>1597206</v>
      </c>
      <c r="AO153" s="7">
        <v>193108</v>
      </c>
      <c r="AQ153" s="7">
        <v>439433</v>
      </c>
      <c r="AS153" s="7">
        <v>329188</v>
      </c>
      <c r="AW153" s="7">
        <v>0</v>
      </c>
      <c r="AY153" s="7">
        <f t="shared" si="22"/>
        <v>67280562</v>
      </c>
      <c r="BA153" s="7">
        <f>+'St of Activites - GA Rev'!AI153-'St of Activities - GA Exp'!AY153</f>
        <v>-3689760</v>
      </c>
      <c r="BC153" s="7">
        <v>124573206</v>
      </c>
      <c r="BE153" s="7">
        <f t="shared" si="20"/>
        <v>120883446</v>
      </c>
      <c r="BG153" s="7">
        <f>+'St of Net Assets - GA'!AA153-'St of Activities - GA Exp'!BE153</f>
        <v>0</v>
      </c>
      <c r="BH153" s="7" t="s">
        <v>843</v>
      </c>
      <c r="BL153" s="7" t="str">
        <f t="shared" si="16"/>
        <v>East Cleveland City SD</v>
      </c>
      <c r="BM153" s="7" t="b">
        <f t="shared" si="17"/>
        <v>1</v>
      </c>
      <c r="BO153" s="7" t="str">
        <f t="shared" si="18"/>
        <v>Cuyahoga</v>
      </c>
      <c r="BP153" s="7" t="b">
        <f t="shared" si="19"/>
        <v>1</v>
      </c>
    </row>
    <row r="154" spans="1:68">
      <c r="A154" s="12" t="s">
        <v>250</v>
      </c>
      <c r="B154" s="12"/>
      <c r="C154" s="12" t="s">
        <v>18</v>
      </c>
      <c r="D154" s="12"/>
      <c r="E154" s="12">
        <v>46409</v>
      </c>
      <c r="G154" s="7">
        <v>6334650</v>
      </c>
      <c r="I154" s="7">
        <v>1457098</v>
      </c>
      <c r="K154" s="7">
        <v>91563</v>
      </c>
      <c r="M154" s="7">
        <v>0</v>
      </c>
      <c r="O154" s="7">
        <v>179</v>
      </c>
      <c r="Q154" s="7">
        <v>474146</v>
      </c>
      <c r="S154" s="7">
        <v>923454</v>
      </c>
      <c r="U154" s="7">
        <v>39642</v>
      </c>
      <c r="W154" s="7">
        <v>1059832</v>
      </c>
      <c r="Y154" s="7">
        <v>321923</v>
      </c>
      <c r="AA154" s="7">
        <v>4213</v>
      </c>
      <c r="AC154" s="7">
        <v>1477805</v>
      </c>
      <c r="AE154" s="7">
        <v>877574</v>
      </c>
      <c r="AG154" s="7">
        <v>122079</v>
      </c>
      <c r="AI154" s="12" t="s">
        <v>250</v>
      </c>
      <c r="AJ154" s="12"/>
      <c r="AK154" s="12" t="s">
        <v>18</v>
      </c>
      <c r="AL154" s="12"/>
      <c r="AM154" s="7">
        <v>583249</v>
      </c>
      <c r="AO154" s="7">
        <v>20654</v>
      </c>
      <c r="AQ154" s="7">
        <v>283177</v>
      </c>
      <c r="AS154" s="7">
        <v>136893</v>
      </c>
      <c r="AW154" s="7">
        <v>0</v>
      </c>
      <c r="AY154" s="7">
        <f t="shared" si="22"/>
        <v>14208131</v>
      </c>
      <c r="BA154" s="7">
        <f>+'St of Activites - GA Rev'!AI154-'St of Activities - GA Exp'!AY154</f>
        <v>266526</v>
      </c>
      <c r="BC154" s="7">
        <v>15859833</v>
      </c>
      <c r="BE154" s="7">
        <f t="shared" si="20"/>
        <v>16126359</v>
      </c>
      <c r="BG154" s="7">
        <f>+'St of Net Assets - GA'!AA154-'St of Activities - GA Exp'!BE154</f>
        <v>0</v>
      </c>
      <c r="BL154" s="7" t="str">
        <f t="shared" si="16"/>
        <v>East Clinton Local SD</v>
      </c>
      <c r="BM154" s="7" t="b">
        <f t="shared" si="17"/>
        <v>1</v>
      </c>
      <c r="BO154" s="7" t="str">
        <f t="shared" si="18"/>
        <v>Clinton</v>
      </c>
      <c r="BP154" s="7" t="b">
        <f t="shared" si="19"/>
        <v>1</v>
      </c>
    </row>
    <row r="155" spans="1:68">
      <c r="A155" s="12" t="s">
        <v>328</v>
      </c>
      <c r="B155" s="12"/>
      <c r="C155" s="12" t="s">
        <v>31</v>
      </c>
      <c r="D155" s="12"/>
      <c r="E155" s="12">
        <v>69682</v>
      </c>
      <c r="G155" s="7">
        <v>5505207</v>
      </c>
      <c r="I155" s="7">
        <v>1302091</v>
      </c>
      <c r="K155" s="7">
        <v>312858</v>
      </c>
      <c r="M155" s="7">
        <v>6610</v>
      </c>
      <c r="O155" s="7">
        <v>24945</v>
      </c>
      <c r="Q155" s="7">
        <v>759494</v>
      </c>
      <c r="S155" s="7">
        <v>600977</v>
      </c>
      <c r="U155" s="7">
        <v>30589</v>
      </c>
      <c r="W155" s="7">
        <v>899490</v>
      </c>
      <c r="Y155" s="7">
        <v>329335</v>
      </c>
      <c r="AA155" s="7">
        <v>0</v>
      </c>
      <c r="AC155" s="7">
        <v>1215365</v>
      </c>
      <c r="AE155" s="7">
        <v>1023047</v>
      </c>
      <c r="AG155" s="7">
        <v>40813</v>
      </c>
      <c r="AI155" s="12" t="s">
        <v>328</v>
      </c>
      <c r="AJ155" s="12"/>
      <c r="AK155" s="12" t="s">
        <v>31</v>
      </c>
      <c r="AL155" s="12"/>
      <c r="AM155" s="7">
        <v>501218</v>
      </c>
      <c r="AO155" s="7">
        <v>0</v>
      </c>
      <c r="AQ155" s="7">
        <v>351898</v>
      </c>
      <c r="AS155" s="7">
        <v>110778</v>
      </c>
      <c r="AW155" s="7">
        <v>0</v>
      </c>
      <c r="AY155" s="7">
        <f t="shared" si="22"/>
        <v>13014715</v>
      </c>
      <c r="BA155" s="7">
        <f>+'St of Activites - GA Rev'!AI155-'St of Activities - GA Exp'!AY155</f>
        <v>1742</v>
      </c>
      <c r="BC155" s="7">
        <v>24373651</v>
      </c>
      <c r="BE155" s="7">
        <f t="shared" si="20"/>
        <v>24375393</v>
      </c>
      <c r="BG155" s="7">
        <f>+'St of Net Assets - GA'!AA155-'St of Activities - GA Exp'!BE155</f>
        <v>0</v>
      </c>
      <c r="BL155" s="7" t="str">
        <f t="shared" si="16"/>
        <v>East Guernsey Local SD</v>
      </c>
      <c r="BM155" s="7" t="b">
        <f t="shared" si="17"/>
        <v>1</v>
      </c>
      <c r="BO155" s="7" t="str">
        <f t="shared" si="18"/>
        <v>Guernsey</v>
      </c>
      <c r="BP155" s="7" t="b">
        <f t="shared" si="19"/>
        <v>1</v>
      </c>
    </row>
    <row r="156" spans="1:68" ht="12" customHeight="1">
      <c r="A156" s="12" t="s">
        <v>363</v>
      </c>
      <c r="B156" s="12"/>
      <c r="C156" s="12" t="s">
        <v>36</v>
      </c>
      <c r="D156" s="12"/>
      <c r="E156" s="12">
        <v>47688</v>
      </c>
      <c r="G156" s="7">
        <v>8329423</v>
      </c>
      <c r="I156" s="7">
        <v>2298310</v>
      </c>
      <c r="K156" s="7">
        <v>436706</v>
      </c>
      <c r="M156" s="7">
        <v>0</v>
      </c>
      <c r="O156" s="7">
        <v>0</v>
      </c>
      <c r="Q156" s="7">
        <v>885858</v>
      </c>
      <c r="S156" s="7">
        <v>1003799</v>
      </c>
      <c r="U156" s="7">
        <v>27526</v>
      </c>
      <c r="W156" s="7">
        <v>1744704</v>
      </c>
      <c r="Y156" s="7">
        <v>474112</v>
      </c>
      <c r="AA156" s="7">
        <v>0</v>
      </c>
      <c r="AC156" s="7">
        <v>1559570</v>
      </c>
      <c r="AE156" s="7">
        <v>1333257</v>
      </c>
      <c r="AG156" s="7">
        <v>118767</v>
      </c>
      <c r="AI156" s="12" t="s">
        <v>363</v>
      </c>
      <c r="AJ156" s="12"/>
      <c r="AK156" s="12" t="s">
        <v>36</v>
      </c>
      <c r="AL156" s="12"/>
      <c r="AM156" s="7">
        <v>857501</v>
      </c>
      <c r="AO156" s="7">
        <v>0</v>
      </c>
      <c r="AQ156" s="7">
        <v>558115</v>
      </c>
      <c r="AS156" s="7">
        <v>97494</v>
      </c>
      <c r="AW156" s="7">
        <v>0</v>
      </c>
      <c r="AY156" s="7">
        <f t="shared" si="22"/>
        <v>19725142</v>
      </c>
      <c r="BA156" s="7">
        <f>+'St of Activites - GA Rev'!AI156-'St of Activities - GA Exp'!AY156</f>
        <v>-26359</v>
      </c>
      <c r="BC156" s="7">
        <v>13849146</v>
      </c>
      <c r="BE156" s="7">
        <f t="shared" si="20"/>
        <v>13822787</v>
      </c>
      <c r="BG156" s="7">
        <f>+'St of Net Assets - GA'!AA156-'St of Activities - GA Exp'!BE156</f>
        <v>0</v>
      </c>
      <c r="BH156" s="7" t="s">
        <v>843</v>
      </c>
      <c r="BL156" s="7" t="str">
        <f t="shared" si="16"/>
        <v>East Holmes Local SD</v>
      </c>
      <c r="BM156" s="7" t="b">
        <f t="shared" si="17"/>
        <v>1</v>
      </c>
      <c r="BO156" s="7" t="str">
        <f t="shared" si="18"/>
        <v>Holmes</v>
      </c>
      <c r="BP156" s="7" t="b">
        <f t="shared" si="19"/>
        <v>1</v>
      </c>
    </row>
    <row r="157" spans="1:68" ht="12" hidden="1" customHeight="1">
      <c r="A157" s="12" t="s">
        <v>691</v>
      </c>
      <c r="B157" s="12"/>
      <c r="C157" s="12" t="s">
        <v>40</v>
      </c>
      <c r="D157" s="12"/>
      <c r="E157" s="12"/>
      <c r="AI157" s="12" t="s">
        <v>691</v>
      </c>
      <c r="AJ157" s="12"/>
      <c r="AK157" s="12" t="s">
        <v>40</v>
      </c>
      <c r="AL157" s="12"/>
      <c r="AY157" s="7">
        <f t="shared" si="22"/>
        <v>0</v>
      </c>
      <c r="BA157" s="7">
        <f>+'St of Activites - GA Rev'!AI157-'St of Activities - GA Exp'!AY157</f>
        <v>0</v>
      </c>
      <c r="BE157" s="7">
        <f t="shared" si="20"/>
        <v>0</v>
      </c>
      <c r="BG157" s="7">
        <f>+'St of Net Assets - GA'!AA157-'St of Activities - GA Exp'!BE157</f>
        <v>0</v>
      </c>
      <c r="BH157" s="7" t="s">
        <v>839</v>
      </c>
      <c r="BL157" s="7" t="str">
        <f t="shared" si="16"/>
        <v>East Knox Local SD (CASH)</v>
      </c>
      <c r="BM157" s="7" t="b">
        <f t="shared" si="17"/>
        <v>1</v>
      </c>
      <c r="BO157" s="7" t="str">
        <f t="shared" si="18"/>
        <v>Knox</v>
      </c>
      <c r="BP157" s="7" t="b">
        <f t="shared" si="19"/>
        <v>1</v>
      </c>
    </row>
    <row r="158" spans="1:68">
      <c r="A158" s="12" t="s">
        <v>254</v>
      </c>
      <c r="B158" s="12"/>
      <c r="C158" s="12" t="s">
        <v>112</v>
      </c>
      <c r="D158" s="12"/>
      <c r="E158" s="12">
        <v>43919</v>
      </c>
      <c r="G158" s="7">
        <v>12652712</v>
      </c>
      <c r="I158" s="7">
        <v>2851835</v>
      </c>
      <c r="K158" s="7">
        <v>822640</v>
      </c>
      <c r="M158" s="7">
        <v>5888</v>
      </c>
      <c r="O158" s="7">
        <f>32453+1807621</f>
        <v>1840074</v>
      </c>
      <c r="Q158" s="7">
        <v>1071157</v>
      </c>
      <c r="S158" s="7">
        <v>1712564</v>
      </c>
      <c r="U158" s="7">
        <v>173860</v>
      </c>
      <c r="W158" s="7">
        <v>1451123</v>
      </c>
      <c r="Y158" s="7">
        <v>492057</v>
      </c>
      <c r="AA158" s="7">
        <v>19855</v>
      </c>
      <c r="AC158" s="7">
        <v>4443636</v>
      </c>
      <c r="AE158" s="7">
        <v>1001557</v>
      </c>
      <c r="AG158" s="7">
        <v>47246</v>
      </c>
      <c r="AI158" s="12" t="s">
        <v>254</v>
      </c>
      <c r="AJ158" s="12"/>
      <c r="AK158" s="12" t="s">
        <v>112</v>
      </c>
      <c r="AL158" s="12"/>
      <c r="AM158" s="7">
        <v>1239046</v>
      </c>
      <c r="AO158" s="7">
        <v>83411</v>
      </c>
      <c r="AQ158" s="7">
        <v>175760</v>
      </c>
      <c r="AS158" s="7">
        <v>60477</v>
      </c>
      <c r="AW158" s="7">
        <v>0</v>
      </c>
      <c r="AY158" s="7">
        <f t="shared" si="22"/>
        <v>30144898</v>
      </c>
      <c r="BA158" s="7">
        <f>+'St of Activites - GA Rev'!AI158-'St of Activities - GA Exp'!AY158</f>
        <v>-524514</v>
      </c>
      <c r="BC158" s="7">
        <v>51404964</v>
      </c>
      <c r="BE158" s="7">
        <f t="shared" si="20"/>
        <v>50880450</v>
      </c>
      <c r="BG158" s="7">
        <f>+'St of Net Assets - GA'!AA158-'St of Activities - GA Exp'!BE158</f>
        <v>0</v>
      </c>
      <c r="BL158" s="7" t="str">
        <f t="shared" si="16"/>
        <v>East Liverpool City SD</v>
      </c>
      <c r="BM158" s="7" t="b">
        <f t="shared" si="17"/>
        <v>1</v>
      </c>
      <c r="BO158" s="7" t="str">
        <f t="shared" si="18"/>
        <v>Columbiana</v>
      </c>
      <c r="BP158" s="7" t="b">
        <f t="shared" si="19"/>
        <v>1</v>
      </c>
    </row>
    <row r="159" spans="1:68">
      <c r="A159" s="12" t="s">
        <v>456</v>
      </c>
      <c r="B159" s="12"/>
      <c r="C159" s="12" t="s">
        <v>51</v>
      </c>
      <c r="D159" s="12"/>
      <c r="E159" s="12">
        <v>48835</v>
      </c>
      <c r="G159" s="7">
        <v>8940485</v>
      </c>
      <c r="I159" s="7">
        <v>1762879</v>
      </c>
      <c r="K159" s="7">
        <v>280942</v>
      </c>
      <c r="M159" s="7">
        <v>0</v>
      </c>
      <c r="O159" s="7">
        <v>386670</v>
      </c>
      <c r="Q159" s="7">
        <v>454620</v>
      </c>
      <c r="S159" s="7">
        <v>1342358</v>
      </c>
      <c r="U159" s="7">
        <v>47281</v>
      </c>
      <c r="W159" s="7">
        <v>1859835</v>
      </c>
      <c r="Y159" s="7">
        <v>409775</v>
      </c>
      <c r="AA159" s="7">
        <v>0</v>
      </c>
      <c r="AC159" s="7">
        <v>1876740</v>
      </c>
      <c r="AE159" s="7">
        <v>1269442</v>
      </c>
      <c r="AG159" s="7">
        <v>186191</v>
      </c>
      <c r="AI159" s="12" t="s">
        <v>456</v>
      </c>
      <c r="AJ159" s="12"/>
      <c r="AK159" s="12" t="s">
        <v>51</v>
      </c>
      <c r="AL159" s="12"/>
      <c r="AM159" s="7">
        <v>1074691</v>
      </c>
      <c r="AO159" s="7">
        <v>0</v>
      </c>
      <c r="AQ159" s="7">
        <v>460503</v>
      </c>
      <c r="AS159" s="7">
        <v>329150</v>
      </c>
      <c r="AW159" s="7">
        <v>0</v>
      </c>
      <c r="AY159" s="7">
        <f t="shared" si="22"/>
        <v>20681562</v>
      </c>
      <c r="BA159" s="7">
        <f>+'St of Activites - GA Rev'!AI159-'St of Activities - GA Exp'!AY159</f>
        <v>551885</v>
      </c>
      <c r="BC159" s="7">
        <v>26962968</v>
      </c>
      <c r="BE159" s="7">
        <f t="shared" si="20"/>
        <v>27514853</v>
      </c>
      <c r="BG159" s="7">
        <f>+'St of Net Assets - GA'!AA159-'St of Activities - GA Exp'!BE159</f>
        <v>0</v>
      </c>
      <c r="BL159" s="7" t="str">
        <f t="shared" si="16"/>
        <v>East Muskingum Local SD</v>
      </c>
      <c r="BM159" s="7" t="b">
        <f t="shared" si="17"/>
        <v>1</v>
      </c>
      <c r="BO159" s="7" t="str">
        <f t="shared" si="18"/>
        <v>Muskingum</v>
      </c>
      <c r="BP159" s="7" t="b">
        <f t="shared" si="19"/>
        <v>1</v>
      </c>
    </row>
    <row r="160" spans="1:68">
      <c r="A160" s="12" t="s">
        <v>255</v>
      </c>
      <c r="B160" s="12"/>
      <c r="C160" s="12" t="s">
        <v>112</v>
      </c>
      <c r="D160" s="12"/>
      <c r="E160" s="12">
        <v>43927</v>
      </c>
      <c r="G160" s="7">
        <v>4998150</v>
      </c>
      <c r="I160" s="7">
        <v>2119201</v>
      </c>
      <c r="K160" s="7">
        <v>37976</v>
      </c>
      <c r="M160" s="7">
        <v>0</v>
      </c>
      <c r="O160" s="7">
        <v>0</v>
      </c>
      <c r="Q160" s="7">
        <v>568305</v>
      </c>
      <c r="S160" s="7">
        <v>309125</v>
      </c>
      <c r="U160" s="7">
        <v>31423</v>
      </c>
      <c r="W160" s="7">
        <v>686762</v>
      </c>
      <c r="Y160" s="7">
        <v>274985</v>
      </c>
      <c r="AA160" s="7">
        <v>672101</v>
      </c>
      <c r="AC160" s="7">
        <v>987942</v>
      </c>
      <c r="AE160" s="7">
        <v>629151</v>
      </c>
      <c r="AG160" s="7">
        <v>0</v>
      </c>
      <c r="AI160" s="12" t="s">
        <v>255</v>
      </c>
      <c r="AJ160" s="12"/>
      <c r="AK160" s="12" t="s">
        <v>112</v>
      </c>
      <c r="AL160" s="12"/>
      <c r="AM160" s="7">
        <v>505627</v>
      </c>
      <c r="AO160" s="7">
        <v>28895</v>
      </c>
      <c r="AQ160" s="7">
        <v>740920</v>
      </c>
      <c r="AS160" s="7">
        <v>108221</v>
      </c>
      <c r="AW160" s="7">
        <v>0</v>
      </c>
      <c r="AY160" s="7">
        <f t="shared" si="22"/>
        <v>12698784</v>
      </c>
      <c r="BA160" s="7">
        <f>+'St of Activites - GA Rev'!AI160-'St of Activities - GA Exp'!AY160</f>
        <v>672156</v>
      </c>
      <c r="BC160" s="7">
        <v>22204270</v>
      </c>
      <c r="BE160" s="7">
        <f t="shared" si="20"/>
        <v>22876426</v>
      </c>
      <c r="BG160" s="7">
        <f>+'St of Net Assets - GA'!AA160-'St of Activities - GA Exp'!BE160</f>
        <v>0</v>
      </c>
      <c r="BL160" s="7" t="str">
        <f t="shared" si="16"/>
        <v>East Palestine City SD</v>
      </c>
      <c r="BM160" s="7" t="b">
        <f t="shared" si="17"/>
        <v>1</v>
      </c>
      <c r="BO160" s="7" t="str">
        <f t="shared" si="18"/>
        <v>Columbiana</v>
      </c>
      <c r="BP160" s="7" t="b">
        <f t="shared" si="19"/>
        <v>1</v>
      </c>
    </row>
    <row r="161" spans="1:68">
      <c r="A161" s="12" t="s">
        <v>220</v>
      </c>
      <c r="B161" s="12"/>
      <c r="C161" s="12" t="s">
        <v>77</v>
      </c>
      <c r="D161" s="12"/>
      <c r="E161" s="12">
        <v>46037</v>
      </c>
      <c r="G161" s="7">
        <v>5739976</v>
      </c>
      <c r="I161" s="7">
        <v>1552107</v>
      </c>
      <c r="K161" s="7">
        <v>178744</v>
      </c>
      <c r="M161" s="7">
        <v>0</v>
      </c>
      <c r="O161" s="7">
        <v>1113149</v>
      </c>
      <c r="Q161" s="7">
        <v>376812</v>
      </c>
      <c r="S161" s="7">
        <v>898064</v>
      </c>
      <c r="U161" s="7">
        <v>23896</v>
      </c>
      <c r="W161" s="7">
        <v>1040721</v>
      </c>
      <c r="Y161" s="7">
        <v>425922</v>
      </c>
      <c r="AA161" s="7">
        <v>0</v>
      </c>
      <c r="AC161" s="7">
        <v>1330472</v>
      </c>
      <c r="AE161" s="7">
        <v>1058259</v>
      </c>
      <c r="AG161" s="7">
        <v>36076</v>
      </c>
      <c r="AI161" s="12" t="s">
        <v>220</v>
      </c>
      <c r="AJ161" s="12"/>
      <c r="AK161" s="12" t="s">
        <v>77</v>
      </c>
      <c r="AL161" s="12"/>
      <c r="AM161" s="7">
        <v>0</v>
      </c>
      <c r="AO161" s="7">
        <v>592912</v>
      </c>
      <c r="AQ161" s="7">
        <v>198258</v>
      </c>
      <c r="AS161" s="7">
        <v>401967</v>
      </c>
      <c r="AW161" s="7">
        <v>0</v>
      </c>
      <c r="AY161" s="7">
        <f t="shared" si="22"/>
        <v>14967335</v>
      </c>
      <c r="BA161" s="7">
        <f>+'St of Activites - GA Rev'!AI161-'St of Activities - GA Exp'!AY161</f>
        <v>694789</v>
      </c>
      <c r="BC161" s="7">
        <v>43924389</v>
      </c>
      <c r="BE161" s="7">
        <f t="shared" si="20"/>
        <v>44619178</v>
      </c>
      <c r="BG161" s="7">
        <f>+'St of Net Assets - GA'!AA161-'St of Activities - GA Exp'!BE161</f>
        <v>0</v>
      </c>
      <c r="BL161" s="7" t="str">
        <f t="shared" si="16"/>
        <v>Eastern Local SD</v>
      </c>
      <c r="BM161" s="7" t="b">
        <f t="shared" si="17"/>
        <v>1</v>
      </c>
      <c r="BO161" s="7" t="str">
        <f t="shared" si="18"/>
        <v>Brown</v>
      </c>
      <c r="BP161" s="7" t="b">
        <f t="shared" si="19"/>
        <v>1</v>
      </c>
    </row>
    <row r="162" spans="1:68">
      <c r="A162" s="12" t="s">
        <v>220</v>
      </c>
      <c r="B162" s="12"/>
      <c r="C162" s="12" t="s">
        <v>433</v>
      </c>
      <c r="D162" s="12"/>
      <c r="E162" s="12">
        <v>48512</v>
      </c>
      <c r="G162" s="7">
        <v>3995931</v>
      </c>
      <c r="I162" s="7">
        <v>971100</v>
      </c>
      <c r="K162" s="7">
        <v>0</v>
      </c>
      <c r="M162" s="7">
        <v>0</v>
      </c>
      <c r="O162" s="7">
        <v>13138</v>
      </c>
      <c r="Q162" s="7">
        <v>447235</v>
      </c>
      <c r="S162" s="7">
        <v>392458</v>
      </c>
      <c r="U162" s="7">
        <v>33117</v>
      </c>
      <c r="W162" s="7">
        <v>547988</v>
      </c>
      <c r="Y162" s="7">
        <v>270390</v>
      </c>
      <c r="AA162" s="7">
        <v>0</v>
      </c>
      <c r="AC162" s="7">
        <v>809671</v>
      </c>
      <c r="AE162" s="7">
        <v>584654</v>
      </c>
      <c r="AG162" s="7">
        <v>100798</v>
      </c>
      <c r="AI162" s="12" t="s">
        <v>220</v>
      </c>
      <c r="AJ162" s="12"/>
      <c r="AK162" s="12" t="s">
        <v>433</v>
      </c>
      <c r="AL162" s="12"/>
      <c r="AM162" s="7">
        <v>374535</v>
      </c>
      <c r="AO162" s="7">
        <v>7358</v>
      </c>
      <c r="AQ162" s="7">
        <v>196643</v>
      </c>
      <c r="AS162" s="7">
        <v>45746</v>
      </c>
      <c r="AW162" s="7">
        <v>0</v>
      </c>
      <c r="AY162" s="7">
        <f t="shared" si="22"/>
        <v>8790762</v>
      </c>
      <c r="BA162" s="7">
        <f>+'St of Activites - GA Rev'!AI162-'St of Activities - GA Exp'!AY162</f>
        <v>68459</v>
      </c>
      <c r="BC162" s="7">
        <v>8455412</v>
      </c>
      <c r="BE162" s="7">
        <f t="shared" si="20"/>
        <v>8523871</v>
      </c>
      <c r="BG162" s="7">
        <f>+'St of Net Assets - GA'!AA162-'St of Activities - GA Exp'!BE162</f>
        <v>0</v>
      </c>
      <c r="BH162" s="14"/>
      <c r="BL162" s="7" t="str">
        <f t="shared" si="16"/>
        <v>Eastern Local SD</v>
      </c>
      <c r="BM162" s="7" t="b">
        <f t="shared" si="17"/>
        <v>1</v>
      </c>
      <c r="BO162" s="7" t="str">
        <f t="shared" si="18"/>
        <v>Meigs</v>
      </c>
      <c r="BP162" s="7" t="b">
        <f t="shared" si="19"/>
        <v>1</v>
      </c>
    </row>
    <row r="163" spans="1:68" ht="12" hidden="1" customHeight="1">
      <c r="A163" s="12" t="s">
        <v>692</v>
      </c>
      <c r="B163" s="12"/>
      <c r="C163" s="12" t="s">
        <v>55</v>
      </c>
      <c r="D163" s="12"/>
      <c r="E163" s="12">
        <v>49122</v>
      </c>
      <c r="AI163" s="12" t="s">
        <v>692</v>
      </c>
      <c r="AJ163" s="12"/>
      <c r="AK163" s="12" t="s">
        <v>55</v>
      </c>
      <c r="AL163" s="12"/>
      <c r="AY163" s="7">
        <f t="shared" si="22"/>
        <v>0</v>
      </c>
      <c r="BA163" s="7">
        <f>+'St of Activites - GA Rev'!AI163-'St of Activities - GA Exp'!AY163</f>
        <v>0</v>
      </c>
      <c r="BE163" s="7">
        <f t="shared" si="20"/>
        <v>0</v>
      </c>
      <c r="BG163" s="7">
        <f>+'St of Net Assets - GA'!AA163-'St of Activities - GA Exp'!BE163</f>
        <v>0</v>
      </c>
      <c r="BH163" s="7" t="s">
        <v>839</v>
      </c>
      <c r="BL163" s="7" t="str">
        <f t="shared" si="16"/>
        <v>Eastern Local SD (CASH)</v>
      </c>
      <c r="BM163" s="7" t="b">
        <f t="shared" si="17"/>
        <v>1</v>
      </c>
      <c r="BO163" s="7" t="str">
        <f t="shared" si="18"/>
        <v>Pike</v>
      </c>
      <c r="BP163" s="7" t="b">
        <f t="shared" si="19"/>
        <v>1</v>
      </c>
    </row>
    <row r="164" spans="1:68">
      <c r="A164" s="12" t="s">
        <v>573</v>
      </c>
      <c r="B164" s="12"/>
      <c r="C164" s="12" t="s">
        <v>72</v>
      </c>
      <c r="D164" s="12"/>
      <c r="E164" s="12">
        <v>50674</v>
      </c>
      <c r="G164" s="7">
        <v>7260792</v>
      </c>
      <c r="I164" s="7">
        <v>1405694</v>
      </c>
      <c r="K164" s="7">
        <v>100992</v>
      </c>
      <c r="M164" s="7">
        <v>7</v>
      </c>
      <c r="O164" s="7">
        <v>0</v>
      </c>
      <c r="Q164" s="7">
        <v>394746</v>
      </c>
      <c r="S164" s="7">
        <v>499989</v>
      </c>
      <c r="U164" s="7">
        <v>71408</v>
      </c>
      <c r="W164" s="7">
        <v>1213436</v>
      </c>
      <c r="Y164" s="7">
        <v>754970</v>
      </c>
      <c r="AA164" s="7">
        <v>7</v>
      </c>
      <c r="AC164" s="7">
        <v>1641692</v>
      </c>
      <c r="AE164" s="7">
        <v>1024209</v>
      </c>
      <c r="AG164" s="7">
        <v>185</v>
      </c>
      <c r="AI164" s="12" t="s">
        <v>573</v>
      </c>
      <c r="AJ164" s="12"/>
      <c r="AK164" s="12" t="s">
        <v>72</v>
      </c>
      <c r="AL164" s="12"/>
      <c r="AM164" s="7">
        <v>0</v>
      </c>
      <c r="AO164" s="7">
        <v>741485</v>
      </c>
      <c r="AQ164" s="7">
        <v>703959</v>
      </c>
      <c r="AS164" s="7">
        <v>150145</v>
      </c>
      <c r="AW164" s="7">
        <v>0</v>
      </c>
      <c r="AY164" s="7">
        <f t="shared" si="22"/>
        <v>15963716</v>
      </c>
      <c r="BA164" s="7">
        <f>+'St of Activites - GA Rev'!AI164-'St of Activities - GA Exp'!AY164</f>
        <v>1848740</v>
      </c>
      <c r="BC164" s="7">
        <v>7392268</v>
      </c>
      <c r="BE164" s="7">
        <f t="shared" si="20"/>
        <v>9241008</v>
      </c>
      <c r="BG164" s="7">
        <f>+'St of Net Assets - GA'!AA164-'St of Activities - GA Exp'!BE164</f>
        <v>0</v>
      </c>
      <c r="BH164" s="7" t="s">
        <v>845</v>
      </c>
      <c r="BL164" s="7" t="str">
        <f t="shared" si="16"/>
        <v>Eastwood Local SD</v>
      </c>
      <c r="BM164" s="7" t="b">
        <f t="shared" si="17"/>
        <v>1</v>
      </c>
      <c r="BO164" s="7" t="str">
        <f t="shared" si="18"/>
        <v>Wood</v>
      </c>
      <c r="BP164" s="7" t="b">
        <f t="shared" si="19"/>
        <v>1</v>
      </c>
    </row>
    <row r="165" spans="1:68">
      <c r="A165" s="12" t="s">
        <v>712</v>
      </c>
      <c r="B165" s="12"/>
      <c r="C165" s="12" t="s">
        <v>57</v>
      </c>
      <c r="D165" s="12"/>
      <c r="E165" s="12">
        <v>43935</v>
      </c>
      <c r="G165" s="7">
        <v>12176308</v>
      </c>
      <c r="I165" s="7">
        <v>0</v>
      </c>
      <c r="K165" s="7">
        <v>0</v>
      </c>
      <c r="M165" s="7">
        <v>0</v>
      </c>
      <c r="O165" s="7">
        <v>0</v>
      </c>
      <c r="Q165" s="7">
        <v>1251256</v>
      </c>
      <c r="S165" s="7">
        <v>878988</v>
      </c>
      <c r="U165" s="7">
        <v>28191</v>
      </c>
      <c r="W165" s="7">
        <v>1631670</v>
      </c>
      <c r="Y165" s="7">
        <v>616132</v>
      </c>
      <c r="AA165" s="7">
        <v>3639</v>
      </c>
      <c r="AC165" s="7">
        <v>2131029</v>
      </c>
      <c r="AE165" s="7">
        <v>1406574</v>
      </c>
      <c r="AG165" s="7">
        <v>245264</v>
      </c>
      <c r="AI165" s="12" t="s">
        <v>712</v>
      </c>
      <c r="AJ165" s="12"/>
      <c r="AK165" s="12" t="s">
        <v>57</v>
      </c>
      <c r="AL165" s="12"/>
      <c r="AM165" s="7">
        <v>905151</v>
      </c>
      <c r="AO165" s="7">
        <v>0</v>
      </c>
      <c r="AQ165" s="7">
        <v>720206</v>
      </c>
      <c r="AS165" s="7">
        <v>1775671</v>
      </c>
      <c r="AW165" s="7">
        <v>0</v>
      </c>
      <c r="AY165" s="7">
        <f t="shared" si="22"/>
        <v>23770079</v>
      </c>
      <c r="BA165" s="7">
        <f>+'St of Activites - GA Rev'!AI165-'St of Activities - GA Exp'!AY165</f>
        <v>23234870</v>
      </c>
      <c r="BC165" s="7">
        <v>15977754</v>
      </c>
      <c r="BE165" s="7">
        <f t="shared" si="20"/>
        <v>39212624</v>
      </c>
      <c r="BG165" s="7">
        <f>+'St of Net Assets - GA'!AA165-'St of Activities - GA Exp'!BE165</f>
        <v>0</v>
      </c>
      <c r="BH165" s="7" t="s">
        <v>846</v>
      </c>
      <c r="BL165" s="7" t="str">
        <f t="shared" si="16"/>
        <v>Eaton Community SD</v>
      </c>
      <c r="BM165" s="7" t="b">
        <f t="shared" si="17"/>
        <v>1</v>
      </c>
      <c r="BO165" s="7" t="str">
        <f t="shared" si="18"/>
        <v>Preble</v>
      </c>
      <c r="BP165" s="7" t="b">
        <f t="shared" si="19"/>
        <v>1</v>
      </c>
    </row>
    <row r="166" spans="1:68" hidden="1">
      <c r="A166" s="12" t="s">
        <v>693</v>
      </c>
      <c r="B166" s="12"/>
      <c r="C166" s="12" t="s">
        <v>570</v>
      </c>
      <c r="D166" s="12"/>
      <c r="E166" s="12">
        <v>50617</v>
      </c>
      <c r="AI166" s="12" t="s">
        <v>693</v>
      </c>
      <c r="AJ166" s="12"/>
      <c r="AK166" s="12" t="s">
        <v>570</v>
      </c>
      <c r="AL166" s="12"/>
      <c r="AY166" s="7">
        <f t="shared" si="22"/>
        <v>0</v>
      </c>
      <c r="BA166" s="7">
        <f>+'St of Activites - GA Rev'!AI166-'St of Activities - GA Exp'!AY166</f>
        <v>0</v>
      </c>
      <c r="BE166" s="7">
        <f t="shared" si="20"/>
        <v>0</v>
      </c>
      <c r="BG166" s="7">
        <f>+'St of Net Assets - GA'!AA166-'St of Activities - GA Exp'!BE166</f>
        <v>0</v>
      </c>
      <c r="BH166" s="7" t="s">
        <v>839</v>
      </c>
      <c r="BL166" s="7" t="str">
        <f t="shared" si="16"/>
        <v>Edgerton Local SD (CASH)</v>
      </c>
      <c r="BM166" s="7" t="b">
        <f t="shared" si="17"/>
        <v>1</v>
      </c>
      <c r="BO166" s="7" t="str">
        <f t="shared" si="18"/>
        <v>Williams</v>
      </c>
      <c r="BP166" s="7" t="b">
        <f t="shared" si="19"/>
        <v>1</v>
      </c>
    </row>
    <row r="167" spans="1:68" ht="12" customHeight="1">
      <c r="A167" s="12" t="s">
        <v>694</v>
      </c>
      <c r="B167" s="12"/>
      <c r="C167" s="12" t="s">
        <v>223</v>
      </c>
      <c r="D167" s="12"/>
      <c r="E167" s="12">
        <v>46094</v>
      </c>
      <c r="G167" s="7">
        <v>15379779</v>
      </c>
      <c r="I167" s="7">
        <v>4032334</v>
      </c>
      <c r="K167" s="7">
        <v>0</v>
      </c>
      <c r="M167" s="7">
        <v>0</v>
      </c>
      <c r="O167" s="7">
        <v>51623</v>
      </c>
      <c r="Q167" s="7">
        <v>2575331</v>
      </c>
      <c r="S167" s="7">
        <v>2709976</v>
      </c>
      <c r="U167" s="7">
        <v>174231</v>
      </c>
      <c r="W167" s="7">
        <v>2049544</v>
      </c>
      <c r="Y167" s="7">
        <v>666536</v>
      </c>
      <c r="AA167" s="7">
        <v>154717</v>
      </c>
      <c r="AC167" s="7">
        <v>2696833</v>
      </c>
      <c r="AE167" s="7">
        <v>1346177</v>
      </c>
      <c r="AG167" s="7">
        <v>205887</v>
      </c>
      <c r="AI167" s="12" t="s">
        <v>694</v>
      </c>
      <c r="AJ167" s="12"/>
      <c r="AK167" s="12" t="s">
        <v>223</v>
      </c>
      <c r="AL167" s="12"/>
      <c r="AM167" s="7">
        <v>1490541</v>
      </c>
      <c r="AO167" s="7">
        <v>27217</v>
      </c>
      <c r="AQ167" s="7">
        <v>518141</v>
      </c>
      <c r="AS167" s="7">
        <v>2650408</v>
      </c>
      <c r="AW167" s="7">
        <v>0</v>
      </c>
      <c r="AY167" s="7">
        <f t="shared" si="22"/>
        <v>36729275</v>
      </c>
      <c r="BA167" s="7">
        <f>+'St of Activites - GA Rev'!AI167-'St of Activities - GA Exp'!AY167</f>
        <v>2010325</v>
      </c>
      <c r="BC167" s="7">
        <v>28660687</v>
      </c>
      <c r="BE167" s="7">
        <f t="shared" si="20"/>
        <v>30671012</v>
      </c>
      <c r="BG167" s="7">
        <f>+'St of Net Assets - GA'!AA167-'St of Activities - GA Exp'!BE167</f>
        <v>0</v>
      </c>
      <c r="BL167" s="7" t="str">
        <f t="shared" si="16"/>
        <v xml:space="preserve">Edgewood City SD </v>
      </c>
      <c r="BM167" s="7" t="b">
        <f t="shared" si="17"/>
        <v>1</v>
      </c>
      <c r="BO167" s="7" t="str">
        <f t="shared" si="18"/>
        <v>Butler</v>
      </c>
      <c r="BP167" s="7" t="b">
        <f t="shared" si="19"/>
        <v>1</v>
      </c>
    </row>
    <row r="168" spans="1:68">
      <c r="A168" s="12" t="s">
        <v>372</v>
      </c>
      <c r="B168" s="12"/>
      <c r="C168" s="12" t="s">
        <v>39</v>
      </c>
      <c r="D168" s="12"/>
      <c r="E168" s="12">
        <v>47795</v>
      </c>
      <c r="G168" s="7">
        <v>7575964</v>
      </c>
      <c r="I168" s="7">
        <v>1934916</v>
      </c>
      <c r="K168" s="7">
        <v>139739</v>
      </c>
      <c r="M168" s="7">
        <v>4650</v>
      </c>
      <c r="O168" s="7">
        <v>2623200</v>
      </c>
      <c r="Q168" s="7">
        <v>788850</v>
      </c>
      <c r="S168" s="7">
        <v>1030402</v>
      </c>
      <c r="U168" s="7">
        <v>107127</v>
      </c>
      <c r="W168" s="7">
        <v>1687062</v>
      </c>
      <c r="Y168" s="7">
        <v>486566</v>
      </c>
      <c r="AA168" s="7">
        <v>89255</v>
      </c>
      <c r="AC168" s="7">
        <v>1584142</v>
      </c>
      <c r="AE168" s="7">
        <v>1665331</v>
      </c>
      <c r="AG168" s="7">
        <v>257122</v>
      </c>
      <c r="AI168" s="12" t="s">
        <v>372</v>
      </c>
      <c r="AJ168" s="12"/>
      <c r="AK168" s="12" t="s">
        <v>39</v>
      </c>
      <c r="AL168" s="12"/>
      <c r="AM168" s="7">
        <v>863181</v>
      </c>
      <c r="AO168" s="7">
        <v>2252</v>
      </c>
      <c r="AQ168" s="7">
        <v>434435</v>
      </c>
      <c r="AS168" s="7">
        <v>21518</v>
      </c>
      <c r="AW168" s="7">
        <v>0</v>
      </c>
      <c r="AY168" s="7">
        <f t="shared" si="22"/>
        <v>21295712</v>
      </c>
      <c r="BA168" s="7">
        <f>+'St of Activites - GA Rev'!AI168-'St of Activities - GA Exp'!AY168</f>
        <v>-73475</v>
      </c>
      <c r="BC168" s="7">
        <v>4057985</v>
      </c>
      <c r="BE168" s="7">
        <f t="shared" si="20"/>
        <v>3984510</v>
      </c>
      <c r="BG168" s="7">
        <f>+'St of Net Assets - GA'!AA168-'St of Activities - GA Exp'!BE168</f>
        <v>0</v>
      </c>
      <c r="BL168" s="7" t="str">
        <f t="shared" si="16"/>
        <v>Edison Local SD</v>
      </c>
      <c r="BM168" s="7" t="b">
        <f t="shared" si="17"/>
        <v>1</v>
      </c>
      <c r="BO168" s="7" t="str">
        <f t="shared" si="18"/>
        <v>Jefferson</v>
      </c>
      <c r="BP168" s="7" t="b">
        <f t="shared" si="19"/>
        <v>1</v>
      </c>
    </row>
    <row r="169" spans="1:68" hidden="1">
      <c r="A169" s="12" t="s">
        <v>847</v>
      </c>
      <c r="B169" s="12"/>
      <c r="C169" s="12" t="s">
        <v>570</v>
      </c>
      <c r="D169" s="12"/>
      <c r="E169" s="12">
        <v>50625</v>
      </c>
      <c r="AI169" s="12" t="s">
        <v>847</v>
      </c>
      <c r="AJ169" s="12"/>
      <c r="AK169" s="12" t="s">
        <v>570</v>
      </c>
      <c r="AL169" s="12"/>
      <c r="AY169" s="7">
        <f t="shared" si="22"/>
        <v>0</v>
      </c>
      <c r="BA169" s="7">
        <f>+'St of Activites - GA Rev'!AI169-'St of Activities - GA Exp'!AY169</f>
        <v>0</v>
      </c>
      <c r="BE169" s="7">
        <f t="shared" si="20"/>
        <v>0</v>
      </c>
      <c r="BG169" s="7">
        <f>+'St of Net Assets - GA'!AA169-'St of Activities - GA Exp'!BE169</f>
        <v>0</v>
      </c>
      <c r="BH169" s="7" t="s">
        <v>837</v>
      </c>
      <c r="BL169" s="7" t="str">
        <f t="shared" si="16"/>
        <v>Edon-Northwest Local SD (CASH)</v>
      </c>
      <c r="BM169" s="7" t="b">
        <f t="shared" si="17"/>
        <v>1</v>
      </c>
      <c r="BO169" s="7" t="str">
        <f t="shared" si="18"/>
        <v>Williams</v>
      </c>
      <c r="BP169" s="7" t="b">
        <f t="shared" si="19"/>
        <v>1</v>
      </c>
    </row>
    <row r="170" spans="1:68" hidden="1">
      <c r="A170" s="12" t="s">
        <v>695</v>
      </c>
      <c r="B170" s="12"/>
      <c r="C170" s="12" t="s">
        <v>10</v>
      </c>
      <c r="D170" s="12"/>
      <c r="E170" s="12"/>
      <c r="AI170" s="12" t="s">
        <v>695</v>
      </c>
      <c r="AJ170" s="12"/>
      <c r="AK170" s="12" t="s">
        <v>10</v>
      </c>
      <c r="AL170" s="12"/>
      <c r="AY170" s="7">
        <f t="shared" si="22"/>
        <v>0</v>
      </c>
      <c r="BA170" s="7">
        <f>+'St of Activites - GA Rev'!AI170-'St of Activities - GA Exp'!AY170</f>
        <v>0</v>
      </c>
      <c r="BE170" s="7">
        <f t="shared" si="20"/>
        <v>0</v>
      </c>
      <c r="BG170" s="7">
        <f>+'St of Net Assets - GA'!AA170-'St of Activities - GA Exp'!BE170</f>
        <v>0</v>
      </c>
      <c r="BH170" s="7" t="s">
        <v>839</v>
      </c>
      <c r="BL170" s="7" t="str">
        <f t="shared" si="16"/>
        <v>Elida Local SD (CASH)</v>
      </c>
      <c r="BM170" s="7" t="b">
        <f t="shared" si="17"/>
        <v>1</v>
      </c>
      <c r="BO170" s="7" t="str">
        <f t="shared" si="18"/>
        <v>Allen</v>
      </c>
      <c r="BP170" s="7" t="b">
        <f t="shared" si="19"/>
        <v>1</v>
      </c>
    </row>
    <row r="171" spans="1:68">
      <c r="A171" s="12" t="s">
        <v>713</v>
      </c>
      <c r="B171" s="12"/>
      <c r="C171" s="12" t="s">
        <v>46</v>
      </c>
      <c r="D171" s="12"/>
      <c r="E171" s="12">
        <v>48413</v>
      </c>
      <c r="G171" s="7">
        <v>6054819</v>
      </c>
      <c r="I171" s="7">
        <v>1477407</v>
      </c>
      <c r="K171" s="7">
        <v>114884</v>
      </c>
      <c r="M171" s="7">
        <v>0</v>
      </c>
      <c r="O171" s="7">
        <v>0</v>
      </c>
      <c r="Q171" s="7">
        <v>767388</v>
      </c>
      <c r="S171" s="7">
        <v>420928</v>
      </c>
      <c r="U171" s="7">
        <v>48423</v>
      </c>
      <c r="W171" s="7">
        <v>1125068</v>
      </c>
      <c r="Y171" s="7">
        <v>493398</v>
      </c>
      <c r="AA171" s="7">
        <v>0</v>
      </c>
      <c r="AC171" s="7">
        <v>1112268</v>
      </c>
      <c r="AE171" s="7">
        <v>805349</v>
      </c>
      <c r="AG171" s="7">
        <v>118220</v>
      </c>
      <c r="AI171" s="12" t="s">
        <v>713</v>
      </c>
      <c r="AJ171" s="12"/>
      <c r="AK171" s="12" t="s">
        <v>46</v>
      </c>
      <c r="AL171" s="12"/>
      <c r="AM171" s="7">
        <v>0</v>
      </c>
      <c r="AO171" s="7">
        <v>610894</v>
      </c>
      <c r="AQ171" s="7">
        <v>350984</v>
      </c>
      <c r="AS171" s="7">
        <v>810450</v>
      </c>
      <c r="AW171" s="7">
        <v>0</v>
      </c>
      <c r="AY171" s="7">
        <f t="shared" si="22"/>
        <v>14310480</v>
      </c>
      <c r="BA171" s="7">
        <f>+'St of Activites - GA Rev'!AI171-'St of Activities - GA Exp'!AY171</f>
        <v>2625432</v>
      </c>
      <c r="BC171" s="7">
        <v>24650390</v>
      </c>
      <c r="BE171" s="7">
        <f t="shared" si="20"/>
        <v>27275822</v>
      </c>
      <c r="BG171" s="7">
        <f>+'St of Net Assets - GA'!AA171-'St of Activities - GA Exp'!BE171</f>
        <v>0</v>
      </c>
      <c r="BL171" s="7" t="str">
        <f t="shared" si="16"/>
        <v xml:space="preserve">Elgin Local SD </v>
      </c>
      <c r="BM171" s="7" t="b">
        <f t="shared" si="17"/>
        <v>1</v>
      </c>
      <c r="BO171" s="7" t="str">
        <f t="shared" si="18"/>
        <v>Marion</v>
      </c>
      <c r="BP171" s="7" t="b">
        <f t="shared" si="19"/>
        <v>1</v>
      </c>
    </row>
    <row r="172" spans="1:68" hidden="1">
      <c r="A172" s="12" t="s">
        <v>728</v>
      </c>
      <c r="B172" s="12"/>
      <c r="C172" s="12" t="s">
        <v>72</v>
      </c>
      <c r="D172" s="12"/>
      <c r="E172" s="12"/>
      <c r="AI172" s="12" t="s">
        <v>728</v>
      </c>
      <c r="AJ172" s="12"/>
      <c r="AK172" s="12" t="s">
        <v>72</v>
      </c>
      <c r="AL172" s="12"/>
      <c r="AY172" s="7">
        <f t="shared" si="22"/>
        <v>0</v>
      </c>
      <c r="BA172" s="7">
        <f>+'St of Activites - GA Rev'!AI172-'St of Activities - GA Exp'!AY172</f>
        <v>0</v>
      </c>
      <c r="BE172" s="7">
        <f t="shared" si="20"/>
        <v>0</v>
      </c>
      <c r="BG172" s="7">
        <f>+'St of Net Assets - GA'!AA172-'St of Activities - GA Exp'!BE172</f>
        <v>0</v>
      </c>
      <c r="BH172" s="7" t="s">
        <v>839</v>
      </c>
      <c r="BL172" s="7" t="str">
        <f t="shared" si="16"/>
        <v>Elmwood Local SD (CASH)</v>
      </c>
      <c r="BM172" s="7" t="b">
        <f t="shared" si="17"/>
        <v>1</v>
      </c>
      <c r="BO172" s="7" t="str">
        <f t="shared" si="18"/>
        <v>Wood</v>
      </c>
      <c r="BP172" s="7" t="b">
        <f t="shared" si="19"/>
        <v>1</v>
      </c>
    </row>
    <row r="173" spans="1:68">
      <c r="A173" s="12" t="s">
        <v>396</v>
      </c>
      <c r="B173" s="12"/>
      <c r="C173" s="12" t="s">
        <v>44</v>
      </c>
      <c r="D173" s="12"/>
      <c r="E173" s="12">
        <v>43943</v>
      </c>
      <c r="G173" s="7">
        <v>29324385</v>
      </c>
      <c r="I173" s="7">
        <v>11056358</v>
      </c>
      <c r="K173" s="7">
        <v>230941</v>
      </c>
      <c r="M173" s="7">
        <v>0</v>
      </c>
      <c r="O173" s="7">
        <f>295731+8120803</f>
        <v>8416534</v>
      </c>
      <c r="Q173" s="7">
        <v>4351555</v>
      </c>
      <c r="S173" s="7">
        <v>5033837</v>
      </c>
      <c r="U173" s="7">
        <v>0</v>
      </c>
      <c r="W173" s="7">
        <v>5274119</v>
      </c>
      <c r="Y173" s="7">
        <v>1803790</v>
      </c>
      <c r="AA173" s="7">
        <v>620316</v>
      </c>
      <c r="AC173" s="7">
        <v>6538866</v>
      </c>
      <c r="AE173" s="7">
        <v>3118652</v>
      </c>
      <c r="AG173" s="7">
        <v>1476442</v>
      </c>
      <c r="AI173" s="12" t="s">
        <v>396</v>
      </c>
      <c r="AJ173" s="12"/>
      <c r="AK173" s="12" t="s">
        <v>44</v>
      </c>
      <c r="AL173" s="12"/>
      <c r="AM173" s="7">
        <v>0</v>
      </c>
      <c r="AO173" s="7">
        <v>1838111</v>
      </c>
      <c r="AQ173" s="7">
        <v>1253432</v>
      </c>
      <c r="AS173" s="7">
        <v>2473375</v>
      </c>
      <c r="AW173" s="7">
        <v>0</v>
      </c>
      <c r="AY173" s="7">
        <f t="shared" si="22"/>
        <v>82810713</v>
      </c>
      <c r="BA173" s="7">
        <f>+'St of Activites - GA Rev'!AI173-'St of Activities - GA Exp'!AY173</f>
        <v>7879225</v>
      </c>
      <c r="BC173" s="7">
        <v>30508488</v>
      </c>
      <c r="BE173" s="7">
        <f t="shared" si="20"/>
        <v>38387713</v>
      </c>
      <c r="BG173" s="7">
        <f>+'St of Net Assets - GA'!AA173-'St of Activities - GA Exp'!BE173</f>
        <v>0</v>
      </c>
      <c r="BL173" s="7" t="str">
        <f t="shared" si="16"/>
        <v>Elyria City SD</v>
      </c>
      <c r="BM173" s="7" t="b">
        <f t="shared" si="17"/>
        <v>1</v>
      </c>
      <c r="BO173" s="7" t="str">
        <f t="shared" si="18"/>
        <v>Lorain</v>
      </c>
      <c r="BP173" s="7" t="b">
        <f t="shared" si="19"/>
        <v>1</v>
      </c>
    </row>
    <row r="174" spans="1:68">
      <c r="A174" s="12" t="s">
        <v>273</v>
      </c>
      <c r="B174" s="12"/>
      <c r="C174" s="12" t="s">
        <v>20</v>
      </c>
      <c r="D174" s="12"/>
      <c r="E174" s="12">
        <v>43950</v>
      </c>
      <c r="G174" s="7">
        <v>29400824</v>
      </c>
      <c r="I174" s="7">
        <v>15850323</v>
      </c>
      <c r="K174" s="7">
        <v>1113993</v>
      </c>
      <c r="M174" s="7">
        <v>151581</v>
      </c>
      <c r="O174" s="7">
        <v>61117</v>
      </c>
      <c r="Q174" s="7">
        <v>4659136</v>
      </c>
      <c r="S174" s="7">
        <v>6802144</v>
      </c>
      <c r="U174" s="7">
        <v>51915</v>
      </c>
      <c r="W174" s="7">
        <v>5285593</v>
      </c>
      <c r="Y174" s="7">
        <v>1996702</v>
      </c>
      <c r="AA174" s="7">
        <v>674104</v>
      </c>
      <c r="AC174" s="7">
        <v>7749641</v>
      </c>
      <c r="AE174" s="7">
        <v>5057123</v>
      </c>
      <c r="AG174" s="7">
        <v>1812798</v>
      </c>
      <c r="AI174" s="12" t="s">
        <v>273</v>
      </c>
      <c r="AJ174" s="12"/>
      <c r="AK174" s="12" t="s">
        <v>20</v>
      </c>
      <c r="AL174" s="12"/>
      <c r="AM174" s="7">
        <v>0</v>
      </c>
      <c r="AO174" s="7">
        <v>1076841</v>
      </c>
      <c r="AQ174" s="7">
        <v>1114355</v>
      </c>
      <c r="AS174" s="7">
        <v>2101947</v>
      </c>
      <c r="AW174" s="7">
        <v>0</v>
      </c>
      <c r="AY174" s="7">
        <f t="shared" ref="AY174:AY241" si="23">SUM(G174:AX174)</f>
        <v>84960137</v>
      </c>
      <c r="BA174" s="7">
        <f>+'St of Activites - GA Rev'!AI174-'St of Activities - GA Exp'!AY174</f>
        <v>30032400</v>
      </c>
      <c r="BC174" s="7">
        <v>34174262</v>
      </c>
      <c r="BE174" s="7">
        <f t="shared" ref="BE174:BE242" si="24">+BA174+BC174</f>
        <v>64206662</v>
      </c>
      <c r="BG174" s="7">
        <f>+'St of Net Assets - GA'!AA174-'St of Activities - GA Exp'!BE174</f>
        <v>0</v>
      </c>
      <c r="BL174" s="7" t="str">
        <f t="shared" si="16"/>
        <v>Euclid City SD</v>
      </c>
      <c r="BM174" s="7" t="b">
        <f t="shared" si="17"/>
        <v>1</v>
      </c>
      <c r="BO174" s="7" t="str">
        <f t="shared" si="18"/>
        <v>Cuyahoga</v>
      </c>
      <c r="BP174" s="7" t="b">
        <f t="shared" si="19"/>
        <v>1</v>
      </c>
    </row>
    <row r="175" spans="1:68" ht="12" hidden="1" customHeight="1">
      <c r="A175" s="12" t="s">
        <v>646</v>
      </c>
      <c r="B175" s="12"/>
      <c r="C175" s="12" t="s">
        <v>28</v>
      </c>
      <c r="D175" s="12"/>
      <c r="E175" s="12">
        <v>47050</v>
      </c>
      <c r="AI175" s="12" t="s">
        <v>646</v>
      </c>
      <c r="AJ175" s="12"/>
      <c r="AK175" s="12" t="s">
        <v>28</v>
      </c>
      <c r="AL175" s="12"/>
      <c r="AY175" s="7">
        <f t="shared" si="23"/>
        <v>0</v>
      </c>
      <c r="BA175" s="7">
        <f>+'St of Activites - GA Rev'!AI175-'St of Activities - GA Exp'!AY175</f>
        <v>0</v>
      </c>
      <c r="BE175" s="7">
        <f t="shared" si="24"/>
        <v>0</v>
      </c>
      <c r="BG175" s="7">
        <f>+'St of Net Assets - GA'!AA175-'St of Activities - GA Exp'!BE175</f>
        <v>0</v>
      </c>
      <c r="BH175" s="7" t="s">
        <v>839</v>
      </c>
      <c r="BL175" s="7" t="str">
        <f t="shared" si="16"/>
        <v>Evergreen Local SD (CASH)</v>
      </c>
      <c r="BM175" s="7" t="b">
        <f t="shared" si="17"/>
        <v>1</v>
      </c>
      <c r="BO175" s="7" t="str">
        <f t="shared" si="18"/>
        <v>Fulton</v>
      </c>
      <c r="BP175" s="7" t="b">
        <f t="shared" si="19"/>
        <v>1</v>
      </c>
    </row>
    <row r="176" spans="1:68">
      <c r="A176" s="12" t="s">
        <v>555</v>
      </c>
      <c r="B176" s="12"/>
      <c r="C176" s="12" t="s">
        <v>66</v>
      </c>
      <c r="D176" s="12"/>
      <c r="E176" s="12">
        <v>50328</v>
      </c>
      <c r="G176" s="7">
        <v>5146936</v>
      </c>
      <c r="I176" s="7">
        <v>981958</v>
      </c>
      <c r="K176" s="7">
        <v>41068</v>
      </c>
      <c r="M176" s="7">
        <v>0</v>
      </c>
      <c r="O176" s="7">
        <v>65298</v>
      </c>
      <c r="Q176" s="7">
        <v>709412</v>
      </c>
      <c r="S176" s="7">
        <v>443447</v>
      </c>
      <c r="U176" s="7">
        <v>63245</v>
      </c>
      <c r="W176" s="7">
        <v>948364</v>
      </c>
      <c r="Y176" s="7">
        <v>411041</v>
      </c>
      <c r="AA176" s="7">
        <v>0</v>
      </c>
      <c r="AC176" s="7">
        <v>1088873</v>
      </c>
      <c r="AE176" s="7">
        <v>852057</v>
      </c>
      <c r="AG176" s="7">
        <v>6825</v>
      </c>
      <c r="AI176" s="12" t="s">
        <v>555</v>
      </c>
      <c r="AJ176" s="12"/>
      <c r="AK176" s="12" t="s">
        <v>66</v>
      </c>
      <c r="AL176" s="12"/>
      <c r="AM176" s="7">
        <v>355712</v>
      </c>
      <c r="AO176" s="7">
        <v>146576</v>
      </c>
      <c r="AQ176" s="7">
        <v>310745</v>
      </c>
      <c r="AS176" s="7">
        <v>554829</v>
      </c>
      <c r="AW176" s="7">
        <v>0</v>
      </c>
      <c r="AY176" s="7">
        <f t="shared" si="23"/>
        <v>12126386</v>
      </c>
      <c r="BA176" s="7">
        <f>+'St of Activites - GA Rev'!AI176-'St of Activities - GA Exp'!AY176</f>
        <v>238081</v>
      </c>
      <c r="BC176" s="7">
        <v>7580946</v>
      </c>
      <c r="BE176" s="7">
        <f t="shared" si="24"/>
        <v>7819027</v>
      </c>
      <c r="BG176" s="7">
        <f>+'St of Net Assets - GA'!AA176-'St of Activities - GA Exp'!BE176</f>
        <v>0</v>
      </c>
      <c r="BL176" s="7" t="str">
        <f t="shared" si="16"/>
        <v>Fairbanks Local SD</v>
      </c>
      <c r="BM176" s="7" t="b">
        <f t="shared" si="17"/>
        <v>1</v>
      </c>
      <c r="BO176" s="7" t="str">
        <f t="shared" si="18"/>
        <v>Union</v>
      </c>
      <c r="BP176" s="7" t="b">
        <f t="shared" si="19"/>
        <v>1</v>
      </c>
    </row>
    <row r="177" spans="1:68">
      <c r="A177" s="12" t="s">
        <v>653</v>
      </c>
      <c r="B177" s="12"/>
      <c r="C177" s="12" t="s">
        <v>114</v>
      </c>
      <c r="D177" s="12"/>
      <c r="E177" s="12">
        <v>46102</v>
      </c>
      <c r="G177" s="7">
        <v>19508508</v>
      </c>
      <c r="I177" s="7">
        <v>7764899</v>
      </c>
      <c r="K177" s="7">
        <v>0</v>
      </c>
      <c r="M177" s="7">
        <v>0</v>
      </c>
      <c r="O177" s="7">
        <v>3325636</v>
      </c>
      <c r="Q177" s="7">
        <v>3113242</v>
      </c>
      <c r="S177" s="7">
        <v>2533334</v>
      </c>
      <c r="U177" s="7">
        <v>68524</v>
      </c>
      <c r="W177" s="7">
        <v>3187826</v>
      </c>
      <c r="Y177" s="7">
        <v>857912</v>
      </c>
      <c r="AA177" s="7">
        <v>251154</v>
      </c>
      <c r="AC177" s="7">
        <v>3731456</v>
      </c>
      <c r="AE177" s="7">
        <v>2343773</v>
      </c>
      <c r="AG177" s="7">
        <v>443172</v>
      </c>
      <c r="AI177" s="12" t="s">
        <v>653</v>
      </c>
      <c r="AJ177" s="12"/>
      <c r="AK177" s="12" t="s">
        <v>114</v>
      </c>
      <c r="AL177" s="12"/>
      <c r="AM177" s="7">
        <v>0</v>
      </c>
      <c r="AO177" s="7">
        <v>1669831</v>
      </c>
      <c r="AQ177" s="7">
        <v>719144</v>
      </c>
      <c r="AS177" s="7">
        <v>1160884</v>
      </c>
      <c r="AW177" s="7">
        <v>0</v>
      </c>
      <c r="AY177" s="7">
        <f t="shared" si="23"/>
        <v>50679295</v>
      </c>
      <c r="BA177" s="7">
        <f>+'St of Activites - GA Rev'!AI177-'St of Activities - GA Exp'!AY177</f>
        <v>374617</v>
      </c>
      <c r="BC177" s="7">
        <v>-60545</v>
      </c>
      <c r="BE177" s="7">
        <f t="shared" si="24"/>
        <v>314072</v>
      </c>
      <c r="BG177" s="7">
        <f>+'St of Net Assets - GA'!AA177-'St of Activities - GA Exp'!BE177</f>
        <v>0</v>
      </c>
      <c r="BL177" s="7" t="str">
        <f t="shared" si="16"/>
        <v>Fairborn City SD</v>
      </c>
      <c r="BM177" s="7" t="b">
        <f t="shared" si="17"/>
        <v>1</v>
      </c>
      <c r="BO177" s="7" t="str">
        <f t="shared" si="18"/>
        <v>Greene</v>
      </c>
      <c r="BP177" s="7" t="b">
        <f t="shared" si="19"/>
        <v>1</v>
      </c>
    </row>
    <row r="178" spans="1:68">
      <c r="A178" s="12" t="s">
        <v>224</v>
      </c>
      <c r="B178" s="12"/>
      <c r="C178" s="12" t="s">
        <v>223</v>
      </c>
      <c r="D178" s="12"/>
      <c r="E178" s="12">
        <v>46102</v>
      </c>
      <c r="G178" s="7">
        <v>35807028</v>
      </c>
      <c r="I178" s="7">
        <v>11017034</v>
      </c>
      <c r="K178" s="7">
        <v>286293</v>
      </c>
      <c r="M178" s="7">
        <v>0</v>
      </c>
      <c r="O178" s="7">
        <v>2362636</v>
      </c>
      <c r="Q178" s="7">
        <v>3904905</v>
      </c>
      <c r="S178" s="7">
        <v>6374517</v>
      </c>
      <c r="U178" s="7">
        <v>19095</v>
      </c>
      <c r="W178" s="7">
        <v>6511542</v>
      </c>
      <c r="Y178" s="7">
        <v>1277780</v>
      </c>
      <c r="AA178" s="7">
        <v>306274</v>
      </c>
      <c r="AC178" s="7">
        <v>6149898</v>
      </c>
      <c r="AE178" s="7">
        <v>6915745</v>
      </c>
      <c r="AG178" s="7">
        <v>122880</v>
      </c>
      <c r="AI178" s="12" t="s">
        <v>224</v>
      </c>
      <c r="AJ178" s="12"/>
      <c r="AK178" s="12" t="s">
        <v>223</v>
      </c>
      <c r="AL178" s="12"/>
      <c r="AM178" s="7">
        <v>0</v>
      </c>
      <c r="AO178" s="7">
        <v>5208568</v>
      </c>
      <c r="AQ178" s="7">
        <v>1512466</v>
      </c>
      <c r="AS178" s="7">
        <v>1751676</v>
      </c>
      <c r="AW178" s="7">
        <v>0</v>
      </c>
      <c r="AY178" s="7">
        <f t="shared" si="23"/>
        <v>89528337</v>
      </c>
      <c r="BA178" s="7">
        <f>+'St of Activites - GA Rev'!AI178-'St of Activities - GA Exp'!AY178</f>
        <v>-136405</v>
      </c>
      <c r="BC178" s="7">
        <v>33449470</v>
      </c>
      <c r="BE178" s="7">
        <f t="shared" si="24"/>
        <v>33313065</v>
      </c>
      <c r="BG178" s="7">
        <f>+'St of Net Assets - GA'!AA178-'St of Activities - GA Exp'!BE178</f>
        <v>0</v>
      </c>
      <c r="BL178" s="7" t="str">
        <f t="shared" si="16"/>
        <v>Fairfield City SD</v>
      </c>
      <c r="BM178" s="7" t="b">
        <f t="shared" si="17"/>
        <v>1</v>
      </c>
      <c r="BO178" s="7" t="str">
        <f t="shared" si="18"/>
        <v>Butler</v>
      </c>
      <c r="BP178" s="7" t="b">
        <f t="shared" si="19"/>
        <v>1</v>
      </c>
    </row>
    <row r="179" spans="1:68">
      <c r="A179" s="12" t="s">
        <v>359</v>
      </c>
      <c r="B179" s="12"/>
      <c r="C179" s="12" t="s">
        <v>358</v>
      </c>
      <c r="D179" s="12"/>
      <c r="E179" s="12">
        <v>47621</v>
      </c>
      <c r="G179" s="7">
        <v>3938301</v>
      </c>
      <c r="I179" s="7">
        <v>397230</v>
      </c>
      <c r="K179" s="7">
        <v>199324</v>
      </c>
      <c r="M179" s="7">
        <v>0</v>
      </c>
      <c r="O179" s="7">
        <v>0</v>
      </c>
      <c r="Q179" s="7">
        <v>301658</v>
      </c>
      <c r="S179" s="7">
        <v>780845</v>
      </c>
      <c r="U179" s="7">
        <v>40874</v>
      </c>
      <c r="W179" s="7">
        <v>580420</v>
      </c>
      <c r="Y179" s="7">
        <v>321149</v>
      </c>
      <c r="AA179" s="7">
        <v>24811</v>
      </c>
      <c r="AC179" s="7">
        <v>542815</v>
      </c>
      <c r="AE179" s="7">
        <v>468654</v>
      </c>
      <c r="AG179" s="7">
        <v>141136</v>
      </c>
      <c r="AI179" s="12" t="s">
        <v>359</v>
      </c>
      <c r="AJ179" s="12"/>
      <c r="AK179" s="12" t="s">
        <v>358</v>
      </c>
      <c r="AL179" s="12"/>
      <c r="AM179" s="7">
        <v>346939</v>
      </c>
      <c r="AO179" s="7">
        <v>0</v>
      </c>
      <c r="AQ179" s="7">
        <v>181927</v>
      </c>
      <c r="AS179" s="7">
        <v>93011</v>
      </c>
      <c r="AW179" s="7">
        <v>0</v>
      </c>
      <c r="AY179" s="7">
        <f t="shared" si="23"/>
        <v>8359094</v>
      </c>
      <c r="BA179" s="7">
        <f>+'St of Activites - GA Rev'!AI179-'St of Activities - GA Exp'!AY179</f>
        <v>121349</v>
      </c>
      <c r="BC179" s="7">
        <v>14791063</v>
      </c>
      <c r="BE179" s="7">
        <f t="shared" si="24"/>
        <v>14912412</v>
      </c>
      <c r="BG179" s="7">
        <f>+'St of Net Assets - GA'!AA179-'St of Activities - GA Exp'!BE179</f>
        <v>0</v>
      </c>
      <c r="BL179" s="7" t="str">
        <f t="shared" si="16"/>
        <v>Fairfield Local SD</v>
      </c>
      <c r="BM179" s="7" t="b">
        <f t="shared" si="17"/>
        <v>1</v>
      </c>
      <c r="BO179" s="7" t="str">
        <f t="shared" si="18"/>
        <v>Highland</v>
      </c>
      <c r="BP179" s="7" t="b">
        <f t="shared" si="19"/>
        <v>1</v>
      </c>
    </row>
    <row r="180" spans="1:68">
      <c r="A180" s="12" t="s">
        <v>300</v>
      </c>
      <c r="B180" s="12"/>
      <c r="C180" s="12" t="s">
        <v>25</v>
      </c>
      <c r="D180" s="12"/>
      <c r="E180" s="12">
        <v>46870</v>
      </c>
      <c r="G180" s="7">
        <v>9510163</v>
      </c>
      <c r="I180" s="7">
        <v>2028525</v>
      </c>
      <c r="K180" s="7">
        <v>362683</v>
      </c>
      <c r="M180" s="7">
        <v>0</v>
      </c>
      <c r="O180" s="7">
        <v>294304</v>
      </c>
      <c r="Q180" s="7">
        <v>1216948</v>
      </c>
      <c r="S180" s="7">
        <v>813701</v>
      </c>
      <c r="U180" s="7">
        <v>35843</v>
      </c>
      <c r="W180" s="7">
        <v>1289858</v>
      </c>
      <c r="Y180" s="7">
        <v>584384</v>
      </c>
      <c r="AA180" s="7">
        <v>0</v>
      </c>
      <c r="AC180" s="7">
        <v>1591481</v>
      </c>
      <c r="AE180" s="7">
        <v>1284974</v>
      </c>
      <c r="AG180" s="7">
        <v>104283</v>
      </c>
      <c r="AI180" s="12" t="s">
        <v>300</v>
      </c>
      <c r="AJ180" s="12"/>
      <c r="AK180" s="12" t="s">
        <v>25</v>
      </c>
      <c r="AL180" s="12"/>
      <c r="AM180" s="7">
        <v>812119</v>
      </c>
      <c r="AO180" s="7">
        <v>5343</v>
      </c>
      <c r="AQ180" s="7">
        <v>642007</v>
      </c>
      <c r="AS180" s="7">
        <v>1155244</v>
      </c>
      <c r="AW180" s="7">
        <v>0</v>
      </c>
      <c r="AY180" s="7">
        <f t="shared" si="23"/>
        <v>21731860</v>
      </c>
      <c r="BA180" s="7">
        <f>+'St of Activites - GA Rev'!AI180-'St of Activities - GA Exp'!AY180</f>
        <v>1860997</v>
      </c>
      <c r="BC180" s="7">
        <v>56253273</v>
      </c>
      <c r="BE180" s="7">
        <f t="shared" si="24"/>
        <v>58114270</v>
      </c>
      <c r="BG180" s="7">
        <f>+'St of Net Assets - GA'!AA180-'St of Activities - GA Exp'!BE180</f>
        <v>0</v>
      </c>
      <c r="BL180" s="7" t="str">
        <f t="shared" si="16"/>
        <v>Fairfield Union Local SD</v>
      </c>
      <c r="BM180" s="7" t="b">
        <f t="shared" si="17"/>
        <v>1</v>
      </c>
      <c r="BO180" s="7" t="str">
        <f t="shared" si="18"/>
        <v>Fairfield</v>
      </c>
      <c r="BP180" s="7" t="b">
        <f t="shared" si="19"/>
        <v>1</v>
      </c>
    </row>
    <row r="181" spans="1:68" s="32" customFormat="1">
      <c r="A181" s="31" t="s">
        <v>379</v>
      </c>
      <c r="B181" s="31"/>
      <c r="C181" s="31" t="s">
        <v>377</v>
      </c>
      <c r="D181" s="31"/>
      <c r="E181" s="31">
        <v>47936</v>
      </c>
      <c r="G181" s="32">
        <v>8178159</v>
      </c>
      <c r="I181" s="32">
        <v>2256187</v>
      </c>
      <c r="K181" s="32">
        <v>73393</v>
      </c>
      <c r="M181" s="32">
        <v>0</v>
      </c>
      <c r="O181" s="32">
        <f>20639+61893</f>
        <v>82532</v>
      </c>
      <c r="Q181" s="32">
        <v>464858</v>
      </c>
      <c r="S181" s="32">
        <v>812940</v>
      </c>
      <c r="U181" s="32">
        <v>157141</v>
      </c>
      <c r="W181" s="32">
        <v>1342403</v>
      </c>
      <c r="Y181" s="32">
        <v>390458</v>
      </c>
      <c r="AA181" s="32">
        <v>1269</v>
      </c>
      <c r="AC181" s="32">
        <v>2133641</v>
      </c>
      <c r="AE181" s="32">
        <v>771664</v>
      </c>
      <c r="AG181" s="32">
        <v>4907</v>
      </c>
      <c r="AI181" s="31" t="s">
        <v>379</v>
      </c>
      <c r="AJ181" s="31"/>
      <c r="AK181" s="31" t="s">
        <v>377</v>
      </c>
      <c r="AL181" s="31"/>
      <c r="AM181" s="32">
        <v>0</v>
      </c>
      <c r="AO181" s="32">
        <v>710462</v>
      </c>
      <c r="AQ181" s="32">
        <v>311352</v>
      </c>
      <c r="AS181" s="32">
        <v>133289</v>
      </c>
      <c r="AW181" s="32">
        <v>0</v>
      </c>
      <c r="AY181" s="32">
        <f t="shared" si="23"/>
        <v>17824655</v>
      </c>
      <c r="BA181" s="32">
        <f>+'St of Activites - GA Rev'!AI181-'St of Activities - GA Exp'!AY181</f>
        <v>-1063434</v>
      </c>
      <c r="BC181" s="32">
        <v>33209089</v>
      </c>
      <c r="BE181" s="32">
        <f t="shared" si="24"/>
        <v>32145655</v>
      </c>
      <c r="BG181" s="32">
        <f>+'St of Net Assets - GA'!AA181-'St of Activities - GA Exp'!BE181</f>
        <v>0</v>
      </c>
      <c r="BL181" s="32" t="str">
        <f t="shared" si="16"/>
        <v>Fairland Local SD</v>
      </c>
      <c r="BM181" s="32" t="b">
        <f t="shared" si="17"/>
        <v>1</v>
      </c>
      <c r="BO181" s="32" t="str">
        <f t="shared" si="18"/>
        <v>Lawrence</v>
      </c>
      <c r="BP181" s="32" t="b">
        <f t="shared" si="19"/>
        <v>1</v>
      </c>
    </row>
    <row r="182" spans="1:68" ht="12" hidden="1" customHeight="1">
      <c r="A182" s="12" t="s">
        <v>647</v>
      </c>
      <c r="B182" s="12"/>
      <c r="C182" s="12" t="s">
        <v>61</v>
      </c>
      <c r="D182" s="12"/>
      <c r="E182" s="12">
        <v>49775</v>
      </c>
      <c r="AI182" s="12" t="s">
        <v>647</v>
      </c>
      <c r="AJ182" s="12"/>
      <c r="AK182" s="12" t="s">
        <v>61</v>
      </c>
      <c r="AL182" s="12"/>
      <c r="AY182" s="7">
        <f t="shared" si="23"/>
        <v>0</v>
      </c>
      <c r="BA182" s="7">
        <f>+'St of Activites - GA Rev'!AI182-'St of Activities - GA Exp'!AY182</f>
        <v>0</v>
      </c>
      <c r="BE182" s="7">
        <f t="shared" si="24"/>
        <v>0</v>
      </c>
      <c r="BG182" s="7">
        <f>+'St of Net Assets - GA'!AA182-'St of Activities - GA Exp'!BE182</f>
        <v>0</v>
      </c>
      <c r="BH182" s="7" t="s">
        <v>839</v>
      </c>
      <c r="BL182" s="7" t="str">
        <f t="shared" si="16"/>
        <v>Fairlawn Local SD (CASH)</v>
      </c>
      <c r="BM182" s="7" t="b">
        <f t="shared" si="17"/>
        <v>1</v>
      </c>
      <c r="BO182" s="7" t="str">
        <f t="shared" si="18"/>
        <v>Shelby</v>
      </c>
      <c r="BP182" s="7" t="b">
        <f t="shared" si="19"/>
        <v>1</v>
      </c>
    </row>
    <row r="183" spans="1:68">
      <c r="A183" s="12" t="s">
        <v>511</v>
      </c>
      <c r="B183" s="12"/>
      <c r="C183" s="12" t="s">
        <v>62</v>
      </c>
      <c r="D183" s="12"/>
      <c r="E183" s="12">
        <v>49841</v>
      </c>
      <c r="G183" s="7">
        <v>7755844</v>
      </c>
      <c r="I183" s="7">
        <v>2220972</v>
      </c>
      <c r="K183" s="7">
        <v>301659</v>
      </c>
      <c r="M183" s="7">
        <v>0</v>
      </c>
      <c r="O183" s="7">
        <v>288033</v>
      </c>
      <c r="Q183" s="7">
        <v>1044674</v>
      </c>
      <c r="S183" s="7">
        <v>583841</v>
      </c>
      <c r="U183" s="7">
        <v>16210</v>
      </c>
      <c r="W183" s="7">
        <v>1659406</v>
      </c>
      <c r="Y183" s="7">
        <v>422170</v>
      </c>
      <c r="AA183" s="7">
        <v>0</v>
      </c>
      <c r="AC183" s="7">
        <v>1546442</v>
      </c>
      <c r="AE183" s="7">
        <v>1037941</v>
      </c>
      <c r="AG183" s="7">
        <v>37610</v>
      </c>
      <c r="AI183" s="12" t="s">
        <v>511</v>
      </c>
      <c r="AJ183" s="12"/>
      <c r="AK183" s="12" t="s">
        <v>62</v>
      </c>
      <c r="AL183" s="12"/>
      <c r="AM183" s="7">
        <v>791896</v>
      </c>
      <c r="AO183" s="7">
        <v>31905</v>
      </c>
      <c r="AQ183" s="7">
        <v>448900</v>
      </c>
      <c r="AS183" s="7">
        <v>582361</v>
      </c>
      <c r="AW183" s="7">
        <v>0</v>
      </c>
      <c r="AY183" s="7">
        <f t="shared" si="23"/>
        <v>18769864</v>
      </c>
      <c r="BA183" s="7">
        <f>+'St of Activites - GA Rev'!AI183-'St of Activities - GA Exp'!AY183</f>
        <v>528339</v>
      </c>
      <c r="BC183" s="7">
        <v>18856602</v>
      </c>
      <c r="BE183" s="7">
        <f t="shared" si="24"/>
        <v>19384941</v>
      </c>
      <c r="BG183" s="7">
        <f>+'St of Net Assets - GA'!AA183-'St of Activities - GA Exp'!BE183</f>
        <v>0</v>
      </c>
      <c r="BL183" s="7" t="str">
        <f t="shared" si="16"/>
        <v>Fairless Local SD</v>
      </c>
      <c r="BM183" s="7" t="b">
        <f t="shared" si="17"/>
        <v>1</v>
      </c>
      <c r="BO183" s="7" t="str">
        <f t="shared" si="18"/>
        <v>Stark</v>
      </c>
      <c r="BP183" s="7" t="b">
        <f t="shared" si="19"/>
        <v>1</v>
      </c>
    </row>
    <row r="184" spans="1:68" ht="12" hidden="1" customHeight="1">
      <c r="A184" s="12" t="s">
        <v>711</v>
      </c>
      <c r="B184" s="12"/>
      <c r="C184" s="12" t="s">
        <v>41</v>
      </c>
      <c r="D184" s="12"/>
      <c r="E184" s="12">
        <v>45369</v>
      </c>
      <c r="AI184" s="12" t="s">
        <v>711</v>
      </c>
      <c r="AJ184" s="12"/>
      <c r="AK184" s="12" t="s">
        <v>41</v>
      </c>
      <c r="AL184" s="12"/>
      <c r="AY184" s="7">
        <f t="shared" si="23"/>
        <v>0</v>
      </c>
      <c r="BA184" s="7">
        <f>+'St of Activites - GA Rev'!AI184-'St of Activities - GA Exp'!AY184</f>
        <v>0</v>
      </c>
      <c r="BE184" s="7">
        <f t="shared" si="24"/>
        <v>0</v>
      </c>
      <c r="BG184" s="7">
        <f>+'St of Net Assets - GA'!AA184-'St of Activities - GA Exp'!BE184</f>
        <v>0</v>
      </c>
      <c r="BH184" s="7" t="s">
        <v>848</v>
      </c>
      <c r="BL184" s="7" t="str">
        <f t="shared" si="16"/>
        <v>Fairport Harbor Ex Vill SD - Two Year Audit</v>
      </c>
      <c r="BM184" s="7" t="b">
        <f t="shared" si="17"/>
        <v>1</v>
      </c>
      <c r="BO184" s="7" t="str">
        <f t="shared" si="18"/>
        <v>Lake</v>
      </c>
      <c r="BP184" s="7" t="b">
        <f t="shared" si="19"/>
        <v>1</v>
      </c>
    </row>
    <row r="185" spans="1:68">
      <c r="A185" s="12" t="s">
        <v>274</v>
      </c>
      <c r="B185" s="12"/>
      <c r="C185" s="12" t="s">
        <v>20</v>
      </c>
      <c r="D185" s="12"/>
      <c r="E185" s="12">
        <v>43976</v>
      </c>
      <c r="G185" s="7">
        <v>10442452</v>
      </c>
      <c r="I185" s="7">
        <v>2124180</v>
      </c>
      <c r="K185" s="7">
        <v>88669</v>
      </c>
      <c r="M185" s="7">
        <v>0</v>
      </c>
      <c r="O185" s="7">
        <v>24695</v>
      </c>
      <c r="Q185" s="7">
        <v>1261354</v>
      </c>
      <c r="S185" s="7">
        <v>1406625</v>
      </c>
      <c r="U185" s="7">
        <v>27523</v>
      </c>
      <c r="W185" s="7">
        <v>1437284</v>
      </c>
      <c r="Y185" s="7">
        <v>857173</v>
      </c>
      <c r="AA185" s="7">
        <v>20454</v>
      </c>
      <c r="AC185" s="7">
        <v>1952349</v>
      </c>
      <c r="AE185" s="7">
        <v>630610</v>
      </c>
      <c r="AG185" s="7">
        <v>602701</v>
      </c>
      <c r="AI185" s="12" t="s">
        <v>274</v>
      </c>
      <c r="AJ185" s="12"/>
      <c r="AK185" s="12" t="s">
        <v>20</v>
      </c>
      <c r="AL185" s="12"/>
      <c r="AM185" s="7">
        <v>0</v>
      </c>
      <c r="AO185" s="7">
        <v>567715</v>
      </c>
      <c r="AQ185" s="7">
        <v>556263</v>
      </c>
      <c r="AS185" s="7">
        <v>1413555</v>
      </c>
      <c r="AW185" s="7">
        <v>0</v>
      </c>
      <c r="AY185" s="7">
        <f t="shared" si="23"/>
        <v>23413602</v>
      </c>
      <c r="BA185" s="7">
        <f>+'St of Activites - GA Rev'!AI185-'St of Activities - GA Exp'!AY185</f>
        <v>271770</v>
      </c>
      <c r="BC185" s="7">
        <v>21575139</v>
      </c>
      <c r="BE185" s="7">
        <f t="shared" si="24"/>
        <v>21846909</v>
      </c>
      <c r="BG185" s="7">
        <f>+'St of Net Assets - GA'!AA185-'St of Activities - GA Exp'!BE185</f>
        <v>0</v>
      </c>
      <c r="BL185" s="7" t="str">
        <f t="shared" si="16"/>
        <v>Fairview Park City SD</v>
      </c>
      <c r="BM185" s="7" t="b">
        <f t="shared" si="17"/>
        <v>1</v>
      </c>
      <c r="BO185" s="7" t="str">
        <f t="shared" si="18"/>
        <v>Cuyahoga</v>
      </c>
      <c r="BP185" s="7" t="b">
        <f t="shared" si="19"/>
        <v>1</v>
      </c>
    </row>
    <row r="186" spans="1:68" hidden="1">
      <c r="A186" s="12" t="s">
        <v>849</v>
      </c>
      <c r="B186" s="12"/>
      <c r="C186" s="12" t="s">
        <v>28</v>
      </c>
      <c r="D186" s="12"/>
      <c r="E186" s="12">
        <v>47068</v>
      </c>
      <c r="AI186" s="12" t="s">
        <v>849</v>
      </c>
      <c r="AJ186" s="12"/>
      <c r="AK186" s="12" t="s">
        <v>28</v>
      </c>
      <c r="AL186" s="12"/>
      <c r="AY186" s="7">
        <f t="shared" si="23"/>
        <v>0</v>
      </c>
      <c r="BA186" s="7">
        <f>+'St of Activites - GA Rev'!AI186-'St of Activities - GA Exp'!AY186</f>
        <v>0</v>
      </c>
      <c r="BE186" s="7">
        <f t="shared" si="24"/>
        <v>0</v>
      </c>
      <c r="BG186" s="7">
        <f>+'St of Net Assets - GA'!AA186-'St of Activities - GA Exp'!BE186</f>
        <v>0</v>
      </c>
      <c r="BH186" s="7" t="s">
        <v>837</v>
      </c>
      <c r="BL186" s="7" t="str">
        <f t="shared" si="16"/>
        <v>Fayette Local SD (CASH)</v>
      </c>
      <c r="BM186" s="7" t="b">
        <f t="shared" si="17"/>
        <v>1</v>
      </c>
      <c r="BO186" s="7" t="str">
        <f t="shared" si="18"/>
        <v>Fulton</v>
      </c>
      <c r="BP186" s="7" t="b">
        <f t="shared" si="19"/>
        <v>1</v>
      </c>
    </row>
    <row r="187" spans="1:68">
      <c r="A187" s="12" t="s">
        <v>221</v>
      </c>
      <c r="B187" s="12"/>
      <c r="C187" s="12" t="s">
        <v>77</v>
      </c>
      <c r="D187" s="12"/>
      <c r="E187" s="12">
        <v>46045</v>
      </c>
      <c r="G187" s="7">
        <v>3502264</v>
      </c>
      <c r="I187" s="7">
        <v>1237584</v>
      </c>
      <c r="K187" s="7">
        <v>190606</v>
      </c>
      <c r="M187" s="7">
        <v>0</v>
      </c>
      <c r="O187" s="7">
        <v>1836</v>
      </c>
      <c r="Q187" s="7">
        <v>309272</v>
      </c>
      <c r="S187" s="7">
        <v>655182</v>
      </c>
      <c r="U187" s="7">
        <v>52462</v>
      </c>
      <c r="W187" s="7">
        <v>861673</v>
      </c>
      <c r="Y187" s="7">
        <v>329489</v>
      </c>
      <c r="AA187" s="7">
        <v>0</v>
      </c>
      <c r="AC187" s="7">
        <v>940628</v>
      </c>
      <c r="AE187" s="7">
        <v>622827</v>
      </c>
      <c r="AG187" s="7">
        <v>3189</v>
      </c>
      <c r="AI187" s="12" t="s">
        <v>221</v>
      </c>
      <c r="AJ187" s="12"/>
      <c r="AK187" s="12" t="s">
        <v>77</v>
      </c>
      <c r="AL187" s="12"/>
      <c r="AM187" s="7">
        <v>511853</v>
      </c>
      <c r="AO187" s="7">
        <v>85866</v>
      </c>
      <c r="AQ187" s="7">
        <v>166789</v>
      </c>
      <c r="AS187" s="7">
        <v>343505</v>
      </c>
      <c r="AW187" s="7">
        <v>0</v>
      </c>
      <c r="AY187" s="7">
        <f t="shared" si="23"/>
        <v>9815025</v>
      </c>
      <c r="BA187" s="7">
        <f>+'St of Activites - GA Rev'!AI187-'St of Activities - GA Exp'!AY187</f>
        <v>480171</v>
      </c>
      <c r="BC187" s="7">
        <v>23265486</v>
      </c>
      <c r="BE187" s="7">
        <f t="shared" si="24"/>
        <v>23745657</v>
      </c>
      <c r="BG187" s="7">
        <f>+'St of Net Assets - GA'!AA187-'St of Activities - GA Exp'!BE187</f>
        <v>0</v>
      </c>
      <c r="BH187" s="7" t="s">
        <v>850</v>
      </c>
      <c r="BL187" s="7" t="str">
        <f t="shared" si="16"/>
        <v>Fayetteville-Perry Local SD</v>
      </c>
      <c r="BM187" s="7" t="b">
        <f t="shared" si="17"/>
        <v>1</v>
      </c>
      <c r="BO187" s="7" t="str">
        <f t="shared" si="18"/>
        <v>Brown</v>
      </c>
      <c r="BP187" s="7" t="b">
        <f t="shared" si="19"/>
        <v>1</v>
      </c>
    </row>
    <row r="188" spans="1:68">
      <c r="A188" s="12" t="s">
        <v>841</v>
      </c>
      <c r="B188" s="12"/>
      <c r="C188" s="12" t="s">
        <v>13</v>
      </c>
      <c r="D188" s="12"/>
      <c r="E188" s="12"/>
      <c r="G188" s="7">
        <v>5156281</v>
      </c>
      <c r="I188" s="7">
        <v>1875075</v>
      </c>
      <c r="K188" s="7">
        <v>203245</v>
      </c>
      <c r="M188" s="7">
        <v>0</v>
      </c>
      <c r="O188" s="7">
        <v>0</v>
      </c>
      <c r="Q188" s="7">
        <v>429370</v>
      </c>
      <c r="S188" s="7">
        <v>476222</v>
      </c>
      <c r="U188" s="7">
        <v>42034</v>
      </c>
      <c r="W188" s="7">
        <v>1344908</v>
      </c>
      <c r="Y188" s="7">
        <v>1981335</v>
      </c>
      <c r="AA188" s="7">
        <v>0</v>
      </c>
      <c r="AC188" s="7">
        <v>990187</v>
      </c>
      <c r="AE188" s="7">
        <v>1213220</v>
      </c>
      <c r="AG188" s="7">
        <v>41942</v>
      </c>
      <c r="AI188" s="12" t="s">
        <v>841</v>
      </c>
      <c r="AJ188" s="12"/>
      <c r="AK188" s="12" t="s">
        <v>13</v>
      </c>
      <c r="AL188" s="12"/>
      <c r="AM188" s="7">
        <v>553338</v>
      </c>
      <c r="AO188" s="7">
        <v>0</v>
      </c>
      <c r="AQ188" s="7">
        <v>102558</v>
      </c>
      <c r="AS188" s="7">
        <v>29623</v>
      </c>
      <c r="AW188" s="7">
        <v>0</v>
      </c>
      <c r="AY188" s="7">
        <f t="shared" si="23"/>
        <v>14439338</v>
      </c>
      <c r="BA188" s="7">
        <f>+'St of Activites - GA Rev'!AI188-'St of Activities - GA Exp'!AY188</f>
        <v>687267</v>
      </c>
      <c r="BC188" s="7">
        <v>10586577</v>
      </c>
      <c r="BE188" s="7">
        <f t="shared" si="24"/>
        <v>11273844</v>
      </c>
      <c r="BG188" s="7">
        <f>+'St of Net Assets - GA'!AA188-'St of Activities - GA Exp'!BE188</f>
        <v>0</v>
      </c>
      <c r="BL188" s="7" t="str">
        <f t="shared" si="16"/>
        <v>Federal Hocking Local SD</v>
      </c>
      <c r="BM188" s="7" t="b">
        <f t="shared" si="17"/>
        <v>1</v>
      </c>
      <c r="BO188" s="7" t="str">
        <f t="shared" si="18"/>
        <v>Athens</v>
      </c>
      <c r="BP188" s="7" t="b">
        <f t="shared" si="19"/>
        <v>1</v>
      </c>
    </row>
    <row r="189" spans="1:68">
      <c r="A189" s="12" t="s">
        <v>244</v>
      </c>
      <c r="B189" s="12"/>
      <c r="C189" s="12" t="s">
        <v>113</v>
      </c>
      <c r="D189" s="12"/>
      <c r="E189" s="12">
        <v>46334</v>
      </c>
      <c r="G189" s="7">
        <v>5144853</v>
      </c>
      <c r="I189" s="7">
        <v>1930109</v>
      </c>
      <c r="K189" s="7">
        <v>0</v>
      </c>
      <c r="M189" s="7">
        <v>0</v>
      </c>
      <c r="O189" s="7">
        <v>76156</v>
      </c>
      <c r="Q189" s="7">
        <v>715732</v>
      </c>
      <c r="S189" s="7">
        <v>387676</v>
      </c>
      <c r="U189" s="7">
        <v>16076</v>
      </c>
      <c r="W189" s="7">
        <v>616514</v>
      </c>
      <c r="Y189" s="7">
        <v>351378</v>
      </c>
      <c r="AA189" s="7">
        <v>0</v>
      </c>
      <c r="AC189" s="7">
        <v>979794</v>
      </c>
      <c r="AE189" s="7">
        <v>509494</v>
      </c>
      <c r="AG189" s="7">
        <v>38047</v>
      </c>
      <c r="AI189" s="12" t="s">
        <v>244</v>
      </c>
      <c r="AJ189" s="12"/>
      <c r="AK189" s="12" t="s">
        <v>113</v>
      </c>
      <c r="AL189" s="12"/>
      <c r="AM189" s="7">
        <v>452352</v>
      </c>
      <c r="AO189" s="7">
        <v>0</v>
      </c>
      <c r="AQ189" s="7">
        <v>156072</v>
      </c>
      <c r="AS189" s="7">
        <v>127614</v>
      </c>
      <c r="AW189" s="7">
        <v>0</v>
      </c>
      <c r="AY189" s="7">
        <f t="shared" si="23"/>
        <v>11501867</v>
      </c>
      <c r="BA189" s="7">
        <f>+'St of Activites - GA Rev'!AI189-'St of Activities - GA Exp'!AY189</f>
        <v>473509</v>
      </c>
      <c r="BC189" s="7">
        <v>17535453</v>
      </c>
      <c r="BE189" s="7">
        <f t="shared" si="24"/>
        <v>18008962</v>
      </c>
      <c r="BG189" s="7">
        <f>+'St of Net Assets - GA'!AA189-'St of Activities - GA Exp'!BE189</f>
        <v>0</v>
      </c>
      <c r="BL189" s="7" t="str">
        <f t="shared" si="16"/>
        <v>Felicity-Franklin Local SD</v>
      </c>
      <c r="BM189" s="7" t="b">
        <f t="shared" si="17"/>
        <v>1</v>
      </c>
      <c r="BO189" s="7" t="str">
        <f t="shared" si="18"/>
        <v>Clermont</v>
      </c>
      <c r="BP189" s="7" t="b">
        <f t="shared" si="19"/>
        <v>1</v>
      </c>
    </row>
    <row r="190" spans="1:68">
      <c r="A190" s="12" t="s">
        <v>760</v>
      </c>
      <c r="B190" s="12"/>
      <c r="C190" s="12" t="s">
        <v>56</v>
      </c>
      <c r="D190" s="12"/>
      <c r="E190" s="12">
        <v>49197</v>
      </c>
      <c r="G190" s="7">
        <v>11805254</v>
      </c>
      <c r="I190" s="7">
        <v>1797333</v>
      </c>
      <c r="K190" s="7">
        <v>144486</v>
      </c>
      <c r="M190" s="7">
        <v>2891</v>
      </c>
      <c r="O190" s="7">
        <v>8599</v>
      </c>
      <c r="Q190" s="7">
        <v>937672</v>
      </c>
      <c r="S190" s="7">
        <v>975414</v>
      </c>
      <c r="U190" s="7">
        <v>26424</v>
      </c>
      <c r="W190" s="7">
        <v>2290325</v>
      </c>
      <c r="Y190" s="7">
        <v>494435</v>
      </c>
      <c r="AA190" s="7">
        <v>204</v>
      </c>
      <c r="AC190" s="7">
        <v>1849361</v>
      </c>
      <c r="AE190" s="7">
        <v>1301836</v>
      </c>
      <c r="AG190" s="7">
        <v>102754</v>
      </c>
      <c r="AI190" s="12" t="s">
        <v>760</v>
      </c>
      <c r="AJ190" s="12"/>
      <c r="AK190" s="12" t="s">
        <v>56</v>
      </c>
      <c r="AL190" s="12"/>
      <c r="AM190" s="7">
        <v>0</v>
      </c>
      <c r="AO190" s="7">
        <v>30250</v>
      </c>
      <c r="AQ190" s="7">
        <v>495729</v>
      </c>
      <c r="AS190" s="7">
        <v>1185890</v>
      </c>
      <c r="AW190" s="7">
        <v>0</v>
      </c>
      <c r="AY190" s="7">
        <f t="shared" si="23"/>
        <v>23448857</v>
      </c>
      <c r="BA190" s="7">
        <f>+'St of Activites - GA Rev'!AI190-'St of Activities - GA Exp'!AY190</f>
        <v>-1364532</v>
      </c>
      <c r="BC190" s="7">
        <v>5392925</v>
      </c>
      <c r="BE190" s="7">
        <f t="shared" si="24"/>
        <v>4028393</v>
      </c>
      <c r="BG190" s="7">
        <f>+'St of Net Assets - GA'!AA190-'St of Activities - GA Exp'!BE190</f>
        <v>0</v>
      </c>
      <c r="BH190" s="7" t="s">
        <v>850</v>
      </c>
      <c r="BL190" s="7" t="str">
        <f t="shared" si="16"/>
        <v xml:space="preserve">Field Local SD </v>
      </c>
      <c r="BM190" s="7" t="b">
        <f t="shared" si="17"/>
        <v>1</v>
      </c>
      <c r="BO190" s="7" t="str">
        <f t="shared" si="18"/>
        <v>Portage</v>
      </c>
      <c r="BP190" s="7" t="b">
        <f t="shared" si="19"/>
        <v>1</v>
      </c>
    </row>
    <row r="191" spans="1:68">
      <c r="A191" s="12" t="s">
        <v>346</v>
      </c>
      <c r="B191" s="12"/>
      <c r="C191" s="12" t="s">
        <v>33</v>
      </c>
      <c r="D191" s="12"/>
      <c r="E191" s="12">
        <v>43984</v>
      </c>
      <c r="G191" s="7">
        <v>24035747</v>
      </c>
      <c r="I191" s="7">
        <v>7731994</v>
      </c>
      <c r="K191" s="7">
        <v>2847494</v>
      </c>
      <c r="M191" s="7">
        <v>112119</v>
      </c>
      <c r="O191" s="7">
        <v>4233845</v>
      </c>
      <c r="Q191" s="7">
        <v>2945192</v>
      </c>
      <c r="S191" s="7">
        <v>4829089</v>
      </c>
      <c r="U191" s="7">
        <v>181030</v>
      </c>
      <c r="W191" s="7">
        <v>4209417</v>
      </c>
      <c r="Y191" s="7">
        <v>1543490</v>
      </c>
      <c r="AA191" s="7">
        <v>0</v>
      </c>
      <c r="AC191" s="7">
        <v>5365383</v>
      </c>
      <c r="AE191" s="7">
        <v>2113301</v>
      </c>
      <c r="AG191" s="7">
        <v>165664</v>
      </c>
      <c r="AI191" s="12" t="s">
        <v>346</v>
      </c>
      <c r="AJ191" s="12"/>
      <c r="AK191" s="12" t="s">
        <v>33</v>
      </c>
      <c r="AL191" s="12"/>
      <c r="AM191" s="7">
        <v>1881937</v>
      </c>
      <c r="AO191" s="7">
        <v>596615</v>
      </c>
      <c r="AQ191" s="7">
        <v>1421284</v>
      </c>
      <c r="AS191" s="7">
        <v>2994671</v>
      </c>
      <c r="AW191" s="7">
        <v>0</v>
      </c>
      <c r="AY191" s="7">
        <f t="shared" si="23"/>
        <v>67208272</v>
      </c>
      <c r="BA191" s="7">
        <f>+'St of Activites - GA Rev'!AI191-'St of Activities - GA Exp'!AY191</f>
        <v>6485982</v>
      </c>
      <c r="BC191" s="7">
        <v>42220361</v>
      </c>
      <c r="BE191" s="7">
        <f t="shared" si="24"/>
        <v>48706343</v>
      </c>
      <c r="BG191" s="7">
        <f>+'St of Net Assets - GA'!AA191-'St of Activities - GA Exp'!BE191</f>
        <v>0</v>
      </c>
      <c r="BL191" s="7" t="str">
        <f t="shared" si="16"/>
        <v>Findlay City SD</v>
      </c>
      <c r="BM191" s="7" t="b">
        <f t="shared" si="17"/>
        <v>1</v>
      </c>
      <c r="BO191" s="7" t="str">
        <f t="shared" si="18"/>
        <v>Hancock</v>
      </c>
      <c r="BP191" s="7" t="b">
        <f t="shared" si="19"/>
        <v>1</v>
      </c>
    </row>
    <row r="192" spans="1:68">
      <c r="A192" s="12" t="s">
        <v>330</v>
      </c>
      <c r="B192" s="12"/>
      <c r="C192" s="12" t="s">
        <v>32</v>
      </c>
      <c r="D192" s="12"/>
      <c r="E192" s="12">
        <v>47332</v>
      </c>
      <c r="G192" s="7">
        <v>7178091</v>
      </c>
      <c r="I192" s="7">
        <v>2540696</v>
      </c>
      <c r="K192" s="7">
        <v>149711</v>
      </c>
      <c r="M192" s="7">
        <v>0</v>
      </c>
      <c r="O192" s="7">
        <v>813647</v>
      </c>
      <c r="Q192" s="7">
        <v>1606864</v>
      </c>
      <c r="S192" s="7">
        <v>1398413</v>
      </c>
      <c r="U192" s="7">
        <v>24595</v>
      </c>
      <c r="W192" s="7">
        <v>1201900</v>
      </c>
      <c r="Y192" s="7">
        <v>443312</v>
      </c>
      <c r="AA192" s="7">
        <v>424165</v>
      </c>
      <c r="AC192" s="7">
        <v>1703710</v>
      </c>
      <c r="AE192" s="7">
        <v>1013890</v>
      </c>
      <c r="AG192" s="7">
        <v>237426</v>
      </c>
      <c r="AI192" s="12" t="s">
        <v>330</v>
      </c>
      <c r="AJ192" s="12"/>
      <c r="AK192" s="12" t="s">
        <v>32</v>
      </c>
      <c r="AL192" s="12"/>
      <c r="AM192" s="7">
        <v>0</v>
      </c>
      <c r="AO192" s="7">
        <v>2200067</v>
      </c>
      <c r="AQ192" s="7">
        <v>637835</v>
      </c>
      <c r="AS192" s="7">
        <v>318331</v>
      </c>
      <c r="AW192" s="7">
        <v>0</v>
      </c>
      <c r="AY192" s="7">
        <f t="shared" si="23"/>
        <v>21892653</v>
      </c>
      <c r="BA192" s="7">
        <f>+'St of Activites - GA Rev'!AI192-'St of Activities - GA Exp'!AY192</f>
        <v>992927</v>
      </c>
      <c r="BC192" s="7">
        <v>4308601</v>
      </c>
      <c r="BE192" s="7">
        <f t="shared" si="24"/>
        <v>5301528</v>
      </c>
      <c r="BG192" s="7">
        <f>+'St of Net Assets - GA'!AA192-'St of Activities - GA Exp'!BE192</f>
        <v>0</v>
      </c>
      <c r="BH192" s="7" t="s">
        <v>850</v>
      </c>
      <c r="BL192" s="7" t="str">
        <f t="shared" si="16"/>
        <v>Finneytown Local SD</v>
      </c>
      <c r="BM192" s="7" t="b">
        <f t="shared" si="17"/>
        <v>1</v>
      </c>
      <c r="BO192" s="7" t="str">
        <f t="shared" si="18"/>
        <v>Hamilton</v>
      </c>
      <c r="BP192" s="7" t="b">
        <f t="shared" si="19"/>
        <v>1</v>
      </c>
    </row>
    <row r="193" spans="1:68">
      <c r="A193" s="12" t="s">
        <v>397</v>
      </c>
      <c r="B193" s="12"/>
      <c r="C193" s="12" t="s">
        <v>44</v>
      </c>
      <c r="D193" s="12"/>
      <c r="E193" s="12">
        <v>48157</v>
      </c>
      <c r="G193" s="7">
        <v>7473036</v>
      </c>
      <c r="I193" s="7">
        <v>2069082</v>
      </c>
      <c r="K193" s="7">
        <v>331644</v>
      </c>
      <c r="M193" s="7">
        <v>0</v>
      </c>
      <c r="O193" s="7">
        <v>1448947</v>
      </c>
      <c r="Q193" s="7">
        <v>1218851</v>
      </c>
      <c r="S193" s="7">
        <v>548079</v>
      </c>
      <c r="U193" s="7">
        <v>22204</v>
      </c>
      <c r="W193" s="7">
        <v>1618511</v>
      </c>
      <c r="Y193" s="7">
        <v>454720</v>
      </c>
      <c r="AA193" s="7">
        <v>0</v>
      </c>
      <c r="AC193" s="7">
        <v>1584412</v>
      </c>
      <c r="AE193" s="7">
        <v>1343337</v>
      </c>
      <c r="AG193" s="7">
        <v>342770</v>
      </c>
      <c r="AI193" s="12" t="s">
        <v>397</v>
      </c>
      <c r="AJ193" s="12"/>
      <c r="AK193" s="12" t="s">
        <v>44</v>
      </c>
      <c r="AL193" s="12"/>
      <c r="AM193" s="7">
        <v>653054</v>
      </c>
      <c r="AO193" s="7">
        <v>28687</v>
      </c>
      <c r="AQ193" s="7">
        <v>594862</v>
      </c>
      <c r="AS193" s="7">
        <v>49294</v>
      </c>
      <c r="AW193" s="7">
        <v>0</v>
      </c>
      <c r="AY193" s="7">
        <f t="shared" si="23"/>
        <v>19781490</v>
      </c>
      <c r="BA193" s="7">
        <f>+'St of Activites - GA Rev'!AI193-'St of Activities - GA Exp'!AY193</f>
        <v>-416010</v>
      </c>
      <c r="BC193" s="7">
        <v>5786245</v>
      </c>
      <c r="BE193" s="7">
        <f t="shared" si="24"/>
        <v>5370235</v>
      </c>
      <c r="BG193" s="7">
        <f>+'St of Net Assets - GA'!AA193-'St of Activities - GA Exp'!BE193</f>
        <v>0</v>
      </c>
      <c r="BL193" s="7" t="str">
        <f t="shared" si="16"/>
        <v>Firelands Local SD</v>
      </c>
      <c r="BM193" s="7" t="b">
        <f t="shared" si="17"/>
        <v>1</v>
      </c>
      <c r="BO193" s="7" t="str">
        <f t="shared" si="18"/>
        <v>Lorain</v>
      </c>
      <c r="BP193" s="7" t="b">
        <f t="shared" si="19"/>
        <v>1</v>
      </c>
    </row>
    <row r="194" spans="1:68">
      <c r="A194" s="12" t="s">
        <v>331</v>
      </c>
      <c r="B194" s="12"/>
      <c r="C194" s="12" t="s">
        <v>32</v>
      </c>
      <c r="D194" s="12"/>
      <c r="E194" s="12">
        <v>47340</v>
      </c>
      <c r="G194" s="7">
        <v>35831978</v>
      </c>
      <c r="I194" s="7">
        <v>9517088</v>
      </c>
      <c r="K194" s="7">
        <v>0</v>
      </c>
      <c r="M194" s="7">
        <v>0</v>
      </c>
      <c r="O194" s="7">
        <v>1533929</v>
      </c>
      <c r="Q194" s="7">
        <v>3411888</v>
      </c>
      <c r="S194" s="7">
        <v>8733084</v>
      </c>
      <c r="U194" s="7">
        <v>30316</v>
      </c>
      <c r="W194" s="7">
        <v>5413252</v>
      </c>
      <c r="Y194" s="7">
        <v>1260401</v>
      </c>
      <c r="AA194" s="7">
        <v>179174</v>
      </c>
      <c r="AC194" s="7">
        <v>5691536</v>
      </c>
      <c r="AE194" s="7">
        <v>4082428</v>
      </c>
      <c r="AG194" s="7">
        <v>503442</v>
      </c>
      <c r="AI194" s="12" t="s">
        <v>331</v>
      </c>
      <c r="AJ194" s="12"/>
      <c r="AK194" s="12" t="s">
        <v>32</v>
      </c>
      <c r="AL194" s="12"/>
      <c r="AM194" s="7">
        <v>2241593</v>
      </c>
      <c r="AO194" s="7">
        <v>848852</v>
      </c>
      <c r="AQ194" s="7">
        <v>2216424</v>
      </c>
      <c r="AS194" s="7">
        <v>475996</v>
      </c>
      <c r="AW194" s="7">
        <v>0</v>
      </c>
      <c r="AY194" s="7">
        <f t="shared" si="23"/>
        <v>81971381</v>
      </c>
      <c r="BA194" s="7">
        <f>+'St of Activites - GA Rev'!AI194-'St of Activities - GA Exp'!AY194</f>
        <v>-868038</v>
      </c>
      <c r="BC194" s="7">
        <v>42280031</v>
      </c>
      <c r="BE194" s="7">
        <f t="shared" si="24"/>
        <v>41411993</v>
      </c>
      <c r="BG194" s="7">
        <f>+'St of Net Assets - GA'!AA194-'St of Activities - GA Exp'!BE194</f>
        <v>0</v>
      </c>
      <c r="BH194" s="7" t="s">
        <v>852</v>
      </c>
      <c r="BL194" s="7" t="str">
        <f t="shared" si="16"/>
        <v>Forest Hills Local SD</v>
      </c>
      <c r="BM194" s="7" t="b">
        <f t="shared" si="17"/>
        <v>1</v>
      </c>
      <c r="BO194" s="7" t="str">
        <f t="shared" si="18"/>
        <v>Hamilton</v>
      </c>
      <c r="BP194" s="7" t="b">
        <f t="shared" si="19"/>
        <v>1</v>
      </c>
    </row>
    <row r="195" spans="1:68" hidden="1">
      <c r="A195" s="12" t="s">
        <v>642</v>
      </c>
      <c r="B195" s="12"/>
      <c r="C195" s="12" t="s">
        <v>70</v>
      </c>
      <c r="D195" s="12"/>
      <c r="E195" s="12">
        <v>50484</v>
      </c>
      <c r="AI195" s="12" t="s">
        <v>642</v>
      </c>
      <c r="AJ195" s="12"/>
      <c r="AK195" s="12" t="s">
        <v>70</v>
      </c>
      <c r="AL195" s="12"/>
      <c r="AY195" s="7">
        <f t="shared" si="23"/>
        <v>0</v>
      </c>
      <c r="BA195" s="7">
        <f>+'St of Activites - GA Rev'!AI195-'St of Activities - GA Exp'!AY195</f>
        <v>0</v>
      </c>
      <c r="BE195" s="7">
        <f t="shared" si="24"/>
        <v>0</v>
      </c>
      <c r="BG195" s="7">
        <f>+'St of Net Assets - GA'!AA195-'St of Activities - GA Exp'!BE195</f>
        <v>0</v>
      </c>
      <c r="BH195" s="7" t="s">
        <v>839</v>
      </c>
      <c r="BL195" s="7" t="str">
        <f t="shared" si="16"/>
        <v>Fort Frye Local SD (CASH)</v>
      </c>
      <c r="BM195" s="7" t="b">
        <f t="shared" si="17"/>
        <v>1</v>
      </c>
      <c r="BO195" s="7" t="str">
        <f t="shared" si="18"/>
        <v>Washington</v>
      </c>
      <c r="BP195" s="7" t="b">
        <f t="shared" si="19"/>
        <v>1</v>
      </c>
    </row>
    <row r="196" spans="1:68">
      <c r="A196" s="12" t="s">
        <v>505</v>
      </c>
      <c r="B196" s="12"/>
      <c r="C196" s="12" t="s">
        <v>61</v>
      </c>
      <c r="D196" s="12"/>
      <c r="E196" s="12">
        <v>49783</v>
      </c>
      <c r="G196" s="7">
        <v>3994867</v>
      </c>
      <c r="I196" s="7">
        <v>579875</v>
      </c>
      <c r="K196" s="7">
        <v>14566</v>
      </c>
      <c r="M196" s="7">
        <v>0</v>
      </c>
      <c r="O196" s="7">
        <v>0</v>
      </c>
      <c r="Q196" s="7">
        <v>777511</v>
      </c>
      <c r="S196" s="7">
        <v>429370</v>
      </c>
      <c r="U196" s="7">
        <v>20978</v>
      </c>
      <c r="W196" s="7">
        <v>577717</v>
      </c>
      <c r="Y196" s="7">
        <v>223527</v>
      </c>
      <c r="AA196" s="7">
        <v>626</v>
      </c>
      <c r="AC196" s="7">
        <v>682945</v>
      </c>
      <c r="AE196" s="7">
        <v>289475</v>
      </c>
      <c r="AG196" s="7">
        <v>60030</v>
      </c>
      <c r="AI196" s="12" t="s">
        <v>505</v>
      </c>
      <c r="AJ196" s="12"/>
      <c r="AK196" s="12" t="s">
        <v>61</v>
      </c>
      <c r="AL196" s="12"/>
      <c r="AM196" s="7">
        <v>0</v>
      </c>
      <c r="AO196" s="7">
        <v>420511</v>
      </c>
      <c r="AQ196" s="7">
        <v>459706</v>
      </c>
      <c r="AS196" s="7">
        <v>481286</v>
      </c>
      <c r="AW196" s="7">
        <v>0</v>
      </c>
      <c r="AY196" s="7">
        <f t="shared" si="23"/>
        <v>9012990</v>
      </c>
      <c r="BA196" s="7">
        <f>+'St of Activites - GA Rev'!AI196-'St of Activities - GA Exp'!AY196</f>
        <v>87353</v>
      </c>
      <c r="BC196" s="7">
        <v>16821262</v>
      </c>
      <c r="BE196" s="7">
        <f t="shared" si="24"/>
        <v>16908615</v>
      </c>
      <c r="BG196" s="7">
        <f>+'St of Net Assets - GA'!AA196-'St of Activities - GA Exp'!BE196</f>
        <v>0</v>
      </c>
      <c r="BH196" s="7" t="s">
        <v>853</v>
      </c>
      <c r="BL196" s="7" t="str">
        <f t="shared" si="16"/>
        <v>Fort Loramie Local SD</v>
      </c>
      <c r="BM196" s="7" t="b">
        <f t="shared" si="17"/>
        <v>1</v>
      </c>
      <c r="BO196" s="7" t="str">
        <f t="shared" si="18"/>
        <v>Shelby</v>
      </c>
      <c r="BP196" s="7" t="b">
        <f t="shared" si="19"/>
        <v>1</v>
      </c>
    </row>
    <row r="197" spans="1:68" hidden="1">
      <c r="A197" s="12" t="s">
        <v>873</v>
      </c>
      <c r="B197" s="12"/>
      <c r="C197" s="12" t="s">
        <v>435</v>
      </c>
      <c r="D197" s="12"/>
      <c r="E197" s="12"/>
      <c r="AI197" s="12" t="s">
        <v>873</v>
      </c>
      <c r="AJ197" s="12"/>
      <c r="AK197" s="12" t="s">
        <v>435</v>
      </c>
      <c r="AL197" s="12"/>
      <c r="AY197" s="7">
        <f t="shared" si="23"/>
        <v>0</v>
      </c>
      <c r="BA197" s="7">
        <f>+'St of Activites - GA Rev'!AI197-'St of Activities - GA Exp'!AY197</f>
        <v>0</v>
      </c>
      <c r="BE197" s="7">
        <f t="shared" si="24"/>
        <v>0</v>
      </c>
      <c r="BG197" s="7">
        <f>+'St of Net Assets - GA'!AA197-'St of Activities - GA Exp'!BE197</f>
        <v>0</v>
      </c>
      <c r="BH197" s="7" t="s">
        <v>839</v>
      </c>
      <c r="BL197" s="7" t="str">
        <f t="shared" si="16"/>
        <v>Fort Recovery Local SD (CASH)</v>
      </c>
      <c r="BM197" s="7" t="b">
        <f t="shared" si="17"/>
        <v>1</v>
      </c>
      <c r="BO197" s="7" t="str">
        <f t="shared" si="18"/>
        <v>Mercer</v>
      </c>
      <c r="BP197" s="7" t="b">
        <f t="shared" si="19"/>
        <v>1</v>
      </c>
    </row>
    <row r="198" spans="1:68" hidden="1">
      <c r="A198" s="12" t="s">
        <v>854</v>
      </c>
      <c r="B198" s="12"/>
      <c r="C198" s="12" t="s">
        <v>60</v>
      </c>
      <c r="D198" s="12"/>
      <c r="E198" s="12">
        <v>43992</v>
      </c>
      <c r="AI198" s="12" t="s">
        <v>854</v>
      </c>
      <c r="AJ198" s="12"/>
      <c r="AK198" s="12" t="s">
        <v>60</v>
      </c>
      <c r="AL198" s="12"/>
      <c r="AY198" s="7">
        <f t="shared" si="23"/>
        <v>0</v>
      </c>
      <c r="BA198" s="7">
        <f>+'St of Activites - GA Rev'!AI198-'St of Activities - GA Exp'!AY198</f>
        <v>0</v>
      </c>
      <c r="BE198" s="7">
        <f t="shared" si="24"/>
        <v>0</v>
      </c>
      <c r="BG198" s="7">
        <f>+'St of Net Assets - GA'!AA198-'St of Activities - GA Exp'!BE198</f>
        <v>0</v>
      </c>
      <c r="BH198" s="7" t="s">
        <v>855</v>
      </c>
      <c r="BL198" s="7" t="str">
        <f t="shared" si="16"/>
        <v>Fostoria City SD (CASH)</v>
      </c>
      <c r="BM198" s="7" t="b">
        <f t="shared" si="17"/>
        <v>1</v>
      </c>
      <c r="BO198" s="7" t="str">
        <f t="shared" si="18"/>
        <v>Seneca</v>
      </c>
      <c r="BP198" s="7" t="b">
        <f t="shared" si="19"/>
        <v>1</v>
      </c>
    </row>
    <row r="199" spans="1:68">
      <c r="A199" s="12" t="s">
        <v>561</v>
      </c>
      <c r="B199" s="12"/>
      <c r="C199" s="12" t="s">
        <v>69</v>
      </c>
      <c r="D199" s="12"/>
      <c r="E199" s="12">
        <v>44008</v>
      </c>
      <c r="G199" s="7">
        <v>14210918</v>
      </c>
      <c r="I199" s="7">
        <v>4204751</v>
      </c>
      <c r="K199" s="7">
        <v>430181</v>
      </c>
      <c r="M199" s="7">
        <v>0</v>
      </c>
      <c r="O199" s="7">
        <f>11170+57187</f>
        <v>68357</v>
      </c>
      <c r="Q199" s="7">
        <v>1493148</v>
      </c>
      <c r="S199" s="7">
        <v>1669972</v>
      </c>
      <c r="U199" s="7">
        <v>31599</v>
      </c>
      <c r="W199" s="7">
        <v>1940363</v>
      </c>
      <c r="Y199" s="7">
        <v>636815</v>
      </c>
      <c r="AA199" s="7">
        <v>184853</v>
      </c>
      <c r="AC199" s="7">
        <v>2424604</v>
      </c>
      <c r="AE199" s="7">
        <v>1255674</v>
      </c>
      <c r="AG199" s="7">
        <v>390843</v>
      </c>
      <c r="AI199" s="12" t="s">
        <v>561</v>
      </c>
      <c r="AJ199" s="12"/>
      <c r="AK199" s="12" t="s">
        <v>69</v>
      </c>
      <c r="AL199" s="12"/>
      <c r="AM199" s="7">
        <v>0</v>
      </c>
      <c r="AO199" s="7">
        <v>1569637</v>
      </c>
      <c r="AQ199" s="7">
        <v>788409</v>
      </c>
      <c r="AS199" s="7">
        <v>277640</v>
      </c>
      <c r="AW199" s="7">
        <v>0</v>
      </c>
      <c r="AY199" s="7">
        <f t="shared" si="23"/>
        <v>31577764</v>
      </c>
      <c r="BA199" s="7">
        <f>+'St of Activites - GA Rev'!AI199-'St of Activities - GA Exp'!AY199</f>
        <v>2761296</v>
      </c>
      <c r="BC199" s="7">
        <v>18785887</v>
      </c>
      <c r="BE199" s="7">
        <f t="shared" si="24"/>
        <v>21547183</v>
      </c>
      <c r="BG199" s="7">
        <f>+'St of Net Assets - GA'!AA199-'St of Activities - GA Exp'!BE199</f>
        <v>0</v>
      </c>
      <c r="BL199" s="7" t="str">
        <f t="shared" si="16"/>
        <v>Franklin City SD</v>
      </c>
      <c r="BM199" s="7" t="b">
        <f t="shared" si="17"/>
        <v>1</v>
      </c>
      <c r="BO199" s="7" t="str">
        <f t="shared" si="18"/>
        <v>Warren</v>
      </c>
      <c r="BP199" s="7" t="b">
        <f t="shared" si="19"/>
        <v>1</v>
      </c>
    </row>
    <row r="200" spans="1:68">
      <c r="A200" s="12" t="s">
        <v>457</v>
      </c>
      <c r="B200" s="12"/>
      <c r="C200" s="12" t="s">
        <v>51</v>
      </c>
      <c r="D200" s="12"/>
      <c r="E200" s="12">
        <v>48843</v>
      </c>
      <c r="G200" s="7">
        <v>11918203</v>
      </c>
      <c r="I200" s="7">
        <v>2645429</v>
      </c>
      <c r="K200" s="7">
        <v>152048</v>
      </c>
      <c r="M200" s="7">
        <v>0</v>
      </c>
      <c r="O200" s="7">
        <v>244653</v>
      </c>
      <c r="Q200" s="7">
        <v>726687</v>
      </c>
      <c r="S200" s="7">
        <v>1281743</v>
      </c>
      <c r="U200" s="7">
        <v>68588</v>
      </c>
      <c r="W200" s="7">
        <v>1526871</v>
      </c>
      <c r="Y200" s="7">
        <v>437994</v>
      </c>
      <c r="AA200" s="7">
        <v>0</v>
      </c>
      <c r="AC200" s="7">
        <v>2073294</v>
      </c>
      <c r="AE200" s="7">
        <v>1637743</v>
      </c>
      <c r="AG200" s="7">
        <v>207209</v>
      </c>
      <c r="AI200" s="12" t="s">
        <v>457</v>
      </c>
      <c r="AJ200" s="12"/>
      <c r="AK200" s="12" t="s">
        <v>51</v>
      </c>
      <c r="AL200" s="12"/>
      <c r="AM200" s="7">
        <v>1289740</v>
      </c>
      <c r="AO200" s="7">
        <v>1931</v>
      </c>
      <c r="AQ200" s="7">
        <v>431713</v>
      </c>
      <c r="AS200" s="7">
        <v>312275</v>
      </c>
      <c r="AW200" s="7">
        <v>0</v>
      </c>
      <c r="AY200" s="7">
        <f t="shared" si="23"/>
        <v>24956121</v>
      </c>
      <c r="BA200" s="7">
        <f>+'St of Activites - GA Rev'!AI200-'St of Activities - GA Exp'!AY200</f>
        <v>-384265</v>
      </c>
      <c r="BC200" s="7">
        <v>39706594</v>
      </c>
      <c r="BE200" s="7">
        <f t="shared" si="24"/>
        <v>39322329</v>
      </c>
      <c r="BG200" s="7">
        <f>+'St of Net Assets - GA'!AA200-'St of Activities - GA Exp'!BE200</f>
        <v>0</v>
      </c>
      <c r="BL200" s="7" t="str">
        <f t="shared" si="16"/>
        <v>Franklin Local SD</v>
      </c>
      <c r="BM200" s="7" t="b">
        <f t="shared" si="17"/>
        <v>1</v>
      </c>
      <c r="BO200" s="7" t="str">
        <f t="shared" si="18"/>
        <v>Muskingum</v>
      </c>
      <c r="BP200" s="7" t="b">
        <f t="shared" si="19"/>
        <v>1</v>
      </c>
    </row>
    <row r="201" spans="1:68" ht="12" hidden="1" customHeight="1">
      <c r="A201" s="12" t="s">
        <v>641</v>
      </c>
      <c r="B201" s="12"/>
      <c r="C201" s="12" t="s">
        <v>21</v>
      </c>
      <c r="D201" s="12"/>
      <c r="E201" s="12">
        <v>46649</v>
      </c>
      <c r="AI201" s="12" t="s">
        <v>641</v>
      </c>
      <c r="AJ201" s="12"/>
      <c r="AK201" s="12" t="s">
        <v>21</v>
      </c>
      <c r="AL201" s="12"/>
      <c r="AY201" s="7">
        <f t="shared" si="23"/>
        <v>0</v>
      </c>
      <c r="BA201" s="7">
        <f>+'St of Activites - GA Rev'!AI201-'St of Activities - GA Exp'!AY201</f>
        <v>0</v>
      </c>
      <c r="BE201" s="7">
        <f t="shared" si="24"/>
        <v>0</v>
      </c>
      <c r="BG201" s="7">
        <f>+'St of Net Assets - GA'!AA201-'St of Activities - GA Exp'!BE201</f>
        <v>0</v>
      </c>
      <c r="BH201" s="7" t="s">
        <v>839</v>
      </c>
      <c r="BL201" s="7" t="str">
        <f t="shared" si="16"/>
        <v>Franklin Monroe Local SD (CASH)</v>
      </c>
      <c r="BM201" s="7" t="b">
        <f t="shared" si="17"/>
        <v>1</v>
      </c>
      <c r="BO201" s="7" t="str">
        <f t="shared" si="18"/>
        <v>Darke</v>
      </c>
      <c r="BP201" s="7" t="b">
        <f t="shared" si="19"/>
        <v>1</v>
      </c>
    </row>
    <row r="202" spans="1:68" hidden="1">
      <c r="A202" s="12" t="s">
        <v>696</v>
      </c>
      <c r="B202" s="12"/>
      <c r="C202" s="12" t="s">
        <v>40</v>
      </c>
      <c r="D202" s="12"/>
      <c r="E202" s="12">
        <v>47852</v>
      </c>
      <c r="AI202" s="12" t="s">
        <v>696</v>
      </c>
      <c r="AJ202" s="12"/>
      <c r="AK202" s="12" t="s">
        <v>40</v>
      </c>
      <c r="AL202" s="12"/>
      <c r="AY202" s="7">
        <f t="shared" si="23"/>
        <v>0</v>
      </c>
      <c r="BA202" s="7">
        <f>+'St of Activites - GA Rev'!AI202-'St of Activities - GA Exp'!AY202</f>
        <v>0</v>
      </c>
      <c r="BE202" s="7">
        <f t="shared" si="24"/>
        <v>0</v>
      </c>
      <c r="BG202" s="7">
        <f>+'St of Net Assets - GA'!AA202-'St of Activities - GA Exp'!BE202</f>
        <v>0</v>
      </c>
      <c r="BH202" s="7" t="s">
        <v>839</v>
      </c>
      <c r="BL202" s="7" t="str">
        <f t="shared" si="16"/>
        <v>Fredericktown Local SD (CASH)</v>
      </c>
      <c r="BM202" s="7" t="b">
        <f t="shared" si="17"/>
        <v>1</v>
      </c>
      <c r="BO202" s="7" t="str">
        <f t="shared" si="18"/>
        <v>Knox</v>
      </c>
      <c r="BP202" s="7" t="b">
        <f t="shared" si="19"/>
        <v>1</v>
      </c>
    </row>
    <row r="203" spans="1:68" ht="12" customHeight="1">
      <c r="A203" s="12" t="s">
        <v>673</v>
      </c>
      <c r="B203" s="12"/>
      <c r="C203" s="12" t="s">
        <v>79</v>
      </c>
      <c r="D203" s="12"/>
      <c r="E203" s="12">
        <v>44016</v>
      </c>
      <c r="G203" s="7">
        <v>17648242</v>
      </c>
      <c r="I203" s="7">
        <v>6162008</v>
      </c>
      <c r="K203" s="7">
        <v>56974</v>
      </c>
      <c r="M203" s="7">
        <v>0</v>
      </c>
      <c r="O203" s="7">
        <v>324696</v>
      </c>
      <c r="Q203" s="7">
        <v>2315277</v>
      </c>
      <c r="S203" s="7">
        <v>2128428</v>
      </c>
      <c r="U203" s="7">
        <v>82441</v>
      </c>
      <c r="W203" s="7">
        <v>2723858</v>
      </c>
      <c r="Y203" s="7">
        <v>695061</v>
      </c>
      <c r="AA203" s="7">
        <v>146709</v>
      </c>
      <c r="AC203" s="7">
        <v>3154536</v>
      </c>
      <c r="AE203" s="7">
        <v>1252006</v>
      </c>
      <c r="AG203" s="7">
        <v>65736</v>
      </c>
      <c r="AI203" s="12" t="s">
        <v>673</v>
      </c>
      <c r="AJ203" s="12"/>
      <c r="AK203" s="12" t="s">
        <v>79</v>
      </c>
      <c r="AL203" s="12"/>
      <c r="AM203" s="7">
        <v>0</v>
      </c>
      <c r="AO203" s="7">
        <v>2138458</v>
      </c>
      <c r="AQ203" s="7">
        <v>829533</v>
      </c>
      <c r="AS203" s="7">
        <v>677609</v>
      </c>
      <c r="AW203" s="7">
        <v>0</v>
      </c>
      <c r="AY203" s="7">
        <f t="shared" si="23"/>
        <v>40401572</v>
      </c>
      <c r="BA203" s="7">
        <f>+'St of Activites - GA Rev'!AI203-'St of Activities - GA Exp'!AY203</f>
        <v>10022704</v>
      </c>
      <c r="BC203" s="7">
        <v>25960804</v>
      </c>
      <c r="BE203" s="7">
        <f t="shared" si="24"/>
        <v>35983508</v>
      </c>
      <c r="BG203" s="7">
        <f>+'St of Net Assets - GA'!AA203-'St of Activities - GA Exp'!BE203</f>
        <v>0</v>
      </c>
      <c r="BL203" s="7" t="str">
        <f t="shared" si="16"/>
        <v xml:space="preserve">Fremont City SD </v>
      </c>
      <c r="BM203" s="7" t="b">
        <f t="shared" si="17"/>
        <v>1</v>
      </c>
      <c r="BO203" s="7" t="str">
        <f t="shared" si="18"/>
        <v>Sandusky</v>
      </c>
      <c r="BP203" s="7" t="b">
        <f t="shared" si="19"/>
        <v>1</v>
      </c>
    </row>
    <row r="204" spans="1:68">
      <c r="A204" s="12" t="s">
        <v>565</v>
      </c>
      <c r="B204" s="12"/>
      <c r="C204" s="12" t="s">
        <v>70</v>
      </c>
      <c r="D204" s="12"/>
      <c r="E204" s="12">
        <v>50492</v>
      </c>
      <c r="G204" s="7">
        <v>4125587</v>
      </c>
      <c r="I204" s="7">
        <v>1219077</v>
      </c>
      <c r="K204" s="7">
        <v>279337</v>
      </c>
      <c r="M204" s="7">
        <v>0</v>
      </c>
      <c r="O204" s="7">
        <v>0</v>
      </c>
      <c r="Q204" s="7">
        <v>216986</v>
      </c>
      <c r="S204" s="7">
        <v>166435</v>
      </c>
      <c r="U204" s="7">
        <v>21060</v>
      </c>
      <c r="W204" s="7">
        <v>985774</v>
      </c>
      <c r="Y204" s="7">
        <v>277123</v>
      </c>
      <c r="AA204" s="7">
        <v>0</v>
      </c>
      <c r="AC204" s="7">
        <v>1143547</v>
      </c>
      <c r="AE204" s="7">
        <v>509648</v>
      </c>
      <c r="AG204" s="7">
        <v>10262</v>
      </c>
      <c r="AI204" s="12" t="s">
        <v>565</v>
      </c>
      <c r="AJ204" s="12"/>
      <c r="AK204" s="12" t="s">
        <v>70</v>
      </c>
      <c r="AL204" s="12"/>
      <c r="AM204" s="7">
        <v>380431</v>
      </c>
      <c r="AO204" s="7">
        <v>0</v>
      </c>
      <c r="AQ204" s="7">
        <v>173119</v>
      </c>
      <c r="AS204" s="7">
        <v>97740</v>
      </c>
      <c r="AW204" s="7">
        <v>0</v>
      </c>
      <c r="AY204" s="7">
        <f t="shared" si="23"/>
        <v>9606126</v>
      </c>
      <c r="BA204" s="7">
        <f>+'St of Activites - GA Rev'!AI204-'St of Activities - GA Exp'!AY204</f>
        <v>-107832</v>
      </c>
      <c r="BC204" s="7">
        <v>19520293</v>
      </c>
      <c r="BE204" s="7">
        <f t="shared" si="24"/>
        <v>19412461</v>
      </c>
      <c r="BG204" s="7">
        <f>+'St of Net Assets - GA'!AA204-'St of Activities - GA Exp'!BE204</f>
        <v>0</v>
      </c>
      <c r="BL204" s="7" t="str">
        <f t="shared" ref="BL204:BL267" si="25">A204</f>
        <v>Frontier Local SD</v>
      </c>
      <c r="BM204" s="7" t="b">
        <f t="shared" ref="BM204:BM267" si="26">A204=AI204</f>
        <v>1</v>
      </c>
      <c r="BO204" s="7" t="str">
        <f t="shared" ref="BO204:BO267" si="27">C204</f>
        <v>Washington</v>
      </c>
      <c r="BP204" s="7" t="b">
        <f t="shared" ref="BP204:BP267" si="28">C204=AK204</f>
        <v>1</v>
      </c>
    </row>
    <row r="205" spans="1:68" ht="12" customHeight="1">
      <c r="A205" s="12" t="s">
        <v>670</v>
      </c>
      <c r="B205" s="12"/>
      <c r="C205" s="12" t="s">
        <v>27</v>
      </c>
      <c r="D205" s="12"/>
      <c r="E205" s="12">
        <v>46961</v>
      </c>
      <c r="G205" s="7">
        <v>40644719</v>
      </c>
      <c r="I205" s="7">
        <v>12526806</v>
      </c>
      <c r="K205" s="7">
        <v>910933</v>
      </c>
      <c r="M205" s="7">
        <v>0</v>
      </c>
      <c r="O205" s="7">
        <v>0</v>
      </c>
      <c r="Q205" s="7">
        <v>3728573</v>
      </c>
      <c r="S205" s="7">
        <v>4156156</v>
      </c>
      <c r="U205" s="7">
        <v>297963</v>
      </c>
      <c r="W205" s="7">
        <v>6914370</v>
      </c>
      <c r="Y205" s="7">
        <v>1415383</v>
      </c>
      <c r="AA205" s="7">
        <v>13282</v>
      </c>
      <c r="AC205" s="7">
        <v>5986644</v>
      </c>
      <c r="AE205" s="7">
        <v>2948860</v>
      </c>
      <c r="AG205" s="7">
        <v>620160</v>
      </c>
      <c r="AI205" s="12" t="s">
        <v>670</v>
      </c>
      <c r="AJ205" s="12"/>
      <c r="AK205" s="12" t="s">
        <v>27</v>
      </c>
      <c r="AL205" s="12"/>
      <c r="AM205" s="7">
        <v>0</v>
      </c>
      <c r="AO205" s="7">
        <v>1811471</v>
      </c>
      <c r="AQ205" s="7">
        <v>1275667</v>
      </c>
      <c r="AS205" s="7">
        <v>1629368</v>
      </c>
      <c r="AW205" s="7">
        <v>0</v>
      </c>
      <c r="AY205" s="7">
        <f t="shared" si="23"/>
        <v>84880355</v>
      </c>
      <c r="BA205" s="7">
        <f>+'St of Activites - GA Rev'!AI205-'St of Activities - GA Exp'!AY205</f>
        <v>-1344333</v>
      </c>
      <c r="BC205" s="7">
        <v>34489847</v>
      </c>
      <c r="BE205" s="7">
        <f t="shared" si="24"/>
        <v>33145514</v>
      </c>
      <c r="BG205" s="7">
        <f>+'St of Net Assets - GA'!AA205-'St of Activities - GA Exp'!BE205</f>
        <v>0</v>
      </c>
      <c r="BL205" s="7" t="str">
        <f t="shared" si="25"/>
        <v xml:space="preserve">Gahanna-Jefferson City SD </v>
      </c>
      <c r="BM205" s="7" t="b">
        <f t="shared" si="26"/>
        <v>1</v>
      </c>
      <c r="BO205" s="7" t="str">
        <f t="shared" si="27"/>
        <v>Franklin</v>
      </c>
      <c r="BP205" s="7" t="b">
        <f t="shared" si="28"/>
        <v>1</v>
      </c>
    </row>
    <row r="206" spans="1:68">
      <c r="A206" s="12" t="s">
        <v>265</v>
      </c>
      <c r="B206" s="12"/>
      <c r="C206" s="12" t="s">
        <v>111</v>
      </c>
      <c r="D206" s="12"/>
      <c r="E206" s="12">
        <v>44024</v>
      </c>
      <c r="G206" s="7">
        <v>9325463</v>
      </c>
      <c r="I206" s="7">
        <v>3661526</v>
      </c>
      <c r="K206" s="7">
        <v>75281</v>
      </c>
      <c r="M206" s="7">
        <v>0</v>
      </c>
      <c r="O206" s="7">
        <v>0</v>
      </c>
      <c r="Q206" s="7">
        <v>977159</v>
      </c>
      <c r="S206" s="7">
        <v>869703</v>
      </c>
      <c r="U206" s="7">
        <v>74290</v>
      </c>
      <c r="W206" s="7">
        <v>1388257</v>
      </c>
      <c r="Y206" s="7">
        <v>447436</v>
      </c>
      <c r="AA206" s="7">
        <v>0</v>
      </c>
      <c r="AC206" s="7">
        <v>1892810</v>
      </c>
      <c r="AE206" s="7">
        <v>781405</v>
      </c>
      <c r="AG206" s="7">
        <v>174025</v>
      </c>
      <c r="AI206" s="12" t="s">
        <v>265</v>
      </c>
      <c r="AJ206" s="12"/>
      <c r="AK206" s="12" t="s">
        <v>111</v>
      </c>
      <c r="AL206" s="12"/>
      <c r="AM206" s="7">
        <v>0</v>
      </c>
      <c r="AO206" s="7">
        <v>1085666</v>
      </c>
      <c r="AQ206" s="7">
        <v>676202</v>
      </c>
      <c r="AS206" s="7">
        <v>822884</v>
      </c>
      <c r="AW206" s="7">
        <v>0</v>
      </c>
      <c r="AY206" s="7">
        <f t="shared" si="23"/>
        <v>22252107</v>
      </c>
      <c r="BA206" s="7">
        <f>+'St of Activites - GA Rev'!AI206-'St of Activities - GA Exp'!AY206</f>
        <v>-990015</v>
      </c>
      <c r="BC206" s="7">
        <v>43255064</v>
      </c>
      <c r="BE206" s="7">
        <f t="shared" si="24"/>
        <v>42265049</v>
      </c>
      <c r="BG206" s="7">
        <f>+'St of Net Assets - GA'!AA206-'St of Activities - GA Exp'!BE206</f>
        <v>0</v>
      </c>
      <c r="BL206" s="7" t="str">
        <f t="shared" si="25"/>
        <v>Galion City SD</v>
      </c>
      <c r="BM206" s="7" t="b">
        <f t="shared" si="26"/>
        <v>1</v>
      </c>
      <c r="BO206" s="7" t="str">
        <f t="shared" si="27"/>
        <v>Crawford</v>
      </c>
      <c r="BP206" s="7" t="b">
        <f t="shared" si="28"/>
        <v>1</v>
      </c>
    </row>
    <row r="207" spans="1:68" ht="12" hidden="1" customHeight="1">
      <c r="A207" s="12" t="s">
        <v>671</v>
      </c>
      <c r="B207" s="12"/>
      <c r="C207" s="12" t="s">
        <v>29</v>
      </c>
      <c r="D207" s="12"/>
      <c r="E207" s="12">
        <v>65680</v>
      </c>
      <c r="AI207" s="12" t="s">
        <v>671</v>
      </c>
      <c r="AJ207" s="12"/>
      <c r="AK207" s="12" t="s">
        <v>29</v>
      </c>
      <c r="AL207" s="12"/>
      <c r="AY207" s="7">
        <f t="shared" si="23"/>
        <v>0</v>
      </c>
      <c r="BA207" s="7">
        <f>+'St of Activites - GA Rev'!AI207-'St of Activities - GA Exp'!AY207</f>
        <v>0</v>
      </c>
      <c r="BE207" s="7">
        <f t="shared" si="24"/>
        <v>0</v>
      </c>
      <c r="BG207" s="7">
        <f>+'St of Net Assets - GA'!AA207-'St of Activities - GA Exp'!BE207</f>
        <v>0</v>
      </c>
      <c r="BH207" s="7" t="s">
        <v>856</v>
      </c>
      <c r="BL207" s="7" t="str">
        <f t="shared" si="25"/>
        <v xml:space="preserve">Gallia County Local SD </v>
      </c>
      <c r="BM207" s="7" t="b">
        <f t="shared" si="26"/>
        <v>1</v>
      </c>
      <c r="BO207" s="7" t="str">
        <f t="shared" si="27"/>
        <v>Gallia</v>
      </c>
      <c r="BP207" s="7" t="b">
        <f t="shared" si="28"/>
        <v>1</v>
      </c>
    </row>
    <row r="208" spans="1:68">
      <c r="A208" s="12" t="s">
        <v>320</v>
      </c>
      <c r="B208" s="12"/>
      <c r="C208" s="12" t="s">
        <v>29</v>
      </c>
      <c r="D208" s="12"/>
      <c r="E208" s="12">
        <v>44032</v>
      </c>
      <c r="G208" s="7">
        <v>9231281</v>
      </c>
      <c r="I208" s="7">
        <v>3508509</v>
      </c>
      <c r="K208" s="7">
        <v>99733</v>
      </c>
      <c r="M208" s="7">
        <v>0</v>
      </c>
      <c r="O208" s="7">
        <v>804637</v>
      </c>
      <c r="Q208" s="7">
        <v>1111360</v>
      </c>
      <c r="S208" s="7">
        <v>1544576</v>
      </c>
      <c r="U208" s="7">
        <v>27236</v>
      </c>
      <c r="W208" s="7">
        <v>2089637</v>
      </c>
      <c r="Y208" s="7">
        <v>465595</v>
      </c>
      <c r="AA208" s="7">
        <v>0</v>
      </c>
      <c r="AC208" s="7">
        <v>2093001</v>
      </c>
      <c r="AE208" s="7">
        <v>1749383</v>
      </c>
      <c r="AG208" s="7">
        <v>143832</v>
      </c>
      <c r="AI208" s="12" t="s">
        <v>320</v>
      </c>
      <c r="AJ208" s="12"/>
      <c r="AK208" s="12" t="s">
        <v>29</v>
      </c>
      <c r="AL208" s="12"/>
      <c r="AM208" s="7">
        <v>925041</v>
      </c>
      <c r="AO208" s="7">
        <v>0</v>
      </c>
      <c r="AQ208" s="7">
        <v>530243</v>
      </c>
      <c r="AS208" s="7">
        <v>1043549</v>
      </c>
      <c r="AW208" s="7">
        <v>0</v>
      </c>
      <c r="AY208" s="7">
        <f t="shared" si="23"/>
        <v>25367613</v>
      </c>
      <c r="BA208" s="7">
        <f>+'St of Activites - GA Rev'!AI208-'St of Activities - GA Exp'!AY208</f>
        <v>2153901</v>
      </c>
      <c r="BC208" s="7">
        <v>53598022</v>
      </c>
      <c r="BE208" s="7">
        <f t="shared" si="24"/>
        <v>55751923</v>
      </c>
      <c r="BG208" s="7">
        <f>+'St of Net Assets - GA'!AA208-'St of Activities - GA Exp'!BE208</f>
        <v>0</v>
      </c>
      <c r="BL208" s="7" t="str">
        <f t="shared" si="25"/>
        <v>Gallipolis City SD</v>
      </c>
      <c r="BM208" s="7" t="b">
        <f t="shared" si="26"/>
        <v>1</v>
      </c>
      <c r="BO208" s="7" t="str">
        <f t="shared" si="27"/>
        <v>Gallia</v>
      </c>
      <c r="BP208" s="7" t="b">
        <f t="shared" si="28"/>
        <v>1</v>
      </c>
    </row>
    <row r="209" spans="1:68">
      <c r="A209" s="12" t="s">
        <v>551</v>
      </c>
      <c r="B209" s="12"/>
      <c r="C209" s="12" t="s">
        <v>65</v>
      </c>
      <c r="D209" s="12"/>
      <c r="E209" s="12">
        <v>50278</v>
      </c>
      <c r="G209" s="7">
        <v>5784861</v>
      </c>
      <c r="I209" s="7">
        <v>1301914</v>
      </c>
      <c r="K209" s="7">
        <v>2817</v>
      </c>
      <c r="M209" s="7">
        <v>0</v>
      </c>
      <c r="O209" s="7">
        <v>96120</v>
      </c>
      <c r="Q209" s="7">
        <v>371828</v>
      </c>
      <c r="S209" s="7">
        <v>713435</v>
      </c>
      <c r="U209" s="7">
        <v>15057</v>
      </c>
      <c r="W209" s="7">
        <v>1130688</v>
      </c>
      <c r="Y209" s="7">
        <v>374656</v>
      </c>
      <c r="AA209" s="7">
        <v>0</v>
      </c>
      <c r="AC209" s="7">
        <v>989875</v>
      </c>
      <c r="AE209" s="7">
        <v>892867</v>
      </c>
      <c r="AG209" s="7">
        <v>39388</v>
      </c>
      <c r="AI209" s="12" t="s">
        <v>551</v>
      </c>
      <c r="AJ209" s="12"/>
      <c r="AK209" s="12" t="s">
        <v>65</v>
      </c>
      <c r="AL209" s="12"/>
      <c r="AM209" s="7">
        <v>447581</v>
      </c>
      <c r="AO209" s="7">
        <v>0</v>
      </c>
      <c r="AQ209" s="7">
        <v>412255</v>
      </c>
      <c r="AS209" s="7">
        <v>45346</v>
      </c>
      <c r="AW209" s="7">
        <v>0</v>
      </c>
      <c r="AY209" s="7">
        <f t="shared" si="23"/>
        <v>12618688</v>
      </c>
      <c r="BA209" s="7">
        <f>+'St of Activites - GA Rev'!AI209-'St of Activities - GA Exp'!AY209</f>
        <v>79113</v>
      </c>
      <c r="BC209" s="7">
        <v>4744729</v>
      </c>
      <c r="BE209" s="7">
        <f t="shared" si="24"/>
        <v>4823842</v>
      </c>
      <c r="BG209" s="7">
        <f>+'St of Net Assets - GA'!AA209-'St of Activities - GA Exp'!BE209</f>
        <v>0</v>
      </c>
      <c r="BL209" s="7" t="str">
        <f t="shared" si="25"/>
        <v>Garaway Local SD</v>
      </c>
      <c r="BM209" s="7" t="b">
        <f t="shared" si="26"/>
        <v>1</v>
      </c>
      <c r="BO209" s="7" t="str">
        <f t="shared" si="27"/>
        <v>Tuscarawas</v>
      </c>
      <c r="BP209" s="7" t="b">
        <f t="shared" si="28"/>
        <v>1</v>
      </c>
    </row>
    <row r="210" spans="1:68" ht="12" customHeight="1">
      <c r="A210" s="12" t="s">
        <v>714</v>
      </c>
      <c r="B210" s="12"/>
      <c r="C210" s="12" t="s">
        <v>20</v>
      </c>
      <c r="D210" s="12"/>
      <c r="E210" s="12">
        <v>44040</v>
      </c>
      <c r="G210" s="7">
        <v>18076904</v>
      </c>
      <c r="I210" s="7">
        <v>4010764</v>
      </c>
      <c r="K210" s="7">
        <v>260483</v>
      </c>
      <c r="M210" s="7">
        <v>0</v>
      </c>
      <c r="O210" s="7">
        <v>2453747</v>
      </c>
      <c r="Q210" s="7">
        <v>2219154</v>
      </c>
      <c r="S210" s="7">
        <v>2141239</v>
      </c>
      <c r="U210" s="7">
        <v>42263</v>
      </c>
      <c r="W210" s="7">
        <v>3236955</v>
      </c>
      <c r="Y210" s="7">
        <v>852651</v>
      </c>
      <c r="AA210" s="7">
        <v>718625</v>
      </c>
      <c r="AC210" s="7">
        <v>3730942</v>
      </c>
      <c r="AE210" s="7">
        <v>1022116</v>
      </c>
      <c r="AG210" s="7">
        <v>358702</v>
      </c>
      <c r="AI210" s="12" t="s">
        <v>714</v>
      </c>
      <c r="AJ210" s="12"/>
      <c r="AK210" s="12" t="s">
        <v>20</v>
      </c>
      <c r="AL210" s="12"/>
      <c r="AM210" s="7">
        <v>1345031</v>
      </c>
      <c r="AO210" s="7">
        <v>1169121</v>
      </c>
      <c r="AQ210" s="7">
        <v>470152</v>
      </c>
      <c r="AS210" s="7">
        <v>2441592</v>
      </c>
      <c r="AW210" s="7">
        <v>0</v>
      </c>
      <c r="AY210" s="7">
        <f t="shared" si="23"/>
        <v>44550441</v>
      </c>
      <c r="BA210" s="7">
        <f>+'St of Activites - GA Rev'!AI210-'St of Activities - GA Exp'!AY210</f>
        <v>-120504</v>
      </c>
      <c r="BC210" s="7">
        <v>23286830</v>
      </c>
      <c r="BE210" s="7">
        <f t="shared" si="24"/>
        <v>23166326</v>
      </c>
      <c r="BG210" s="7">
        <f>+'St of Net Assets - GA'!AA210-'St of Activities - GA Exp'!BE210</f>
        <v>0</v>
      </c>
      <c r="BH210" s="7" t="s">
        <v>850</v>
      </c>
      <c r="BL210" s="7" t="str">
        <f t="shared" si="25"/>
        <v xml:space="preserve">Garfield Heights City SD </v>
      </c>
      <c r="BM210" s="7" t="b">
        <f t="shared" si="26"/>
        <v>1</v>
      </c>
      <c r="BO210" s="7" t="str">
        <f t="shared" si="27"/>
        <v>Cuyahoga</v>
      </c>
      <c r="BP210" s="7" t="b">
        <f t="shared" si="28"/>
        <v>1</v>
      </c>
    </row>
    <row r="211" spans="1:68" ht="12" customHeight="1">
      <c r="A211" s="12" t="s">
        <v>672</v>
      </c>
      <c r="B211" s="12"/>
      <c r="C211" s="12" t="s">
        <v>12</v>
      </c>
      <c r="D211" s="12"/>
      <c r="E211" s="12">
        <v>44057</v>
      </c>
      <c r="G211" s="7">
        <v>10897110</v>
      </c>
      <c r="I211" s="7">
        <v>3442587</v>
      </c>
      <c r="K211" s="7">
        <v>405404</v>
      </c>
      <c r="M211" s="7">
        <v>0</v>
      </c>
      <c r="O211" s="7">
        <v>1375656</v>
      </c>
      <c r="Q211" s="7">
        <v>1518395</v>
      </c>
      <c r="S211" s="7">
        <v>747353</v>
      </c>
      <c r="U211" s="7">
        <v>20177</v>
      </c>
      <c r="W211" s="7">
        <v>1769740</v>
      </c>
      <c r="Y211" s="7">
        <v>546726</v>
      </c>
      <c r="AA211" s="7">
        <v>33992</v>
      </c>
      <c r="AC211" s="7">
        <v>3154555</v>
      </c>
      <c r="AE211" s="7">
        <v>1498474</v>
      </c>
      <c r="AG211" s="7">
        <v>4047</v>
      </c>
      <c r="AI211" s="12" t="s">
        <v>672</v>
      </c>
      <c r="AJ211" s="12"/>
      <c r="AK211" s="12" t="s">
        <v>12</v>
      </c>
      <c r="AL211" s="12"/>
      <c r="AM211" s="7">
        <v>0</v>
      </c>
      <c r="AO211" s="7">
        <v>1345163</v>
      </c>
      <c r="AQ211" s="7">
        <v>726019</v>
      </c>
      <c r="AS211" s="7">
        <v>928551</v>
      </c>
      <c r="AW211" s="7">
        <v>0</v>
      </c>
      <c r="AY211" s="7">
        <f t="shared" si="23"/>
        <v>28413949</v>
      </c>
      <c r="BA211" s="7">
        <f>+'St of Activites - GA Rev'!AI211-'St of Activities - GA Exp'!AY211</f>
        <v>22126856</v>
      </c>
      <c r="BC211" s="7">
        <v>26063212</v>
      </c>
      <c r="BE211" s="7">
        <f t="shared" si="24"/>
        <v>48190068</v>
      </c>
      <c r="BG211" s="7">
        <f>+'St of Net Assets - GA'!AA211-'St of Activities - GA Exp'!BE211</f>
        <v>0</v>
      </c>
      <c r="BL211" s="7" t="str">
        <f t="shared" si="25"/>
        <v>Geneva Area City SD</v>
      </c>
      <c r="BM211" s="7" t="b">
        <f t="shared" si="26"/>
        <v>1</v>
      </c>
      <c r="BO211" s="7" t="str">
        <f t="shared" si="27"/>
        <v>Ashtabula</v>
      </c>
      <c r="BP211" s="7" t="b">
        <f t="shared" si="28"/>
        <v>1</v>
      </c>
    </row>
    <row r="212" spans="1:68" hidden="1">
      <c r="A212" s="12" t="s">
        <v>983</v>
      </c>
      <c r="B212" s="12"/>
      <c r="C212" s="12" t="s">
        <v>53</v>
      </c>
      <c r="D212" s="12"/>
      <c r="E212" s="12">
        <v>48942</v>
      </c>
      <c r="AI212" s="12" t="s">
        <v>983</v>
      </c>
      <c r="AJ212" s="12"/>
      <c r="AK212" s="12" t="s">
        <v>53</v>
      </c>
      <c r="AL212" s="12"/>
      <c r="AY212" s="7">
        <f t="shared" si="23"/>
        <v>0</v>
      </c>
      <c r="BA212" s="7">
        <f>+'St of Activites - GA Rev'!AI212-'St of Activities - GA Exp'!AY212</f>
        <v>0</v>
      </c>
      <c r="BE212" s="7">
        <f t="shared" si="24"/>
        <v>0</v>
      </c>
      <c r="BG212" s="7">
        <f>+'St of Net Assets - GA'!AA212-'St of Activities - GA Exp'!BE212</f>
        <v>0</v>
      </c>
      <c r="BH212" s="7" t="s">
        <v>984</v>
      </c>
      <c r="BL212" s="7" t="str">
        <f t="shared" si="25"/>
        <v>Genoa Area Local SD (CASH)</v>
      </c>
      <c r="BM212" s="7" t="b">
        <f t="shared" si="26"/>
        <v>1</v>
      </c>
      <c r="BO212" s="7" t="str">
        <f t="shared" si="27"/>
        <v>Ottawa</v>
      </c>
      <c r="BP212" s="7" t="b">
        <f t="shared" si="28"/>
        <v>1</v>
      </c>
    </row>
    <row r="213" spans="1:68" hidden="1">
      <c r="A213" s="12" t="s">
        <v>697</v>
      </c>
      <c r="B213" s="12"/>
      <c r="C213" s="12" t="s">
        <v>77</v>
      </c>
      <c r="D213" s="12"/>
      <c r="E213" s="12">
        <v>45377</v>
      </c>
      <c r="AI213" s="12" t="s">
        <v>697</v>
      </c>
      <c r="AJ213" s="12"/>
      <c r="AK213" s="12" t="s">
        <v>77</v>
      </c>
      <c r="AL213" s="12"/>
      <c r="AY213" s="7">
        <f t="shared" si="23"/>
        <v>0</v>
      </c>
      <c r="BA213" s="7">
        <f>+'St of Activites - GA Rev'!AI213-'St of Activities - GA Exp'!AY213</f>
        <v>0</v>
      </c>
      <c r="BE213" s="7">
        <f t="shared" si="24"/>
        <v>0</v>
      </c>
      <c r="BG213" s="7">
        <f>+'St of Net Assets - GA'!AA213-'St of Activities - GA Exp'!BE213</f>
        <v>0</v>
      </c>
      <c r="BH213" s="7" t="s">
        <v>839</v>
      </c>
      <c r="BL213" s="7" t="str">
        <f t="shared" si="25"/>
        <v>Georgetown Exempted Village SD (CASH)</v>
      </c>
      <c r="BM213" s="7" t="b">
        <f t="shared" si="26"/>
        <v>1</v>
      </c>
      <c r="BO213" s="7" t="str">
        <f t="shared" si="27"/>
        <v>Brown</v>
      </c>
      <c r="BP213" s="7" t="b">
        <f t="shared" si="28"/>
        <v>1</v>
      </c>
    </row>
    <row r="214" spans="1:68">
      <c r="A214" s="12" t="s">
        <v>857</v>
      </c>
      <c r="B214" s="12"/>
      <c r="C214" s="12" t="s">
        <v>79</v>
      </c>
      <c r="D214" s="12"/>
      <c r="E214" s="12">
        <v>45385</v>
      </c>
      <c r="G214" s="7">
        <v>5186105</v>
      </c>
      <c r="I214" s="7">
        <v>1050264</v>
      </c>
      <c r="K214" s="7">
        <v>190850</v>
      </c>
      <c r="M214" s="7">
        <v>0</v>
      </c>
      <c r="O214" s="7">
        <v>0</v>
      </c>
      <c r="Q214" s="7">
        <v>421770</v>
      </c>
      <c r="S214" s="7">
        <v>99587</v>
      </c>
      <c r="U214" s="7">
        <v>42214</v>
      </c>
      <c r="W214" s="7">
        <v>821701</v>
      </c>
      <c r="Y214" s="7">
        <v>428336</v>
      </c>
      <c r="AA214" s="7">
        <v>6569</v>
      </c>
      <c r="AC214" s="7">
        <v>1280648</v>
      </c>
      <c r="AE214" s="7">
        <v>429288</v>
      </c>
      <c r="AG214" s="7">
        <v>1733</v>
      </c>
      <c r="AI214" s="12" t="s">
        <v>857</v>
      </c>
      <c r="AJ214" s="12"/>
      <c r="AK214" s="12" t="s">
        <v>79</v>
      </c>
      <c r="AL214" s="12"/>
      <c r="AM214" s="7">
        <v>490966</v>
      </c>
      <c r="AO214" s="7">
        <v>143459</v>
      </c>
      <c r="AQ214" s="7">
        <v>283460</v>
      </c>
      <c r="AS214" s="7">
        <v>216915</v>
      </c>
      <c r="AW214" s="7">
        <v>67887</v>
      </c>
      <c r="AY214" s="7">
        <f t="shared" si="23"/>
        <v>11161752</v>
      </c>
      <c r="BA214" s="7">
        <f>+'St of Activites - GA Rev'!AI214-'St of Activities - GA Exp'!AY214</f>
        <v>-558124</v>
      </c>
      <c r="BC214" s="7">
        <v>21441976</v>
      </c>
      <c r="BE214" s="7">
        <f t="shared" si="24"/>
        <v>20883852</v>
      </c>
      <c r="BG214" s="7">
        <f>+'St of Net Assets - GA'!AA214-'St of Activities - GA Exp'!BE214</f>
        <v>0</v>
      </c>
      <c r="BL214" s="7" t="str">
        <f t="shared" si="25"/>
        <v>Gibsonburg Exempted Village SD</v>
      </c>
      <c r="BM214" s="7" t="b">
        <f t="shared" si="26"/>
        <v>1</v>
      </c>
      <c r="BO214" s="7" t="str">
        <f t="shared" si="27"/>
        <v>Sandusky</v>
      </c>
      <c r="BP214" s="7" t="b">
        <f t="shared" si="28"/>
        <v>1</v>
      </c>
    </row>
    <row r="215" spans="1:68" ht="12" customHeight="1">
      <c r="A215" s="12" t="s">
        <v>537</v>
      </c>
      <c r="B215" s="12"/>
      <c r="C215" s="12" t="s">
        <v>64</v>
      </c>
      <c r="D215" s="12"/>
      <c r="E215" s="12">
        <v>44065</v>
      </c>
      <c r="G215" s="7">
        <v>6961271</v>
      </c>
      <c r="I215" s="7">
        <v>1847953</v>
      </c>
      <c r="K215" s="7">
        <v>178841</v>
      </c>
      <c r="M215" s="7">
        <v>0</v>
      </c>
      <c r="O215" s="7">
        <v>744339</v>
      </c>
      <c r="Q215" s="7">
        <v>1151084</v>
      </c>
      <c r="S215" s="7">
        <v>224615</v>
      </c>
      <c r="U215" s="7">
        <v>54406</v>
      </c>
      <c r="W215" s="7">
        <v>1244002</v>
      </c>
      <c r="Y215" s="7">
        <v>797815</v>
      </c>
      <c r="AA215" s="7">
        <v>0</v>
      </c>
      <c r="AC215" s="7">
        <v>1507850</v>
      </c>
      <c r="AE215" s="7">
        <v>645256</v>
      </c>
      <c r="AG215" s="7">
        <v>4000</v>
      </c>
      <c r="AI215" s="12" t="s">
        <v>537</v>
      </c>
      <c r="AJ215" s="12"/>
      <c r="AK215" s="12" t="s">
        <v>64</v>
      </c>
      <c r="AL215" s="12"/>
      <c r="AM215" s="7">
        <v>548888</v>
      </c>
      <c r="AO215" s="7">
        <v>197760</v>
      </c>
      <c r="AQ215" s="7">
        <v>613939</v>
      </c>
      <c r="AS215" s="7">
        <v>577888</v>
      </c>
      <c r="AW215" s="7">
        <v>0</v>
      </c>
      <c r="AY215" s="7">
        <f t="shared" si="23"/>
        <v>17299907</v>
      </c>
      <c r="BA215" s="7">
        <f>+'St of Activites - GA Rev'!AI215-'St of Activities - GA Exp'!AY215</f>
        <v>319063</v>
      </c>
      <c r="BC215" s="7">
        <v>35152390</v>
      </c>
      <c r="BE215" s="7">
        <f t="shared" si="24"/>
        <v>35471453</v>
      </c>
      <c r="BG215" s="7">
        <f>+'St of Net Assets - GA'!AA215-'St of Activities - GA Exp'!BE215</f>
        <v>0</v>
      </c>
      <c r="BL215" s="7" t="str">
        <f t="shared" si="25"/>
        <v>Girard City SD</v>
      </c>
      <c r="BM215" s="7" t="b">
        <f t="shared" si="26"/>
        <v>1</v>
      </c>
      <c r="BO215" s="7" t="str">
        <f t="shared" si="27"/>
        <v>Trumbull</v>
      </c>
      <c r="BP215" s="7" t="b">
        <f t="shared" si="28"/>
        <v>1</v>
      </c>
    </row>
    <row r="216" spans="1:68" hidden="1">
      <c r="A216" s="12" t="s">
        <v>735</v>
      </c>
      <c r="B216" s="12"/>
      <c r="C216" s="12" t="s">
        <v>28</v>
      </c>
      <c r="D216" s="12"/>
      <c r="E216" s="12">
        <v>47068</v>
      </c>
      <c r="AI216" s="12" t="s">
        <v>735</v>
      </c>
      <c r="AJ216" s="12"/>
      <c r="AK216" s="12" t="s">
        <v>28</v>
      </c>
      <c r="AL216" s="12"/>
      <c r="AY216" s="7">
        <f t="shared" si="23"/>
        <v>0</v>
      </c>
      <c r="BA216" s="7">
        <f>+'St of Activites - GA Rev'!AI216-'St of Activities - GA Exp'!AY216</f>
        <v>0</v>
      </c>
      <c r="BE216" s="7">
        <f t="shared" si="24"/>
        <v>0</v>
      </c>
      <c r="BG216" s="7">
        <f>+'St of Net Assets - GA'!AA216-'St of Activities - GA Exp'!BE216</f>
        <v>0</v>
      </c>
      <c r="BH216" s="14" t="s">
        <v>787</v>
      </c>
      <c r="BL216" s="7" t="str">
        <f t="shared" si="25"/>
        <v>Gorham Fayette Local SD - name changed to Fayette Local.  See below</v>
      </c>
      <c r="BM216" s="7" t="b">
        <f t="shared" si="26"/>
        <v>1</v>
      </c>
      <c r="BO216" s="7" t="str">
        <f t="shared" si="27"/>
        <v>Fulton</v>
      </c>
      <c r="BP216" s="7" t="b">
        <f t="shared" si="28"/>
        <v>1</v>
      </c>
    </row>
    <row r="217" spans="1:68">
      <c r="A217" s="12" t="s">
        <v>245</v>
      </c>
      <c r="B217" s="12"/>
      <c r="C217" s="12" t="s">
        <v>113</v>
      </c>
      <c r="D217" s="12"/>
      <c r="E217" s="12">
        <v>46342</v>
      </c>
      <c r="G217" s="7">
        <v>11341389</v>
      </c>
      <c r="I217" s="7">
        <v>2522493</v>
      </c>
      <c r="K217" s="7">
        <v>402968</v>
      </c>
      <c r="M217" s="7">
        <v>0</v>
      </c>
      <c r="O217" s="7">
        <v>0</v>
      </c>
      <c r="Q217" s="7">
        <v>2900818</v>
      </c>
      <c r="S217" s="7">
        <v>3690767</v>
      </c>
      <c r="U217" s="7">
        <v>36626</v>
      </c>
      <c r="W217" s="7">
        <v>1461666</v>
      </c>
      <c r="Y217" s="7">
        <v>543166</v>
      </c>
      <c r="AA217" s="7">
        <v>132744</v>
      </c>
      <c r="AC217" s="7">
        <v>1628860</v>
      </c>
      <c r="AE217" s="7">
        <v>2098515</v>
      </c>
      <c r="AG217" s="7">
        <v>0</v>
      </c>
      <c r="AI217" s="12" t="s">
        <v>245</v>
      </c>
      <c r="AJ217" s="12"/>
      <c r="AK217" s="12" t="s">
        <v>113</v>
      </c>
      <c r="AL217" s="12"/>
      <c r="AM217" s="7">
        <v>1281985</v>
      </c>
      <c r="AO217" s="7">
        <v>27196</v>
      </c>
      <c r="AQ217" s="7">
        <v>508662</v>
      </c>
      <c r="AS217" s="7">
        <v>594530</v>
      </c>
      <c r="AW217" s="7">
        <v>0</v>
      </c>
      <c r="AY217" s="7">
        <f t="shared" si="23"/>
        <v>29172385</v>
      </c>
      <c r="BA217" s="7">
        <f>+'St of Activites - GA Rev'!AI217-'St of Activities - GA Exp'!AY217</f>
        <v>-535408</v>
      </c>
      <c r="BC217" s="7">
        <v>30694815</v>
      </c>
      <c r="BE217" s="7">
        <f t="shared" si="24"/>
        <v>30159407</v>
      </c>
      <c r="BG217" s="7">
        <f>+'St of Net Assets - GA'!AA217-'St of Activities - GA Exp'!BE217</f>
        <v>0</v>
      </c>
      <c r="BL217" s="7" t="str">
        <f t="shared" si="25"/>
        <v>Goshen Local SD</v>
      </c>
      <c r="BM217" s="7" t="b">
        <f t="shared" si="26"/>
        <v>1</v>
      </c>
      <c r="BO217" s="7" t="str">
        <f t="shared" si="27"/>
        <v>Clermont</v>
      </c>
      <c r="BP217" s="7" t="b">
        <f t="shared" si="28"/>
        <v>1</v>
      </c>
    </row>
    <row r="218" spans="1:68" hidden="1">
      <c r="A218" s="12" t="s">
        <v>902</v>
      </c>
      <c r="B218" s="12"/>
      <c r="C218" s="12" t="s">
        <v>232</v>
      </c>
      <c r="D218" s="12"/>
      <c r="E218" s="12">
        <v>46193</v>
      </c>
      <c r="AI218" s="12" t="s">
        <v>902</v>
      </c>
      <c r="AJ218" s="12"/>
      <c r="AK218" s="12" t="s">
        <v>232</v>
      </c>
      <c r="AL218" s="12"/>
      <c r="AY218" s="7">
        <f t="shared" si="23"/>
        <v>0</v>
      </c>
      <c r="BA218" s="7">
        <f>+'St of Activites - GA Rev'!AI218-'St of Activities - GA Exp'!AY218</f>
        <v>0</v>
      </c>
      <c r="BE218" s="7">
        <f t="shared" si="24"/>
        <v>0</v>
      </c>
      <c r="BG218" s="7">
        <f>+'St of Net Assets - GA'!AA218-'St of Activities - GA Exp'!BE218</f>
        <v>0</v>
      </c>
      <c r="BH218" s="7" t="s">
        <v>901</v>
      </c>
      <c r="BL218" s="7" t="str">
        <f t="shared" si="25"/>
        <v>Graham Local SD (CASH)</v>
      </c>
      <c r="BM218" s="7" t="b">
        <f t="shared" si="26"/>
        <v>1</v>
      </c>
      <c r="BO218" s="7" t="str">
        <f t="shared" si="27"/>
        <v>Champaign</v>
      </c>
      <c r="BP218" s="7" t="b">
        <f t="shared" si="28"/>
        <v>1</v>
      </c>
    </row>
    <row r="219" spans="1:68">
      <c r="A219" s="12" t="s">
        <v>209</v>
      </c>
      <c r="B219" s="12"/>
      <c r="C219" s="12" t="s">
        <v>12</v>
      </c>
      <c r="D219" s="12"/>
      <c r="E219" s="12">
        <v>45864</v>
      </c>
      <c r="G219" s="7">
        <v>7023590</v>
      </c>
      <c r="I219" s="7">
        <v>777469</v>
      </c>
      <c r="K219" s="7">
        <v>182518</v>
      </c>
      <c r="M219" s="7">
        <v>0</v>
      </c>
      <c r="O219" s="7">
        <v>75432</v>
      </c>
      <c r="Q219" s="7">
        <v>447953</v>
      </c>
      <c r="S219" s="7">
        <v>316139</v>
      </c>
      <c r="U219" s="7">
        <v>17014</v>
      </c>
      <c r="W219" s="7">
        <v>1233626</v>
      </c>
      <c r="Y219" s="7">
        <v>327037</v>
      </c>
      <c r="AA219" s="7">
        <v>23575</v>
      </c>
      <c r="AC219" s="7">
        <v>1186450</v>
      </c>
      <c r="AE219" s="7">
        <v>1276179</v>
      </c>
      <c r="AG219" s="7">
        <v>17916</v>
      </c>
      <c r="AI219" s="12" t="s">
        <v>209</v>
      </c>
      <c r="AJ219" s="12"/>
      <c r="AK219" s="12" t="s">
        <v>12</v>
      </c>
      <c r="AL219" s="12"/>
      <c r="AM219" s="7">
        <v>561891</v>
      </c>
      <c r="AO219" s="7">
        <v>0</v>
      </c>
      <c r="AQ219" s="7">
        <v>423445</v>
      </c>
      <c r="AS219" s="7">
        <v>538929</v>
      </c>
      <c r="AW219" s="7">
        <v>0</v>
      </c>
      <c r="AY219" s="7">
        <f t="shared" si="23"/>
        <v>14429163</v>
      </c>
      <c r="BA219" s="7">
        <f>+'St of Activites - GA Rev'!AI219-'St of Activities - GA Exp'!AY219</f>
        <v>-833128</v>
      </c>
      <c r="BC219" s="7">
        <v>28597487</v>
      </c>
      <c r="BE219" s="7">
        <f t="shared" si="24"/>
        <v>27764359</v>
      </c>
      <c r="BG219" s="7">
        <f>+'St of Net Assets - GA'!AA219-'St of Activities - GA Exp'!BE219</f>
        <v>0</v>
      </c>
      <c r="BL219" s="7" t="str">
        <f t="shared" si="25"/>
        <v>Grand Valley Local SD</v>
      </c>
      <c r="BM219" s="7" t="b">
        <f t="shared" si="26"/>
        <v>1</v>
      </c>
      <c r="BO219" s="7" t="str">
        <f t="shared" si="27"/>
        <v>Ashtabula</v>
      </c>
      <c r="BP219" s="7" t="b">
        <f t="shared" si="28"/>
        <v>1</v>
      </c>
    </row>
    <row r="220" spans="1:68">
      <c r="A220" s="12" t="s">
        <v>309</v>
      </c>
      <c r="B220" s="12"/>
      <c r="C220" s="12" t="s">
        <v>27</v>
      </c>
      <c r="D220" s="12"/>
      <c r="E220" s="12">
        <v>44073</v>
      </c>
      <c r="G220" s="7">
        <v>7343868</v>
      </c>
      <c r="I220" s="7">
        <v>2469781</v>
      </c>
      <c r="K220" s="7">
        <v>115084</v>
      </c>
      <c r="M220" s="7">
        <v>0</v>
      </c>
      <c r="O220" s="7">
        <v>0</v>
      </c>
      <c r="Q220" s="7">
        <v>1625174</v>
      </c>
      <c r="S220" s="7">
        <v>851844</v>
      </c>
      <c r="U220" s="7">
        <v>17615</v>
      </c>
      <c r="W220" s="7">
        <v>1120078</v>
      </c>
      <c r="Y220" s="7">
        <v>710966</v>
      </c>
      <c r="AA220" s="7">
        <v>37004</v>
      </c>
      <c r="AC220" s="7">
        <v>1390137</v>
      </c>
      <c r="AE220" s="7">
        <v>10722</v>
      </c>
      <c r="AG220" s="7">
        <v>55138</v>
      </c>
      <c r="AI220" s="12" t="s">
        <v>309</v>
      </c>
      <c r="AJ220" s="12"/>
      <c r="AK220" s="12" t="s">
        <v>27</v>
      </c>
      <c r="AL220" s="12"/>
      <c r="AM220" s="7">
        <v>0</v>
      </c>
      <c r="AO220" s="7">
        <v>329009</v>
      </c>
      <c r="AQ220" s="7">
        <v>885750</v>
      </c>
      <c r="AS220" s="7">
        <v>268513</v>
      </c>
      <c r="AW220" s="7">
        <v>0</v>
      </c>
      <c r="AY220" s="7">
        <f t="shared" si="23"/>
        <v>17230683</v>
      </c>
      <c r="BA220" s="7">
        <f>+'St of Activites - GA Rev'!AI220-'St of Activities - GA Exp'!AY220</f>
        <v>1165664</v>
      </c>
      <c r="BC220" s="7">
        <v>14818715</v>
      </c>
      <c r="BE220" s="7">
        <f t="shared" si="24"/>
        <v>15984379</v>
      </c>
      <c r="BG220" s="7">
        <f>+'St of Net Assets - GA'!AA220-'St of Activities - GA Exp'!BE220</f>
        <v>0</v>
      </c>
      <c r="BL220" s="7" t="str">
        <f t="shared" si="25"/>
        <v>Grandview Heights City SD</v>
      </c>
      <c r="BM220" s="7" t="b">
        <f t="shared" si="26"/>
        <v>1</v>
      </c>
      <c r="BO220" s="7" t="str">
        <f t="shared" si="27"/>
        <v>Franklin</v>
      </c>
      <c r="BP220" s="7" t="b">
        <f t="shared" si="28"/>
        <v>1</v>
      </c>
    </row>
    <row r="221" spans="1:68">
      <c r="A221" s="12" t="s">
        <v>698</v>
      </c>
      <c r="B221" s="12"/>
      <c r="C221" s="12" t="s">
        <v>42</v>
      </c>
      <c r="D221" s="12"/>
      <c r="E221" s="12">
        <v>45393</v>
      </c>
      <c r="G221" s="7">
        <v>12379460</v>
      </c>
      <c r="I221" s="7">
        <v>2610277</v>
      </c>
      <c r="K221" s="7">
        <v>161237</v>
      </c>
      <c r="M221" s="7">
        <v>0</v>
      </c>
      <c r="O221" s="7">
        <v>500</v>
      </c>
      <c r="Q221" s="7">
        <v>1963082</v>
      </c>
      <c r="S221" s="7">
        <v>1235636</v>
      </c>
      <c r="U221" s="7">
        <v>53853</v>
      </c>
      <c r="W221" s="7">
        <v>1644746</v>
      </c>
      <c r="Y221" s="7">
        <v>797735</v>
      </c>
      <c r="AA221" s="7">
        <v>138937</v>
      </c>
      <c r="AC221" s="7">
        <v>2131024</v>
      </c>
      <c r="AE221" s="7">
        <v>1696740</v>
      </c>
      <c r="AG221" s="7">
        <v>383978</v>
      </c>
      <c r="AI221" s="12" t="s">
        <v>698</v>
      </c>
      <c r="AJ221" s="12"/>
      <c r="AK221" s="12" t="s">
        <v>42</v>
      </c>
      <c r="AL221" s="12"/>
      <c r="AM221" s="7">
        <v>0</v>
      </c>
      <c r="AO221" s="7">
        <v>981418</v>
      </c>
      <c r="AQ221" s="7">
        <v>1419083</v>
      </c>
      <c r="AS221" s="7">
        <v>2328437</v>
      </c>
      <c r="AW221" s="7">
        <v>0</v>
      </c>
      <c r="AY221" s="7">
        <f t="shared" si="23"/>
        <v>29926143</v>
      </c>
      <c r="BA221" s="7">
        <f>+'St of Activites - GA Rev'!AI221-'St of Activities - GA Exp'!AY221</f>
        <v>-2010065</v>
      </c>
      <c r="BC221" s="7">
        <v>9240353</v>
      </c>
      <c r="BE221" s="7">
        <f t="shared" si="24"/>
        <v>7230288</v>
      </c>
      <c r="BG221" s="7">
        <f>+'St of Net Assets - GA'!AA221-'St of Activities - GA Exp'!BE221</f>
        <v>0</v>
      </c>
      <c r="BL221" s="7" t="str">
        <f t="shared" si="25"/>
        <v>Granville Exempted Village SD</v>
      </c>
      <c r="BM221" s="7" t="b">
        <f t="shared" si="26"/>
        <v>1</v>
      </c>
      <c r="BO221" s="7" t="str">
        <f t="shared" si="27"/>
        <v>Licking</v>
      </c>
      <c r="BP221" s="7" t="b">
        <f t="shared" si="28"/>
        <v>1</v>
      </c>
    </row>
    <row r="222" spans="1:68">
      <c r="A222" s="12" t="s">
        <v>496</v>
      </c>
      <c r="B222" s="12"/>
      <c r="C222" s="12" t="s">
        <v>59</v>
      </c>
      <c r="D222" s="12"/>
      <c r="E222" s="12">
        <v>49619</v>
      </c>
      <c r="G222" s="7">
        <v>2256391</v>
      </c>
      <c r="I222" s="7">
        <v>721260</v>
      </c>
      <c r="K222" s="7">
        <v>13653</v>
      </c>
      <c r="M222" s="7">
        <v>0</v>
      </c>
      <c r="O222" s="7">
        <v>844016</v>
      </c>
      <c r="Q222" s="7">
        <v>405723</v>
      </c>
      <c r="S222" s="7">
        <v>305168</v>
      </c>
      <c r="U222" s="7">
        <v>36629</v>
      </c>
      <c r="W222" s="7">
        <v>524873</v>
      </c>
      <c r="Y222" s="7">
        <v>252264</v>
      </c>
      <c r="AA222" s="7">
        <v>0</v>
      </c>
      <c r="AC222" s="7">
        <v>579194</v>
      </c>
      <c r="AE222" s="7">
        <v>463710</v>
      </c>
      <c r="AG222" s="7">
        <v>0</v>
      </c>
      <c r="AI222" s="12" t="s">
        <v>496</v>
      </c>
      <c r="AJ222" s="12"/>
      <c r="AK222" s="12" t="s">
        <v>59</v>
      </c>
      <c r="AL222" s="12"/>
      <c r="AM222" s="7">
        <v>0</v>
      </c>
      <c r="AO222" s="7">
        <v>290414</v>
      </c>
      <c r="AQ222" s="7">
        <v>114764</v>
      </c>
      <c r="AS222" s="7">
        <v>4751</v>
      </c>
      <c r="AW222" s="7">
        <v>0</v>
      </c>
      <c r="AY222" s="7">
        <f t="shared" si="23"/>
        <v>6812810</v>
      </c>
      <c r="BA222" s="7">
        <f>+'St of Activites - GA Rev'!AI222-'St of Activities - GA Exp'!AY222</f>
        <v>258988</v>
      </c>
      <c r="BC222" s="7">
        <v>2582926</v>
      </c>
      <c r="BE222" s="7">
        <f t="shared" si="24"/>
        <v>2841914</v>
      </c>
      <c r="BG222" s="7">
        <f>+'St of Net Assets - GA'!AA222-'St of Activities - GA Exp'!BE222</f>
        <v>0</v>
      </c>
      <c r="BL222" s="7" t="str">
        <f t="shared" si="25"/>
        <v>Green Local SD</v>
      </c>
      <c r="BM222" s="7" t="b">
        <f t="shared" si="26"/>
        <v>1</v>
      </c>
      <c r="BO222" s="7" t="str">
        <f t="shared" si="27"/>
        <v>Scioto</v>
      </c>
      <c r="BP222" s="7" t="b">
        <f t="shared" si="28"/>
        <v>1</v>
      </c>
    </row>
    <row r="223" spans="1:68">
      <c r="A223" s="12" t="s">
        <v>496</v>
      </c>
      <c r="B223" s="12"/>
      <c r="C223" s="12" t="s">
        <v>63</v>
      </c>
      <c r="D223" s="12"/>
      <c r="E223" s="12">
        <v>50013</v>
      </c>
      <c r="G223" s="7">
        <v>17700964</v>
      </c>
      <c r="I223" s="7">
        <v>5557793</v>
      </c>
      <c r="K223" s="7">
        <v>155807</v>
      </c>
      <c r="M223" s="7">
        <v>60761</v>
      </c>
      <c r="O223" s="7">
        <v>980476</v>
      </c>
      <c r="Q223" s="7">
        <v>2295864</v>
      </c>
      <c r="S223" s="7">
        <v>1633224</v>
      </c>
      <c r="U223" s="7">
        <v>21530</v>
      </c>
      <c r="W223" s="7">
        <v>3562507</v>
      </c>
      <c r="Y223" s="7">
        <v>1326850</v>
      </c>
      <c r="AA223" s="7">
        <v>155068</v>
      </c>
      <c r="AC223" s="7">
        <v>4302144</v>
      </c>
      <c r="AE223" s="7">
        <v>1928277</v>
      </c>
      <c r="AG223" s="7">
        <v>10546</v>
      </c>
      <c r="AI223" s="12" t="s">
        <v>496</v>
      </c>
      <c r="AJ223" s="12"/>
      <c r="AK223" s="12" t="s">
        <v>63</v>
      </c>
      <c r="AL223" s="12"/>
      <c r="AM223" s="7">
        <v>1280499</v>
      </c>
      <c r="AO223" s="7">
        <v>151120</v>
      </c>
      <c r="AQ223" s="7">
        <v>1188281</v>
      </c>
      <c r="AS223" s="7">
        <v>811321</v>
      </c>
      <c r="AW223" s="7">
        <v>0</v>
      </c>
      <c r="AY223" s="7">
        <f t="shared" si="23"/>
        <v>43123032</v>
      </c>
      <c r="BA223" s="7">
        <f>+'St of Activites - GA Rev'!AI223-'St of Activities - GA Exp'!AY223</f>
        <v>-690938</v>
      </c>
      <c r="BC223" s="7">
        <v>3097768</v>
      </c>
      <c r="BE223" s="7">
        <f t="shared" si="24"/>
        <v>2406830</v>
      </c>
      <c r="BG223" s="7">
        <f>+'St of Net Assets - GA'!AA223-'St of Activities - GA Exp'!BE223</f>
        <v>0</v>
      </c>
      <c r="BL223" s="7" t="str">
        <f t="shared" si="25"/>
        <v>Green Local SD</v>
      </c>
      <c r="BM223" s="7" t="b">
        <f t="shared" si="26"/>
        <v>1</v>
      </c>
      <c r="BO223" s="7" t="str">
        <f t="shared" si="27"/>
        <v>Summit</v>
      </c>
      <c r="BP223" s="7" t="b">
        <f t="shared" si="28"/>
        <v>1</v>
      </c>
    </row>
    <row r="224" spans="1:68" hidden="1">
      <c r="A224" s="12" t="s">
        <v>496</v>
      </c>
      <c r="B224" s="12"/>
      <c r="C224" s="12" t="s">
        <v>71</v>
      </c>
      <c r="D224" s="12"/>
      <c r="E224" s="12">
        <v>50559</v>
      </c>
      <c r="AI224" s="12" t="s">
        <v>496</v>
      </c>
      <c r="AJ224" s="12"/>
      <c r="AK224" s="12" t="s">
        <v>71</v>
      </c>
      <c r="AL224" s="12"/>
      <c r="AW224" s="7">
        <v>0</v>
      </c>
      <c r="AY224" s="7">
        <f t="shared" si="23"/>
        <v>0</v>
      </c>
      <c r="BA224" s="7">
        <f>+'St of Activites - GA Rev'!AI224-'St of Activities - GA Exp'!AY224</f>
        <v>0</v>
      </c>
      <c r="BE224" s="7">
        <f t="shared" si="24"/>
        <v>0</v>
      </c>
      <c r="BG224" s="7">
        <f>+'St of Net Assets - GA'!AA224-'St of Activities - GA Exp'!BE224</f>
        <v>0</v>
      </c>
      <c r="BH224" s="7" t="s">
        <v>839</v>
      </c>
      <c r="BL224" s="7" t="str">
        <f t="shared" si="25"/>
        <v>Green Local SD</v>
      </c>
      <c r="BM224" s="7" t="b">
        <f t="shared" si="26"/>
        <v>1</v>
      </c>
      <c r="BO224" s="7" t="str">
        <f t="shared" si="27"/>
        <v>Wayne</v>
      </c>
      <c r="BP224" s="7" t="b">
        <f t="shared" si="28"/>
        <v>1</v>
      </c>
    </row>
    <row r="225" spans="1:68">
      <c r="A225" s="12" t="s">
        <v>326</v>
      </c>
      <c r="B225" s="12"/>
      <c r="C225" s="12" t="s">
        <v>114</v>
      </c>
      <c r="D225" s="12"/>
      <c r="E225" s="12">
        <v>47266</v>
      </c>
      <c r="G225" s="7">
        <v>4808313</v>
      </c>
      <c r="I225" s="7">
        <v>1684932</v>
      </c>
      <c r="K225" s="7">
        <v>78788</v>
      </c>
      <c r="M225" s="7">
        <v>0</v>
      </c>
      <c r="O225" s="7">
        <v>13779</v>
      </c>
      <c r="Q225" s="7">
        <v>784725</v>
      </c>
      <c r="S225" s="7">
        <v>798027</v>
      </c>
      <c r="U225" s="7">
        <v>68193</v>
      </c>
      <c r="W225" s="7">
        <v>1548068</v>
      </c>
      <c r="Y225" s="7">
        <v>372239</v>
      </c>
      <c r="AA225" s="7">
        <v>347</v>
      </c>
      <c r="AC225" s="7">
        <v>1248566</v>
      </c>
      <c r="AE225" s="7">
        <v>877885</v>
      </c>
      <c r="AG225" s="7">
        <v>0</v>
      </c>
      <c r="AI225" s="12" t="s">
        <v>326</v>
      </c>
      <c r="AJ225" s="12"/>
      <c r="AK225" s="12" t="s">
        <v>114</v>
      </c>
      <c r="AL225" s="12"/>
      <c r="AM225" s="7">
        <v>0</v>
      </c>
      <c r="AO225" s="7">
        <v>441532</v>
      </c>
      <c r="AQ225" s="7">
        <v>518213</v>
      </c>
      <c r="AS225" s="7">
        <v>353742</v>
      </c>
      <c r="AW225" s="7">
        <v>0</v>
      </c>
      <c r="AY225" s="7">
        <f t="shared" si="23"/>
        <v>13597349</v>
      </c>
      <c r="BA225" s="7">
        <f>+'St of Activites - GA Rev'!AI225-'St of Activities - GA Exp'!AY225</f>
        <v>11123871</v>
      </c>
      <c r="BC225" s="7">
        <v>11332820</v>
      </c>
      <c r="BE225" s="7">
        <f t="shared" si="24"/>
        <v>22456691</v>
      </c>
      <c r="BG225" s="7">
        <f>+'St of Net Assets - GA'!AA225-'St of Activities - GA Exp'!BE225</f>
        <v>0</v>
      </c>
      <c r="BL225" s="7" t="str">
        <f t="shared" si="25"/>
        <v>Greeneview Local SD</v>
      </c>
      <c r="BM225" s="7" t="b">
        <f t="shared" si="26"/>
        <v>1</v>
      </c>
      <c r="BO225" s="7" t="str">
        <f t="shared" si="27"/>
        <v>Greene</v>
      </c>
      <c r="BP225" s="7" t="b">
        <f t="shared" si="28"/>
        <v>1</v>
      </c>
    </row>
    <row r="226" spans="1:68" ht="12" customHeight="1">
      <c r="A226" s="12" t="s">
        <v>869</v>
      </c>
      <c r="B226" s="12"/>
      <c r="C226" s="12" t="s">
        <v>358</v>
      </c>
      <c r="D226" s="12"/>
      <c r="E226" s="12">
        <v>45401</v>
      </c>
      <c r="G226" s="7">
        <v>8040207</v>
      </c>
      <c r="I226" s="7">
        <v>1737872</v>
      </c>
      <c r="K226" s="7">
        <v>479824</v>
      </c>
      <c r="M226" s="7">
        <v>0</v>
      </c>
      <c r="O226" s="7">
        <v>1173040</v>
      </c>
      <c r="Q226" s="7">
        <v>681059</v>
      </c>
      <c r="S226" s="7">
        <v>888715</v>
      </c>
      <c r="U226" s="7">
        <v>60381</v>
      </c>
      <c r="W226" s="7">
        <v>1622386</v>
      </c>
      <c r="Y226" s="7">
        <v>424729</v>
      </c>
      <c r="AA226" s="7">
        <v>0</v>
      </c>
      <c r="AC226" s="7">
        <v>2627367</v>
      </c>
      <c r="AE226" s="7">
        <v>1106437</v>
      </c>
      <c r="AG226" s="7">
        <v>57908</v>
      </c>
      <c r="AI226" s="12" t="s">
        <v>869</v>
      </c>
      <c r="AJ226" s="12"/>
      <c r="AK226" s="12" t="s">
        <v>358</v>
      </c>
      <c r="AL226" s="12"/>
      <c r="AM226" s="7">
        <v>0</v>
      </c>
      <c r="AO226" s="7">
        <v>701309</v>
      </c>
      <c r="AQ226" s="7">
        <v>409229</v>
      </c>
      <c r="AS226" s="7">
        <v>103997</v>
      </c>
      <c r="AW226" s="7">
        <v>0</v>
      </c>
      <c r="AY226" s="7">
        <f t="shared" si="23"/>
        <v>20114460</v>
      </c>
      <c r="BA226" s="7">
        <f>+'St of Activites - GA Rev'!AI226-'St of Activities - GA Exp'!AY226</f>
        <v>1542442</v>
      </c>
      <c r="BC226" s="7">
        <v>29053879</v>
      </c>
      <c r="BE226" s="7">
        <f t="shared" si="24"/>
        <v>30596321</v>
      </c>
      <c r="BG226" s="7">
        <f>+'St of Net Assets - GA'!AA226-'St of Activities - GA Exp'!BE226</f>
        <v>0</v>
      </c>
      <c r="BL226" s="7" t="str">
        <f t="shared" si="25"/>
        <v>Greenfield Exempted Village SD</v>
      </c>
      <c r="BM226" s="7" t="b">
        <f t="shared" si="26"/>
        <v>1</v>
      </c>
      <c r="BO226" s="7" t="str">
        <f t="shared" si="27"/>
        <v>Highland</v>
      </c>
      <c r="BP226" s="7" t="b">
        <f t="shared" si="28"/>
        <v>1</v>
      </c>
    </row>
    <row r="227" spans="1:68">
      <c r="A227" s="12" t="s">
        <v>237</v>
      </c>
      <c r="B227" s="12"/>
      <c r="C227" s="12" t="s">
        <v>17</v>
      </c>
      <c r="D227" s="12"/>
      <c r="E227" s="12">
        <v>46235</v>
      </c>
      <c r="G227" s="7">
        <v>7222937</v>
      </c>
      <c r="I227" s="7">
        <v>1516097</v>
      </c>
      <c r="K227" s="7">
        <v>462137</v>
      </c>
      <c r="M227" s="7">
        <v>0</v>
      </c>
      <c r="O227" s="7">
        <v>367602</v>
      </c>
      <c r="Q227" s="7">
        <v>693506</v>
      </c>
      <c r="S227" s="7">
        <v>436447</v>
      </c>
      <c r="U227" s="7">
        <v>150976</v>
      </c>
      <c r="W227" s="7">
        <v>1586061</v>
      </c>
      <c r="Y227" s="7">
        <v>551019</v>
      </c>
      <c r="AA227" s="7">
        <v>195672</v>
      </c>
      <c r="AC227" s="7">
        <v>1586697</v>
      </c>
      <c r="AE227" s="7">
        <v>1141644</v>
      </c>
      <c r="AG227" s="7">
        <v>123781</v>
      </c>
      <c r="AI227" s="12" t="s">
        <v>237</v>
      </c>
      <c r="AJ227" s="12"/>
      <c r="AK227" s="12" t="s">
        <v>17</v>
      </c>
      <c r="AL227" s="12"/>
      <c r="AM227" s="7">
        <v>696682</v>
      </c>
      <c r="AO227" s="7">
        <f>1533+31794</f>
        <v>33327</v>
      </c>
      <c r="AQ227" s="7">
        <v>505573</v>
      </c>
      <c r="AS227" s="7">
        <v>534</v>
      </c>
      <c r="AW227" s="7">
        <v>0</v>
      </c>
      <c r="AY227" s="7">
        <f>SUM(G227:AX227)</f>
        <v>17270692</v>
      </c>
      <c r="BA227" s="7">
        <f>+'St of Activites - GA Rev'!AI227-'St of Activities - GA Exp'!AY227</f>
        <v>697006</v>
      </c>
      <c r="BC227" s="7">
        <v>8902158</v>
      </c>
      <c r="BE227" s="7">
        <f t="shared" si="24"/>
        <v>9599164</v>
      </c>
      <c r="BG227" s="7">
        <f>+'St of Net Assets - GA'!AA227-'St of Activities - GA Exp'!BE227</f>
        <v>0</v>
      </c>
      <c r="BH227" s="14"/>
      <c r="BL227" s="7" t="str">
        <f t="shared" si="25"/>
        <v>Greenon Local SD</v>
      </c>
      <c r="BM227" s="7" t="b">
        <f t="shared" si="26"/>
        <v>1</v>
      </c>
      <c r="BO227" s="7" t="str">
        <f t="shared" si="27"/>
        <v>Clark</v>
      </c>
      <c r="BP227" s="7" t="b">
        <f t="shared" si="28"/>
        <v>1</v>
      </c>
    </row>
    <row r="228" spans="1:68">
      <c r="A228" s="12" t="s">
        <v>288</v>
      </c>
      <c r="B228" s="12"/>
      <c r="C228" s="12" t="s">
        <v>21</v>
      </c>
      <c r="D228" s="12"/>
      <c r="E228" s="12">
        <v>44099</v>
      </c>
      <c r="G228" s="7">
        <v>12811823</v>
      </c>
      <c r="I228" s="7">
        <v>3565586</v>
      </c>
      <c r="K228" s="7">
        <v>1878026</v>
      </c>
      <c r="M228" s="7">
        <v>41382</v>
      </c>
      <c r="O228" s="7">
        <v>211292</v>
      </c>
      <c r="Q228" s="7">
        <v>1299831</v>
      </c>
      <c r="S228" s="7">
        <v>1509928</v>
      </c>
      <c r="U228" s="7">
        <v>112354</v>
      </c>
      <c r="W228" s="7">
        <v>2062562</v>
      </c>
      <c r="Y228" s="7">
        <v>751871</v>
      </c>
      <c r="AA228" s="7">
        <v>16853</v>
      </c>
      <c r="AC228" s="7">
        <v>1649830</v>
      </c>
      <c r="AE228" s="7">
        <v>1137459</v>
      </c>
      <c r="AG228" s="7">
        <v>225423</v>
      </c>
      <c r="AI228" s="12" t="s">
        <v>288</v>
      </c>
      <c r="AJ228" s="12"/>
      <c r="AK228" s="12" t="s">
        <v>21</v>
      </c>
      <c r="AL228" s="12"/>
      <c r="AM228" s="7">
        <v>0</v>
      </c>
      <c r="AO228" s="7">
        <v>1036322</v>
      </c>
      <c r="AQ228" s="7">
        <v>606948</v>
      </c>
      <c r="AS228" s="7">
        <v>0</v>
      </c>
      <c r="AW228" s="7">
        <v>0</v>
      </c>
      <c r="AY228" s="7">
        <f t="shared" si="23"/>
        <v>28917490</v>
      </c>
      <c r="BA228" s="7">
        <f>+'St of Activites - GA Rev'!AI228-'St of Activities - GA Exp'!AY228</f>
        <v>2547987</v>
      </c>
      <c r="BC228" s="7">
        <v>17616396</v>
      </c>
      <c r="BE228" s="7">
        <f t="shared" si="24"/>
        <v>20164383</v>
      </c>
      <c r="BG228" s="7">
        <f>+'St of Net Assets - GA'!AA228-'St of Activities - GA Exp'!BE228</f>
        <v>0</v>
      </c>
      <c r="BL228" s="7" t="str">
        <f t="shared" si="25"/>
        <v>Greenville City SD</v>
      </c>
      <c r="BM228" s="7" t="b">
        <f t="shared" si="26"/>
        <v>1</v>
      </c>
      <c r="BO228" s="7" t="str">
        <f t="shared" si="27"/>
        <v>Darke</v>
      </c>
      <c r="BP228" s="7" t="b">
        <f t="shared" si="28"/>
        <v>1</v>
      </c>
    </row>
    <row r="229" spans="1:68">
      <c r="A229" s="12" t="s">
        <v>310</v>
      </c>
      <c r="B229" s="12"/>
      <c r="C229" s="12" t="s">
        <v>27</v>
      </c>
      <c r="D229" s="12"/>
      <c r="E229" s="12">
        <v>46979</v>
      </c>
      <c r="G229" s="7">
        <v>31105744</v>
      </c>
      <c r="I229" s="7">
        <v>8708730</v>
      </c>
      <c r="K229" s="7">
        <v>109123</v>
      </c>
      <c r="M229" s="7">
        <v>0</v>
      </c>
      <c r="O229" s="7">
        <v>938687</v>
      </c>
      <c r="Q229" s="7">
        <v>3310452</v>
      </c>
      <c r="S229" s="7">
        <v>5633625</v>
      </c>
      <c r="U229" s="7">
        <v>254108</v>
      </c>
      <c r="W229" s="7">
        <v>4626116</v>
      </c>
      <c r="Y229" s="7">
        <v>1334366</v>
      </c>
      <c r="AA229" s="7">
        <v>97154</v>
      </c>
      <c r="AC229" s="7">
        <v>5385839</v>
      </c>
      <c r="AE229" s="7">
        <v>6364797</v>
      </c>
      <c r="AG229" s="7">
        <v>906897</v>
      </c>
      <c r="AI229" s="12" t="s">
        <v>310</v>
      </c>
      <c r="AJ229" s="12"/>
      <c r="AK229" s="12" t="s">
        <v>27</v>
      </c>
      <c r="AL229" s="12"/>
      <c r="AM229" s="7">
        <v>0</v>
      </c>
      <c r="AO229" s="7">
        <v>3051460</v>
      </c>
      <c r="AQ229" s="7">
        <v>756502</v>
      </c>
      <c r="AS229" s="7">
        <v>11398</v>
      </c>
      <c r="AW229" s="7">
        <v>0</v>
      </c>
      <c r="AY229" s="7">
        <f t="shared" si="23"/>
        <v>72594998</v>
      </c>
      <c r="BA229" s="7">
        <f>+'St of Activites - GA Rev'!AI229-'St of Activities - GA Exp'!AY229</f>
        <v>3645328</v>
      </c>
      <c r="BC229" s="7">
        <v>15299095</v>
      </c>
      <c r="BE229" s="7">
        <f t="shared" si="24"/>
        <v>18944423</v>
      </c>
      <c r="BG229" s="7">
        <f>+'St of Net Assets - GA'!AA229-'St of Activities - GA Exp'!BE229</f>
        <v>0</v>
      </c>
      <c r="BH229" s="14"/>
      <c r="BL229" s="7" t="str">
        <f t="shared" si="25"/>
        <v>Groveport Madison Local SD</v>
      </c>
      <c r="BM229" s="7" t="b">
        <f t="shared" si="26"/>
        <v>1</v>
      </c>
      <c r="BO229" s="7" t="str">
        <f t="shared" si="27"/>
        <v>Franklin</v>
      </c>
      <c r="BP229" s="7" t="b">
        <f t="shared" si="28"/>
        <v>1</v>
      </c>
    </row>
    <row r="230" spans="1:68" ht="11.25" hidden="1" customHeight="1">
      <c r="A230" s="12" t="s">
        <v>225</v>
      </c>
      <c r="B230" s="12"/>
      <c r="C230" s="12" t="s">
        <v>223</v>
      </c>
      <c r="D230" s="12"/>
      <c r="E230" s="12">
        <v>44107</v>
      </c>
      <c r="AI230" s="12" t="s">
        <v>225</v>
      </c>
      <c r="AJ230" s="12"/>
      <c r="AK230" s="12" t="s">
        <v>223</v>
      </c>
      <c r="AL230" s="12"/>
      <c r="AY230" s="7">
        <f>SUM(G230:AX230)</f>
        <v>0</v>
      </c>
      <c r="BA230" s="7">
        <f>+'St of Activites - GA Rev'!AI230-'St of Activities - GA Exp'!AY230</f>
        <v>0</v>
      </c>
      <c r="BE230" s="7">
        <f t="shared" si="24"/>
        <v>0</v>
      </c>
      <c r="BG230" s="7">
        <f>+'St of Net Assets - GA'!AA230-'St of Activities - GA Exp'!BE230</f>
        <v>0</v>
      </c>
      <c r="BH230" s="7" t="s">
        <v>903</v>
      </c>
      <c r="BL230" s="7" t="str">
        <f t="shared" si="25"/>
        <v>Hamilton City SD</v>
      </c>
      <c r="BM230" s="7" t="b">
        <f t="shared" si="26"/>
        <v>1</v>
      </c>
      <c r="BO230" s="7" t="str">
        <f t="shared" si="27"/>
        <v>Butler</v>
      </c>
      <c r="BP230" s="7" t="b">
        <f t="shared" si="28"/>
        <v>1</v>
      </c>
    </row>
    <row r="231" spans="1:68">
      <c r="A231" s="12" t="s">
        <v>925</v>
      </c>
      <c r="B231" s="12"/>
      <c r="C231" s="12" t="s">
        <v>27</v>
      </c>
      <c r="D231" s="12"/>
      <c r="E231" s="12">
        <v>46953</v>
      </c>
      <c r="G231" s="7">
        <v>11638547</v>
      </c>
      <c r="I231" s="7">
        <v>3713489</v>
      </c>
      <c r="K231" s="7">
        <v>246346</v>
      </c>
      <c r="M231" s="7">
        <v>0</v>
      </c>
      <c r="O231" s="7">
        <v>1449087</v>
      </c>
      <c r="Q231" s="7">
        <v>1100526</v>
      </c>
      <c r="S231" s="7">
        <v>719272</v>
      </c>
      <c r="U231" s="7">
        <v>7032</v>
      </c>
      <c r="W231" s="7">
        <v>2281463</v>
      </c>
      <c r="Y231" s="7">
        <v>1761842</v>
      </c>
      <c r="AA231" s="7">
        <v>36417</v>
      </c>
      <c r="AC231" s="7">
        <v>2957023</v>
      </c>
      <c r="AE231" s="7">
        <v>1007303</v>
      </c>
      <c r="AG231" s="7">
        <v>45154</v>
      </c>
      <c r="AI231" s="12" t="s">
        <v>925</v>
      </c>
      <c r="AJ231" s="12"/>
      <c r="AK231" s="12" t="s">
        <v>27</v>
      </c>
      <c r="AL231" s="12"/>
      <c r="AM231" s="7">
        <v>0</v>
      </c>
      <c r="AO231" s="7">
        <v>1575902</v>
      </c>
      <c r="AQ231" s="7">
        <v>883971</v>
      </c>
      <c r="AS231" s="7">
        <v>1282481</v>
      </c>
      <c r="AW231" s="7">
        <v>0</v>
      </c>
      <c r="AY231" s="7">
        <f t="shared" ref="AY231" si="29">SUM(G231:AX231)</f>
        <v>30705855</v>
      </c>
      <c r="BA231" s="7">
        <f>+'St of Activites - GA Rev'!AI231-'St of Activities - GA Exp'!AY231</f>
        <v>-330318</v>
      </c>
      <c r="BC231" s="7">
        <v>58431763</v>
      </c>
      <c r="BE231" s="7">
        <f t="shared" si="24"/>
        <v>58101445</v>
      </c>
      <c r="BG231" s="7">
        <f>+'St of Net Assets - GA'!AA231-'St of Activities - GA Exp'!BE231</f>
        <v>0</v>
      </c>
      <c r="BL231" s="7" t="str">
        <f t="shared" si="25"/>
        <v>Hamilton Local SD</v>
      </c>
      <c r="BM231" s="7" t="b">
        <f t="shared" si="26"/>
        <v>1</v>
      </c>
      <c r="BO231" s="7" t="str">
        <f t="shared" si="27"/>
        <v>Franklin</v>
      </c>
      <c r="BP231" s="7" t="b">
        <f t="shared" si="28"/>
        <v>1</v>
      </c>
    </row>
    <row r="232" spans="1:68">
      <c r="A232" s="12" t="s">
        <v>349</v>
      </c>
      <c r="B232" s="12"/>
      <c r="C232" s="12" t="s">
        <v>348</v>
      </c>
      <c r="D232" s="12"/>
      <c r="E232" s="12">
        <v>47498</v>
      </c>
      <c r="G232" s="7">
        <v>2271801</v>
      </c>
      <c r="I232" s="7">
        <v>461154</v>
      </c>
      <c r="K232" s="7">
        <v>317728</v>
      </c>
      <c r="M232" s="7">
        <v>0</v>
      </c>
      <c r="O232" s="7">
        <v>0</v>
      </c>
      <c r="Q232" s="7">
        <v>156103</v>
      </c>
      <c r="S232" s="7">
        <v>152600</v>
      </c>
      <c r="U232" s="7">
        <v>47605</v>
      </c>
      <c r="W232" s="7">
        <v>459410</v>
      </c>
      <c r="Y232" s="7">
        <v>224131</v>
      </c>
      <c r="AA232" s="7">
        <v>0</v>
      </c>
      <c r="AC232" s="7">
        <v>407617</v>
      </c>
      <c r="AE232" s="7">
        <v>179074</v>
      </c>
      <c r="AG232" s="7">
        <v>0</v>
      </c>
      <c r="AI232" s="12" t="s">
        <v>349</v>
      </c>
      <c r="AJ232" s="12"/>
      <c r="AK232" s="12" t="s">
        <v>348</v>
      </c>
      <c r="AL232" s="12"/>
      <c r="AM232" s="7">
        <v>0</v>
      </c>
      <c r="AO232" s="7">
        <v>176785</v>
      </c>
      <c r="AQ232" s="7">
        <v>189870</v>
      </c>
      <c r="AS232" s="7">
        <v>204742</v>
      </c>
      <c r="AW232" s="7">
        <v>245247</v>
      </c>
      <c r="AY232" s="7">
        <f t="shared" si="23"/>
        <v>5493867</v>
      </c>
      <c r="BA232" s="7">
        <f>+'St of Activites - GA Rev'!AI232-'St of Activities - GA Exp'!AY232</f>
        <v>508342</v>
      </c>
      <c r="BC232" s="7">
        <v>13229886</v>
      </c>
      <c r="BE232" s="7">
        <f t="shared" si="24"/>
        <v>13738228</v>
      </c>
      <c r="BG232" s="7">
        <f>+'St of Net Assets - GA'!AA232-'St of Activities - GA Exp'!BE232</f>
        <v>0</v>
      </c>
      <c r="BH232" s="14"/>
      <c r="BL232" s="7" t="str">
        <f t="shared" si="25"/>
        <v>Hardin Northern Local SD</v>
      </c>
      <c r="BM232" s="7" t="b">
        <f t="shared" si="26"/>
        <v>1</v>
      </c>
      <c r="BO232" s="7" t="str">
        <f t="shared" si="27"/>
        <v>Hardin</v>
      </c>
      <c r="BP232" s="7" t="b">
        <f t="shared" si="28"/>
        <v>1</v>
      </c>
    </row>
    <row r="233" spans="1:68">
      <c r="A233" s="12" t="s">
        <v>506</v>
      </c>
      <c r="B233" s="12"/>
      <c r="C233" s="12" t="s">
        <v>61</v>
      </c>
      <c r="D233" s="12"/>
      <c r="E233" s="12">
        <v>49791</v>
      </c>
      <c r="G233" s="7">
        <v>4086803</v>
      </c>
      <c r="I233" s="7">
        <v>593011</v>
      </c>
      <c r="K233" s="7">
        <v>104963</v>
      </c>
      <c r="M233" s="7">
        <v>0</v>
      </c>
      <c r="O233" s="7">
        <f>3064+62890</f>
        <v>65954</v>
      </c>
      <c r="Q233" s="7">
        <v>736811</v>
      </c>
      <c r="S233" s="7">
        <v>348039</v>
      </c>
      <c r="U233" s="7">
        <v>10273</v>
      </c>
      <c r="W233" s="7">
        <v>553471</v>
      </c>
      <c r="Y233" s="7">
        <v>249647</v>
      </c>
      <c r="AA233" s="7">
        <v>1539</v>
      </c>
      <c r="AC233" s="7">
        <v>691101</v>
      </c>
      <c r="AE233" s="7">
        <v>540184</v>
      </c>
      <c r="AG233" s="7">
        <v>11564</v>
      </c>
      <c r="AI233" s="12" t="s">
        <v>506</v>
      </c>
      <c r="AJ233" s="12"/>
      <c r="AK233" s="12" t="s">
        <v>61</v>
      </c>
      <c r="AL233" s="12"/>
      <c r="AM233" s="7">
        <v>0</v>
      </c>
      <c r="AO233" s="7">
        <v>278905</v>
      </c>
      <c r="AQ233" s="7">
        <v>205167</v>
      </c>
      <c r="AS233" s="7">
        <v>475251</v>
      </c>
      <c r="AW233" s="7">
        <v>0</v>
      </c>
      <c r="AY233" s="7">
        <f t="shared" si="23"/>
        <v>8952683</v>
      </c>
      <c r="BA233" s="7">
        <f>+'St of Activites - GA Rev'!AI233-'St of Activities - GA Exp'!AY233</f>
        <v>221865</v>
      </c>
      <c r="BC233" s="7">
        <v>18966465</v>
      </c>
      <c r="BE233" s="7">
        <f t="shared" si="24"/>
        <v>19188330</v>
      </c>
      <c r="BG233" s="7">
        <f>+'St of Net Assets - GA'!AA233-'St of Activities - GA Exp'!BE233</f>
        <v>0</v>
      </c>
      <c r="BL233" s="7" t="str">
        <f t="shared" si="25"/>
        <v>Hardin-Houston Local SD</v>
      </c>
      <c r="BM233" s="7" t="b">
        <f t="shared" si="26"/>
        <v>1</v>
      </c>
      <c r="BO233" s="7" t="str">
        <f t="shared" si="27"/>
        <v>Shelby</v>
      </c>
      <c r="BP233" s="7" t="b">
        <f t="shared" si="28"/>
        <v>1</v>
      </c>
    </row>
    <row r="234" spans="1:68" hidden="1">
      <c r="A234" s="12" t="s">
        <v>353</v>
      </c>
      <c r="B234" s="12"/>
      <c r="C234" s="12" t="s">
        <v>352</v>
      </c>
      <c r="D234" s="12"/>
      <c r="E234" s="12">
        <v>45245</v>
      </c>
      <c r="AI234" s="12" t="s">
        <v>353</v>
      </c>
      <c r="AJ234" s="12"/>
      <c r="AK234" s="12" t="s">
        <v>352</v>
      </c>
      <c r="AL234" s="12"/>
      <c r="AY234" s="7">
        <f t="shared" si="23"/>
        <v>0</v>
      </c>
      <c r="BA234" s="7">
        <f>+'St of Activites - GA Rev'!AI234-'St of Activities - GA Exp'!AY234</f>
        <v>0</v>
      </c>
      <c r="BE234" s="7">
        <f t="shared" si="24"/>
        <v>0</v>
      </c>
      <c r="BG234" s="7">
        <f>+'St of Net Assets - GA'!AA234-'St of Activities - GA Exp'!BE234</f>
        <v>0</v>
      </c>
      <c r="BH234" s="7" t="s">
        <v>903</v>
      </c>
      <c r="BL234" s="7" t="str">
        <f t="shared" si="25"/>
        <v>Harrison Hills City SD</v>
      </c>
      <c r="BM234" s="7" t="b">
        <f t="shared" si="26"/>
        <v>1</v>
      </c>
      <c r="BO234" s="7" t="str">
        <f t="shared" si="27"/>
        <v>Harrison</v>
      </c>
      <c r="BP234" s="7" t="b">
        <f t="shared" si="28"/>
        <v>1</v>
      </c>
    </row>
    <row r="235" spans="1:68">
      <c r="A235" s="12" t="s">
        <v>384</v>
      </c>
      <c r="B235" s="12"/>
      <c r="C235" s="12" t="s">
        <v>42</v>
      </c>
      <c r="D235" s="12"/>
      <c r="E235" s="12">
        <v>44115</v>
      </c>
      <c r="G235" s="7">
        <v>10300203</v>
      </c>
      <c r="I235" s="7">
        <v>0</v>
      </c>
      <c r="K235" s="7">
        <v>0</v>
      </c>
      <c r="M235" s="7">
        <v>0</v>
      </c>
      <c r="O235" s="7">
        <v>0</v>
      </c>
      <c r="Q235" s="7">
        <v>935407</v>
      </c>
      <c r="S235" s="7">
        <v>384329</v>
      </c>
      <c r="U235" s="7">
        <v>16901</v>
      </c>
      <c r="W235" s="7">
        <v>1452788</v>
      </c>
      <c r="Y235" s="7">
        <v>499038</v>
      </c>
      <c r="AA235" s="7">
        <v>34834</v>
      </c>
      <c r="AC235" s="7">
        <v>1230337</v>
      </c>
      <c r="AE235" s="7">
        <v>642930</v>
      </c>
      <c r="AG235" s="7">
        <v>319121</v>
      </c>
      <c r="AI235" s="12" t="s">
        <v>384</v>
      </c>
      <c r="AJ235" s="12"/>
      <c r="AK235" s="12" t="s">
        <v>42</v>
      </c>
      <c r="AL235" s="12"/>
      <c r="AM235" s="7">
        <v>597437</v>
      </c>
      <c r="AO235" s="7">
        <v>6758</v>
      </c>
      <c r="AQ235" s="7">
        <v>688364</v>
      </c>
      <c r="AS235" s="7">
        <v>1012984</v>
      </c>
      <c r="AW235" s="7">
        <v>0</v>
      </c>
      <c r="AY235" s="7">
        <f t="shared" si="23"/>
        <v>18121431</v>
      </c>
      <c r="BA235" s="7">
        <f>+'St of Activites - GA Rev'!AI235-'St of Activities - GA Exp'!AY235</f>
        <v>-718061</v>
      </c>
      <c r="BC235" s="7">
        <v>5163884</v>
      </c>
      <c r="BE235" s="7">
        <f t="shared" si="24"/>
        <v>4445823</v>
      </c>
      <c r="BG235" s="7">
        <f>+'St of Net Assets - GA'!AA235-'St of Activities - GA Exp'!BE235</f>
        <v>0</v>
      </c>
      <c r="BH235" s="7" t="s">
        <v>804</v>
      </c>
      <c r="BL235" s="7" t="str">
        <f t="shared" si="25"/>
        <v>Heath City SD</v>
      </c>
      <c r="BM235" s="7" t="b">
        <f t="shared" si="26"/>
        <v>1</v>
      </c>
      <c r="BO235" s="7" t="str">
        <f t="shared" si="27"/>
        <v>Licking</v>
      </c>
      <c r="BP235" s="7" t="b">
        <f t="shared" si="28"/>
        <v>1</v>
      </c>
    </row>
    <row r="236" spans="1:68" ht="12" hidden="1" customHeight="1">
      <c r="A236" s="12" t="s">
        <v>699</v>
      </c>
      <c r="B236" s="12"/>
      <c r="C236" s="12" t="s">
        <v>22</v>
      </c>
      <c r="D236" s="12"/>
      <c r="E236" s="12">
        <v>45419</v>
      </c>
      <c r="AI236" s="12" t="s">
        <v>699</v>
      </c>
      <c r="AJ236" s="12"/>
      <c r="AK236" s="12" t="s">
        <v>22</v>
      </c>
      <c r="AL236" s="12"/>
      <c r="AY236" s="7">
        <f t="shared" si="23"/>
        <v>0</v>
      </c>
      <c r="BA236" s="7">
        <f>+'St of Activites - GA Rev'!AI236-'St of Activities - GA Exp'!AY236</f>
        <v>0</v>
      </c>
      <c r="BE236" s="7">
        <f t="shared" si="24"/>
        <v>0</v>
      </c>
      <c r="BG236" s="7">
        <f>+'St of Net Assets - GA'!AA236-'St of Activities - GA Exp'!BE236</f>
        <v>0</v>
      </c>
      <c r="BH236" s="7" t="s">
        <v>904</v>
      </c>
      <c r="BL236" s="7" t="str">
        <f t="shared" si="25"/>
        <v>Hicksville Ex Vill SD  (CASH)</v>
      </c>
      <c r="BM236" s="7" t="b">
        <f t="shared" si="26"/>
        <v>1</v>
      </c>
      <c r="BO236" s="7" t="str">
        <f t="shared" si="27"/>
        <v>Defiance</v>
      </c>
      <c r="BP236" s="7" t="b">
        <f t="shared" si="28"/>
        <v>1</v>
      </c>
    </row>
    <row r="237" spans="1:68">
      <c r="A237" s="12" t="s">
        <v>430</v>
      </c>
      <c r="B237" s="12"/>
      <c r="C237" s="12" t="s">
        <v>47</v>
      </c>
      <c r="D237" s="12"/>
      <c r="E237" s="12">
        <v>48496</v>
      </c>
      <c r="G237" s="7">
        <v>13252386</v>
      </c>
      <c r="I237" s="7">
        <v>2900696</v>
      </c>
      <c r="K237" s="7">
        <v>127409</v>
      </c>
      <c r="M237" s="7">
        <v>0</v>
      </c>
      <c r="O237" s="7">
        <v>144687</v>
      </c>
      <c r="Q237" s="7">
        <v>1842272</v>
      </c>
      <c r="S237" s="7">
        <v>1738607</v>
      </c>
      <c r="U237" s="7">
        <v>24458</v>
      </c>
      <c r="W237" s="7">
        <v>1936593</v>
      </c>
      <c r="Y237" s="7">
        <v>692848</v>
      </c>
      <c r="AA237" s="7">
        <v>22959</v>
      </c>
      <c r="AC237" s="7">
        <v>2802333</v>
      </c>
      <c r="AE237" s="7">
        <v>1794621</v>
      </c>
      <c r="AG237" s="7">
        <v>277615</v>
      </c>
      <c r="AI237" s="12" t="s">
        <v>430</v>
      </c>
      <c r="AJ237" s="12"/>
      <c r="AK237" s="12" t="s">
        <v>47</v>
      </c>
      <c r="AL237" s="12"/>
      <c r="AM237" s="7">
        <v>1203299</v>
      </c>
      <c r="AO237" s="7">
        <v>198692</v>
      </c>
      <c r="AQ237" s="7">
        <v>1383734</v>
      </c>
      <c r="AS237" s="7">
        <v>1477529</v>
      </c>
      <c r="AW237" s="7">
        <v>0</v>
      </c>
      <c r="AY237" s="7">
        <f t="shared" si="23"/>
        <v>31820738</v>
      </c>
      <c r="BA237" s="7">
        <f>+'St of Activites - GA Rev'!AI237-'St of Activities - GA Exp'!AY237</f>
        <v>-991524</v>
      </c>
      <c r="BC237" s="7">
        <v>19216559</v>
      </c>
      <c r="BE237" s="7">
        <f t="shared" si="24"/>
        <v>18225035</v>
      </c>
      <c r="BG237" s="7">
        <f>+'St of Net Assets - GA'!AA237-'St of Activities - GA Exp'!BE237</f>
        <v>0</v>
      </c>
      <c r="BL237" s="7" t="str">
        <f t="shared" si="25"/>
        <v>Highland Local SD</v>
      </c>
      <c r="BM237" s="7" t="b">
        <f t="shared" si="26"/>
        <v>1</v>
      </c>
      <c r="BO237" s="7" t="str">
        <f t="shared" si="27"/>
        <v>Medina</v>
      </c>
      <c r="BP237" s="7" t="b">
        <f t="shared" si="28"/>
        <v>1</v>
      </c>
    </row>
    <row r="238" spans="1:68">
      <c r="A238" s="12" t="s">
        <v>430</v>
      </c>
      <c r="B238" s="12"/>
      <c r="C238" s="12" t="s">
        <v>78</v>
      </c>
      <c r="D238" s="12"/>
      <c r="E238" s="12">
        <v>48801</v>
      </c>
      <c r="G238" s="7">
        <v>8474825</v>
      </c>
      <c r="I238" s="7">
        <v>2723046</v>
      </c>
      <c r="K238" s="7">
        <v>167132</v>
      </c>
      <c r="M238" s="7">
        <v>0</v>
      </c>
      <c r="O238" s="7">
        <v>0</v>
      </c>
      <c r="Q238" s="7">
        <v>872255</v>
      </c>
      <c r="S238" s="7">
        <v>775107</v>
      </c>
      <c r="U238" s="7">
        <v>212337</v>
      </c>
      <c r="W238" s="7">
        <v>471969</v>
      </c>
      <c r="Y238" s="7">
        <v>423494</v>
      </c>
      <c r="AA238" s="7">
        <v>0</v>
      </c>
      <c r="AC238" s="7">
        <v>1242787</v>
      </c>
      <c r="AE238" s="7">
        <v>1374368</v>
      </c>
      <c r="AG238" s="7">
        <v>5985</v>
      </c>
      <c r="AI238" s="12" t="s">
        <v>430</v>
      </c>
      <c r="AJ238" s="12"/>
      <c r="AK238" s="12" t="s">
        <v>78</v>
      </c>
      <c r="AL238" s="12"/>
      <c r="AM238" s="7">
        <v>0</v>
      </c>
      <c r="AO238" s="7">
        <v>664047</v>
      </c>
      <c r="AQ238" s="7">
        <v>392269</v>
      </c>
      <c r="AS238" s="7">
        <v>818316</v>
      </c>
      <c r="AW238" s="7">
        <v>0</v>
      </c>
      <c r="AY238" s="7">
        <f t="shared" si="23"/>
        <v>18617937</v>
      </c>
      <c r="BA238" s="7">
        <f>+'St of Activites - GA Rev'!AI238-'St of Activities - GA Exp'!AY238</f>
        <v>-263200</v>
      </c>
      <c r="BC238" s="7">
        <v>53754534</v>
      </c>
      <c r="BE238" s="7">
        <f t="shared" si="24"/>
        <v>53491334</v>
      </c>
      <c r="BG238" s="7">
        <f>+'St of Net Assets - GA'!AA238-'St of Activities - GA Exp'!BE238</f>
        <v>0</v>
      </c>
      <c r="BL238" s="7" t="str">
        <f t="shared" si="25"/>
        <v>Highland Local SD</v>
      </c>
      <c r="BM238" s="7" t="b">
        <f t="shared" si="26"/>
        <v>1</v>
      </c>
      <c r="BO238" s="7" t="str">
        <f t="shared" si="27"/>
        <v>Morrow</v>
      </c>
      <c r="BP238" s="7" t="b">
        <f t="shared" si="28"/>
        <v>1</v>
      </c>
    </row>
    <row r="239" spans="1:68">
      <c r="A239" s="12" t="s">
        <v>311</v>
      </c>
      <c r="B239" s="12"/>
      <c r="C239" s="12" t="s">
        <v>27</v>
      </c>
      <c r="D239" s="12"/>
      <c r="E239" s="12">
        <v>47019</v>
      </c>
      <c r="G239" s="7">
        <v>93677503</v>
      </c>
      <c r="I239" s="7">
        <v>20208756</v>
      </c>
      <c r="K239" s="7">
        <v>1442162</v>
      </c>
      <c r="M239" s="7">
        <v>0</v>
      </c>
      <c r="O239" s="7">
        <v>0</v>
      </c>
      <c r="Q239" s="7">
        <v>10625989</v>
      </c>
      <c r="S239" s="7">
        <v>8385670</v>
      </c>
      <c r="U239" s="7">
        <v>276592</v>
      </c>
      <c r="W239" s="7">
        <v>11145918</v>
      </c>
      <c r="Y239" s="7">
        <v>3849167</v>
      </c>
      <c r="AA239" s="7">
        <v>1035375</v>
      </c>
      <c r="AC239" s="7">
        <v>16893977</v>
      </c>
      <c r="AE239" s="7">
        <v>8522165</v>
      </c>
      <c r="AG239" s="7">
        <v>712997</v>
      </c>
      <c r="AI239" s="12" t="s">
        <v>311</v>
      </c>
      <c r="AJ239" s="12"/>
      <c r="AK239" s="12" t="s">
        <v>27</v>
      </c>
      <c r="AL239" s="12"/>
      <c r="AM239" s="7">
        <v>5108862</v>
      </c>
      <c r="AO239" s="7">
        <v>2730639</v>
      </c>
      <c r="AQ239" s="7">
        <v>4664946</v>
      </c>
      <c r="AS239" s="7">
        <v>10822788</v>
      </c>
      <c r="AW239" s="7">
        <v>0</v>
      </c>
      <c r="AY239" s="7">
        <f t="shared" si="23"/>
        <v>200103506</v>
      </c>
      <c r="BA239" s="7">
        <f>+'St of Activites - GA Rev'!AI239-'St of Activities - GA Exp'!AY239</f>
        <v>-4838374</v>
      </c>
      <c r="BC239" s="7">
        <v>55671021</v>
      </c>
      <c r="BE239" s="7">
        <f t="shared" si="24"/>
        <v>50832647</v>
      </c>
      <c r="BG239" s="7">
        <f>+'St of Net Assets - GA'!AA239-'St of Activities - GA Exp'!BE239</f>
        <v>0</v>
      </c>
      <c r="BL239" s="7" t="str">
        <f t="shared" si="25"/>
        <v>Hilliard City SD</v>
      </c>
      <c r="BM239" s="7" t="b">
        <f t="shared" si="26"/>
        <v>1</v>
      </c>
      <c r="BO239" s="7" t="str">
        <f t="shared" si="27"/>
        <v>Franklin</v>
      </c>
      <c r="BP239" s="7" t="b">
        <f t="shared" si="28"/>
        <v>1</v>
      </c>
    </row>
    <row r="240" spans="1:68" ht="12" customHeight="1">
      <c r="A240" s="12" t="s">
        <v>360</v>
      </c>
      <c r="B240" s="12"/>
      <c r="C240" s="12" t="s">
        <v>358</v>
      </c>
      <c r="D240" s="12"/>
      <c r="E240" s="12">
        <v>44123</v>
      </c>
      <c r="G240" s="7">
        <v>12740777</v>
      </c>
      <c r="I240" s="7">
        <v>2670803</v>
      </c>
      <c r="K240" s="7">
        <v>788535</v>
      </c>
      <c r="M240" s="7">
        <v>0</v>
      </c>
      <c r="O240" s="7">
        <v>111904</v>
      </c>
      <c r="Q240" s="7">
        <v>1145220</v>
      </c>
      <c r="S240" s="7">
        <v>2213413</v>
      </c>
      <c r="U240" s="7">
        <v>22445</v>
      </c>
      <c r="W240" s="7">
        <v>2065691</v>
      </c>
      <c r="Y240" s="7">
        <v>584516</v>
      </c>
      <c r="AA240" s="7">
        <v>1375</v>
      </c>
      <c r="AC240" s="7">
        <v>2039440</v>
      </c>
      <c r="AE240" s="7">
        <v>1702263</v>
      </c>
      <c r="AG240" s="7">
        <v>112387</v>
      </c>
      <c r="AI240" s="12" t="s">
        <v>360</v>
      </c>
      <c r="AJ240" s="12"/>
      <c r="AK240" s="12" t="s">
        <v>358</v>
      </c>
      <c r="AL240" s="12"/>
      <c r="AM240" s="7">
        <v>1038130</v>
      </c>
      <c r="AO240" s="7">
        <v>123795</v>
      </c>
      <c r="AQ240" s="7">
        <v>617132</v>
      </c>
      <c r="AS240" s="7">
        <v>543382</v>
      </c>
      <c r="AW240" s="7">
        <v>0</v>
      </c>
      <c r="AY240" s="7">
        <f t="shared" si="23"/>
        <v>28521208</v>
      </c>
      <c r="BA240" s="7">
        <f>+'St of Activites - GA Rev'!AI240-'St of Activities - GA Exp'!AY240</f>
        <v>-367546</v>
      </c>
      <c r="BC240" s="7">
        <v>56465332</v>
      </c>
      <c r="BE240" s="7">
        <f t="shared" si="24"/>
        <v>56097786</v>
      </c>
      <c r="BG240" s="7">
        <f>+'St of Net Assets - GA'!AA240-'St of Activities - GA Exp'!BE240</f>
        <v>0</v>
      </c>
      <c r="BL240" s="7" t="str">
        <f t="shared" si="25"/>
        <v>Hillsboro City SD</v>
      </c>
      <c r="BM240" s="7" t="b">
        <f t="shared" si="26"/>
        <v>1</v>
      </c>
      <c r="BO240" s="7" t="str">
        <f t="shared" si="27"/>
        <v>Highland</v>
      </c>
      <c r="BP240" s="7" t="b">
        <f t="shared" si="28"/>
        <v>1</v>
      </c>
    </row>
    <row r="241" spans="1:68">
      <c r="A241" s="12" t="s">
        <v>205</v>
      </c>
      <c r="B241" s="12"/>
      <c r="C241" s="12" t="s">
        <v>11</v>
      </c>
      <c r="D241" s="12"/>
      <c r="E241" s="12">
        <v>45823</v>
      </c>
      <c r="G241" s="7">
        <v>4929008</v>
      </c>
      <c r="I241" s="7">
        <v>661732</v>
      </c>
      <c r="K241" s="7">
        <v>432023</v>
      </c>
      <c r="M241" s="7">
        <v>0</v>
      </c>
      <c r="O241" s="7">
        <v>232794</v>
      </c>
      <c r="Q241" s="7">
        <v>619247</v>
      </c>
      <c r="S241" s="7">
        <v>401061</v>
      </c>
      <c r="U241" s="7">
        <v>37951</v>
      </c>
      <c r="W241" s="7">
        <v>876786</v>
      </c>
      <c r="Y241" s="7">
        <v>331708</v>
      </c>
      <c r="AA241" s="7">
        <v>0</v>
      </c>
      <c r="AC241" s="7">
        <v>679232</v>
      </c>
      <c r="AE241" s="7">
        <v>854943</v>
      </c>
      <c r="AG241" s="7">
        <v>6825</v>
      </c>
      <c r="AI241" s="12" t="s">
        <v>205</v>
      </c>
      <c r="AJ241" s="12"/>
      <c r="AK241" s="12" t="s">
        <v>11</v>
      </c>
      <c r="AL241" s="12"/>
      <c r="AM241" s="7">
        <v>369290</v>
      </c>
      <c r="AO241" s="7">
        <v>1966</v>
      </c>
      <c r="AQ241" s="7">
        <v>436563</v>
      </c>
      <c r="AS241" s="7">
        <v>6586</v>
      </c>
      <c r="AW241" s="7">
        <v>0</v>
      </c>
      <c r="AY241" s="7">
        <f t="shared" si="23"/>
        <v>10877715</v>
      </c>
      <c r="BA241" s="7">
        <f>+'St of Activites - GA Rev'!AI241-'St of Activities - GA Exp'!AY241</f>
        <v>-92549</v>
      </c>
      <c r="BC241" s="7">
        <v>3671638</v>
      </c>
      <c r="BE241" s="7">
        <f t="shared" si="24"/>
        <v>3579089</v>
      </c>
      <c r="BG241" s="7">
        <f>+'St of Net Assets - GA'!AA241-'St of Activities - GA Exp'!BE241</f>
        <v>0</v>
      </c>
      <c r="BL241" s="7" t="str">
        <f t="shared" si="25"/>
        <v>Hillsdale Local SD</v>
      </c>
      <c r="BM241" s="7" t="b">
        <f t="shared" si="26"/>
        <v>1</v>
      </c>
      <c r="BO241" s="7" t="str">
        <f t="shared" si="27"/>
        <v>Ashland</v>
      </c>
      <c r="BP241" s="7" t="b">
        <f t="shared" si="28"/>
        <v>1</v>
      </c>
    </row>
    <row r="242" spans="1:68">
      <c r="A242" s="12" t="s">
        <v>354</v>
      </c>
      <c r="B242" s="12"/>
      <c r="C242" s="12" t="s">
        <v>34</v>
      </c>
      <c r="D242" s="12"/>
      <c r="E242" s="12">
        <v>47571</v>
      </c>
      <c r="G242" s="7">
        <v>2961015</v>
      </c>
      <c r="I242" s="7">
        <v>610103</v>
      </c>
      <c r="K242" s="7">
        <v>127814</v>
      </c>
      <c r="M242" s="7">
        <v>0</v>
      </c>
      <c r="O242" s="7">
        <v>0</v>
      </c>
      <c r="Q242" s="7">
        <v>298780</v>
      </c>
      <c r="S242" s="7">
        <v>214364</v>
      </c>
      <c r="U242" s="7">
        <v>30296</v>
      </c>
      <c r="W242" s="7">
        <v>500266</v>
      </c>
      <c r="Y242" s="7">
        <v>176225</v>
      </c>
      <c r="AA242" s="7">
        <v>7283</v>
      </c>
      <c r="AC242" s="7">
        <v>470005</v>
      </c>
      <c r="AE242" s="7">
        <v>210896</v>
      </c>
      <c r="AG242" s="7">
        <v>66749</v>
      </c>
      <c r="AI242" s="12" t="s">
        <v>354</v>
      </c>
      <c r="AJ242" s="12"/>
      <c r="AK242" s="12" t="s">
        <v>34</v>
      </c>
      <c r="AL242" s="12"/>
      <c r="AM242" s="7">
        <v>0</v>
      </c>
      <c r="AO242" s="7">
        <v>246842</v>
      </c>
      <c r="AQ242" s="7">
        <v>250519</v>
      </c>
      <c r="AS242" s="7">
        <v>216600</v>
      </c>
      <c r="AW242" s="7">
        <v>0</v>
      </c>
      <c r="AY242" s="7">
        <f t="shared" ref="AY242:AY265" si="30">SUM(G242:AX242)</f>
        <v>6387757</v>
      </c>
      <c r="BA242" s="7">
        <f>+'St of Activites - GA Rev'!AI242-'St of Activities - GA Exp'!AY242</f>
        <v>-84733</v>
      </c>
      <c r="BC242" s="7">
        <v>19899059</v>
      </c>
      <c r="BE242" s="7">
        <f t="shared" si="24"/>
        <v>19814326</v>
      </c>
      <c r="BG242" s="7">
        <f>+'St of Net Assets - GA'!AA242-'St of Activities - GA Exp'!BE242</f>
        <v>0</v>
      </c>
      <c r="BL242" s="7" t="str">
        <f t="shared" si="25"/>
        <v>Holgate Local SD</v>
      </c>
      <c r="BM242" s="7" t="b">
        <f t="shared" si="26"/>
        <v>1</v>
      </c>
      <c r="BO242" s="7" t="str">
        <f t="shared" si="27"/>
        <v>Henry</v>
      </c>
      <c r="BP242" s="7" t="b">
        <f t="shared" si="28"/>
        <v>1</v>
      </c>
    </row>
    <row r="243" spans="1:68">
      <c r="A243" s="12" t="s">
        <v>538</v>
      </c>
      <c r="B243" s="12"/>
      <c r="C243" s="12" t="s">
        <v>64</v>
      </c>
      <c r="D243" s="12"/>
      <c r="E243" s="12">
        <v>50161</v>
      </c>
      <c r="G243" s="7">
        <v>13861807</v>
      </c>
      <c r="I243" s="7">
        <v>5446962</v>
      </c>
      <c r="K243" s="7">
        <v>657866</v>
      </c>
      <c r="M243" s="7">
        <v>0</v>
      </c>
      <c r="O243" s="7">
        <v>0</v>
      </c>
      <c r="Q243" s="7">
        <v>1721841</v>
      </c>
      <c r="S243" s="7">
        <v>1341617</v>
      </c>
      <c r="U243" s="7">
        <v>337319</v>
      </c>
      <c r="W243" s="7">
        <v>2359980</v>
      </c>
      <c r="Y243" s="7">
        <v>714228</v>
      </c>
      <c r="AA243" s="7">
        <v>95154</v>
      </c>
      <c r="AC243" s="7">
        <v>4384678</v>
      </c>
      <c r="AE243" s="7">
        <v>1887901</v>
      </c>
      <c r="AG243" s="7">
        <v>16312</v>
      </c>
      <c r="AI243" s="12" t="s">
        <v>538</v>
      </c>
      <c r="AJ243" s="12"/>
      <c r="AK243" s="12" t="s">
        <v>64</v>
      </c>
      <c r="AL243" s="12"/>
      <c r="AM243" s="7">
        <v>878744</v>
      </c>
      <c r="AO243" s="7">
        <v>234499</v>
      </c>
      <c r="AQ243" s="7">
        <v>813968</v>
      </c>
      <c r="AS243" s="7">
        <v>61697</v>
      </c>
      <c r="AW243" s="7">
        <v>0</v>
      </c>
      <c r="AY243" s="7">
        <f t="shared" si="30"/>
        <v>34814573</v>
      </c>
      <c r="BA243" s="7">
        <f>+'St of Activites - GA Rev'!AI243-'St of Activities - GA Exp'!AY243</f>
        <v>-3003306</v>
      </c>
      <c r="BC243" s="7">
        <v>7102508</v>
      </c>
      <c r="BE243" s="7">
        <f t="shared" ref="BE243:BE266" si="31">+BA243+BC243</f>
        <v>4099202</v>
      </c>
      <c r="BG243" s="7">
        <f>+'St of Net Assets - GA'!AA243-'St of Activities - GA Exp'!BE243</f>
        <v>0</v>
      </c>
      <c r="BL243" s="7" t="str">
        <f t="shared" si="25"/>
        <v>Howland Local SD</v>
      </c>
      <c r="BM243" s="7" t="b">
        <f t="shared" si="26"/>
        <v>1</v>
      </c>
      <c r="BO243" s="7" t="str">
        <f t="shared" si="27"/>
        <v>Trumbull</v>
      </c>
      <c r="BP243" s="7" t="b">
        <f t="shared" si="28"/>
        <v>1</v>
      </c>
    </row>
    <row r="244" spans="1:68">
      <c r="A244" s="12" t="s">
        <v>870</v>
      </c>
      <c r="B244" s="12"/>
      <c r="C244" s="12" t="s">
        <v>64</v>
      </c>
      <c r="D244" s="12"/>
      <c r="E244" s="12">
        <v>45427</v>
      </c>
      <c r="G244" s="7">
        <v>9264009</v>
      </c>
      <c r="I244" s="7">
        <v>1871298</v>
      </c>
      <c r="K244" s="7">
        <v>339639</v>
      </c>
      <c r="M244" s="7">
        <v>0</v>
      </c>
      <c r="O244" s="7">
        <v>653577</v>
      </c>
      <c r="Q244" s="7">
        <v>1145242</v>
      </c>
      <c r="S244" s="7">
        <v>858989</v>
      </c>
      <c r="U244" s="7">
        <v>14251</v>
      </c>
      <c r="W244" s="7">
        <v>1458741</v>
      </c>
      <c r="Y244" s="7">
        <v>500597</v>
      </c>
      <c r="AA244" s="7">
        <v>27084</v>
      </c>
      <c r="AC244" s="7">
        <v>1943086</v>
      </c>
      <c r="AE244" s="7">
        <v>1018855</v>
      </c>
      <c r="AG244" s="7">
        <v>316160</v>
      </c>
      <c r="AI244" s="12" t="s">
        <v>870</v>
      </c>
      <c r="AJ244" s="12"/>
      <c r="AK244" s="12" t="s">
        <v>64</v>
      </c>
      <c r="AL244" s="12"/>
      <c r="AM244" s="7">
        <v>890163</v>
      </c>
      <c r="AO244" s="7">
        <v>417769</v>
      </c>
      <c r="AQ244" s="7">
        <v>782744</v>
      </c>
      <c r="AS244" s="7">
        <v>792995</v>
      </c>
      <c r="AW244" s="7">
        <v>0</v>
      </c>
      <c r="AY244" s="7">
        <f t="shared" si="30"/>
        <v>22295199</v>
      </c>
      <c r="BA244" s="7">
        <f>+'St of Activites - GA Rev'!AI244-'St of Activities - GA Exp'!AY244</f>
        <v>-97144</v>
      </c>
      <c r="BC244" s="7">
        <v>48275331</v>
      </c>
      <c r="BE244" s="7">
        <f t="shared" si="31"/>
        <v>48178187</v>
      </c>
      <c r="BG244" s="7">
        <f>+'St of Net Assets - GA'!AA244-'St of Activities - GA Exp'!BE244</f>
        <v>0</v>
      </c>
      <c r="BL244" s="7" t="str">
        <f t="shared" si="25"/>
        <v>Hubbard Exempted Village SD</v>
      </c>
      <c r="BM244" s="7" t="b">
        <f t="shared" si="26"/>
        <v>1</v>
      </c>
      <c r="BO244" s="7" t="str">
        <f t="shared" si="27"/>
        <v>Trumbull</v>
      </c>
      <c r="BP244" s="7" t="b">
        <f t="shared" si="28"/>
        <v>1</v>
      </c>
    </row>
    <row r="245" spans="1:68">
      <c r="A245" s="12" t="s">
        <v>443</v>
      </c>
      <c r="B245" s="12"/>
      <c r="C245" s="12" t="s">
        <v>50</v>
      </c>
      <c r="D245" s="12"/>
      <c r="E245" s="12">
        <v>48751</v>
      </c>
      <c r="G245" s="7">
        <v>51664633</v>
      </c>
      <c r="I245" s="7">
        <v>0</v>
      </c>
      <c r="K245" s="7">
        <v>0</v>
      </c>
      <c r="M245" s="7">
        <v>0</v>
      </c>
      <c r="O245" s="7">
        <v>0</v>
      </c>
      <c r="Q245" s="7">
        <v>3258695</v>
      </c>
      <c r="S245" s="7">
        <v>4985036</v>
      </c>
      <c r="U245" s="7">
        <v>36455</v>
      </c>
      <c r="W245" s="7">
        <v>4617141</v>
      </c>
      <c r="Y245" s="7">
        <v>1132750</v>
      </c>
      <c r="AA245" s="7">
        <v>581532</v>
      </c>
      <c r="AC245" s="7">
        <v>5732653</v>
      </c>
      <c r="AE245" s="7">
        <v>3497154</v>
      </c>
      <c r="AG245" s="7">
        <v>507202</v>
      </c>
      <c r="AI245" s="12" t="s">
        <v>443</v>
      </c>
      <c r="AJ245" s="12"/>
      <c r="AK245" s="12" t="s">
        <v>50</v>
      </c>
      <c r="AL245" s="12"/>
      <c r="AM245" s="7">
        <v>2389504</v>
      </c>
      <c r="AO245" s="7">
        <v>517280</v>
      </c>
      <c r="AQ245" s="7">
        <v>1107668</v>
      </c>
      <c r="AS245" s="7">
        <v>3823414</v>
      </c>
      <c r="AW245" s="7">
        <v>0</v>
      </c>
      <c r="AY245" s="7">
        <f t="shared" si="30"/>
        <v>83851117</v>
      </c>
      <c r="BA245" s="7">
        <f>+'St of Activites - GA Rev'!AI245-'St of Activities - GA Exp'!AY245</f>
        <v>-7069944</v>
      </c>
      <c r="BC245" s="7">
        <v>123934246</v>
      </c>
      <c r="BE245" s="7">
        <f t="shared" si="31"/>
        <v>116864302</v>
      </c>
      <c r="BG245" s="7">
        <f>+'St of Net Assets - GA'!AA245-'St of Activities - GA Exp'!BE245</f>
        <v>0</v>
      </c>
      <c r="BH245" s="7" t="s">
        <v>804</v>
      </c>
      <c r="BL245" s="7" t="str">
        <f t="shared" si="25"/>
        <v>Huber Heights City SD</v>
      </c>
      <c r="BM245" s="7" t="b">
        <f t="shared" si="26"/>
        <v>1</v>
      </c>
      <c r="BO245" s="7" t="str">
        <f t="shared" si="27"/>
        <v>Montgomery</v>
      </c>
      <c r="BP245" s="7" t="b">
        <f t="shared" si="28"/>
        <v>1</v>
      </c>
    </row>
    <row r="246" spans="1:68">
      <c r="A246" s="12" t="s">
        <v>525</v>
      </c>
      <c r="B246" s="12"/>
      <c r="C246" s="12" t="s">
        <v>63</v>
      </c>
      <c r="D246" s="12"/>
      <c r="E246" s="12">
        <v>50021</v>
      </c>
      <c r="G246" s="7">
        <v>29603309</v>
      </c>
      <c r="I246" s="7">
        <v>7012389</v>
      </c>
      <c r="K246" s="7">
        <v>380359</v>
      </c>
      <c r="M246" s="7">
        <v>0</v>
      </c>
      <c r="O246" s="7">
        <v>1395007</v>
      </c>
      <c r="Q246" s="7">
        <v>4660098</v>
      </c>
      <c r="S246" s="7">
        <v>5055553</v>
      </c>
      <c r="U246" s="7">
        <v>34423</v>
      </c>
      <c r="W246" s="7">
        <v>4140062</v>
      </c>
      <c r="Y246" s="7">
        <v>1472350</v>
      </c>
      <c r="AA246" s="7">
        <v>562450</v>
      </c>
      <c r="AC246" s="7">
        <v>5715952</v>
      </c>
      <c r="AE246" s="7">
        <v>3597585</v>
      </c>
      <c r="AG246" s="7">
        <v>456023</v>
      </c>
      <c r="AI246" s="12" t="s">
        <v>525</v>
      </c>
      <c r="AJ246" s="12"/>
      <c r="AK246" s="12" t="s">
        <v>63</v>
      </c>
      <c r="AL246" s="12"/>
      <c r="AM246" s="7">
        <v>1562149</v>
      </c>
      <c r="AO246" s="7">
        <v>41313</v>
      </c>
      <c r="AQ246" s="7">
        <v>1386725</v>
      </c>
      <c r="AS246" s="7">
        <v>1585230</v>
      </c>
      <c r="AW246" s="7">
        <v>0</v>
      </c>
      <c r="AY246" s="7">
        <f t="shared" si="30"/>
        <v>68660977</v>
      </c>
      <c r="BA246" s="7">
        <f>+'St of Activites - GA Rev'!AI246-'St of Activities - GA Exp'!AY246</f>
        <v>2849672</v>
      </c>
      <c r="BC246" s="7">
        <v>34411570</v>
      </c>
      <c r="BE246" s="7">
        <f t="shared" si="31"/>
        <v>37261242</v>
      </c>
      <c r="BG246" s="7">
        <f>+'St of Net Assets - GA'!AA246-'St of Activities - GA Exp'!BE246</f>
        <v>0</v>
      </c>
      <c r="BL246" s="7" t="str">
        <f t="shared" si="25"/>
        <v>Hudson City SD</v>
      </c>
      <c r="BM246" s="7" t="b">
        <f t="shared" si="26"/>
        <v>1</v>
      </c>
      <c r="BO246" s="7" t="str">
        <f t="shared" si="27"/>
        <v>Summit</v>
      </c>
      <c r="BP246" s="7" t="b">
        <f t="shared" si="28"/>
        <v>1</v>
      </c>
    </row>
    <row r="247" spans="1:68">
      <c r="A247" s="12" t="s">
        <v>489</v>
      </c>
      <c r="B247" s="12"/>
      <c r="C247" s="12" t="s">
        <v>58</v>
      </c>
      <c r="D247" s="12"/>
      <c r="E247" s="12">
        <v>49502</v>
      </c>
      <c r="G247" s="7">
        <v>7116310</v>
      </c>
      <c r="I247" s="7">
        <v>1755103</v>
      </c>
      <c r="K247" s="7">
        <v>0</v>
      </c>
      <c r="M247" s="7">
        <v>0</v>
      </c>
      <c r="O247" s="7">
        <v>222876</v>
      </c>
      <c r="Q247" s="7">
        <v>344449</v>
      </c>
      <c r="S247" s="7">
        <v>144230</v>
      </c>
      <c r="U247" s="7">
        <v>28682</v>
      </c>
      <c r="W247" s="7">
        <v>827802</v>
      </c>
      <c r="Y247" s="7">
        <v>660784</v>
      </c>
      <c r="AA247" s="7">
        <v>0</v>
      </c>
      <c r="AC247" s="7">
        <v>1248766</v>
      </c>
      <c r="AE247" s="7">
        <v>965067</v>
      </c>
      <c r="AG247" s="7">
        <v>0</v>
      </c>
      <c r="AI247" s="12" t="s">
        <v>489</v>
      </c>
      <c r="AJ247" s="12"/>
      <c r="AK247" s="12" t="s">
        <v>58</v>
      </c>
      <c r="AL247" s="12"/>
      <c r="AM247" s="7">
        <v>619077</v>
      </c>
      <c r="AO247" s="7">
        <v>0</v>
      </c>
      <c r="AQ247" s="7">
        <v>285999</v>
      </c>
      <c r="AS247" s="7">
        <v>43211</v>
      </c>
      <c r="AW247" s="7">
        <v>0</v>
      </c>
      <c r="AY247" s="7">
        <f t="shared" si="30"/>
        <v>14262356</v>
      </c>
      <c r="BA247" s="7">
        <f>+'St of Activites - GA Rev'!AI247-'St of Activities - GA Exp'!AY247</f>
        <v>-1021876</v>
      </c>
      <c r="BC247" s="7">
        <v>15960981</v>
      </c>
      <c r="BE247" s="7">
        <f t="shared" si="31"/>
        <v>14939105</v>
      </c>
      <c r="BG247" s="7">
        <f>+'St of Net Assets - GA'!AA247-'St of Activities - GA Exp'!BE247</f>
        <v>0</v>
      </c>
      <c r="BL247" s="7" t="str">
        <f t="shared" si="25"/>
        <v>Huntington Local SD</v>
      </c>
      <c r="BM247" s="7" t="b">
        <f t="shared" si="26"/>
        <v>1</v>
      </c>
      <c r="BO247" s="7" t="str">
        <f t="shared" si="27"/>
        <v>Ross</v>
      </c>
      <c r="BP247" s="7" t="b">
        <f t="shared" si="28"/>
        <v>1</v>
      </c>
    </row>
    <row r="248" spans="1:68">
      <c r="A248" s="12" t="s">
        <v>292</v>
      </c>
      <c r="B248" s="12"/>
      <c r="C248" s="12" t="s">
        <v>24</v>
      </c>
      <c r="D248" s="12"/>
      <c r="E248" s="12">
        <v>44131</v>
      </c>
      <c r="G248" s="7">
        <v>7258611</v>
      </c>
      <c r="I248" s="7">
        <v>2195117</v>
      </c>
      <c r="K248" s="7">
        <v>0</v>
      </c>
      <c r="M248" s="7">
        <v>0</v>
      </c>
      <c r="O248" s="7">
        <v>90159</v>
      </c>
      <c r="Q248" s="7">
        <v>571954</v>
      </c>
      <c r="S248" s="7">
        <v>692500</v>
      </c>
      <c r="U248" s="7">
        <v>40410</v>
      </c>
      <c r="W248" s="7">
        <v>1543200</v>
      </c>
      <c r="Y248" s="7">
        <v>508089</v>
      </c>
      <c r="AA248" s="7">
        <v>0</v>
      </c>
      <c r="AC248" s="7">
        <v>1541738</v>
      </c>
      <c r="AE248" s="7">
        <v>955864</v>
      </c>
      <c r="AG248" s="7">
        <v>3306</v>
      </c>
      <c r="AI248" s="12" t="s">
        <v>292</v>
      </c>
      <c r="AJ248" s="12"/>
      <c r="AK248" s="12" t="s">
        <v>24</v>
      </c>
      <c r="AL248" s="12"/>
      <c r="AM248" s="7">
        <v>652929</v>
      </c>
      <c r="AO248" s="7">
        <v>320142</v>
      </c>
      <c r="AQ248" s="7">
        <v>769849</v>
      </c>
      <c r="AS248" s="7">
        <v>376714</v>
      </c>
      <c r="AW248" s="7">
        <v>5230</v>
      </c>
      <c r="AY248" s="7">
        <f t="shared" si="30"/>
        <v>17525812</v>
      </c>
      <c r="BA248" s="7">
        <f>+'St of Activites - GA Rev'!AI248-'St of Activities - GA Exp'!AY248</f>
        <v>1007697</v>
      </c>
      <c r="BC248" s="7">
        <v>7608563</v>
      </c>
      <c r="BE248" s="7">
        <f t="shared" si="31"/>
        <v>8616260</v>
      </c>
      <c r="BG248" s="7">
        <f>+'St of Net Assets - GA'!AA248-'St of Activities - GA Exp'!BE248</f>
        <v>0</v>
      </c>
      <c r="BL248" s="7" t="str">
        <f t="shared" si="25"/>
        <v>Huron City SD</v>
      </c>
      <c r="BM248" s="7" t="b">
        <f t="shared" si="26"/>
        <v>1</v>
      </c>
      <c r="BO248" s="7" t="str">
        <f t="shared" si="27"/>
        <v>Erie</v>
      </c>
      <c r="BP248" s="7" t="b">
        <f t="shared" si="28"/>
        <v>1</v>
      </c>
    </row>
    <row r="249" spans="1:68">
      <c r="A249" s="12" t="s">
        <v>275</v>
      </c>
      <c r="B249" s="12"/>
      <c r="C249" s="12" t="s">
        <v>20</v>
      </c>
      <c r="D249" s="12"/>
      <c r="E249" s="12">
        <v>46565</v>
      </c>
      <c r="G249" s="7">
        <v>8503488</v>
      </c>
      <c r="I249" s="7">
        <v>490908</v>
      </c>
      <c r="K249" s="7">
        <v>1011</v>
      </c>
      <c r="M249" s="7">
        <v>0</v>
      </c>
      <c r="O249" s="7">
        <f>185530+27008</f>
        <v>212538</v>
      </c>
      <c r="Q249" s="7">
        <v>902315</v>
      </c>
      <c r="S249" s="7">
        <v>2071525</v>
      </c>
      <c r="U249" s="7">
        <v>212736</v>
      </c>
      <c r="W249" s="7">
        <v>1144089</v>
      </c>
      <c r="Y249" s="7">
        <v>574311</v>
      </c>
      <c r="AA249" s="7">
        <v>251530</v>
      </c>
      <c r="AC249" s="7">
        <v>1805441</v>
      </c>
      <c r="AE249" s="7">
        <v>936345</v>
      </c>
      <c r="AG249" s="7">
        <v>5000</v>
      </c>
      <c r="AI249" s="12" t="s">
        <v>275</v>
      </c>
      <c r="AJ249" s="12"/>
      <c r="AK249" s="12" t="s">
        <v>20</v>
      </c>
      <c r="AL249" s="12"/>
      <c r="AM249" s="7">
        <v>330346</v>
      </c>
      <c r="AO249" s="7">
        <v>184389</v>
      </c>
      <c r="AQ249" s="7">
        <v>590591</v>
      </c>
      <c r="AS249" s="7">
        <v>728150</v>
      </c>
      <c r="AW249" s="7">
        <v>0</v>
      </c>
      <c r="AY249" s="7">
        <f t="shared" si="30"/>
        <v>18944713</v>
      </c>
      <c r="BA249" s="7">
        <f>+'St of Activites - GA Rev'!AI249-'St of Activities - GA Exp'!AY249</f>
        <v>778654</v>
      </c>
      <c r="BC249" s="7">
        <v>15983669</v>
      </c>
      <c r="BE249" s="7">
        <f t="shared" si="31"/>
        <v>16762323</v>
      </c>
      <c r="BG249" s="7">
        <f>+'St of Net Assets - GA'!AA249-'St of Activities - GA Exp'!BE249</f>
        <v>0</v>
      </c>
      <c r="BL249" s="7" t="str">
        <f t="shared" si="25"/>
        <v>Independence Local SD</v>
      </c>
      <c r="BM249" s="7" t="b">
        <f t="shared" si="26"/>
        <v>1</v>
      </c>
      <c r="BO249" s="7" t="str">
        <f t="shared" si="27"/>
        <v>Cuyahoga</v>
      </c>
      <c r="BP249" s="7" t="b">
        <f t="shared" si="28"/>
        <v>1</v>
      </c>
    </row>
    <row r="250" spans="1:68">
      <c r="A250" s="12" t="s">
        <v>373</v>
      </c>
      <c r="B250" s="12"/>
      <c r="C250" s="12" t="s">
        <v>39</v>
      </c>
      <c r="D250" s="12"/>
      <c r="E250" s="12">
        <v>47803</v>
      </c>
      <c r="G250" s="7">
        <v>11159299</v>
      </c>
      <c r="I250" s="7">
        <v>2656020</v>
      </c>
      <c r="K250" s="7">
        <v>214640</v>
      </c>
      <c r="M250" s="7">
        <v>1249</v>
      </c>
      <c r="O250" s="7">
        <v>157415</v>
      </c>
      <c r="Q250" s="7">
        <v>789654</v>
      </c>
      <c r="S250" s="7">
        <v>1141140</v>
      </c>
      <c r="U250" s="7">
        <v>16295</v>
      </c>
      <c r="W250" s="7">
        <v>1652123</v>
      </c>
      <c r="Y250" s="7">
        <v>458485</v>
      </c>
      <c r="AA250" s="7">
        <v>0</v>
      </c>
      <c r="AC250" s="7">
        <v>2076062</v>
      </c>
      <c r="AE250" s="7">
        <v>1131891</v>
      </c>
      <c r="AG250" s="7">
        <v>141912</v>
      </c>
      <c r="AI250" s="12" t="s">
        <v>373</v>
      </c>
      <c r="AJ250" s="12"/>
      <c r="AK250" s="12" t="s">
        <v>39</v>
      </c>
      <c r="AL250" s="12"/>
      <c r="AM250" s="7">
        <v>872118</v>
      </c>
      <c r="AO250" s="7">
        <v>96806</v>
      </c>
      <c r="AQ250" s="7">
        <v>374739</v>
      </c>
      <c r="AS250" s="7">
        <v>602922</v>
      </c>
      <c r="AW250" s="7">
        <v>0</v>
      </c>
      <c r="AY250" s="7">
        <f t="shared" si="30"/>
        <v>23542770</v>
      </c>
      <c r="BA250" s="7">
        <f>+'St of Activites - GA Rev'!AI250-'St of Activities - GA Exp'!AY250</f>
        <v>392929</v>
      </c>
      <c r="BC250" s="7">
        <v>10252191</v>
      </c>
      <c r="BE250" s="7">
        <f t="shared" si="31"/>
        <v>10645120</v>
      </c>
      <c r="BG250" s="7">
        <f>+'St of Net Assets - GA'!AA250-'St of Activities - GA Exp'!BE250</f>
        <v>0</v>
      </c>
      <c r="BL250" s="7" t="str">
        <f t="shared" si="25"/>
        <v>Indian Creek Local SD</v>
      </c>
      <c r="BM250" s="7" t="b">
        <f t="shared" si="26"/>
        <v>1</v>
      </c>
      <c r="BO250" s="7" t="str">
        <f t="shared" si="27"/>
        <v>Jefferson</v>
      </c>
      <c r="BP250" s="7" t="b">
        <f t="shared" si="28"/>
        <v>1</v>
      </c>
    </row>
    <row r="251" spans="1:68" ht="12" customHeight="1">
      <c r="A251" s="12" t="s">
        <v>871</v>
      </c>
      <c r="B251" s="12"/>
      <c r="C251" s="12" t="s">
        <v>32</v>
      </c>
      <c r="D251" s="12"/>
      <c r="E251" s="12">
        <v>45435</v>
      </c>
      <c r="G251" s="7">
        <v>15086424</v>
      </c>
      <c r="I251" s="7">
        <v>2495973</v>
      </c>
      <c r="K251" s="7">
        <v>11013</v>
      </c>
      <c r="M251" s="7">
        <v>0</v>
      </c>
      <c r="O251" s="7">
        <v>462641</v>
      </c>
      <c r="Q251" s="7">
        <v>2393141</v>
      </c>
      <c r="S251" s="7">
        <v>3252423</v>
      </c>
      <c r="U251" s="7">
        <v>21224</v>
      </c>
      <c r="W251" s="7">
        <v>2389808</v>
      </c>
      <c r="Y251" s="7">
        <v>786586</v>
      </c>
      <c r="AA251" s="7">
        <v>106709</v>
      </c>
      <c r="AC251" s="7">
        <v>3571813</v>
      </c>
      <c r="AE251" s="7">
        <v>2086344</v>
      </c>
      <c r="AG251" s="7">
        <v>57368</v>
      </c>
      <c r="AI251" s="12" t="s">
        <v>871</v>
      </c>
      <c r="AJ251" s="12"/>
      <c r="AK251" s="12" t="s">
        <v>32</v>
      </c>
      <c r="AL251" s="12"/>
      <c r="AM251" s="7">
        <v>793530</v>
      </c>
      <c r="AO251" s="7">
        <v>942873</v>
      </c>
      <c r="AQ251" s="7">
        <v>965552</v>
      </c>
      <c r="AS251" s="7">
        <v>1541567</v>
      </c>
      <c r="AW251" s="7">
        <v>0</v>
      </c>
      <c r="AY251" s="7">
        <f t="shared" si="30"/>
        <v>36964989</v>
      </c>
      <c r="BA251" s="7">
        <f>+'St of Activites - GA Rev'!AI251-'St of Activities - GA Exp'!AY251</f>
        <v>4896167</v>
      </c>
      <c r="BC251" s="7">
        <v>43018055</v>
      </c>
      <c r="BE251" s="7">
        <f t="shared" si="31"/>
        <v>47914222</v>
      </c>
      <c r="BG251" s="7">
        <f>+'St of Net Assets - GA'!AA251-'St of Activities - GA Exp'!BE251</f>
        <v>0</v>
      </c>
      <c r="BL251" s="7" t="str">
        <f t="shared" si="25"/>
        <v>Indian Hill Exempted Village SD</v>
      </c>
      <c r="BM251" s="7" t="b">
        <f t="shared" si="26"/>
        <v>1</v>
      </c>
      <c r="BO251" s="7" t="str">
        <f t="shared" si="27"/>
        <v>Hamilton</v>
      </c>
      <c r="BP251" s="7" t="b">
        <f t="shared" si="28"/>
        <v>1</v>
      </c>
    </row>
    <row r="252" spans="1:68" ht="12" hidden="1" customHeight="1">
      <c r="A252" s="12" t="s">
        <v>909</v>
      </c>
      <c r="B252" s="12"/>
      <c r="C252" s="12" t="s">
        <v>43</v>
      </c>
      <c r="D252" s="12"/>
      <c r="E252" s="12"/>
      <c r="AI252" s="12" t="s">
        <v>909</v>
      </c>
      <c r="AJ252" s="12"/>
      <c r="AK252" s="12" t="s">
        <v>43</v>
      </c>
      <c r="AL252" s="12"/>
      <c r="AW252" s="7">
        <v>0</v>
      </c>
      <c r="AY252" s="7">
        <f t="shared" si="30"/>
        <v>0</v>
      </c>
      <c r="BA252" s="7">
        <f>+'St of Activites - GA Rev'!AI252-'St of Activities - GA Exp'!AY252</f>
        <v>0</v>
      </c>
      <c r="BE252" s="7">
        <f t="shared" si="31"/>
        <v>0</v>
      </c>
      <c r="BG252" s="7">
        <f>+'St of Net Assets - GA'!AA252-'St of Activities - GA Exp'!BE252</f>
        <v>0</v>
      </c>
      <c r="BH252" s="7" t="s">
        <v>904</v>
      </c>
      <c r="BL252" s="7" t="str">
        <f t="shared" si="25"/>
        <v>Indian Lake Local SD (CASH)</v>
      </c>
      <c r="BM252" s="7" t="b">
        <f t="shared" si="26"/>
        <v>1</v>
      </c>
      <c r="BO252" s="7" t="str">
        <f t="shared" si="27"/>
        <v>Logan</v>
      </c>
      <c r="BP252" s="7" t="b">
        <f t="shared" si="28"/>
        <v>1</v>
      </c>
    </row>
    <row r="253" spans="1:68">
      <c r="A253" s="12" t="s">
        <v>552</v>
      </c>
      <c r="B253" s="12"/>
      <c r="C253" s="12" t="s">
        <v>65</v>
      </c>
      <c r="D253" s="12"/>
      <c r="E253" s="12">
        <v>50286</v>
      </c>
      <c r="G253" s="7">
        <v>7625137</v>
      </c>
      <c r="I253" s="7">
        <v>1731825</v>
      </c>
      <c r="K253" s="7">
        <v>187222</v>
      </c>
      <c r="M253" s="7">
        <v>0</v>
      </c>
      <c r="O253" s="7">
        <f>863+1804976</f>
        <v>1805839</v>
      </c>
      <c r="Q253" s="7">
        <v>543460</v>
      </c>
      <c r="S253" s="7">
        <v>677358</v>
      </c>
      <c r="U253" s="7">
        <v>59774</v>
      </c>
      <c r="W253" s="7">
        <v>1084707</v>
      </c>
      <c r="Y253" s="7">
        <v>404113</v>
      </c>
      <c r="AA253" s="7">
        <v>115767</v>
      </c>
      <c r="AC253" s="7">
        <v>1700742</v>
      </c>
      <c r="AE253" s="7">
        <v>1108094</v>
      </c>
      <c r="AG253" s="7">
        <v>17992</v>
      </c>
      <c r="AI253" s="12" t="s">
        <v>552</v>
      </c>
      <c r="AJ253" s="12"/>
      <c r="AK253" s="12" t="s">
        <v>65</v>
      </c>
      <c r="AL253" s="12"/>
      <c r="AM253" s="7">
        <v>789173</v>
      </c>
      <c r="AO253" s="7">
        <v>0</v>
      </c>
      <c r="AQ253" s="7">
        <v>499099</v>
      </c>
      <c r="AS253" s="7">
        <v>550905</v>
      </c>
      <c r="AW253" s="7">
        <v>0</v>
      </c>
      <c r="AY253" s="7">
        <f t="shared" si="30"/>
        <v>18901207</v>
      </c>
      <c r="BA253" s="7">
        <f>+'St of Activites - GA Rev'!AI253-'St of Activities - GA Exp'!AY253</f>
        <v>476924</v>
      </c>
      <c r="BC253" s="7">
        <v>34349949</v>
      </c>
      <c r="BE253" s="7">
        <f t="shared" si="31"/>
        <v>34826873</v>
      </c>
      <c r="BG253" s="7">
        <f>+'St of Net Assets - GA'!AA253-'St of Activities - GA Exp'!BE253</f>
        <v>0</v>
      </c>
      <c r="BL253" s="7" t="str">
        <f t="shared" si="25"/>
        <v>Indian Valley Local SD</v>
      </c>
      <c r="BM253" s="7" t="b">
        <f t="shared" si="26"/>
        <v>1</v>
      </c>
      <c r="BO253" s="7" t="str">
        <f t="shared" si="27"/>
        <v>Tuscarawas</v>
      </c>
      <c r="BP253" s="7" t="b">
        <f t="shared" si="28"/>
        <v>1</v>
      </c>
    </row>
    <row r="254" spans="1:68" ht="12" customHeight="1">
      <c r="A254" s="12" t="s">
        <v>380</v>
      </c>
      <c r="B254" s="12"/>
      <c r="C254" s="12" t="s">
        <v>377</v>
      </c>
      <c r="D254" s="12"/>
      <c r="E254" s="12">
        <v>44149</v>
      </c>
      <c r="G254" s="7">
        <v>7226895</v>
      </c>
      <c r="I254" s="7">
        <v>1650882</v>
      </c>
      <c r="K254" s="7">
        <v>251562</v>
      </c>
      <c r="M254" s="7">
        <v>0</v>
      </c>
      <c r="O254" s="7">
        <v>103688</v>
      </c>
      <c r="Q254" s="7">
        <v>750209</v>
      </c>
      <c r="S254" s="7">
        <v>479963</v>
      </c>
      <c r="U254" s="7">
        <v>252804</v>
      </c>
      <c r="W254" s="7">
        <v>1009046</v>
      </c>
      <c r="Y254" s="7">
        <v>532715</v>
      </c>
      <c r="AA254" s="7">
        <v>0</v>
      </c>
      <c r="AC254" s="7">
        <v>4351678</v>
      </c>
      <c r="AE254" s="7">
        <v>699961</v>
      </c>
      <c r="AG254" s="7">
        <v>95970</v>
      </c>
      <c r="AI254" s="12" t="s">
        <v>380</v>
      </c>
      <c r="AJ254" s="12"/>
      <c r="AK254" s="12" t="s">
        <v>377</v>
      </c>
      <c r="AL254" s="12"/>
      <c r="AM254" s="7">
        <v>700089</v>
      </c>
      <c r="AO254" s="7">
        <v>154230</v>
      </c>
      <c r="AQ254" s="7">
        <v>708640</v>
      </c>
      <c r="AS254" s="7">
        <v>788107</v>
      </c>
      <c r="AW254" s="7">
        <v>0</v>
      </c>
      <c r="AY254" s="7">
        <f t="shared" si="30"/>
        <v>19756439</v>
      </c>
      <c r="BA254" s="7">
        <f>+'St of Activites - GA Rev'!AI254-'St of Activities - GA Exp'!AY254</f>
        <v>-2284865</v>
      </c>
      <c r="BC254" s="7">
        <v>39281445</v>
      </c>
      <c r="BE254" s="7">
        <f t="shared" si="31"/>
        <v>36996580</v>
      </c>
      <c r="BG254" s="7">
        <f>+'St of Net Assets - GA'!AA254-'St of Activities - GA Exp'!BE254</f>
        <v>0</v>
      </c>
      <c r="BL254" s="7" t="str">
        <f t="shared" si="25"/>
        <v>Ironton City SD</v>
      </c>
      <c r="BM254" s="7" t="b">
        <f t="shared" si="26"/>
        <v>1</v>
      </c>
      <c r="BO254" s="7" t="str">
        <f t="shared" si="27"/>
        <v>Lawrence</v>
      </c>
      <c r="BP254" s="7" t="b">
        <f t="shared" si="28"/>
        <v>1</v>
      </c>
    </row>
    <row r="255" spans="1:68" ht="12" hidden="1" customHeight="1">
      <c r="A255" s="12" t="s">
        <v>700</v>
      </c>
      <c r="B255" s="12"/>
      <c r="C255" s="12" t="s">
        <v>61</v>
      </c>
      <c r="D255" s="12"/>
      <c r="E255" s="12">
        <v>49809</v>
      </c>
      <c r="AI255" s="12" t="s">
        <v>700</v>
      </c>
      <c r="AJ255" s="12"/>
      <c r="AK255" s="12" t="s">
        <v>61</v>
      </c>
      <c r="AL255" s="12"/>
      <c r="AW255" s="7">
        <v>0</v>
      </c>
      <c r="AY255" s="7">
        <f t="shared" si="30"/>
        <v>0</v>
      </c>
      <c r="BA255" s="7">
        <f>+'St of Activites - GA Rev'!AI255-'St of Activities - GA Exp'!AY255</f>
        <v>0</v>
      </c>
      <c r="BE255" s="7">
        <f t="shared" si="31"/>
        <v>0</v>
      </c>
      <c r="BG255" s="7">
        <f>+'St of Net Assets - GA'!AA255-'St of Activities - GA Exp'!BE255</f>
        <v>0</v>
      </c>
      <c r="BH255" s="7" t="s">
        <v>904</v>
      </c>
      <c r="BL255" s="7" t="str">
        <f t="shared" si="25"/>
        <v>Jackson Center Local SD (CASH)</v>
      </c>
      <c r="BM255" s="7" t="b">
        <f t="shared" si="26"/>
        <v>1</v>
      </c>
      <c r="BO255" s="7" t="str">
        <f t="shared" si="27"/>
        <v>Shelby</v>
      </c>
      <c r="BP255" s="7" t="b">
        <f t="shared" si="28"/>
        <v>1</v>
      </c>
    </row>
    <row r="256" spans="1:68" ht="12" hidden="1" customHeight="1">
      <c r="A256" s="12" t="s">
        <v>715</v>
      </c>
      <c r="B256" s="12"/>
      <c r="C256" s="12" t="s">
        <v>38</v>
      </c>
      <c r="D256" s="12"/>
      <c r="E256" s="12"/>
      <c r="AI256" s="12" t="s">
        <v>715</v>
      </c>
      <c r="AJ256" s="12"/>
      <c r="AK256" s="12" t="s">
        <v>38</v>
      </c>
      <c r="AL256" s="12"/>
      <c r="AW256" s="7">
        <v>0</v>
      </c>
      <c r="AY256" s="7">
        <f t="shared" si="30"/>
        <v>0</v>
      </c>
      <c r="BA256" s="7">
        <f>+'St of Activites - GA Rev'!AI256-'St of Activities - GA Exp'!AY256</f>
        <v>0</v>
      </c>
      <c r="BE256" s="7">
        <f t="shared" si="31"/>
        <v>0</v>
      </c>
      <c r="BG256" s="7">
        <f>+'St of Net Assets - GA'!AA256-'St of Activities - GA Exp'!BE256</f>
        <v>0</v>
      </c>
      <c r="BH256" s="7" t="s">
        <v>904</v>
      </c>
      <c r="BL256" s="7" t="str">
        <f t="shared" si="25"/>
        <v>Jackson City SD (CASH)</v>
      </c>
      <c r="BM256" s="7" t="b">
        <f t="shared" si="26"/>
        <v>1</v>
      </c>
      <c r="BO256" s="7" t="str">
        <f t="shared" si="27"/>
        <v>Jackson</v>
      </c>
      <c r="BP256" s="7" t="b">
        <f t="shared" si="28"/>
        <v>1</v>
      </c>
    </row>
    <row r="257" spans="1:68">
      <c r="A257" s="12" t="s">
        <v>512</v>
      </c>
      <c r="B257" s="12"/>
      <c r="C257" s="12" t="s">
        <v>62</v>
      </c>
      <c r="D257" s="12"/>
      <c r="E257" s="12">
        <v>49858</v>
      </c>
      <c r="G257" s="7">
        <v>23900014</v>
      </c>
      <c r="I257" s="7">
        <v>3643493</v>
      </c>
      <c r="K257" s="7">
        <v>1101716</v>
      </c>
      <c r="M257" s="7">
        <v>59556</v>
      </c>
      <c r="O257" s="7">
        <v>1546852</v>
      </c>
      <c r="Q257" s="7">
        <v>3811238</v>
      </c>
      <c r="S257" s="7">
        <v>3152000</v>
      </c>
      <c r="U257" s="7">
        <v>18784</v>
      </c>
      <c r="W257" s="7">
        <v>3151267</v>
      </c>
      <c r="Y257" s="7">
        <v>1202669</v>
      </c>
      <c r="AA257" s="7">
        <v>460257</v>
      </c>
      <c r="AC257" s="7">
        <v>5584039</v>
      </c>
      <c r="AE257" s="7">
        <v>3172753</v>
      </c>
      <c r="AG257" s="7">
        <v>1244941</v>
      </c>
      <c r="AI257" s="12" t="s">
        <v>512</v>
      </c>
      <c r="AJ257" s="12"/>
      <c r="AK257" s="12" t="s">
        <v>62</v>
      </c>
      <c r="AL257" s="12"/>
      <c r="AM257" s="7">
        <v>1879802</v>
      </c>
      <c r="AO257" s="7">
        <v>20880</v>
      </c>
      <c r="AQ257" s="7">
        <v>2048421</v>
      </c>
      <c r="AS257" s="7">
        <v>3503843</v>
      </c>
      <c r="AW257" s="7">
        <v>0</v>
      </c>
      <c r="AY257" s="7">
        <f t="shared" si="30"/>
        <v>59502525</v>
      </c>
      <c r="BA257" s="7">
        <f>+'St of Activites - GA Rev'!AI257-'St of Activities - GA Exp'!AY257</f>
        <v>8504648</v>
      </c>
      <c r="BC257" s="7">
        <v>32342590</v>
      </c>
      <c r="BE257" s="7">
        <f t="shared" si="31"/>
        <v>40847238</v>
      </c>
      <c r="BG257" s="7">
        <f>+'St of Net Assets - GA'!AA257-'St of Activities - GA Exp'!BE257</f>
        <v>0</v>
      </c>
      <c r="BL257" s="7" t="str">
        <f t="shared" si="25"/>
        <v>Jackson Local SD</v>
      </c>
      <c r="BM257" s="7" t="b">
        <f t="shared" si="26"/>
        <v>1</v>
      </c>
      <c r="BO257" s="7" t="str">
        <f t="shared" si="27"/>
        <v>Stark</v>
      </c>
      <c r="BP257" s="7" t="b">
        <f t="shared" si="28"/>
        <v>1</v>
      </c>
    </row>
    <row r="258" spans="1:68" ht="12" customHeight="1">
      <c r="A258" s="12" t="s">
        <v>417</v>
      </c>
      <c r="B258" s="12"/>
      <c r="C258" s="12" t="s">
        <v>45</v>
      </c>
      <c r="D258" s="12"/>
      <c r="E258" s="12">
        <v>48322</v>
      </c>
      <c r="G258" s="7">
        <v>5294976</v>
      </c>
      <c r="I258" s="7">
        <v>1423985</v>
      </c>
      <c r="K258" s="7">
        <v>90195</v>
      </c>
      <c r="M258" s="7">
        <v>0</v>
      </c>
      <c r="O258" s="7">
        <v>0</v>
      </c>
      <c r="Q258" s="7">
        <v>281106</v>
      </c>
      <c r="S258" s="7">
        <v>131160</v>
      </c>
      <c r="U258" s="7">
        <v>97247</v>
      </c>
      <c r="W258" s="7">
        <v>574439</v>
      </c>
      <c r="Y258" s="7">
        <v>457583</v>
      </c>
      <c r="AA258" s="7">
        <v>0</v>
      </c>
      <c r="AC258" s="7">
        <v>828588</v>
      </c>
      <c r="AE258" s="7">
        <v>721294</v>
      </c>
      <c r="AG258" s="7">
        <v>0</v>
      </c>
      <c r="AI258" s="12" t="s">
        <v>417</v>
      </c>
      <c r="AJ258" s="12"/>
      <c r="AK258" s="12" t="s">
        <v>45</v>
      </c>
      <c r="AL258" s="12"/>
      <c r="AM258" s="7">
        <v>477594</v>
      </c>
      <c r="AO258" s="7">
        <v>2100</v>
      </c>
      <c r="AQ258" s="7">
        <v>452443</v>
      </c>
      <c r="AS258" s="7">
        <v>667839</v>
      </c>
      <c r="AW258" s="7">
        <v>0</v>
      </c>
      <c r="AY258" s="7">
        <f t="shared" si="30"/>
        <v>11500549</v>
      </c>
      <c r="BA258" s="7">
        <f>+'St of Activites - GA Rev'!AI258-'St of Activities - GA Exp'!AY258</f>
        <v>-431727</v>
      </c>
      <c r="BC258" s="7">
        <v>6319189</v>
      </c>
      <c r="BE258" s="7">
        <f t="shared" si="31"/>
        <v>5887462</v>
      </c>
      <c r="BG258" s="7">
        <f>+'St of Net Assets - GA'!AA258-'St of Activities - GA Exp'!BE258</f>
        <v>0</v>
      </c>
      <c r="BL258" s="7" t="str">
        <f t="shared" si="25"/>
        <v>Jackson-Milton Local SD</v>
      </c>
      <c r="BM258" s="7" t="b">
        <f t="shared" si="26"/>
        <v>1</v>
      </c>
      <c r="BO258" s="7" t="str">
        <f t="shared" si="27"/>
        <v>Mahoning</v>
      </c>
      <c r="BP258" s="7" t="b">
        <f t="shared" si="28"/>
        <v>1</v>
      </c>
    </row>
    <row r="259" spans="1:68">
      <c r="A259" s="12" t="s">
        <v>475</v>
      </c>
      <c r="B259" s="12"/>
      <c r="C259" s="12" t="s">
        <v>56</v>
      </c>
      <c r="D259" s="12"/>
      <c r="E259" s="12">
        <v>49205</v>
      </c>
      <c r="G259" s="7">
        <v>6399917</v>
      </c>
      <c r="I259" s="7">
        <v>1273235</v>
      </c>
      <c r="K259" s="7">
        <v>0</v>
      </c>
      <c r="M259" s="7">
        <v>0</v>
      </c>
      <c r="O259" s="7">
        <v>7367</v>
      </c>
      <c r="Q259" s="7">
        <v>587186</v>
      </c>
      <c r="S259" s="7">
        <v>605748</v>
      </c>
      <c r="U259" s="7">
        <v>34113</v>
      </c>
      <c r="W259" s="7">
        <v>1088090</v>
      </c>
      <c r="Y259" s="7">
        <v>318682</v>
      </c>
      <c r="AA259" s="7">
        <v>0</v>
      </c>
      <c r="AC259" s="7">
        <v>1261924</v>
      </c>
      <c r="AE259" s="7">
        <v>870094</v>
      </c>
      <c r="AG259" s="7">
        <v>32502</v>
      </c>
      <c r="AI259" s="12" t="s">
        <v>475</v>
      </c>
      <c r="AJ259" s="12"/>
      <c r="AK259" s="12" t="s">
        <v>56</v>
      </c>
      <c r="AL259" s="12"/>
      <c r="AM259" s="7">
        <v>591404</v>
      </c>
      <c r="AO259" s="7">
        <v>7807</v>
      </c>
      <c r="AQ259" s="7">
        <v>509143</v>
      </c>
      <c r="AS259" s="7">
        <v>261267</v>
      </c>
      <c r="AW259" s="7">
        <v>0</v>
      </c>
      <c r="AY259" s="7">
        <f t="shared" si="30"/>
        <v>13848479</v>
      </c>
      <c r="BA259" s="7">
        <f>+'St of Activites - GA Rev'!AI259-'St of Activities - GA Exp'!AY259</f>
        <v>-36650</v>
      </c>
      <c r="BC259" s="7">
        <v>4801453</v>
      </c>
      <c r="BE259" s="7">
        <f t="shared" si="31"/>
        <v>4764803</v>
      </c>
      <c r="BG259" s="7">
        <f>+'St of Net Assets - GA'!AA259-'St of Activities - GA Exp'!BE259</f>
        <v>0</v>
      </c>
      <c r="BL259" s="7" t="str">
        <f t="shared" si="25"/>
        <v>James A Garfield Local SD</v>
      </c>
      <c r="BM259" s="7" t="b">
        <f t="shared" si="26"/>
        <v>1</v>
      </c>
      <c r="BO259" s="7" t="str">
        <f t="shared" si="27"/>
        <v>Portage</v>
      </c>
      <c r="BP259" s="7" t="b">
        <f t="shared" si="28"/>
        <v>1</v>
      </c>
    </row>
    <row r="260" spans="1:68" ht="12" customHeight="1">
      <c r="A260" s="12" t="s">
        <v>210</v>
      </c>
      <c r="B260" s="12"/>
      <c r="C260" s="12" t="s">
        <v>12</v>
      </c>
      <c r="D260" s="12"/>
      <c r="E260" s="12">
        <v>45872</v>
      </c>
      <c r="G260" s="7">
        <v>9480075</v>
      </c>
      <c r="I260" s="7">
        <v>1654189</v>
      </c>
      <c r="K260" s="7">
        <v>144022</v>
      </c>
      <c r="M260" s="7">
        <v>0</v>
      </c>
      <c r="O260" s="7">
        <v>0</v>
      </c>
      <c r="Q260" s="7">
        <v>1423482</v>
      </c>
      <c r="S260" s="7">
        <v>176522</v>
      </c>
      <c r="U260" s="7">
        <v>20942</v>
      </c>
      <c r="W260" s="7">
        <v>1123177</v>
      </c>
      <c r="Y260" s="7">
        <v>721933</v>
      </c>
      <c r="AA260" s="7">
        <v>12085</v>
      </c>
      <c r="AC260" s="7">
        <v>1843686</v>
      </c>
      <c r="AE260" s="7">
        <v>1328963</v>
      </c>
      <c r="AG260" s="7">
        <v>109620</v>
      </c>
      <c r="AI260" s="12" t="s">
        <v>210</v>
      </c>
      <c r="AJ260" s="12"/>
      <c r="AK260" s="12" t="s">
        <v>12</v>
      </c>
      <c r="AL260" s="12"/>
      <c r="AM260" s="7">
        <v>810093</v>
      </c>
      <c r="AO260" s="7">
        <v>154279</v>
      </c>
      <c r="AQ260" s="7">
        <v>454041</v>
      </c>
      <c r="AS260" s="7">
        <v>901540</v>
      </c>
      <c r="AW260" s="7">
        <v>0</v>
      </c>
      <c r="AY260" s="7">
        <f t="shared" si="30"/>
        <v>20358649</v>
      </c>
      <c r="BA260" s="7">
        <f>+'St of Activites - GA Rev'!AI260-'St of Activities - GA Exp'!AY260</f>
        <v>-409237</v>
      </c>
      <c r="BC260" s="7">
        <v>42598147</v>
      </c>
      <c r="BE260" s="7">
        <f t="shared" si="31"/>
        <v>42188910</v>
      </c>
      <c r="BG260" s="7">
        <f>+'St of Net Assets - GA'!AA260-'St of Activities - GA Exp'!BE260</f>
        <v>0</v>
      </c>
      <c r="BL260" s="7" t="str">
        <f t="shared" si="25"/>
        <v>Jefferson Area Local SD</v>
      </c>
      <c r="BM260" s="7" t="b">
        <f t="shared" si="26"/>
        <v>1</v>
      </c>
      <c r="BO260" s="7" t="str">
        <f t="shared" si="27"/>
        <v>Ashtabula</v>
      </c>
      <c r="BP260" s="7" t="b">
        <f t="shared" si="28"/>
        <v>1</v>
      </c>
    </row>
    <row r="261" spans="1:68">
      <c r="A261" s="12" t="s">
        <v>410</v>
      </c>
      <c r="B261" s="12"/>
      <c r="C261" s="12" t="s">
        <v>411</v>
      </c>
      <c r="D261" s="12"/>
      <c r="E261" s="12">
        <v>48256</v>
      </c>
      <c r="G261" s="7">
        <v>5965720</v>
      </c>
      <c r="I261" s="7">
        <v>1793962</v>
      </c>
      <c r="K261" s="7">
        <v>0</v>
      </c>
      <c r="M261" s="7">
        <v>0</v>
      </c>
      <c r="O261" s="7">
        <v>0</v>
      </c>
      <c r="Q261" s="7">
        <v>709027</v>
      </c>
      <c r="S261" s="7">
        <v>771476</v>
      </c>
      <c r="U261" s="7">
        <v>76991</v>
      </c>
      <c r="W261" s="7">
        <v>897714</v>
      </c>
      <c r="Y261" s="7">
        <v>478260</v>
      </c>
      <c r="AA261" s="7">
        <v>64662</v>
      </c>
      <c r="AC261" s="7">
        <v>1436321</v>
      </c>
      <c r="AE261" s="7">
        <v>615568</v>
      </c>
      <c r="AG261" s="7">
        <v>303815</v>
      </c>
      <c r="AI261" s="12" t="s">
        <v>410</v>
      </c>
      <c r="AJ261" s="12"/>
      <c r="AK261" s="12" t="s">
        <v>411</v>
      </c>
      <c r="AL261" s="12"/>
      <c r="AM261" s="7">
        <v>668267</v>
      </c>
      <c r="AO261" s="7">
        <v>24771</v>
      </c>
      <c r="AQ261" s="7">
        <v>662368</v>
      </c>
      <c r="AS261" s="7">
        <v>591101</v>
      </c>
      <c r="AW261" s="7">
        <v>0</v>
      </c>
      <c r="AY261" s="7">
        <f t="shared" si="30"/>
        <v>15060023</v>
      </c>
      <c r="BA261" s="7">
        <f>+'St of Activites - GA Rev'!AI261-'St of Activities - GA Exp'!AY261</f>
        <v>-873402</v>
      </c>
      <c r="BC261" s="7">
        <v>24433589</v>
      </c>
      <c r="BE261" s="7">
        <f t="shared" si="31"/>
        <v>23560187</v>
      </c>
      <c r="BG261" s="7">
        <f>+'St of Net Assets - GA'!AA261-'St of Activities - GA Exp'!BE261</f>
        <v>0</v>
      </c>
      <c r="BL261" s="7" t="str">
        <f t="shared" si="25"/>
        <v>Jefferson Local SD</v>
      </c>
      <c r="BM261" s="7" t="b">
        <f t="shared" si="26"/>
        <v>1</v>
      </c>
      <c r="BO261" s="7" t="str">
        <f t="shared" si="27"/>
        <v>Madison</v>
      </c>
      <c r="BP261" s="7" t="b">
        <f t="shared" si="28"/>
        <v>1</v>
      </c>
    </row>
    <row r="262" spans="1:68" ht="12" customHeight="1">
      <c r="A262" s="12" t="s">
        <v>716</v>
      </c>
      <c r="B262" s="12"/>
      <c r="C262" s="12" t="s">
        <v>50</v>
      </c>
      <c r="D262" s="12"/>
      <c r="E262" s="12">
        <v>48686</v>
      </c>
      <c r="G262" s="7">
        <v>1664598</v>
      </c>
      <c r="I262" s="7">
        <v>1734393</v>
      </c>
      <c r="K262" s="7">
        <v>0</v>
      </c>
      <c r="M262" s="7">
        <v>0</v>
      </c>
      <c r="O262" s="7">
        <v>1806735</v>
      </c>
      <c r="Q262" s="7">
        <v>258111</v>
      </c>
      <c r="S262" s="7">
        <v>425026</v>
      </c>
      <c r="U262" s="7">
        <v>41810</v>
      </c>
      <c r="W262" s="7">
        <v>545104</v>
      </c>
      <c r="Y262" s="7">
        <v>244639</v>
      </c>
      <c r="AA262" s="7">
        <v>586</v>
      </c>
      <c r="AC262" s="7">
        <v>649312</v>
      </c>
      <c r="AE262" s="7">
        <v>392080</v>
      </c>
      <c r="AG262" s="7">
        <v>60134</v>
      </c>
      <c r="AI262" s="12" t="s">
        <v>716</v>
      </c>
      <c r="AJ262" s="12"/>
      <c r="AK262" s="12" t="s">
        <v>50</v>
      </c>
      <c r="AL262" s="12"/>
      <c r="AM262" s="7">
        <v>316713</v>
      </c>
      <c r="AO262" s="7">
        <v>5648</v>
      </c>
      <c r="AQ262" s="7">
        <v>105738</v>
      </c>
      <c r="AS262" s="7">
        <v>53452</v>
      </c>
      <c r="AW262" s="7">
        <v>0</v>
      </c>
      <c r="AY262" s="7">
        <f t="shared" si="30"/>
        <v>8304079</v>
      </c>
      <c r="BA262" s="7">
        <f>+'St of Activites - GA Rev'!AI262-'St of Activities - GA Exp'!AY262</f>
        <v>1022508</v>
      </c>
      <c r="BC262" s="7">
        <v>2446409</v>
      </c>
      <c r="BE262" s="7">
        <f t="shared" si="31"/>
        <v>3468917</v>
      </c>
      <c r="BG262" s="7">
        <f>+'St of Net Assets - GA'!AA262-'St of Activities - GA Exp'!BE262</f>
        <v>0</v>
      </c>
      <c r="BL262" s="7" t="str">
        <f t="shared" si="25"/>
        <v xml:space="preserve">Jefferson Township Local SD </v>
      </c>
      <c r="BM262" s="7" t="b">
        <f t="shared" si="26"/>
        <v>1</v>
      </c>
      <c r="BO262" s="7" t="str">
        <f t="shared" si="27"/>
        <v>Montgomery</v>
      </c>
      <c r="BP262" s="7" t="b">
        <f t="shared" si="28"/>
        <v>1</v>
      </c>
    </row>
    <row r="263" spans="1:68" ht="12" hidden="1" customHeight="1">
      <c r="A263" s="12" t="s">
        <v>910</v>
      </c>
      <c r="B263" s="12"/>
      <c r="C263" s="12" t="s">
        <v>482</v>
      </c>
      <c r="D263" s="12"/>
      <c r="E263" s="12"/>
      <c r="AI263" s="12" t="s">
        <v>910</v>
      </c>
      <c r="AJ263" s="12"/>
      <c r="AK263" s="12" t="s">
        <v>482</v>
      </c>
      <c r="AL263" s="12"/>
      <c r="AW263" s="7">
        <v>0</v>
      </c>
      <c r="AY263" s="7">
        <f t="shared" si="30"/>
        <v>0</v>
      </c>
      <c r="BA263" s="7">
        <f>+'St of Activites - GA Rev'!AI263-'St of Activities - GA Exp'!AY263</f>
        <v>0</v>
      </c>
      <c r="BE263" s="7">
        <f t="shared" si="31"/>
        <v>0</v>
      </c>
      <c r="BG263" s="7">
        <f>+'St of Net Assets - GA'!AA263-'St of Activities - GA Exp'!BE263</f>
        <v>0</v>
      </c>
      <c r="BH263" s="7" t="s">
        <v>904</v>
      </c>
      <c r="BL263" s="7" t="str">
        <f t="shared" si="25"/>
        <v xml:space="preserve">Jennings Local SD (CASH) </v>
      </c>
      <c r="BM263" s="7" t="b">
        <f t="shared" si="26"/>
        <v>1</v>
      </c>
      <c r="BO263" s="7" t="str">
        <f t="shared" si="27"/>
        <v>Putnam</v>
      </c>
      <c r="BP263" s="7" t="b">
        <f t="shared" si="28"/>
        <v>1</v>
      </c>
    </row>
    <row r="264" spans="1:68">
      <c r="A264" s="12" t="s">
        <v>385</v>
      </c>
      <c r="B264" s="12"/>
      <c r="C264" s="12" t="s">
        <v>42</v>
      </c>
      <c r="D264" s="12"/>
      <c r="E264" s="12">
        <v>47985</v>
      </c>
      <c r="G264" s="7">
        <v>6078047</v>
      </c>
      <c r="I264" s="7">
        <v>1274574</v>
      </c>
      <c r="K264" s="7">
        <v>201621</v>
      </c>
      <c r="M264" s="7">
        <v>0</v>
      </c>
      <c r="O264" s="7">
        <v>340907</v>
      </c>
      <c r="Q264" s="7">
        <v>448311</v>
      </c>
      <c r="S264" s="7">
        <v>527499</v>
      </c>
      <c r="U264" s="7">
        <v>65388</v>
      </c>
      <c r="W264" s="7">
        <v>994426</v>
      </c>
      <c r="Y264" s="7">
        <v>406551</v>
      </c>
      <c r="AA264" s="7">
        <v>1230</v>
      </c>
      <c r="AC264" s="7">
        <v>1104855</v>
      </c>
      <c r="AE264" s="7">
        <v>815819</v>
      </c>
      <c r="AG264" s="7">
        <v>46801</v>
      </c>
      <c r="AI264" s="12" t="s">
        <v>385</v>
      </c>
      <c r="AJ264" s="12"/>
      <c r="AK264" s="12" t="s">
        <v>42</v>
      </c>
      <c r="AL264" s="12"/>
      <c r="AM264" s="7">
        <v>359245</v>
      </c>
      <c r="AO264" s="7">
        <v>8692</v>
      </c>
      <c r="AQ264" s="7">
        <v>417946</v>
      </c>
      <c r="AS264" s="7">
        <v>16441</v>
      </c>
      <c r="AW264" s="7">
        <v>0</v>
      </c>
      <c r="AY264" s="7">
        <f t="shared" si="30"/>
        <v>13108353</v>
      </c>
      <c r="BA264" s="7">
        <f>+'St of Activites - GA Rev'!AI264-'St of Activities - GA Exp'!AY264</f>
        <v>2566594</v>
      </c>
      <c r="BC264" s="7">
        <v>9386512</v>
      </c>
      <c r="BE264" s="7">
        <f t="shared" si="31"/>
        <v>11953106</v>
      </c>
      <c r="BG264" s="7">
        <f>+'St of Net Assets - GA'!AA264-'St of Activities - GA Exp'!BE264</f>
        <v>0</v>
      </c>
      <c r="BL264" s="7" t="str">
        <f t="shared" si="25"/>
        <v>Johnstown-Monroe Local SD</v>
      </c>
      <c r="BM264" s="7" t="b">
        <f t="shared" si="26"/>
        <v>1</v>
      </c>
      <c r="BO264" s="7" t="str">
        <f t="shared" si="27"/>
        <v>Licking</v>
      </c>
      <c r="BP264" s="7" t="b">
        <f t="shared" si="28"/>
        <v>1</v>
      </c>
    </row>
    <row r="265" spans="1:68">
      <c r="A265" s="12" t="s">
        <v>412</v>
      </c>
      <c r="B265" s="12"/>
      <c r="C265" s="12" t="s">
        <v>411</v>
      </c>
      <c r="D265" s="12"/>
      <c r="E265" s="12">
        <v>48264</v>
      </c>
      <c r="G265" s="7">
        <v>8528893</v>
      </c>
      <c r="I265" s="7">
        <v>2118089</v>
      </c>
      <c r="K265" s="7">
        <v>154539</v>
      </c>
      <c r="M265" s="7">
        <v>0</v>
      </c>
      <c r="O265" s="7">
        <v>172980</v>
      </c>
      <c r="Q265" s="7">
        <v>1267727</v>
      </c>
      <c r="S265" s="7">
        <v>513087</v>
      </c>
      <c r="U265" s="7">
        <v>44578</v>
      </c>
      <c r="W265" s="7">
        <v>1520352</v>
      </c>
      <c r="Y265" s="7">
        <v>719787</v>
      </c>
      <c r="AA265" s="7">
        <v>12563</v>
      </c>
      <c r="AC265" s="7">
        <v>1492282</v>
      </c>
      <c r="AE265" s="7">
        <v>1063330</v>
      </c>
      <c r="AG265" s="7">
        <v>0</v>
      </c>
      <c r="AI265" s="12" t="s">
        <v>412</v>
      </c>
      <c r="AJ265" s="12"/>
      <c r="AK265" s="12" t="s">
        <v>411</v>
      </c>
      <c r="AL265" s="12"/>
      <c r="AM265" s="7">
        <v>913969</v>
      </c>
      <c r="AO265" s="7">
        <v>0</v>
      </c>
      <c r="AQ265" s="7">
        <v>710017</v>
      </c>
      <c r="AS265" s="7">
        <v>981148</v>
      </c>
      <c r="AW265" s="7">
        <v>0</v>
      </c>
      <c r="AY265" s="7">
        <f t="shared" si="30"/>
        <v>20213341</v>
      </c>
      <c r="BA265" s="7">
        <f>+'St of Activites - GA Rev'!AI265-'St of Activities - GA Exp'!AY265</f>
        <v>1036141</v>
      </c>
      <c r="BC265" s="7">
        <v>35446166</v>
      </c>
      <c r="BE265" s="7">
        <f t="shared" si="31"/>
        <v>36482307</v>
      </c>
      <c r="BG265" s="7">
        <f>+'St of Net Assets - GA'!AA265-'St of Activities - GA Exp'!BE265</f>
        <v>0</v>
      </c>
      <c r="BL265" s="7" t="str">
        <f t="shared" si="25"/>
        <v>Jonathan Alder Local SD</v>
      </c>
      <c r="BM265" s="7" t="b">
        <f t="shared" si="26"/>
        <v>1</v>
      </c>
      <c r="BO265" s="7" t="str">
        <f t="shared" si="27"/>
        <v>Madison</v>
      </c>
      <c r="BP265" s="7" t="b">
        <f t="shared" si="28"/>
        <v>1</v>
      </c>
    </row>
    <row r="266" spans="1:68">
      <c r="A266" s="12" t="s">
        <v>539</v>
      </c>
      <c r="B266" s="12"/>
      <c r="C266" s="12" t="s">
        <v>64</v>
      </c>
      <c r="D266" s="12"/>
      <c r="E266" s="12">
        <v>50179</v>
      </c>
      <c r="G266" s="7">
        <v>5000184</v>
      </c>
      <c r="I266" s="7">
        <v>659239</v>
      </c>
      <c r="K266" s="7">
        <v>72572</v>
      </c>
      <c r="M266" s="7">
        <v>0</v>
      </c>
      <c r="O266" s="7">
        <v>53835</v>
      </c>
      <c r="Q266" s="7">
        <v>373496</v>
      </c>
      <c r="S266" s="7">
        <v>81904</v>
      </c>
      <c r="U266" s="7">
        <v>84813</v>
      </c>
      <c r="W266" s="7">
        <v>687770</v>
      </c>
      <c r="Y266" s="7">
        <v>333426</v>
      </c>
      <c r="AA266" s="7">
        <v>0</v>
      </c>
      <c r="AC266" s="7">
        <v>801559</v>
      </c>
      <c r="AE266" s="7">
        <v>797995</v>
      </c>
      <c r="AG266" s="7">
        <v>148387</v>
      </c>
      <c r="AI266" s="12" t="s">
        <v>539</v>
      </c>
      <c r="AJ266" s="12"/>
      <c r="AK266" s="12" t="s">
        <v>64</v>
      </c>
      <c r="AL266" s="12"/>
      <c r="AM266" s="7">
        <v>0</v>
      </c>
      <c r="AO266" s="7">
        <v>458094</v>
      </c>
      <c r="AQ266" s="7">
        <v>273269</v>
      </c>
      <c r="AS266" s="7">
        <v>317946</v>
      </c>
      <c r="AW266" s="7">
        <v>0</v>
      </c>
      <c r="AY266" s="7">
        <f t="shared" ref="AY266:AY310" si="32">SUM(G266:AX266)</f>
        <v>10144489</v>
      </c>
      <c r="BA266" s="7">
        <f>+'St of Activites - GA Rev'!AI266-'St of Activities - GA Exp'!AY266</f>
        <v>-722417</v>
      </c>
      <c r="BC266" s="7">
        <v>20714284</v>
      </c>
      <c r="BE266" s="7">
        <f t="shared" si="31"/>
        <v>19991867</v>
      </c>
      <c r="BG266" s="7">
        <f>+'St of Net Assets - GA'!AA266-'St of Activities - GA Exp'!BE266</f>
        <v>0</v>
      </c>
      <c r="BL266" s="7" t="str">
        <f t="shared" si="25"/>
        <v>Joseph Badger Local SD</v>
      </c>
      <c r="BM266" s="7" t="b">
        <f t="shared" si="26"/>
        <v>1</v>
      </c>
      <c r="BO266" s="7" t="str">
        <f t="shared" si="27"/>
        <v>Trumbull</v>
      </c>
      <c r="BP266" s="7" t="b">
        <f t="shared" si="28"/>
        <v>1</v>
      </c>
    </row>
    <row r="267" spans="1:68">
      <c r="A267" s="12" t="s">
        <v>293</v>
      </c>
      <c r="B267" s="12"/>
      <c r="C267" s="12" t="s">
        <v>24</v>
      </c>
      <c r="D267" s="12"/>
      <c r="E267" s="12">
        <v>46797</v>
      </c>
      <c r="G267" s="7">
        <v>435162</v>
      </c>
      <c r="I267" s="7">
        <v>143</v>
      </c>
      <c r="K267" s="7">
        <v>0</v>
      </c>
      <c r="M267" s="7">
        <v>0</v>
      </c>
      <c r="O267" s="7">
        <v>0</v>
      </c>
      <c r="Q267" s="7">
        <v>22692</v>
      </c>
      <c r="S267" s="7">
        <v>92701</v>
      </c>
      <c r="U267" s="7">
        <v>25839</v>
      </c>
      <c r="W267" s="7">
        <v>96096</v>
      </c>
      <c r="Y267" s="7">
        <v>36136</v>
      </c>
      <c r="AA267" s="7">
        <v>0</v>
      </c>
      <c r="AC267" s="7">
        <v>126356</v>
      </c>
      <c r="AE267" s="7">
        <v>0</v>
      </c>
      <c r="AG267" s="7">
        <v>0</v>
      </c>
      <c r="AI267" s="12" t="s">
        <v>293</v>
      </c>
      <c r="AJ267" s="12"/>
      <c r="AK267" s="12" t="s">
        <v>24</v>
      </c>
      <c r="AL267" s="12"/>
      <c r="AM267" s="7">
        <v>0</v>
      </c>
      <c r="AO267" s="7">
        <v>0</v>
      </c>
      <c r="AQ267" s="7">
        <v>1259</v>
      </c>
      <c r="AS267" s="7">
        <v>0</v>
      </c>
      <c r="AW267" s="7">
        <v>0</v>
      </c>
      <c r="AY267" s="7">
        <f t="shared" si="32"/>
        <v>836384</v>
      </c>
      <c r="BA267" s="7">
        <f>+'St of Activites - GA Rev'!AI267-'St of Activities - GA Exp'!AY267</f>
        <v>304067</v>
      </c>
      <c r="BC267" s="7">
        <v>2614853</v>
      </c>
      <c r="BE267" s="7">
        <f t="shared" ref="BE267:BE310" si="33">+BA267+BC267</f>
        <v>2918920</v>
      </c>
      <c r="BG267" s="7">
        <f>+'St of Net Assets - GA'!AA267-'St of Activities - GA Exp'!BE267</f>
        <v>0</v>
      </c>
      <c r="BL267" s="7" t="str">
        <f t="shared" si="25"/>
        <v>Kelleys Island Local SD</v>
      </c>
      <c r="BM267" s="7" t="b">
        <f t="shared" si="26"/>
        <v>1</v>
      </c>
      <c r="BO267" s="7" t="str">
        <f t="shared" si="27"/>
        <v>Erie</v>
      </c>
      <c r="BP267" s="7" t="b">
        <f t="shared" si="28"/>
        <v>1</v>
      </c>
    </row>
    <row r="268" spans="1:68">
      <c r="A268" s="12" t="s">
        <v>321</v>
      </c>
      <c r="B268" s="12"/>
      <c r="C268" s="12" t="s">
        <v>30</v>
      </c>
      <c r="D268" s="12"/>
      <c r="E268" s="12">
        <v>47191</v>
      </c>
      <c r="G268" s="7">
        <v>16493789</v>
      </c>
      <c r="I268" s="7">
        <v>4204140</v>
      </c>
      <c r="K268" s="7">
        <v>161233</v>
      </c>
      <c r="M268" s="7">
        <v>0</v>
      </c>
      <c r="O268" s="7">
        <v>575753</v>
      </c>
      <c r="Q268" s="7">
        <v>2539465</v>
      </c>
      <c r="S268" s="7">
        <v>1272173</v>
      </c>
      <c r="U268" s="7">
        <v>42834</v>
      </c>
      <c r="W268" s="7">
        <v>2725919</v>
      </c>
      <c r="Y268" s="7">
        <v>1032472</v>
      </c>
      <c r="AA268" s="7">
        <v>38411</v>
      </c>
      <c r="AC268" s="7">
        <v>3938563</v>
      </c>
      <c r="AE268" s="7">
        <v>2466834</v>
      </c>
      <c r="AG268" s="7">
        <v>32085</v>
      </c>
      <c r="AI268" s="12" t="s">
        <v>321</v>
      </c>
      <c r="AJ268" s="12"/>
      <c r="AK268" s="12" t="s">
        <v>30</v>
      </c>
      <c r="AL268" s="12"/>
      <c r="AM268" s="7">
        <v>0</v>
      </c>
      <c r="AO268" s="7">
        <v>143730</v>
      </c>
      <c r="AQ268" s="7">
        <v>1526057</v>
      </c>
      <c r="AS268" s="7">
        <v>2059380</v>
      </c>
      <c r="AW268" s="7">
        <v>0</v>
      </c>
      <c r="AY268" s="7">
        <f t="shared" si="32"/>
        <v>39252838</v>
      </c>
      <c r="BA268" s="7">
        <f>+'St of Activites - GA Rev'!AI268-'St of Activities - GA Exp'!AY268</f>
        <v>1643844</v>
      </c>
      <c r="BC268" s="7">
        <v>24500124</v>
      </c>
      <c r="BE268" s="7">
        <f t="shared" si="33"/>
        <v>26143968</v>
      </c>
      <c r="BG268" s="7">
        <f>+'St of Net Assets - GA'!AA268-'St of Activities - GA Exp'!BE268</f>
        <v>0</v>
      </c>
      <c r="BL268" s="7" t="str">
        <f t="shared" ref="BL268:BL332" si="34">A268</f>
        <v>Kenston Local SD</v>
      </c>
      <c r="BM268" s="7" t="b">
        <f t="shared" ref="BM268:BM332" si="35">A268=AI268</f>
        <v>1</v>
      </c>
      <c r="BO268" s="7" t="str">
        <f t="shared" ref="BO268:BO332" si="36">C268</f>
        <v>Geauga</v>
      </c>
      <c r="BP268" s="7" t="b">
        <f t="shared" ref="BP268:BP332" si="37">C268=AK268</f>
        <v>1</v>
      </c>
    </row>
    <row r="269" spans="1:68">
      <c r="A269" s="12" t="s">
        <v>476</v>
      </c>
      <c r="B269" s="12"/>
      <c r="C269" s="12" t="s">
        <v>56</v>
      </c>
      <c r="D269" s="12"/>
      <c r="E269" s="12">
        <v>44164</v>
      </c>
      <c r="G269" s="7">
        <v>19935898</v>
      </c>
      <c r="I269" s="7">
        <v>5630098</v>
      </c>
      <c r="K269" s="7">
        <v>2222055</v>
      </c>
      <c r="M269" s="7">
        <v>45589</v>
      </c>
      <c r="O269" s="7">
        <f>461651+542413</f>
        <v>1004064</v>
      </c>
      <c r="Q269" s="7">
        <v>2599427</v>
      </c>
      <c r="S269" s="7">
        <v>2851698</v>
      </c>
      <c r="U269" s="7">
        <v>213430</v>
      </c>
      <c r="W269" s="7">
        <v>3191029</v>
      </c>
      <c r="Y269" s="7">
        <v>950922</v>
      </c>
      <c r="AA269" s="7">
        <v>381722</v>
      </c>
      <c r="AC269" s="7">
        <v>3299408</v>
      </c>
      <c r="AE269" s="7">
        <v>1837529</v>
      </c>
      <c r="AG269" s="7">
        <v>343123</v>
      </c>
      <c r="AI269" s="12" t="s">
        <v>476</v>
      </c>
      <c r="AJ269" s="12"/>
      <c r="AK269" s="12" t="s">
        <v>56</v>
      </c>
      <c r="AL269" s="12"/>
      <c r="AM269" s="7">
        <v>1352612</v>
      </c>
      <c r="AO269" s="7">
        <v>482704</v>
      </c>
      <c r="AQ269" s="7">
        <v>1204464</v>
      </c>
      <c r="AS269" s="7">
        <v>1232814</v>
      </c>
      <c r="AW269" s="7">
        <v>0</v>
      </c>
      <c r="AY269" s="7">
        <f t="shared" si="32"/>
        <v>48778586</v>
      </c>
      <c r="BA269" s="7">
        <f>+'St of Activites - GA Rev'!AI269-'St of Activities - GA Exp'!AY269</f>
        <v>-736888</v>
      </c>
      <c r="BC269" s="7">
        <v>18906394</v>
      </c>
      <c r="BE269" s="7">
        <f t="shared" si="33"/>
        <v>18169506</v>
      </c>
      <c r="BG269" s="7">
        <f>+'St of Net Assets - GA'!AA269-'St of Activities - GA Exp'!BE269</f>
        <v>0</v>
      </c>
      <c r="BL269" s="7" t="str">
        <f t="shared" si="34"/>
        <v>Kent City SD</v>
      </c>
      <c r="BM269" s="7" t="b">
        <f t="shared" si="35"/>
        <v>1</v>
      </c>
      <c r="BO269" s="7" t="str">
        <f t="shared" si="36"/>
        <v>Portage</v>
      </c>
      <c r="BP269" s="7" t="b">
        <f t="shared" si="37"/>
        <v>1</v>
      </c>
    </row>
    <row r="270" spans="1:68" ht="12" customHeight="1">
      <c r="A270" s="12" t="s">
        <v>350</v>
      </c>
      <c r="B270" s="12"/>
      <c r="C270" s="12" t="s">
        <v>348</v>
      </c>
      <c r="D270" s="12"/>
      <c r="E270" s="12">
        <v>44172</v>
      </c>
      <c r="G270" s="7">
        <v>9522665</v>
      </c>
      <c r="I270" s="7">
        <v>2211871</v>
      </c>
      <c r="K270" s="7">
        <v>148751</v>
      </c>
      <c r="M270" s="7">
        <v>0</v>
      </c>
      <c r="O270" s="7">
        <v>0</v>
      </c>
      <c r="Q270" s="7">
        <v>568351</v>
      </c>
      <c r="S270" s="7">
        <v>1311802</v>
      </c>
      <c r="U270" s="7">
        <v>24637</v>
      </c>
      <c r="W270" s="7">
        <v>1578399</v>
      </c>
      <c r="Y270" s="7">
        <v>435720</v>
      </c>
      <c r="AA270" s="7">
        <v>0</v>
      </c>
      <c r="AC270" s="7">
        <v>1548705</v>
      </c>
      <c r="AE270" s="7">
        <v>732759</v>
      </c>
      <c r="AG270" s="7">
        <v>69471</v>
      </c>
      <c r="AI270" s="12" t="s">
        <v>350</v>
      </c>
      <c r="AJ270" s="12"/>
      <c r="AK270" s="12" t="s">
        <v>348</v>
      </c>
      <c r="AL270" s="12"/>
      <c r="AM270" s="7">
        <v>0</v>
      </c>
      <c r="AO270" s="7">
        <v>907954</v>
      </c>
      <c r="AQ270" s="7">
        <v>314571</v>
      </c>
      <c r="AS270" s="7">
        <v>4970</v>
      </c>
      <c r="AW270" s="7">
        <v>0</v>
      </c>
      <c r="AY270" s="7">
        <f t="shared" si="32"/>
        <v>19380626</v>
      </c>
      <c r="BA270" s="7">
        <f>+'St of Activites - GA Rev'!AI270-'St of Activities - GA Exp'!AY270</f>
        <v>546804</v>
      </c>
      <c r="BC270" s="7">
        <v>4145888</v>
      </c>
      <c r="BE270" s="7">
        <f t="shared" si="33"/>
        <v>4692692</v>
      </c>
      <c r="BG270" s="7">
        <f>+'St of Net Assets - GA'!AA270-'St of Activities - GA Exp'!BE270</f>
        <v>0</v>
      </c>
      <c r="BL270" s="7" t="str">
        <f t="shared" si="34"/>
        <v>Kenton City SD</v>
      </c>
      <c r="BM270" s="7" t="b">
        <f t="shared" si="35"/>
        <v>1</v>
      </c>
      <c r="BO270" s="7" t="str">
        <f t="shared" si="36"/>
        <v>Hardin</v>
      </c>
      <c r="BP270" s="7" t="b">
        <f t="shared" si="37"/>
        <v>1</v>
      </c>
    </row>
    <row r="271" spans="1:68" s="32" customFormat="1">
      <c r="A271" s="31" t="s">
        <v>444</v>
      </c>
      <c r="B271" s="31"/>
      <c r="C271" s="31" t="s">
        <v>50</v>
      </c>
      <c r="D271" s="31"/>
      <c r="E271" s="31">
        <v>44180</v>
      </c>
      <c r="G271" s="32">
        <v>35764848</v>
      </c>
      <c r="I271" s="32">
        <v>9096792</v>
      </c>
      <c r="K271" s="32">
        <v>2695255</v>
      </c>
      <c r="M271" s="32">
        <v>87962</v>
      </c>
      <c r="O271" s="32">
        <v>2273126</v>
      </c>
      <c r="Q271" s="32">
        <v>7761518</v>
      </c>
      <c r="S271" s="32">
        <v>5749533</v>
      </c>
      <c r="U271" s="32">
        <v>62685</v>
      </c>
      <c r="W271" s="32">
        <v>5250963</v>
      </c>
      <c r="Y271" s="32">
        <v>1785522</v>
      </c>
      <c r="AA271" s="32">
        <v>591628</v>
      </c>
      <c r="AC271" s="32">
        <v>8877007</v>
      </c>
      <c r="AE271" s="32">
        <v>3531175</v>
      </c>
      <c r="AG271" s="32">
        <v>1927323</v>
      </c>
      <c r="AI271" s="31" t="s">
        <v>444</v>
      </c>
      <c r="AJ271" s="31"/>
      <c r="AK271" s="31" t="s">
        <v>50</v>
      </c>
      <c r="AL271" s="31"/>
      <c r="AM271" s="32">
        <v>0</v>
      </c>
      <c r="AO271" s="32">
        <v>5473549</v>
      </c>
      <c r="AQ271" s="32">
        <v>1776337</v>
      </c>
      <c r="AS271" s="32">
        <v>4211670</v>
      </c>
      <c r="AW271" s="32">
        <v>0</v>
      </c>
      <c r="AY271" s="32">
        <f t="shared" si="32"/>
        <v>96916893</v>
      </c>
      <c r="BA271" s="32">
        <f>+'St of Activites - GA Rev'!AI271-'St of Activities - GA Exp'!AY271</f>
        <v>5593398</v>
      </c>
      <c r="BC271" s="32">
        <v>21780157</v>
      </c>
      <c r="BE271" s="32">
        <f t="shared" si="33"/>
        <v>27373555</v>
      </c>
      <c r="BG271" s="32">
        <f>+'St of Net Assets - GA'!AA271-'St of Activities - GA Exp'!BE271</f>
        <v>0</v>
      </c>
      <c r="BL271" s="32" t="str">
        <f t="shared" si="34"/>
        <v>Kettering City SD</v>
      </c>
      <c r="BM271" s="32" t="b">
        <f t="shared" si="35"/>
        <v>1</v>
      </c>
      <c r="BO271" s="32" t="str">
        <f t="shared" si="36"/>
        <v>Montgomery</v>
      </c>
      <c r="BP271" s="32" t="b">
        <f t="shared" si="37"/>
        <v>1</v>
      </c>
    </row>
    <row r="272" spans="1:68" ht="12" customHeight="1">
      <c r="A272" s="12" t="s">
        <v>666</v>
      </c>
      <c r="B272" s="12"/>
      <c r="C272" s="12" t="s">
        <v>44</v>
      </c>
      <c r="D272" s="12"/>
      <c r="E272" s="12">
        <v>48165</v>
      </c>
      <c r="G272" s="7">
        <v>7886625</v>
      </c>
      <c r="I272" s="7">
        <v>1705354</v>
      </c>
      <c r="K272" s="7">
        <v>102822</v>
      </c>
      <c r="M272" s="7">
        <v>0</v>
      </c>
      <c r="O272" s="7">
        <v>91730</v>
      </c>
      <c r="Q272" s="7">
        <v>1005556</v>
      </c>
      <c r="S272" s="7">
        <v>473860</v>
      </c>
      <c r="U272" s="7">
        <v>32725</v>
      </c>
      <c r="W272" s="7">
        <v>1216788</v>
      </c>
      <c r="Y272" s="7">
        <v>448063</v>
      </c>
      <c r="AA272" s="7">
        <v>0</v>
      </c>
      <c r="AC272" s="7">
        <v>1173432</v>
      </c>
      <c r="AE272" s="7">
        <v>887051</v>
      </c>
      <c r="AG272" s="7">
        <v>373804</v>
      </c>
      <c r="AI272" s="12" t="s">
        <v>666</v>
      </c>
      <c r="AJ272" s="12"/>
      <c r="AK272" s="12" t="s">
        <v>44</v>
      </c>
      <c r="AL272" s="12"/>
      <c r="AM272" s="7">
        <v>504207</v>
      </c>
      <c r="AO272" s="7">
        <f>49485+86977</f>
        <v>136462</v>
      </c>
      <c r="AQ272" s="7">
        <v>454751</v>
      </c>
      <c r="AS272" s="7">
        <v>1142919</v>
      </c>
      <c r="AW272" s="7">
        <v>0</v>
      </c>
      <c r="AY272" s="7">
        <f t="shared" si="32"/>
        <v>17636149</v>
      </c>
      <c r="BA272" s="7">
        <f>+'St of Activites - GA Rev'!AI272-'St of Activities - GA Exp'!AY272</f>
        <v>297521</v>
      </c>
      <c r="BC272" s="7">
        <v>10027976</v>
      </c>
      <c r="BE272" s="7">
        <f t="shared" si="33"/>
        <v>10325497</v>
      </c>
      <c r="BG272" s="7">
        <f>+'St of Net Assets - GA'!AA272-'St of Activities - GA Exp'!BE272</f>
        <v>0</v>
      </c>
      <c r="BL272" s="7" t="str">
        <f t="shared" si="34"/>
        <v xml:space="preserve">Keystone Local SD </v>
      </c>
      <c r="BM272" s="7" t="b">
        <f t="shared" si="35"/>
        <v>1</v>
      </c>
      <c r="BO272" s="7" t="str">
        <f t="shared" si="36"/>
        <v>Lorain</v>
      </c>
      <c r="BP272" s="7" t="b">
        <f t="shared" si="37"/>
        <v>1</v>
      </c>
    </row>
    <row r="273" spans="1:68">
      <c r="A273" s="12" t="s">
        <v>761</v>
      </c>
      <c r="B273" s="12"/>
      <c r="C273" s="12" t="s">
        <v>69</v>
      </c>
      <c r="D273" s="12"/>
      <c r="E273" s="12">
        <v>50435</v>
      </c>
      <c r="G273" s="7">
        <v>18749227</v>
      </c>
      <c r="I273" s="7">
        <v>4175969</v>
      </c>
      <c r="K273" s="7">
        <v>0</v>
      </c>
      <c r="M273" s="7">
        <v>0</v>
      </c>
      <c r="O273" s="7">
        <v>834608</v>
      </c>
      <c r="Q273" s="7">
        <v>2133490</v>
      </c>
      <c r="S273" s="7">
        <v>1794516</v>
      </c>
      <c r="U273" s="7">
        <v>64035</v>
      </c>
      <c r="W273" s="7">
        <v>3471632</v>
      </c>
      <c r="Y273" s="7">
        <v>908749</v>
      </c>
      <c r="AA273" s="7">
        <v>159330</v>
      </c>
      <c r="AC273" s="7">
        <v>5923342</v>
      </c>
      <c r="AE273" s="7">
        <v>2909657</v>
      </c>
      <c r="AG273" s="7">
        <v>263809</v>
      </c>
      <c r="AI273" s="12" t="s">
        <v>761</v>
      </c>
      <c r="AJ273" s="12"/>
      <c r="AK273" s="12" t="s">
        <v>69</v>
      </c>
      <c r="AL273" s="12"/>
      <c r="AM273" s="7">
        <v>0</v>
      </c>
      <c r="AO273" s="7">
        <v>588767</v>
      </c>
      <c r="AQ273" s="7">
        <v>1229591</v>
      </c>
      <c r="AS273" s="7">
        <v>2947782</v>
      </c>
      <c r="AW273" s="7">
        <v>0</v>
      </c>
      <c r="AY273" s="7">
        <f t="shared" si="32"/>
        <v>46154504</v>
      </c>
      <c r="BA273" s="7">
        <f>+'St of Activites - GA Rev'!AI273-'St of Activities - GA Exp'!AY273</f>
        <v>436447</v>
      </c>
      <c r="BC273" s="7">
        <v>7561595</v>
      </c>
      <c r="BE273" s="7">
        <f t="shared" si="33"/>
        <v>7998042</v>
      </c>
      <c r="BG273" s="7">
        <f>+'St of Net Assets - GA'!AA273-'St of Activities - GA Exp'!BE273</f>
        <v>0</v>
      </c>
      <c r="BL273" s="7" t="str">
        <f t="shared" si="34"/>
        <v xml:space="preserve">Kings Local SD  </v>
      </c>
      <c r="BM273" s="7" t="b">
        <f t="shared" si="35"/>
        <v>1</v>
      </c>
      <c r="BO273" s="7" t="str">
        <f t="shared" si="36"/>
        <v>Warren</v>
      </c>
      <c r="BP273" s="7" t="b">
        <f t="shared" si="37"/>
        <v>1</v>
      </c>
    </row>
    <row r="274" spans="1:68" ht="12" hidden="1" customHeight="1">
      <c r="A274" s="12" t="s">
        <v>729</v>
      </c>
      <c r="B274" s="12"/>
      <c r="C274" s="12" t="s">
        <v>41</v>
      </c>
      <c r="D274" s="12"/>
      <c r="E274" s="12">
        <v>47878</v>
      </c>
      <c r="AI274" s="12" t="s">
        <v>729</v>
      </c>
      <c r="AJ274" s="12"/>
      <c r="AK274" s="12" t="s">
        <v>41</v>
      </c>
      <c r="AL274" s="12"/>
      <c r="AW274" s="7">
        <v>0</v>
      </c>
      <c r="AY274" s="7">
        <f t="shared" si="32"/>
        <v>0</v>
      </c>
      <c r="BA274" s="7">
        <f>+'St of Activites - GA Rev'!AI274-'St of Activities - GA Exp'!AY274</f>
        <v>0</v>
      </c>
      <c r="BE274" s="7">
        <f t="shared" si="33"/>
        <v>0</v>
      </c>
      <c r="BG274" s="7">
        <f>+'St of Net Assets - GA'!AA274-'St of Activities - GA Exp'!BE274</f>
        <v>0</v>
      </c>
      <c r="BH274" s="7" t="s">
        <v>911</v>
      </c>
      <c r="BL274" s="7" t="str">
        <f t="shared" si="34"/>
        <v>Kirtland Local SD (CASH)</v>
      </c>
      <c r="BM274" s="7" t="b">
        <f t="shared" si="35"/>
        <v>1</v>
      </c>
      <c r="BO274" s="7" t="str">
        <f t="shared" si="36"/>
        <v>Lake</v>
      </c>
      <c r="BP274" s="7" t="b">
        <f t="shared" si="37"/>
        <v>1</v>
      </c>
    </row>
    <row r="275" spans="1:68">
      <c r="A275" s="12" t="s">
        <v>540</v>
      </c>
      <c r="B275" s="12"/>
      <c r="C275" s="12" t="s">
        <v>64</v>
      </c>
      <c r="D275" s="12"/>
      <c r="E275" s="12">
        <v>50245</v>
      </c>
      <c r="G275" s="7">
        <v>6800005</v>
      </c>
      <c r="I275" s="7">
        <v>1665537</v>
      </c>
      <c r="K275" s="7">
        <v>53022</v>
      </c>
      <c r="M275" s="7">
        <v>476</v>
      </c>
      <c r="O275" s="7">
        <v>561590</v>
      </c>
      <c r="Q275" s="7">
        <v>777023</v>
      </c>
      <c r="S275" s="7">
        <v>296716</v>
      </c>
      <c r="U275" s="7">
        <v>52298</v>
      </c>
      <c r="W275" s="7">
        <v>1161242</v>
      </c>
      <c r="Y275" s="7">
        <v>349373</v>
      </c>
      <c r="AA275" s="7">
        <v>0</v>
      </c>
      <c r="AC275" s="7">
        <v>1433631</v>
      </c>
      <c r="AE275" s="7">
        <v>600458</v>
      </c>
      <c r="AG275" s="7">
        <v>110937</v>
      </c>
      <c r="AI275" s="12" t="s">
        <v>540</v>
      </c>
      <c r="AJ275" s="12"/>
      <c r="AK275" s="12" t="s">
        <v>64</v>
      </c>
      <c r="AL275" s="12"/>
      <c r="AM275" s="7">
        <v>665458</v>
      </c>
      <c r="AO275" s="7">
        <v>3800</v>
      </c>
      <c r="AQ275" s="7">
        <v>500119</v>
      </c>
      <c r="AS275" s="7">
        <v>431714</v>
      </c>
      <c r="AW275" s="7">
        <v>0</v>
      </c>
      <c r="AY275" s="7">
        <f t="shared" si="32"/>
        <v>15463399</v>
      </c>
      <c r="BA275" s="7">
        <f>+'St of Activites - GA Rev'!AI275-'St of Activities - GA Exp'!AY275</f>
        <v>-529283</v>
      </c>
      <c r="BC275" s="7">
        <v>21871855</v>
      </c>
      <c r="BE275" s="7">
        <f t="shared" si="33"/>
        <v>21342572</v>
      </c>
      <c r="BG275" s="7">
        <f>+'St of Net Assets - GA'!AA275-'St of Activities - GA Exp'!BE275</f>
        <v>0</v>
      </c>
      <c r="BL275" s="7" t="str">
        <f t="shared" si="34"/>
        <v>LaBrae Local SD</v>
      </c>
      <c r="BM275" s="7" t="b">
        <f t="shared" si="35"/>
        <v>1</v>
      </c>
      <c r="BO275" s="7" t="str">
        <f t="shared" si="36"/>
        <v>Trumbull</v>
      </c>
      <c r="BP275" s="7" t="b">
        <f t="shared" si="37"/>
        <v>1</v>
      </c>
    </row>
    <row r="276" spans="1:68">
      <c r="A276" s="12" t="s">
        <v>513</v>
      </c>
      <c r="B276" s="12"/>
      <c r="C276" s="12" t="s">
        <v>62</v>
      </c>
      <c r="D276" s="12"/>
      <c r="E276" s="12">
        <v>49866</v>
      </c>
      <c r="G276" s="7">
        <v>15230653</v>
      </c>
      <c r="I276" s="7">
        <v>3302599</v>
      </c>
      <c r="K276" s="7">
        <v>469875</v>
      </c>
      <c r="M276" s="7">
        <v>0</v>
      </c>
      <c r="O276" s="7">
        <f>204750+1056238</f>
        <v>1260988</v>
      </c>
      <c r="Q276" s="7">
        <v>1025087</v>
      </c>
      <c r="S276" s="7">
        <v>1772103</v>
      </c>
      <c r="U276" s="7">
        <v>27212</v>
      </c>
      <c r="W276" s="7">
        <v>3033550</v>
      </c>
      <c r="Y276" s="7">
        <v>660601</v>
      </c>
      <c r="AA276" s="7">
        <v>76393</v>
      </c>
      <c r="AC276" s="7">
        <v>3145568</v>
      </c>
      <c r="AE276" s="7">
        <v>2781056</v>
      </c>
      <c r="AG276" s="7">
        <v>174248</v>
      </c>
      <c r="AI276" s="12" t="s">
        <v>513</v>
      </c>
      <c r="AJ276" s="12"/>
      <c r="AK276" s="12" t="s">
        <v>62</v>
      </c>
      <c r="AL276" s="12"/>
      <c r="AM276" s="7">
        <v>0</v>
      </c>
      <c r="AO276" s="7">
        <v>468966</v>
      </c>
      <c r="AQ276" s="7">
        <v>1101417</v>
      </c>
      <c r="AS276" s="7">
        <v>1207719</v>
      </c>
      <c r="AW276" s="7">
        <v>0</v>
      </c>
      <c r="AY276" s="7">
        <f t="shared" si="32"/>
        <v>35738035</v>
      </c>
      <c r="BA276" s="7">
        <f>+'St of Activites - GA Rev'!AI276-'St of Activities - GA Exp'!AY276</f>
        <v>1445648</v>
      </c>
      <c r="BC276" s="7">
        <v>14650804</v>
      </c>
      <c r="BE276" s="7">
        <f t="shared" si="33"/>
        <v>16096452</v>
      </c>
      <c r="BG276" s="7">
        <f>+'St of Net Assets - GA'!AA276-'St of Activities - GA Exp'!BE276</f>
        <v>0</v>
      </c>
      <c r="BL276" s="7" t="str">
        <f t="shared" si="34"/>
        <v>Lake Local SD</v>
      </c>
      <c r="BM276" s="7" t="b">
        <f t="shared" si="35"/>
        <v>1</v>
      </c>
      <c r="BO276" s="7" t="str">
        <f t="shared" si="36"/>
        <v>Stark</v>
      </c>
      <c r="BP276" s="7" t="b">
        <f t="shared" si="37"/>
        <v>1</v>
      </c>
    </row>
    <row r="277" spans="1:68" hidden="1">
      <c r="A277" s="12" t="s">
        <v>913</v>
      </c>
      <c r="B277" s="12"/>
      <c r="C277" s="12" t="s">
        <v>72</v>
      </c>
      <c r="D277" s="12"/>
      <c r="E277" s="12">
        <v>50690</v>
      </c>
      <c r="AI277" s="12" t="s">
        <v>913</v>
      </c>
      <c r="AJ277" s="12"/>
      <c r="AK277" s="12" t="s">
        <v>72</v>
      </c>
      <c r="AL277" s="12"/>
      <c r="AW277" s="7">
        <v>0</v>
      </c>
      <c r="AY277" s="7">
        <f t="shared" si="32"/>
        <v>0</v>
      </c>
      <c r="BA277" s="7">
        <f>+'St of Activites - GA Rev'!AI277-'St of Activities - GA Exp'!AY277</f>
        <v>0</v>
      </c>
      <c r="BE277" s="7">
        <f t="shared" si="33"/>
        <v>0</v>
      </c>
      <c r="BG277" s="7">
        <f>+'St of Net Assets - GA'!AA277-'St of Activities - GA Exp'!BE277</f>
        <v>0</v>
      </c>
      <c r="BH277" s="7" t="s">
        <v>912</v>
      </c>
      <c r="BL277" s="7" t="str">
        <f t="shared" si="34"/>
        <v>Lake Local SD (CASH)</v>
      </c>
      <c r="BM277" s="7" t="b">
        <f t="shared" si="35"/>
        <v>1</v>
      </c>
      <c r="BO277" s="7" t="str">
        <f t="shared" si="36"/>
        <v>Wood</v>
      </c>
      <c r="BP277" s="7" t="b">
        <f t="shared" si="37"/>
        <v>1</v>
      </c>
    </row>
    <row r="278" spans="1:68">
      <c r="A278" s="12" t="s">
        <v>541</v>
      </c>
      <c r="B278" s="12"/>
      <c r="C278" s="12" t="s">
        <v>64</v>
      </c>
      <c r="D278" s="12"/>
      <c r="E278" s="12">
        <v>50187</v>
      </c>
      <c r="G278" s="7">
        <v>7376081</v>
      </c>
      <c r="I278" s="7">
        <v>3380909</v>
      </c>
      <c r="K278" s="7">
        <v>0</v>
      </c>
      <c r="M278" s="7">
        <v>0</v>
      </c>
      <c r="O278" s="7">
        <v>0</v>
      </c>
      <c r="Q278" s="7">
        <v>843259</v>
      </c>
      <c r="S278" s="7">
        <v>857762</v>
      </c>
      <c r="U278" s="7">
        <v>14281</v>
      </c>
      <c r="W278" s="7">
        <v>1192877</v>
      </c>
      <c r="Y278" s="7">
        <v>458212</v>
      </c>
      <c r="AA278" s="7">
        <v>0</v>
      </c>
      <c r="AC278" s="7">
        <v>1569821</v>
      </c>
      <c r="AE278" s="7">
        <v>807955</v>
      </c>
      <c r="AG278" s="7">
        <v>1590</v>
      </c>
      <c r="AI278" s="12" t="s">
        <v>541</v>
      </c>
      <c r="AJ278" s="12"/>
      <c r="AK278" s="12" t="s">
        <v>64</v>
      </c>
      <c r="AL278" s="12"/>
      <c r="AM278" s="7">
        <v>527124</v>
      </c>
      <c r="AO278" s="7">
        <v>11726</v>
      </c>
      <c r="AQ278" s="7">
        <v>479583</v>
      </c>
      <c r="AS278" s="7">
        <v>343886</v>
      </c>
      <c r="AW278" s="7">
        <v>0</v>
      </c>
      <c r="AY278" s="7">
        <f t="shared" si="32"/>
        <v>17865066</v>
      </c>
      <c r="BA278" s="7">
        <f>+'St of Activites - GA Rev'!AI278-'St of Activities - GA Exp'!AY278</f>
        <v>-246988</v>
      </c>
      <c r="BC278" s="7">
        <v>2353680</v>
      </c>
      <c r="BE278" s="7">
        <f t="shared" si="33"/>
        <v>2106692</v>
      </c>
      <c r="BG278" s="7">
        <f>+'St of Net Assets - GA'!AA278-'St of Activities - GA Exp'!BE278</f>
        <v>0</v>
      </c>
      <c r="BL278" s="7" t="str">
        <f t="shared" si="34"/>
        <v>Lakeview Local SD</v>
      </c>
      <c r="BM278" s="7" t="b">
        <f t="shared" si="35"/>
        <v>1</v>
      </c>
      <c r="BO278" s="7" t="str">
        <f t="shared" si="36"/>
        <v>Trumbull</v>
      </c>
      <c r="BP278" s="7" t="b">
        <f t="shared" si="37"/>
        <v>1</v>
      </c>
    </row>
    <row r="279" spans="1:68">
      <c r="A279" s="12" t="s">
        <v>276</v>
      </c>
      <c r="B279" s="12"/>
      <c r="C279" s="12" t="s">
        <v>20</v>
      </c>
      <c r="D279" s="12"/>
      <c r="E279" s="12">
        <v>44198</v>
      </c>
      <c r="G279" s="7">
        <v>29259061</v>
      </c>
      <c r="I279" s="7">
        <v>13821513</v>
      </c>
      <c r="K279" s="7">
        <v>2906196</v>
      </c>
      <c r="M279" s="7">
        <v>291651</v>
      </c>
      <c r="O279" s="7">
        <v>3450482</v>
      </c>
      <c r="Q279" s="7">
        <v>4590126</v>
      </c>
      <c r="S279" s="7">
        <v>4621838</v>
      </c>
      <c r="U279" s="7">
        <v>97469</v>
      </c>
      <c r="W279" s="7">
        <v>3396433</v>
      </c>
      <c r="Y279" s="7">
        <v>1714244</v>
      </c>
      <c r="AA279" s="7">
        <v>1004529</v>
      </c>
      <c r="AC279" s="7">
        <v>7585509</v>
      </c>
      <c r="AE279" s="7">
        <v>79336</v>
      </c>
      <c r="AG279" s="7">
        <v>447441</v>
      </c>
      <c r="AI279" s="12" t="s">
        <v>276</v>
      </c>
      <c r="AJ279" s="12"/>
      <c r="AK279" s="12" t="s">
        <v>20</v>
      </c>
      <c r="AL279" s="12"/>
      <c r="AM279" s="7">
        <v>0</v>
      </c>
      <c r="AO279" s="7">
        <v>2886651</v>
      </c>
      <c r="AQ279" s="7">
        <v>1275495</v>
      </c>
      <c r="AS279" s="7">
        <v>6310656</v>
      </c>
      <c r="AW279" s="7">
        <v>0</v>
      </c>
      <c r="AY279" s="7">
        <f t="shared" si="32"/>
        <v>83738630</v>
      </c>
      <c r="BA279" s="7">
        <f>+'St of Activites - GA Rev'!AI279-'St of Activities - GA Exp'!AY279</f>
        <v>3914579</v>
      </c>
      <c r="BC279" s="7">
        <v>20767188</v>
      </c>
      <c r="BE279" s="7">
        <f t="shared" si="33"/>
        <v>24681767</v>
      </c>
      <c r="BG279" s="7">
        <f>+'St of Net Assets - GA'!AA279-'St of Activities - GA Exp'!BE279</f>
        <v>0</v>
      </c>
      <c r="BH279" s="7" t="s">
        <v>914</v>
      </c>
      <c r="BL279" s="7" t="str">
        <f t="shared" si="34"/>
        <v>Lakewood City SD</v>
      </c>
      <c r="BM279" s="7" t="b">
        <f t="shared" si="35"/>
        <v>1</v>
      </c>
      <c r="BO279" s="7" t="str">
        <f t="shared" si="36"/>
        <v>Cuyahoga</v>
      </c>
      <c r="BP279" s="7" t="b">
        <f t="shared" si="37"/>
        <v>1</v>
      </c>
    </row>
    <row r="280" spans="1:68">
      <c r="A280" s="12" t="s">
        <v>657</v>
      </c>
      <c r="B280" s="12"/>
      <c r="C280" s="12" t="s">
        <v>42</v>
      </c>
      <c r="D280" s="12"/>
      <c r="E280" s="12">
        <v>47993</v>
      </c>
      <c r="G280" s="7">
        <v>13150165</v>
      </c>
      <c r="I280" s="7">
        <v>0</v>
      </c>
      <c r="K280" s="7">
        <v>0</v>
      </c>
      <c r="M280" s="7">
        <v>0</v>
      </c>
      <c r="O280" s="7">
        <v>0</v>
      </c>
      <c r="Q280" s="7">
        <v>1224974</v>
      </c>
      <c r="S280" s="7">
        <v>281544</v>
      </c>
      <c r="U280" s="7">
        <v>54198</v>
      </c>
      <c r="W280" s="7">
        <v>1889652</v>
      </c>
      <c r="Y280" s="7">
        <v>600845</v>
      </c>
      <c r="AA280" s="7">
        <v>19723</v>
      </c>
      <c r="AC280" s="7">
        <v>1551640</v>
      </c>
      <c r="AE280" s="7">
        <v>1543782</v>
      </c>
      <c r="AG280" s="7">
        <v>281113</v>
      </c>
      <c r="AI280" s="12" t="s">
        <v>657</v>
      </c>
      <c r="AJ280" s="12"/>
      <c r="AK280" s="12" t="s">
        <v>42</v>
      </c>
      <c r="AL280" s="12"/>
      <c r="AM280" s="7">
        <v>0</v>
      </c>
      <c r="AO280" s="7">
        <v>45099</v>
      </c>
      <c r="AQ280" s="7">
        <v>537562</v>
      </c>
      <c r="AS280" s="7">
        <v>575861</v>
      </c>
      <c r="AW280" s="7">
        <v>0</v>
      </c>
      <c r="AY280" s="7">
        <f t="shared" si="32"/>
        <v>21756158</v>
      </c>
      <c r="BA280" s="7">
        <f>+'St of Activites - GA Rev'!AI280-'St of Activities - GA Exp'!AY280</f>
        <v>962676</v>
      </c>
      <c r="BC280" s="7">
        <v>7924759</v>
      </c>
      <c r="BE280" s="7">
        <f t="shared" si="33"/>
        <v>8887435</v>
      </c>
      <c r="BG280" s="7">
        <f>+'St of Net Assets - GA'!AA280-'St of Activities - GA Exp'!BE280</f>
        <v>0</v>
      </c>
      <c r="BH280" s="7" t="s">
        <v>806</v>
      </c>
      <c r="BL280" s="7" t="str">
        <f t="shared" si="34"/>
        <v>Lakewood Local  SD</v>
      </c>
      <c r="BM280" s="7" t="b">
        <f t="shared" si="35"/>
        <v>1</v>
      </c>
      <c r="BO280" s="7" t="str">
        <f t="shared" si="36"/>
        <v>Licking</v>
      </c>
      <c r="BP280" s="7" t="b">
        <f t="shared" si="37"/>
        <v>1</v>
      </c>
    </row>
    <row r="281" spans="1:68">
      <c r="A281" s="12" t="s">
        <v>226</v>
      </c>
      <c r="B281" s="12"/>
      <c r="C281" s="12" t="s">
        <v>223</v>
      </c>
      <c r="D281" s="12"/>
      <c r="E281" s="12">
        <v>46110</v>
      </c>
      <c r="G281" s="7">
        <v>78216974</v>
      </c>
      <c r="I281" s="7">
        <v>14958176</v>
      </c>
      <c r="K281" s="7">
        <v>258</v>
      </c>
      <c r="M281" s="7">
        <v>0</v>
      </c>
      <c r="O281" s="7">
        <v>4991817</v>
      </c>
      <c r="Q281" s="7">
        <v>12432349</v>
      </c>
      <c r="S281" s="7">
        <v>10645860</v>
      </c>
      <c r="U281" s="7">
        <v>93099</v>
      </c>
      <c r="W281" s="7">
        <v>13293359</v>
      </c>
      <c r="Y281" s="7">
        <v>1376474</v>
      </c>
      <c r="AA281" s="7">
        <v>410605</v>
      </c>
      <c r="AC281" s="7">
        <v>13471298</v>
      </c>
      <c r="AE281" s="7">
        <v>14483316</v>
      </c>
      <c r="AG281" s="7">
        <v>3383747</v>
      </c>
      <c r="AI281" s="12" t="s">
        <v>226</v>
      </c>
      <c r="AJ281" s="12"/>
      <c r="AK281" s="12" t="s">
        <v>223</v>
      </c>
      <c r="AL281" s="12"/>
      <c r="AM281" s="7">
        <v>0</v>
      </c>
      <c r="AO281" s="7">
        <v>6452226</v>
      </c>
      <c r="AQ281" s="7">
        <v>3005242</v>
      </c>
      <c r="AS281" s="7">
        <v>9242380</v>
      </c>
      <c r="AW281" s="7">
        <v>0</v>
      </c>
      <c r="AY281" s="7">
        <f t="shared" si="32"/>
        <v>186457180</v>
      </c>
      <c r="BA281" s="7">
        <f>+'St of Activites - GA Rev'!AI281-'St of Activities - GA Exp'!AY281</f>
        <v>-9029663</v>
      </c>
      <c r="BC281" s="7">
        <v>55915910</v>
      </c>
      <c r="BE281" s="7">
        <f t="shared" si="33"/>
        <v>46886247</v>
      </c>
      <c r="BG281" s="7">
        <f>+'St of Net Assets - GA'!AA281-'St of Activities - GA Exp'!BE281</f>
        <v>0</v>
      </c>
      <c r="BL281" s="7" t="str">
        <f t="shared" si="34"/>
        <v>Lakota Local SD</v>
      </c>
      <c r="BM281" s="7" t="b">
        <f t="shared" si="35"/>
        <v>1</v>
      </c>
      <c r="BO281" s="7" t="str">
        <f t="shared" si="36"/>
        <v>Butler</v>
      </c>
      <c r="BP281" s="7" t="b">
        <f t="shared" si="37"/>
        <v>1</v>
      </c>
    </row>
    <row r="282" spans="1:68" hidden="1">
      <c r="A282" s="12" t="s">
        <v>915</v>
      </c>
      <c r="B282" s="12"/>
      <c r="C282" s="12" t="s">
        <v>79</v>
      </c>
      <c r="D282" s="12"/>
      <c r="E282" s="12">
        <v>49569</v>
      </c>
      <c r="AI282" s="12" t="s">
        <v>915</v>
      </c>
      <c r="AJ282" s="12"/>
      <c r="AK282" s="12" t="s">
        <v>79</v>
      </c>
      <c r="AL282" s="12"/>
      <c r="AW282" s="7">
        <v>0</v>
      </c>
      <c r="AY282" s="7">
        <f t="shared" si="32"/>
        <v>0</v>
      </c>
      <c r="BA282" s="7">
        <f>+'St of Activites - GA Rev'!AI282-'St of Activities - GA Exp'!AY282</f>
        <v>0</v>
      </c>
      <c r="BE282" s="7">
        <f t="shared" si="33"/>
        <v>0</v>
      </c>
      <c r="BG282" s="7">
        <f>+'St of Net Assets - GA'!AA282-'St of Activities - GA Exp'!BE282</f>
        <v>0</v>
      </c>
      <c r="BH282" s="7" t="s">
        <v>903</v>
      </c>
      <c r="BL282" s="7" t="str">
        <f t="shared" si="34"/>
        <v>Lakota Local SD (CASH)</v>
      </c>
      <c r="BM282" s="7" t="b">
        <f t="shared" si="35"/>
        <v>1</v>
      </c>
      <c r="BO282" s="7" t="str">
        <f t="shared" si="36"/>
        <v>Sandusky</v>
      </c>
      <c r="BP282" s="7" t="b">
        <f t="shared" si="37"/>
        <v>1</v>
      </c>
    </row>
    <row r="283" spans="1:68" ht="12" customHeight="1">
      <c r="A283" s="12" t="s">
        <v>301</v>
      </c>
      <c r="B283" s="12"/>
      <c r="C283" s="12" t="s">
        <v>25</v>
      </c>
      <c r="D283" s="12"/>
      <c r="E283" s="12">
        <v>44206</v>
      </c>
      <c r="G283" s="7">
        <v>25267226</v>
      </c>
      <c r="I283" s="7">
        <v>6774046</v>
      </c>
      <c r="K283" s="7">
        <v>1988929</v>
      </c>
      <c r="M283" s="7">
        <v>0</v>
      </c>
      <c r="O283" s="7">
        <v>387025</v>
      </c>
      <c r="Q283" s="7">
        <v>3803695</v>
      </c>
      <c r="S283" s="7">
        <v>4536035</v>
      </c>
      <c r="U283" s="7">
        <v>138662</v>
      </c>
      <c r="W283" s="7">
        <v>3989703</v>
      </c>
      <c r="Y283" s="7">
        <v>1225020</v>
      </c>
      <c r="AA283" s="7">
        <v>301490</v>
      </c>
      <c r="AC283" s="7">
        <v>4732028</v>
      </c>
      <c r="AE283" s="7">
        <v>1814524</v>
      </c>
      <c r="AG283" s="7">
        <v>1028761</v>
      </c>
      <c r="AI283" s="12" t="s">
        <v>301</v>
      </c>
      <c r="AJ283" s="12"/>
      <c r="AK283" s="12" t="s">
        <v>25</v>
      </c>
      <c r="AL283" s="12"/>
      <c r="AM283" s="7">
        <v>2442927</v>
      </c>
      <c r="AO283" s="7">
        <v>1053992</v>
      </c>
      <c r="AQ283" s="7">
        <v>1198641</v>
      </c>
      <c r="AS283" s="7">
        <v>48045</v>
      </c>
      <c r="AW283" s="7">
        <v>0</v>
      </c>
      <c r="AY283" s="7">
        <f t="shared" si="32"/>
        <v>60730749</v>
      </c>
      <c r="BA283" s="7">
        <f>+'St of Activites - GA Rev'!AI283-'St of Activities - GA Exp'!AY283</f>
        <v>7857830</v>
      </c>
      <c r="BC283" s="7">
        <v>44748527</v>
      </c>
      <c r="BE283" s="7">
        <f t="shared" si="33"/>
        <v>52606357</v>
      </c>
      <c r="BG283" s="7">
        <f>+'St of Net Assets - GA'!AA283-'St of Activities - GA Exp'!BE283</f>
        <v>0</v>
      </c>
      <c r="BL283" s="7" t="str">
        <f t="shared" si="34"/>
        <v>Lancaster City SD</v>
      </c>
      <c r="BM283" s="7" t="b">
        <f t="shared" si="35"/>
        <v>1</v>
      </c>
      <c r="BO283" s="7" t="str">
        <f t="shared" si="36"/>
        <v>Fairfield</v>
      </c>
      <c r="BP283" s="7" t="b">
        <f t="shared" si="37"/>
        <v>1</v>
      </c>
    </row>
    <row r="284" spans="1:68" ht="12" hidden="1" customHeight="1">
      <c r="A284" s="12" t="s">
        <v>771</v>
      </c>
      <c r="B284" s="12"/>
      <c r="C284" s="12" t="s">
        <v>69</v>
      </c>
      <c r="D284" s="12"/>
      <c r="E284" s="12">
        <v>44214</v>
      </c>
      <c r="AI284" s="12" t="s">
        <v>771</v>
      </c>
      <c r="AJ284" s="12"/>
      <c r="AK284" s="12" t="s">
        <v>69</v>
      </c>
      <c r="AL284" s="12"/>
      <c r="AW284" s="7">
        <v>0</v>
      </c>
      <c r="AY284" s="7">
        <f t="shared" si="32"/>
        <v>0</v>
      </c>
      <c r="BA284" s="7">
        <f>+'St of Activites - GA Rev'!AI284-'St of Activities - GA Exp'!AY284</f>
        <v>0</v>
      </c>
      <c r="BE284" s="7">
        <f t="shared" si="33"/>
        <v>0</v>
      </c>
      <c r="BG284" s="7">
        <f>+'St of Net Assets - GA'!AA284-'St of Activities - GA Exp'!BE284</f>
        <v>0</v>
      </c>
      <c r="BH284" s="7" t="s">
        <v>839</v>
      </c>
      <c r="BL284" s="7" t="str">
        <f t="shared" si="34"/>
        <v xml:space="preserve">Lebanon City SD (CASH) </v>
      </c>
      <c r="BM284" s="7" t="b">
        <f t="shared" si="35"/>
        <v>1</v>
      </c>
      <c r="BO284" s="7" t="str">
        <f t="shared" si="36"/>
        <v>Warren</v>
      </c>
      <c r="BP284" s="7" t="b">
        <f t="shared" si="37"/>
        <v>1</v>
      </c>
    </row>
    <row r="285" spans="1:68">
      <c r="A285" s="12" t="s">
        <v>322</v>
      </c>
      <c r="B285" s="12"/>
      <c r="C285" s="12" t="s">
        <v>30</v>
      </c>
      <c r="D285" s="12"/>
      <c r="E285" s="12">
        <v>47209</v>
      </c>
      <c r="G285" s="7">
        <v>2506343</v>
      </c>
      <c r="I285" s="7">
        <v>953708</v>
      </c>
      <c r="K285" s="7">
        <v>91866</v>
      </c>
      <c r="M285" s="7">
        <v>0</v>
      </c>
      <c r="O285" s="7">
        <v>643893</v>
      </c>
      <c r="Q285" s="7">
        <v>167361</v>
      </c>
      <c r="S285" s="7">
        <v>98268</v>
      </c>
      <c r="U285" s="7">
        <v>34332</v>
      </c>
      <c r="W285" s="7">
        <v>593300</v>
      </c>
      <c r="Y285" s="7">
        <v>225673</v>
      </c>
      <c r="AA285" s="7">
        <v>0</v>
      </c>
      <c r="AC285" s="7">
        <v>747709</v>
      </c>
      <c r="AE285" s="7">
        <v>510024</v>
      </c>
      <c r="AG285" s="7">
        <v>19093</v>
      </c>
      <c r="AI285" s="12" t="s">
        <v>322</v>
      </c>
      <c r="AJ285" s="12"/>
      <c r="AK285" s="12" t="s">
        <v>30</v>
      </c>
      <c r="AL285" s="12"/>
      <c r="AM285" s="7">
        <v>173980</v>
      </c>
      <c r="AO285" s="7">
        <v>4044</v>
      </c>
      <c r="AQ285" s="7">
        <v>127485</v>
      </c>
      <c r="AS285" s="7">
        <v>7069</v>
      </c>
      <c r="AW285" s="7">
        <v>0</v>
      </c>
      <c r="AY285" s="7">
        <f t="shared" si="32"/>
        <v>6904148</v>
      </c>
      <c r="BA285" s="7">
        <f>+'St of Activites - GA Rev'!AI285-'St of Activities - GA Exp'!AY285</f>
        <v>-905762</v>
      </c>
      <c r="BC285" s="7">
        <v>393205</v>
      </c>
      <c r="BE285" s="7">
        <f t="shared" si="33"/>
        <v>-512557</v>
      </c>
      <c r="BG285" s="7">
        <f>+'St of Net Assets - GA'!AA285-'St of Activities - GA Exp'!BE285</f>
        <v>0</v>
      </c>
      <c r="BL285" s="7" t="str">
        <f t="shared" si="34"/>
        <v>Ledgemont Local SD</v>
      </c>
      <c r="BM285" s="7" t="b">
        <f t="shared" si="35"/>
        <v>1</v>
      </c>
      <c r="BO285" s="7" t="str">
        <f t="shared" si="36"/>
        <v>Geauga</v>
      </c>
      <c r="BP285" s="7" t="b">
        <f t="shared" si="37"/>
        <v>1</v>
      </c>
    </row>
    <row r="286" spans="1:68" hidden="1">
      <c r="A286" s="12" t="s">
        <v>872</v>
      </c>
      <c r="B286" s="12"/>
      <c r="C286" s="12" t="s">
        <v>112</v>
      </c>
      <c r="D286" s="12"/>
      <c r="E286" s="12"/>
      <c r="AI286" s="12" t="s">
        <v>872</v>
      </c>
      <c r="AJ286" s="12"/>
      <c r="AK286" s="12" t="s">
        <v>112</v>
      </c>
      <c r="AL286" s="12"/>
      <c r="AW286" s="7">
        <v>0</v>
      </c>
      <c r="BH286" s="7" t="s">
        <v>917</v>
      </c>
      <c r="BL286" s="7" t="str">
        <f t="shared" si="34"/>
        <v>Leetonia Exempted Village SD (CASH)</v>
      </c>
      <c r="BM286" s="7" t="b">
        <f t="shared" si="35"/>
        <v>1</v>
      </c>
      <c r="BO286" s="7" t="str">
        <f t="shared" si="36"/>
        <v>Columbiana</v>
      </c>
      <c r="BP286" s="7" t="b">
        <f t="shared" si="37"/>
        <v>1</v>
      </c>
    </row>
    <row r="287" spans="1:68" ht="12" hidden="1" customHeight="1">
      <c r="A287" s="12" t="s">
        <v>717</v>
      </c>
      <c r="B287" s="12"/>
      <c r="C287" s="12" t="s">
        <v>482</v>
      </c>
      <c r="D287" s="12"/>
      <c r="E287" s="12">
        <v>49353</v>
      </c>
      <c r="AI287" s="12" t="s">
        <v>717</v>
      </c>
      <c r="AJ287" s="12"/>
      <c r="AK287" s="12" t="s">
        <v>482</v>
      </c>
      <c r="AL287" s="12"/>
      <c r="AW287" s="7">
        <v>0</v>
      </c>
      <c r="AY287" s="7">
        <f t="shared" si="32"/>
        <v>0</v>
      </c>
      <c r="BA287" s="7">
        <f>+'St of Activites - GA Rev'!AI287-'St of Activities - GA Exp'!AY287</f>
        <v>0</v>
      </c>
      <c r="BE287" s="7">
        <f t="shared" si="33"/>
        <v>0</v>
      </c>
      <c r="BG287" s="7">
        <f>+'St of Net Assets - GA'!AA287-'St of Activities - GA Exp'!BE287</f>
        <v>0</v>
      </c>
      <c r="BH287" s="7" t="s">
        <v>839</v>
      </c>
      <c r="BL287" s="7" t="str">
        <f t="shared" si="34"/>
        <v>Leipsic Local SD (CASH)</v>
      </c>
      <c r="BM287" s="7" t="b">
        <f t="shared" si="35"/>
        <v>1</v>
      </c>
      <c r="BO287" s="7" t="str">
        <f t="shared" si="36"/>
        <v>Putnam</v>
      </c>
      <c r="BP287" s="7" t="b">
        <f t="shared" si="37"/>
        <v>1</v>
      </c>
    </row>
    <row r="288" spans="1:68" hidden="1">
      <c r="A288" s="12" t="s">
        <v>918</v>
      </c>
      <c r="B288" s="12"/>
      <c r="C288" s="12" t="s">
        <v>110</v>
      </c>
      <c r="D288" s="12"/>
      <c r="E288" s="12">
        <v>49437</v>
      </c>
      <c r="AI288" s="12" t="s">
        <v>918</v>
      </c>
      <c r="AJ288" s="12"/>
      <c r="AK288" s="12" t="s">
        <v>110</v>
      </c>
      <c r="AL288" s="12"/>
      <c r="AW288" s="7">
        <v>0</v>
      </c>
      <c r="AY288" s="7">
        <f t="shared" si="32"/>
        <v>0</v>
      </c>
      <c r="BA288" s="7">
        <f>+'St of Activites - GA Rev'!AI288-'St of Activities - GA Exp'!AY288</f>
        <v>0</v>
      </c>
      <c r="BE288" s="7">
        <f t="shared" si="33"/>
        <v>0</v>
      </c>
      <c r="BG288" s="7">
        <f>+'St of Net Assets - GA'!AA288-'St of Activities - GA Exp'!BE288</f>
        <v>0</v>
      </c>
      <c r="BH288" s="7" t="s">
        <v>912</v>
      </c>
      <c r="BL288" s="7" t="str">
        <f t="shared" si="34"/>
        <v>Lexington Local SD (CASH)</v>
      </c>
      <c r="BM288" s="7" t="b">
        <f t="shared" si="35"/>
        <v>1</v>
      </c>
      <c r="BO288" s="7" t="str">
        <f t="shared" si="36"/>
        <v>Richland</v>
      </c>
      <c r="BP288" s="7" t="b">
        <f t="shared" si="37"/>
        <v>1</v>
      </c>
    </row>
    <row r="289" spans="1:68">
      <c r="A289" s="12" t="s">
        <v>920</v>
      </c>
      <c r="B289" s="12"/>
      <c r="C289" s="12" t="s">
        <v>33</v>
      </c>
      <c r="D289" s="12"/>
      <c r="E289" s="12">
        <v>47449</v>
      </c>
      <c r="G289" s="7">
        <v>6069489</v>
      </c>
      <c r="I289" s="7">
        <v>1254805</v>
      </c>
      <c r="K289" s="7">
        <v>382605</v>
      </c>
      <c r="M289" s="7">
        <v>0</v>
      </c>
      <c r="O289" s="7">
        <v>0</v>
      </c>
      <c r="Q289" s="7">
        <v>1071774</v>
      </c>
      <c r="S289" s="7">
        <v>451557</v>
      </c>
      <c r="U289" s="7">
        <v>8334</v>
      </c>
      <c r="W289" s="7">
        <v>881236</v>
      </c>
      <c r="Y289" s="7">
        <v>321412</v>
      </c>
      <c r="AA289" s="7">
        <v>1931</v>
      </c>
      <c r="AC289" s="7">
        <v>1133327</v>
      </c>
      <c r="AE289" s="7">
        <v>565218</v>
      </c>
      <c r="AG289" s="7">
        <v>122830</v>
      </c>
      <c r="AI289" s="12" t="s">
        <v>920</v>
      </c>
      <c r="AJ289" s="12"/>
      <c r="AK289" s="12" t="s">
        <v>33</v>
      </c>
      <c r="AL289" s="12"/>
      <c r="AM289" s="7">
        <v>0</v>
      </c>
      <c r="AO289" s="7">
        <v>507292</v>
      </c>
      <c r="AQ289" s="7">
        <v>517780</v>
      </c>
      <c r="AS289" s="7">
        <v>425031</v>
      </c>
      <c r="AW289" s="7">
        <v>0</v>
      </c>
      <c r="AY289" s="7">
        <f>SUM(G289:AX289)</f>
        <v>13714621</v>
      </c>
      <c r="BA289" s="7">
        <f>+'St of Activites - GA Rev'!AI289-'St of Activities - GA Exp'!AY289</f>
        <v>689140</v>
      </c>
      <c r="BC289" s="7">
        <v>10702784</v>
      </c>
      <c r="BE289" s="7">
        <f>+BA289+BC289</f>
        <v>11391924</v>
      </c>
      <c r="BG289" s="7">
        <f>+'St of Net Assets - GA'!AA289-'St of Activities - GA Exp'!BE289</f>
        <v>0</v>
      </c>
      <c r="BL289" s="7" t="str">
        <f>A289</f>
        <v>Liberty Benton Local SD</v>
      </c>
      <c r="BM289" s="7" t="b">
        <f>A289=AI289</f>
        <v>1</v>
      </c>
      <c r="BO289" s="7" t="str">
        <f>C289</f>
        <v>Hancock</v>
      </c>
      <c r="BP289" s="7" t="b">
        <f>C289=AK289</f>
        <v>1</v>
      </c>
    </row>
    <row r="290" spans="1:68">
      <c r="A290" s="12" t="s">
        <v>355</v>
      </c>
      <c r="B290" s="12"/>
      <c r="C290" s="12" t="s">
        <v>34</v>
      </c>
      <c r="D290" s="12"/>
      <c r="E290" s="12">
        <v>47589</v>
      </c>
      <c r="G290" s="7">
        <v>4558542</v>
      </c>
      <c r="I290" s="7">
        <v>2282518</v>
      </c>
      <c r="K290" s="7">
        <v>251352</v>
      </c>
      <c r="M290" s="7">
        <v>0</v>
      </c>
      <c r="O290" s="7">
        <f>63819+282436</f>
        <v>346255</v>
      </c>
      <c r="Q290" s="7">
        <v>737457</v>
      </c>
      <c r="S290" s="7">
        <v>547120</v>
      </c>
      <c r="U290" s="7">
        <v>76919</v>
      </c>
      <c r="W290" s="7">
        <v>807614</v>
      </c>
      <c r="Y290" s="7">
        <v>324875</v>
      </c>
      <c r="AA290" s="7">
        <v>0</v>
      </c>
      <c r="AC290" s="7">
        <v>757160</v>
      </c>
      <c r="AE290" s="7">
        <v>510467</v>
      </c>
      <c r="AG290" s="7">
        <v>208290</v>
      </c>
      <c r="AI290" s="12" t="s">
        <v>355</v>
      </c>
      <c r="AJ290" s="12"/>
      <c r="AK290" s="12" t="s">
        <v>34</v>
      </c>
      <c r="AL290" s="12"/>
      <c r="AM290" s="7">
        <v>0</v>
      </c>
      <c r="AO290" s="7">
        <v>484912</v>
      </c>
      <c r="AQ290" s="7">
        <v>589238</v>
      </c>
      <c r="AS290" s="7">
        <v>101222</v>
      </c>
      <c r="AW290" s="7">
        <v>142390</v>
      </c>
      <c r="AY290" s="7">
        <f t="shared" si="32"/>
        <v>12726331</v>
      </c>
      <c r="BA290" s="7">
        <f>+'St of Activites - GA Rev'!AI290-'St of Activities - GA Exp'!AY290</f>
        <v>1175427</v>
      </c>
      <c r="BC290" s="7">
        <v>9064048</v>
      </c>
      <c r="BE290" s="7">
        <f t="shared" si="33"/>
        <v>10239475</v>
      </c>
      <c r="BG290" s="7">
        <f>+'St of Net Assets - GA'!AA290-'St of Activities - GA Exp'!BE290</f>
        <v>0</v>
      </c>
      <c r="BL290" s="7" t="str">
        <f t="shared" si="34"/>
        <v>Liberty Center Local SD</v>
      </c>
      <c r="BM290" s="7" t="b">
        <f t="shared" si="35"/>
        <v>1</v>
      </c>
      <c r="BO290" s="7" t="str">
        <f t="shared" si="36"/>
        <v>Henry</v>
      </c>
      <c r="BP290" s="7" t="b">
        <f t="shared" si="37"/>
        <v>1</v>
      </c>
    </row>
    <row r="291" spans="1:68" ht="12" customHeight="1">
      <c r="A291" s="12" t="s">
        <v>542</v>
      </c>
      <c r="B291" s="12"/>
      <c r="C291" s="12" t="s">
        <v>64</v>
      </c>
      <c r="D291" s="12"/>
      <c r="E291" s="12">
        <v>50195</v>
      </c>
      <c r="G291" s="7">
        <v>10342092</v>
      </c>
      <c r="I291" s="7">
        <v>1151418</v>
      </c>
      <c r="K291" s="7">
        <v>45178</v>
      </c>
      <c r="M291" s="7">
        <v>0</v>
      </c>
      <c r="O291" s="7">
        <v>0</v>
      </c>
      <c r="Q291" s="7">
        <v>420914</v>
      </c>
      <c r="S291" s="7">
        <v>507474</v>
      </c>
      <c r="U291" s="7">
        <v>14608</v>
      </c>
      <c r="W291" s="7">
        <v>1961098</v>
      </c>
      <c r="Y291" s="7">
        <v>856078</v>
      </c>
      <c r="AA291" s="7">
        <v>4749</v>
      </c>
      <c r="AC291" s="7">
        <v>2810801</v>
      </c>
      <c r="AE291" s="7">
        <v>815042</v>
      </c>
      <c r="AG291" s="7">
        <v>40810</v>
      </c>
      <c r="AI291" s="12" t="s">
        <v>542</v>
      </c>
      <c r="AJ291" s="12"/>
      <c r="AK291" s="12" t="s">
        <v>64</v>
      </c>
      <c r="AL291" s="12"/>
      <c r="AM291" s="7">
        <v>656513</v>
      </c>
      <c r="AO291" s="7">
        <v>1321</v>
      </c>
      <c r="AQ291" s="7">
        <v>497011</v>
      </c>
      <c r="AS291" s="7">
        <v>570221</v>
      </c>
      <c r="AW291" s="7">
        <v>0</v>
      </c>
      <c r="AY291" s="7">
        <f t="shared" si="32"/>
        <v>20695328</v>
      </c>
      <c r="BA291" s="7">
        <f>+'St of Activites - GA Rev'!AI291-'St of Activities - GA Exp'!AY291</f>
        <v>-2157111</v>
      </c>
      <c r="BC291" s="7">
        <v>1645155</v>
      </c>
      <c r="BE291" s="7">
        <f t="shared" si="33"/>
        <v>-511956</v>
      </c>
      <c r="BG291" s="7">
        <f>+'St of Net Assets - GA'!AA291-'St of Activities - GA Exp'!BE291</f>
        <v>0</v>
      </c>
      <c r="BL291" s="7" t="str">
        <f t="shared" si="34"/>
        <v>Liberty Local SD</v>
      </c>
      <c r="BM291" s="7" t="b">
        <f t="shared" si="35"/>
        <v>1</v>
      </c>
      <c r="BO291" s="7" t="str">
        <f t="shared" si="36"/>
        <v>Trumbull</v>
      </c>
      <c r="BP291" s="7" t="b">
        <f t="shared" si="37"/>
        <v>1</v>
      </c>
    </row>
    <row r="292" spans="1:68">
      <c r="A292" s="12" t="s">
        <v>842</v>
      </c>
      <c r="B292" s="12"/>
      <c r="C292" s="12" t="s">
        <v>25</v>
      </c>
      <c r="D292" s="12"/>
      <c r="E292" s="12">
        <v>46888</v>
      </c>
      <c r="G292" s="7">
        <v>4755941</v>
      </c>
      <c r="I292" s="7">
        <v>1455689</v>
      </c>
      <c r="K292" s="7">
        <v>399062</v>
      </c>
      <c r="M292" s="7">
        <v>0</v>
      </c>
      <c r="O292" s="7">
        <f>2745+140874</f>
        <v>143619</v>
      </c>
      <c r="Q292" s="7">
        <v>687781</v>
      </c>
      <c r="S292" s="7">
        <v>674894</v>
      </c>
      <c r="U292" s="7">
        <v>75619</v>
      </c>
      <c r="W292" s="7">
        <v>1005337</v>
      </c>
      <c r="Y292" s="7">
        <v>461634</v>
      </c>
      <c r="AA292" s="7">
        <v>0</v>
      </c>
      <c r="AC292" s="7">
        <v>1344948</v>
      </c>
      <c r="AE292" s="7">
        <v>645725</v>
      </c>
      <c r="AG292" s="7">
        <v>0</v>
      </c>
      <c r="AI292" s="12" t="s">
        <v>842</v>
      </c>
      <c r="AJ292" s="12"/>
      <c r="AK292" s="12" t="s">
        <v>25</v>
      </c>
      <c r="AL292" s="12"/>
      <c r="AM292" s="7">
        <v>0</v>
      </c>
      <c r="AO292" s="7">
        <v>503831</v>
      </c>
      <c r="AQ292" s="7">
        <v>605284</v>
      </c>
      <c r="AS292" s="7">
        <v>789879</v>
      </c>
      <c r="AW292" s="7">
        <v>0</v>
      </c>
      <c r="AY292" s="7">
        <f t="shared" si="32"/>
        <v>13549243</v>
      </c>
      <c r="BA292" s="7">
        <f>+'St of Activites - GA Rev'!AI292-'St of Activities - GA Exp'!AY292</f>
        <v>2007031</v>
      </c>
      <c r="BC292" s="7">
        <v>28098937</v>
      </c>
      <c r="BE292" s="7">
        <f t="shared" si="33"/>
        <v>30105968</v>
      </c>
      <c r="BG292" s="7">
        <f>+'St of Net Assets - GA'!AA292-'St of Activities - GA Exp'!BE292</f>
        <v>0</v>
      </c>
      <c r="BL292" s="7" t="str">
        <f t="shared" si="34"/>
        <v>Liberty Union-Thurston Local SD</v>
      </c>
      <c r="BM292" s="7" t="b">
        <f t="shared" si="35"/>
        <v>1</v>
      </c>
      <c r="BO292" s="7" t="str">
        <f t="shared" si="36"/>
        <v>Fairfield</v>
      </c>
      <c r="BP292" s="7" t="b">
        <f t="shared" si="37"/>
        <v>1</v>
      </c>
    </row>
    <row r="293" spans="1:68">
      <c r="A293" s="12" t="s">
        <v>386</v>
      </c>
      <c r="B293" s="12"/>
      <c r="C293" s="12" t="s">
        <v>42</v>
      </c>
      <c r="D293" s="12"/>
      <c r="E293" s="12">
        <v>48009</v>
      </c>
      <c r="G293" s="7">
        <v>13128039</v>
      </c>
      <c r="I293" s="7">
        <v>3787525</v>
      </c>
      <c r="K293" s="7">
        <v>323808</v>
      </c>
      <c r="M293" s="7">
        <v>0</v>
      </c>
      <c r="O293" s="7">
        <v>390339</v>
      </c>
      <c r="Q293" s="7">
        <v>1253253</v>
      </c>
      <c r="S293" s="7">
        <v>1438565</v>
      </c>
      <c r="U293" s="7">
        <v>90480</v>
      </c>
      <c r="W293" s="7">
        <v>2254361</v>
      </c>
      <c r="Y293" s="7">
        <v>661117</v>
      </c>
      <c r="AA293" s="7">
        <v>0</v>
      </c>
      <c r="AC293" s="7">
        <v>3003827</v>
      </c>
      <c r="AE293" s="7">
        <v>2609456</v>
      </c>
      <c r="AG293" s="7">
        <v>268928</v>
      </c>
      <c r="AI293" s="12" t="s">
        <v>386</v>
      </c>
      <c r="AJ293" s="12"/>
      <c r="AK293" s="12" t="s">
        <v>42</v>
      </c>
      <c r="AL293" s="12"/>
      <c r="AM293" s="7">
        <v>0</v>
      </c>
      <c r="AO293" s="7">
        <v>1309160</v>
      </c>
      <c r="AQ293" s="7">
        <v>674834</v>
      </c>
      <c r="AS293" s="7">
        <v>3485831</v>
      </c>
      <c r="AW293" s="7">
        <v>1434825</v>
      </c>
      <c r="AY293" s="7">
        <f t="shared" si="32"/>
        <v>36114348</v>
      </c>
      <c r="BA293" s="7">
        <f>+'St of Activites - GA Rev'!AI293-'St of Activities - GA Exp'!AY293</f>
        <v>-4387079</v>
      </c>
      <c r="BC293" s="7">
        <v>10320533</v>
      </c>
      <c r="BE293" s="7">
        <f t="shared" si="33"/>
        <v>5933454</v>
      </c>
      <c r="BG293" s="7">
        <f>+'St of Net Assets - GA'!AA293-'St of Activities - GA Exp'!BE293</f>
        <v>0</v>
      </c>
      <c r="BL293" s="7" t="str">
        <f t="shared" si="34"/>
        <v>Licking Heights Local SD</v>
      </c>
      <c r="BM293" s="7" t="b">
        <f t="shared" si="35"/>
        <v>1</v>
      </c>
      <c r="BO293" s="7" t="str">
        <f t="shared" si="36"/>
        <v>Licking</v>
      </c>
      <c r="BP293" s="7" t="b">
        <f t="shared" si="37"/>
        <v>1</v>
      </c>
    </row>
    <row r="294" spans="1:68">
      <c r="A294" s="12" t="s">
        <v>387</v>
      </c>
      <c r="B294" s="12"/>
      <c r="C294" s="12" t="s">
        <v>42</v>
      </c>
      <c r="D294" s="12"/>
      <c r="E294" s="12">
        <v>48017</v>
      </c>
      <c r="G294" s="7">
        <v>8430432</v>
      </c>
      <c r="I294" s="7">
        <v>1884853</v>
      </c>
      <c r="K294" s="7">
        <v>309936</v>
      </c>
      <c r="M294" s="7">
        <v>0</v>
      </c>
      <c r="O294" s="7">
        <v>35197</v>
      </c>
      <c r="Q294" s="7">
        <v>474703</v>
      </c>
      <c r="S294" s="7">
        <v>855610</v>
      </c>
      <c r="U294" s="7">
        <v>38904</v>
      </c>
      <c r="W294" s="7">
        <v>1935660</v>
      </c>
      <c r="Y294" s="7">
        <v>432393</v>
      </c>
      <c r="AA294" s="7">
        <v>218296</v>
      </c>
      <c r="AC294" s="7">
        <v>1737225</v>
      </c>
      <c r="AE294" s="7">
        <v>1395764</v>
      </c>
      <c r="AG294" s="7">
        <v>189945</v>
      </c>
      <c r="AI294" s="12" t="s">
        <v>387</v>
      </c>
      <c r="AJ294" s="12"/>
      <c r="AK294" s="12" t="s">
        <v>42</v>
      </c>
      <c r="AL294" s="12"/>
      <c r="AM294" s="7">
        <v>0</v>
      </c>
      <c r="AO294" s="7">
        <v>999060</v>
      </c>
      <c r="AQ294" s="7">
        <v>544124</v>
      </c>
      <c r="AS294" s="7">
        <v>589456</v>
      </c>
      <c r="AW294" s="7">
        <v>0</v>
      </c>
      <c r="AY294" s="7">
        <f t="shared" si="32"/>
        <v>20071558</v>
      </c>
      <c r="BA294" s="7">
        <f>+'St of Activites - GA Rev'!AI294-'St of Activities - GA Exp'!AY294</f>
        <v>-309524</v>
      </c>
      <c r="BC294" s="7">
        <v>32299549</v>
      </c>
      <c r="BE294" s="7">
        <f t="shared" si="33"/>
        <v>31990025</v>
      </c>
      <c r="BG294" s="7">
        <f>+'St of Net Assets - GA'!AA294-'St of Activities - GA Exp'!BE294</f>
        <v>0</v>
      </c>
      <c r="BH294" s="83"/>
      <c r="BL294" s="7" t="str">
        <f t="shared" si="34"/>
        <v>Licking Valley Local SD</v>
      </c>
      <c r="BM294" s="7" t="b">
        <f t="shared" si="35"/>
        <v>1</v>
      </c>
      <c r="BO294" s="7" t="str">
        <f t="shared" si="36"/>
        <v>Licking</v>
      </c>
      <c r="BP294" s="7" t="b">
        <f t="shared" si="37"/>
        <v>1</v>
      </c>
    </row>
    <row r="295" spans="1:68" hidden="1">
      <c r="A295" s="12" t="s">
        <v>718</v>
      </c>
      <c r="B295" s="12"/>
      <c r="C295" s="12" t="s">
        <v>10</v>
      </c>
      <c r="D295" s="12"/>
      <c r="E295" s="12"/>
      <c r="AI295" s="12" t="s">
        <v>718</v>
      </c>
      <c r="AJ295" s="12"/>
      <c r="AK295" s="12" t="s">
        <v>10</v>
      </c>
      <c r="AL295" s="12"/>
      <c r="AY295" s="7">
        <f t="shared" si="32"/>
        <v>0</v>
      </c>
      <c r="BA295" s="7">
        <f>+'St of Activites - GA Rev'!AI295-'St of Activities - GA Exp'!AY295</f>
        <v>0</v>
      </c>
      <c r="BE295" s="7">
        <f t="shared" si="33"/>
        <v>0</v>
      </c>
      <c r="BG295" s="7">
        <f>+'St of Net Assets - GA'!AA295-'St of Activities - GA Exp'!BE295</f>
        <v>0</v>
      </c>
      <c r="BH295" s="7" t="s">
        <v>921</v>
      </c>
      <c r="BL295" s="7" t="str">
        <f t="shared" si="34"/>
        <v>Lima City School District (CASH)</v>
      </c>
      <c r="BM295" s="7" t="b">
        <f t="shared" si="35"/>
        <v>1</v>
      </c>
      <c r="BO295" s="7" t="str">
        <f t="shared" si="36"/>
        <v>Allen</v>
      </c>
      <c r="BP295" s="7" t="b">
        <f t="shared" si="37"/>
        <v>1</v>
      </c>
    </row>
    <row r="296" spans="1:68">
      <c r="A296" s="12" t="s">
        <v>557</v>
      </c>
      <c r="B296" s="12"/>
      <c r="C296" s="12" t="s">
        <v>67</v>
      </c>
      <c r="D296" s="12"/>
      <c r="E296" s="12">
        <v>50369</v>
      </c>
      <c r="G296" s="7">
        <v>4048772</v>
      </c>
      <c r="I296" s="7">
        <v>1212139</v>
      </c>
      <c r="K296" s="7">
        <v>182735</v>
      </c>
      <c r="M296" s="7">
        <v>0</v>
      </c>
      <c r="O296" s="7">
        <v>747887</v>
      </c>
      <c r="Q296" s="7">
        <v>176488</v>
      </c>
      <c r="S296" s="7">
        <v>279733</v>
      </c>
      <c r="U296" s="7">
        <v>27676</v>
      </c>
      <c r="W296" s="7">
        <v>808767</v>
      </c>
      <c r="Y296" s="7">
        <v>306459</v>
      </c>
      <c r="AA296" s="7">
        <v>0</v>
      </c>
      <c r="AC296" s="7">
        <v>724550</v>
      </c>
      <c r="AE296" s="7">
        <v>413101</v>
      </c>
      <c r="AG296" s="7">
        <v>21287</v>
      </c>
      <c r="AI296" s="12" t="s">
        <v>557</v>
      </c>
      <c r="AJ296" s="12"/>
      <c r="AK296" s="12" t="s">
        <v>67</v>
      </c>
      <c r="AL296" s="12"/>
      <c r="AM296" s="7">
        <v>344997</v>
      </c>
      <c r="AO296" s="7">
        <v>21701</v>
      </c>
      <c r="AQ296" s="7">
        <v>294097</v>
      </c>
      <c r="AS296" s="7">
        <v>608242</v>
      </c>
      <c r="AW296" s="7">
        <v>0</v>
      </c>
      <c r="AY296" s="7">
        <f t="shared" si="32"/>
        <v>10218631</v>
      </c>
      <c r="BA296" s="7">
        <f>+'St of Activites - GA Rev'!AI296-'St of Activities - GA Exp'!AY296</f>
        <v>503563</v>
      </c>
      <c r="BC296" s="7">
        <v>22948565</v>
      </c>
      <c r="BE296" s="7">
        <f t="shared" si="33"/>
        <v>23452128</v>
      </c>
      <c r="BG296" s="7">
        <f>+'St of Net Assets - GA'!AA296-'St of Activities - GA Exp'!BE296</f>
        <v>0</v>
      </c>
      <c r="BL296" s="7" t="str">
        <f t="shared" si="34"/>
        <v>Lincolnview Local SD</v>
      </c>
      <c r="BM296" s="7" t="b">
        <f t="shared" si="35"/>
        <v>1</v>
      </c>
      <c r="BO296" s="7" t="str">
        <f t="shared" si="36"/>
        <v>Van Wert</v>
      </c>
      <c r="BP296" s="7" t="b">
        <f t="shared" si="37"/>
        <v>1</v>
      </c>
    </row>
    <row r="297" spans="1:68">
      <c r="A297" s="12" t="s">
        <v>875</v>
      </c>
      <c r="B297" s="12"/>
      <c r="C297" s="12" t="s">
        <v>112</v>
      </c>
      <c r="D297" s="12"/>
      <c r="E297" s="12">
        <v>45450</v>
      </c>
      <c r="G297" s="7">
        <v>5476084</v>
      </c>
      <c r="I297" s="7">
        <v>1104257</v>
      </c>
      <c r="K297" s="7">
        <v>92749</v>
      </c>
      <c r="M297" s="7">
        <v>0</v>
      </c>
      <c r="O297" s="7">
        <v>122162</v>
      </c>
      <c r="Q297" s="7">
        <v>475841</v>
      </c>
      <c r="S297" s="7">
        <v>430009</v>
      </c>
      <c r="U297" s="7">
        <v>28567</v>
      </c>
      <c r="W297" s="7">
        <v>819548</v>
      </c>
      <c r="Y297" s="7">
        <v>271730</v>
      </c>
      <c r="AA297" s="7">
        <v>0</v>
      </c>
      <c r="AC297" s="7">
        <v>775492</v>
      </c>
      <c r="AE297" s="7">
        <v>427216</v>
      </c>
      <c r="AG297" s="7">
        <v>42889</v>
      </c>
      <c r="AI297" s="12" t="s">
        <v>875</v>
      </c>
      <c r="AJ297" s="12"/>
      <c r="AK297" s="12" t="s">
        <v>112</v>
      </c>
      <c r="AL297" s="12"/>
      <c r="AM297" s="7">
        <v>478201</v>
      </c>
      <c r="AO297" s="7">
        <v>0</v>
      </c>
      <c r="AQ297" s="7">
        <v>413018</v>
      </c>
      <c r="AS297" s="7">
        <v>288613</v>
      </c>
      <c r="AW297" s="7">
        <v>0</v>
      </c>
      <c r="AY297" s="7">
        <f t="shared" si="32"/>
        <v>11246376</v>
      </c>
      <c r="BA297" s="7">
        <f>+'St of Activites - GA Rev'!AI297-'St of Activities - GA Exp'!AY297</f>
        <v>-671787</v>
      </c>
      <c r="BC297" s="7">
        <v>20568921</v>
      </c>
      <c r="BE297" s="7">
        <f t="shared" si="33"/>
        <v>19897134</v>
      </c>
      <c r="BG297" s="7">
        <f>+'St of Net Assets - GA'!AA297-'St of Activities - GA Exp'!BE297</f>
        <v>0</v>
      </c>
      <c r="BL297" s="7" t="str">
        <f t="shared" si="34"/>
        <v>Lisbon Exempted Village SD</v>
      </c>
      <c r="BM297" s="7" t="b">
        <f t="shared" si="35"/>
        <v>1</v>
      </c>
      <c r="BO297" s="7" t="str">
        <f t="shared" si="36"/>
        <v>Columbiana</v>
      </c>
      <c r="BP297" s="7" t="b">
        <f t="shared" si="37"/>
        <v>1</v>
      </c>
    </row>
    <row r="298" spans="1:68">
      <c r="A298" s="12" t="s">
        <v>562</v>
      </c>
      <c r="B298" s="12"/>
      <c r="C298" s="12" t="s">
        <v>69</v>
      </c>
      <c r="D298" s="12"/>
      <c r="E298" s="12">
        <v>50443</v>
      </c>
      <c r="G298" s="7">
        <v>15187228</v>
      </c>
      <c r="I298" s="7">
        <v>4468172</v>
      </c>
      <c r="K298" s="7">
        <v>0</v>
      </c>
      <c r="M298" s="7">
        <v>0</v>
      </c>
      <c r="O298" s="7">
        <v>2103791</v>
      </c>
      <c r="Q298" s="7">
        <v>1152566</v>
      </c>
      <c r="S298" s="7">
        <v>577995</v>
      </c>
      <c r="U298" s="7">
        <v>23342</v>
      </c>
      <c r="W298" s="7">
        <v>2170235</v>
      </c>
      <c r="Y298" s="7">
        <v>639737</v>
      </c>
      <c r="AA298" s="7">
        <v>153064</v>
      </c>
      <c r="AC298" s="7">
        <v>2833275</v>
      </c>
      <c r="AE298" s="7">
        <v>2805914</v>
      </c>
      <c r="AG298" s="7">
        <v>526778</v>
      </c>
      <c r="AI298" s="12" t="s">
        <v>562</v>
      </c>
      <c r="AJ298" s="12"/>
      <c r="AK298" s="12" t="s">
        <v>69</v>
      </c>
      <c r="AL298" s="12"/>
      <c r="AM298" s="7">
        <v>0</v>
      </c>
      <c r="AO298" s="7">
        <v>1305563</v>
      </c>
      <c r="AQ298" s="7">
        <v>662732</v>
      </c>
      <c r="AS298" s="7">
        <v>3394744</v>
      </c>
      <c r="AW298" s="7">
        <v>0</v>
      </c>
      <c r="AY298" s="7">
        <f t="shared" si="32"/>
        <v>38005136</v>
      </c>
      <c r="BA298" s="7">
        <f>+'St of Activites - GA Rev'!AI298-'St of Activities - GA Exp'!AY298</f>
        <v>2889996</v>
      </c>
      <c r="BC298" s="7">
        <v>-5368293</v>
      </c>
      <c r="BE298" s="7">
        <f t="shared" si="33"/>
        <v>-2478297</v>
      </c>
      <c r="BG298" s="7">
        <f>+'St of Net Assets - GA'!AA298-'St of Activities - GA Exp'!BE298</f>
        <v>0</v>
      </c>
      <c r="BH298" s="83"/>
      <c r="BL298" s="7" t="str">
        <f t="shared" si="34"/>
        <v>Little Miami Local SD</v>
      </c>
      <c r="BM298" s="7" t="b">
        <f t="shared" si="35"/>
        <v>1</v>
      </c>
      <c r="BO298" s="7" t="str">
        <f t="shared" si="36"/>
        <v>Warren</v>
      </c>
      <c r="BP298" s="7" t="b">
        <f t="shared" si="37"/>
        <v>1</v>
      </c>
    </row>
    <row r="299" spans="1:68" ht="12" hidden="1" customHeight="1">
      <c r="A299" s="12" t="s">
        <v>922</v>
      </c>
      <c r="B299" s="12"/>
      <c r="C299" s="12" t="s">
        <v>32</v>
      </c>
      <c r="D299" s="12"/>
      <c r="E299" s="12">
        <v>44230</v>
      </c>
      <c r="AI299" s="12" t="s">
        <v>922</v>
      </c>
      <c r="AJ299" s="12"/>
      <c r="AK299" s="12" t="s">
        <v>32</v>
      </c>
      <c r="AL299" s="12"/>
      <c r="AY299" s="7">
        <f t="shared" si="32"/>
        <v>0</v>
      </c>
      <c r="BA299" s="7">
        <f>+'St of Activites - GA Rev'!AI299-'St of Activities - GA Exp'!AY299</f>
        <v>0</v>
      </c>
      <c r="BE299" s="7">
        <f t="shared" si="33"/>
        <v>0</v>
      </c>
      <c r="BG299" s="7">
        <f>+'St of Net Assets - GA'!AA299-'St of Activities - GA Exp'!BE299</f>
        <v>0</v>
      </c>
      <c r="BH299" s="7" t="s">
        <v>839</v>
      </c>
      <c r="BL299" s="7" t="str">
        <f t="shared" si="34"/>
        <v>Lockland Local SD (CASH)</v>
      </c>
      <c r="BM299" s="7" t="b">
        <f t="shared" si="35"/>
        <v>1</v>
      </c>
      <c r="BO299" s="7" t="str">
        <f t="shared" si="36"/>
        <v>Hamilton</v>
      </c>
      <c r="BP299" s="7" t="b">
        <f t="shared" si="37"/>
        <v>1</v>
      </c>
    </row>
    <row r="300" spans="1:68">
      <c r="A300" s="12" t="s">
        <v>468</v>
      </c>
      <c r="B300" s="12"/>
      <c r="C300" s="12" t="s">
        <v>54</v>
      </c>
      <c r="D300" s="12"/>
      <c r="E300" s="12">
        <v>49080</v>
      </c>
      <c r="G300" s="7">
        <v>10110471</v>
      </c>
      <c r="I300" s="7">
        <v>2344940</v>
      </c>
      <c r="K300" s="7">
        <v>15264</v>
      </c>
      <c r="M300" s="7">
        <v>0</v>
      </c>
      <c r="O300" s="7">
        <v>319293</v>
      </c>
      <c r="Q300" s="7">
        <v>766830</v>
      </c>
      <c r="S300" s="7">
        <v>1184599</v>
      </c>
      <c r="U300" s="7">
        <v>95084</v>
      </c>
      <c r="W300" s="7">
        <v>1437010</v>
      </c>
      <c r="Y300" s="7">
        <v>525709</v>
      </c>
      <c r="AA300" s="7">
        <v>4101</v>
      </c>
      <c r="AC300" s="7">
        <v>1959373</v>
      </c>
      <c r="AE300" s="7">
        <v>1857523</v>
      </c>
      <c r="AG300" s="7">
        <v>338546</v>
      </c>
      <c r="AI300" s="12" t="s">
        <v>468</v>
      </c>
      <c r="AJ300" s="12"/>
      <c r="AK300" s="12" t="s">
        <v>54</v>
      </c>
      <c r="AL300" s="12"/>
      <c r="AM300" s="7">
        <v>881876</v>
      </c>
      <c r="AO300" s="7">
        <v>0</v>
      </c>
      <c r="AQ300" s="7">
        <v>562804</v>
      </c>
      <c r="AS300" s="7">
        <v>0</v>
      </c>
      <c r="AW300" s="7">
        <v>0</v>
      </c>
      <c r="AY300" s="7">
        <f t="shared" si="32"/>
        <v>22403423</v>
      </c>
      <c r="BA300" s="7">
        <f>+'St of Activites - GA Rev'!AI300-'St of Activities - GA Exp'!AY300</f>
        <v>1054367</v>
      </c>
      <c r="BC300" s="7">
        <v>11267552</v>
      </c>
      <c r="BE300" s="7">
        <f t="shared" si="33"/>
        <v>12321919</v>
      </c>
      <c r="BG300" s="7">
        <f>+'St of Net Assets - GA'!AA300-'St of Activities - GA Exp'!BE300</f>
        <v>0</v>
      </c>
      <c r="BL300" s="7" t="str">
        <f t="shared" si="34"/>
        <v>Logan Elm Local SD</v>
      </c>
      <c r="BM300" s="7" t="b">
        <f t="shared" si="35"/>
        <v>1</v>
      </c>
      <c r="BO300" s="7" t="str">
        <f t="shared" si="36"/>
        <v>Pickaway</v>
      </c>
      <c r="BP300" s="7" t="b">
        <f t="shared" si="37"/>
        <v>1</v>
      </c>
    </row>
    <row r="301" spans="1:68">
      <c r="A301" s="12" t="s">
        <v>362</v>
      </c>
      <c r="B301" s="12"/>
      <c r="C301" s="12" t="s">
        <v>35</v>
      </c>
      <c r="D301" s="12"/>
      <c r="E301" s="12">
        <v>44248</v>
      </c>
      <c r="G301" s="7">
        <v>16307826</v>
      </c>
      <c r="I301" s="7">
        <v>5709766</v>
      </c>
      <c r="K301" s="7">
        <v>426503</v>
      </c>
      <c r="M301" s="7">
        <v>0</v>
      </c>
      <c r="O301" s="7">
        <v>48101</v>
      </c>
      <c r="Q301" s="7">
        <v>2484970</v>
      </c>
      <c r="S301" s="7">
        <v>3178032</v>
      </c>
      <c r="U301" s="7">
        <v>93641</v>
      </c>
      <c r="W301" s="7">
        <v>3048928</v>
      </c>
      <c r="Y301" s="7">
        <v>1074212</v>
      </c>
      <c r="AA301" s="7">
        <v>0</v>
      </c>
      <c r="AC301" s="7">
        <v>3874361</v>
      </c>
      <c r="AE301" s="7">
        <v>3131882</v>
      </c>
      <c r="AG301" s="7">
        <v>75828</v>
      </c>
      <c r="AI301" s="12" t="s">
        <v>362</v>
      </c>
      <c r="AJ301" s="12"/>
      <c r="AK301" s="12" t="s">
        <v>35</v>
      </c>
      <c r="AL301" s="12"/>
      <c r="AM301" s="7">
        <v>0</v>
      </c>
      <c r="AO301" s="7">
        <v>468106</v>
      </c>
      <c r="AQ301" s="7">
        <v>1587053</v>
      </c>
      <c r="AS301" s="7">
        <v>1353157</v>
      </c>
      <c r="AW301" s="7">
        <v>0</v>
      </c>
      <c r="AY301" s="7">
        <f t="shared" si="32"/>
        <v>42862366</v>
      </c>
      <c r="BA301" s="7">
        <f>+'St of Activites - GA Rev'!AI301-'St of Activities - GA Exp'!AY301</f>
        <v>532032</v>
      </c>
      <c r="BC301" s="7">
        <v>98308144</v>
      </c>
      <c r="BE301" s="7">
        <f t="shared" si="33"/>
        <v>98840176</v>
      </c>
      <c r="BG301" s="7">
        <f>+'St of Net Assets - GA'!AA301-'St of Activities - GA Exp'!BE301</f>
        <v>0</v>
      </c>
      <c r="BL301" s="7" t="str">
        <f t="shared" si="34"/>
        <v>Logan-Hocking Local SD</v>
      </c>
      <c r="BM301" s="7" t="b">
        <f t="shared" si="35"/>
        <v>1</v>
      </c>
      <c r="BO301" s="7" t="str">
        <f t="shared" si="36"/>
        <v>Hocking</v>
      </c>
      <c r="BP301" s="7" t="b">
        <f t="shared" si="37"/>
        <v>1</v>
      </c>
    </row>
    <row r="302" spans="1:68">
      <c r="A302" s="12" t="s">
        <v>413</v>
      </c>
      <c r="B302" s="12"/>
      <c r="C302" s="12" t="s">
        <v>411</v>
      </c>
      <c r="D302" s="12"/>
      <c r="E302" s="12">
        <v>44255</v>
      </c>
      <c r="G302" s="7">
        <v>10176725</v>
      </c>
      <c r="I302" s="7">
        <v>3959032</v>
      </c>
      <c r="K302" s="7">
        <v>452281</v>
      </c>
      <c r="M302" s="7">
        <v>33884</v>
      </c>
      <c r="O302" s="7">
        <v>0</v>
      </c>
      <c r="Q302" s="7">
        <v>1119432</v>
      </c>
      <c r="S302" s="7">
        <v>1307314</v>
      </c>
      <c r="U302" s="7">
        <v>214164</v>
      </c>
      <c r="W302" s="7">
        <v>1931792</v>
      </c>
      <c r="Y302" s="7">
        <v>770651</v>
      </c>
      <c r="AA302" s="7">
        <v>0</v>
      </c>
      <c r="AC302" s="7">
        <v>2270298</v>
      </c>
      <c r="AE302" s="7">
        <v>1029556</v>
      </c>
      <c r="AG302" s="7">
        <v>293993</v>
      </c>
      <c r="AI302" s="12" t="s">
        <v>413</v>
      </c>
      <c r="AJ302" s="12"/>
      <c r="AK302" s="12" t="s">
        <v>411</v>
      </c>
      <c r="AL302" s="12"/>
      <c r="AM302" s="7">
        <v>762233</v>
      </c>
      <c r="AO302" s="7">
        <v>143146</v>
      </c>
      <c r="AQ302" s="7">
        <v>900060</v>
      </c>
      <c r="AS302" s="7">
        <v>1243552</v>
      </c>
      <c r="AW302" s="7">
        <v>0</v>
      </c>
      <c r="AY302" s="7">
        <f t="shared" si="32"/>
        <v>26608113</v>
      </c>
      <c r="BA302" s="7">
        <f>+'St of Activites - GA Rev'!AI302-'St of Activities - GA Exp'!AY302</f>
        <v>774711</v>
      </c>
      <c r="BC302" s="7">
        <v>38522369</v>
      </c>
      <c r="BE302" s="7">
        <f t="shared" si="33"/>
        <v>39297080</v>
      </c>
      <c r="BG302" s="7">
        <f>+'St of Net Assets - GA'!AA302-'St of Activities - GA Exp'!BE302</f>
        <v>0</v>
      </c>
      <c r="BL302" s="7" t="str">
        <f t="shared" si="34"/>
        <v>London City SD</v>
      </c>
      <c r="BM302" s="7" t="b">
        <f t="shared" si="35"/>
        <v>1</v>
      </c>
      <c r="BO302" s="7" t="str">
        <f t="shared" si="36"/>
        <v>Madison</v>
      </c>
      <c r="BP302" s="7" t="b">
        <f t="shared" si="37"/>
        <v>1</v>
      </c>
    </row>
    <row r="303" spans="1:68">
      <c r="A303" s="12" t="s">
        <v>398</v>
      </c>
      <c r="B303" s="12"/>
      <c r="C303" s="12" t="s">
        <v>44</v>
      </c>
      <c r="D303" s="12"/>
      <c r="E303" s="12">
        <v>44263</v>
      </c>
      <c r="G303" s="7">
        <v>43332948</v>
      </c>
      <c r="I303" s="7">
        <v>9230831</v>
      </c>
      <c r="K303" s="7">
        <v>3355449</v>
      </c>
      <c r="M303" s="7">
        <v>0</v>
      </c>
      <c r="O303" s="7">
        <f>137385+19269049</f>
        <v>19406434</v>
      </c>
      <c r="Q303" s="7">
        <v>4798399</v>
      </c>
      <c r="S303" s="7">
        <v>8235867</v>
      </c>
      <c r="U303" s="7">
        <v>305691</v>
      </c>
      <c r="W303" s="7">
        <v>7910106</v>
      </c>
      <c r="Y303" s="7">
        <v>1592567</v>
      </c>
      <c r="AA303" s="7">
        <v>453065</v>
      </c>
      <c r="AC303" s="7">
        <v>9697330</v>
      </c>
      <c r="AE303" s="7">
        <v>2781304</v>
      </c>
      <c r="AG303" s="7">
        <v>1598951</v>
      </c>
      <c r="AI303" s="12" t="s">
        <v>398</v>
      </c>
      <c r="AJ303" s="12"/>
      <c r="AK303" s="12" t="s">
        <v>44</v>
      </c>
      <c r="AL303" s="12"/>
      <c r="AM303" s="7">
        <v>4330961</v>
      </c>
      <c r="AO303" s="7">
        <v>887431</v>
      </c>
      <c r="AQ303" s="7">
        <v>1451884</v>
      </c>
      <c r="AS303" s="7">
        <v>1647699</v>
      </c>
      <c r="AW303" s="7">
        <v>0</v>
      </c>
      <c r="AY303" s="7">
        <f t="shared" si="32"/>
        <v>121016917</v>
      </c>
      <c r="BA303" s="7">
        <f>+'St of Activites - GA Rev'!AI303-'St of Activities - GA Exp'!AY303</f>
        <v>-3057378</v>
      </c>
      <c r="BC303" s="7">
        <v>187971424</v>
      </c>
      <c r="BE303" s="7">
        <f t="shared" si="33"/>
        <v>184914046</v>
      </c>
      <c r="BG303" s="7">
        <f>+'St of Net Assets - GA'!AA303-'St of Activities - GA Exp'!BE303</f>
        <v>0</v>
      </c>
      <c r="BH303" s="83"/>
      <c r="BL303" s="7" t="str">
        <f t="shared" si="34"/>
        <v>Lorain City SD</v>
      </c>
      <c r="BM303" s="7" t="b">
        <f t="shared" si="35"/>
        <v>1</v>
      </c>
      <c r="BO303" s="7" t="str">
        <f t="shared" si="36"/>
        <v>Lorain</v>
      </c>
      <c r="BP303" s="7" t="b">
        <f t="shared" si="37"/>
        <v>1</v>
      </c>
    </row>
    <row r="304" spans="1:68">
      <c r="A304" s="12" t="s">
        <v>543</v>
      </c>
      <c r="B304" s="12"/>
      <c r="C304" s="12" t="s">
        <v>64</v>
      </c>
      <c r="D304" s="12"/>
      <c r="E304" s="12">
        <v>50203</v>
      </c>
      <c r="G304" s="7">
        <v>3146105</v>
      </c>
      <c r="I304" s="7">
        <v>782855</v>
      </c>
      <c r="K304" s="7">
        <v>109679</v>
      </c>
      <c r="M304" s="7">
        <v>0</v>
      </c>
      <c r="O304" s="7">
        <v>252262</v>
      </c>
      <c r="Q304" s="7">
        <v>183995</v>
      </c>
      <c r="S304" s="7">
        <v>135676</v>
      </c>
      <c r="U304" s="7">
        <v>104596</v>
      </c>
      <c r="W304" s="7">
        <v>519940</v>
      </c>
      <c r="Y304" s="7">
        <v>350340</v>
      </c>
      <c r="AA304" s="7">
        <v>34730</v>
      </c>
      <c r="AC304" s="7">
        <v>1030048</v>
      </c>
      <c r="AE304" s="7">
        <v>275079</v>
      </c>
      <c r="AG304" s="7">
        <v>0</v>
      </c>
      <c r="AI304" s="12" t="s">
        <v>543</v>
      </c>
      <c r="AJ304" s="12"/>
      <c r="AK304" s="12" t="s">
        <v>64</v>
      </c>
      <c r="AL304" s="12"/>
      <c r="AM304" s="7">
        <v>180472</v>
      </c>
      <c r="AO304" s="7">
        <v>0</v>
      </c>
      <c r="AQ304" s="7">
        <v>258497</v>
      </c>
      <c r="AS304" s="7">
        <v>253320</v>
      </c>
      <c r="AW304" s="7">
        <v>0</v>
      </c>
      <c r="AY304" s="7">
        <f t="shared" si="32"/>
        <v>7617594</v>
      </c>
      <c r="BA304" s="7">
        <f>+'St of Activites - GA Rev'!AI304-'St of Activities - GA Exp'!AY304</f>
        <v>-333304</v>
      </c>
      <c r="BC304" s="7">
        <v>4021629</v>
      </c>
      <c r="BE304" s="7">
        <f t="shared" si="33"/>
        <v>3688325</v>
      </c>
      <c r="BG304" s="7">
        <f>+'St of Net Assets - GA'!AA304-'St of Activities - GA Exp'!BE304</f>
        <v>0</v>
      </c>
      <c r="BL304" s="7" t="str">
        <f t="shared" si="34"/>
        <v>Lordstown Local SD</v>
      </c>
      <c r="BM304" s="7" t="b">
        <f t="shared" si="35"/>
        <v>1</v>
      </c>
      <c r="BO304" s="7" t="str">
        <f t="shared" si="36"/>
        <v>Trumbull</v>
      </c>
      <c r="BP304" s="7" t="b">
        <f t="shared" si="37"/>
        <v>1</v>
      </c>
    </row>
    <row r="305" spans="1:68">
      <c r="A305" s="12" t="s">
        <v>719</v>
      </c>
      <c r="B305" s="12"/>
      <c r="C305" s="12" t="s">
        <v>11</v>
      </c>
      <c r="D305" s="12"/>
      <c r="E305" s="12">
        <v>45468</v>
      </c>
      <c r="G305" s="7">
        <v>5250915</v>
      </c>
      <c r="I305" s="7">
        <v>1401439</v>
      </c>
      <c r="K305" s="7">
        <v>292774</v>
      </c>
      <c r="M305" s="7">
        <v>0</v>
      </c>
      <c r="O305" s="7">
        <v>948239</v>
      </c>
      <c r="Q305" s="7">
        <v>675293</v>
      </c>
      <c r="S305" s="7">
        <v>901218</v>
      </c>
      <c r="U305" s="7">
        <v>24410</v>
      </c>
      <c r="W305" s="7">
        <v>1040740</v>
      </c>
      <c r="Y305" s="7">
        <v>397234</v>
      </c>
      <c r="AA305" s="7">
        <v>11266</v>
      </c>
      <c r="AC305" s="7">
        <v>1019068</v>
      </c>
      <c r="AE305" s="7">
        <v>837599</v>
      </c>
      <c r="AG305" s="7">
        <v>99219</v>
      </c>
      <c r="AI305" s="12" t="s">
        <v>719</v>
      </c>
      <c r="AJ305" s="12"/>
      <c r="AK305" s="12" t="s">
        <v>11</v>
      </c>
      <c r="AL305" s="12"/>
      <c r="AM305" s="7">
        <v>442456</v>
      </c>
      <c r="AO305" s="7">
        <v>56915</v>
      </c>
      <c r="AQ305" s="7">
        <v>515134</v>
      </c>
      <c r="AS305" s="7">
        <v>49860</v>
      </c>
      <c r="AW305" s="7">
        <v>0</v>
      </c>
      <c r="AY305" s="7">
        <f t="shared" si="32"/>
        <v>13963779</v>
      </c>
      <c r="BA305" s="7">
        <f>+'St of Activites - GA Rev'!AI305-'St of Activities - GA Exp'!AY305</f>
        <v>-136704</v>
      </c>
      <c r="BC305" s="7">
        <v>7019101</v>
      </c>
      <c r="BE305" s="7">
        <f t="shared" si="33"/>
        <v>6882397</v>
      </c>
      <c r="BG305" s="7">
        <f>+'St of Net Assets - GA'!AA305-'St of Activities - GA Exp'!BE305</f>
        <v>0</v>
      </c>
      <c r="BH305" s="7" t="s">
        <v>914</v>
      </c>
      <c r="BL305" s="7" t="str">
        <f t="shared" si="34"/>
        <v>Loudonville-Perrysville Exempted Village SD</v>
      </c>
      <c r="BM305" s="7" t="b">
        <f t="shared" si="35"/>
        <v>1</v>
      </c>
      <c r="BO305" s="7" t="str">
        <f t="shared" si="36"/>
        <v>Ashland</v>
      </c>
      <c r="BP305" s="7" t="b">
        <f t="shared" si="37"/>
        <v>1</v>
      </c>
    </row>
    <row r="306" spans="1:68">
      <c r="A306" s="12" t="s">
        <v>514</v>
      </c>
      <c r="B306" s="12"/>
      <c r="C306" s="12" t="s">
        <v>62</v>
      </c>
      <c r="D306" s="12"/>
      <c r="E306" s="12">
        <v>49874</v>
      </c>
      <c r="G306" s="7">
        <v>13312516</v>
      </c>
      <c r="I306" s="7">
        <v>3469057</v>
      </c>
      <c r="K306" s="7">
        <v>420794</v>
      </c>
      <c r="M306" s="7">
        <v>0</v>
      </c>
      <c r="O306" s="7">
        <v>890002</v>
      </c>
      <c r="Q306" s="7">
        <v>1636817</v>
      </c>
      <c r="S306" s="7">
        <v>1007046</v>
      </c>
      <c r="U306" s="7">
        <v>64819</v>
      </c>
      <c r="W306" s="7">
        <v>1829322</v>
      </c>
      <c r="Y306" s="7">
        <v>622783</v>
      </c>
      <c r="AA306" s="7">
        <v>69500</v>
      </c>
      <c r="AC306" s="7">
        <v>2581963</v>
      </c>
      <c r="AE306" s="7">
        <v>1312042</v>
      </c>
      <c r="AG306" s="7">
        <v>20770</v>
      </c>
      <c r="AI306" s="12" t="s">
        <v>514</v>
      </c>
      <c r="AJ306" s="12"/>
      <c r="AK306" s="12" t="s">
        <v>62</v>
      </c>
      <c r="AL306" s="12"/>
      <c r="AM306" s="7">
        <v>1200230</v>
      </c>
      <c r="AO306" s="7">
        <v>440033</v>
      </c>
      <c r="AQ306" s="7">
        <v>2164996</v>
      </c>
      <c r="AS306" s="7">
        <v>1239418</v>
      </c>
      <c r="AW306" s="7">
        <v>0</v>
      </c>
      <c r="AY306" s="7">
        <f t="shared" si="32"/>
        <v>32282108</v>
      </c>
      <c r="BA306" s="7">
        <f>+'St of Activites - GA Rev'!AI306-'St of Activities - GA Exp'!AY306</f>
        <v>1165025</v>
      </c>
      <c r="BC306" s="7">
        <v>46759665</v>
      </c>
      <c r="BE306" s="7">
        <f t="shared" si="33"/>
        <v>47924690</v>
      </c>
      <c r="BG306" s="7">
        <f>+'St of Net Assets - GA'!AA306-'St of Activities - GA Exp'!BE306</f>
        <v>0</v>
      </c>
      <c r="BH306" s="7" t="s">
        <v>923</v>
      </c>
      <c r="BL306" s="7" t="str">
        <f t="shared" si="34"/>
        <v>Louisville City SD</v>
      </c>
      <c r="BM306" s="7" t="b">
        <f t="shared" si="35"/>
        <v>1</v>
      </c>
      <c r="BO306" s="7" t="str">
        <f t="shared" si="36"/>
        <v>Stark</v>
      </c>
      <c r="BP306" s="7" t="b">
        <f t="shared" si="37"/>
        <v>1</v>
      </c>
    </row>
    <row r="307" spans="1:68">
      <c r="A307" s="12" t="s">
        <v>332</v>
      </c>
      <c r="B307" s="12"/>
      <c r="C307" s="12" t="s">
        <v>32</v>
      </c>
      <c r="D307" s="12"/>
      <c r="E307" s="12">
        <v>44271</v>
      </c>
      <c r="G307" s="7">
        <v>21213835</v>
      </c>
      <c r="I307" s="7">
        <v>6114782</v>
      </c>
      <c r="K307" s="7">
        <v>176374</v>
      </c>
      <c r="M307" s="7">
        <v>0</v>
      </c>
      <c r="O307" s="7">
        <v>929667</v>
      </c>
      <c r="Q307" s="7">
        <v>2506935</v>
      </c>
      <c r="S307" s="7">
        <v>1375043</v>
      </c>
      <c r="U307" s="7">
        <v>101631</v>
      </c>
      <c r="W307" s="7">
        <v>2951377</v>
      </c>
      <c r="Y307" s="7">
        <v>1010429</v>
      </c>
      <c r="AA307" s="7">
        <v>236368</v>
      </c>
      <c r="AC307" s="7">
        <v>3414198</v>
      </c>
      <c r="AE307" s="7">
        <v>3362872</v>
      </c>
      <c r="AG307" s="7">
        <v>1049687</v>
      </c>
      <c r="AI307" s="12" t="s">
        <v>332</v>
      </c>
      <c r="AJ307" s="12"/>
      <c r="AK307" s="12" t="s">
        <v>32</v>
      </c>
      <c r="AL307" s="12"/>
      <c r="AM307" s="7">
        <v>0</v>
      </c>
      <c r="AO307" s="7">
        <v>2277134</v>
      </c>
      <c r="AQ307" s="7">
        <v>1363543</v>
      </c>
      <c r="AS307" s="7">
        <v>1928685</v>
      </c>
      <c r="AW307" s="7">
        <v>0</v>
      </c>
      <c r="AY307" s="7">
        <f t="shared" si="32"/>
        <v>50012560</v>
      </c>
      <c r="BA307" s="7">
        <f>+'St of Activites - GA Rev'!AI307-'St of Activities - GA Exp'!AY307</f>
        <v>1937818</v>
      </c>
      <c r="BC307" s="7">
        <v>34191398</v>
      </c>
      <c r="BE307" s="7">
        <f t="shared" si="33"/>
        <v>36129216</v>
      </c>
      <c r="BG307" s="7">
        <f>+'St of Net Assets - GA'!AA307-'St of Activities - GA Exp'!BE307</f>
        <v>0</v>
      </c>
      <c r="BL307" s="7" t="str">
        <f t="shared" si="34"/>
        <v>Loveland City SD</v>
      </c>
      <c r="BM307" s="7" t="b">
        <f t="shared" si="35"/>
        <v>1</v>
      </c>
      <c r="BO307" s="7" t="str">
        <f t="shared" si="36"/>
        <v>Hamilton</v>
      </c>
      <c r="BP307" s="7" t="b">
        <f t="shared" si="37"/>
        <v>1</v>
      </c>
    </row>
    <row r="308" spans="1:68" ht="12" customHeight="1">
      <c r="A308" s="12" t="s">
        <v>720</v>
      </c>
      <c r="B308" s="12"/>
      <c r="C308" s="12" t="s">
        <v>45</v>
      </c>
      <c r="D308" s="12"/>
      <c r="E308" s="12">
        <v>48330</v>
      </c>
      <c r="G308" s="7">
        <v>2936726</v>
      </c>
      <c r="I308" s="7">
        <v>274013</v>
      </c>
      <c r="K308" s="7">
        <v>31040</v>
      </c>
      <c r="M308" s="7">
        <v>0</v>
      </c>
      <c r="O308" s="7">
        <v>710</v>
      </c>
      <c r="Q308" s="7">
        <v>125221</v>
      </c>
      <c r="S308" s="7">
        <v>357453</v>
      </c>
      <c r="U308" s="7">
        <v>37687</v>
      </c>
      <c r="W308" s="7">
        <v>382710</v>
      </c>
      <c r="Y308" s="7">
        <v>173130</v>
      </c>
      <c r="AA308" s="7">
        <v>0</v>
      </c>
      <c r="AC308" s="7">
        <v>476777</v>
      </c>
      <c r="AE308" s="7">
        <v>55431</v>
      </c>
      <c r="AG308" s="7">
        <v>36522</v>
      </c>
      <c r="AI308" s="12" t="s">
        <v>720</v>
      </c>
      <c r="AJ308" s="12"/>
      <c r="AK308" s="12" t="s">
        <v>45</v>
      </c>
      <c r="AL308" s="12"/>
      <c r="AM308" s="7">
        <v>349109</v>
      </c>
      <c r="AO308" s="7">
        <v>0</v>
      </c>
      <c r="AQ308" s="7">
        <v>442337</v>
      </c>
      <c r="AS308" s="7">
        <v>88468</v>
      </c>
      <c r="AW308" s="7">
        <v>0</v>
      </c>
      <c r="AY308" s="7">
        <f t="shared" si="32"/>
        <v>5767334</v>
      </c>
      <c r="BA308" s="7">
        <f>+'St of Activites - GA Rev'!AI308-'St of Activities - GA Exp'!AY308</f>
        <v>161861</v>
      </c>
      <c r="BC308" s="7">
        <v>14341905</v>
      </c>
      <c r="BE308" s="7">
        <f t="shared" si="33"/>
        <v>14503766</v>
      </c>
      <c r="BG308" s="7">
        <f>+'St of Net Assets - GA'!AA308-'St of Activities - GA Exp'!BE308</f>
        <v>0</v>
      </c>
      <c r="BL308" s="7" t="str">
        <f t="shared" si="34"/>
        <v xml:space="preserve">Lowellville Local SD </v>
      </c>
      <c r="BM308" s="7" t="b">
        <f t="shared" si="35"/>
        <v>1</v>
      </c>
      <c r="BO308" s="7" t="str">
        <f t="shared" si="36"/>
        <v>Mahoning</v>
      </c>
      <c r="BP308" s="7" t="b">
        <f t="shared" si="37"/>
        <v>1</v>
      </c>
    </row>
    <row r="309" spans="1:68">
      <c r="A309" s="12" t="s">
        <v>924</v>
      </c>
      <c r="B309" s="12"/>
      <c r="C309" s="12" t="s">
        <v>110</v>
      </c>
      <c r="D309" s="12"/>
      <c r="E309" s="12">
        <v>49445</v>
      </c>
      <c r="G309" s="7">
        <v>2354581</v>
      </c>
      <c r="I309" s="7">
        <v>593507</v>
      </c>
      <c r="K309" s="7">
        <v>1782</v>
      </c>
      <c r="M309" s="7">
        <v>0</v>
      </c>
      <c r="O309" s="7">
        <v>384441</v>
      </c>
      <c r="Q309" s="7">
        <v>74339</v>
      </c>
      <c r="S309" s="7">
        <v>305179</v>
      </c>
      <c r="U309" s="7">
        <v>35376</v>
      </c>
      <c r="W309" s="7">
        <v>406295</v>
      </c>
      <c r="Y309" s="7">
        <v>216951</v>
      </c>
      <c r="AA309" s="7">
        <v>0</v>
      </c>
      <c r="AC309" s="7">
        <v>572673</v>
      </c>
      <c r="AE309" s="7">
        <v>349722</v>
      </c>
      <c r="AG309" s="7">
        <v>41692</v>
      </c>
      <c r="AI309" s="12" t="s">
        <v>924</v>
      </c>
      <c r="AJ309" s="12"/>
      <c r="AK309" s="12" t="s">
        <v>110</v>
      </c>
      <c r="AL309" s="12"/>
      <c r="AM309" s="7">
        <v>236713</v>
      </c>
      <c r="AO309" s="7">
        <v>1547</v>
      </c>
      <c r="AQ309" s="7">
        <v>182610</v>
      </c>
      <c r="AS309" s="7">
        <v>19248</v>
      </c>
      <c r="AW309" s="7">
        <v>0</v>
      </c>
      <c r="AY309" s="7">
        <f t="shared" si="32"/>
        <v>5776656</v>
      </c>
      <c r="BA309" s="7">
        <f>+'St of Activites - GA Rev'!AI309-'St of Activities - GA Exp'!AY309</f>
        <v>748512</v>
      </c>
      <c r="BC309" s="7">
        <v>4457240</v>
      </c>
      <c r="BE309" s="7">
        <f t="shared" si="33"/>
        <v>5205752</v>
      </c>
      <c r="BG309" s="7">
        <f>+'St of Net Assets - GA'!AA309-'St of Activities - GA Exp'!BE309</f>
        <v>0</v>
      </c>
      <c r="BL309" s="7" t="str">
        <f t="shared" si="34"/>
        <v>Lucas Local SD</v>
      </c>
      <c r="BM309" s="7" t="b">
        <f t="shared" si="35"/>
        <v>1</v>
      </c>
      <c r="BO309" s="7" t="str">
        <f t="shared" si="36"/>
        <v>Richland</v>
      </c>
      <c r="BP309" s="7" t="b">
        <f t="shared" si="37"/>
        <v>1</v>
      </c>
    </row>
    <row r="310" spans="1:68">
      <c r="A310" s="12" t="s">
        <v>361</v>
      </c>
      <c r="B310" s="12"/>
      <c r="C310" s="12" t="s">
        <v>358</v>
      </c>
      <c r="D310" s="12"/>
      <c r="E310" s="12">
        <v>47639</v>
      </c>
      <c r="G310" s="7">
        <v>6620613</v>
      </c>
      <c r="I310" s="7">
        <v>1106381</v>
      </c>
      <c r="K310" s="7">
        <v>217695</v>
      </c>
      <c r="M310" s="7">
        <v>0</v>
      </c>
      <c r="O310" s="7">
        <v>45695</v>
      </c>
      <c r="Q310" s="7">
        <v>424254</v>
      </c>
      <c r="S310" s="7">
        <v>747269</v>
      </c>
      <c r="U310" s="7">
        <v>58145</v>
      </c>
      <c r="W310" s="7">
        <v>1186072</v>
      </c>
      <c r="Y310" s="7">
        <v>339506</v>
      </c>
      <c r="AA310" s="7">
        <v>46618</v>
      </c>
      <c r="AC310" s="7">
        <v>1299696</v>
      </c>
      <c r="AE310" s="7">
        <v>838002</v>
      </c>
      <c r="AG310" s="7">
        <v>12197</v>
      </c>
      <c r="AI310" s="12" t="s">
        <v>361</v>
      </c>
      <c r="AJ310" s="12"/>
      <c r="AK310" s="12" t="s">
        <v>358</v>
      </c>
      <c r="AL310" s="12"/>
      <c r="AM310" s="7">
        <v>638962</v>
      </c>
      <c r="AO310" s="7">
        <v>49</v>
      </c>
      <c r="AQ310" s="7">
        <v>208754</v>
      </c>
      <c r="AS310" s="7">
        <v>58638</v>
      </c>
      <c r="AW310" s="7">
        <v>0</v>
      </c>
      <c r="AY310" s="7">
        <f t="shared" si="32"/>
        <v>13848546</v>
      </c>
      <c r="BA310" s="7">
        <f>+'St of Activites - GA Rev'!AI310-'St of Activities - GA Exp'!AY310</f>
        <v>-434465</v>
      </c>
      <c r="BC310" s="7">
        <v>25724961</v>
      </c>
      <c r="BE310" s="7">
        <f t="shared" si="33"/>
        <v>25290496</v>
      </c>
      <c r="BG310" s="7">
        <f>+'St of Net Assets - GA'!AA310-'St of Activities - GA Exp'!BE310</f>
        <v>0</v>
      </c>
      <c r="BH310" s="7" t="s">
        <v>927</v>
      </c>
      <c r="BL310" s="7" t="str">
        <f t="shared" si="34"/>
        <v>Lynchburg-Clay Local SD</v>
      </c>
      <c r="BM310" s="7" t="b">
        <f t="shared" si="35"/>
        <v>1</v>
      </c>
      <c r="BO310" s="7" t="str">
        <f t="shared" si="36"/>
        <v>Highland</v>
      </c>
      <c r="BP310" s="7" t="b">
        <f t="shared" si="37"/>
        <v>1</v>
      </c>
    </row>
    <row r="311" spans="1:68">
      <c r="A311" s="12" t="s">
        <v>750</v>
      </c>
      <c r="B311" s="12"/>
      <c r="C311" s="12" t="s">
        <v>50</v>
      </c>
      <c r="D311" s="12"/>
      <c r="E311" s="12">
        <v>48702</v>
      </c>
      <c r="G311" s="7">
        <v>17038723</v>
      </c>
      <c r="I311" s="7">
        <v>5024070</v>
      </c>
      <c r="K311" s="7">
        <v>2269947</v>
      </c>
      <c r="M311" s="7">
        <v>33389</v>
      </c>
      <c r="O311" s="7">
        <v>1552254</v>
      </c>
      <c r="Q311" s="7">
        <v>2954713</v>
      </c>
      <c r="S311" s="7">
        <v>3313739</v>
      </c>
      <c r="U311" s="7">
        <v>90423</v>
      </c>
      <c r="W311" s="7">
        <v>3190203</v>
      </c>
      <c r="Y311" s="7">
        <v>575996</v>
      </c>
      <c r="AA311" s="7">
        <v>192</v>
      </c>
      <c r="AC311" s="7">
        <v>4561013</v>
      </c>
      <c r="AE311" s="7">
        <v>1462967</v>
      </c>
      <c r="AG311" s="7">
        <v>418684</v>
      </c>
      <c r="AI311" s="12" t="s">
        <v>750</v>
      </c>
      <c r="AJ311" s="12"/>
      <c r="AK311" s="12" t="s">
        <v>50</v>
      </c>
      <c r="AL311" s="12"/>
      <c r="AM311" s="7">
        <v>0</v>
      </c>
      <c r="AO311" s="7">
        <v>2508228</v>
      </c>
      <c r="AQ311" s="7">
        <v>686217</v>
      </c>
      <c r="AS311" s="7">
        <v>599388</v>
      </c>
      <c r="AW311" s="7">
        <v>0</v>
      </c>
      <c r="AY311" s="7">
        <f t="shared" ref="AY311:AY336" si="38">SUM(G311:AX311)</f>
        <v>46280146</v>
      </c>
      <c r="BA311" s="7">
        <f>+'St of Activites - GA Rev'!AI311-'St of Activities - GA Exp'!AY311</f>
        <v>-2596671</v>
      </c>
      <c r="BC311" s="7">
        <v>78365537</v>
      </c>
      <c r="BE311" s="7">
        <f t="shared" ref="BE311:BE336" si="39">+BA311+BC311</f>
        <v>75768866</v>
      </c>
      <c r="BG311" s="7">
        <f>+'St of Net Assets - GA'!AA311-'St of Activities - GA Exp'!BE311</f>
        <v>0</v>
      </c>
      <c r="BH311" s="14"/>
      <c r="BL311" s="7" t="str">
        <f t="shared" si="34"/>
        <v xml:space="preserve">Mad River Local SD </v>
      </c>
      <c r="BM311" s="7" t="b">
        <f t="shared" si="35"/>
        <v>1</v>
      </c>
      <c r="BO311" s="7" t="str">
        <f t="shared" si="36"/>
        <v>Montgomery</v>
      </c>
      <c r="BP311" s="7" t="b">
        <f t="shared" si="37"/>
        <v>1</v>
      </c>
    </row>
    <row r="312" spans="1:68">
      <c r="A312" s="12" t="s">
        <v>333</v>
      </c>
      <c r="B312" s="12"/>
      <c r="C312" s="12" t="s">
        <v>32</v>
      </c>
      <c r="D312" s="12"/>
      <c r="E312" s="12">
        <v>44289</v>
      </c>
      <c r="G312" s="7">
        <v>8232577</v>
      </c>
      <c r="I312" s="7">
        <v>2319271</v>
      </c>
      <c r="K312" s="7">
        <v>0</v>
      </c>
      <c r="M312" s="7">
        <v>0</v>
      </c>
      <c r="O312" s="7">
        <v>117140</v>
      </c>
      <c r="Q312" s="7">
        <v>1163177</v>
      </c>
      <c r="S312" s="7">
        <v>355603</v>
      </c>
      <c r="U312" s="7">
        <v>44941</v>
      </c>
      <c r="W312" s="7">
        <v>1221333</v>
      </c>
      <c r="Y312" s="7">
        <v>504699</v>
      </c>
      <c r="AA312" s="7">
        <v>107256</v>
      </c>
      <c r="AC312" s="7">
        <v>1574603</v>
      </c>
      <c r="AE312" s="7">
        <v>780486</v>
      </c>
      <c r="AG312" s="7">
        <v>568685</v>
      </c>
      <c r="AI312" s="12" t="s">
        <v>333</v>
      </c>
      <c r="AJ312" s="12"/>
      <c r="AK312" s="12" t="s">
        <v>32</v>
      </c>
      <c r="AL312" s="12"/>
      <c r="AM312" s="7">
        <v>0</v>
      </c>
      <c r="AO312" s="7">
        <v>974686</v>
      </c>
      <c r="AQ312" s="7">
        <v>555695</v>
      </c>
      <c r="AS312" s="7">
        <v>1507903</v>
      </c>
      <c r="AW312" s="7">
        <v>0</v>
      </c>
      <c r="AY312" s="7">
        <f t="shared" si="38"/>
        <v>20028055</v>
      </c>
      <c r="BA312" s="7">
        <f>+'St of Activites - GA Rev'!AI312-'St of Activities - GA Exp'!AY312</f>
        <v>621953</v>
      </c>
      <c r="BC312" s="7">
        <v>12712274</v>
      </c>
      <c r="BE312" s="7">
        <f t="shared" si="39"/>
        <v>13334227</v>
      </c>
      <c r="BG312" s="7">
        <f>+'St of Net Assets - GA'!AA312-'St of Activities - GA Exp'!BE312</f>
        <v>0</v>
      </c>
      <c r="BL312" s="7" t="str">
        <f t="shared" si="34"/>
        <v>Madeira City SD</v>
      </c>
      <c r="BM312" s="7" t="b">
        <f t="shared" si="35"/>
        <v>1</v>
      </c>
      <c r="BO312" s="7" t="str">
        <f t="shared" si="36"/>
        <v>Hamilton</v>
      </c>
      <c r="BP312" s="7" t="b">
        <f t="shared" si="37"/>
        <v>1</v>
      </c>
    </row>
    <row r="313" spans="1:68">
      <c r="A313" s="12" t="s">
        <v>227</v>
      </c>
      <c r="B313" s="12"/>
      <c r="C313" s="12" t="s">
        <v>223</v>
      </c>
      <c r="D313" s="12"/>
      <c r="E313" s="12">
        <v>46128</v>
      </c>
      <c r="G313" s="7">
        <v>6549186</v>
      </c>
      <c r="I313" s="7">
        <v>1164010</v>
      </c>
      <c r="K313" s="7">
        <v>1275</v>
      </c>
      <c r="M313" s="7">
        <v>0</v>
      </c>
      <c r="O313" s="7">
        <v>509849</v>
      </c>
      <c r="Q313" s="7">
        <v>686750</v>
      </c>
      <c r="S313" s="7">
        <v>961855</v>
      </c>
      <c r="U313" s="7">
        <v>89245</v>
      </c>
      <c r="W313" s="7">
        <v>1135097</v>
      </c>
      <c r="Y313" s="7">
        <v>315041</v>
      </c>
      <c r="AA313" s="7">
        <v>2147</v>
      </c>
      <c r="AC313" s="7">
        <v>1586286</v>
      </c>
      <c r="AE313" s="7">
        <v>1013130</v>
      </c>
      <c r="AG313" s="7">
        <v>474694</v>
      </c>
      <c r="AI313" s="12" t="s">
        <v>227</v>
      </c>
      <c r="AJ313" s="12"/>
      <c r="AK313" s="12" t="s">
        <v>223</v>
      </c>
      <c r="AL313" s="12"/>
      <c r="AM313" s="7">
        <v>651841</v>
      </c>
      <c r="AO313" s="7">
        <v>33299</v>
      </c>
      <c r="AQ313" s="7">
        <v>443860</v>
      </c>
      <c r="AS313" s="7">
        <v>639766</v>
      </c>
      <c r="AW313" s="7">
        <v>0</v>
      </c>
      <c r="AY313" s="7">
        <f t="shared" si="38"/>
        <v>16257331</v>
      </c>
      <c r="BA313" s="7">
        <f>+'St of Activites - GA Rev'!AI313-'St of Activities - GA Exp'!AY313</f>
        <v>-1035145</v>
      </c>
      <c r="BC313" s="7">
        <v>21237838</v>
      </c>
      <c r="BE313" s="7">
        <f t="shared" si="39"/>
        <v>20202693</v>
      </c>
      <c r="BG313" s="7">
        <f>+'St of Net Assets - GA'!AA313-'St of Activities - GA Exp'!BE313</f>
        <v>0</v>
      </c>
      <c r="BL313" s="7" t="str">
        <f t="shared" si="34"/>
        <v>Madison Local SD</v>
      </c>
      <c r="BM313" s="7" t="b">
        <f t="shared" si="35"/>
        <v>1</v>
      </c>
      <c r="BO313" s="7" t="str">
        <f t="shared" si="36"/>
        <v>Butler</v>
      </c>
      <c r="BP313" s="7" t="b">
        <f t="shared" si="37"/>
        <v>1</v>
      </c>
    </row>
    <row r="314" spans="1:68" hidden="1">
      <c r="A314" s="12" t="s">
        <v>772</v>
      </c>
      <c r="B314" s="12"/>
      <c r="C314" s="12" t="s">
        <v>41</v>
      </c>
      <c r="D314" s="12"/>
      <c r="E314" s="12"/>
      <c r="AI314" s="12" t="s">
        <v>772</v>
      </c>
      <c r="AJ314" s="12"/>
      <c r="AK314" s="12" t="s">
        <v>41</v>
      </c>
      <c r="AL314" s="12"/>
      <c r="AY314" s="7">
        <f t="shared" si="38"/>
        <v>0</v>
      </c>
      <c r="BA314" s="7">
        <f>+'St of Activites - GA Rev'!AI314-'St of Activities - GA Exp'!AY314</f>
        <v>0</v>
      </c>
      <c r="BE314" s="7">
        <f t="shared" si="39"/>
        <v>0</v>
      </c>
      <c r="BG314" s="7">
        <f>+'St of Net Assets - GA'!AA314-'St of Activities - GA Exp'!BE314</f>
        <v>0</v>
      </c>
      <c r="BH314" s="7" t="s">
        <v>839</v>
      </c>
      <c r="BL314" s="7" t="str">
        <f t="shared" si="34"/>
        <v xml:space="preserve">Madison Local SD (CASH)  </v>
      </c>
      <c r="BM314" s="7" t="b">
        <f t="shared" si="35"/>
        <v>1</v>
      </c>
      <c r="BO314" s="7" t="str">
        <f t="shared" si="36"/>
        <v>Lake</v>
      </c>
      <c r="BP314" s="7" t="b">
        <f t="shared" si="37"/>
        <v>1</v>
      </c>
    </row>
    <row r="315" spans="1:68">
      <c r="A315" s="12" t="s">
        <v>227</v>
      </c>
      <c r="B315" s="12"/>
      <c r="C315" s="12" t="s">
        <v>110</v>
      </c>
      <c r="D315" s="12"/>
      <c r="E315" s="12">
        <v>49452</v>
      </c>
      <c r="G315" s="7">
        <v>12316213</v>
      </c>
      <c r="I315" s="7">
        <v>3618621</v>
      </c>
      <c r="K315" s="7">
        <v>3093681</v>
      </c>
      <c r="M315" s="7">
        <v>82658</v>
      </c>
      <c r="O315" s="7">
        <v>2443050</v>
      </c>
      <c r="Q315" s="7">
        <v>1310623</v>
      </c>
      <c r="S315" s="7">
        <v>1694987</v>
      </c>
      <c r="U315" s="7">
        <v>54943</v>
      </c>
      <c r="W315" s="7">
        <v>2692062</v>
      </c>
      <c r="Y315" s="7">
        <v>570406</v>
      </c>
      <c r="AA315" s="7">
        <v>60889</v>
      </c>
      <c r="AC315" s="7">
        <v>3078466</v>
      </c>
      <c r="AE315" s="7">
        <v>1524751</v>
      </c>
      <c r="AG315" s="7">
        <v>315785</v>
      </c>
      <c r="AI315" s="12" t="s">
        <v>227</v>
      </c>
      <c r="AJ315" s="12"/>
      <c r="AK315" s="12" t="s">
        <v>110</v>
      </c>
      <c r="AL315" s="12"/>
      <c r="AM315" s="7">
        <v>1231819</v>
      </c>
      <c r="AO315" s="7">
        <v>537809</v>
      </c>
      <c r="AQ315" s="7">
        <v>565680</v>
      </c>
      <c r="AS315" s="7">
        <v>1071002</v>
      </c>
      <c r="AW315" s="7">
        <v>0</v>
      </c>
      <c r="AY315" s="7">
        <f t="shared" si="38"/>
        <v>36263445</v>
      </c>
      <c r="BA315" s="7">
        <f>+'St of Activites - GA Rev'!AI315-'St of Activities - GA Exp'!AY315</f>
        <v>10544688</v>
      </c>
      <c r="BC315" s="7">
        <v>14879559</v>
      </c>
      <c r="BE315" s="7">
        <f t="shared" si="39"/>
        <v>25424247</v>
      </c>
      <c r="BG315" s="7">
        <f>+'St of Net Assets - GA'!AA315-'St of Activities - GA Exp'!BE315</f>
        <v>0</v>
      </c>
      <c r="BL315" s="7" t="str">
        <f t="shared" si="34"/>
        <v>Madison Local SD</v>
      </c>
      <c r="BM315" s="7" t="b">
        <f t="shared" si="35"/>
        <v>1</v>
      </c>
      <c r="BO315" s="7" t="str">
        <f t="shared" si="36"/>
        <v>Richland</v>
      </c>
      <c r="BP315" s="7" t="b">
        <f t="shared" si="37"/>
        <v>1</v>
      </c>
    </row>
    <row r="316" spans="1:68">
      <c r="A316" s="12" t="s">
        <v>730</v>
      </c>
      <c r="B316" s="12"/>
      <c r="C316" s="12" t="s">
        <v>411</v>
      </c>
      <c r="D316" s="12"/>
      <c r="E316" s="12"/>
      <c r="G316" s="7">
        <v>6892826</v>
      </c>
      <c r="I316" s="7">
        <v>908812</v>
      </c>
      <c r="K316" s="7">
        <v>452964</v>
      </c>
      <c r="M316" s="7">
        <v>0</v>
      </c>
      <c r="O316" s="7">
        <v>0</v>
      </c>
      <c r="Q316" s="7">
        <v>582999</v>
      </c>
      <c r="S316" s="7">
        <v>576122</v>
      </c>
      <c r="U316" s="7">
        <v>55921</v>
      </c>
      <c r="W316" s="7">
        <v>1301950</v>
      </c>
      <c r="Y316" s="7">
        <v>601797</v>
      </c>
      <c r="AA316" s="7">
        <v>943</v>
      </c>
      <c r="AC316" s="7">
        <v>1136994</v>
      </c>
      <c r="AE316" s="7">
        <v>1065881</v>
      </c>
      <c r="AG316" s="7">
        <v>446400</v>
      </c>
      <c r="AI316" s="12" t="s">
        <v>730</v>
      </c>
      <c r="AJ316" s="12"/>
      <c r="AK316" s="12" t="s">
        <v>411</v>
      </c>
      <c r="AL316" s="12"/>
      <c r="AM316" s="7">
        <v>658977</v>
      </c>
      <c r="AO316" s="7">
        <v>0</v>
      </c>
      <c r="AQ316" s="7">
        <v>555197</v>
      </c>
      <c r="AS316" s="7">
        <v>49836</v>
      </c>
      <c r="AW316" s="7">
        <v>0</v>
      </c>
      <c r="AY316" s="7">
        <f t="shared" si="38"/>
        <v>15287619</v>
      </c>
      <c r="BA316" s="7">
        <f>+'St of Activites - GA Rev'!AI316-'St of Activities - GA Exp'!AY316</f>
        <v>692030</v>
      </c>
      <c r="BC316" s="7">
        <v>14556281</v>
      </c>
      <c r="BE316" s="7">
        <f t="shared" si="39"/>
        <v>15248311</v>
      </c>
      <c r="BG316" s="7">
        <f>+'St of Net Assets - GA'!AA316-'St of Activities - GA Exp'!BE316</f>
        <v>0</v>
      </c>
      <c r="BL316" s="7" t="str">
        <f t="shared" si="34"/>
        <v xml:space="preserve">Madison Plains Local SD </v>
      </c>
      <c r="BM316" s="7" t="b">
        <f t="shared" si="35"/>
        <v>1</v>
      </c>
      <c r="BO316" s="7" t="str">
        <f t="shared" si="36"/>
        <v>Madison</v>
      </c>
      <c r="BP316" s="7" t="b">
        <f t="shared" si="37"/>
        <v>1</v>
      </c>
    </row>
    <row r="317" spans="1:68">
      <c r="A317" s="12" t="s">
        <v>630</v>
      </c>
      <c r="B317" s="12"/>
      <c r="C317" s="12" t="s">
        <v>201</v>
      </c>
      <c r="D317" s="12"/>
      <c r="E317" s="12"/>
      <c r="G317" s="7">
        <v>4711002</v>
      </c>
      <c r="I317" s="7">
        <v>1615993</v>
      </c>
      <c r="K317" s="7">
        <v>629413</v>
      </c>
      <c r="M317" s="7">
        <v>0</v>
      </c>
      <c r="O317" s="7">
        <f>211840+56405</f>
        <v>268245</v>
      </c>
      <c r="Q317" s="7">
        <v>491056</v>
      </c>
      <c r="S317" s="7">
        <v>1021860</v>
      </c>
      <c r="U317" s="7">
        <v>97174</v>
      </c>
      <c r="W317" s="7">
        <v>944392</v>
      </c>
      <c r="Y317" s="7">
        <v>451213</v>
      </c>
      <c r="AA317" s="7">
        <v>0</v>
      </c>
      <c r="AC317" s="7">
        <v>1018877</v>
      </c>
      <c r="AE317" s="7">
        <v>661235</v>
      </c>
      <c r="AG317" s="7">
        <v>0</v>
      </c>
      <c r="AI317" s="12" t="s">
        <v>630</v>
      </c>
      <c r="AJ317" s="12"/>
      <c r="AK317" s="12" t="s">
        <v>201</v>
      </c>
      <c r="AL317" s="12"/>
      <c r="AM317" s="7">
        <v>579261</v>
      </c>
      <c r="AO317" s="7">
        <v>130727</v>
      </c>
      <c r="AQ317" s="7">
        <v>280761</v>
      </c>
      <c r="AS317" s="7">
        <v>898225</v>
      </c>
      <c r="AW317" s="7">
        <v>0</v>
      </c>
      <c r="AY317" s="7">
        <f t="shared" si="38"/>
        <v>13799434</v>
      </c>
      <c r="BA317" s="7">
        <f>+'St of Activites - GA Rev'!AI317-'St of Activities - GA Exp'!AY317</f>
        <v>2035270</v>
      </c>
      <c r="BC317" s="7">
        <v>16509411</v>
      </c>
      <c r="BE317" s="7">
        <f t="shared" si="39"/>
        <v>18544681</v>
      </c>
      <c r="BG317" s="7">
        <f>+'St of Net Assets - GA'!AA317-'St of Activities - GA Exp'!BE317</f>
        <v>0</v>
      </c>
      <c r="BL317" s="7" t="str">
        <f t="shared" si="34"/>
        <v>Manchester Local SD</v>
      </c>
      <c r="BM317" s="7" t="b">
        <f t="shared" si="35"/>
        <v>1</v>
      </c>
      <c r="BO317" s="7" t="str">
        <f t="shared" si="36"/>
        <v>Adams</v>
      </c>
      <c r="BP317" s="7" t="b">
        <f t="shared" si="37"/>
        <v>1</v>
      </c>
    </row>
    <row r="318" spans="1:68" ht="12" hidden="1" customHeight="1">
      <c r="A318" s="12" t="s">
        <v>930</v>
      </c>
      <c r="B318" s="12"/>
      <c r="C318" s="12" t="s">
        <v>63</v>
      </c>
      <c r="D318" s="12"/>
      <c r="E318" s="12"/>
      <c r="AI318" s="12" t="s">
        <v>930</v>
      </c>
      <c r="AJ318" s="12"/>
      <c r="AK318" s="12" t="s">
        <v>63</v>
      </c>
      <c r="AL318" s="12"/>
      <c r="AY318" s="7">
        <f t="shared" ref="AY318" si="40">SUM(G318:AX318)</f>
        <v>0</v>
      </c>
      <c r="BA318" s="7">
        <f>+'St of Activites - GA Rev'!AI318-'St of Activities - GA Exp'!AY318</f>
        <v>0</v>
      </c>
      <c r="BE318" s="7">
        <f t="shared" ref="BE318" si="41">+BA318+BC318</f>
        <v>0</v>
      </c>
      <c r="BG318" s="7">
        <f>+'St of Net Assets - GA'!AA318-'St of Activities - GA Exp'!BE318</f>
        <v>0</v>
      </c>
      <c r="BH318" s="7" t="s">
        <v>931</v>
      </c>
      <c r="BL318" s="7" t="str">
        <f t="shared" ref="BL318" si="42">A318</f>
        <v>Manchester Local SD (CASH)</v>
      </c>
      <c r="BM318" s="7" t="b">
        <f t="shared" ref="BM318" si="43">A318=AI318</f>
        <v>1</v>
      </c>
      <c r="BO318" s="7" t="str">
        <f t="shared" ref="BO318" si="44">C318</f>
        <v>Summit</v>
      </c>
      <c r="BP318" s="7" t="b">
        <f t="shared" ref="BP318" si="45">C318=AK318</f>
        <v>1</v>
      </c>
    </row>
    <row r="319" spans="1:68" ht="12" customHeight="1">
      <c r="A319" s="12" t="s">
        <v>484</v>
      </c>
      <c r="B319" s="12"/>
      <c r="C319" s="12" t="s">
        <v>110</v>
      </c>
      <c r="D319" s="12"/>
      <c r="E319" s="12">
        <v>44297</v>
      </c>
      <c r="G319" s="7">
        <v>17515045</v>
      </c>
      <c r="I319" s="7">
        <v>8959341</v>
      </c>
      <c r="K319" s="7">
        <v>1093219</v>
      </c>
      <c r="M319" s="7">
        <v>295197</v>
      </c>
      <c r="O319" s="7">
        <v>12200750</v>
      </c>
      <c r="Q319" s="7">
        <v>3797117</v>
      </c>
      <c r="S319" s="7">
        <v>2678525</v>
      </c>
      <c r="U319" s="7">
        <v>21212</v>
      </c>
      <c r="W319" s="7">
        <v>3271485</v>
      </c>
      <c r="Y319" s="7">
        <v>1128274</v>
      </c>
      <c r="AA319" s="7">
        <v>889335</v>
      </c>
      <c r="AC319" s="7">
        <v>6145098</v>
      </c>
      <c r="AE319" s="7">
        <v>2204185</v>
      </c>
      <c r="AG319" s="7">
        <v>2188411</v>
      </c>
      <c r="AI319" s="12" t="s">
        <v>484</v>
      </c>
      <c r="AJ319" s="12"/>
      <c r="AK319" s="12" t="s">
        <v>110</v>
      </c>
      <c r="AL319" s="12"/>
      <c r="AM319" s="7">
        <v>2044491</v>
      </c>
      <c r="AO319" s="7">
        <v>2264765</v>
      </c>
      <c r="AQ319" s="7">
        <v>1024745</v>
      </c>
      <c r="AS319" s="7">
        <v>731366</v>
      </c>
      <c r="AW319" s="7">
        <v>0</v>
      </c>
      <c r="AY319" s="7">
        <f t="shared" si="38"/>
        <v>68452561</v>
      </c>
      <c r="BA319" s="7">
        <f>+'St of Activites - GA Rev'!AI319-'St of Activities - GA Exp'!AY319</f>
        <v>-2523268</v>
      </c>
      <c r="BC319" s="7">
        <v>62396695</v>
      </c>
      <c r="BE319" s="7">
        <f t="shared" si="39"/>
        <v>59873427</v>
      </c>
      <c r="BG319" s="7">
        <f>+'St of Net Assets - GA'!AA319-'St of Activities - GA Exp'!BE319</f>
        <v>0</v>
      </c>
      <c r="BL319" s="7" t="str">
        <f t="shared" si="34"/>
        <v>Mansfield City SD</v>
      </c>
      <c r="BM319" s="7" t="b">
        <f t="shared" si="35"/>
        <v>1</v>
      </c>
      <c r="BO319" s="7" t="str">
        <f t="shared" si="36"/>
        <v>Richland</v>
      </c>
      <c r="BP319" s="7" t="b">
        <f t="shared" si="37"/>
        <v>1</v>
      </c>
    </row>
    <row r="320" spans="1:68">
      <c r="A320" s="12" t="s">
        <v>762</v>
      </c>
      <c r="B320" s="12"/>
      <c r="C320" s="12" t="s">
        <v>20</v>
      </c>
      <c r="D320" s="12"/>
      <c r="E320" s="12">
        <v>44305</v>
      </c>
      <c r="G320" s="7">
        <v>21094037</v>
      </c>
      <c r="I320" s="7">
        <v>4199240</v>
      </c>
      <c r="K320" s="7">
        <v>1443448</v>
      </c>
      <c r="M320" s="7">
        <v>466</v>
      </c>
      <c r="O320" s="7">
        <v>0</v>
      </c>
      <c r="Q320" s="7">
        <v>1610678</v>
      </c>
      <c r="S320" s="7">
        <v>1907742</v>
      </c>
      <c r="U320" s="7">
        <v>60640</v>
      </c>
      <c r="W320" s="7">
        <v>4313714</v>
      </c>
      <c r="Y320" s="7">
        <v>1956044</v>
      </c>
      <c r="AA320" s="7">
        <v>578035</v>
      </c>
      <c r="AC320" s="7">
        <v>3944541</v>
      </c>
      <c r="AE320" s="7">
        <v>1536715</v>
      </c>
      <c r="AG320" s="7">
        <v>25168</v>
      </c>
      <c r="AI320" s="12" t="s">
        <v>762</v>
      </c>
      <c r="AJ320" s="12"/>
      <c r="AK320" s="12" t="s">
        <v>20</v>
      </c>
      <c r="AL320" s="12"/>
      <c r="AM320" s="7">
        <v>1844826</v>
      </c>
      <c r="AO320" s="7">
        <v>154419</v>
      </c>
      <c r="AQ320" s="7">
        <v>1057344</v>
      </c>
      <c r="AS320" s="7">
        <v>3040141</v>
      </c>
      <c r="AW320" s="7">
        <v>0</v>
      </c>
      <c r="AY320" s="7">
        <f t="shared" si="38"/>
        <v>48767198</v>
      </c>
      <c r="BA320" s="7">
        <f>+'St of Activites - GA Rev'!AI320-'St of Activities - GA Exp'!AY320</f>
        <v>866701</v>
      </c>
      <c r="BC320" s="7">
        <v>65613565</v>
      </c>
      <c r="BE320" s="7">
        <f t="shared" si="39"/>
        <v>66480266</v>
      </c>
      <c r="BG320" s="7">
        <f>+'St of Net Assets - GA'!AA320-'St of Activities - GA Exp'!BE320</f>
        <v>0</v>
      </c>
      <c r="BH320" s="14"/>
      <c r="BL320" s="7" t="str">
        <f t="shared" si="34"/>
        <v xml:space="preserve">Maple Heights City SD </v>
      </c>
      <c r="BM320" s="7" t="b">
        <f t="shared" si="35"/>
        <v>1</v>
      </c>
      <c r="BO320" s="7" t="str">
        <f t="shared" si="36"/>
        <v>Cuyahoga</v>
      </c>
      <c r="BP320" s="7" t="b">
        <f t="shared" si="37"/>
        <v>1</v>
      </c>
    </row>
    <row r="321" spans="1:68">
      <c r="A321" s="12" t="s">
        <v>206</v>
      </c>
      <c r="B321" s="12"/>
      <c r="C321" s="12" t="s">
        <v>11</v>
      </c>
      <c r="D321" s="12"/>
      <c r="E321" s="12">
        <v>45831</v>
      </c>
      <c r="G321" s="7">
        <v>4425810</v>
      </c>
      <c r="I321" s="7">
        <v>911115</v>
      </c>
      <c r="K321" s="7">
        <v>94062</v>
      </c>
      <c r="M321" s="7">
        <v>0</v>
      </c>
      <c r="O321" s="7">
        <v>935748</v>
      </c>
      <c r="Q321" s="7">
        <v>303688</v>
      </c>
      <c r="S321" s="7">
        <v>380594</v>
      </c>
      <c r="U321" s="7">
        <v>26860</v>
      </c>
      <c r="W321" s="7">
        <v>691558</v>
      </c>
      <c r="Y321" s="7">
        <v>314359</v>
      </c>
      <c r="AA321" s="7">
        <v>199</v>
      </c>
      <c r="AC321" s="7">
        <v>749459</v>
      </c>
      <c r="AE321" s="7">
        <v>521263</v>
      </c>
      <c r="AG321" s="7">
        <v>125332</v>
      </c>
      <c r="AI321" s="12" t="s">
        <v>206</v>
      </c>
      <c r="AJ321" s="12"/>
      <c r="AK321" s="12" t="s">
        <v>11</v>
      </c>
      <c r="AL321" s="12"/>
      <c r="AM321" s="7">
        <v>367351</v>
      </c>
      <c r="AO321" s="7">
        <v>11427</v>
      </c>
      <c r="AQ321" s="7">
        <v>271389</v>
      </c>
      <c r="AS321" s="7">
        <v>113354</v>
      </c>
      <c r="AW321" s="7">
        <v>0</v>
      </c>
      <c r="AY321" s="7">
        <f t="shared" si="38"/>
        <v>10243568</v>
      </c>
      <c r="BA321" s="7">
        <f>+'St of Activites - GA Rev'!AI321-'St of Activities - GA Exp'!AY321</f>
        <v>-157670</v>
      </c>
      <c r="BC321" s="7">
        <v>16951545</v>
      </c>
      <c r="BE321" s="7">
        <f t="shared" si="39"/>
        <v>16793875</v>
      </c>
      <c r="BG321" s="7">
        <f>+'St of Net Assets - GA'!AA321-'St of Activities - GA Exp'!BE321</f>
        <v>0</v>
      </c>
      <c r="BL321" s="7" t="str">
        <f t="shared" si="34"/>
        <v>Mapleton Local SD</v>
      </c>
      <c r="BM321" s="7" t="b">
        <f t="shared" si="35"/>
        <v>1</v>
      </c>
      <c r="BO321" s="7" t="str">
        <f t="shared" si="36"/>
        <v>Ashland</v>
      </c>
      <c r="BP321" s="7" t="b">
        <f t="shared" si="37"/>
        <v>1</v>
      </c>
    </row>
    <row r="322" spans="1:68">
      <c r="A322" s="12" t="s">
        <v>544</v>
      </c>
      <c r="B322" s="12"/>
      <c r="C322" s="12" t="s">
        <v>64</v>
      </c>
      <c r="D322" s="12"/>
      <c r="E322" s="12">
        <v>50211</v>
      </c>
      <c r="G322" s="7">
        <v>4963182</v>
      </c>
      <c r="I322" s="7">
        <v>952209</v>
      </c>
      <c r="K322" s="7">
        <v>43545</v>
      </c>
      <c r="M322" s="7">
        <v>0</v>
      </c>
      <c r="O322" s="7">
        <v>216</v>
      </c>
      <c r="Q322" s="7">
        <v>476198</v>
      </c>
      <c r="S322" s="7">
        <v>213547</v>
      </c>
      <c r="U322" s="7">
        <v>32808</v>
      </c>
      <c r="W322" s="7">
        <v>890235</v>
      </c>
      <c r="Y322" s="7">
        <v>334316</v>
      </c>
      <c r="AA322" s="7">
        <v>63283</v>
      </c>
      <c r="AC322" s="7">
        <v>1300511</v>
      </c>
      <c r="AE322" s="7">
        <v>620065</v>
      </c>
      <c r="AG322" s="7">
        <v>60750</v>
      </c>
      <c r="AI322" s="12" t="s">
        <v>544</v>
      </c>
      <c r="AJ322" s="12"/>
      <c r="AK322" s="12" t="s">
        <v>64</v>
      </c>
      <c r="AL322" s="12"/>
      <c r="AM322" s="7">
        <v>448919</v>
      </c>
      <c r="AO322" s="7">
        <v>0</v>
      </c>
      <c r="AQ322" s="7">
        <v>235220</v>
      </c>
      <c r="AS322" s="7">
        <v>131431</v>
      </c>
      <c r="AW322" s="7">
        <v>0</v>
      </c>
      <c r="AY322" s="7">
        <f t="shared" si="38"/>
        <v>10766435</v>
      </c>
      <c r="BA322" s="7">
        <f>+'St of Activites - GA Rev'!AI322-'St of Activities - GA Exp'!AY322</f>
        <v>-125640</v>
      </c>
      <c r="BC322" s="7">
        <v>20663317</v>
      </c>
      <c r="BE322" s="7">
        <f t="shared" si="39"/>
        <v>20537677</v>
      </c>
      <c r="BG322" s="7">
        <f>+'St of Net Assets - GA'!AA322-'St of Activities - GA Exp'!BE322</f>
        <v>0</v>
      </c>
      <c r="BL322" s="7" t="str">
        <f t="shared" si="34"/>
        <v>Maplewood Local SD</v>
      </c>
      <c r="BM322" s="7" t="b">
        <f t="shared" si="35"/>
        <v>1</v>
      </c>
      <c r="BO322" s="7" t="str">
        <f t="shared" si="36"/>
        <v>Trumbull</v>
      </c>
      <c r="BP322" s="7" t="b">
        <f t="shared" si="37"/>
        <v>1</v>
      </c>
    </row>
    <row r="323" spans="1:68" ht="12" customHeight="1">
      <c r="A323" s="12" t="s">
        <v>294</v>
      </c>
      <c r="B323" s="12"/>
      <c r="C323" s="12" t="s">
        <v>24</v>
      </c>
      <c r="D323" s="12"/>
      <c r="E323" s="12">
        <v>46805</v>
      </c>
      <c r="G323" s="7">
        <v>4977438</v>
      </c>
      <c r="I323" s="7">
        <v>1419432</v>
      </c>
      <c r="K323" s="7">
        <v>262138</v>
      </c>
      <c r="M323" s="7">
        <v>0</v>
      </c>
      <c r="O323" s="7">
        <v>598776</v>
      </c>
      <c r="Q323" s="7">
        <v>711058</v>
      </c>
      <c r="S323" s="7">
        <v>724387</v>
      </c>
      <c r="U323" s="7">
        <v>173526</v>
      </c>
      <c r="W323" s="7">
        <v>994894</v>
      </c>
      <c r="Y323" s="7">
        <v>410990</v>
      </c>
      <c r="AA323" s="7">
        <v>0</v>
      </c>
      <c r="AC323" s="7">
        <v>1199741</v>
      </c>
      <c r="AE323" s="7">
        <v>1134387</v>
      </c>
      <c r="AG323" s="7">
        <v>53569</v>
      </c>
      <c r="AI323" s="12" t="s">
        <v>294</v>
      </c>
      <c r="AJ323" s="12"/>
      <c r="AK323" s="12" t="s">
        <v>24</v>
      </c>
      <c r="AL323" s="12"/>
      <c r="AM323" s="7">
        <v>614465</v>
      </c>
      <c r="AO323" s="7">
        <v>135748</v>
      </c>
      <c r="AQ323" s="7">
        <v>492662</v>
      </c>
      <c r="AS323" s="7">
        <v>106743</v>
      </c>
      <c r="AW323" s="7">
        <v>0</v>
      </c>
      <c r="AY323" s="7">
        <f t="shared" si="38"/>
        <v>14009954</v>
      </c>
      <c r="BA323" s="7">
        <f>+'St of Activites - GA Rev'!AI323-'St of Activities - GA Exp'!AY323</f>
        <v>-504162</v>
      </c>
      <c r="BC323" s="7">
        <v>3616920</v>
      </c>
      <c r="BE323" s="7">
        <f t="shared" si="39"/>
        <v>3112758</v>
      </c>
      <c r="BG323" s="7">
        <f>+'St of Net Assets - GA'!AA323-'St of Activities - GA Exp'!BE323</f>
        <v>0</v>
      </c>
      <c r="BL323" s="7" t="str">
        <f t="shared" si="34"/>
        <v>Margaretta Local SD</v>
      </c>
      <c r="BM323" s="7" t="b">
        <f t="shared" si="35"/>
        <v>1</v>
      </c>
      <c r="BO323" s="7" t="str">
        <f t="shared" si="36"/>
        <v>Erie</v>
      </c>
      <c r="BP323" s="7" t="b">
        <f t="shared" si="37"/>
        <v>1</v>
      </c>
    </row>
    <row r="324" spans="1:68">
      <c r="A324" s="12" t="s">
        <v>334</v>
      </c>
      <c r="B324" s="12"/>
      <c r="C324" s="12" t="s">
        <v>32</v>
      </c>
      <c r="D324" s="12"/>
      <c r="E324" s="12">
        <v>44313</v>
      </c>
      <c r="G324" s="7">
        <v>9588766</v>
      </c>
      <c r="I324" s="7">
        <v>2305185</v>
      </c>
      <c r="K324" s="7">
        <v>0</v>
      </c>
      <c r="M324" s="7">
        <v>2316</v>
      </c>
      <c r="O324" s="7">
        <v>107649</v>
      </c>
      <c r="Q324" s="7">
        <v>1483034</v>
      </c>
      <c r="S324" s="7">
        <v>1316026</v>
      </c>
      <c r="U324" s="7">
        <v>14042</v>
      </c>
      <c r="W324" s="7">
        <v>1625737</v>
      </c>
      <c r="Y324" s="7">
        <v>507237</v>
      </c>
      <c r="AA324" s="7">
        <v>62111</v>
      </c>
      <c r="AC324" s="7">
        <v>8510404</v>
      </c>
      <c r="AE324" s="7">
        <v>473955</v>
      </c>
      <c r="AG324" s="7">
        <v>329337</v>
      </c>
      <c r="AI324" s="12" t="s">
        <v>334</v>
      </c>
      <c r="AJ324" s="12"/>
      <c r="AK324" s="12" t="s">
        <v>32</v>
      </c>
      <c r="AL324" s="12"/>
      <c r="AM324" s="7">
        <v>0</v>
      </c>
      <c r="AO324" s="7">
        <v>211067</v>
      </c>
      <c r="AQ324" s="7">
        <v>729895</v>
      </c>
      <c r="AS324" s="7">
        <v>1257493</v>
      </c>
      <c r="AW324" s="7">
        <v>0</v>
      </c>
      <c r="AY324" s="7">
        <f t="shared" si="38"/>
        <v>28524254</v>
      </c>
      <c r="BA324" s="7">
        <f>+'St of Activites - GA Rev'!AI324-'St of Activities - GA Exp'!AY324</f>
        <v>-2878042</v>
      </c>
      <c r="BC324" s="7">
        <v>13838143</v>
      </c>
      <c r="BE324" s="7">
        <f t="shared" si="39"/>
        <v>10960101</v>
      </c>
      <c r="BG324" s="7">
        <f>+'St of Net Assets - GA'!AA324-'St of Activities - GA Exp'!BE324</f>
        <v>0</v>
      </c>
      <c r="BH324" s="7" t="s">
        <v>914</v>
      </c>
      <c r="BL324" s="7" t="str">
        <f t="shared" si="34"/>
        <v>Mariemont City SD</v>
      </c>
      <c r="BM324" s="7" t="b">
        <f t="shared" si="35"/>
        <v>1</v>
      </c>
      <c r="BO324" s="7" t="str">
        <f t="shared" si="36"/>
        <v>Hamilton</v>
      </c>
      <c r="BP324" s="7" t="b">
        <f t="shared" si="37"/>
        <v>1</v>
      </c>
    </row>
    <row r="325" spans="1:68" ht="12" hidden="1" customHeight="1">
      <c r="A325" s="12" t="s">
        <v>638</v>
      </c>
      <c r="B325" s="12"/>
      <c r="C325" s="12" t="s">
        <v>70</v>
      </c>
      <c r="D325" s="12"/>
      <c r="E325" s="12">
        <v>44321</v>
      </c>
      <c r="AI325" s="12" t="s">
        <v>638</v>
      </c>
      <c r="AJ325" s="12"/>
      <c r="AK325" s="12" t="s">
        <v>70</v>
      </c>
      <c r="AL325" s="12"/>
      <c r="AY325" s="7">
        <f t="shared" si="38"/>
        <v>0</v>
      </c>
      <c r="BA325" s="7">
        <f>+'St of Activites - GA Rev'!AI325-'St of Activities - GA Exp'!AY325</f>
        <v>0</v>
      </c>
      <c r="BE325" s="7">
        <f t="shared" si="39"/>
        <v>0</v>
      </c>
      <c r="BG325" s="7">
        <f>+'St of Net Assets - GA'!AA325-'St of Activities - GA Exp'!BE325</f>
        <v>0</v>
      </c>
      <c r="BH325" s="7" t="s">
        <v>839</v>
      </c>
      <c r="BL325" s="7" t="str">
        <f t="shared" si="34"/>
        <v>Marietta City SD (CASH)</v>
      </c>
      <c r="BM325" s="7" t="b">
        <f t="shared" si="35"/>
        <v>1</v>
      </c>
      <c r="BO325" s="7" t="str">
        <f t="shared" si="36"/>
        <v>Washington</v>
      </c>
      <c r="BP325" s="7" t="b">
        <f t="shared" si="37"/>
        <v>1</v>
      </c>
    </row>
    <row r="326" spans="1:68" ht="12" customHeight="1">
      <c r="A326" s="12" t="s">
        <v>423</v>
      </c>
      <c r="B326" s="12"/>
      <c r="C326" s="12" t="s">
        <v>46</v>
      </c>
      <c r="D326" s="12"/>
      <c r="E326" s="12">
        <v>44339</v>
      </c>
      <c r="G326" s="7">
        <v>26821026</v>
      </c>
      <c r="I326" s="7">
        <v>7636682</v>
      </c>
      <c r="K326" s="7">
        <v>426442</v>
      </c>
      <c r="M326" s="7">
        <v>23961</v>
      </c>
      <c r="O326" s="7">
        <v>0</v>
      </c>
      <c r="Q326" s="7">
        <v>2488911</v>
      </c>
      <c r="S326" s="7">
        <v>4003919</v>
      </c>
      <c r="U326" s="7">
        <v>35774</v>
      </c>
      <c r="W326" s="7">
        <v>3666691</v>
      </c>
      <c r="Y326" s="7">
        <v>699626</v>
      </c>
      <c r="AA326" s="7">
        <v>432273</v>
      </c>
      <c r="AC326" s="7">
        <v>4309276</v>
      </c>
      <c r="AE326" s="7">
        <v>983400</v>
      </c>
      <c r="AG326" s="7">
        <v>4688</v>
      </c>
      <c r="AI326" s="12" t="s">
        <v>423</v>
      </c>
      <c r="AJ326" s="12"/>
      <c r="AK326" s="12" t="s">
        <v>46</v>
      </c>
      <c r="AL326" s="12"/>
      <c r="AM326" s="7">
        <v>0</v>
      </c>
      <c r="AO326" s="7">
        <v>2473706</v>
      </c>
      <c r="AQ326" s="7">
        <v>932546</v>
      </c>
      <c r="AS326" s="7">
        <v>617853</v>
      </c>
      <c r="AW326" s="7">
        <v>0</v>
      </c>
      <c r="AY326" s="7">
        <f t="shared" si="38"/>
        <v>55556774</v>
      </c>
      <c r="BA326" s="7">
        <f>+'St of Activites - GA Rev'!AI326-'St of Activities - GA Exp'!AY326</f>
        <v>-697190</v>
      </c>
      <c r="BC326" s="7">
        <v>86543805</v>
      </c>
      <c r="BE326" s="7">
        <f t="shared" si="39"/>
        <v>85846615</v>
      </c>
      <c r="BG326" s="7">
        <f>+'St of Net Assets - GA'!AA326-'St of Activities - GA Exp'!BE326</f>
        <v>0</v>
      </c>
      <c r="BL326" s="7" t="str">
        <f t="shared" si="34"/>
        <v>Marion City SD</v>
      </c>
      <c r="BM326" s="7" t="b">
        <f t="shared" si="35"/>
        <v>1</v>
      </c>
      <c r="BO326" s="7" t="str">
        <f t="shared" si="36"/>
        <v>Marion</v>
      </c>
      <c r="BP326" s="7" t="b">
        <f t="shared" si="37"/>
        <v>1</v>
      </c>
    </row>
    <row r="327" spans="1:68" ht="12" hidden="1" customHeight="1">
      <c r="A327" s="12" t="s">
        <v>721</v>
      </c>
      <c r="B327" s="12"/>
      <c r="C327" s="12" t="s">
        <v>435</v>
      </c>
      <c r="D327" s="12"/>
      <c r="E327" s="12"/>
      <c r="AI327" s="12" t="s">
        <v>721</v>
      </c>
      <c r="AJ327" s="12"/>
      <c r="AK327" s="12" t="s">
        <v>435</v>
      </c>
      <c r="AL327" s="12"/>
      <c r="AY327" s="7">
        <f t="shared" si="38"/>
        <v>0</v>
      </c>
      <c r="BA327" s="7">
        <f>+'St of Activites - GA Rev'!AI327-'St of Activities - GA Exp'!AY327</f>
        <v>0</v>
      </c>
      <c r="BE327" s="7">
        <f t="shared" si="39"/>
        <v>0</v>
      </c>
      <c r="BG327" s="7">
        <f>+'St of Net Assets - GA'!AA327-'St of Activities - GA Exp'!BE327</f>
        <v>0</v>
      </c>
      <c r="BH327" s="7" t="s">
        <v>839</v>
      </c>
      <c r="BL327" s="7" t="str">
        <f t="shared" si="34"/>
        <v>Marion Local SD (CASH)</v>
      </c>
      <c r="BM327" s="7" t="b">
        <f t="shared" si="35"/>
        <v>1</v>
      </c>
      <c r="BO327" s="7" t="str">
        <f t="shared" si="36"/>
        <v>Mercer</v>
      </c>
      <c r="BP327" s="7" t="b">
        <f t="shared" si="37"/>
        <v>1</v>
      </c>
    </row>
    <row r="328" spans="1:68">
      <c r="A328" s="12" t="s">
        <v>515</v>
      </c>
      <c r="B328" s="12"/>
      <c r="C328" s="12" t="s">
        <v>62</v>
      </c>
      <c r="D328" s="12"/>
      <c r="E328" s="12">
        <v>49882</v>
      </c>
      <c r="G328" s="7">
        <v>8640876</v>
      </c>
      <c r="I328" s="7">
        <v>2913433</v>
      </c>
      <c r="K328" s="7">
        <v>658980</v>
      </c>
      <c r="M328" s="7">
        <v>0</v>
      </c>
      <c r="O328" s="7">
        <v>1006021</v>
      </c>
      <c r="Q328" s="7">
        <v>814575</v>
      </c>
      <c r="S328" s="7">
        <v>1301035</v>
      </c>
      <c r="U328" s="7">
        <v>17306</v>
      </c>
      <c r="W328" s="7">
        <v>1764529</v>
      </c>
      <c r="Y328" s="7">
        <v>546355</v>
      </c>
      <c r="AA328" s="7">
        <v>337971</v>
      </c>
      <c r="AC328" s="7">
        <v>2017338</v>
      </c>
      <c r="AE328" s="7">
        <v>1336352</v>
      </c>
      <c r="AG328" s="7">
        <v>93646</v>
      </c>
      <c r="AI328" s="12" t="s">
        <v>515</v>
      </c>
      <c r="AJ328" s="12"/>
      <c r="AK328" s="12" t="s">
        <v>62</v>
      </c>
      <c r="AL328" s="12"/>
      <c r="AM328" s="7">
        <v>1019670</v>
      </c>
      <c r="AO328" s="7">
        <v>5413</v>
      </c>
      <c r="AQ328" s="7">
        <v>929021</v>
      </c>
      <c r="AS328" s="7">
        <v>12831</v>
      </c>
      <c r="AW328" s="7">
        <v>0</v>
      </c>
      <c r="AY328" s="7">
        <f t="shared" si="38"/>
        <v>23415352</v>
      </c>
      <c r="BA328" s="7">
        <f>+'St of Activites - GA Rev'!AI328-'St of Activities - GA Exp'!AY328</f>
        <v>3618047</v>
      </c>
      <c r="BC328" s="7">
        <v>12855737</v>
      </c>
      <c r="BE328" s="7">
        <f t="shared" si="39"/>
        <v>16473784</v>
      </c>
      <c r="BG328" s="7">
        <f>+'St of Net Assets - GA'!AA328-'St of Activities - GA Exp'!BE328</f>
        <v>0</v>
      </c>
      <c r="BL328" s="7" t="str">
        <f t="shared" si="34"/>
        <v>Marlington Local SD</v>
      </c>
      <c r="BM328" s="7" t="b">
        <f t="shared" si="35"/>
        <v>1</v>
      </c>
      <c r="BO328" s="7" t="str">
        <f t="shared" si="36"/>
        <v>Stark</v>
      </c>
      <c r="BP328" s="7" t="b">
        <f t="shared" si="37"/>
        <v>1</v>
      </c>
    </row>
    <row r="329" spans="1:68">
      <c r="A329" s="12" t="s">
        <v>217</v>
      </c>
      <c r="B329" s="12"/>
      <c r="C329" s="12" t="s">
        <v>15</v>
      </c>
      <c r="D329" s="12"/>
      <c r="E329" s="12">
        <v>44347</v>
      </c>
      <c r="G329" s="7">
        <v>6627556</v>
      </c>
      <c r="I329" s="7">
        <v>1839243</v>
      </c>
      <c r="K329" s="7">
        <v>326846</v>
      </c>
      <c r="M329" s="7">
        <v>0</v>
      </c>
      <c r="O329" s="7">
        <v>71405</v>
      </c>
      <c r="Q329" s="7">
        <v>741708</v>
      </c>
      <c r="S329" s="7">
        <v>692133</v>
      </c>
      <c r="U329" s="7">
        <v>80720</v>
      </c>
      <c r="W329" s="7">
        <v>1195458</v>
      </c>
      <c r="Y329" s="7">
        <v>363411</v>
      </c>
      <c r="AA329" s="7">
        <v>0</v>
      </c>
      <c r="AC329" s="7">
        <v>1434158</v>
      </c>
      <c r="AE329" s="7">
        <v>654154</v>
      </c>
      <c r="AG329" s="7">
        <v>58844</v>
      </c>
      <c r="AI329" s="12" t="s">
        <v>217</v>
      </c>
      <c r="AJ329" s="12"/>
      <c r="AK329" s="12" t="s">
        <v>15</v>
      </c>
      <c r="AL329" s="12"/>
      <c r="AM329" s="7">
        <v>796674</v>
      </c>
      <c r="AO329" s="7">
        <v>144914</v>
      </c>
      <c r="AQ329" s="7">
        <v>390777</v>
      </c>
      <c r="AS329" s="7">
        <v>582836</v>
      </c>
      <c r="AW329" s="7">
        <v>0</v>
      </c>
      <c r="AY329" s="7">
        <f t="shared" si="38"/>
        <v>16000837</v>
      </c>
      <c r="BA329" s="7">
        <f>+'St of Activites - GA Rev'!AI329-'St of Activities - GA Exp'!AY329</f>
        <v>-499368</v>
      </c>
      <c r="BC329" s="7">
        <v>27697052</v>
      </c>
      <c r="BE329" s="7">
        <f t="shared" si="39"/>
        <v>27197684</v>
      </c>
      <c r="BG329" s="7">
        <f>+'St of Net Assets - GA'!AA329-'St of Activities - GA Exp'!BE329</f>
        <v>0</v>
      </c>
      <c r="BL329" s="7" t="str">
        <f t="shared" si="34"/>
        <v>Martins Ferry City SD</v>
      </c>
      <c r="BM329" s="7" t="b">
        <f t="shared" si="35"/>
        <v>1</v>
      </c>
      <c r="BO329" s="7" t="str">
        <f t="shared" si="36"/>
        <v>Belmont</v>
      </c>
      <c r="BP329" s="7" t="b">
        <f t="shared" si="37"/>
        <v>1</v>
      </c>
    </row>
    <row r="330" spans="1:68">
      <c r="A330" s="12" t="s">
        <v>876</v>
      </c>
      <c r="B330" s="12"/>
      <c r="C330" s="12" t="s">
        <v>66</v>
      </c>
      <c r="D330" s="12"/>
      <c r="E330" s="12">
        <v>45476</v>
      </c>
      <c r="G330" s="7">
        <v>24749064</v>
      </c>
      <c r="I330" s="7">
        <v>6106049</v>
      </c>
      <c r="K330" s="7">
        <v>687254</v>
      </c>
      <c r="M330" s="7">
        <v>0</v>
      </c>
      <c r="O330" s="7">
        <v>299954</v>
      </c>
      <c r="Q330" s="7">
        <v>3493078</v>
      </c>
      <c r="S330" s="7">
        <v>5114616</v>
      </c>
      <c r="U330" s="7">
        <v>239936</v>
      </c>
      <c r="W330" s="7">
        <v>3752154</v>
      </c>
      <c r="Y330" s="7">
        <v>1196392</v>
      </c>
      <c r="AA330" s="7">
        <v>718088</v>
      </c>
      <c r="AC330" s="7">
        <v>5057277</v>
      </c>
      <c r="AE330" s="7">
        <v>2307844</v>
      </c>
      <c r="AG330" s="7">
        <v>527255</v>
      </c>
      <c r="AI330" s="12" t="s">
        <v>876</v>
      </c>
      <c r="AJ330" s="12"/>
      <c r="AK330" s="12" t="s">
        <v>66</v>
      </c>
      <c r="AL330" s="12"/>
      <c r="AM330" s="7">
        <v>2064654</v>
      </c>
      <c r="AO330" s="7">
        <v>215474</v>
      </c>
      <c r="AQ330" s="7">
        <v>1105144</v>
      </c>
      <c r="AS330" s="7">
        <v>5305885</v>
      </c>
      <c r="AW330" s="7">
        <v>0</v>
      </c>
      <c r="AY330" s="7">
        <f t="shared" si="38"/>
        <v>62940118</v>
      </c>
      <c r="BA330" s="7">
        <f>+'St of Activites - GA Rev'!AI330-'St of Activities - GA Exp'!AY330</f>
        <v>-1832101</v>
      </c>
      <c r="BC330" s="7">
        <v>14064114</v>
      </c>
      <c r="BE330" s="7">
        <f t="shared" si="39"/>
        <v>12232013</v>
      </c>
      <c r="BG330" s="7">
        <f>+'St of Net Assets - GA'!AA330-'St of Activities - GA Exp'!BE330</f>
        <v>0</v>
      </c>
      <c r="BL330" s="7" t="str">
        <f t="shared" si="34"/>
        <v>Marysville Exempted Village SD</v>
      </c>
      <c r="BM330" s="7" t="b">
        <f t="shared" si="35"/>
        <v>1</v>
      </c>
      <c r="BO330" s="7" t="str">
        <f t="shared" si="36"/>
        <v>Union</v>
      </c>
      <c r="BP330" s="7" t="b">
        <f t="shared" si="37"/>
        <v>1</v>
      </c>
    </row>
    <row r="331" spans="1:68">
      <c r="A331" s="12" t="s">
        <v>563</v>
      </c>
      <c r="B331" s="12"/>
      <c r="C331" s="12" t="s">
        <v>69</v>
      </c>
      <c r="D331" s="12"/>
      <c r="E331" s="12">
        <v>50450</v>
      </c>
      <c r="G331" s="7">
        <v>48371728</v>
      </c>
      <c r="I331" s="7">
        <v>12826440</v>
      </c>
      <c r="K331" s="7">
        <v>12731</v>
      </c>
      <c r="M331" s="7">
        <v>0</v>
      </c>
      <c r="O331" s="7">
        <v>938204</v>
      </c>
      <c r="Q331" s="7">
        <v>7015312</v>
      </c>
      <c r="S331" s="7">
        <v>8118256</v>
      </c>
      <c r="U331" s="7">
        <v>60567</v>
      </c>
      <c r="W331" s="7">
        <v>5894519</v>
      </c>
      <c r="Y331" s="7">
        <v>1851351</v>
      </c>
      <c r="AA331" s="7">
        <v>422415</v>
      </c>
      <c r="AC331" s="7">
        <v>13504242</v>
      </c>
      <c r="AE331" s="7">
        <v>7615345</v>
      </c>
      <c r="AG331" s="7">
        <v>3790359</v>
      </c>
      <c r="AI331" s="12" t="s">
        <v>563</v>
      </c>
      <c r="AJ331" s="12"/>
      <c r="AK331" s="12" t="s">
        <v>69</v>
      </c>
      <c r="AL331" s="12"/>
      <c r="AM331" s="7">
        <v>0</v>
      </c>
      <c r="AO331" s="7">
        <v>6058518</v>
      </c>
      <c r="AQ331" s="7">
        <v>2848531</v>
      </c>
      <c r="AS331" s="7">
        <v>6348747</v>
      </c>
      <c r="AW331" s="7">
        <v>0</v>
      </c>
      <c r="AY331" s="7">
        <f t="shared" si="38"/>
        <v>125677265</v>
      </c>
      <c r="BA331" s="7">
        <f>+'St of Activites - GA Rev'!AI331-'St of Activities - GA Exp'!AY331</f>
        <v>5784781</v>
      </c>
      <c r="BC331" s="7">
        <v>89955339</v>
      </c>
      <c r="BE331" s="7">
        <f t="shared" si="39"/>
        <v>95740120</v>
      </c>
      <c r="BG331" s="7">
        <f>+'St of Net Assets - GA'!AA331-'St of Activities - GA Exp'!BE331</f>
        <v>0</v>
      </c>
      <c r="BL331" s="7" t="str">
        <f t="shared" si="34"/>
        <v>Mason City SD</v>
      </c>
      <c r="BM331" s="7" t="b">
        <f t="shared" si="35"/>
        <v>1</v>
      </c>
      <c r="BO331" s="7" t="str">
        <f t="shared" si="36"/>
        <v>Warren</v>
      </c>
      <c r="BP331" s="7" t="b">
        <f t="shared" si="37"/>
        <v>1</v>
      </c>
    </row>
    <row r="332" spans="1:68">
      <c r="A332" s="12" t="s">
        <v>516</v>
      </c>
      <c r="B332" s="12"/>
      <c r="C332" s="12" t="s">
        <v>62</v>
      </c>
      <c r="D332" s="12"/>
      <c r="E332" s="12">
        <v>44354</v>
      </c>
      <c r="G332" s="7">
        <v>21557316</v>
      </c>
      <c r="I332" s="7">
        <v>5678378</v>
      </c>
      <c r="K332" s="7">
        <v>1792424</v>
      </c>
      <c r="M332" s="7">
        <v>46950</v>
      </c>
      <c r="O332" s="7">
        <f>262276+935713</f>
        <v>1197989</v>
      </c>
      <c r="Q332" s="7">
        <v>3320005</v>
      </c>
      <c r="S332" s="7">
        <v>1765940</v>
      </c>
      <c r="U332" s="7">
        <v>509116</v>
      </c>
      <c r="W332" s="7">
        <v>2946715</v>
      </c>
      <c r="Y332" s="7">
        <v>969113</v>
      </c>
      <c r="AA332" s="7">
        <v>10308</v>
      </c>
      <c r="AC332" s="7">
        <v>4628931</v>
      </c>
      <c r="AE332" s="7">
        <v>1817621</v>
      </c>
      <c r="AG332" s="7">
        <v>1347565</v>
      </c>
      <c r="AI332" s="12" t="s">
        <v>516</v>
      </c>
      <c r="AJ332" s="12"/>
      <c r="AK332" s="12" t="s">
        <v>62</v>
      </c>
      <c r="AL332" s="12"/>
      <c r="AM332" s="7">
        <v>1672935</v>
      </c>
      <c r="AO332" s="7">
        <f>312215+2676</f>
        <v>314891</v>
      </c>
      <c r="AQ332" s="7">
        <v>1858025</v>
      </c>
      <c r="AS332" s="7">
        <v>641469</v>
      </c>
      <c r="AW332" s="7">
        <v>0</v>
      </c>
      <c r="AY332" s="7">
        <f t="shared" si="38"/>
        <v>52075691</v>
      </c>
      <c r="BA332" s="7">
        <f>+'St of Activites - GA Rev'!AI332-'St of Activities - GA Exp'!AY332</f>
        <v>-319275</v>
      </c>
      <c r="BC332" s="7">
        <v>39145366</v>
      </c>
      <c r="BE332" s="7">
        <f t="shared" si="39"/>
        <v>38826091</v>
      </c>
      <c r="BG332" s="7">
        <f>+'St of Net Assets - GA'!AA332-'St of Activities - GA Exp'!BE332</f>
        <v>0</v>
      </c>
      <c r="BL332" s="7" t="str">
        <f t="shared" si="34"/>
        <v>Massillon City SD</v>
      </c>
      <c r="BM332" s="7" t="b">
        <f t="shared" si="35"/>
        <v>1</v>
      </c>
      <c r="BO332" s="7" t="str">
        <f t="shared" si="36"/>
        <v>Stark</v>
      </c>
      <c r="BP332" s="7" t="b">
        <f t="shared" si="37"/>
        <v>1</v>
      </c>
    </row>
    <row r="333" spans="1:68">
      <c r="A333" s="12" t="s">
        <v>545</v>
      </c>
      <c r="B333" s="12"/>
      <c r="C333" s="12" t="s">
        <v>64</v>
      </c>
      <c r="D333" s="12"/>
      <c r="E333" s="12">
        <v>50153</v>
      </c>
      <c r="G333" s="7">
        <v>4325427</v>
      </c>
      <c r="I333" s="7">
        <v>1035373</v>
      </c>
      <c r="K333" s="7">
        <v>51376</v>
      </c>
      <c r="M333" s="7">
        <v>0</v>
      </c>
      <c r="O333" s="7">
        <v>140241</v>
      </c>
      <c r="Q333" s="7">
        <v>483554</v>
      </c>
      <c r="S333" s="7">
        <v>259173</v>
      </c>
      <c r="U333" s="7">
        <v>81495</v>
      </c>
      <c r="W333" s="7">
        <v>818959</v>
      </c>
      <c r="Y333" s="7">
        <v>343888</v>
      </c>
      <c r="AA333" s="7">
        <v>0</v>
      </c>
      <c r="AC333" s="7">
        <v>1001583</v>
      </c>
      <c r="AE333" s="7">
        <v>546139</v>
      </c>
      <c r="AG333" s="7">
        <v>88561</v>
      </c>
      <c r="AI333" s="12" t="s">
        <v>545</v>
      </c>
      <c r="AJ333" s="12"/>
      <c r="AK333" s="12" t="s">
        <v>64</v>
      </c>
      <c r="AL333" s="12"/>
      <c r="AM333" s="7">
        <v>333987</v>
      </c>
      <c r="AO333" s="7">
        <v>2705</v>
      </c>
      <c r="AQ333" s="7">
        <v>220792</v>
      </c>
      <c r="AS333" s="7">
        <v>0</v>
      </c>
      <c r="AW333" s="7">
        <v>0</v>
      </c>
      <c r="AY333" s="7">
        <f t="shared" si="38"/>
        <v>9733253</v>
      </c>
      <c r="BA333" s="7">
        <f>+'St of Activites - GA Rev'!AI333-'St of Activities - GA Exp'!AY333</f>
        <v>-22127</v>
      </c>
      <c r="BC333" s="7">
        <v>3418846</v>
      </c>
      <c r="BE333" s="7">
        <f t="shared" si="39"/>
        <v>3396719</v>
      </c>
      <c r="BG333" s="7">
        <f>+'St of Net Assets - GA'!AA333-'St of Activities - GA Exp'!BE333</f>
        <v>0</v>
      </c>
      <c r="BL333" s="7" t="str">
        <f t="shared" ref="BL333:BL397" si="46">A333</f>
        <v>Mathews Local SD</v>
      </c>
      <c r="BM333" s="7" t="b">
        <f t="shared" ref="BM333:BM397" si="47">A333=AI333</f>
        <v>1</v>
      </c>
      <c r="BO333" s="7" t="str">
        <f t="shared" ref="BO333:BO397" si="48">C333</f>
        <v>Trumbull</v>
      </c>
      <c r="BP333" s="7" t="b">
        <f t="shared" ref="BP333:BP397" si="49">C333=AK333</f>
        <v>1</v>
      </c>
    </row>
    <row r="334" spans="1:68">
      <c r="A334" s="12" t="s">
        <v>403</v>
      </c>
      <c r="B334" s="12"/>
      <c r="C334" s="12" t="s">
        <v>115</v>
      </c>
      <c r="D334" s="12"/>
      <c r="E334" s="12">
        <v>44362</v>
      </c>
      <c r="G334" s="7">
        <v>15768161</v>
      </c>
      <c r="I334" s="7">
        <v>2934308</v>
      </c>
      <c r="K334" s="7">
        <v>243679</v>
      </c>
      <c r="M334" s="7">
        <v>7699</v>
      </c>
      <c r="O334" s="7">
        <v>800478</v>
      </c>
      <c r="Q334" s="7">
        <v>1225687</v>
      </c>
      <c r="S334" s="7">
        <v>820478</v>
      </c>
      <c r="U334" s="7">
        <v>28783</v>
      </c>
      <c r="W334" s="7">
        <v>2513047</v>
      </c>
      <c r="Y334" s="7">
        <v>790458</v>
      </c>
      <c r="AA334" s="7">
        <v>217889</v>
      </c>
      <c r="AC334" s="7">
        <v>3253941</v>
      </c>
      <c r="AE334" s="7">
        <v>1074037</v>
      </c>
      <c r="AG334" s="7">
        <v>327775</v>
      </c>
      <c r="AI334" s="12" t="s">
        <v>403</v>
      </c>
      <c r="AJ334" s="12"/>
      <c r="AK334" s="12" t="s">
        <v>115</v>
      </c>
      <c r="AL334" s="12"/>
      <c r="AM334" s="7">
        <v>1051619</v>
      </c>
      <c r="AO334" s="7">
        <v>545327</v>
      </c>
      <c r="AQ334" s="7">
        <v>1250946</v>
      </c>
      <c r="AS334" s="7">
        <v>1646979</v>
      </c>
      <c r="AW334" s="7">
        <v>0</v>
      </c>
      <c r="AY334" s="7">
        <f t="shared" si="38"/>
        <v>34501291</v>
      </c>
      <c r="BA334" s="7">
        <f>+'St of Activites - GA Rev'!AI334-'St of Activities - GA Exp'!AY334</f>
        <v>824319</v>
      </c>
      <c r="BC334" s="7">
        <v>9564323</v>
      </c>
      <c r="BE334" s="7">
        <f t="shared" si="39"/>
        <v>10388642</v>
      </c>
      <c r="BG334" s="7">
        <f>+'St of Net Assets - GA'!AA334-'St of Activities - GA Exp'!BE334</f>
        <v>0</v>
      </c>
      <c r="BL334" s="7" t="str">
        <f t="shared" si="46"/>
        <v>Maumee City SD</v>
      </c>
      <c r="BM334" s="7" t="b">
        <f t="shared" si="47"/>
        <v>1</v>
      </c>
      <c r="BO334" s="7" t="str">
        <f t="shared" si="48"/>
        <v>Lucas</v>
      </c>
      <c r="BP334" s="7" t="b">
        <f t="shared" si="49"/>
        <v>1</v>
      </c>
    </row>
    <row r="335" spans="1:68">
      <c r="A335" s="12" t="s">
        <v>763</v>
      </c>
      <c r="B335" s="12"/>
      <c r="C335" s="12" t="s">
        <v>20</v>
      </c>
      <c r="D335" s="12"/>
      <c r="E335" s="12">
        <v>44370</v>
      </c>
      <c r="G335" s="7">
        <v>26278280</v>
      </c>
      <c r="I335" s="7">
        <v>11563999</v>
      </c>
      <c r="K335" s="7">
        <f>2503493+4762881</f>
        <v>7266374</v>
      </c>
      <c r="M335" s="7">
        <v>0</v>
      </c>
      <c r="O335" s="7">
        <f>531575+64987</f>
        <v>596562</v>
      </c>
      <c r="Q335" s="7">
        <v>5558034</v>
      </c>
      <c r="S335" s="7">
        <v>5681928</v>
      </c>
      <c r="U335" s="7">
        <v>100474</v>
      </c>
      <c r="W335" s="7">
        <v>3642182</v>
      </c>
      <c r="Y335" s="7">
        <v>2089413</v>
      </c>
      <c r="AA335" s="7">
        <v>307510</v>
      </c>
      <c r="AC335" s="7">
        <v>5727370</v>
      </c>
      <c r="AE335" s="7">
        <v>4269770</v>
      </c>
      <c r="AG335" s="7">
        <v>1153066</v>
      </c>
      <c r="AI335" s="12" t="s">
        <v>763</v>
      </c>
      <c r="AJ335" s="12"/>
      <c r="AK335" s="12" t="s">
        <v>20</v>
      </c>
      <c r="AL335" s="12"/>
      <c r="AM335" s="7">
        <v>1185353</v>
      </c>
      <c r="AO335" s="7">
        <v>1135453</v>
      </c>
      <c r="AQ335" s="7">
        <v>1561816</v>
      </c>
      <c r="AS335" s="7">
        <v>1995289</v>
      </c>
      <c r="AW335" s="7">
        <v>0</v>
      </c>
      <c r="AY335" s="7">
        <f t="shared" si="38"/>
        <v>80112873</v>
      </c>
      <c r="BA335" s="7">
        <f>+'St of Activites - GA Rev'!AI335-'St of Activities - GA Exp'!AY335</f>
        <v>1165235</v>
      </c>
      <c r="BC335" s="7">
        <v>45533724</v>
      </c>
      <c r="BE335" s="7">
        <f t="shared" si="39"/>
        <v>46698959</v>
      </c>
      <c r="BG335" s="7">
        <f>+'St of Net Assets - GA'!AA335-'St of Activities - GA Exp'!BE335</f>
        <v>0</v>
      </c>
      <c r="BL335" s="7" t="str">
        <f t="shared" si="46"/>
        <v xml:space="preserve">Mayfield City SD </v>
      </c>
      <c r="BM335" s="7" t="b">
        <f t="shared" si="47"/>
        <v>1</v>
      </c>
      <c r="BO335" s="7" t="str">
        <f t="shared" si="48"/>
        <v>Cuyahoga</v>
      </c>
      <c r="BP335" s="7" t="b">
        <f t="shared" si="49"/>
        <v>1</v>
      </c>
    </row>
    <row r="336" spans="1:68">
      <c r="A336" s="12" t="s">
        <v>458</v>
      </c>
      <c r="B336" s="12"/>
      <c r="C336" s="12" t="s">
        <v>51</v>
      </c>
      <c r="D336" s="12"/>
      <c r="E336" s="12">
        <v>48850</v>
      </c>
      <c r="G336" s="7">
        <v>10500494</v>
      </c>
      <c r="I336" s="7">
        <v>2370789</v>
      </c>
      <c r="K336" s="7">
        <v>79880</v>
      </c>
      <c r="M336" s="7">
        <v>0</v>
      </c>
      <c r="O336" s="7">
        <v>438079</v>
      </c>
      <c r="Q336" s="7">
        <v>806155</v>
      </c>
      <c r="S336" s="7">
        <v>1779934</v>
      </c>
      <c r="U336" s="7">
        <v>42970</v>
      </c>
      <c r="W336" s="7">
        <v>1860246</v>
      </c>
      <c r="Y336" s="7">
        <v>377111</v>
      </c>
      <c r="AA336" s="7">
        <v>0</v>
      </c>
      <c r="AC336" s="7">
        <v>1904070</v>
      </c>
      <c r="AE336" s="7">
        <v>985485</v>
      </c>
      <c r="AG336" s="7">
        <v>70766</v>
      </c>
      <c r="AI336" s="12" t="s">
        <v>458</v>
      </c>
      <c r="AJ336" s="12"/>
      <c r="AK336" s="12" t="s">
        <v>51</v>
      </c>
      <c r="AL336" s="12"/>
      <c r="AM336" s="7">
        <v>998067</v>
      </c>
      <c r="AO336" s="7">
        <v>29334</v>
      </c>
      <c r="AQ336" s="7">
        <v>782201</v>
      </c>
      <c r="AS336" s="7">
        <v>229199</v>
      </c>
      <c r="AW336" s="7">
        <v>0</v>
      </c>
      <c r="AY336" s="7">
        <f t="shared" si="38"/>
        <v>23254780</v>
      </c>
      <c r="BA336" s="7">
        <f>+'St of Activites - GA Rev'!AI336-'St of Activities - GA Exp'!AY336</f>
        <v>-117809</v>
      </c>
      <c r="BC336" s="7">
        <v>32682506</v>
      </c>
      <c r="BE336" s="7">
        <f t="shared" si="39"/>
        <v>32564697</v>
      </c>
      <c r="BG336" s="7">
        <f>+'St of Net Assets - GA'!AA336-'St of Activities - GA Exp'!BE336</f>
        <v>0</v>
      </c>
      <c r="BL336" s="7" t="str">
        <f t="shared" si="46"/>
        <v>Maysville Local SD</v>
      </c>
      <c r="BM336" s="7" t="b">
        <f t="shared" si="47"/>
        <v>1</v>
      </c>
      <c r="BO336" s="7" t="str">
        <f t="shared" si="48"/>
        <v>Muskingum</v>
      </c>
      <c r="BP336" s="7" t="b">
        <f t="shared" si="49"/>
        <v>1</v>
      </c>
    </row>
    <row r="337" spans="1:68" ht="12" hidden="1" customHeight="1">
      <c r="A337" s="12" t="s">
        <v>932</v>
      </c>
      <c r="B337" s="12"/>
      <c r="C337" s="12" t="s">
        <v>33</v>
      </c>
      <c r="D337" s="12"/>
      <c r="E337" s="12">
        <v>47456</v>
      </c>
      <c r="AI337" s="12" t="s">
        <v>932</v>
      </c>
      <c r="AJ337" s="12"/>
      <c r="AK337" s="12" t="s">
        <v>33</v>
      </c>
      <c r="AL337" s="12"/>
      <c r="AW337" s="7">
        <v>0</v>
      </c>
      <c r="AY337" s="7">
        <f>SUM(G337:AX337)</f>
        <v>0</v>
      </c>
      <c r="BA337" s="7">
        <f>+'St of Activites - GA Rev'!AI337-'St of Activities - GA Exp'!AY337</f>
        <v>0</v>
      </c>
      <c r="BE337" s="7">
        <f>+BA337+BC337</f>
        <v>0</v>
      </c>
      <c r="BG337" s="7">
        <f>+'St of Net Assets - GA'!AA337-'St of Activities - GA Exp'!BE337</f>
        <v>0</v>
      </c>
      <c r="BH337" s="7" t="s">
        <v>839</v>
      </c>
      <c r="BL337" s="7" t="str">
        <f t="shared" si="46"/>
        <v>McComb Local SD (CASH)</v>
      </c>
      <c r="BM337" s="7" t="b">
        <f t="shared" si="47"/>
        <v>1</v>
      </c>
      <c r="BO337" s="7" t="str">
        <f t="shared" si="48"/>
        <v>Hancock</v>
      </c>
      <c r="BP337" s="7" t="b">
        <f t="shared" si="49"/>
        <v>1</v>
      </c>
    </row>
    <row r="338" spans="1:68" ht="12" customHeight="1">
      <c r="A338" s="12" t="s">
        <v>667</v>
      </c>
      <c r="B338" s="12"/>
      <c r="C338" s="12" t="s">
        <v>64</v>
      </c>
      <c r="D338" s="12"/>
      <c r="E338" s="12">
        <v>50229</v>
      </c>
      <c r="G338" s="7">
        <v>3788310</v>
      </c>
      <c r="I338" s="7">
        <v>489658</v>
      </c>
      <c r="K338" s="7">
        <v>19426</v>
      </c>
      <c r="M338" s="7">
        <v>0</v>
      </c>
      <c r="O338" s="7">
        <v>0</v>
      </c>
      <c r="Q338" s="7">
        <v>291074</v>
      </c>
      <c r="S338" s="7">
        <v>12055</v>
      </c>
      <c r="U338" s="7">
        <v>14205</v>
      </c>
      <c r="W338" s="7">
        <v>459457</v>
      </c>
      <c r="Y338" s="7">
        <v>178008</v>
      </c>
      <c r="AA338" s="7">
        <v>0</v>
      </c>
      <c r="AC338" s="7">
        <v>551840</v>
      </c>
      <c r="AE338" s="7">
        <v>74360</v>
      </c>
      <c r="AG338" s="7">
        <v>31685</v>
      </c>
      <c r="AI338" s="12" t="s">
        <v>667</v>
      </c>
      <c r="AJ338" s="12"/>
      <c r="AK338" s="12" t="s">
        <v>64</v>
      </c>
      <c r="AL338" s="12"/>
      <c r="AM338" s="7">
        <v>108355</v>
      </c>
      <c r="AO338" s="7">
        <v>3098</v>
      </c>
      <c r="AQ338" s="7">
        <v>246812</v>
      </c>
      <c r="AS338" s="7">
        <v>105776</v>
      </c>
      <c r="AW338" s="7">
        <v>0</v>
      </c>
      <c r="AY338" s="7">
        <f t="shared" ref="AY338:AY404" si="50">SUM(G338:AX338)</f>
        <v>6374119</v>
      </c>
      <c r="BA338" s="7">
        <f>+'St of Activites - GA Rev'!AI338-'St of Activities - GA Exp'!AY338</f>
        <v>1196852</v>
      </c>
      <c r="BC338" s="7">
        <v>10492835</v>
      </c>
      <c r="BE338" s="7">
        <f t="shared" ref="BE338:BE404" si="51">+BA338+BC338</f>
        <v>11689687</v>
      </c>
      <c r="BG338" s="7">
        <f>+'St of Net Assets - GA'!AA338-'St of Activities - GA Exp'!BE338</f>
        <v>0</v>
      </c>
      <c r="BL338" s="7" t="str">
        <f t="shared" si="46"/>
        <v>McDonald Local SD</v>
      </c>
      <c r="BM338" s="7" t="b">
        <f t="shared" si="47"/>
        <v>1</v>
      </c>
      <c r="BO338" s="7" t="str">
        <f t="shared" si="48"/>
        <v>Trumbull</v>
      </c>
      <c r="BP338" s="7" t="b">
        <f t="shared" si="49"/>
        <v>1</v>
      </c>
    </row>
    <row r="339" spans="1:68">
      <c r="A339" s="12" t="s">
        <v>877</v>
      </c>
      <c r="B339" s="12"/>
      <c r="C339" s="12" t="s">
        <v>232</v>
      </c>
      <c r="D339" s="12"/>
      <c r="E339" s="12">
        <v>45484</v>
      </c>
      <c r="G339" s="7">
        <v>5259695</v>
      </c>
      <c r="I339" s="7">
        <v>1161999</v>
      </c>
      <c r="K339" s="7">
        <v>130535</v>
      </c>
      <c r="M339" s="7">
        <v>0</v>
      </c>
      <c r="O339" s="7">
        <v>0</v>
      </c>
      <c r="Q339" s="7">
        <v>358232</v>
      </c>
      <c r="S339" s="7">
        <v>401049</v>
      </c>
      <c r="U339" s="7">
        <v>57827</v>
      </c>
      <c r="W339" s="7">
        <v>976387</v>
      </c>
      <c r="Y339" s="7">
        <v>314551</v>
      </c>
      <c r="AA339" s="7">
        <v>0</v>
      </c>
      <c r="AC339" s="7">
        <v>1302793</v>
      </c>
      <c r="AE339" s="7">
        <v>700730</v>
      </c>
      <c r="AG339" s="7">
        <v>181888</v>
      </c>
      <c r="AI339" s="12" t="s">
        <v>877</v>
      </c>
      <c r="AJ339" s="12"/>
      <c r="AK339" s="12" t="s">
        <v>232</v>
      </c>
      <c r="AL339" s="12"/>
      <c r="AM339" s="7">
        <v>243775</v>
      </c>
      <c r="AO339" s="7">
        <v>2826</v>
      </c>
      <c r="AQ339" s="7">
        <v>468938</v>
      </c>
      <c r="AS339" s="7">
        <v>344050</v>
      </c>
      <c r="AW339" s="7">
        <v>0</v>
      </c>
      <c r="AY339" s="7">
        <f t="shared" si="50"/>
        <v>11905275</v>
      </c>
      <c r="BA339" s="7">
        <f>+'St of Activites - GA Rev'!AI339-'St of Activities - GA Exp'!AY339</f>
        <v>-1132223</v>
      </c>
      <c r="BC339" s="7">
        <v>19231980</v>
      </c>
      <c r="BE339" s="7">
        <f t="shared" si="51"/>
        <v>18099757</v>
      </c>
      <c r="BG339" s="7">
        <f>+'St of Net Assets - GA'!AA339-'St of Activities - GA Exp'!BE339</f>
        <v>0</v>
      </c>
      <c r="BL339" s="7" t="str">
        <f t="shared" si="46"/>
        <v>Mechanicsburg Exempted Village SD</v>
      </c>
      <c r="BM339" s="7" t="b">
        <f t="shared" si="47"/>
        <v>1</v>
      </c>
      <c r="BO339" s="7" t="str">
        <f t="shared" si="48"/>
        <v>Champaign</v>
      </c>
      <c r="BP339" s="7" t="b">
        <f t="shared" si="49"/>
        <v>1</v>
      </c>
    </row>
    <row r="340" spans="1:68">
      <c r="A340" s="12" t="s">
        <v>431</v>
      </c>
      <c r="B340" s="12"/>
      <c r="C340" s="12" t="s">
        <v>47</v>
      </c>
      <c r="D340" s="12"/>
      <c r="E340" s="12">
        <v>44388</v>
      </c>
      <c r="G340" s="7">
        <v>40026165</v>
      </c>
      <c r="I340" s="7">
        <v>9092117</v>
      </c>
      <c r="K340" s="7">
        <v>493175</v>
      </c>
      <c r="M340" s="7">
        <v>0</v>
      </c>
      <c r="O340" s="7">
        <v>84719</v>
      </c>
      <c r="Q340" s="7">
        <v>3998741</v>
      </c>
      <c r="S340" s="7">
        <v>4450637</v>
      </c>
      <c r="U340" s="7">
        <v>90191</v>
      </c>
      <c r="W340" s="7">
        <v>4926261</v>
      </c>
      <c r="Y340" s="7">
        <v>1198083</v>
      </c>
      <c r="AA340" s="7">
        <v>634881</v>
      </c>
      <c r="AC340" s="7">
        <v>8223140</v>
      </c>
      <c r="AE340" s="7">
        <v>2578235</v>
      </c>
      <c r="AG340" s="7">
        <v>418345</v>
      </c>
      <c r="AI340" s="12" t="s">
        <v>431</v>
      </c>
      <c r="AJ340" s="12"/>
      <c r="AK340" s="12" t="s">
        <v>47</v>
      </c>
      <c r="AL340" s="12"/>
      <c r="AM340" s="7">
        <v>2357386</v>
      </c>
      <c r="AO340" s="7">
        <v>583562</v>
      </c>
      <c r="AQ340" s="7">
        <v>1904855</v>
      </c>
      <c r="AS340" s="7">
        <v>4833128</v>
      </c>
      <c r="AW340" s="7">
        <v>0</v>
      </c>
      <c r="AY340" s="7">
        <f t="shared" si="50"/>
        <v>85893621</v>
      </c>
      <c r="BA340" s="7">
        <f>+'St of Activites - GA Rev'!AI340-'St of Activities - GA Exp'!AY340</f>
        <v>-14276</v>
      </c>
      <c r="BC340" s="7">
        <v>35792113</v>
      </c>
      <c r="BE340" s="7">
        <f t="shared" si="51"/>
        <v>35777837</v>
      </c>
      <c r="BG340" s="7">
        <f>+'St of Net Assets - GA'!AA340-'St of Activities - GA Exp'!BE340</f>
        <v>0</v>
      </c>
      <c r="BL340" s="7" t="str">
        <f t="shared" si="46"/>
        <v>Medina City SD</v>
      </c>
      <c r="BM340" s="7" t="b">
        <f t="shared" si="47"/>
        <v>1</v>
      </c>
      <c r="BO340" s="7" t="str">
        <f t="shared" si="48"/>
        <v>Medina</v>
      </c>
      <c r="BP340" s="7" t="b">
        <f t="shared" si="49"/>
        <v>1</v>
      </c>
    </row>
    <row r="341" spans="1:68">
      <c r="A341" s="12" t="s">
        <v>434</v>
      </c>
      <c r="B341" s="12"/>
      <c r="C341" s="12" t="s">
        <v>433</v>
      </c>
      <c r="D341" s="12"/>
      <c r="E341" s="12">
        <v>48520</v>
      </c>
      <c r="G341" s="7">
        <v>7355701</v>
      </c>
      <c r="I341" s="7">
        <v>2626275</v>
      </c>
      <c r="K341" s="7">
        <v>1326107</v>
      </c>
      <c r="M341" s="7">
        <v>5500</v>
      </c>
      <c r="O341" s="7">
        <f>127564+2195789</f>
        <v>2323353</v>
      </c>
      <c r="Q341" s="7">
        <v>553662</v>
      </c>
      <c r="S341" s="7">
        <v>943613</v>
      </c>
      <c r="U341" s="7">
        <v>59730</v>
      </c>
      <c r="W341" s="7">
        <v>1744574</v>
      </c>
      <c r="Y341" s="7">
        <v>509540</v>
      </c>
      <c r="AA341" s="7">
        <v>0</v>
      </c>
      <c r="AC341" s="7">
        <v>1784132</v>
      </c>
      <c r="AE341" s="7">
        <v>1624324</v>
      </c>
      <c r="AG341" s="7">
        <v>41232</v>
      </c>
      <c r="AI341" s="12" t="s">
        <v>434</v>
      </c>
      <c r="AJ341" s="12"/>
      <c r="AK341" s="12" t="s">
        <v>433</v>
      </c>
      <c r="AL341" s="12"/>
      <c r="AM341" s="7">
        <v>0</v>
      </c>
      <c r="AO341" s="7">
        <v>1075332</v>
      </c>
      <c r="AQ341" s="7">
        <v>288369</v>
      </c>
      <c r="AS341" s="7">
        <v>302221</v>
      </c>
      <c r="AW341" s="7">
        <v>0</v>
      </c>
      <c r="AY341" s="7">
        <f t="shared" si="50"/>
        <v>22563665</v>
      </c>
      <c r="BA341" s="7">
        <f>+'St of Activites - GA Rev'!AI341-'St of Activities - GA Exp'!AY341</f>
        <v>1144038</v>
      </c>
      <c r="BC341" s="7">
        <v>24318099</v>
      </c>
      <c r="BE341" s="7">
        <f t="shared" si="51"/>
        <v>25462137</v>
      </c>
      <c r="BG341" s="7">
        <f>+'St of Net Assets - GA'!AA341-'St of Activities - GA Exp'!BE341</f>
        <v>0</v>
      </c>
      <c r="BH341" s="7" t="s">
        <v>933</v>
      </c>
      <c r="BL341" s="7" t="str">
        <f t="shared" si="46"/>
        <v>Meigs Local SD</v>
      </c>
      <c r="BM341" s="7" t="b">
        <f t="shared" si="47"/>
        <v>1</v>
      </c>
      <c r="BO341" s="7" t="str">
        <f t="shared" si="48"/>
        <v>Meigs</v>
      </c>
      <c r="BP341" s="7" t="b">
        <f t="shared" si="49"/>
        <v>1</v>
      </c>
    </row>
    <row r="342" spans="1:68">
      <c r="A342" s="12" t="s">
        <v>878</v>
      </c>
      <c r="B342" s="12"/>
      <c r="C342" s="12" t="s">
        <v>41</v>
      </c>
      <c r="D342" s="12"/>
      <c r="E342" s="12">
        <v>45492</v>
      </c>
      <c r="G342" s="7">
        <v>40947715</v>
      </c>
      <c r="I342" s="7">
        <v>12374765</v>
      </c>
      <c r="K342" s="7">
        <v>2007506</v>
      </c>
      <c r="M342" s="7">
        <v>0</v>
      </c>
      <c r="O342" s="7">
        <v>157223</v>
      </c>
      <c r="Q342" s="7">
        <v>6847947</v>
      </c>
      <c r="S342" s="7">
        <v>6269397</v>
      </c>
      <c r="U342" s="7">
        <v>649396</v>
      </c>
      <c r="W342" s="7">
        <v>5699441</v>
      </c>
      <c r="Y342" s="7">
        <v>2301863</v>
      </c>
      <c r="AA342" s="7">
        <v>621092</v>
      </c>
      <c r="AC342" s="7">
        <v>8708180</v>
      </c>
      <c r="AE342" s="7">
        <v>6214657</v>
      </c>
      <c r="AG342" s="7">
        <v>2035025</v>
      </c>
      <c r="AI342" s="12" t="s">
        <v>878</v>
      </c>
      <c r="AJ342" s="12"/>
      <c r="AK342" s="12" t="s">
        <v>41</v>
      </c>
      <c r="AL342" s="12"/>
      <c r="AM342" s="7">
        <v>2599841</v>
      </c>
      <c r="AO342" s="7">
        <v>1737643</v>
      </c>
      <c r="AQ342" s="7">
        <v>2030230</v>
      </c>
      <c r="AS342" s="7">
        <v>230762</v>
      </c>
      <c r="AW342" s="7">
        <v>0</v>
      </c>
      <c r="AY342" s="7">
        <f t="shared" si="50"/>
        <v>101432683</v>
      </c>
      <c r="BA342" s="7">
        <f>+'St of Activites - GA Rev'!AI342-'St of Activities - GA Exp'!AY342</f>
        <v>10970577</v>
      </c>
      <c r="BC342" s="7">
        <v>63150438</v>
      </c>
      <c r="BE342" s="7">
        <f t="shared" si="51"/>
        <v>74121015</v>
      </c>
      <c r="BG342" s="7">
        <f>+'St of Net Assets - GA'!AA342-'St of Activities - GA Exp'!BE342</f>
        <v>0</v>
      </c>
      <c r="BL342" s="7" t="str">
        <f t="shared" si="46"/>
        <v>Mentor Exempted Village SD</v>
      </c>
      <c r="BM342" s="7" t="b">
        <f t="shared" si="47"/>
        <v>1</v>
      </c>
      <c r="BO342" s="7" t="str">
        <f t="shared" si="48"/>
        <v>Lake</v>
      </c>
      <c r="BP342" s="7" t="b">
        <f t="shared" si="49"/>
        <v>1</v>
      </c>
    </row>
    <row r="343" spans="1:68">
      <c r="A343" s="12" t="s">
        <v>437</v>
      </c>
      <c r="B343" s="12"/>
      <c r="C343" s="12" t="s">
        <v>48</v>
      </c>
      <c r="D343" s="12"/>
      <c r="E343" s="12">
        <v>48629</v>
      </c>
      <c r="G343" s="7">
        <v>6795557</v>
      </c>
      <c r="I343" s="7">
        <v>1113706</v>
      </c>
      <c r="K343" s="7">
        <v>149264</v>
      </c>
      <c r="M343" s="7">
        <v>0</v>
      </c>
      <c r="O343" s="7">
        <v>13481</v>
      </c>
      <c r="Q343" s="7">
        <v>696319</v>
      </c>
      <c r="S343" s="7">
        <v>353407</v>
      </c>
      <c r="U343" s="7">
        <v>84103</v>
      </c>
      <c r="W343" s="7">
        <v>867358</v>
      </c>
      <c r="Y343" s="7">
        <v>402208</v>
      </c>
      <c r="AA343" s="7">
        <v>42811</v>
      </c>
      <c r="AC343" s="7">
        <v>1039478</v>
      </c>
      <c r="AE343" s="7">
        <v>817959</v>
      </c>
      <c r="AG343" s="7">
        <v>266586</v>
      </c>
      <c r="AI343" s="12" t="s">
        <v>437</v>
      </c>
      <c r="AJ343" s="12"/>
      <c r="AK343" s="12" t="s">
        <v>48</v>
      </c>
      <c r="AL343" s="12"/>
      <c r="AM343" s="7">
        <v>0</v>
      </c>
      <c r="AO343" s="7">
        <v>448043</v>
      </c>
      <c r="AQ343" s="7">
        <v>420559</v>
      </c>
      <c r="AS343" s="7">
        <v>1033894</v>
      </c>
      <c r="AW343" s="7">
        <v>0</v>
      </c>
      <c r="AY343" s="7">
        <f t="shared" si="50"/>
        <v>14544733</v>
      </c>
      <c r="BA343" s="7">
        <f>+'St of Activites - GA Rev'!AI343-'St of Activities - GA Exp'!AY343</f>
        <v>26008</v>
      </c>
      <c r="BC343" s="7">
        <v>15983985</v>
      </c>
      <c r="BE343" s="7">
        <f t="shared" si="51"/>
        <v>16009993</v>
      </c>
      <c r="BG343" s="7">
        <f>+'St of Net Assets - GA'!AA343-'St of Activities - GA Exp'!BE343</f>
        <v>0</v>
      </c>
      <c r="BL343" s="7" t="str">
        <f t="shared" si="46"/>
        <v>Miami East Local SD</v>
      </c>
      <c r="BM343" s="7" t="b">
        <f t="shared" si="47"/>
        <v>1</v>
      </c>
      <c r="BO343" s="7" t="str">
        <f t="shared" si="48"/>
        <v>Miami</v>
      </c>
      <c r="BP343" s="7" t="b">
        <f t="shared" si="49"/>
        <v>1</v>
      </c>
    </row>
    <row r="344" spans="1:68">
      <c r="A344" s="12" t="s">
        <v>303</v>
      </c>
      <c r="B344" s="12"/>
      <c r="C344" s="12" t="s">
        <v>26</v>
      </c>
      <c r="D344" s="12"/>
      <c r="E344" s="12">
        <v>46920</v>
      </c>
      <c r="G344" s="7">
        <v>10086543</v>
      </c>
      <c r="I344" s="7">
        <v>2319309</v>
      </c>
      <c r="K344" s="7">
        <v>203107</v>
      </c>
      <c r="M344" s="7">
        <v>0</v>
      </c>
      <c r="O344" s="7">
        <v>1964270</v>
      </c>
      <c r="Q344" s="7">
        <v>1305235</v>
      </c>
      <c r="S344" s="7">
        <v>1571081</v>
      </c>
      <c r="U344" s="7">
        <v>31959</v>
      </c>
      <c r="W344" s="7">
        <v>2336738</v>
      </c>
      <c r="Y344" s="7">
        <v>764059</v>
      </c>
      <c r="AA344" s="7">
        <v>107674</v>
      </c>
      <c r="AC344" s="7">
        <v>2633443</v>
      </c>
      <c r="AE344" s="7">
        <v>2234827</v>
      </c>
      <c r="AG344" s="7">
        <v>130784</v>
      </c>
      <c r="AI344" s="12" t="s">
        <v>303</v>
      </c>
      <c r="AJ344" s="12"/>
      <c r="AK344" s="12" t="s">
        <v>26</v>
      </c>
      <c r="AL344" s="12"/>
      <c r="AM344" s="7">
        <v>0</v>
      </c>
      <c r="AO344" s="7">
        <v>1040781</v>
      </c>
      <c r="AQ344" s="7">
        <v>504509</v>
      </c>
      <c r="AS344" s="7">
        <v>1309970</v>
      </c>
      <c r="AW344" s="7">
        <v>0</v>
      </c>
      <c r="AY344" s="7">
        <f t="shared" si="50"/>
        <v>28544289</v>
      </c>
      <c r="BA344" s="7">
        <f>+'St of Activites - GA Rev'!AI344-'St of Activities - GA Exp'!AY344</f>
        <v>2840942</v>
      </c>
      <c r="BC344" s="7">
        <v>37201048</v>
      </c>
      <c r="BE344" s="7">
        <f t="shared" si="51"/>
        <v>40041990</v>
      </c>
      <c r="BG344" s="7">
        <f>+'St of Net Assets - GA'!AA344-'St of Activities - GA Exp'!BE344</f>
        <v>0</v>
      </c>
      <c r="BL344" s="7" t="str">
        <f t="shared" si="46"/>
        <v>Miami Trace Local SD</v>
      </c>
      <c r="BM344" s="7" t="b">
        <f t="shared" si="47"/>
        <v>1</v>
      </c>
      <c r="BO344" s="7" t="str">
        <f t="shared" si="48"/>
        <v>Fayette</v>
      </c>
      <c r="BP344" s="7" t="b">
        <f t="shared" si="49"/>
        <v>1</v>
      </c>
    </row>
    <row r="345" spans="1:68">
      <c r="A345" s="12" t="s">
        <v>445</v>
      </c>
      <c r="B345" s="12"/>
      <c r="C345" s="12" t="s">
        <v>50</v>
      </c>
      <c r="D345" s="12"/>
      <c r="E345" s="12">
        <v>44396</v>
      </c>
      <c r="G345" s="7">
        <v>25115685</v>
      </c>
      <c r="I345" s="7">
        <v>8673835</v>
      </c>
      <c r="K345" s="7">
        <v>500037</v>
      </c>
      <c r="M345" s="7">
        <v>0</v>
      </c>
      <c r="O345" s="7">
        <f>22597+473865</f>
        <v>496462</v>
      </c>
      <c r="Q345" s="7">
        <v>3907205</v>
      </c>
      <c r="S345" s="7">
        <v>1545510</v>
      </c>
      <c r="U345" s="7">
        <v>26128</v>
      </c>
      <c r="W345" s="7">
        <v>3266292</v>
      </c>
      <c r="Y345" s="7">
        <v>1016237</v>
      </c>
      <c r="AA345" s="7">
        <v>267875</v>
      </c>
      <c r="AC345" s="7">
        <v>4024343</v>
      </c>
      <c r="AE345" s="7">
        <v>2814391</v>
      </c>
      <c r="AG345" s="7">
        <v>836337</v>
      </c>
      <c r="AI345" s="12" t="s">
        <v>445</v>
      </c>
      <c r="AJ345" s="12"/>
      <c r="AK345" s="12" t="s">
        <v>50</v>
      </c>
      <c r="AL345" s="12"/>
      <c r="AM345" s="7">
        <v>1494782</v>
      </c>
      <c r="AO345" s="7">
        <f>1200990+103753</f>
        <v>1304743</v>
      </c>
      <c r="AQ345" s="7">
        <v>761626</v>
      </c>
      <c r="AS345" s="7">
        <v>3950438</v>
      </c>
      <c r="AW345" s="7">
        <v>0</v>
      </c>
      <c r="AY345" s="7">
        <f t="shared" si="50"/>
        <v>60001926</v>
      </c>
      <c r="BA345" s="7">
        <f>+'St of Activites - GA Rev'!AI345-'St of Activities - GA Exp'!AY345</f>
        <v>2459001</v>
      </c>
      <c r="BC345" s="7">
        <v>21750841</v>
      </c>
      <c r="BE345" s="7">
        <f t="shared" si="51"/>
        <v>24209842</v>
      </c>
      <c r="BG345" s="7">
        <f>+'St of Net Assets - GA'!AA345-'St of Activities - GA Exp'!BE345</f>
        <v>0</v>
      </c>
      <c r="BL345" s="7" t="str">
        <f t="shared" si="46"/>
        <v>Miamisburg City SD</v>
      </c>
      <c r="BM345" s="7" t="b">
        <f t="shared" si="47"/>
        <v>1</v>
      </c>
      <c r="BO345" s="7" t="str">
        <f t="shared" si="48"/>
        <v>Montgomery</v>
      </c>
      <c r="BP345" s="7" t="b">
        <f t="shared" si="49"/>
        <v>1</v>
      </c>
    </row>
    <row r="346" spans="1:68" hidden="1">
      <c r="A346" s="12" t="s">
        <v>942</v>
      </c>
      <c r="B346" s="12"/>
      <c r="C346" s="12" t="s">
        <v>53</v>
      </c>
      <c r="D346" s="12"/>
      <c r="E346" s="12"/>
      <c r="AI346" s="12" t="s">
        <v>942</v>
      </c>
      <c r="AJ346" s="12"/>
      <c r="AK346" s="12" t="s">
        <v>53</v>
      </c>
      <c r="AL346" s="12"/>
      <c r="AW346" s="7">
        <v>0</v>
      </c>
      <c r="AY346" s="7">
        <f t="shared" ref="AY346" si="52">SUM(G346:AX346)</f>
        <v>0</v>
      </c>
      <c r="BA346" s="7">
        <f>+'St of Activites - GA Rev'!AI346-'St of Activities - GA Exp'!AY346</f>
        <v>0</v>
      </c>
      <c r="BE346" s="7">
        <f t="shared" si="51"/>
        <v>0</v>
      </c>
      <c r="BG346" s="7">
        <f>+'St of Net Assets - GA'!AA346-'St of Activities - GA Exp'!BE346</f>
        <v>0</v>
      </c>
      <c r="BH346" s="7" t="s">
        <v>931</v>
      </c>
      <c r="BL346" s="7" t="str">
        <f t="shared" ref="BL346" si="53">A346</f>
        <v>Middle Bass Local SD (Two year Audit - CASH)</v>
      </c>
      <c r="BM346" s="7" t="b">
        <f t="shared" ref="BM346" si="54">A346=AI346</f>
        <v>1</v>
      </c>
      <c r="BO346" s="7" t="str">
        <f t="shared" ref="BO346" si="55">C346</f>
        <v>Ottawa</v>
      </c>
      <c r="BP346" s="7" t="b">
        <f t="shared" ref="BP346" si="56">C346=AK346</f>
        <v>1</v>
      </c>
    </row>
    <row r="347" spans="1:68">
      <c r="A347" s="12" t="s">
        <v>228</v>
      </c>
      <c r="B347" s="12"/>
      <c r="C347" s="12" t="s">
        <v>223</v>
      </c>
      <c r="D347" s="12"/>
      <c r="E347" s="12">
        <v>44404</v>
      </c>
      <c r="G347" s="7">
        <v>31052013</v>
      </c>
      <c r="I347" s="7">
        <v>8623369</v>
      </c>
      <c r="K347" s="7">
        <v>45985</v>
      </c>
      <c r="M347" s="7">
        <v>512900</v>
      </c>
      <c r="O347" s="7">
        <v>9954592</v>
      </c>
      <c r="Q347" s="7">
        <v>5585042</v>
      </c>
      <c r="S347" s="7">
        <v>5229348</v>
      </c>
      <c r="U347" s="7">
        <v>52578</v>
      </c>
      <c r="W347" s="7">
        <v>5343818</v>
      </c>
      <c r="Y347" s="7">
        <v>670419</v>
      </c>
      <c r="AA347" s="7">
        <v>469884</v>
      </c>
      <c r="AC347" s="7">
        <v>7399143</v>
      </c>
      <c r="AE347" s="7">
        <v>3682543</v>
      </c>
      <c r="AG347" s="7">
        <v>5344434</v>
      </c>
      <c r="AI347" s="12" t="s">
        <v>228</v>
      </c>
      <c r="AJ347" s="12"/>
      <c r="AK347" s="12" t="s">
        <v>223</v>
      </c>
      <c r="AL347" s="12"/>
      <c r="AM347" s="7">
        <v>3181066</v>
      </c>
      <c r="AO347" s="7">
        <v>705370</v>
      </c>
      <c r="AQ347" s="7">
        <v>1028730</v>
      </c>
      <c r="AS347" s="7">
        <v>2840830</v>
      </c>
      <c r="AW347" s="7">
        <v>0</v>
      </c>
      <c r="AY347" s="7">
        <f t="shared" si="50"/>
        <v>91722064</v>
      </c>
      <c r="BA347" s="7">
        <f>+'St of Activites - GA Rev'!AI347-'St of Activities - GA Exp'!AY347</f>
        <v>-5063654</v>
      </c>
      <c r="BC347" s="7">
        <v>17023248</v>
      </c>
      <c r="BE347" s="7">
        <f t="shared" si="51"/>
        <v>11959594</v>
      </c>
      <c r="BG347" s="7">
        <f>+'St of Net Assets - GA'!AA347-'St of Activities - GA Exp'!BE347</f>
        <v>0</v>
      </c>
      <c r="BL347" s="7" t="str">
        <f t="shared" si="46"/>
        <v>Middletown City SD</v>
      </c>
      <c r="BM347" s="7" t="b">
        <f t="shared" si="47"/>
        <v>1</v>
      </c>
      <c r="BO347" s="7" t="str">
        <f t="shared" si="48"/>
        <v>Butler</v>
      </c>
      <c r="BP347" s="7" t="b">
        <f t="shared" si="49"/>
        <v>1</v>
      </c>
    </row>
    <row r="348" spans="1:68">
      <c r="A348" s="12" t="s">
        <v>399</v>
      </c>
      <c r="B348" s="12"/>
      <c r="C348" s="12" t="s">
        <v>44</v>
      </c>
      <c r="D348" s="12"/>
      <c r="E348" s="12">
        <v>48173</v>
      </c>
      <c r="G348" s="7">
        <v>14441153</v>
      </c>
      <c r="I348" s="7">
        <v>3250783</v>
      </c>
      <c r="K348" s="7">
        <v>121399</v>
      </c>
      <c r="M348" s="7">
        <v>0</v>
      </c>
      <c r="O348" s="7">
        <v>45619</v>
      </c>
      <c r="Q348" s="7">
        <v>1518050</v>
      </c>
      <c r="S348" s="7">
        <v>445516</v>
      </c>
      <c r="U348" s="7">
        <v>908237</v>
      </c>
      <c r="W348" s="7">
        <v>2677749</v>
      </c>
      <c r="Y348" s="7">
        <v>624684</v>
      </c>
      <c r="AA348" s="7">
        <v>649468</v>
      </c>
      <c r="AC348" s="7">
        <v>2418293</v>
      </c>
      <c r="AE348" s="7">
        <v>1515194</v>
      </c>
      <c r="AG348" s="7">
        <v>0</v>
      </c>
      <c r="AI348" s="12" t="s">
        <v>399</v>
      </c>
      <c r="AJ348" s="12"/>
      <c r="AK348" s="12" t="s">
        <v>44</v>
      </c>
      <c r="AL348" s="12"/>
      <c r="AM348" s="7">
        <v>0</v>
      </c>
      <c r="AO348" s="7">
        <v>5918</v>
      </c>
      <c r="AQ348" s="7">
        <v>661466</v>
      </c>
      <c r="AS348" s="7">
        <v>1355768</v>
      </c>
      <c r="AW348" s="7">
        <v>0</v>
      </c>
      <c r="AY348" s="7">
        <f t="shared" si="50"/>
        <v>30639297</v>
      </c>
      <c r="BA348" s="7">
        <f>+'St of Activites - GA Rev'!AI348-'St of Activities - GA Exp'!AY348</f>
        <v>5042791</v>
      </c>
      <c r="BC348" s="7">
        <v>14574021</v>
      </c>
      <c r="BE348" s="7">
        <f t="shared" si="51"/>
        <v>19616812</v>
      </c>
      <c r="BG348" s="7">
        <f>+'St of Net Assets - GA'!AA348-'St of Activities - GA Exp'!BE348</f>
        <v>0</v>
      </c>
      <c r="BH348" s="7" t="s">
        <v>933</v>
      </c>
      <c r="BL348" s="7" t="str">
        <f t="shared" si="46"/>
        <v>Midview Local SD</v>
      </c>
      <c r="BM348" s="7" t="b">
        <f t="shared" si="47"/>
        <v>1</v>
      </c>
      <c r="BO348" s="7" t="str">
        <f t="shared" si="48"/>
        <v>Lorain</v>
      </c>
      <c r="BP348" s="7" t="b">
        <f t="shared" si="49"/>
        <v>1</v>
      </c>
    </row>
    <row r="349" spans="1:68">
      <c r="A349" s="12" t="s">
        <v>879</v>
      </c>
      <c r="B349" s="12"/>
      <c r="C349" s="12" t="s">
        <v>113</v>
      </c>
      <c r="D349" s="12"/>
      <c r="E349" s="12">
        <v>45500</v>
      </c>
      <c r="G349" s="7">
        <v>31719354</v>
      </c>
      <c r="I349" s="7">
        <v>6974358</v>
      </c>
      <c r="K349" s="7">
        <v>274868</v>
      </c>
      <c r="M349" s="7">
        <v>31998</v>
      </c>
      <c r="O349" s="7">
        <v>87788</v>
      </c>
      <c r="Q349" s="7">
        <v>2950932</v>
      </c>
      <c r="S349" s="7">
        <v>3958323</v>
      </c>
      <c r="U349" s="7">
        <v>165036</v>
      </c>
      <c r="W349" s="7">
        <v>3309127</v>
      </c>
      <c r="Y349" s="7">
        <v>1329353</v>
      </c>
      <c r="AA349" s="7">
        <v>479030</v>
      </c>
      <c r="AC349" s="7">
        <v>5595273</v>
      </c>
      <c r="AE349" s="7">
        <v>5700734</v>
      </c>
      <c r="AG349" s="7">
        <v>1016175</v>
      </c>
      <c r="AI349" s="12" t="s">
        <v>879</v>
      </c>
      <c r="AJ349" s="12"/>
      <c r="AK349" s="12" t="s">
        <v>113</v>
      </c>
      <c r="AL349" s="12"/>
      <c r="AM349" s="7">
        <v>0</v>
      </c>
      <c r="AO349" s="7">
        <v>4785095</v>
      </c>
      <c r="AQ349" s="7">
        <v>1239309</v>
      </c>
      <c r="AS349" s="7">
        <v>3328485</v>
      </c>
      <c r="AW349" s="7">
        <v>0</v>
      </c>
      <c r="AY349" s="7">
        <f t="shared" si="50"/>
        <v>72945238</v>
      </c>
      <c r="BA349" s="7">
        <f>+'St of Activites - GA Rev'!AI349-'St of Activities - GA Exp'!AY349</f>
        <v>-1379275</v>
      </c>
      <c r="BC349" s="7">
        <v>27919332</v>
      </c>
      <c r="BE349" s="7">
        <f t="shared" si="51"/>
        <v>26540057</v>
      </c>
      <c r="BG349" s="7">
        <f>+'St of Net Assets - GA'!AA349-'St of Activities - GA Exp'!BE349</f>
        <v>0</v>
      </c>
      <c r="BL349" s="7" t="str">
        <f t="shared" si="46"/>
        <v>Milford Exempted Village SD</v>
      </c>
      <c r="BM349" s="7" t="b">
        <f t="shared" si="47"/>
        <v>1</v>
      </c>
      <c r="BO349" s="7" t="str">
        <f t="shared" si="48"/>
        <v>Clermont</v>
      </c>
      <c r="BP349" s="7" t="b">
        <f t="shared" si="49"/>
        <v>1</v>
      </c>
    </row>
    <row r="350" spans="1:68" ht="12" hidden="1" customHeight="1">
      <c r="A350" s="12" t="s">
        <v>639</v>
      </c>
      <c r="B350" s="12"/>
      <c r="C350" s="12" t="s">
        <v>570</v>
      </c>
      <c r="D350" s="12"/>
      <c r="E350" s="12">
        <v>50633</v>
      </c>
      <c r="AI350" s="12" t="s">
        <v>639</v>
      </c>
      <c r="AJ350" s="12"/>
      <c r="AK350" s="12" t="s">
        <v>570</v>
      </c>
      <c r="AL350" s="12"/>
      <c r="AY350" s="7">
        <f t="shared" si="50"/>
        <v>0</v>
      </c>
      <c r="BA350" s="7">
        <f>+'St of Activites - GA Rev'!AI350-'St of Activities - GA Exp'!AY350</f>
        <v>0</v>
      </c>
      <c r="BE350" s="7">
        <f t="shared" si="51"/>
        <v>0</v>
      </c>
      <c r="BG350" s="7">
        <f>+'St of Net Assets - GA'!AA350-'St of Activities - GA Exp'!BE350</f>
        <v>0</v>
      </c>
      <c r="BH350" s="7" t="s">
        <v>839</v>
      </c>
      <c r="BL350" s="7" t="str">
        <f t="shared" si="46"/>
        <v>Millcreek-West Unity Local SD (CASH)</v>
      </c>
      <c r="BM350" s="7" t="b">
        <f t="shared" si="47"/>
        <v>1</v>
      </c>
      <c r="BO350" s="7" t="str">
        <f t="shared" si="48"/>
        <v>Williams</v>
      </c>
      <c r="BP350" s="7" t="b">
        <f t="shared" si="49"/>
        <v>1</v>
      </c>
    </row>
    <row r="351" spans="1:68" ht="12" hidden="1" customHeight="1">
      <c r="A351" s="12" t="s">
        <v>934</v>
      </c>
      <c r="B351" s="12"/>
      <c r="C351" s="12" t="s">
        <v>482</v>
      </c>
      <c r="D351" s="12"/>
      <c r="E351" s="12">
        <v>49361</v>
      </c>
      <c r="AI351" s="12" t="s">
        <v>934</v>
      </c>
      <c r="AJ351" s="12"/>
      <c r="AK351" s="12" t="s">
        <v>482</v>
      </c>
      <c r="AL351" s="12"/>
      <c r="AY351" s="7">
        <f t="shared" si="50"/>
        <v>0</v>
      </c>
      <c r="BA351" s="7">
        <f>+'St of Activites - GA Rev'!AI351-'St of Activities - GA Exp'!AY351</f>
        <v>0</v>
      </c>
      <c r="BE351" s="7">
        <f t="shared" si="51"/>
        <v>0</v>
      </c>
      <c r="BG351" s="7">
        <f>+'St of Net Assets - GA'!AA351-'St of Activities - GA Exp'!BE351</f>
        <v>0</v>
      </c>
      <c r="BH351" s="7" t="s">
        <v>839</v>
      </c>
      <c r="BL351" s="7" t="str">
        <f t="shared" si="46"/>
        <v>Miller City-New Cleveland Local (Two year Audit - CASH)</v>
      </c>
      <c r="BM351" s="7" t="b">
        <f t="shared" si="47"/>
        <v>1</v>
      </c>
      <c r="BO351" s="7" t="str">
        <f t="shared" si="48"/>
        <v>Putnam</v>
      </c>
      <c r="BP351" s="7" t="b">
        <f t="shared" si="49"/>
        <v>1</v>
      </c>
    </row>
    <row r="352" spans="1:68" hidden="1">
      <c r="A352" s="12" t="s">
        <v>935</v>
      </c>
      <c r="B352" s="12"/>
      <c r="C352" s="12" t="s">
        <v>48</v>
      </c>
      <c r="D352" s="12"/>
      <c r="E352" s="12">
        <v>45518</v>
      </c>
      <c r="AI352" s="12" t="s">
        <v>935</v>
      </c>
      <c r="AJ352" s="12"/>
      <c r="AK352" s="12" t="s">
        <v>48</v>
      </c>
      <c r="AL352" s="12"/>
      <c r="AY352" s="7">
        <f t="shared" si="50"/>
        <v>0</v>
      </c>
      <c r="BA352" s="7">
        <f>+'St of Activites - GA Rev'!AI352-'St of Activities - GA Exp'!AY352</f>
        <v>0</v>
      </c>
      <c r="BE352" s="7">
        <f t="shared" si="51"/>
        <v>0</v>
      </c>
      <c r="BG352" s="7">
        <f>+'St of Net Assets - GA'!AA352-'St of Activities - GA Exp'!BE352</f>
        <v>0</v>
      </c>
      <c r="BH352" s="7" t="s">
        <v>903</v>
      </c>
      <c r="BL352" s="7" t="str">
        <f t="shared" si="46"/>
        <v>Milton-Union Exempted Village SD (CASH)</v>
      </c>
      <c r="BM352" s="7" t="b">
        <f t="shared" si="47"/>
        <v>1</v>
      </c>
      <c r="BO352" s="7" t="str">
        <f t="shared" si="48"/>
        <v>Miami</v>
      </c>
      <c r="BP352" s="7" t="b">
        <f t="shared" si="49"/>
        <v>1</v>
      </c>
    </row>
    <row r="353" spans="1:68">
      <c r="A353" s="12" t="s">
        <v>517</v>
      </c>
      <c r="B353" s="12"/>
      <c r="C353" s="12" t="s">
        <v>62</v>
      </c>
      <c r="D353" s="12"/>
      <c r="E353" s="12">
        <v>49890</v>
      </c>
      <c r="G353" s="7">
        <v>9260041</v>
      </c>
      <c r="I353" s="7">
        <v>2711344</v>
      </c>
      <c r="K353" s="7">
        <v>7171</v>
      </c>
      <c r="M353" s="7">
        <v>4666</v>
      </c>
      <c r="O353" s="7">
        <v>0</v>
      </c>
      <c r="Q353" s="7">
        <v>759782</v>
      </c>
      <c r="S353" s="7">
        <v>845782</v>
      </c>
      <c r="U353" s="7">
        <v>87886</v>
      </c>
      <c r="W353" s="7">
        <v>1541045</v>
      </c>
      <c r="Y353" s="7">
        <v>485656</v>
      </c>
      <c r="AA353" s="7">
        <v>110033</v>
      </c>
      <c r="AC353" s="7">
        <v>1313713</v>
      </c>
      <c r="AE353" s="7">
        <v>960549</v>
      </c>
      <c r="AG353" s="7">
        <v>8816</v>
      </c>
      <c r="AI353" s="12" t="s">
        <v>517</v>
      </c>
      <c r="AJ353" s="12"/>
      <c r="AK353" s="12" t="s">
        <v>62</v>
      </c>
      <c r="AL353" s="12"/>
      <c r="AM353" s="7">
        <v>778220</v>
      </c>
      <c r="AO353" s="7">
        <v>44071</v>
      </c>
      <c r="AQ353" s="7">
        <v>616622</v>
      </c>
      <c r="AS353" s="7">
        <v>665981</v>
      </c>
      <c r="AW353" s="7">
        <v>408025</v>
      </c>
      <c r="AY353" s="7">
        <f t="shared" si="50"/>
        <v>20609403</v>
      </c>
      <c r="BA353" s="7">
        <f>+'St of Activites - GA Rev'!AI353-'St of Activities - GA Exp'!AY353</f>
        <v>1285357</v>
      </c>
      <c r="BC353" s="7">
        <v>26524479</v>
      </c>
      <c r="BE353" s="7">
        <f t="shared" si="51"/>
        <v>27809836</v>
      </c>
      <c r="BG353" s="7">
        <f>+'St of Net Assets - GA'!AA353-'St of Activities - GA Exp'!BE353</f>
        <v>0</v>
      </c>
      <c r="BL353" s="7" t="str">
        <f t="shared" si="46"/>
        <v>Minerva Local SD</v>
      </c>
      <c r="BM353" s="7" t="b">
        <f t="shared" si="47"/>
        <v>1</v>
      </c>
      <c r="BO353" s="7" t="str">
        <f t="shared" si="48"/>
        <v>Stark</v>
      </c>
      <c r="BP353" s="7" t="b">
        <f t="shared" si="49"/>
        <v>1</v>
      </c>
    </row>
    <row r="354" spans="1:68">
      <c r="A354" s="12" t="s">
        <v>497</v>
      </c>
      <c r="B354" s="12"/>
      <c r="C354" s="12" t="s">
        <v>59</v>
      </c>
      <c r="D354" s="12"/>
      <c r="E354" s="12">
        <v>49627</v>
      </c>
      <c r="G354" s="7">
        <v>8363425</v>
      </c>
      <c r="I354" s="7">
        <v>1546075</v>
      </c>
      <c r="K354" s="7">
        <v>191854</v>
      </c>
      <c r="M354" s="7">
        <v>0</v>
      </c>
      <c r="O354" s="7">
        <v>2012</v>
      </c>
      <c r="Q354" s="7">
        <v>478619</v>
      </c>
      <c r="S354" s="7">
        <v>686387</v>
      </c>
      <c r="U354" s="7">
        <v>65713</v>
      </c>
      <c r="W354" s="7">
        <v>1100445</v>
      </c>
      <c r="Y354" s="7">
        <v>280330</v>
      </c>
      <c r="AA354" s="7">
        <v>1389</v>
      </c>
      <c r="AC354" s="7">
        <v>1639428</v>
      </c>
      <c r="AE354" s="7">
        <v>1300809</v>
      </c>
      <c r="AG354" s="7">
        <v>12618</v>
      </c>
      <c r="AI354" s="12" t="s">
        <v>497</v>
      </c>
      <c r="AJ354" s="12"/>
      <c r="AK354" s="12" t="s">
        <v>59</v>
      </c>
      <c r="AL354" s="12"/>
      <c r="AM354" s="7">
        <v>0</v>
      </c>
      <c r="AO354" s="7">
        <v>716568</v>
      </c>
      <c r="AQ354" s="7">
        <v>457942</v>
      </c>
      <c r="AS354" s="7">
        <v>141698</v>
      </c>
      <c r="AW354" s="7">
        <v>0</v>
      </c>
      <c r="AY354" s="7">
        <f t="shared" ref="AY354:AY398" si="57">SUM(G354:AX354)</f>
        <v>16985312</v>
      </c>
      <c r="BA354" s="7">
        <f>+'St of Activites - GA Rev'!AI354-'St of Activities - GA Exp'!AY354</f>
        <v>-505639</v>
      </c>
      <c r="BC354" s="7">
        <v>25207766</v>
      </c>
      <c r="BE354" s="7">
        <f t="shared" si="51"/>
        <v>24702127</v>
      </c>
      <c r="BG354" s="7">
        <f>+'St of Net Assets - GA'!AA354-'St of Activities - GA Exp'!BE354</f>
        <v>0</v>
      </c>
      <c r="BL354" s="7" t="str">
        <f t="shared" si="46"/>
        <v>Minford Local SD</v>
      </c>
      <c r="BM354" s="7" t="b">
        <f t="shared" si="47"/>
        <v>1</v>
      </c>
      <c r="BO354" s="7" t="str">
        <f t="shared" si="48"/>
        <v>Scioto</v>
      </c>
      <c r="BP354" s="7" t="b">
        <f t="shared" si="49"/>
        <v>1</v>
      </c>
    </row>
    <row r="355" spans="1:68">
      <c r="A355" s="12" t="s">
        <v>214</v>
      </c>
      <c r="B355" s="12"/>
      <c r="C355" s="12" t="s">
        <v>14</v>
      </c>
      <c r="D355" s="12"/>
      <c r="E355" s="12">
        <v>45948</v>
      </c>
      <c r="G355" s="7">
        <v>4209919</v>
      </c>
      <c r="I355" s="7">
        <v>563977</v>
      </c>
      <c r="K355" s="7">
        <v>183005</v>
      </c>
      <c r="M355" s="7">
        <v>0</v>
      </c>
      <c r="O355" s="7">
        <v>0</v>
      </c>
      <c r="Q355" s="7">
        <v>662768</v>
      </c>
      <c r="S355" s="7">
        <v>415367</v>
      </c>
      <c r="U355" s="7">
        <v>33062</v>
      </c>
      <c r="W355" s="7">
        <v>689488</v>
      </c>
      <c r="Y355" s="7">
        <v>210273</v>
      </c>
      <c r="AA355" s="7">
        <v>0</v>
      </c>
      <c r="AC355" s="7">
        <v>1021329</v>
      </c>
      <c r="AE355" s="7">
        <v>239885</v>
      </c>
      <c r="AG355" s="7">
        <v>52008</v>
      </c>
      <c r="AI355" s="12" t="s">
        <v>214</v>
      </c>
      <c r="AJ355" s="12"/>
      <c r="AK355" s="12" t="s">
        <v>14</v>
      </c>
      <c r="AL355" s="12"/>
      <c r="AM355" s="7">
        <v>0</v>
      </c>
      <c r="AO355" s="7">
        <v>365234</v>
      </c>
      <c r="AQ355" s="7">
        <v>373172</v>
      </c>
      <c r="AS355" s="7">
        <v>615463</v>
      </c>
      <c r="AW355" s="7">
        <v>0</v>
      </c>
      <c r="AY355" s="7">
        <f t="shared" si="57"/>
        <v>9634950</v>
      </c>
      <c r="BA355" s="7">
        <f>+'St of Activites - GA Rev'!AI355-'St of Activities - GA Exp'!AY355</f>
        <v>325126</v>
      </c>
      <c r="BC355" s="7">
        <v>4726267</v>
      </c>
      <c r="BE355" s="7">
        <f t="shared" si="51"/>
        <v>5051393</v>
      </c>
      <c r="BG355" s="7">
        <f>+'St of Net Assets - GA'!AA355-'St of Activities - GA Exp'!BE355</f>
        <v>0</v>
      </c>
      <c r="BL355" s="7" t="str">
        <f t="shared" si="46"/>
        <v>Minster Local SD</v>
      </c>
      <c r="BM355" s="7" t="b">
        <f t="shared" si="47"/>
        <v>1</v>
      </c>
      <c r="BO355" s="7" t="str">
        <f t="shared" si="48"/>
        <v>Auglaize</v>
      </c>
      <c r="BP355" s="7" t="b">
        <f t="shared" si="49"/>
        <v>1</v>
      </c>
    </row>
    <row r="356" spans="1:68" ht="12" hidden="1" customHeight="1">
      <c r="A356" s="12" t="s">
        <v>669</v>
      </c>
      <c r="B356" s="12"/>
      <c r="C356" s="12" t="s">
        <v>21</v>
      </c>
      <c r="D356" s="12"/>
      <c r="E356" s="12">
        <v>46672</v>
      </c>
      <c r="AI356" s="12" t="s">
        <v>669</v>
      </c>
      <c r="AJ356" s="12"/>
      <c r="AK356" s="12" t="s">
        <v>21</v>
      </c>
      <c r="AL356" s="12"/>
      <c r="AW356" s="7">
        <v>0</v>
      </c>
      <c r="AY356" s="7">
        <f t="shared" si="57"/>
        <v>0</v>
      </c>
      <c r="BA356" s="7">
        <f>+'St of Activites - GA Rev'!AI356-'St of Activities - GA Exp'!AY356</f>
        <v>0</v>
      </c>
      <c r="BE356" s="7">
        <f t="shared" si="51"/>
        <v>0</v>
      </c>
      <c r="BG356" s="7">
        <f>+'St of Net Assets - GA'!AA356-'St of Activities - GA Exp'!BE356</f>
        <v>0</v>
      </c>
      <c r="BH356" s="7" t="s">
        <v>839</v>
      </c>
      <c r="BL356" s="7" t="str">
        <f t="shared" si="46"/>
        <v>Mississinawa Valley Local SD  (CASH)</v>
      </c>
      <c r="BM356" s="7" t="b">
        <f t="shared" si="47"/>
        <v>1</v>
      </c>
      <c r="BO356" s="7" t="str">
        <f t="shared" si="48"/>
        <v>Darke</v>
      </c>
      <c r="BP356" s="7" t="b">
        <f t="shared" si="49"/>
        <v>1</v>
      </c>
    </row>
    <row r="357" spans="1:68">
      <c r="A357" s="12" t="s">
        <v>526</v>
      </c>
      <c r="B357" s="12"/>
      <c r="C357" s="12" t="s">
        <v>63</v>
      </c>
      <c r="D357" s="12"/>
      <c r="E357" s="12">
        <v>50039</v>
      </c>
      <c r="G357" s="7">
        <v>4600672</v>
      </c>
      <c r="I357" s="7">
        <v>1124768</v>
      </c>
      <c r="K357" s="7">
        <v>99414</v>
      </c>
      <c r="M357" s="7">
        <v>0</v>
      </c>
      <c r="O357" s="7">
        <f>420497+221705</f>
        <v>642202</v>
      </c>
      <c r="Q357" s="7">
        <v>405953</v>
      </c>
      <c r="S357" s="7">
        <v>404982</v>
      </c>
      <c r="U357" s="7">
        <v>44845</v>
      </c>
      <c r="W357" s="7">
        <v>644252</v>
      </c>
      <c r="Y357" s="7">
        <v>338885</v>
      </c>
      <c r="AA357" s="7">
        <v>553</v>
      </c>
      <c r="AC357" s="7">
        <v>854495</v>
      </c>
      <c r="AE357" s="7">
        <v>429228</v>
      </c>
      <c r="AG357" s="7">
        <v>39741</v>
      </c>
      <c r="AI357" s="12" t="s">
        <v>526</v>
      </c>
      <c r="AJ357" s="12"/>
      <c r="AK357" s="12" t="s">
        <v>63</v>
      </c>
      <c r="AL357" s="12"/>
      <c r="AM357" s="7">
        <v>309949</v>
      </c>
      <c r="AO357" s="7">
        <v>0</v>
      </c>
      <c r="AQ357" s="7">
        <v>447934</v>
      </c>
      <c r="AS357" s="7">
        <v>527300</v>
      </c>
      <c r="AW357" s="7">
        <v>0</v>
      </c>
      <c r="AY357" s="7">
        <f t="shared" si="57"/>
        <v>10915173</v>
      </c>
      <c r="BA357" s="7">
        <f>+'St of Activites - GA Rev'!AI357-'St of Activities - GA Exp'!AY357</f>
        <v>-920825</v>
      </c>
      <c r="BC357" s="7">
        <v>6699959</v>
      </c>
      <c r="BE357" s="7">
        <f t="shared" si="51"/>
        <v>5779134</v>
      </c>
      <c r="BG357" s="7">
        <f>+'St of Net Assets - GA'!AA357-'St of Activities - GA Exp'!BE357</f>
        <v>0</v>
      </c>
      <c r="BL357" s="7" t="str">
        <f t="shared" si="46"/>
        <v>Mogadore Local SD</v>
      </c>
      <c r="BM357" s="7" t="b">
        <f t="shared" si="47"/>
        <v>1</v>
      </c>
      <c r="BO357" s="7" t="str">
        <f t="shared" si="48"/>
        <v>Summit</v>
      </c>
      <c r="BP357" s="7" t="b">
        <f t="shared" si="49"/>
        <v>1</v>
      </c>
    </row>
    <row r="358" spans="1:68" ht="12" hidden="1" customHeight="1">
      <c r="A358" s="12" t="s">
        <v>648</v>
      </c>
      <c r="B358" s="12"/>
      <c r="C358" s="12" t="s">
        <v>577</v>
      </c>
      <c r="D358" s="12"/>
      <c r="E358" s="12">
        <v>50740</v>
      </c>
      <c r="AI358" s="12" t="s">
        <v>648</v>
      </c>
      <c r="AJ358" s="12"/>
      <c r="AK358" s="12" t="s">
        <v>577</v>
      </c>
      <c r="AL358" s="12"/>
      <c r="AW358" s="7">
        <v>0</v>
      </c>
      <c r="AY358" s="7">
        <f t="shared" si="57"/>
        <v>0</v>
      </c>
      <c r="BA358" s="7">
        <f>+'St of Activites - GA Rev'!AI358-'St of Activities - GA Exp'!AY358</f>
        <v>0</v>
      </c>
      <c r="BE358" s="7">
        <f t="shared" si="51"/>
        <v>0</v>
      </c>
      <c r="BG358" s="7">
        <f>+'St of Net Assets - GA'!AA358-'St of Activities - GA Exp'!BE358</f>
        <v>0</v>
      </c>
      <c r="BH358" s="7" t="s">
        <v>839</v>
      </c>
      <c r="BL358" s="7" t="str">
        <f t="shared" si="46"/>
        <v>Mohawk Local SD (CASH)</v>
      </c>
      <c r="BM358" s="7" t="b">
        <f t="shared" si="47"/>
        <v>1</v>
      </c>
      <c r="BO358" s="7" t="str">
        <f t="shared" si="48"/>
        <v>Wyandot</v>
      </c>
      <c r="BP358" s="7" t="b">
        <f t="shared" si="49"/>
        <v>1</v>
      </c>
    </row>
    <row r="359" spans="1:68">
      <c r="A359" s="12" t="s">
        <v>229</v>
      </c>
      <c r="B359" s="12"/>
      <c r="C359" s="12" t="s">
        <v>223</v>
      </c>
      <c r="D359" s="12"/>
      <c r="E359" s="12">
        <v>139303</v>
      </c>
      <c r="G359" s="7">
        <v>10399804</v>
      </c>
      <c r="I359" s="7">
        <v>1818751</v>
      </c>
      <c r="K359" s="7">
        <v>0</v>
      </c>
      <c r="M359" s="7">
        <v>0</v>
      </c>
      <c r="O359" s="7">
        <v>0</v>
      </c>
      <c r="Q359" s="7">
        <v>858204</v>
      </c>
      <c r="S359" s="7">
        <v>1340092</v>
      </c>
      <c r="U359" s="7">
        <v>78101</v>
      </c>
      <c r="W359" s="7">
        <v>1667928</v>
      </c>
      <c r="Y359" s="7">
        <v>609014</v>
      </c>
      <c r="AA359" s="7">
        <v>124927</v>
      </c>
      <c r="AC359" s="7">
        <v>1743160</v>
      </c>
      <c r="AE359" s="7">
        <v>1598698</v>
      </c>
      <c r="AG359" s="7">
        <v>438693</v>
      </c>
      <c r="AI359" s="12" t="s">
        <v>229</v>
      </c>
      <c r="AJ359" s="12"/>
      <c r="AK359" s="12" t="s">
        <v>223</v>
      </c>
      <c r="AL359" s="12"/>
      <c r="AM359" s="7">
        <v>877691</v>
      </c>
      <c r="AO359" s="7">
        <v>0</v>
      </c>
      <c r="AQ359" s="7">
        <v>715065</v>
      </c>
      <c r="AS359" s="7">
        <v>1402977</v>
      </c>
      <c r="AW359" s="7">
        <v>0</v>
      </c>
      <c r="AY359" s="7">
        <f t="shared" si="57"/>
        <v>23673105</v>
      </c>
      <c r="BA359" s="7">
        <f>+'St of Activites - GA Rev'!AI359-'St of Activities - GA Exp'!AY359</f>
        <v>-646802</v>
      </c>
      <c r="BC359" s="7">
        <v>6644315</v>
      </c>
      <c r="BE359" s="7">
        <f t="shared" si="51"/>
        <v>5997513</v>
      </c>
      <c r="BG359" s="7">
        <f>+'St of Net Assets - GA'!AA359-'St of Activities - GA Exp'!BE359</f>
        <v>0</v>
      </c>
      <c r="BH359" s="7" t="s">
        <v>936</v>
      </c>
      <c r="BL359" s="7" t="str">
        <f t="shared" si="46"/>
        <v>Monroe Local SD</v>
      </c>
      <c r="BM359" s="7" t="b">
        <f t="shared" si="47"/>
        <v>1</v>
      </c>
      <c r="BO359" s="7" t="str">
        <f t="shared" si="48"/>
        <v>Butler</v>
      </c>
      <c r="BP359" s="7" t="b">
        <f t="shared" si="49"/>
        <v>1</v>
      </c>
    </row>
    <row r="360" spans="1:68" s="32" customFormat="1">
      <c r="A360" s="31" t="s">
        <v>366</v>
      </c>
      <c r="B360" s="31"/>
      <c r="C360" s="31" t="s">
        <v>37</v>
      </c>
      <c r="D360" s="31"/>
      <c r="E360" s="31">
        <v>47712</v>
      </c>
      <c r="G360" s="32">
        <v>3683946</v>
      </c>
      <c r="I360" s="32">
        <v>741020</v>
      </c>
      <c r="K360" s="32">
        <v>184181</v>
      </c>
      <c r="M360" s="32">
        <v>0</v>
      </c>
      <c r="O360" s="32">
        <v>0</v>
      </c>
      <c r="Q360" s="32">
        <v>256324</v>
      </c>
      <c r="S360" s="32">
        <v>408223</v>
      </c>
      <c r="U360" s="32">
        <v>31420</v>
      </c>
      <c r="W360" s="32">
        <v>530393</v>
      </c>
      <c r="Y360" s="32">
        <v>294399</v>
      </c>
      <c r="AA360" s="32">
        <v>769</v>
      </c>
      <c r="AC360" s="32">
        <v>536233</v>
      </c>
      <c r="AE360" s="32">
        <v>533240</v>
      </c>
      <c r="AG360" s="32">
        <v>1382</v>
      </c>
      <c r="AI360" s="31" t="s">
        <v>366</v>
      </c>
      <c r="AJ360" s="31"/>
      <c r="AK360" s="31" t="s">
        <v>37</v>
      </c>
      <c r="AL360" s="31"/>
      <c r="AM360" s="32">
        <v>284938</v>
      </c>
      <c r="AO360" s="32">
        <v>96500</v>
      </c>
      <c r="AQ360" s="32">
        <v>219272</v>
      </c>
      <c r="AS360" s="32">
        <v>38120</v>
      </c>
      <c r="AW360" s="32">
        <v>0</v>
      </c>
      <c r="AY360" s="32">
        <f t="shared" si="57"/>
        <v>7840360</v>
      </c>
      <c r="BA360" s="32">
        <f>+'St of Activites - GA Rev'!AI360-'St of Activities - GA Exp'!AY360</f>
        <v>-537102</v>
      </c>
      <c r="BC360" s="32">
        <v>2203438</v>
      </c>
      <c r="BE360" s="32">
        <f t="shared" si="51"/>
        <v>1666336</v>
      </c>
      <c r="BG360" s="32">
        <f>+'St of Net Assets - GA'!AA360-'St of Activities - GA Exp'!BE360</f>
        <v>0</v>
      </c>
      <c r="BL360" s="32" t="str">
        <f t="shared" si="46"/>
        <v>Monroeville Local SD</v>
      </c>
      <c r="BM360" s="32" t="b">
        <f t="shared" si="47"/>
        <v>1</v>
      </c>
      <c r="BO360" s="32" t="str">
        <f t="shared" si="48"/>
        <v>Huron</v>
      </c>
      <c r="BP360" s="32" t="b">
        <f t="shared" si="49"/>
        <v>1</v>
      </c>
    </row>
    <row r="361" spans="1:68" hidden="1">
      <c r="A361" s="12" t="s">
        <v>937</v>
      </c>
      <c r="B361" s="12"/>
      <c r="C361" s="12" t="s">
        <v>570</v>
      </c>
      <c r="D361" s="12"/>
      <c r="E361" s="12">
        <v>45526</v>
      </c>
      <c r="AI361" s="12" t="s">
        <v>937</v>
      </c>
      <c r="AJ361" s="12"/>
      <c r="AK361" s="12" t="s">
        <v>570</v>
      </c>
      <c r="AL361" s="12"/>
      <c r="AW361" s="7">
        <v>0</v>
      </c>
      <c r="AY361" s="7">
        <f t="shared" si="57"/>
        <v>0</v>
      </c>
      <c r="BA361" s="7">
        <f>+'St of Activites - GA Rev'!AI361-'St of Activities - GA Exp'!AY361</f>
        <v>0</v>
      </c>
      <c r="BE361" s="7">
        <f t="shared" si="51"/>
        <v>0</v>
      </c>
      <c r="BG361" s="7">
        <f>+'St of Net Assets - GA'!AA361-'St of Activities - GA Exp'!BE361</f>
        <v>0</v>
      </c>
      <c r="BH361" s="7" t="s">
        <v>912</v>
      </c>
      <c r="BL361" s="7" t="str">
        <f t="shared" si="46"/>
        <v>Montpelier Exempted Village SD (CASH)</v>
      </c>
      <c r="BM361" s="7" t="b">
        <f t="shared" si="47"/>
        <v>1</v>
      </c>
      <c r="BO361" s="7" t="str">
        <f t="shared" si="48"/>
        <v>Williams</v>
      </c>
      <c r="BP361" s="7" t="b">
        <f t="shared" si="49"/>
        <v>1</v>
      </c>
    </row>
    <row r="362" spans="1:68">
      <c r="A362" s="12" t="s">
        <v>452</v>
      </c>
      <c r="B362" s="12"/>
      <c r="C362" s="12" t="s">
        <v>453</v>
      </c>
      <c r="D362" s="12"/>
      <c r="E362" s="12">
        <v>48777</v>
      </c>
      <c r="G362" s="7">
        <v>9836809</v>
      </c>
      <c r="I362" s="7">
        <v>2857578</v>
      </c>
      <c r="K362" s="7">
        <v>1142528</v>
      </c>
      <c r="M362" s="7">
        <v>0</v>
      </c>
      <c r="O362" s="7">
        <v>359644</v>
      </c>
      <c r="Q362" s="7">
        <v>783580</v>
      </c>
      <c r="S362" s="7">
        <v>695069</v>
      </c>
      <c r="U362" s="7">
        <v>41997</v>
      </c>
      <c r="W362" s="7">
        <v>1873458</v>
      </c>
      <c r="Y362" s="7">
        <v>729384</v>
      </c>
      <c r="AA362" s="7">
        <v>188600</v>
      </c>
      <c r="AC362" s="7">
        <v>2019932</v>
      </c>
      <c r="AE362" s="7">
        <v>1899070</v>
      </c>
      <c r="AG362" s="7">
        <v>218940</v>
      </c>
      <c r="AI362" s="12" t="s">
        <v>452</v>
      </c>
      <c r="AJ362" s="12"/>
      <c r="AK362" s="12" t="s">
        <v>453</v>
      </c>
      <c r="AL362" s="12"/>
      <c r="AM362" s="7">
        <v>1219385</v>
      </c>
      <c r="AO362" s="7">
        <v>0</v>
      </c>
      <c r="AQ362" s="7">
        <v>237427</v>
      </c>
      <c r="AS362" s="7">
        <v>514784</v>
      </c>
      <c r="AW362" s="7">
        <v>0</v>
      </c>
      <c r="AY362" s="7">
        <f t="shared" si="57"/>
        <v>24618185</v>
      </c>
      <c r="BA362" s="7">
        <f>+'St of Activites - GA Rev'!AI362-'St of Activities - GA Exp'!AY362</f>
        <v>570081</v>
      </c>
      <c r="BC362" s="7">
        <v>43460356</v>
      </c>
      <c r="BE362" s="7">
        <f t="shared" si="51"/>
        <v>44030437</v>
      </c>
      <c r="BG362" s="7">
        <f>+'St of Net Assets - GA'!AA362-'St of Activities - GA Exp'!BE362</f>
        <v>0</v>
      </c>
      <c r="BL362" s="7" t="str">
        <f t="shared" si="46"/>
        <v>Morgan Local SD</v>
      </c>
      <c r="BM362" s="7" t="b">
        <f t="shared" si="47"/>
        <v>1</v>
      </c>
      <c r="BO362" s="7" t="str">
        <f t="shared" si="48"/>
        <v>Morgan</v>
      </c>
      <c r="BP362" s="7" t="b">
        <f t="shared" si="49"/>
        <v>1</v>
      </c>
    </row>
    <row r="363" spans="1:68">
      <c r="A363" s="12" t="s">
        <v>880</v>
      </c>
      <c r="B363" s="12"/>
      <c r="C363" s="12" t="s">
        <v>78</v>
      </c>
      <c r="D363" s="12"/>
      <c r="E363" s="12">
        <v>45534</v>
      </c>
      <c r="G363" s="7">
        <v>4545031</v>
      </c>
      <c r="I363" s="7">
        <v>1867653</v>
      </c>
      <c r="K363" s="7">
        <v>249815</v>
      </c>
      <c r="M363" s="7">
        <v>0</v>
      </c>
      <c r="O363" s="7">
        <v>1163779</v>
      </c>
      <c r="Q363" s="7">
        <v>949890</v>
      </c>
      <c r="S363" s="7">
        <v>492785</v>
      </c>
      <c r="U363" s="7">
        <v>35579</v>
      </c>
      <c r="W363" s="7">
        <v>820453</v>
      </c>
      <c r="Y363" s="7">
        <v>469793</v>
      </c>
      <c r="AA363" s="7">
        <v>0</v>
      </c>
      <c r="AC363" s="7">
        <v>1300110</v>
      </c>
      <c r="AE363" s="7">
        <v>648796</v>
      </c>
      <c r="AG363" s="7">
        <v>29076</v>
      </c>
      <c r="AI363" s="12" t="s">
        <v>880</v>
      </c>
      <c r="AJ363" s="12"/>
      <c r="AK363" s="12" t="s">
        <v>78</v>
      </c>
      <c r="AL363" s="12"/>
      <c r="AM363" s="7">
        <v>0</v>
      </c>
      <c r="AO363" s="7">
        <v>403550</v>
      </c>
      <c r="AQ363" s="7">
        <v>372505</v>
      </c>
      <c r="AS363" s="7">
        <v>461255</v>
      </c>
      <c r="AW363" s="7">
        <v>0</v>
      </c>
      <c r="AY363" s="7">
        <f t="shared" si="57"/>
        <v>13810070</v>
      </c>
      <c r="BA363" s="7">
        <f>+'St of Activites - GA Rev'!AI363-'St of Activities - GA Exp'!AY363</f>
        <v>589943</v>
      </c>
      <c r="BC363" s="7">
        <v>29665614</v>
      </c>
      <c r="BE363" s="7">
        <f t="shared" si="51"/>
        <v>30255557</v>
      </c>
      <c r="BG363" s="7">
        <f>+'St of Net Assets - GA'!AA363-'St of Activities - GA Exp'!BE363</f>
        <v>0</v>
      </c>
      <c r="BL363" s="7" t="str">
        <f t="shared" si="46"/>
        <v>Mount Gilead Exempted Village SD</v>
      </c>
      <c r="BM363" s="7" t="b">
        <f t="shared" si="47"/>
        <v>1</v>
      </c>
      <c r="BO363" s="7" t="str">
        <f t="shared" si="48"/>
        <v>Morrow</v>
      </c>
      <c r="BP363" s="7" t="b">
        <f t="shared" si="49"/>
        <v>1</v>
      </c>
    </row>
    <row r="364" spans="1:68">
      <c r="A364" s="12" t="s">
        <v>375</v>
      </c>
      <c r="B364" s="12"/>
      <c r="C364" s="12" t="s">
        <v>40</v>
      </c>
      <c r="D364" s="12"/>
      <c r="E364" s="12">
        <v>44420</v>
      </c>
      <c r="G364" s="7">
        <v>17725465</v>
      </c>
      <c r="I364" s="7">
        <v>4183137</v>
      </c>
      <c r="K364" s="7">
        <v>432382</v>
      </c>
      <c r="M364" s="7">
        <v>0</v>
      </c>
      <c r="O364" s="7">
        <v>0</v>
      </c>
      <c r="Q364" s="7">
        <v>1979147</v>
      </c>
      <c r="S364" s="7">
        <v>2554399</v>
      </c>
      <c r="U364" s="7">
        <v>66534</v>
      </c>
      <c r="W364" s="7">
        <v>2901696</v>
      </c>
      <c r="Y364" s="7">
        <v>2787060</v>
      </c>
      <c r="AA364" s="7">
        <v>158181</v>
      </c>
      <c r="AC364" s="7">
        <v>3335470</v>
      </c>
      <c r="AE364" s="7">
        <v>1643308</v>
      </c>
      <c r="AG364" s="7">
        <v>150954</v>
      </c>
      <c r="AI364" s="12" t="s">
        <v>375</v>
      </c>
      <c r="AJ364" s="12"/>
      <c r="AK364" s="12" t="s">
        <v>40</v>
      </c>
      <c r="AL364" s="12"/>
      <c r="AM364" s="7">
        <v>1409521</v>
      </c>
      <c r="AO364" s="7">
        <v>232191</v>
      </c>
      <c r="AQ364" s="7">
        <v>756141</v>
      </c>
      <c r="AS364" s="7">
        <v>289379</v>
      </c>
      <c r="AW364" s="7">
        <v>0</v>
      </c>
      <c r="AY364" s="7">
        <f t="shared" si="57"/>
        <v>40604965</v>
      </c>
      <c r="BA364" s="7">
        <f>+'St of Activites - GA Rev'!AI364-'St of Activities - GA Exp'!AY364</f>
        <v>-2430489</v>
      </c>
      <c r="BC364" s="7">
        <v>22787966</v>
      </c>
      <c r="BE364" s="7">
        <f t="shared" si="51"/>
        <v>20357477</v>
      </c>
      <c r="BG364" s="7">
        <f>+'St of Net Assets - GA'!AA364-'St of Activities - GA Exp'!BE364</f>
        <v>0</v>
      </c>
      <c r="BL364" s="7" t="str">
        <f t="shared" si="46"/>
        <v>Mount Vernon City SD</v>
      </c>
      <c r="BM364" s="7" t="b">
        <f t="shared" si="47"/>
        <v>1</v>
      </c>
      <c r="BO364" s="7" t="str">
        <f t="shared" si="48"/>
        <v>Knox</v>
      </c>
      <c r="BP364" s="7" t="b">
        <f t="shared" si="49"/>
        <v>1</v>
      </c>
    </row>
    <row r="365" spans="1:68">
      <c r="A365" s="12" t="s">
        <v>751</v>
      </c>
      <c r="B365" s="12"/>
      <c r="C365" s="12" t="s">
        <v>32</v>
      </c>
      <c r="D365" s="12"/>
      <c r="E365" s="12">
        <v>44412</v>
      </c>
      <c r="G365" s="7">
        <v>11764450</v>
      </c>
      <c r="I365" s="7">
        <v>5639753</v>
      </c>
      <c r="K365" s="7">
        <v>264142</v>
      </c>
      <c r="M365" s="7">
        <v>0</v>
      </c>
      <c r="O365" s="7">
        <v>4903246</v>
      </c>
      <c r="Q365" s="7">
        <v>2532557</v>
      </c>
      <c r="S365" s="7">
        <v>3302672</v>
      </c>
      <c r="U365" s="7">
        <v>109226</v>
      </c>
      <c r="W365" s="7">
        <v>2301590</v>
      </c>
      <c r="Y365" s="7">
        <v>816150</v>
      </c>
      <c r="AA365" s="7">
        <v>64679</v>
      </c>
      <c r="AC365" s="7">
        <v>3962893</v>
      </c>
      <c r="AE365" s="7">
        <v>1727359</v>
      </c>
      <c r="AG365" s="7">
        <v>388176</v>
      </c>
      <c r="AI365" s="12" t="s">
        <v>751</v>
      </c>
      <c r="AJ365" s="12"/>
      <c r="AK365" s="12" t="s">
        <v>32</v>
      </c>
      <c r="AL365" s="12"/>
      <c r="AM365" s="7">
        <v>0</v>
      </c>
      <c r="AO365" s="7">
        <v>2145806</v>
      </c>
      <c r="AQ365" s="7">
        <v>813182</v>
      </c>
      <c r="AS365" s="7">
        <v>1446702</v>
      </c>
      <c r="AW365" s="7">
        <v>0</v>
      </c>
      <c r="AY365" s="7">
        <f t="shared" si="57"/>
        <v>42182583</v>
      </c>
      <c r="BA365" s="7">
        <f>+'St of Activites - GA Rev'!AI365-'St of Activities - GA Exp'!AY365</f>
        <v>4988878</v>
      </c>
      <c r="BC365" s="7">
        <v>68088862</v>
      </c>
      <c r="BE365" s="7">
        <f t="shared" si="51"/>
        <v>73077740</v>
      </c>
      <c r="BG365" s="7">
        <f>+'St of Net Assets - GA'!AA365-'St of Activities - GA Exp'!BE365</f>
        <v>0</v>
      </c>
      <c r="BL365" s="7" t="str">
        <f t="shared" si="46"/>
        <v xml:space="preserve">Mt. Healthy City SD </v>
      </c>
      <c r="BM365" s="7" t="b">
        <f t="shared" si="47"/>
        <v>1</v>
      </c>
      <c r="BO365" s="7" t="str">
        <f t="shared" si="48"/>
        <v>Hamilton</v>
      </c>
      <c r="BP365" s="7" t="b">
        <f t="shared" si="49"/>
        <v>1</v>
      </c>
    </row>
    <row r="366" spans="1:68">
      <c r="A366" s="12" t="s">
        <v>356</v>
      </c>
      <c r="B366" s="12"/>
      <c r="C366" s="12" t="s">
        <v>34</v>
      </c>
      <c r="D366" s="12"/>
      <c r="E366" s="12">
        <v>44438</v>
      </c>
      <c r="G366" s="7">
        <v>8520322</v>
      </c>
      <c r="I366" s="7">
        <v>3148274</v>
      </c>
      <c r="K366" s="7">
        <v>238309</v>
      </c>
      <c r="M366" s="7">
        <v>0</v>
      </c>
      <c r="O366" s="7">
        <v>1483866</v>
      </c>
      <c r="Q366" s="7">
        <v>1090087</v>
      </c>
      <c r="S366" s="7">
        <v>1102841</v>
      </c>
      <c r="U366" s="7">
        <v>48844</v>
      </c>
      <c r="W366" s="7">
        <v>1631641</v>
      </c>
      <c r="Y366" s="7">
        <v>674598</v>
      </c>
      <c r="AA366" s="7">
        <v>0</v>
      </c>
      <c r="AC366" s="7">
        <v>1861491</v>
      </c>
      <c r="AE366" s="7">
        <v>1254295</v>
      </c>
      <c r="AG366" s="7">
        <v>422714</v>
      </c>
      <c r="AI366" s="12" t="s">
        <v>356</v>
      </c>
      <c r="AJ366" s="12"/>
      <c r="AK366" s="12" t="s">
        <v>34</v>
      </c>
      <c r="AL366" s="12"/>
      <c r="AM366" s="7">
        <v>0</v>
      </c>
      <c r="AO366" s="7">
        <v>999354</v>
      </c>
      <c r="AQ366" s="7">
        <v>719417</v>
      </c>
      <c r="AS366" s="7">
        <v>250399</v>
      </c>
      <c r="AW366" s="7">
        <v>202829</v>
      </c>
      <c r="AY366" s="7">
        <f t="shared" si="57"/>
        <v>23649281</v>
      </c>
      <c r="BA366" s="7">
        <f>+'St of Activites - GA Rev'!AI366-'St of Activities - GA Exp'!AY366</f>
        <v>760452</v>
      </c>
      <c r="BC366" s="7">
        <v>12589193</v>
      </c>
      <c r="BE366" s="7">
        <f t="shared" si="51"/>
        <v>13349645</v>
      </c>
      <c r="BG366" s="7">
        <f>+'St of Net Assets - GA'!AA366-'St of Activities - GA Exp'!BE366</f>
        <v>0</v>
      </c>
      <c r="BL366" s="7" t="str">
        <f t="shared" si="46"/>
        <v>Napoleon Area City SD</v>
      </c>
      <c r="BM366" s="7" t="b">
        <f t="shared" si="47"/>
        <v>1</v>
      </c>
      <c r="BO366" s="7" t="str">
        <f t="shared" si="48"/>
        <v>Henry</v>
      </c>
      <c r="BP366" s="7" t="b">
        <f t="shared" si="49"/>
        <v>1</v>
      </c>
    </row>
    <row r="367" spans="1:68" hidden="1">
      <c r="A367" s="12" t="s">
        <v>874</v>
      </c>
      <c r="B367" s="12"/>
      <c r="C367" s="12" t="s">
        <v>57</v>
      </c>
      <c r="D367" s="12"/>
      <c r="E367" s="12"/>
      <c r="AI367" s="12" t="s">
        <v>874</v>
      </c>
      <c r="AJ367" s="12"/>
      <c r="AK367" s="12" t="s">
        <v>57</v>
      </c>
      <c r="AL367" s="12"/>
      <c r="BH367" s="7" t="s">
        <v>938</v>
      </c>
      <c r="BL367" s="7" t="str">
        <f t="shared" si="46"/>
        <v>National Trail Local SD (CASH)</v>
      </c>
      <c r="BM367" s="7" t="b">
        <f t="shared" si="47"/>
        <v>1</v>
      </c>
      <c r="BO367" s="7" t="str">
        <f t="shared" si="48"/>
        <v>Preble</v>
      </c>
      <c r="BP367" s="7" t="b">
        <f t="shared" si="49"/>
        <v>1</v>
      </c>
    </row>
    <row r="368" spans="1:68">
      <c r="A368" s="12" t="s">
        <v>212</v>
      </c>
      <c r="B368" s="12"/>
      <c r="C368" s="12" t="s">
        <v>13</v>
      </c>
      <c r="D368" s="12"/>
      <c r="E368" s="12">
        <v>44446</v>
      </c>
      <c r="G368" s="7">
        <v>9520254</v>
      </c>
      <c r="I368" s="7">
        <v>1756342</v>
      </c>
      <c r="K368" s="7">
        <v>70491</v>
      </c>
      <c r="M368" s="7">
        <v>0</v>
      </c>
      <c r="O368" s="7">
        <v>156171</v>
      </c>
      <c r="Q368" s="7">
        <v>322481</v>
      </c>
      <c r="S368" s="7">
        <v>1055372</v>
      </c>
      <c r="U368" s="7">
        <v>61755</v>
      </c>
      <c r="W368" s="7">
        <v>1249376</v>
      </c>
      <c r="Y368" s="7">
        <v>360841</v>
      </c>
      <c r="AA368" s="7">
        <v>0</v>
      </c>
      <c r="AC368" s="7">
        <v>1739597</v>
      </c>
      <c r="AE368" s="7">
        <v>833317</v>
      </c>
      <c r="AG368" s="7">
        <v>0</v>
      </c>
      <c r="AI368" s="12" t="s">
        <v>212</v>
      </c>
      <c r="AJ368" s="12"/>
      <c r="AK368" s="12" t="s">
        <v>13</v>
      </c>
      <c r="AL368" s="12"/>
      <c r="AM368" s="7">
        <v>507466</v>
      </c>
      <c r="AO368" s="7">
        <v>13687</v>
      </c>
      <c r="AQ368" s="7">
        <v>275916</v>
      </c>
      <c r="AS368" s="7">
        <v>314644</v>
      </c>
      <c r="AW368" s="7">
        <v>0</v>
      </c>
      <c r="AY368" s="7">
        <f t="shared" si="57"/>
        <v>18237710</v>
      </c>
      <c r="BA368" s="7">
        <f>+'St of Activites - GA Rev'!AI368-'St of Activities - GA Exp'!AY368</f>
        <v>-3281386</v>
      </c>
      <c r="BC368" s="7">
        <v>29074236</v>
      </c>
      <c r="BE368" s="7">
        <f t="shared" si="51"/>
        <v>25792850</v>
      </c>
      <c r="BG368" s="7">
        <f>+'St of Net Assets - GA'!AA368-'St of Activities - GA Exp'!BE368</f>
        <v>0</v>
      </c>
      <c r="BL368" s="7" t="str">
        <f t="shared" si="46"/>
        <v>Nelsonville-York City SD</v>
      </c>
      <c r="BM368" s="7" t="b">
        <f t="shared" si="47"/>
        <v>1</v>
      </c>
      <c r="BO368" s="7" t="str">
        <f t="shared" si="48"/>
        <v>Athens</v>
      </c>
      <c r="BP368" s="7" t="b">
        <f t="shared" si="49"/>
        <v>1</v>
      </c>
    </row>
    <row r="369" spans="1:68" ht="12" customHeight="1">
      <c r="A369" s="12" t="s">
        <v>633</v>
      </c>
      <c r="B369" s="12"/>
      <c r="C369" s="12" t="s">
        <v>27</v>
      </c>
      <c r="D369" s="12"/>
      <c r="E369" s="12">
        <v>44461</v>
      </c>
      <c r="G369" s="7">
        <v>27964954</v>
      </c>
      <c r="I369" s="7">
        <v>5104864</v>
      </c>
      <c r="K369" s="7">
        <v>1118494</v>
      </c>
      <c r="M369" s="7">
        <v>0</v>
      </c>
      <c r="O369" s="7">
        <v>39770</v>
      </c>
      <c r="Q369" s="7">
        <v>3091036</v>
      </c>
      <c r="S369" s="7">
        <v>3022696</v>
      </c>
      <c r="U369" s="7">
        <v>47949</v>
      </c>
      <c r="W369" s="7">
        <v>3390913</v>
      </c>
      <c r="Y369" s="7">
        <v>0</v>
      </c>
      <c r="AA369" s="7">
        <v>1793867</v>
      </c>
      <c r="AC369" s="7">
        <v>4839173</v>
      </c>
      <c r="AE369" s="7">
        <v>2893335</v>
      </c>
      <c r="AG369" s="7">
        <v>392741</v>
      </c>
      <c r="AI369" s="12" t="s">
        <v>633</v>
      </c>
      <c r="AJ369" s="12"/>
      <c r="AK369" s="12" t="s">
        <v>27</v>
      </c>
      <c r="AL369" s="12"/>
      <c r="AM369" s="7">
        <v>1701157</v>
      </c>
      <c r="AO369" s="7">
        <f>718386+331350</f>
        <v>1049736</v>
      </c>
      <c r="AQ369" s="7">
        <v>2094290</v>
      </c>
      <c r="AS369" s="7">
        <v>5122787</v>
      </c>
      <c r="AW369" s="7">
        <v>0</v>
      </c>
      <c r="AY369" s="7">
        <f t="shared" si="57"/>
        <v>63667762</v>
      </c>
      <c r="BA369" s="7">
        <f>+'St of Activites - GA Rev'!AI369-'St of Activities - GA Exp'!AY369</f>
        <v>-2939321</v>
      </c>
      <c r="BC369" s="7">
        <v>40142095</v>
      </c>
      <c r="BE369" s="7">
        <f t="shared" si="51"/>
        <v>37202774</v>
      </c>
      <c r="BG369" s="7">
        <f>+'St of Net Assets - GA'!AA369-'St of Activities - GA Exp'!BE369</f>
        <v>0</v>
      </c>
      <c r="BL369" s="7" t="str">
        <f t="shared" si="46"/>
        <v>New Albany-Plain Local SD</v>
      </c>
      <c r="BM369" s="7" t="b">
        <f t="shared" si="47"/>
        <v>1</v>
      </c>
      <c r="BO369" s="7" t="str">
        <f t="shared" si="48"/>
        <v>Franklin</v>
      </c>
      <c r="BP369" s="7" t="b">
        <f t="shared" si="49"/>
        <v>1</v>
      </c>
    </row>
    <row r="370" spans="1:68">
      <c r="A370" s="12" t="s">
        <v>498</v>
      </c>
      <c r="B370" s="12"/>
      <c r="C370" s="12" t="s">
        <v>59</v>
      </c>
      <c r="D370" s="12"/>
      <c r="E370" s="12">
        <v>44461</v>
      </c>
      <c r="G370" s="7">
        <v>2645003</v>
      </c>
      <c r="I370" s="7">
        <v>785075</v>
      </c>
      <c r="K370" s="7">
        <v>7328</v>
      </c>
      <c r="M370" s="7">
        <v>0</v>
      </c>
      <c r="O370" s="7">
        <v>10084</v>
      </c>
      <c r="Q370" s="7">
        <v>192928</v>
      </c>
      <c r="S370" s="7">
        <v>382298</v>
      </c>
      <c r="U370" s="7">
        <v>12061</v>
      </c>
      <c r="W370" s="7">
        <v>543471</v>
      </c>
      <c r="Y370" s="7">
        <v>184418</v>
      </c>
      <c r="AA370" s="7">
        <v>0</v>
      </c>
      <c r="AC370" s="7">
        <v>457309</v>
      </c>
      <c r="AE370" s="7">
        <v>112001</v>
      </c>
      <c r="AG370" s="7">
        <v>56459</v>
      </c>
      <c r="AI370" s="12" t="s">
        <v>498</v>
      </c>
      <c r="AJ370" s="12"/>
      <c r="AK370" s="12" t="s">
        <v>59</v>
      </c>
      <c r="AL370" s="12"/>
      <c r="AM370" s="7">
        <v>250047</v>
      </c>
      <c r="AO370" s="7">
        <v>0</v>
      </c>
      <c r="AQ370" s="7">
        <v>106612</v>
      </c>
      <c r="AS370" s="7">
        <v>166748</v>
      </c>
      <c r="AW370" s="7">
        <v>0</v>
      </c>
      <c r="AY370" s="7">
        <f t="shared" si="57"/>
        <v>5911842</v>
      </c>
      <c r="BA370" s="7">
        <f>+'St of Activites - GA Rev'!AI370-'St of Activities - GA Exp'!AY370</f>
        <v>231270</v>
      </c>
      <c r="BC370" s="7">
        <v>21243494</v>
      </c>
      <c r="BE370" s="7">
        <f t="shared" si="51"/>
        <v>21474764</v>
      </c>
      <c r="BG370" s="7">
        <f>+'St of Net Assets - GA'!AA370-'St of Activities - GA Exp'!BE370</f>
        <v>0</v>
      </c>
      <c r="BL370" s="7" t="str">
        <f t="shared" si="46"/>
        <v>New Boston Local SD</v>
      </c>
      <c r="BM370" s="7" t="b">
        <f t="shared" si="47"/>
        <v>1</v>
      </c>
      <c r="BO370" s="7" t="str">
        <f t="shared" si="48"/>
        <v>Scioto</v>
      </c>
      <c r="BP370" s="7" t="b">
        <f t="shared" si="49"/>
        <v>1</v>
      </c>
    </row>
    <row r="371" spans="1:68">
      <c r="A371" s="12" t="s">
        <v>215</v>
      </c>
      <c r="B371" s="12"/>
      <c r="C371" s="12" t="s">
        <v>14</v>
      </c>
      <c r="D371" s="12"/>
      <c r="E371" s="12">
        <v>45955</v>
      </c>
      <c r="G371" s="7">
        <v>4390467</v>
      </c>
      <c r="I371" s="7">
        <v>441512</v>
      </c>
      <c r="K371" s="7">
        <v>189807</v>
      </c>
      <c r="M371" s="7">
        <v>0</v>
      </c>
      <c r="O371" s="7">
        <v>0</v>
      </c>
      <c r="Q371" s="7">
        <v>640406</v>
      </c>
      <c r="S371" s="7">
        <v>551451</v>
      </c>
      <c r="U371" s="7">
        <v>50887</v>
      </c>
      <c r="W371" s="7">
        <v>826900</v>
      </c>
      <c r="Y371" s="7">
        <v>195982</v>
      </c>
      <c r="AA371" s="7">
        <v>0</v>
      </c>
      <c r="AC371" s="7">
        <v>971429</v>
      </c>
      <c r="AE371" s="7">
        <v>149303</v>
      </c>
      <c r="AG371" s="7">
        <v>62672</v>
      </c>
      <c r="AI371" s="12" t="s">
        <v>215</v>
      </c>
      <c r="AJ371" s="12"/>
      <c r="AK371" s="12" t="s">
        <v>14</v>
      </c>
      <c r="AL371" s="12"/>
      <c r="AM371" s="7">
        <v>0</v>
      </c>
      <c r="AO371" s="7">
        <v>364735</v>
      </c>
      <c r="AQ371" s="7">
        <v>505669</v>
      </c>
      <c r="AS371" s="7">
        <v>354358</v>
      </c>
      <c r="AW371" s="7">
        <v>0</v>
      </c>
      <c r="AY371" s="7">
        <f t="shared" si="57"/>
        <v>9695578</v>
      </c>
      <c r="BA371" s="7">
        <f>+'St of Activites - GA Rev'!AI371-'St of Activities - GA Exp'!AY371</f>
        <v>898831</v>
      </c>
      <c r="BC371" s="7">
        <v>14531041</v>
      </c>
      <c r="BE371" s="7">
        <f t="shared" si="51"/>
        <v>15429872</v>
      </c>
      <c r="BG371" s="7">
        <f>+'St of Net Assets - GA'!AA371-'St of Activities - GA Exp'!BE371</f>
        <v>0</v>
      </c>
      <c r="BL371" s="7" t="str">
        <f t="shared" si="46"/>
        <v>New Bremen Local SD</v>
      </c>
      <c r="BM371" s="7" t="b">
        <f t="shared" si="47"/>
        <v>1</v>
      </c>
      <c r="BO371" s="7" t="str">
        <f t="shared" si="48"/>
        <v>Auglaize</v>
      </c>
      <c r="BP371" s="7" t="b">
        <f t="shared" si="49"/>
        <v>1</v>
      </c>
    </row>
    <row r="372" spans="1:68" ht="12" hidden="1" customHeight="1">
      <c r="A372" s="12" t="s">
        <v>745</v>
      </c>
      <c r="B372" s="12"/>
      <c r="C372" s="12" t="s">
        <v>14</v>
      </c>
      <c r="D372" s="12"/>
      <c r="E372" s="12">
        <v>45963</v>
      </c>
      <c r="AI372" s="12" t="s">
        <v>745</v>
      </c>
      <c r="AJ372" s="12"/>
      <c r="AK372" s="12" t="s">
        <v>14</v>
      </c>
      <c r="AL372" s="12"/>
      <c r="AW372" s="7">
        <v>0</v>
      </c>
      <c r="AY372" s="7">
        <f t="shared" si="57"/>
        <v>0</v>
      </c>
      <c r="BA372" s="7">
        <f>+'St of Activites - GA Rev'!AI372-'St of Activities - GA Exp'!AY372</f>
        <v>0</v>
      </c>
      <c r="BE372" s="7">
        <f t="shared" si="51"/>
        <v>0</v>
      </c>
      <c r="BG372" s="7">
        <f>+'St of Net Assets - GA'!AA372-'St of Activities - GA Exp'!BE372</f>
        <v>0</v>
      </c>
      <c r="BH372" s="7" t="s">
        <v>839</v>
      </c>
      <c r="BL372" s="7" t="str">
        <f t="shared" si="46"/>
        <v>New Knoxville Local SD (CASH)</v>
      </c>
      <c r="BM372" s="7" t="b">
        <f t="shared" si="47"/>
        <v>1</v>
      </c>
      <c r="BO372" s="7" t="str">
        <f t="shared" si="48"/>
        <v>Auglaize</v>
      </c>
      <c r="BP372" s="7" t="b">
        <f t="shared" si="49"/>
        <v>1</v>
      </c>
    </row>
    <row r="373" spans="1:68" ht="12" customHeight="1">
      <c r="A373" s="12" t="s">
        <v>446</v>
      </c>
      <c r="B373" s="12"/>
      <c r="C373" s="12" t="s">
        <v>50</v>
      </c>
      <c r="D373" s="12"/>
      <c r="E373" s="12">
        <v>48710</v>
      </c>
      <c r="G373" s="7">
        <v>4916960</v>
      </c>
      <c r="I373" s="7">
        <v>1352901</v>
      </c>
      <c r="K373" s="7">
        <v>0</v>
      </c>
      <c r="M373" s="7">
        <v>0</v>
      </c>
      <c r="O373" s="7">
        <v>367178</v>
      </c>
      <c r="Q373" s="7">
        <v>474979</v>
      </c>
      <c r="S373" s="7">
        <v>973394</v>
      </c>
      <c r="U373" s="7">
        <v>72625</v>
      </c>
      <c r="W373" s="7">
        <v>887211</v>
      </c>
      <c r="Y373" s="7">
        <v>299220</v>
      </c>
      <c r="AA373" s="7">
        <v>81397</v>
      </c>
      <c r="AC373" s="7">
        <v>1545223</v>
      </c>
      <c r="AE373" s="7">
        <v>470571</v>
      </c>
      <c r="AG373" s="7">
        <v>141172</v>
      </c>
      <c r="AI373" s="12" t="s">
        <v>446</v>
      </c>
      <c r="AJ373" s="12"/>
      <c r="AK373" s="12" t="s">
        <v>50</v>
      </c>
      <c r="AL373" s="12"/>
      <c r="AM373" s="7">
        <v>486663</v>
      </c>
      <c r="AO373" s="7">
        <v>2513</v>
      </c>
      <c r="AQ373" s="7">
        <v>571535</v>
      </c>
      <c r="AS373" s="7">
        <v>174786</v>
      </c>
      <c r="AW373" s="7">
        <v>0</v>
      </c>
      <c r="AY373" s="7">
        <f t="shared" si="57"/>
        <v>12818328</v>
      </c>
      <c r="BA373" s="7">
        <f>+'St of Activites - GA Rev'!AI373-'St of Activities - GA Exp'!AY373</f>
        <v>394055</v>
      </c>
      <c r="BC373" s="7">
        <v>28094197</v>
      </c>
      <c r="BE373" s="7">
        <f t="shared" si="51"/>
        <v>28488252</v>
      </c>
      <c r="BG373" s="7">
        <f>+'St of Net Assets - GA'!AA373-'St of Activities - GA Exp'!BE373</f>
        <v>0</v>
      </c>
      <c r="BL373" s="7" t="str">
        <f t="shared" si="46"/>
        <v>New Lebanon Local SD</v>
      </c>
      <c r="BM373" s="7" t="b">
        <f t="shared" si="47"/>
        <v>1</v>
      </c>
      <c r="BO373" s="7" t="str">
        <f t="shared" si="48"/>
        <v>Montgomery</v>
      </c>
      <c r="BP373" s="7" t="b">
        <f t="shared" si="49"/>
        <v>1</v>
      </c>
    </row>
    <row r="374" spans="1:68" hidden="1">
      <c r="A374" s="12" t="s">
        <v>939</v>
      </c>
      <c r="B374" s="12"/>
      <c r="C374" s="12" t="s">
        <v>466</v>
      </c>
      <c r="D374" s="12"/>
      <c r="E374" s="12">
        <v>44479</v>
      </c>
      <c r="AI374" s="12" t="s">
        <v>939</v>
      </c>
      <c r="AJ374" s="12"/>
      <c r="AK374" s="12" t="s">
        <v>466</v>
      </c>
      <c r="AL374" s="12"/>
      <c r="AW374" s="7">
        <v>0</v>
      </c>
      <c r="AY374" s="7">
        <f t="shared" si="57"/>
        <v>0</v>
      </c>
      <c r="BA374" s="7">
        <f>+'St of Activites - GA Rev'!AI374-'St of Activities - GA Exp'!AY374</f>
        <v>0</v>
      </c>
      <c r="BE374" s="7">
        <f t="shared" si="51"/>
        <v>0</v>
      </c>
      <c r="BG374" s="7">
        <f>+'St of Net Assets - GA'!AA374-'St of Activities - GA Exp'!BE374</f>
        <v>0</v>
      </c>
      <c r="BH374" s="7" t="s">
        <v>839</v>
      </c>
      <c r="BL374" s="7" t="str">
        <f t="shared" si="46"/>
        <v>New Lexington City SD (CASH)</v>
      </c>
      <c r="BM374" s="7" t="b">
        <f t="shared" si="47"/>
        <v>1</v>
      </c>
      <c r="BO374" s="7" t="str">
        <f t="shared" si="48"/>
        <v>Perry</v>
      </c>
      <c r="BP374" s="7" t="b">
        <f t="shared" si="49"/>
        <v>1</v>
      </c>
    </row>
    <row r="375" spans="1:68">
      <c r="A375" s="12" t="s">
        <v>367</v>
      </c>
      <c r="B375" s="12"/>
      <c r="C375" s="12" t="s">
        <v>37</v>
      </c>
      <c r="D375" s="12"/>
      <c r="E375" s="12">
        <v>47720</v>
      </c>
      <c r="G375" s="7">
        <v>5496500</v>
      </c>
      <c r="I375" s="7">
        <v>1097802</v>
      </c>
      <c r="K375" s="7">
        <v>373836</v>
      </c>
      <c r="M375" s="7">
        <v>12715</v>
      </c>
      <c r="O375" s="7">
        <v>3863</v>
      </c>
      <c r="Q375" s="7">
        <v>281174</v>
      </c>
      <c r="S375" s="7">
        <v>623064</v>
      </c>
      <c r="U375" s="7">
        <v>8795</v>
      </c>
      <c r="W375" s="7">
        <v>819878</v>
      </c>
      <c r="Y375" s="7">
        <v>267402</v>
      </c>
      <c r="AA375" s="7">
        <v>4835</v>
      </c>
      <c r="AC375" s="7">
        <v>949075</v>
      </c>
      <c r="AE375" s="7">
        <v>599305</v>
      </c>
      <c r="AG375" s="7">
        <v>0</v>
      </c>
      <c r="AI375" s="12" t="s">
        <v>367</v>
      </c>
      <c r="AJ375" s="12"/>
      <c r="AK375" s="12" t="s">
        <v>37</v>
      </c>
      <c r="AL375" s="12"/>
      <c r="AM375" s="7">
        <v>374236</v>
      </c>
      <c r="AO375" s="7">
        <v>4220</v>
      </c>
      <c r="AQ375" s="7">
        <v>436105</v>
      </c>
      <c r="AS375" s="7">
        <v>113564</v>
      </c>
      <c r="AW375" s="7">
        <v>0</v>
      </c>
      <c r="AY375" s="7">
        <f t="shared" si="57"/>
        <v>11466369</v>
      </c>
      <c r="BA375" s="7">
        <f>+'St of Activites - GA Rev'!AI375-'St of Activities - GA Exp'!AY375</f>
        <v>9285</v>
      </c>
      <c r="BC375" s="7">
        <v>13510520</v>
      </c>
      <c r="BE375" s="7">
        <f t="shared" si="51"/>
        <v>13519805</v>
      </c>
      <c r="BG375" s="7">
        <f>+'St of Net Assets - GA'!AA375-'St of Activities - GA Exp'!BE375</f>
        <v>0</v>
      </c>
      <c r="BL375" s="7" t="str">
        <f t="shared" si="46"/>
        <v>New London Local SD</v>
      </c>
      <c r="BM375" s="7" t="b">
        <f t="shared" si="47"/>
        <v>1</v>
      </c>
      <c r="BO375" s="7" t="str">
        <f t="shared" si="48"/>
        <v>Huron</v>
      </c>
      <c r="BP375" s="7" t="b">
        <f t="shared" si="49"/>
        <v>1</v>
      </c>
    </row>
    <row r="376" spans="1:68">
      <c r="A376" s="12" t="s">
        <v>230</v>
      </c>
      <c r="B376" s="12"/>
      <c r="C376" s="12" t="s">
        <v>223</v>
      </c>
      <c r="D376" s="12"/>
      <c r="E376" s="12">
        <v>46136</v>
      </c>
      <c r="G376" s="7">
        <v>3555816</v>
      </c>
      <c r="I376" s="7">
        <v>587257</v>
      </c>
      <c r="K376" s="7">
        <v>0</v>
      </c>
      <c r="M376" s="7">
        <v>0</v>
      </c>
      <c r="O376" s="7">
        <v>51246</v>
      </c>
      <c r="Q376" s="7">
        <v>331869</v>
      </c>
      <c r="S376" s="7">
        <v>295808</v>
      </c>
      <c r="U376" s="7">
        <v>43491</v>
      </c>
      <c r="W376" s="7">
        <v>851362</v>
      </c>
      <c r="Y376" s="7">
        <v>189745</v>
      </c>
      <c r="AA376" s="7">
        <v>35456</v>
      </c>
      <c r="AC376" s="7">
        <v>814081</v>
      </c>
      <c r="AE376" s="7">
        <v>477064</v>
      </c>
      <c r="AG376" s="7">
        <v>0</v>
      </c>
      <c r="AI376" s="12" t="s">
        <v>230</v>
      </c>
      <c r="AJ376" s="12"/>
      <c r="AK376" s="12" t="s">
        <v>223</v>
      </c>
      <c r="AL376" s="12"/>
      <c r="AM376" s="7">
        <v>494468</v>
      </c>
      <c r="AO376" s="7">
        <v>0</v>
      </c>
      <c r="AQ376" s="7">
        <v>151463</v>
      </c>
      <c r="AS376" s="7">
        <v>118142</v>
      </c>
      <c r="AW376" s="7">
        <v>0</v>
      </c>
      <c r="AY376" s="7">
        <f t="shared" si="57"/>
        <v>7997268</v>
      </c>
      <c r="BA376" s="7">
        <f>+'St of Activites - GA Rev'!AI376-'St of Activities - GA Exp'!AY376</f>
        <v>113465</v>
      </c>
      <c r="BC376" s="7">
        <v>13642090</v>
      </c>
      <c r="BE376" s="7">
        <f t="shared" si="51"/>
        <v>13755555</v>
      </c>
      <c r="BG376" s="7">
        <f>+'St of Net Assets - GA'!AA376-'St of Activities - GA Exp'!BE376</f>
        <v>0</v>
      </c>
      <c r="BL376" s="7" t="str">
        <f t="shared" si="46"/>
        <v>New Miami Local SD</v>
      </c>
      <c r="BM376" s="7" t="b">
        <f t="shared" si="47"/>
        <v>1</v>
      </c>
      <c r="BO376" s="7" t="str">
        <f t="shared" si="48"/>
        <v>Butler</v>
      </c>
      <c r="BP376" s="7" t="b">
        <f t="shared" si="49"/>
        <v>1</v>
      </c>
    </row>
    <row r="377" spans="1:68">
      <c r="A377" s="12" t="s">
        <v>553</v>
      </c>
      <c r="B377" s="12"/>
      <c r="C377" s="12" t="s">
        <v>65</v>
      </c>
      <c r="D377" s="12"/>
      <c r="E377" s="12">
        <v>44487</v>
      </c>
      <c r="G377" s="7">
        <v>12778049</v>
      </c>
      <c r="I377" s="7">
        <v>3027775</v>
      </c>
      <c r="K377" s="7">
        <v>132870</v>
      </c>
      <c r="M377" s="7">
        <v>0</v>
      </c>
      <c r="O377" s="7">
        <v>553349</v>
      </c>
      <c r="Q377" s="7">
        <v>1446755</v>
      </c>
      <c r="S377" s="7">
        <v>1224375</v>
      </c>
      <c r="U377" s="7">
        <v>32636</v>
      </c>
      <c r="W377" s="7">
        <v>2269308</v>
      </c>
      <c r="Y377" s="7">
        <v>835247</v>
      </c>
      <c r="AA377" s="7">
        <v>0</v>
      </c>
      <c r="AC377" s="7">
        <v>2490608</v>
      </c>
      <c r="AE377" s="7">
        <v>896277</v>
      </c>
      <c r="AG377" s="7">
        <v>0</v>
      </c>
      <c r="AI377" s="12" t="s">
        <v>553</v>
      </c>
      <c r="AJ377" s="12"/>
      <c r="AK377" s="12" t="s">
        <v>65</v>
      </c>
      <c r="AL377" s="12"/>
      <c r="AM377" s="7">
        <v>824701</v>
      </c>
      <c r="AO377" s="7">
        <v>462387</v>
      </c>
      <c r="AQ377" s="7">
        <v>1034992</v>
      </c>
      <c r="AS377" s="7">
        <v>217955</v>
      </c>
      <c r="AW377" s="7">
        <v>0</v>
      </c>
      <c r="AY377" s="7">
        <f t="shared" si="57"/>
        <v>28227284</v>
      </c>
      <c r="BA377" s="7">
        <f>+'St of Activites - GA Rev'!AI377-'St of Activities - GA Exp'!AY377</f>
        <v>203093</v>
      </c>
      <c r="BC377" s="7">
        <v>16006290</v>
      </c>
      <c r="BE377" s="7">
        <f t="shared" si="51"/>
        <v>16209383</v>
      </c>
      <c r="BG377" s="7">
        <f>+'St of Net Assets - GA'!AA377-'St of Activities - GA Exp'!BE377</f>
        <v>0</v>
      </c>
      <c r="BL377" s="7" t="str">
        <f t="shared" si="46"/>
        <v>New Philadelphia City SD</v>
      </c>
      <c r="BM377" s="7" t="b">
        <f t="shared" si="47"/>
        <v>1</v>
      </c>
      <c r="BO377" s="7" t="str">
        <f t="shared" si="48"/>
        <v>Tuscarawas</v>
      </c>
      <c r="BP377" s="7" t="b">
        <f t="shared" si="49"/>
        <v>1</v>
      </c>
    </row>
    <row r="378" spans="1:68">
      <c r="A378" s="12" t="s">
        <v>881</v>
      </c>
      <c r="B378" s="12"/>
      <c r="C378" s="12" t="s">
        <v>113</v>
      </c>
      <c r="D378" s="12"/>
      <c r="E378" s="12">
        <v>45559</v>
      </c>
      <c r="G378" s="7">
        <v>13872924</v>
      </c>
      <c r="I378" s="7">
        <v>3450634</v>
      </c>
      <c r="K378" s="7">
        <v>0</v>
      </c>
      <c r="M378" s="7">
        <v>16784</v>
      </c>
      <c r="O378" s="7">
        <v>0</v>
      </c>
      <c r="Q378" s="7">
        <v>1184350</v>
      </c>
      <c r="S378" s="7">
        <v>1260768</v>
      </c>
      <c r="U378" s="7">
        <v>109405</v>
      </c>
      <c r="W378" s="7">
        <v>1653785</v>
      </c>
      <c r="Y378" s="7">
        <v>879636</v>
      </c>
      <c r="AA378" s="7">
        <v>0</v>
      </c>
      <c r="AC378" s="7">
        <v>2659330</v>
      </c>
      <c r="AE378" s="7">
        <v>1672984</v>
      </c>
      <c r="AG378" s="7">
        <v>371372</v>
      </c>
      <c r="AI378" s="12" t="s">
        <v>881</v>
      </c>
      <c r="AJ378" s="12"/>
      <c r="AK378" s="12" t="s">
        <v>113</v>
      </c>
      <c r="AL378" s="12"/>
      <c r="AM378" s="7">
        <v>0</v>
      </c>
      <c r="AO378" s="7">
        <v>6366</v>
      </c>
      <c r="AQ378" s="7">
        <v>801472</v>
      </c>
      <c r="AS378" s="7">
        <v>0</v>
      </c>
      <c r="AW378" s="7">
        <v>0</v>
      </c>
      <c r="AY378" s="7">
        <f t="shared" si="57"/>
        <v>27939810</v>
      </c>
      <c r="BA378" s="7">
        <f>+'St of Activites - GA Rev'!AI378-'St of Activities - GA Exp'!AY378</f>
        <v>2899095</v>
      </c>
      <c r="BC378" s="7">
        <v>34928700</v>
      </c>
      <c r="BE378" s="7">
        <f t="shared" si="51"/>
        <v>37827795</v>
      </c>
      <c r="BG378" s="7">
        <f>+'St of Net Assets - GA'!AA378-'St of Activities - GA Exp'!BE378</f>
        <v>0</v>
      </c>
      <c r="BL378" s="7" t="str">
        <f t="shared" si="46"/>
        <v>New Richmond Exempted Village SD</v>
      </c>
      <c r="BM378" s="7" t="b">
        <f t="shared" si="47"/>
        <v>1</v>
      </c>
      <c r="BO378" s="7" t="str">
        <f t="shared" si="48"/>
        <v>Clermont</v>
      </c>
      <c r="BP378" s="7" t="b">
        <f t="shared" si="49"/>
        <v>1</v>
      </c>
    </row>
    <row r="379" spans="1:68" ht="12" hidden="1" customHeight="1">
      <c r="A379" s="12" t="s">
        <v>940</v>
      </c>
      <c r="B379" s="12"/>
      <c r="C379" s="12" t="s">
        <v>60</v>
      </c>
      <c r="D379" s="12"/>
      <c r="E379" s="12">
        <v>49718</v>
      </c>
      <c r="AI379" s="12" t="s">
        <v>940</v>
      </c>
      <c r="AJ379" s="12"/>
      <c r="AK379" s="12" t="s">
        <v>60</v>
      </c>
      <c r="AL379" s="12"/>
      <c r="AW379" s="7">
        <v>0</v>
      </c>
      <c r="AY379" s="7">
        <f t="shared" si="57"/>
        <v>0</v>
      </c>
      <c r="BA379" s="7">
        <f>+'St of Activites - GA Rev'!AI379-'St of Activities - GA Exp'!AY379</f>
        <v>0</v>
      </c>
      <c r="BE379" s="7">
        <f t="shared" si="51"/>
        <v>0</v>
      </c>
      <c r="BG379" s="7">
        <f>+'St of Net Assets - GA'!AA379-'St of Activities - GA Exp'!BE379</f>
        <v>0</v>
      </c>
      <c r="BH379" s="7" t="s">
        <v>839</v>
      </c>
      <c r="BL379" s="7" t="str">
        <f t="shared" si="46"/>
        <v>New Riegel Local SD (CASH)</v>
      </c>
      <c r="BM379" s="7" t="b">
        <f t="shared" si="47"/>
        <v>1</v>
      </c>
      <c r="BO379" s="7" t="str">
        <f t="shared" si="48"/>
        <v>Seneca</v>
      </c>
      <c r="BP379" s="7" t="b">
        <f t="shared" si="49"/>
        <v>1</v>
      </c>
    </row>
    <row r="380" spans="1:68">
      <c r="A380" s="12" t="s">
        <v>388</v>
      </c>
      <c r="B380" s="12"/>
      <c r="C380" s="12" t="s">
        <v>42</v>
      </c>
      <c r="D380" s="12"/>
      <c r="E380" s="12">
        <v>44453</v>
      </c>
      <c r="G380" s="7">
        <v>32542970</v>
      </c>
      <c r="I380" s="7">
        <v>8121944</v>
      </c>
      <c r="K380" s="7">
        <v>446067</v>
      </c>
      <c r="M380" s="7">
        <v>0</v>
      </c>
      <c r="O380" s="7">
        <v>646105</v>
      </c>
      <c r="Q380" s="7">
        <v>3448955</v>
      </c>
      <c r="S380" s="7">
        <v>4353286</v>
      </c>
      <c r="U380" s="7">
        <v>241079</v>
      </c>
      <c r="W380" s="7">
        <v>3618373</v>
      </c>
      <c r="Y380" s="7">
        <v>1174507</v>
      </c>
      <c r="AA380" s="7">
        <v>671255</v>
      </c>
      <c r="AC380" s="7">
        <v>6625701</v>
      </c>
      <c r="AE380" s="7">
        <v>2381970</v>
      </c>
      <c r="AG380" s="7">
        <v>827465</v>
      </c>
      <c r="AI380" s="12" t="s">
        <v>388</v>
      </c>
      <c r="AJ380" s="12"/>
      <c r="AK380" s="12" t="s">
        <v>42</v>
      </c>
      <c r="AL380" s="12"/>
      <c r="AM380" s="7">
        <v>2242916</v>
      </c>
      <c r="AO380" s="7">
        <v>700135</v>
      </c>
      <c r="AQ380" s="7">
        <v>969125</v>
      </c>
      <c r="AS380" s="7">
        <v>2945887</v>
      </c>
      <c r="AW380" s="7">
        <v>0</v>
      </c>
      <c r="AY380" s="7">
        <f t="shared" si="57"/>
        <v>71957740</v>
      </c>
      <c r="BA380" s="7">
        <f>+'St of Activites - GA Rev'!AI380-'St of Activities - GA Exp'!AY380</f>
        <v>3682124</v>
      </c>
      <c r="BC380" s="7">
        <v>105503367</v>
      </c>
      <c r="BE380" s="7">
        <f t="shared" si="51"/>
        <v>109185491</v>
      </c>
      <c r="BG380" s="7">
        <f>+'St of Net Assets - GA'!AA380-'St of Activities - GA Exp'!BE380</f>
        <v>0</v>
      </c>
      <c r="BL380" s="7" t="str">
        <f t="shared" si="46"/>
        <v>Newark City SD</v>
      </c>
      <c r="BM380" s="7" t="b">
        <f t="shared" si="47"/>
        <v>1</v>
      </c>
      <c r="BO380" s="7" t="str">
        <f t="shared" si="48"/>
        <v>Licking</v>
      </c>
      <c r="BP380" s="7" t="b">
        <f t="shared" si="49"/>
        <v>1</v>
      </c>
    </row>
    <row r="381" spans="1:68">
      <c r="A381" s="12" t="s">
        <v>323</v>
      </c>
      <c r="B381" s="12"/>
      <c r="C381" s="12" t="s">
        <v>30</v>
      </c>
      <c r="D381" s="12"/>
      <c r="E381" s="12">
        <v>47217</v>
      </c>
      <c r="G381" s="7">
        <v>4006748</v>
      </c>
      <c r="I381" s="7">
        <v>971784</v>
      </c>
      <c r="K381" s="7">
        <v>54072</v>
      </c>
      <c r="M381" s="7">
        <v>0</v>
      </c>
      <c r="O381" s="7">
        <v>4125</v>
      </c>
      <c r="Q381" s="7">
        <v>382738</v>
      </c>
      <c r="S381" s="7">
        <v>162965</v>
      </c>
      <c r="U381" s="7">
        <v>85795</v>
      </c>
      <c r="W381" s="7">
        <v>551591</v>
      </c>
      <c r="Y381" s="7">
        <v>301578</v>
      </c>
      <c r="AA381" s="7">
        <v>0</v>
      </c>
      <c r="AC381" s="7">
        <v>772030</v>
      </c>
      <c r="AE381" s="7">
        <v>616485</v>
      </c>
      <c r="AG381" s="7">
        <v>95123</v>
      </c>
      <c r="AI381" s="12" t="s">
        <v>323</v>
      </c>
      <c r="AJ381" s="12"/>
      <c r="AK381" s="12" t="s">
        <v>30</v>
      </c>
      <c r="AL381" s="12"/>
      <c r="AM381" s="7">
        <v>201469</v>
      </c>
      <c r="AO381" s="7">
        <v>155308</v>
      </c>
      <c r="AQ381" s="7">
        <v>328426</v>
      </c>
      <c r="AS381" s="7">
        <v>0</v>
      </c>
      <c r="AW381" s="7">
        <v>0</v>
      </c>
      <c r="AY381" s="7">
        <f t="shared" si="57"/>
        <v>8690237</v>
      </c>
      <c r="BA381" s="7">
        <f>+'St of Activites - GA Rev'!AI381-'St of Activities - GA Exp'!AY381</f>
        <v>-64506</v>
      </c>
      <c r="BC381" s="7">
        <v>4147947</v>
      </c>
      <c r="BE381" s="7">
        <f t="shared" si="51"/>
        <v>4083441</v>
      </c>
      <c r="BG381" s="7">
        <f>+'St of Net Assets - GA'!AA381-'St of Activities - GA Exp'!BE381</f>
        <v>0</v>
      </c>
      <c r="BH381" s="83"/>
      <c r="BL381" s="7" t="str">
        <f t="shared" si="46"/>
        <v>Newbury Local SD</v>
      </c>
      <c r="BM381" s="7" t="b">
        <f t="shared" si="47"/>
        <v>1</v>
      </c>
      <c r="BO381" s="7" t="str">
        <f t="shared" si="48"/>
        <v>Geauga</v>
      </c>
      <c r="BP381" s="7" t="b">
        <f t="shared" si="49"/>
        <v>1</v>
      </c>
    </row>
    <row r="382" spans="1:68">
      <c r="A382" s="12" t="s">
        <v>882</v>
      </c>
      <c r="B382" s="12"/>
      <c r="C382" s="12" t="s">
        <v>65</v>
      </c>
      <c r="D382" s="12"/>
      <c r="E382" s="12">
        <v>45542</v>
      </c>
      <c r="G382" s="7">
        <v>4942816</v>
      </c>
      <c r="I382" s="7">
        <v>1191037</v>
      </c>
      <c r="K382" s="7">
        <v>106398</v>
      </c>
      <c r="M382" s="7">
        <v>6517</v>
      </c>
      <c r="O382" s="7">
        <v>726898</v>
      </c>
      <c r="Q382" s="7">
        <v>302234</v>
      </c>
      <c r="S382" s="7">
        <v>900833</v>
      </c>
      <c r="U382" s="7">
        <v>17867</v>
      </c>
      <c r="W382" s="7">
        <v>1042732</v>
      </c>
      <c r="Y382" s="7">
        <v>333713</v>
      </c>
      <c r="AA382" s="7">
        <v>0</v>
      </c>
      <c r="AC382" s="7">
        <v>1317945</v>
      </c>
      <c r="AE382" s="7">
        <v>536006</v>
      </c>
      <c r="AG382" s="7">
        <v>12305</v>
      </c>
      <c r="AI382" s="12" t="s">
        <v>882</v>
      </c>
      <c r="AJ382" s="12"/>
      <c r="AK382" s="12" t="s">
        <v>65</v>
      </c>
      <c r="AL382" s="12"/>
      <c r="AM382" s="7">
        <v>638905</v>
      </c>
      <c r="AO382" s="7">
        <v>30374</v>
      </c>
      <c r="AQ382" s="7">
        <v>386316</v>
      </c>
      <c r="AS382" s="7">
        <v>120588</v>
      </c>
      <c r="AW382" s="7">
        <v>0</v>
      </c>
      <c r="AY382" s="7">
        <f t="shared" si="57"/>
        <v>12613484</v>
      </c>
      <c r="BA382" s="7">
        <f>+'St of Activites - GA Rev'!AI382-'St of Activities - GA Exp'!AY382</f>
        <v>563661</v>
      </c>
      <c r="BC382" s="7">
        <v>13002408</v>
      </c>
      <c r="BE382" s="7">
        <f t="shared" si="51"/>
        <v>13566069</v>
      </c>
      <c r="BG382" s="7">
        <f>+'St of Net Assets - GA'!AA382-'St of Activities - GA Exp'!BE382</f>
        <v>0</v>
      </c>
      <c r="BL382" s="7" t="str">
        <f t="shared" si="46"/>
        <v>Newcomerstown Exempted Village SD</v>
      </c>
      <c r="BM382" s="7" t="b">
        <f t="shared" si="47"/>
        <v>1</v>
      </c>
      <c r="BO382" s="7" t="str">
        <f t="shared" si="48"/>
        <v>Tuscarawas</v>
      </c>
      <c r="BP382" s="7" t="b">
        <f t="shared" si="49"/>
        <v>1</v>
      </c>
    </row>
    <row r="383" spans="1:68" ht="12" customHeight="1">
      <c r="A383" s="12" t="s">
        <v>883</v>
      </c>
      <c r="B383" s="12"/>
      <c r="C383" s="12" t="s">
        <v>64</v>
      </c>
      <c r="D383" s="12"/>
      <c r="E383" s="12">
        <v>45567</v>
      </c>
      <c r="G383" s="7">
        <v>6901973</v>
      </c>
      <c r="I383" s="7">
        <v>1526894</v>
      </c>
      <c r="K383" s="7">
        <v>141776</v>
      </c>
      <c r="M383" s="7">
        <v>1000</v>
      </c>
      <c r="O383" s="7">
        <v>0</v>
      </c>
      <c r="Q383" s="7">
        <v>602280</v>
      </c>
      <c r="S383" s="7">
        <v>437343</v>
      </c>
      <c r="U383" s="7">
        <v>117491</v>
      </c>
      <c r="W383" s="7">
        <v>1049178</v>
      </c>
      <c r="Y383" s="7">
        <v>297652</v>
      </c>
      <c r="AA383" s="7">
        <v>0</v>
      </c>
      <c r="AC383" s="7">
        <v>1214712</v>
      </c>
      <c r="AE383" s="7">
        <v>771908</v>
      </c>
      <c r="AG383" s="7">
        <v>282762</v>
      </c>
      <c r="AI383" s="12" t="s">
        <v>883</v>
      </c>
      <c r="AJ383" s="12"/>
      <c r="AK383" s="12" t="s">
        <v>64</v>
      </c>
      <c r="AL383" s="12"/>
      <c r="AM383" s="7">
        <v>503435</v>
      </c>
      <c r="AO383" s="7">
        <v>35755</v>
      </c>
      <c r="AQ383" s="7">
        <v>394216</v>
      </c>
      <c r="AS383" s="7">
        <v>158215</v>
      </c>
      <c r="AW383" s="7">
        <v>0</v>
      </c>
      <c r="AY383" s="7">
        <f t="shared" si="57"/>
        <v>14436590</v>
      </c>
      <c r="BA383" s="7">
        <f>+'St of Activites - GA Rev'!AI383-'St of Activities - GA Exp'!AY383</f>
        <v>-839863</v>
      </c>
      <c r="BC383" s="7">
        <v>18929723</v>
      </c>
      <c r="BE383" s="7">
        <f t="shared" si="51"/>
        <v>18089860</v>
      </c>
      <c r="BG383" s="7">
        <f>+'St of Net Assets - GA'!AA383-'St of Activities - GA Exp'!BE383</f>
        <v>0</v>
      </c>
      <c r="BL383" s="7" t="str">
        <f t="shared" si="46"/>
        <v>Newton Falls Exempted Village SD</v>
      </c>
      <c r="BM383" s="7" t="b">
        <f t="shared" si="47"/>
        <v>1</v>
      </c>
      <c r="BO383" s="7" t="str">
        <f t="shared" si="48"/>
        <v>Trumbull</v>
      </c>
      <c r="BP383" s="7" t="b">
        <f t="shared" si="49"/>
        <v>1</v>
      </c>
    </row>
    <row r="384" spans="1:68" hidden="1">
      <c r="A384" s="12" t="s">
        <v>941</v>
      </c>
      <c r="B384" s="12"/>
      <c r="C384" s="12" t="s">
        <v>48</v>
      </c>
      <c r="D384" s="12"/>
      <c r="E384" s="12">
        <v>48637</v>
      </c>
      <c r="AI384" s="12" t="s">
        <v>941</v>
      </c>
      <c r="AJ384" s="12"/>
      <c r="AK384" s="12" t="s">
        <v>48</v>
      </c>
      <c r="AL384" s="12"/>
      <c r="AW384" s="7">
        <v>0</v>
      </c>
      <c r="AY384" s="7">
        <f t="shared" si="57"/>
        <v>0</v>
      </c>
      <c r="BA384" s="7">
        <f>+'St of Activites - GA Rev'!AI384-'St of Activities - GA Exp'!AY384</f>
        <v>0</v>
      </c>
      <c r="BE384" s="7">
        <f t="shared" si="51"/>
        <v>0</v>
      </c>
      <c r="BG384" s="7">
        <f>+'St of Net Assets - GA'!AA384-'St of Activities - GA Exp'!BE384</f>
        <v>0</v>
      </c>
      <c r="BH384" s="7" t="s">
        <v>912</v>
      </c>
      <c r="BL384" s="7" t="str">
        <f t="shared" si="46"/>
        <v>Newton Local SD (CASH)</v>
      </c>
      <c r="BM384" s="7" t="b">
        <f t="shared" si="47"/>
        <v>1</v>
      </c>
      <c r="BO384" s="7" t="str">
        <f t="shared" si="48"/>
        <v>Miami</v>
      </c>
      <c r="BP384" s="7" t="b">
        <f t="shared" si="49"/>
        <v>1</v>
      </c>
    </row>
    <row r="385" spans="1:68" ht="12" customHeight="1">
      <c r="A385" s="12" t="s">
        <v>631</v>
      </c>
      <c r="B385" s="12"/>
      <c r="C385" s="12" t="s">
        <v>64</v>
      </c>
      <c r="D385" s="12"/>
      <c r="E385" s="12"/>
      <c r="G385" s="7">
        <v>12064079</v>
      </c>
      <c r="I385" s="7">
        <v>3572741</v>
      </c>
      <c r="K385" s="7">
        <v>90734</v>
      </c>
      <c r="M385" s="7">
        <v>0</v>
      </c>
      <c r="O385" s="7">
        <v>1060064</v>
      </c>
      <c r="Q385" s="7">
        <v>1293705</v>
      </c>
      <c r="S385" s="7">
        <v>1547928</v>
      </c>
      <c r="U385" s="7">
        <v>57254</v>
      </c>
      <c r="W385" s="7">
        <v>2602230</v>
      </c>
      <c r="Y385" s="7">
        <v>465181</v>
      </c>
      <c r="AA385" s="7">
        <v>212360</v>
      </c>
      <c r="AC385" s="7">
        <v>2418211</v>
      </c>
      <c r="AE385" s="7">
        <v>1187696</v>
      </c>
      <c r="AG385" s="7">
        <v>259200</v>
      </c>
      <c r="AI385" s="12" t="s">
        <v>631</v>
      </c>
      <c r="AJ385" s="12"/>
      <c r="AK385" s="12" t="s">
        <v>64</v>
      </c>
      <c r="AL385" s="12"/>
      <c r="AM385" s="7">
        <v>1249181</v>
      </c>
      <c r="AO385" s="7">
        <v>180491</v>
      </c>
      <c r="AQ385" s="7">
        <v>476930</v>
      </c>
      <c r="AS385" s="7">
        <v>1073824</v>
      </c>
      <c r="AW385" s="7">
        <v>0</v>
      </c>
      <c r="AY385" s="7">
        <f t="shared" si="57"/>
        <v>29811809</v>
      </c>
      <c r="BA385" s="7">
        <f>+'St of Activites - GA Rev'!AI385-'St of Activities - GA Exp'!AY385</f>
        <v>746412</v>
      </c>
      <c r="BC385" s="7">
        <v>47931440</v>
      </c>
      <c r="BE385" s="7">
        <f t="shared" si="51"/>
        <v>48677852</v>
      </c>
      <c r="BG385" s="7">
        <f>+'St of Net Assets - GA'!AA385-'St of Activities - GA Exp'!BE385</f>
        <v>0</v>
      </c>
      <c r="BL385" s="7" t="str">
        <f t="shared" si="46"/>
        <v>Niles City SD</v>
      </c>
      <c r="BM385" s="7" t="b">
        <f t="shared" si="47"/>
        <v>1</v>
      </c>
      <c r="BO385" s="7" t="str">
        <f t="shared" si="48"/>
        <v>Trumbull</v>
      </c>
      <c r="BP385" s="7" t="b">
        <f t="shared" si="49"/>
        <v>1</v>
      </c>
    </row>
    <row r="386" spans="1:68">
      <c r="A386" s="12" t="s">
        <v>462</v>
      </c>
      <c r="B386" s="12"/>
      <c r="C386" s="12" t="s">
        <v>52</v>
      </c>
      <c r="D386" s="12"/>
      <c r="E386" s="12">
        <v>48900</v>
      </c>
      <c r="G386" s="7">
        <v>4380313</v>
      </c>
      <c r="I386" s="7">
        <v>1075909</v>
      </c>
      <c r="K386" s="7">
        <v>300365</v>
      </c>
      <c r="M386" s="7">
        <v>0</v>
      </c>
      <c r="O386" s="7">
        <v>0</v>
      </c>
      <c r="Q386" s="7">
        <v>201862</v>
      </c>
      <c r="S386" s="7">
        <v>392878</v>
      </c>
      <c r="U386" s="7">
        <v>46767</v>
      </c>
      <c r="W386" s="7">
        <v>1119271</v>
      </c>
      <c r="Y386" s="7">
        <v>380482</v>
      </c>
      <c r="AA386" s="7">
        <v>23463</v>
      </c>
      <c r="AC386" s="7">
        <v>787652</v>
      </c>
      <c r="AE386" s="7">
        <v>852324</v>
      </c>
      <c r="AG386" s="7">
        <v>3359</v>
      </c>
      <c r="AI386" s="12" t="s">
        <v>462</v>
      </c>
      <c r="AJ386" s="12"/>
      <c r="AK386" s="12" t="s">
        <v>52</v>
      </c>
      <c r="AL386" s="12"/>
      <c r="AM386" s="7">
        <v>524684</v>
      </c>
      <c r="AO386" s="7">
        <v>0</v>
      </c>
      <c r="AQ386" s="7">
        <v>197449</v>
      </c>
      <c r="AS386" s="7">
        <v>4384</v>
      </c>
      <c r="AW386" s="7">
        <v>0</v>
      </c>
      <c r="AY386" s="7">
        <f t="shared" si="57"/>
        <v>10291162</v>
      </c>
      <c r="BA386" s="7">
        <f>+'St of Activites - GA Rev'!AI386-'St of Activities - GA Exp'!AY386</f>
        <v>966040</v>
      </c>
      <c r="BC386" s="7">
        <v>6231655</v>
      </c>
      <c r="BE386" s="7">
        <f t="shared" si="51"/>
        <v>7197695</v>
      </c>
      <c r="BG386" s="7">
        <f>+'St of Net Assets - GA'!AA386-'St of Activities - GA Exp'!BE386</f>
        <v>0</v>
      </c>
      <c r="BL386" s="7" t="str">
        <f t="shared" si="46"/>
        <v>Noble Local SD</v>
      </c>
      <c r="BM386" s="7" t="b">
        <f t="shared" si="47"/>
        <v>1</v>
      </c>
      <c r="BO386" s="7" t="str">
        <f t="shared" si="48"/>
        <v>Noble</v>
      </c>
      <c r="BP386" s="7" t="b">
        <f t="shared" si="49"/>
        <v>1</v>
      </c>
    </row>
    <row r="387" spans="1:68">
      <c r="A387" s="12" t="s">
        <v>527</v>
      </c>
      <c r="B387" s="12"/>
      <c r="C387" s="12" t="s">
        <v>63</v>
      </c>
      <c r="D387" s="12"/>
      <c r="E387" s="12">
        <v>50047</v>
      </c>
      <c r="G387" s="7">
        <v>17475604</v>
      </c>
      <c r="I387" s="7">
        <v>3914240</v>
      </c>
      <c r="K387" s="7">
        <v>270211</v>
      </c>
      <c r="M387" s="7">
        <v>0</v>
      </c>
      <c r="O387" s="7">
        <v>955132</v>
      </c>
      <c r="Q387" s="7">
        <v>3954212</v>
      </c>
      <c r="S387" s="7">
        <v>1524172</v>
      </c>
      <c r="U387" s="7">
        <v>95436</v>
      </c>
      <c r="W387" s="7">
        <v>2646480</v>
      </c>
      <c r="Y387" s="7">
        <v>1139867</v>
      </c>
      <c r="AA387" s="7">
        <v>241543</v>
      </c>
      <c r="AC387" s="7">
        <v>3969983</v>
      </c>
      <c r="AE387" s="7">
        <v>2571530</v>
      </c>
      <c r="AG387" s="7">
        <v>871639</v>
      </c>
      <c r="AI387" s="12" t="s">
        <v>527</v>
      </c>
      <c r="AJ387" s="12"/>
      <c r="AK387" s="12" t="s">
        <v>63</v>
      </c>
      <c r="AL387" s="12"/>
      <c r="AM387" s="7">
        <v>1394924</v>
      </c>
      <c r="AO387" s="7">
        <v>608161</v>
      </c>
      <c r="AQ387" s="7">
        <v>1492423</v>
      </c>
      <c r="AS387" s="7">
        <v>1947120</v>
      </c>
      <c r="AW387" s="7">
        <v>0</v>
      </c>
      <c r="AY387" s="7">
        <f t="shared" si="57"/>
        <v>45072677</v>
      </c>
      <c r="BA387" s="7">
        <f>+'St of Activites - GA Rev'!AI387-'St of Activities - GA Exp'!AY387</f>
        <v>1912612</v>
      </c>
      <c r="BC387" s="7">
        <v>10032278</v>
      </c>
      <c r="BE387" s="7">
        <f t="shared" si="51"/>
        <v>11944890</v>
      </c>
      <c r="BG387" s="7">
        <f>+'St of Net Assets - GA'!AA387-'St of Activities - GA Exp'!BE387</f>
        <v>0</v>
      </c>
      <c r="BL387" s="7" t="str">
        <f t="shared" si="46"/>
        <v>Nordonia Hills City SD</v>
      </c>
      <c r="BM387" s="7" t="b">
        <f t="shared" si="47"/>
        <v>1</v>
      </c>
      <c r="BO387" s="7" t="str">
        <f t="shared" si="48"/>
        <v>Summit</v>
      </c>
      <c r="BP387" s="7" t="b">
        <f t="shared" si="49"/>
        <v>1</v>
      </c>
    </row>
    <row r="388" spans="1:68">
      <c r="A388" s="12" t="s">
        <v>574</v>
      </c>
      <c r="B388" s="12"/>
      <c r="C388" s="12" t="s">
        <v>72</v>
      </c>
      <c r="D388" s="12"/>
      <c r="E388" s="12">
        <v>50708</v>
      </c>
      <c r="G388" s="7">
        <v>2646588</v>
      </c>
      <c r="I388" s="7">
        <v>1830044</v>
      </c>
      <c r="K388" s="7">
        <v>0</v>
      </c>
      <c r="M388" s="7">
        <v>0</v>
      </c>
      <c r="O388" s="7">
        <v>560803</v>
      </c>
      <c r="Q388" s="7">
        <v>214460</v>
      </c>
      <c r="S388" s="7">
        <v>387062</v>
      </c>
      <c r="U388" s="7">
        <v>128919</v>
      </c>
      <c r="W388" s="7">
        <v>616215</v>
      </c>
      <c r="Y388" s="7">
        <v>321115</v>
      </c>
      <c r="AA388" s="7">
        <v>0</v>
      </c>
      <c r="AC388" s="7">
        <v>711928</v>
      </c>
      <c r="AE388" s="7">
        <v>276753</v>
      </c>
      <c r="AG388" s="7">
        <v>0</v>
      </c>
      <c r="AI388" s="12" t="s">
        <v>574</v>
      </c>
      <c r="AJ388" s="12"/>
      <c r="AK388" s="12" t="s">
        <v>72</v>
      </c>
      <c r="AL388" s="12"/>
      <c r="AM388" s="7">
        <v>287946</v>
      </c>
      <c r="AO388" s="7">
        <v>0</v>
      </c>
      <c r="AQ388" s="7">
        <v>267496</v>
      </c>
      <c r="AS388" s="7">
        <v>388933</v>
      </c>
      <c r="AW388" s="7">
        <v>0</v>
      </c>
      <c r="AY388" s="7">
        <f t="shared" si="57"/>
        <v>8638262</v>
      </c>
      <c r="BA388" s="7">
        <f>+'St of Activites - GA Rev'!AI388-'St of Activities - GA Exp'!AY388</f>
        <v>1503175</v>
      </c>
      <c r="BC388" s="7">
        <v>14044193</v>
      </c>
      <c r="BE388" s="7">
        <f t="shared" si="51"/>
        <v>15547368</v>
      </c>
      <c r="BG388" s="7">
        <f>+'St of Net Assets - GA'!AA388-'St of Activities - GA Exp'!BE388</f>
        <v>0</v>
      </c>
      <c r="BL388" s="7" t="str">
        <f t="shared" si="46"/>
        <v>North Baltimore Local SD</v>
      </c>
      <c r="BM388" s="7" t="b">
        <f t="shared" si="47"/>
        <v>1</v>
      </c>
      <c r="BO388" s="7" t="str">
        <f t="shared" si="48"/>
        <v>Wood</v>
      </c>
      <c r="BP388" s="7" t="b">
        <f t="shared" si="49"/>
        <v>1</v>
      </c>
    </row>
    <row r="389" spans="1:68" ht="12" hidden="1" customHeight="1">
      <c r="A389" s="12" t="s">
        <v>943</v>
      </c>
      <c r="B389" s="12"/>
      <c r="C389" s="12" t="s">
        <v>53</v>
      </c>
      <c r="D389" s="12"/>
      <c r="E389" s="12">
        <v>48967</v>
      </c>
      <c r="AI389" s="12" t="s">
        <v>943</v>
      </c>
      <c r="AJ389" s="12"/>
      <c r="AK389" s="12" t="s">
        <v>53</v>
      </c>
      <c r="AL389" s="12"/>
      <c r="AW389" s="7">
        <v>0</v>
      </c>
      <c r="AY389" s="7">
        <f t="shared" si="57"/>
        <v>0</v>
      </c>
      <c r="BA389" s="7">
        <f>+'St of Activites - GA Rev'!AI389-'St of Activities - GA Exp'!AY389</f>
        <v>0</v>
      </c>
      <c r="BE389" s="7">
        <f t="shared" si="51"/>
        <v>0</v>
      </c>
      <c r="BG389" s="7">
        <f>+'St of Net Assets - GA'!AA389-'St of Activities - GA Exp'!BE389</f>
        <v>0</v>
      </c>
      <c r="BH389" s="7" t="s">
        <v>839</v>
      </c>
      <c r="BL389" s="7" t="str">
        <f t="shared" si="46"/>
        <v>North Bass Local SD (Two year Audit - CASH)</v>
      </c>
      <c r="BM389" s="7" t="b">
        <f t="shared" si="47"/>
        <v>1</v>
      </c>
      <c r="BO389" s="7" t="str">
        <f t="shared" si="48"/>
        <v>Ottawa</v>
      </c>
      <c r="BP389" s="7" t="b">
        <f t="shared" si="49"/>
        <v>1</v>
      </c>
    </row>
    <row r="390" spans="1:68">
      <c r="A390" s="12" t="s">
        <v>518</v>
      </c>
      <c r="B390" s="12"/>
      <c r="C390" s="12" t="s">
        <v>62</v>
      </c>
      <c r="D390" s="12"/>
      <c r="E390" s="12">
        <v>44503</v>
      </c>
      <c r="G390" s="7">
        <v>18955494</v>
      </c>
      <c r="I390" s="7">
        <v>3236843</v>
      </c>
      <c r="K390" s="7">
        <v>1907298</v>
      </c>
      <c r="M390" s="7">
        <v>41510</v>
      </c>
      <c r="O390" s="7">
        <v>254903</v>
      </c>
      <c r="Q390" s="7">
        <v>2507694</v>
      </c>
      <c r="S390" s="7">
        <v>2524301</v>
      </c>
      <c r="U390" s="7">
        <v>24279</v>
      </c>
      <c r="W390" s="7">
        <v>3417875</v>
      </c>
      <c r="Y390" s="7">
        <v>1024762</v>
      </c>
      <c r="AA390" s="7">
        <v>31747</v>
      </c>
      <c r="AC390" s="7">
        <v>4113678</v>
      </c>
      <c r="AE390" s="7">
        <v>2692320</v>
      </c>
      <c r="AG390" s="7">
        <v>308785</v>
      </c>
      <c r="AI390" s="12" t="s">
        <v>518</v>
      </c>
      <c r="AJ390" s="12"/>
      <c r="AK390" s="12" t="s">
        <v>62</v>
      </c>
      <c r="AL390" s="12"/>
      <c r="AM390" s="7">
        <v>1643569</v>
      </c>
      <c r="AO390" s="7">
        <v>277182</v>
      </c>
      <c r="AQ390" s="7">
        <v>1268564</v>
      </c>
      <c r="AS390" s="7">
        <v>845651</v>
      </c>
      <c r="AW390" s="7">
        <v>0</v>
      </c>
      <c r="AY390" s="7">
        <f t="shared" si="57"/>
        <v>45076455</v>
      </c>
      <c r="BA390" s="7">
        <f>+'St of Activites - GA Rev'!AI390-'St of Activities - GA Exp'!AY390</f>
        <v>5490016</v>
      </c>
      <c r="BC390" s="7">
        <v>3806488</v>
      </c>
      <c r="BE390" s="7">
        <f t="shared" si="51"/>
        <v>9296504</v>
      </c>
      <c r="BG390" s="7">
        <f>+'St of Net Assets - GA'!AA390-'St of Activities - GA Exp'!BE390</f>
        <v>0</v>
      </c>
      <c r="BL390" s="7" t="str">
        <f t="shared" si="46"/>
        <v>North Canton City SD</v>
      </c>
      <c r="BM390" s="7" t="b">
        <f t="shared" si="47"/>
        <v>1</v>
      </c>
      <c r="BO390" s="7" t="str">
        <f t="shared" si="48"/>
        <v>Stark</v>
      </c>
      <c r="BP390" s="7" t="b">
        <f t="shared" si="49"/>
        <v>1</v>
      </c>
    </row>
    <row r="391" spans="1:68" hidden="1">
      <c r="A391" s="12" t="s">
        <v>944</v>
      </c>
      <c r="B391" s="12"/>
      <c r="C391" s="12" t="s">
        <v>570</v>
      </c>
      <c r="D391" s="12"/>
      <c r="E391" s="12">
        <v>50641</v>
      </c>
      <c r="AI391" s="12" t="s">
        <v>944</v>
      </c>
      <c r="AJ391" s="12"/>
      <c r="AK391" s="12" t="s">
        <v>570</v>
      </c>
      <c r="AL391" s="12"/>
      <c r="AW391" s="7">
        <v>0</v>
      </c>
      <c r="AY391" s="7">
        <f t="shared" si="57"/>
        <v>0</v>
      </c>
      <c r="BA391" s="7">
        <f>+'St of Activites - GA Rev'!AI391-'St of Activities - GA Exp'!AY391</f>
        <v>0</v>
      </c>
      <c r="BE391" s="7">
        <f t="shared" si="51"/>
        <v>0</v>
      </c>
      <c r="BG391" s="7">
        <f>+'St of Net Assets - GA'!AA391-'St of Activities - GA Exp'!BE391</f>
        <v>0</v>
      </c>
      <c r="BH391" s="7" t="s">
        <v>839</v>
      </c>
      <c r="BL391" s="7" t="str">
        <f t="shared" si="46"/>
        <v>North Central Local SD (CASH)</v>
      </c>
      <c r="BM391" s="7" t="b">
        <f t="shared" si="47"/>
        <v>1</v>
      </c>
      <c r="BO391" s="7" t="str">
        <f t="shared" si="48"/>
        <v>Williams</v>
      </c>
      <c r="BP391" s="7" t="b">
        <f t="shared" si="49"/>
        <v>1</v>
      </c>
    </row>
    <row r="392" spans="1:68" ht="12" customHeight="1">
      <c r="A392" s="12" t="s">
        <v>748</v>
      </c>
      <c r="B392" s="12"/>
      <c r="C392" s="12" t="s">
        <v>32</v>
      </c>
      <c r="D392" s="12"/>
      <c r="E392" s="12">
        <v>44511</v>
      </c>
      <c r="G392" s="7">
        <v>6207038</v>
      </c>
      <c r="I392" s="7">
        <v>2520139</v>
      </c>
      <c r="K392" s="7">
        <v>33885</v>
      </c>
      <c r="M392" s="7">
        <v>0</v>
      </c>
      <c r="O392" s="7">
        <f>39662+35810</f>
        <v>75472</v>
      </c>
      <c r="Q392" s="7">
        <v>1114952</v>
      </c>
      <c r="S392" s="7">
        <v>1637410</v>
      </c>
      <c r="U392" s="7">
        <v>30243</v>
      </c>
      <c r="W392" s="7">
        <v>1055128</v>
      </c>
      <c r="Y392" s="7">
        <v>515815</v>
      </c>
      <c r="AA392" s="7">
        <v>9760</v>
      </c>
      <c r="AC392" s="7">
        <v>2868910</v>
      </c>
      <c r="AE392" s="7">
        <v>236886</v>
      </c>
      <c r="AG392" s="7">
        <v>39117</v>
      </c>
      <c r="AI392" s="12" t="s">
        <v>748</v>
      </c>
      <c r="AJ392" s="12"/>
      <c r="AK392" s="12" t="s">
        <v>32</v>
      </c>
      <c r="AL392" s="12"/>
      <c r="AM392" s="7">
        <v>810377</v>
      </c>
      <c r="AO392" s="7">
        <v>49084</v>
      </c>
      <c r="AQ392" s="7">
        <v>259722</v>
      </c>
      <c r="AS392" s="7">
        <v>585974</v>
      </c>
      <c r="AW392" s="7">
        <v>0</v>
      </c>
      <c r="AY392" s="7">
        <f t="shared" si="57"/>
        <v>18049912</v>
      </c>
      <c r="BA392" s="7">
        <f>+'St of Activites - GA Rev'!AI392-'St of Activities - GA Exp'!AY392</f>
        <v>-85724</v>
      </c>
      <c r="BC392" s="7">
        <v>28580014</v>
      </c>
      <c r="BE392" s="7">
        <f t="shared" si="51"/>
        <v>28494290</v>
      </c>
      <c r="BG392" s="7">
        <f>+'St of Net Assets - GA'!AA392-'St of Activities - GA Exp'!BE392</f>
        <v>0</v>
      </c>
      <c r="BH392" s="7" t="s">
        <v>945</v>
      </c>
      <c r="BL392" s="7" t="str">
        <f t="shared" si="46"/>
        <v xml:space="preserve">North College Hill City SD </v>
      </c>
      <c r="BM392" s="7" t="b">
        <f t="shared" si="47"/>
        <v>1</v>
      </c>
      <c r="BO392" s="7" t="str">
        <f t="shared" si="48"/>
        <v>Hamilton</v>
      </c>
      <c r="BP392" s="7" t="b">
        <f t="shared" si="49"/>
        <v>1</v>
      </c>
    </row>
    <row r="393" spans="1:68">
      <c r="A393" s="12" t="s">
        <v>389</v>
      </c>
      <c r="B393" s="12"/>
      <c r="C393" s="12" t="s">
        <v>42</v>
      </c>
      <c r="D393" s="12"/>
      <c r="E393" s="12">
        <v>48025</v>
      </c>
      <c r="G393" s="7">
        <v>6322446</v>
      </c>
      <c r="I393" s="7">
        <v>3164236</v>
      </c>
      <c r="K393" s="7">
        <v>256255</v>
      </c>
      <c r="M393" s="7">
        <v>0</v>
      </c>
      <c r="O393" s="7">
        <v>257480</v>
      </c>
      <c r="Q393" s="7">
        <v>1492270</v>
      </c>
      <c r="S393" s="7">
        <v>171550</v>
      </c>
      <c r="U393" s="7">
        <v>33895</v>
      </c>
      <c r="W393" s="7">
        <v>1388566</v>
      </c>
      <c r="Y393" s="7">
        <v>458698</v>
      </c>
      <c r="AA393" s="7">
        <v>0</v>
      </c>
      <c r="AC393" s="7">
        <v>1540207</v>
      </c>
      <c r="AE393" s="7">
        <v>1375307</v>
      </c>
      <c r="AG393" s="7">
        <v>692442</v>
      </c>
      <c r="AI393" s="12" t="s">
        <v>389</v>
      </c>
      <c r="AJ393" s="12"/>
      <c r="AK393" s="12" t="s">
        <v>42</v>
      </c>
      <c r="AL393" s="12"/>
      <c r="AM393" s="7">
        <v>654265</v>
      </c>
      <c r="AO393" s="7">
        <v>0</v>
      </c>
      <c r="AQ393" s="7">
        <v>795891</v>
      </c>
      <c r="AS393" s="7">
        <v>459181</v>
      </c>
      <c r="AW393" s="7">
        <v>0</v>
      </c>
      <c r="AY393" s="7">
        <f t="shared" si="57"/>
        <v>19062689</v>
      </c>
      <c r="BA393" s="7">
        <f>+'St of Activites - GA Rev'!AI393-'St of Activities - GA Exp'!AY393</f>
        <v>60311</v>
      </c>
      <c r="BC393" s="7">
        <v>25062147</v>
      </c>
      <c r="BE393" s="7">
        <f t="shared" si="51"/>
        <v>25122458</v>
      </c>
      <c r="BG393" s="7">
        <f>+'St of Net Assets - GA'!AA393-'St of Activities - GA Exp'!BE393</f>
        <v>0</v>
      </c>
      <c r="BL393" s="7" t="str">
        <f t="shared" si="46"/>
        <v>North Fork Local SD</v>
      </c>
      <c r="BM393" s="7" t="b">
        <f t="shared" si="47"/>
        <v>1</v>
      </c>
      <c r="BO393" s="7" t="str">
        <f t="shared" si="48"/>
        <v>Licking</v>
      </c>
      <c r="BP393" s="7" t="b">
        <f t="shared" si="49"/>
        <v>1</v>
      </c>
    </row>
    <row r="394" spans="1:68" ht="12" customHeight="1">
      <c r="A394" s="12" t="s">
        <v>277</v>
      </c>
      <c r="B394" s="12"/>
      <c r="C394" s="12" t="s">
        <v>20</v>
      </c>
      <c r="D394" s="12"/>
      <c r="E394" s="12">
        <v>44529</v>
      </c>
      <c r="G394" s="7">
        <v>24042334</v>
      </c>
      <c r="I394" s="7">
        <v>7489653</v>
      </c>
      <c r="K394" s="7">
        <v>438325</v>
      </c>
      <c r="M394" s="7">
        <v>0</v>
      </c>
      <c r="O394" s="7">
        <v>293115</v>
      </c>
      <c r="Q394" s="7">
        <v>5151519</v>
      </c>
      <c r="S394" s="7">
        <v>1105115</v>
      </c>
      <c r="U394" s="7">
        <v>185639</v>
      </c>
      <c r="W394" s="7">
        <v>3572252</v>
      </c>
      <c r="Y394" s="7">
        <v>1308372</v>
      </c>
      <c r="AA394" s="7">
        <v>138213</v>
      </c>
      <c r="AC394" s="7">
        <v>4703686</v>
      </c>
      <c r="AE394" s="7">
        <v>2105930</v>
      </c>
      <c r="AG394" s="7">
        <v>1238121</v>
      </c>
      <c r="AI394" s="12" t="s">
        <v>277</v>
      </c>
      <c r="AJ394" s="12"/>
      <c r="AK394" s="12" t="s">
        <v>20</v>
      </c>
      <c r="AL394" s="12"/>
      <c r="AM394" s="7">
        <v>1602903</v>
      </c>
      <c r="AO394" s="7">
        <v>390432</v>
      </c>
      <c r="AQ394" s="7">
        <v>1575353</v>
      </c>
      <c r="AS394" s="7">
        <v>15575</v>
      </c>
      <c r="AW394" s="7">
        <v>0</v>
      </c>
      <c r="AY394" s="7">
        <f t="shared" si="57"/>
        <v>55356537</v>
      </c>
      <c r="BA394" s="7">
        <f>+'St of Activites - GA Rev'!AI394-'St of Activities - GA Exp'!AY394</f>
        <v>5031873</v>
      </c>
      <c r="BC394" s="7">
        <v>21902974</v>
      </c>
      <c r="BE394" s="7">
        <f t="shared" si="51"/>
        <v>26934847</v>
      </c>
      <c r="BG394" s="7">
        <f>+'St of Net Assets - GA'!AA394-'St of Activities - GA Exp'!BE394</f>
        <v>0</v>
      </c>
      <c r="BL394" s="7" t="str">
        <f t="shared" si="46"/>
        <v>North Olmsted City SD</v>
      </c>
      <c r="BM394" s="7" t="b">
        <f t="shared" si="47"/>
        <v>1</v>
      </c>
      <c r="BO394" s="7" t="str">
        <f t="shared" si="48"/>
        <v>Cuyahoga</v>
      </c>
      <c r="BP394" s="7" t="b">
        <f t="shared" si="49"/>
        <v>1</v>
      </c>
    </row>
    <row r="395" spans="1:68">
      <c r="A395" s="12" t="s">
        <v>400</v>
      </c>
      <c r="B395" s="12"/>
      <c r="C395" s="12" t="s">
        <v>44</v>
      </c>
      <c r="D395" s="12"/>
      <c r="E395" s="12">
        <v>44537</v>
      </c>
      <c r="G395" s="7">
        <v>14394222</v>
      </c>
      <c r="I395" s="7">
        <v>4850255</v>
      </c>
      <c r="K395" s="7">
        <v>110316</v>
      </c>
      <c r="M395" s="7">
        <v>0</v>
      </c>
      <c r="O395" s="7">
        <v>1256977</v>
      </c>
      <c r="Q395" s="7">
        <v>1752229</v>
      </c>
      <c r="S395" s="7">
        <v>2674993</v>
      </c>
      <c r="U395" s="7">
        <v>160490</v>
      </c>
      <c r="W395" s="7">
        <v>2142857</v>
      </c>
      <c r="Y395" s="7">
        <v>808594</v>
      </c>
      <c r="AA395" s="7">
        <v>276687</v>
      </c>
      <c r="AC395" s="7">
        <v>2874846</v>
      </c>
      <c r="AE395" s="7">
        <v>2609473</v>
      </c>
      <c r="AG395" s="7">
        <v>82320</v>
      </c>
      <c r="AI395" s="12" t="s">
        <v>400</v>
      </c>
      <c r="AJ395" s="12"/>
      <c r="AK395" s="12" t="s">
        <v>44</v>
      </c>
      <c r="AL395" s="12"/>
      <c r="AM395" s="7">
        <v>1138120</v>
      </c>
      <c r="AO395" s="7">
        <v>489295</v>
      </c>
      <c r="AQ395" s="7">
        <v>768442</v>
      </c>
      <c r="AS395" s="7">
        <v>302470</v>
      </c>
      <c r="AW395" s="7">
        <v>0</v>
      </c>
      <c r="AY395" s="7">
        <f t="shared" si="57"/>
        <v>36692586</v>
      </c>
      <c r="BA395" s="7">
        <f>+'St of Activites - GA Rev'!AI395-'St of Activities - GA Exp'!AY395</f>
        <v>312015</v>
      </c>
      <c r="BC395" s="7">
        <v>12583577</v>
      </c>
      <c r="BE395" s="7">
        <f t="shared" si="51"/>
        <v>12895592</v>
      </c>
      <c r="BG395" s="7">
        <f>+'St of Net Assets - GA'!AA395-'St of Activities - GA Exp'!BE395</f>
        <v>0</v>
      </c>
      <c r="BL395" s="7" t="str">
        <f t="shared" si="46"/>
        <v>North Ridgeville City SD</v>
      </c>
      <c r="BM395" s="7" t="b">
        <f t="shared" si="47"/>
        <v>1</v>
      </c>
      <c r="BO395" s="7" t="str">
        <f t="shared" si="48"/>
        <v>Lorain</v>
      </c>
      <c r="BP395" s="7" t="b">
        <f t="shared" si="49"/>
        <v>1</v>
      </c>
    </row>
    <row r="396" spans="1:68">
      <c r="A396" s="12" t="s">
        <v>278</v>
      </c>
      <c r="B396" s="12"/>
      <c r="C396" s="12" t="s">
        <v>20</v>
      </c>
      <c r="D396" s="12"/>
      <c r="E396" s="12">
        <v>44545</v>
      </c>
      <c r="G396" s="7">
        <v>24299175</v>
      </c>
      <c r="I396" s="7">
        <v>3270125</v>
      </c>
      <c r="K396" s="7">
        <v>208884</v>
      </c>
      <c r="M396" s="7">
        <v>0</v>
      </c>
      <c r="O396" s="7">
        <v>1143484</v>
      </c>
      <c r="Q396" s="7">
        <v>2906588</v>
      </c>
      <c r="S396" s="7">
        <v>2966901</v>
      </c>
      <c r="U396" s="7">
        <v>85366</v>
      </c>
      <c r="W396" s="7">
        <v>2631576</v>
      </c>
      <c r="Y396" s="7">
        <v>1084082</v>
      </c>
      <c r="AA396" s="7">
        <v>341468</v>
      </c>
      <c r="AC396" s="7">
        <v>3729890</v>
      </c>
      <c r="AE396" s="7">
        <v>3522509</v>
      </c>
      <c r="AG396" s="7">
        <v>531003</v>
      </c>
      <c r="AI396" s="12" t="s">
        <v>278</v>
      </c>
      <c r="AJ396" s="12"/>
      <c r="AK396" s="12" t="s">
        <v>20</v>
      </c>
      <c r="AL396" s="12"/>
      <c r="AM396" s="7">
        <v>1299213</v>
      </c>
      <c r="AO396" s="7">
        <v>807799</v>
      </c>
      <c r="AQ396" s="7">
        <v>2118498</v>
      </c>
      <c r="AS396" s="7">
        <v>1105884</v>
      </c>
      <c r="AW396" s="7">
        <v>0</v>
      </c>
      <c r="AY396" s="7">
        <f t="shared" si="57"/>
        <v>52052445</v>
      </c>
      <c r="BA396" s="7">
        <f>+'St of Activites - GA Rev'!AI396-'St of Activities - GA Exp'!AY396</f>
        <v>3337059</v>
      </c>
      <c r="BC396" s="7">
        <v>19347948</v>
      </c>
      <c r="BE396" s="7">
        <f t="shared" si="51"/>
        <v>22685007</v>
      </c>
      <c r="BG396" s="7">
        <f>+'St of Net Assets - GA'!AA396-'St of Activities - GA Exp'!BE396</f>
        <v>0</v>
      </c>
      <c r="BL396" s="7" t="str">
        <f t="shared" si="46"/>
        <v>North Royalton City SD</v>
      </c>
      <c r="BM396" s="7" t="b">
        <f t="shared" si="47"/>
        <v>1</v>
      </c>
      <c r="BO396" s="7" t="str">
        <f t="shared" si="48"/>
        <v>Cuyahoga</v>
      </c>
      <c r="BP396" s="7" t="b">
        <f t="shared" si="49"/>
        <v>1</v>
      </c>
    </row>
    <row r="397" spans="1:68">
      <c r="A397" s="12" t="s">
        <v>556</v>
      </c>
      <c r="B397" s="12"/>
      <c r="C397" s="12" t="s">
        <v>66</v>
      </c>
      <c r="D397" s="12"/>
      <c r="E397" s="12">
        <v>50336</v>
      </c>
      <c r="G397" s="7">
        <v>6784149</v>
      </c>
      <c r="I397" s="7">
        <v>1736670</v>
      </c>
      <c r="K397" s="7">
        <v>848638</v>
      </c>
      <c r="M397" s="7">
        <v>0</v>
      </c>
      <c r="O397" s="7">
        <v>0</v>
      </c>
      <c r="Q397" s="7">
        <v>685766</v>
      </c>
      <c r="S397" s="7">
        <v>979073</v>
      </c>
      <c r="U397" s="7">
        <v>34314</v>
      </c>
      <c r="W397" s="7">
        <v>1095462</v>
      </c>
      <c r="Y397" s="7">
        <v>491316</v>
      </c>
      <c r="AA397" s="7">
        <v>0</v>
      </c>
      <c r="AC397" s="7">
        <v>1896844</v>
      </c>
      <c r="AE397" s="7">
        <v>1016653</v>
      </c>
      <c r="AG397" s="7">
        <v>14130</v>
      </c>
      <c r="AI397" s="12" t="s">
        <v>556</v>
      </c>
      <c r="AJ397" s="12"/>
      <c r="AK397" s="12" t="s">
        <v>66</v>
      </c>
      <c r="AL397" s="12"/>
      <c r="AM397" s="7">
        <v>0</v>
      </c>
      <c r="AO397" s="7">
        <v>664201</v>
      </c>
      <c r="AQ397" s="7">
        <v>400428</v>
      </c>
      <c r="AS397" s="7">
        <v>502199</v>
      </c>
      <c r="AW397" s="7">
        <v>0</v>
      </c>
      <c r="AY397" s="7">
        <f t="shared" si="57"/>
        <v>17149843</v>
      </c>
      <c r="BA397" s="7">
        <f>+'St of Activites - GA Rev'!AI397-'St of Activities - GA Exp'!AY397</f>
        <v>42288</v>
      </c>
      <c r="BC397" s="7">
        <v>38239116</v>
      </c>
      <c r="BE397" s="7">
        <f t="shared" si="51"/>
        <v>38281404</v>
      </c>
      <c r="BG397" s="7">
        <f>+'St of Net Assets - GA'!AA397-'St of Activities - GA Exp'!BE397</f>
        <v>0</v>
      </c>
      <c r="BL397" s="7" t="str">
        <f t="shared" si="46"/>
        <v>North Union Local SD</v>
      </c>
      <c r="BM397" s="7" t="b">
        <f t="shared" si="47"/>
        <v>1</v>
      </c>
      <c r="BO397" s="7" t="str">
        <f t="shared" si="48"/>
        <v>Union</v>
      </c>
      <c r="BP397" s="7" t="b">
        <f t="shared" si="49"/>
        <v>1</v>
      </c>
    </row>
    <row r="398" spans="1:68">
      <c r="A398" s="12" t="s">
        <v>238</v>
      </c>
      <c r="B398" s="12"/>
      <c r="C398" s="12" t="s">
        <v>17</v>
      </c>
      <c r="D398" s="12"/>
      <c r="E398" s="12">
        <v>46250</v>
      </c>
      <c r="G398" s="7">
        <v>14765031</v>
      </c>
      <c r="I398" s="7">
        <v>3332815</v>
      </c>
      <c r="K398" s="7">
        <v>889026</v>
      </c>
      <c r="M398" s="7">
        <v>0</v>
      </c>
      <c r="O398" s="7">
        <f>24388+14809</f>
        <v>39197</v>
      </c>
      <c r="Q398" s="7">
        <v>1744433</v>
      </c>
      <c r="S398" s="7">
        <v>1739292</v>
      </c>
      <c r="U398" s="7">
        <v>50956</v>
      </c>
      <c r="W398" s="7">
        <v>2868092</v>
      </c>
      <c r="Y398" s="7">
        <v>707316</v>
      </c>
      <c r="AA398" s="7">
        <v>0</v>
      </c>
      <c r="AC398" s="7">
        <v>2785345</v>
      </c>
      <c r="AE398" s="7">
        <v>2016768</v>
      </c>
      <c r="AG398" s="7">
        <v>53268</v>
      </c>
      <c r="AI398" s="12" t="s">
        <v>238</v>
      </c>
      <c r="AJ398" s="12"/>
      <c r="AK398" s="12" t="s">
        <v>17</v>
      </c>
      <c r="AL398" s="12"/>
      <c r="AM398" s="7">
        <v>0</v>
      </c>
      <c r="AO398" s="7">
        <v>1728386</v>
      </c>
      <c r="AQ398" s="7">
        <v>1030873</v>
      </c>
      <c r="AS398" s="7">
        <v>187255</v>
      </c>
      <c r="AW398" s="7">
        <v>0</v>
      </c>
      <c r="AY398" s="7">
        <f t="shared" si="57"/>
        <v>33938053</v>
      </c>
      <c r="BA398" s="7">
        <f>+'St of Activites - GA Rev'!AI398-'St of Activities - GA Exp'!AY398</f>
        <v>-747313</v>
      </c>
      <c r="BC398" s="7">
        <v>23052208</v>
      </c>
      <c r="BE398" s="7">
        <f t="shared" si="51"/>
        <v>22304895</v>
      </c>
      <c r="BG398" s="7">
        <f>+'St of Net Assets - GA'!AA398-'St of Activities - GA Exp'!BE398</f>
        <v>0</v>
      </c>
      <c r="BL398" s="7" t="str">
        <f t="shared" ref="BL398:BL463" si="58">A398</f>
        <v>Northeastern Local SD</v>
      </c>
      <c r="BM398" s="7" t="b">
        <f t="shared" ref="BM398:BM463" si="59">A398=AI398</f>
        <v>1</v>
      </c>
      <c r="BO398" s="7" t="str">
        <f t="shared" ref="BO398:BO463" si="60">C398</f>
        <v>Clark</v>
      </c>
      <c r="BP398" s="7" t="b">
        <f t="shared" ref="BP398:BP463" si="61">C398=AK398</f>
        <v>1</v>
      </c>
    </row>
    <row r="399" spans="1:68" hidden="1">
      <c r="A399" s="12" t="s">
        <v>946</v>
      </c>
      <c r="B399" s="12"/>
      <c r="C399" s="12" t="s">
        <v>22</v>
      </c>
      <c r="D399" s="12"/>
      <c r="E399" s="12">
        <v>46722</v>
      </c>
      <c r="AI399" s="12" t="s">
        <v>946</v>
      </c>
      <c r="AJ399" s="12"/>
      <c r="AK399" s="12" t="s">
        <v>22</v>
      </c>
      <c r="AL399" s="12"/>
      <c r="AW399" s="7">
        <v>0</v>
      </c>
      <c r="AY399" s="7">
        <f t="shared" si="50"/>
        <v>0</v>
      </c>
      <c r="BA399" s="7">
        <f>+'St of Activites - GA Rev'!AI399-'St of Activities - GA Exp'!AY399</f>
        <v>0</v>
      </c>
      <c r="BE399" s="7">
        <f t="shared" si="51"/>
        <v>0</v>
      </c>
      <c r="BG399" s="7">
        <f>+'St of Net Assets - GA'!AA399-'St of Activities - GA Exp'!BE399</f>
        <v>0</v>
      </c>
      <c r="BH399" s="7" t="s">
        <v>839</v>
      </c>
      <c r="BL399" s="7" t="str">
        <f t="shared" si="58"/>
        <v>Northeastern Local SD (CASH)</v>
      </c>
      <c r="BM399" s="7" t="b">
        <f t="shared" si="59"/>
        <v>1</v>
      </c>
      <c r="BO399" s="7" t="str">
        <f t="shared" si="60"/>
        <v>Defiance</v>
      </c>
      <c r="BP399" s="7" t="b">
        <f t="shared" si="61"/>
        <v>1</v>
      </c>
    </row>
    <row r="400" spans="1:68" hidden="1">
      <c r="A400" s="12" t="s">
        <v>947</v>
      </c>
      <c r="B400" s="12"/>
      <c r="C400" s="12" t="s">
        <v>466</v>
      </c>
      <c r="D400" s="12"/>
      <c r="E400" s="12"/>
      <c r="AI400" s="12" t="s">
        <v>947</v>
      </c>
      <c r="AJ400" s="12"/>
      <c r="AK400" s="12" t="s">
        <v>466</v>
      </c>
      <c r="AL400" s="12"/>
      <c r="AW400" s="7">
        <v>0</v>
      </c>
      <c r="AY400" s="7">
        <f t="shared" ref="AY400" si="62">SUM(G400:AX400)</f>
        <v>0</v>
      </c>
      <c r="BA400" s="7">
        <f>+'St of Activites - GA Rev'!AI400-'St of Activities - GA Exp'!AY400</f>
        <v>0</v>
      </c>
      <c r="BE400" s="7">
        <f t="shared" si="51"/>
        <v>0</v>
      </c>
      <c r="BH400" s="7" t="s">
        <v>931</v>
      </c>
      <c r="BL400" s="7" t="str">
        <f t="shared" ref="BL400" si="63">A400</f>
        <v>Northern Local SD (CASH)</v>
      </c>
      <c r="BM400" s="7" t="b">
        <f t="shared" ref="BM400" si="64">A400=AI400</f>
        <v>1</v>
      </c>
      <c r="BO400" s="7" t="str">
        <f t="shared" ref="BO400" si="65">C400</f>
        <v>Perry</v>
      </c>
      <c r="BP400" s="7" t="b">
        <f t="shared" ref="BP400" si="66">C400=AK400</f>
        <v>1</v>
      </c>
    </row>
    <row r="401" spans="1:68" ht="12" customHeight="1">
      <c r="A401" s="12" t="s">
        <v>447</v>
      </c>
      <c r="B401" s="12"/>
      <c r="C401" s="12" t="s">
        <v>50</v>
      </c>
      <c r="D401" s="12"/>
      <c r="E401" s="12">
        <v>48728</v>
      </c>
      <c r="G401" s="7">
        <v>25061220</v>
      </c>
      <c r="I401" s="7">
        <v>10428264</v>
      </c>
      <c r="K401" s="7">
        <v>337961</v>
      </c>
      <c r="M401" s="7">
        <v>0</v>
      </c>
      <c r="O401" s="7">
        <v>31448</v>
      </c>
      <c r="Q401" s="7">
        <v>3922012</v>
      </c>
      <c r="S401" s="7">
        <v>513852</v>
      </c>
      <c r="U401" s="7">
        <v>61969</v>
      </c>
      <c r="W401" s="7">
        <v>3323979</v>
      </c>
      <c r="Y401" s="7">
        <v>1076440</v>
      </c>
      <c r="AA401" s="7">
        <v>418762</v>
      </c>
      <c r="AC401" s="7">
        <v>3836558</v>
      </c>
      <c r="AE401" s="7">
        <v>2334973</v>
      </c>
      <c r="AG401" s="7">
        <v>339223</v>
      </c>
      <c r="AI401" s="12" t="s">
        <v>447</v>
      </c>
      <c r="AJ401" s="12"/>
      <c r="AK401" s="12" t="s">
        <v>50</v>
      </c>
      <c r="AL401" s="12"/>
      <c r="AM401" s="7">
        <v>0</v>
      </c>
      <c r="AO401" s="7">
        <v>3550829</v>
      </c>
      <c r="AQ401" s="7">
        <v>1084270</v>
      </c>
      <c r="AS401" s="7">
        <v>13090</v>
      </c>
      <c r="AW401" s="7">
        <v>0</v>
      </c>
      <c r="AY401" s="7">
        <f t="shared" si="50"/>
        <v>56334850</v>
      </c>
      <c r="BA401" s="7">
        <f>+'St of Activites - GA Rev'!AI401-'St of Activities - GA Exp'!AY401</f>
        <v>2132973</v>
      </c>
      <c r="BC401" s="7">
        <v>9931463</v>
      </c>
      <c r="BE401" s="7">
        <f>+BA401+BC401</f>
        <v>12064436</v>
      </c>
      <c r="BG401" s="7">
        <f>+'St of Net Assets - GA'!AA401-'St of Activities - GA Exp'!BE401</f>
        <v>0</v>
      </c>
      <c r="BL401" s="7" t="str">
        <f t="shared" si="58"/>
        <v>Northmont City SD</v>
      </c>
      <c r="BM401" s="7" t="b">
        <f t="shared" si="59"/>
        <v>1</v>
      </c>
      <c r="BO401" s="7" t="str">
        <f t="shared" si="60"/>
        <v>Montgomery</v>
      </c>
      <c r="BP401" s="7" t="b">
        <f t="shared" si="61"/>
        <v>1</v>
      </c>
    </row>
    <row r="402" spans="1:68">
      <c r="A402" s="12" t="s">
        <v>455</v>
      </c>
      <c r="B402" s="12"/>
      <c r="C402" s="12" t="s">
        <v>78</v>
      </c>
      <c r="D402" s="12"/>
      <c r="E402" s="12">
        <v>48819</v>
      </c>
      <c r="G402" s="7">
        <v>4878874</v>
      </c>
      <c r="I402" s="7">
        <v>1306171</v>
      </c>
      <c r="K402" s="7">
        <v>256746</v>
      </c>
      <c r="M402" s="7">
        <v>0</v>
      </c>
      <c r="O402" s="7">
        <v>985501</v>
      </c>
      <c r="Q402" s="7">
        <v>363227</v>
      </c>
      <c r="S402" s="7">
        <v>843437</v>
      </c>
      <c r="U402" s="7">
        <v>32765</v>
      </c>
      <c r="W402" s="7">
        <v>1057087</v>
      </c>
      <c r="Y402" s="7">
        <v>458373</v>
      </c>
      <c r="AA402" s="7">
        <v>94</v>
      </c>
      <c r="AC402" s="7">
        <v>846583</v>
      </c>
      <c r="AE402" s="7">
        <v>750907</v>
      </c>
      <c r="AG402" s="7">
        <v>6475</v>
      </c>
      <c r="AI402" s="12" t="s">
        <v>455</v>
      </c>
      <c r="AJ402" s="12"/>
      <c r="AK402" s="12" t="s">
        <v>78</v>
      </c>
      <c r="AL402" s="12"/>
      <c r="AM402" s="7">
        <v>386731</v>
      </c>
      <c r="AO402" s="7">
        <v>2500</v>
      </c>
      <c r="AQ402" s="7">
        <v>324737</v>
      </c>
      <c r="AS402" s="7">
        <v>666301</v>
      </c>
      <c r="AW402" s="7">
        <v>0</v>
      </c>
      <c r="AY402" s="7">
        <f t="shared" si="50"/>
        <v>13166509</v>
      </c>
      <c r="BA402" s="7">
        <f>+'St of Activites - GA Rev'!AI402-'St of Activities - GA Exp'!AY402</f>
        <v>613749</v>
      </c>
      <c r="BC402" s="7">
        <v>22264855</v>
      </c>
      <c r="BE402" s="7">
        <f t="shared" si="51"/>
        <v>22878604</v>
      </c>
      <c r="BG402" s="7">
        <f>+'St of Net Assets - GA'!AA402-'St of Activities - GA Exp'!BE402</f>
        <v>0</v>
      </c>
      <c r="BL402" s="7" t="str">
        <f t="shared" si="58"/>
        <v>Northmor Local SD</v>
      </c>
      <c r="BM402" s="7" t="b">
        <f t="shared" si="59"/>
        <v>1</v>
      </c>
      <c r="BO402" s="7" t="str">
        <f t="shared" si="60"/>
        <v>Morrow</v>
      </c>
      <c r="BP402" s="7" t="b">
        <f t="shared" si="61"/>
        <v>1</v>
      </c>
    </row>
    <row r="403" spans="1:68">
      <c r="A403" s="12" t="s">
        <v>390</v>
      </c>
      <c r="B403" s="12"/>
      <c r="C403" s="12" t="s">
        <v>42</v>
      </c>
      <c r="D403" s="12"/>
      <c r="E403" s="12">
        <v>48033</v>
      </c>
      <c r="G403" s="7">
        <v>5787793</v>
      </c>
      <c r="I403" s="7">
        <v>1255847</v>
      </c>
      <c r="K403" s="7">
        <v>168413</v>
      </c>
      <c r="M403" s="7">
        <v>0</v>
      </c>
      <c r="O403" s="7">
        <v>6741</v>
      </c>
      <c r="Q403" s="7">
        <v>617963</v>
      </c>
      <c r="S403" s="7">
        <v>450313</v>
      </c>
      <c r="U403" s="7">
        <v>87564</v>
      </c>
      <c r="W403" s="7">
        <v>1037373</v>
      </c>
      <c r="Y403" s="7">
        <v>399954</v>
      </c>
      <c r="AA403" s="7">
        <v>0</v>
      </c>
      <c r="AC403" s="7">
        <v>977528</v>
      </c>
      <c r="AE403" s="7">
        <v>1452890</v>
      </c>
      <c r="AG403" s="7">
        <v>152098</v>
      </c>
      <c r="AI403" s="12" t="s">
        <v>390</v>
      </c>
      <c r="AJ403" s="12"/>
      <c r="AK403" s="12" t="s">
        <v>42</v>
      </c>
      <c r="AL403" s="12"/>
      <c r="AM403" s="7">
        <v>442200</v>
      </c>
      <c r="AO403" s="7">
        <v>4971</v>
      </c>
      <c r="AQ403" s="7">
        <v>272129</v>
      </c>
      <c r="AS403" s="7">
        <v>271558</v>
      </c>
      <c r="AW403" s="7">
        <v>0</v>
      </c>
      <c r="AY403" s="7">
        <f t="shared" si="50"/>
        <v>13385335</v>
      </c>
      <c r="BA403" s="7">
        <f>+'St of Activites - GA Rev'!AI403-'St of Activities - GA Exp'!AY403</f>
        <v>2340823</v>
      </c>
      <c r="BC403" s="7">
        <v>9808439</v>
      </c>
      <c r="BE403" s="7">
        <f>+BA403+BC403</f>
        <v>12149262</v>
      </c>
      <c r="BG403" s="7">
        <f>+'St of Net Assets - GA'!AA403-'St of Activities - GA Exp'!BE403</f>
        <v>0</v>
      </c>
      <c r="BH403" s="7" t="s">
        <v>948</v>
      </c>
      <c r="BL403" s="7" t="str">
        <f t="shared" si="58"/>
        <v>Northridge Local SD</v>
      </c>
      <c r="BM403" s="7" t="b">
        <f t="shared" si="59"/>
        <v>1</v>
      </c>
      <c r="BO403" s="7" t="str">
        <f t="shared" si="60"/>
        <v>Licking</v>
      </c>
      <c r="BP403" s="7" t="b">
        <f t="shared" si="61"/>
        <v>1</v>
      </c>
    </row>
    <row r="404" spans="1:68">
      <c r="A404" s="12" t="s">
        <v>390</v>
      </c>
      <c r="B404" s="12"/>
      <c r="C404" s="12" t="s">
        <v>50</v>
      </c>
      <c r="D404" s="12"/>
      <c r="E404" s="12">
        <v>48736</v>
      </c>
      <c r="G404" s="7">
        <v>10461129</v>
      </c>
      <c r="I404" s="7">
        <v>2512725</v>
      </c>
      <c r="K404" s="7">
        <v>90061</v>
      </c>
      <c r="M404" s="7">
        <v>0</v>
      </c>
      <c r="O404" s="7">
        <v>320473</v>
      </c>
      <c r="Q404" s="7">
        <v>1713104</v>
      </c>
      <c r="S404" s="7">
        <v>680482</v>
      </c>
      <c r="U404" s="7">
        <v>27894</v>
      </c>
      <c r="W404" s="7">
        <v>2081285</v>
      </c>
      <c r="Y404" s="7">
        <v>402261</v>
      </c>
      <c r="AA404" s="7">
        <v>223207</v>
      </c>
      <c r="AC404" s="7">
        <v>2179828</v>
      </c>
      <c r="AE404" s="7">
        <v>987871</v>
      </c>
      <c r="AG404" s="7">
        <v>59539</v>
      </c>
      <c r="AI404" s="12" t="s">
        <v>390</v>
      </c>
      <c r="AJ404" s="12"/>
      <c r="AK404" s="12" t="s">
        <v>50</v>
      </c>
      <c r="AL404" s="12"/>
      <c r="AM404" s="7">
        <v>0</v>
      </c>
      <c r="AO404" s="7">
        <v>1041260</v>
      </c>
      <c r="AQ404" s="7">
        <v>709711</v>
      </c>
      <c r="AS404" s="7">
        <v>304317</v>
      </c>
      <c r="AW404" s="7">
        <v>0</v>
      </c>
      <c r="AY404" s="7">
        <f t="shared" si="50"/>
        <v>23795147</v>
      </c>
      <c r="BA404" s="7">
        <f>+'St of Activites - GA Rev'!AI404-'St of Activities - GA Exp'!AY404</f>
        <v>1256178</v>
      </c>
      <c r="BC404" s="7">
        <v>9518160</v>
      </c>
      <c r="BE404" s="7">
        <f t="shared" si="51"/>
        <v>10774338</v>
      </c>
      <c r="BG404" s="7">
        <f>+'St of Net Assets - GA'!AA404-'St of Activities - GA Exp'!BE404</f>
        <v>0</v>
      </c>
      <c r="BL404" s="7" t="str">
        <f t="shared" si="58"/>
        <v>Northridge Local SD</v>
      </c>
      <c r="BM404" s="7" t="b">
        <f t="shared" si="59"/>
        <v>1</v>
      </c>
      <c r="BO404" s="7" t="str">
        <f t="shared" si="60"/>
        <v>Montgomery</v>
      </c>
      <c r="BP404" s="7" t="b">
        <f t="shared" si="61"/>
        <v>1</v>
      </c>
    </row>
    <row r="405" spans="1:68">
      <c r="A405" s="12" t="s">
        <v>335</v>
      </c>
      <c r="B405" s="12"/>
      <c r="C405" s="12" t="s">
        <v>32</v>
      </c>
      <c r="D405" s="12"/>
      <c r="E405" s="12">
        <v>47365</v>
      </c>
      <c r="G405" s="7">
        <v>39599806</v>
      </c>
      <c r="I405" s="7">
        <v>11040986</v>
      </c>
      <c r="K405" s="7">
        <v>85647</v>
      </c>
      <c r="M405" s="7">
        <v>0</v>
      </c>
      <c r="O405" s="7">
        <f>1351647+44933</f>
        <v>1396580</v>
      </c>
      <c r="Q405" s="7">
        <v>5913709</v>
      </c>
      <c r="S405" s="7">
        <v>7479306</v>
      </c>
      <c r="U405" s="7">
        <v>131907</v>
      </c>
      <c r="W405" s="7">
        <v>6071446</v>
      </c>
      <c r="Y405" s="7">
        <v>2091931</v>
      </c>
      <c r="AA405" s="7">
        <v>600034</v>
      </c>
      <c r="AC405" s="7">
        <v>7905720</v>
      </c>
      <c r="AE405" s="7">
        <v>5248647</v>
      </c>
      <c r="AG405" s="7">
        <v>1783588</v>
      </c>
      <c r="AI405" s="12" t="s">
        <v>335</v>
      </c>
      <c r="AJ405" s="12"/>
      <c r="AK405" s="12" t="s">
        <v>32</v>
      </c>
      <c r="AL405" s="12"/>
      <c r="AM405" s="7">
        <v>0</v>
      </c>
      <c r="AO405" s="7">
        <v>7231875</v>
      </c>
      <c r="AQ405" s="7">
        <v>2009970</v>
      </c>
      <c r="AS405" s="7">
        <v>867155</v>
      </c>
      <c r="AW405" s="7">
        <v>0</v>
      </c>
      <c r="AY405" s="7">
        <f t="shared" ref="AY405:AY411" si="67">SUM(G405:AX405)</f>
        <v>99458307</v>
      </c>
      <c r="BA405" s="7">
        <f>+'St of Activites - GA Rev'!AI405-'St of Activities - GA Exp'!AY405</f>
        <v>6446907</v>
      </c>
      <c r="BC405" s="7">
        <v>31587535</v>
      </c>
      <c r="BE405" s="7">
        <f t="shared" ref="BE405:BE420" si="68">+BA405+BC405</f>
        <v>38034442</v>
      </c>
      <c r="BG405" s="7">
        <f>+'St of Net Assets - GA'!AA405-'St of Activities - GA Exp'!BE405</f>
        <v>0</v>
      </c>
      <c r="BL405" s="7" t="str">
        <f t="shared" si="58"/>
        <v>Northwest Local SD</v>
      </c>
      <c r="BM405" s="7" t="b">
        <f t="shared" si="59"/>
        <v>1</v>
      </c>
      <c r="BO405" s="7" t="str">
        <f t="shared" si="60"/>
        <v>Hamilton</v>
      </c>
      <c r="BP405" s="7" t="b">
        <f t="shared" si="61"/>
        <v>1</v>
      </c>
    </row>
    <row r="406" spans="1:68">
      <c r="A406" s="12" t="s">
        <v>621</v>
      </c>
      <c r="B406" s="12"/>
      <c r="C406" s="12" t="s">
        <v>59</v>
      </c>
      <c r="D406" s="12"/>
      <c r="E406" s="12">
        <v>49635</v>
      </c>
      <c r="G406" s="7">
        <v>8398672</v>
      </c>
      <c r="I406" s="7">
        <v>1352730</v>
      </c>
      <c r="K406" s="7">
        <v>92164</v>
      </c>
      <c r="M406" s="7">
        <v>0</v>
      </c>
      <c r="O406" s="7">
        <v>600426</v>
      </c>
      <c r="Q406" s="7">
        <v>878316</v>
      </c>
      <c r="S406" s="7">
        <v>1154309</v>
      </c>
      <c r="U406" s="7">
        <v>38443</v>
      </c>
      <c r="W406" s="7">
        <v>1261804</v>
      </c>
      <c r="Y406" s="7">
        <v>319046</v>
      </c>
      <c r="AA406" s="7">
        <v>0</v>
      </c>
      <c r="AC406" s="7">
        <v>2361566</v>
      </c>
      <c r="AE406" s="7">
        <v>1867096</v>
      </c>
      <c r="AG406" s="7">
        <v>22483</v>
      </c>
      <c r="AI406" s="12" t="s">
        <v>621</v>
      </c>
      <c r="AJ406" s="12"/>
      <c r="AK406" s="12" t="s">
        <v>59</v>
      </c>
      <c r="AL406" s="12"/>
      <c r="AM406" s="7">
        <v>0</v>
      </c>
      <c r="AO406" s="7">
        <v>805163</v>
      </c>
      <c r="AQ406" s="7">
        <v>302584</v>
      </c>
      <c r="AS406" s="7">
        <v>186990</v>
      </c>
      <c r="AW406" s="7">
        <v>0</v>
      </c>
      <c r="AY406" s="7">
        <f t="shared" si="67"/>
        <v>19641792</v>
      </c>
      <c r="BA406" s="7">
        <f>+'St of Activites - GA Rev'!AI406-'St of Activities - GA Exp'!AY406</f>
        <v>-1693428</v>
      </c>
      <c r="BC406" s="7">
        <v>24173990</v>
      </c>
      <c r="BE406" s="7">
        <f t="shared" si="68"/>
        <v>22480562</v>
      </c>
      <c r="BG406" s="7">
        <f>+'St of Net Assets - GA'!AA406-'St of Activities - GA Exp'!BE406</f>
        <v>0</v>
      </c>
      <c r="BL406" s="7" t="str">
        <f t="shared" si="58"/>
        <v xml:space="preserve">Northwest Local SD    </v>
      </c>
      <c r="BM406" s="7" t="b">
        <f t="shared" si="59"/>
        <v>1</v>
      </c>
      <c r="BO406" s="7" t="str">
        <f t="shared" si="60"/>
        <v>Scioto</v>
      </c>
      <c r="BP406" s="7" t="b">
        <f t="shared" si="61"/>
        <v>1</v>
      </c>
    </row>
    <row r="407" spans="1:68">
      <c r="A407" s="12" t="s">
        <v>335</v>
      </c>
      <c r="B407" s="12"/>
      <c r="C407" s="12" t="s">
        <v>62</v>
      </c>
      <c r="D407" s="12"/>
      <c r="E407" s="12">
        <v>49908</v>
      </c>
      <c r="G407" s="7">
        <v>8908997</v>
      </c>
      <c r="I407" s="7">
        <v>2548149</v>
      </c>
      <c r="K407" s="7">
        <v>185233</v>
      </c>
      <c r="M407" s="7">
        <v>0</v>
      </c>
      <c r="O407" s="7">
        <v>122402</v>
      </c>
      <c r="Q407" s="7">
        <v>787859</v>
      </c>
      <c r="S407" s="7">
        <v>151222</v>
      </c>
      <c r="U407" s="7">
        <v>125115</v>
      </c>
      <c r="W407" s="7">
        <v>1688365</v>
      </c>
      <c r="Y407" s="7">
        <v>440837</v>
      </c>
      <c r="AA407" s="7">
        <v>0</v>
      </c>
      <c r="AC407" s="7">
        <v>3373434</v>
      </c>
      <c r="AE407" s="7">
        <v>1027089</v>
      </c>
      <c r="AG407" s="7">
        <v>259465</v>
      </c>
      <c r="AI407" s="12" t="s">
        <v>335</v>
      </c>
      <c r="AJ407" s="12"/>
      <c r="AK407" s="12" t="s">
        <v>62</v>
      </c>
      <c r="AL407" s="12"/>
      <c r="AM407" s="7">
        <v>667368</v>
      </c>
      <c r="AO407" s="7">
        <v>100154</v>
      </c>
      <c r="AQ407" s="7">
        <v>351888</v>
      </c>
      <c r="AS407" s="7">
        <v>1009349</v>
      </c>
      <c r="AW407" s="7">
        <v>0</v>
      </c>
      <c r="AY407" s="7">
        <f t="shared" si="67"/>
        <v>21746926</v>
      </c>
      <c r="BA407" s="7">
        <f>+'St of Activites - GA Rev'!AI407-'St of Activities - GA Exp'!AY407</f>
        <v>666893</v>
      </c>
      <c r="BC407" s="7">
        <v>31127327</v>
      </c>
      <c r="BE407" s="7">
        <f t="shared" si="68"/>
        <v>31794220</v>
      </c>
      <c r="BG407" s="7">
        <f>+'St of Net Assets - GA'!AA407-'St of Activities - GA Exp'!BE407</f>
        <v>0</v>
      </c>
      <c r="BL407" s="7" t="str">
        <f t="shared" si="58"/>
        <v>Northwest Local SD</v>
      </c>
      <c r="BM407" s="7" t="b">
        <f t="shared" si="59"/>
        <v>1</v>
      </c>
      <c r="BO407" s="7" t="str">
        <f t="shared" si="60"/>
        <v>Stark</v>
      </c>
      <c r="BP407" s="7" t="b">
        <f t="shared" si="61"/>
        <v>1</v>
      </c>
    </row>
    <row r="408" spans="1:68">
      <c r="A408" s="12" t="s">
        <v>239</v>
      </c>
      <c r="B408" s="12"/>
      <c r="C408" s="12" t="s">
        <v>17</v>
      </c>
      <c r="D408" s="12"/>
      <c r="E408" s="12">
        <v>46268</v>
      </c>
      <c r="G408" s="7">
        <v>8231970</v>
      </c>
      <c r="I408" s="7">
        <v>2166950</v>
      </c>
      <c r="K408" s="7">
        <v>0</v>
      </c>
      <c r="M408" s="7">
        <v>0</v>
      </c>
      <c r="O408" s="7">
        <v>8947</v>
      </c>
      <c r="Q408" s="7">
        <v>657168</v>
      </c>
      <c r="S408" s="7">
        <v>776606</v>
      </c>
      <c r="U408" s="7">
        <v>68190</v>
      </c>
      <c r="W408" s="7">
        <v>1193264</v>
      </c>
      <c r="Y408" s="7">
        <v>467598</v>
      </c>
      <c r="AA408" s="7">
        <v>0</v>
      </c>
      <c r="AC408" s="7">
        <v>1359919</v>
      </c>
      <c r="AE408" s="7">
        <v>1147733</v>
      </c>
      <c r="AG408" s="7">
        <v>129275</v>
      </c>
      <c r="AI408" s="12" t="s">
        <v>239</v>
      </c>
      <c r="AJ408" s="12"/>
      <c r="AK408" s="12" t="s">
        <v>17</v>
      </c>
      <c r="AL408" s="12"/>
      <c r="AM408" s="7">
        <v>583789</v>
      </c>
      <c r="AO408" s="7">
        <v>41976</v>
      </c>
      <c r="AQ408" s="7">
        <v>439299</v>
      </c>
      <c r="AS408" s="7">
        <v>1495703</v>
      </c>
      <c r="AW408" s="7">
        <v>0</v>
      </c>
      <c r="AY408" s="7">
        <f t="shared" si="67"/>
        <v>18768387</v>
      </c>
      <c r="BA408" s="7">
        <f>+'St of Activites - GA Rev'!AI408-'St of Activities - GA Exp'!AY408</f>
        <v>5761335</v>
      </c>
      <c r="BC408" s="7">
        <v>8290812</v>
      </c>
      <c r="BE408" s="7">
        <f t="shared" si="68"/>
        <v>14052147</v>
      </c>
      <c r="BG408" s="7">
        <f>+'St of Net Assets - GA'!AA408-'St of Activities - GA Exp'!BE408</f>
        <v>0</v>
      </c>
      <c r="BL408" s="7" t="str">
        <f t="shared" si="58"/>
        <v>Northwestern Local SD</v>
      </c>
      <c r="BM408" s="7" t="b">
        <f t="shared" si="59"/>
        <v>1</v>
      </c>
      <c r="BO408" s="7" t="str">
        <f t="shared" si="60"/>
        <v>Clark</v>
      </c>
      <c r="BP408" s="7" t="b">
        <f t="shared" si="61"/>
        <v>1</v>
      </c>
    </row>
    <row r="409" spans="1:68" hidden="1">
      <c r="A409" s="12" t="s">
        <v>801</v>
      </c>
      <c r="B409" s="12"/>
      <c r="C409" s="12" t="s">
        <v>71</v>
      </c>
      <c r="D409" s="12"/>
      <c r="E409" s="12"/>
      <c r="AI409" s="12" t="s">
        <v>801</v>
      </c>
      <c r="AJ409" s="12"/>
      <c r="AK409" s="12" t="s">
        <v>71</v>
      </c>
      <c r="AL409" s="12"/>
      <c r="AW409" s="7">
        <v>0</v>
      </c>
      <c r="BH409" s="7" t="s">
        <v>938</v>
      </c>
      <c r="BL409" s="7" t="str">
        <f t="shared" si="58"/>
        <v>Northwestern Local SD (CASH)</v>
      </c>
      <c r="BM409" s="7" t="b">
        <f t="shared" si="59"/>
        <v>1</v>
      </c>
      <c r="BO409" s="7" t="str">
        <f t="shared" si="60"/>
        <v>Wayne</v>
      </c>
      <c r="BP409" s="7" t="b">
        <f t="shared" si="61"/>
        <v>1</v>
      </c>
    </row>
    <row r="410" spans="1:68">
      <c r="A410" s="12" t="s">
        <v>575</v>
      </c>
      <c r="B410" s="12"/>
      <c r="C410" s="12" t="s">
        <v>72</v>
      </c>
      <c r="D410" s="12"/>
      <c r="E410" s="12">
        <v>50716</v>
      </c>
      <c r="G410" s="7">
        <v>4603926</v>
      </c>
      <c r="I410" s="7">
        <v>1564582</v>
      </c>
      <c r="K410" s="7">
        <v>176569</v>
      </c>
      <c r="M410" s="7">
        <v>0</v>
      </c>
      <c r="O410" s="7">
        <v>0</v>
      </c>
      <c r="Q410" s="7">
        <v>329741</v>
      </c>
      <c r="S410" s="7">
        <v>668362</v>
      </c>
      <c r="U410" s="7">
        <v>14067</v>
      </c>
      <c r="W410" s="7">
        <v>805713</v>
      </c>
      <c r="Y410" s="7">
        <v>331409</v>
      </c>
      <c r="AA410" s="7">
        <v>0</v>
      </c>
      <c r="AC410" s="7">
        <v>940419</v>
      </c>
      <c r="AE410" s="7">
        <v>447057</v>
      </c>
      <c r="AG410" s="7">
        <v>23496</v>
      </c>
      <c r="AI410" s="12" t="s">
        <v>575</v>
      </c>
      <c r="AJ410" s="12"/>
      <c r="AK410" s="12" t="s">
        <v>72</v>
      </c>
      <c r="AL410" s="12"/>
      <c r="AM410" s="7">
        <v>0</v>
      </c>
      <c r="AO410" s="7">
        <v>376257</v>
      </c>
      <c r="AQ410" s="7">
        <v>478973</v>
      </c>
      <c r="AS410" s="7">
        <v>34268</v>
      </c>
      <c r="AW410" s="7">
        <v>0</v>
      </c>
      <c r="AY410" s="7">
        <f t="shared" si="67"/>
        <v>10794839</v>
      </c>
      <c r="BA410" s="7">
        <f>+'St of Activites - GA Rev'!AI410-'St of Activities - GA Exp'!AY410</f>
        <v>1510631</v>
      </c>
      <c r="BC410" s="7">
        <v>6245218</v>
      </c>
      <c r="BE410" s="7">
        <f t="shared" si="68"/>
        <v>7755849</v>
      </c>
      <c r="BG410" s="7">
        <f>+'St of Net Assets - GA'!AA410-'St of Activities - GA Exp'!BE410</f>
        <v>0</v>
      </c>
      <c r="BL410" s="7" t="str">
        <f t="shared" si="58"/>
        <v>Northwood Local SD</v>
      </c>
      <c r="BM410" s="7" t="b">
        <f t="shared" si="59"/>
        <v>1</v>
      </c>
      <c r="BO410" s="7" t="str">
        <f t="shared" si="60"/>
        <v>Wood</v>
      </c>
      <c r="BP410" s="7" t="b">
        <f t="shared" si="61"/>
        <v>1</v>
      </c>
    </row>
    <row r="411" spans="1:68">
      <c r="A411" s="12" t="s">
        <v>528</v>
      </c>
      <c r="B411" s="12"/>
      <c r="C411" s="12" t="s">
        <v>63</v>
      </c>
      <c r="D411" s="12"/>
      <c r="E411" s="12">
        <v>44552</v>
      </c>
      <c r="G411" s="7">
        <v>11320512</v>
      </c>
      <c r="I411" s="7">
        <v>2138015</v>
      </c>
      <c r="K411" s="7">
        <v>853375</v>
      </c>
      <c r="M411" s="7">
        <v>2952</v>
      </c>
      <c r="O411" s="7">
        <v>329227</v>
      </c>
      <c r="Q411" s="7">
        <v>737222</v>
      </c>
      <c r="S411" s="7">
        <v>1399762</v>
      </c>
      <c r="U411" s="7">
        <v>93231</v>
      </c>
      <c r="W411" s="7">
        <v>1801356</v>
      </c>
      <c r="Y411" s="7">
        <v>577535</v>
      </c>
      <c r="AA411" s="7">
        <v>306628</v>
      </c>
      <c r="AC411" s="7">
        <v>1884584</v>
      </c>
      <c r="AE411" s="7">
        <v>1506979</v>
      </c>
      <c r="AG411" s="7">
        <v>76944</v>
      </c>
      <c r="AI411" s="12" t="s">
        <v>528</v>
      </c>
      <c r="AJ411" s="12"/>
      <c r="AK411" s="12" t="s">
        <v>63</v>
      </c>
      <c r="AL411" s="12"/>
      <c r="AM411" s="7">
        <v>925626</v>
      </c>
      <c r="AO411" s="7">
        <v>4455</v>
      </c>
      <c r="AQ411" s="7">
        <v>541994</v>
      </c>
      <c r="AS411" s="7">
        <v>3916</v>
      </c>
      <c r="AW411" s="7">
        <v>0</v>
      </c>
      <c r="AY411" s="7">
        <f t="shared" si="67"/>
        <v>24504313</v>
      </c>
      <c r="BA411" s="7">
        <f>+'St of Activites - GA Rev'!AI411-'St of Activities - GA Exp'!AY411</f>
        <v>-1120263</v>
      </c>
      <c r="BC411" s="7">
        <v>11206144</v>
      </c>
      <c r="BE411" s="7">
        <f t="shared" si="68"/>
        <v>10085881</v>
      </c>
      <c r="BG411" s="7">
        <f>+'St of Net Assets - GA'!AA411-'St of Activities - GA Exp'!BE411</f>
        <v>0</v>
      </c>
      <c r="BH411" s="7" t="s">
        <v>949</v>
      </c>
      <c r="BL411" s="7" t="str">
        <f t="shared" si="58"/>
        <v>Norton City SD</v>
      </c>
      <c r="BM411" s="7" t="b">
        <f t="shared" si="59"/>
        <v>1</v>
      </c>
      <c r="BO411" s="7" t="str">
        <f t="shared" si="60"/>
        <v>Summit</v>
      </c>
      <c r="BP411" s="7" t="b">
        <f t="shared" si="61"/>
        <v>1</v>
      </c>
    </row>
    <row r="412" spans="1:68">
      <c r="A412" s="12" t="s">
        <v>368</v>
      </c>
      <c r="B412" s="12"/>
      <c r="C412" s="12" t="s">
        <v>37</v>
      </c>
      <c r="D412" s="12"/>
      <c r="E412" s="12">
        <v>44560</v>
      </c>
      <c r="G412" s="7">
        <v>12344985</v>
      </c>
      <c r="I412" s="7">
        <v>3500218</v>
      </c>
      <c r="K412" s="7">
        <v>161360</v>
      </c>
      <c r="M412" s="7">
        <v>39211</v>
      </c>
      <c r="O412" s="7">
        <v>1284042</v>
      </c>
      <c r="Q412" s="7">
        <v>1266347</v>
      </c>
      <c r="S412" s="7">
        <v>2288397</v>
      </c>
      <c r="U412" s="7">
        <v>186067</v>
      </c>
      <c r="W412" s="7">
        <v>2341714</v>
      </c>
      <c r="Y412" s="7">
        <v>531317</v>
      </c>
      <c r="AA412" s="7">
        <v>145621</v>
      </c>
      <c r="AC412" s="7">
        <v>2662306</v>
      </c>
      <c r="AE412" s="7">
        <v>780194</v>
      </c>
      <c r="AG412" s="7">
        <v>97283</v>
      </c>
      <c r="AI412" s="12" t="s">
        <v>368</v>
      </c>
      <c r="AJ412" s="12"/>
      <c r="AK412" s="12" t="s">
        <v>37</v>
      </c>
      <c r="AL412" s="12"/>
      <c r="AM412" s="7">
        <v>1138273</v>
      </c>
      <c r="AO412" s="7">
        <v>717368</v>
      </c>
      <c r="AQ412" s="7">
        <v>686518</v>
      </c>
      <c r="AS412" s="7">
        <v>543980</v>
      </c>
      <c r="AW412" s="7">
        <v>0</v>
      </c>
      <c r="AY412" s="7">
        <f t="shared" ref="AY412:AY424" si="69">SUM(G412:AX412)</f>
        <v>30715201</v>
      </c>
      <c r="BA412" s="7">
        <f>+'St of Activites - GA Rev'!AI412-'St of Activities - GA Exp'!AY412</f>
        <v>-1071163</v>
      </c>
      <c r="BC412" s="7">
        <v>24785488</v>
      </c>
      <c r="BE412" s="7">
        <f t="shared" si="68"/>
        <v>23714325</v>
      </c>
      <c r="BG412" s="7">
        <f>+'St of Net Assets - GA'!AA412-'St of Activities - GA Exp'!BE412</f>
        <v>0</v>
      </c>
      <c r="BL412" s="7" t="str">
        <f t="shared" si="58"/>
        <v>Norwalk City SD</v>
      </c>
      <c r="BM412" s="7" t="b">
        <f t="shared" si="59"/>
        <v>1</v>
      </c>
      <c r="BO412" s="7" t="str">
        <f t="shared" si="60"/>
        <v>Huron</v>
      </c>
      <c r="BP412" s="7" t="b">
        <f t="shared" si="61"/>
        <v>1</v>
      </c>
    </row>
    <row r="413" spans="1:68" hidden="1">
      <c r="A413" s="12" t="s">
        <v>950</v>
      </c>
      <c r="B413" s="12"/>
      <c r="C413" s="12" t="s">
        <v>71</v>
      </c>
      <c r="D413" s="12"/>
      <c r="E413" s="12"/>
      <c r="AI413" s="12" t="s">
        <v>950</v>
      </c>
      <c r="AJ413" s="12"/>
      <c r="AK413" s="12" t="s">
        <v>71</v>
      </c>
      <c r="AL413" s="12"/>
      <c r="AW413" s="7">
        <v>0</v>
      </c>
      <c r="AY413" s="7">
        <f t="shared" ref="AY413" si="70">SUM(G413:AX413)</f>
        <v>0</v>
      </c>
      <c r="BA413" s="7">
        <f>+'St of Activites - GA Rev'!AI413-'St of Activities - GA Exp'!AY413</f>
        <v>0</v>
      </c>
      <c r="BE413" s="7">
        <f t="shared" ref="BE413" si="71">+BA413+BC413</f>
        <v>0</v>
      </c>
      <c r="BG413" s="7">
        <f>+'St of Net Assets - GA'!AA413-'St of Activities - GA Exp'!BE413</f>
        <v>0</v>
      </c>
      <c r="BH413" s="7" t="s">
        <v>931</v>
      </c>
      <c r="BL413" s="7" t="str">
        <f t="shared" ref="BL413" si="72">A413</f>
        <v>Norwayne Local SD (CASH)</v>
      </c>
      <c r="BM413" s="7" t="b">
        <f t="shared" ref="BM413" si="73">A413=AI413</f>
        <v>1</v>
      </c>
      <c r="BO413" s="7" t="str">
        <f t="shared" ref="BO413" si="74">C413</f>
        <v>Wayne</v>
      </c>
      <c r="BP413" s="7" t="b">
        <f t="shared" ref="BP413" si="75">C413=AK413</f>
        <v>1</v>
      </c>
    </row>
    <row r="414" spans="1:68">
      <c r="A414" s="12" t="s">
        <v>658</v>
      </c>
      <c r="B414" s="12"/>
      <c r="C414" s="12" t="s">
        <v>32</v>
      </c>
      <c r="D414" s="12"/>
      <c r="E414" s="12">
        <v>44578</v>
      </c>
      <c r="G414" s="7">
        <v>12150924</v>
      </c>
      <c r="I414" s="7">
        <v>3782470</v>
      </c>
      <c r="K414" s="7">
        <v>0</v>
      </c>
      <c r="M414" s="7">
        <v>0</v>
      </c>
      <c r="O414" s="7">
        <v>831917</v>
      </c>
      <c r="Q414" s="7">
        <v>1878254</v>
      </c>
      <c r="S414" s="7">
        <v>1659093</v>
      </c>
      <c r="U414" s="7">
        <v>28940</v>
      </c>
      <c r="W414" s="7">
        <v>1572741</v>
      </c>
      <c r="Y414" s="7">
        <v>662626</v>
      </c>
      <c r="AA414" s="7">
        <v>0</v>
      </c>
      <c r="AC414" s="7">
        <v>2454629</v>
      </c>
      <c r="AE414" s="7">
        <v>524594</v>
      </c>
      <c r="AG414" s="7">
        <v>166224</v>
      </c>
      <c r="AI414" s="12" t="s">
        <v>658</v>
      </c>
      <c r="AJ414" s="12"/>
      <c r="AK414" s="12" t="s">
        <v>32</v>
      </c>
      <c r="AL414" s="12"/>
      <c r="AM414" s="7">
        <v>0</v>
      </c>
      <c r="AO414" s="7">
        <v>1170735</v>
      </c>
      <c r="AQ414" s="7">
        <v>590953</v>
      </c>
      <c r="AS414" s="7">
        <v>245343</v>
      </c>
      <c r="AW414" s="7">
        <v>0</v>
      </c>
      <c r="AY414" s="7">
        <f t="shared" si="69"/>
        <v>27719443</v>
      </c>
      <c r="BA414" s="7">
        <f>+'St of Activites - GA Rev'!AI414-'St of Activities - GA Exp'!AY414</f>
        <v>1649094</v>
      </c>
      <c r="BC414" s="7">
        <v>6559535</v>
      </c>
      <c r="BE414" s="7">
        <f t="shared" si="68"/>
        <v>8208629</v>
      </c>
      <c r="BG414" s="7">
        <f>+'St of Net Assets - GA'!AA414-'St of Activities - GA Exp'!BE414</f>
        <v>0</v>
      </c>
      <c r="BL414" s="7" t="str">
        <f t="shared" si="58"/>
        <v>Norwood City SD</v>
      </c>
      <c r="BM414" s="7" t="b">
        <f t="shared" si="59"/>
        <v>1</v>
      </c>
      <c r="BO414" s="7" t="str">
        <f t="shared" si="60"/>
        <v>Hamilton</v>
      </c>
      <c r="BP414" s="7" t="b">
        <f t="shared" si="61"/>
        <v>1</v>
      </c>
    </row>
    <row r="415" spans="1:68" hidden="1">
      <c r="A415" s="12" t="s">
        <v>799</v>
      </c>
      <c r="B415" s="12"/>
      <c r="C415" s="12" t="s">
        <v>38</v>
      </c>
      <c r="D415" s="12"/>
      <c r="E415" s="12"/>
      <c r="AI415" s="12" t="s">
        <v>799</v>
      </c>
      <c r="AJ415" s="12"/>
      <c r="AK415" s="12" t="s">
        <v>38</v>
      </c>
      <c r="AL415" s="12"/>
      <c r="AW415" s="7">
        <v>0</v>
      </c>
      <c r="BH415" s="7" t="s">
        <v>938</v>
      </c>
      <c r="BL415" s="7" t="str">
        <f t="shared" si="58"/>
        <v>Oak Hill Union Local SD (CASH)</v>
      </c>
      <c r="BM415" s="7" t="b">
        <f t="shared" si="59"/>
        <v>1</v>
      </c>
      <c r="BO415" s="7" t="str">
        <f t="shared" si="60"/>
        <v>Jackson</v>
      </c>
      <c r="BP415" s="7" t="b">
        <f t="shared" si="61"/>
        <v>1</v>
      </c>
    </row>
    <row r="416" spans="1:68">
      <c r="A416" s="12" t="s">
        <v>336</v>
      </c>
      <c r="B416" s="12"/>
      <c r="C416" s="12" t="s">
        <v>32</v>
      </c>
      <c r="D416" s="12"/>
      <c r="E416" s="12">
        <v>47373</v>
      </c>
      <c r="G416" s="7">
        <v>35577395</v>
      </c>
      <c r="I416" s="7">
        <v>8632320</v>
      </c>
      <c r="K416" s="7">
        <v>189</v>
      </c>
      <c r="M416" s="7">
        <v>0</v>
      </c>
      <c r="O416" s="7">
        <v>237097</v>
      </c>
      <c r="Q416" s="7">
        <v>4968916</v>
      </c>
      <c r="S416" s="7">
        <v>7291063</v>
      </c>
      <c r="U416" s="7">
        <v>128139</v>
      </c>
      <c r="W416" s="7">
        <v>5419652</v>
      </c>
      <c r="Y416" s="7">
        <v>1313411</v>
      </c>
      <c r="AA416" s="7">
        <v>277321</v>
      </c>
      <c r="AC416" s="7">
        <v>6846285</v>
      </c>
      <c r="AE416" s="7">
        <v>3004197</v>
      </c>
      <c r="AG416" s="7">
        <v>580400</v>
      </c>
      <c r="AI416" s="12" t="s">
        <v>336</v>
      </c>
      <c r="AJ416" s="12"/>
      <c r="AK416" s="12" t="s">
        <v>32</v>
      </c>
      <c r="AL416" s="12"/>
      <c r="AM416" s="7">
        <v>0</v>
      </c>
      <c r="AO416" s="7">
        <v>4827525</v>
      </c>
      <c r="AQ416" s="7">
        <v>2025274</v>
      </c>
      <c r="AS416" s="7">
        <v>1867715</v>
      </c>
      <c r="AW416" s="7">
        <v>0</v>
      </c>
      <c r="AY416" s="7">
        <f t="shared" si="69"/>
        <v>82996899</v>
      </c>
      <c r="BA416" s="7">
        <f>+'St of Activites - GA Rev'!AI416-'St of Activities - GA Exp'!AY416</f>
        <v>-2940757</v>
      </c>
      <c r="BC416" s="7">
        <v>37561455</v>
      </c>
      <c r="BE416" s="7">
        <f t="shared" si="68"/>
        <v>34620698</v>
      </c>
      <c r="BG416" s="7">
        <f>+'St of Net Assets - GA'!AA416-'St of Activities - GA Exp'!BE416</f>
        <v>0</v>
      </c>
      <c r="BL416" s="7" t="str">
        <f t="shared" si="58"/>
        <v>Oak Hills Local SD</v>
      </c>
      <c r="BM416" s="7" t="b">
        <f t="shared" si="59"/>
        <v>1</v>
      </c>
      <c r="BO416" s="7" t="str">
        <f t="shared" si="60"/>
        <v>Hamilton</v>
      </c>
      <c r="BP416" s="7" t="b">
        <f t="shared" si="61"/>
        <v>1</v>
      </c>
    </row>
    <row r="417" spans="1:68">
      <c r="A417" s="12" t="s">
        <v>448</v>
      </c>
      <c r="B417" s="12"/>
      <c r="C417" s="12" t="s">
        <v>50</v>
      </c>
      <c r="D417" s="12"/>
      <c r="E417" s="12">
        <v>44586</v>
      </c>
      <c r="G417" s="7">
        <v>12963822</v>
      </c>
      <c r="I417" s="7">
        <v>2717856</v>
      </c>
      <c r="K417" s="7">
        <v>2000</v>
      </c>
      <c r="M417" s="7">
        <v>0</v>
      </c>
      <c r="O417" s="7">
        <v>229988</v>
      </c>
      <c r="Q417" s="7">
        <v>1528774</v>
      </c>
      <c r="S417" s="7">
        <v>144308</v>
      </c>
      <c r="U417" s="7">
        <v>18366</v>
      </c>
      <c r="W417" s="7">
        <v>1815643</v>
      </c>
      <c r="Y417" s="7">
        <v>724974</v>
      </c>
      <c r="AA417" s="7">
        <v>1178</v>
      </c>
      <c r="AC417" s="7">
        <v>2230516</v>
      </c>
      <c r="AE417" s="7">
        <v>230349</v>
      </c>
      <c r="AG417" s="7">
        <v>540287</v>
      </c>
      <c r="AI417" s="12" t="s">
        <v>448</v>
      </c>
      <c r="AJ417" s="12"/>
      <c r="AK417" s="12" t="s">
        <v>50</v>
      </c>
      <c r="AL417" s="12"/>
      <c r="AM417" s="7">
        <v>336484</v>
      </c>
      <c r="AO417" s="7">
        <f>299163+29695</f>
        <v>328858</v>
      </c>
      <c r="AQ417" s="7">
        <v>1045138</v>
      </c>
      <c r="AS417" s="7">
        <v>710782</v>
      </c>
      <c r="AW417" s="7">
        <v>0</v>
      </c>
      <c r="AY417" s="7">
        <f t="shared" si="69"/>
        <v>25569323</v>
      </c>
      <c r="BA417" s="7">
        <f>+'St of Activites - GA Rev'!AI417-'St of Activities - GA Exp'!AY417</f>
        <v>1176757</v>
      </c>
      <c r="BC417" s="7">
        <v>3689796</v>
      </c>
      <c r="BE417" s="7">
        <f t="shared" si="68"/>
        <v>4866553</v>
      </c>
      <c r="BG417" s="7">
        <f>+'St of Net Assets - GA'!AA417-'St of Activities - GA Exp'!BE417</f>
        <v>0</v>
      </c>
      <c r="BL417" s="7" t="str">
        <f t="shared" si="58"/>
        <v>Oakwood City SD</v>
      </c>
      <c r="BM417" s="7" t="b">
        <f t="shared" si="59"/>
        <v>1</v>
      </c>
      <c r="BO417" s="7" t="str">
        <f t="shared" si="60"/>
        <v>Montgomery</v>
      </c>
      <c r="BP417" s="7" t="b">
        <f t="shared" si="61"/>
        <v>1</v>
      </c>
    </row>
    <row r="418" spans="1:68">
      <c r="A418" s="12" t="s">
        <v>401</v>
      </c>
      <c r="B418" s="12"/>
      <c r="C418" s="12" t="s">
        <v>44</v>
      </c>
      <c r="D418" s="12"/>
      <c r="E418" s="12">
        <v>44594</v>
      </c>
      <c r="G418" s="7">
        <v>6996219</v>
      </c>
      <c r="I418" s="7">
        <v>1092967</v>
      </c>
      <c r="K418" s="7">
        <v>98982</v>
      </c>
      <c r="M418" s="7">
        <v>0</v>
      </c>
      <c r="O418" s="7">
        <v>50747</v>
      </c>
      <c r="Q418" s="7">
        <v>1046530</v>
      </c>
      <c r="S418" s="7">
        <v>426217</v>
      </c>
      <c r="U418" s="7">
        <v>36945</v>
      </c>
      <c r="W418" s="7">
        <v>1358490</v>
      </c>
      <c r="Y418" s="7">
        <v>384347</v>
      </c>
      <c r="AA418" s="7">
        <v>235749</v>
      </c>
      <c r="AC418" s="7">
        <v>1433021</v>
      </c>
      <c r="AE418" s="7">
        <v>408365</v>
      </c>
      <c r="AG418" s="7">
        <v>70234</v>
      </c>
      <c r="AI418" s="12" t="s">
        <v>401</v>
      </c>
      <c r="AJ418" s="12"/>
      <c r="AK418" s="12" t="s">
        <v>44</v>
      </c>
      <c r="AL418" s="12"/>
      <c r="AM418" s="7">
        <v>0</v>
      </c>
      <c r="AO418" s="7">
        <v>427113</v>
      </c>
      <c r="AQ418" s="7">
        <v>192068</v>
      </c>
      <c r="AS418" s="7">
        <v>33549</v>
      </c>
      <c r="AW418" s="7">
        <v>0</v>
      </c>
      <c r="AY418" s="7">
        <f t="shared" si="69"/>
        <v>14291543</v>
      </c>
      <c r="BA418" s="7">
        <f>+'St of Activites - GA Rev'!AI418-'St of Activities - GA Exp'!AY418</f>
        <v>203354</v>
      </c>
      <c r="BC418" s="7">
        <v>4800569</v>
      </c>
      <c r="BE418" s="7">
        <f t="shared" si="68"/>
        <v>5003923</v>
      </c>
      <c r="BG418" s="7">
        <f>+'St of Net Assets - GA'!AA418-'St of Activities - GA Exp'!BE418</f>
        <v>0</v>
      </c>
      <c r="BL418" s="7" t="str">
        <f t="shared" si="58"/>
        <v>Oberlin City SD</v>
      </c>
      <c r="BM418" s="7" t="b">
        <f t="shared" si="59"/>
        <v>1</v>
      </c>
      <c r="BO418" s="7" t="str">
        <f t="shared" si="60"/>
        <v>Lorain</v>
      </c>
      <c r="BP418" s="7" t="b">
        <f t="shared" si="61"/>
        <v>1</v>
      </c>
    </row>
    <row r="419" spans="1:68" ht="12" hidden="1" customHeight="1">
      <c r="A419" s="12" t="s">
        <v>640</v>
      </c>
      <c r="B419" s="12"/>
      <c r="C419" s="12" t="s">
        <v>60</v>
      </c>
      <c r="D419" s="12"/>
      <c r="E419" s="12">
        <v>49726</v>
      </c>
      <c r="AI419" s="12" t="s">
        <v>640</v>
      </c>
      <c r="AJ419" s="12"/>
      <c r="AK419" s="12" t="s">
        <v>60</v>
      </c>
      <c r="AL419" s="12"/>
      <c r="AW419" s="7">
        <v>0</v>
      </c>
      <c r="AY419" s="7">
        <f t="shared" si="69"/>
        <v>0</v>
      </c>
      <c r="BA419" s="7">
        <f>+'St of Activites - GA Rev'!AI419-'St of Activities - GA Exp'!AY419</f>
        <v>0</v>
      </c>
      <c r="BE419" s="7">
        <f t="shared" si="68"/>
        <v>0</v>
      </c>
      <c r="BG419" s="7">
        <f>+'St of Net Assets - GA'!AA419-'St of Activities - GA Exp'!BE419</f>
        <v>0</v>
      </c>
      <c r="BH419" s="7" t="s">
        <v>839</v>
      </c>
      <c r="BL419" s="7" t="str">
        <f t="shared" si="58"/>
        <v>Old Fort Local SD (CASH)</v>
      </c>
      <c r="BM419" s="7" t="b">
        <f t="shared" si="59"/>
        <v>1</v>
      </c>
      <c r="BO419" s="7" t="str">
        <f t="shared" si="60"/>
        <v>Seneca</v>
      </c>
      <c r="BP419" s="7" t="b">
        <f t="shared" si="61"/>
        <v>1</v>
      </c>
    </row>
    <row r="420" spans="1:68">
      <c r="A420" s="12" t="s">
        <v>290</v>
      </c>
      <c r="B420" s="12"/>
      <c r="C420" s="12" t="s">
        <v>23</v>
      </c>
      <c r="D420" s="12"/>
      <c r="E420" s="12">
        <v>46763</v>
      </c>
      <c r="G420" s="7">
        <v>88154533</v>
      </c>
      <c r="I420" s="7">
        <v>18791653</v>
      </c>
      <c r="K420" s="7">
        <v>881778</v>
      </c>
      <c r="M420" s="7">
        <v>0</v>
      </c>
      <c r="O420" s="7">
        <v>0</v>
      </c>
      <c r="Q420" s="7">
        <v>6547426</v>
      </c>
      <c r="S420" s="7">
        <v>9116113</v>
      </c>
      <c r="U420" s="7">
        <v>610703</v>
      </c>
      <c r="W420" s="7">
        <v>7730868</v>
      </c>
      <c r="AA420" s="7">
        <v>3479616</v>
      </c>
      <c r="AC420" s="7">
        <v>15534373</v>
      </c>
      <c r="AE420" s="7">
        <v>8510975</v>
      </c>
      <c r="AG420" s="7">
        <v>3495008</v>
      </c>
      <c r="AI420" s="12" t="s">
        <v>290</v>
      </c>
      <c r="AJ420" s="12"/>
      <c r="AK420" s="12" t="s">
        <v>23</v>
      </c>
      <c r="AL420" s="12"/>
      <c r="AM420" s="7">
        <v>6966666</v>
      </c>
      <c r="AO420" s="7">
        <v>531190</v>
      </c>
      <c r="AQ420" s="7">
        <v>4217340</v>
      </c>
      <c r="AS420" s="7">
        <v>18968861</v>
      </c>
      <c r="AW420" s="7">
        <v>0</v>
      </c>
      <c r="AY420" s="7">
        <f t="shared" si="69"/>
        <v>193537103</v>
      </c>
      <c r="BA420" s="7">
        <f>+'St of Activites - GA Rev'!AI420-'St of Activities - GA Exp'!AY420</f>
        <v>-2621740</v>
      </c>
      <c r="BC420" s="7">
        <v>49726532</v>
      </c>
      <c r="BE420" s="7">
        <f t="shared" si="68"/>
        <v>47104792</v>
      </c>
      <c r="BG420" s="7">
        <f>+'St of Net Assets - GA'!AA420-'St of Activities - GA Exp'!BE420</f>
        <v>0</v>
      </c>
      <c r="BL420" s="7" t="str">
        <f t="shared" si="58"/>
        <v>Olentangy Local SD</v>
      </c>
      <c r="BM420" s="7" t="b">
        <f t="shared" si="59"/>
        <v>1</v>
      </c>
      <c r="BO420" s="7" t="str">
        <f t="shared" si="60"/>
        <v>Delaware</v>
      </c>
      <c r="BP420" s="7" t="b">
        <f t="shared" si="61"/>
        <v>1</v>
      </c>
    </row>
    <row r="421" spans="1:68">
      <c r="A421" s="12" t="s">
        <v>279</v>
      </c>
      <c r="B421" s="12"/>
      <c r="C421" s="12" t="s">
        <v>20</v>
      </c>
      <c r="D421" s="12"/>
      <c r="E421" s="12">
        <v>46573</v>
      </c>
      <c r="G421" s="7">
        <v>17535337</v>
      </c>
      <c r="I421" s="7">
        <v>5739729</v>
      </c>
      <c r="K421" s="7">
        <v>423015</v>
      </c>
      <c r="M421" s="7">
        <v>0</v>
      </c>
      <c r="O421" s="7">
        <v>120927</v>
      </c>
      <c r="Q421" s="7">
        <v>1770678</v>
      </c>
      <c r="S421" s="7">
        <v>1660581</v>
      </c>
      <c r="U421" s="7">
        <v>196701</v>
      </c>
      <c r="W421" s="7">
        <v>2447456</v>
      </c>
      <c r="Y421" s="7">
        <v>1081075</v>
      </c>
      <c r="AA421" s="7">
        <v>2601</v>
      </c>
      <c r="AC421" s="7">
        <v>3643161</v>
      </c>
      <c r="AE421" s="7">
        <v>2495126</v>
      </c>
      <c r="AG421" s="7">
        <v>388408</v>
      </c>
      <c r="AI421" s="12" t="s">
        <v>279</v>
      </c>
      <c r="AJ421" s="12"/>
      <c r="AK421" s="12" t="s">
        <v>20</v>
      </c>
      <c r="AL421" s="12"/>
      <c r="AM421" s="7">
        <v>1229953</v>
      </c>
      <c r="AO421" s="7">
        <v>0</v>
      </c>
      <c r="AQ421" s="7">
        <v>1681021</v>
      </c>
      <c r="AS421" s="7">
        <v>1294799</v>
      </c>
      <c r="AW421" s="7">
        <v>0</v>
      </c>
      <c r="AY421" s="7">
        <f t="shared" si="69"/>
        <v>41710568</v>
      </c>
      <c r="BA421" s="7">
        <f>+'St of Activites - GA Rev'!AI421-'St of Activities - GA Exp'!AY421</f>
        <v>2668824</v>
      </c>
      <c r="BC421" s="7">
        <v>26518916</v>
      </c>
      <c r="BE421" s="7">
        <f t="shared" ref="BE421:BE485" si="76">+BA421+BC421</f>
        <v>29187740</v>
      </c>
      <c r="BG421" s="7">
        <f>+'St of Net Assets - GA'!AA421-'St of Activities - GA Exp'!BE421</f>
        <v>0</v>
      </c>
      <c r="BL421" s="7" t="str">
        <f t="shared" si="58"/>
        <v>Olmsted Falls City SD</v>
      </c>
      <c r="BM421" s="7" t="b">
        <f t="shared" si="59"/>
        <v>1</v>
      </c>
      <c r="BO421" s="7" t="str">
        <f t="shared" si="60"/>
        <v>Cuyahoga</v>
      </c>
      <c r="BP421" s="7" t="b">
        <f t="shared" si="61"/>
        <v>1</v>
      </c>
    </row>
    <row r="422" spans="1:68">
      <c r="A422" s="12" t="s">
        <v>485</v>
      </c>
      <c r="B422" s="12"/>
      <c r="C422" s="12" t="s">
        <v>110</v>
      </c>
      <c r="D422" s="12"/>
      <c r="E422" s="12">
        <v>49478</v>
      </c>
      <c r="G422" s="7">
        <v>7244337</v>
      </c>
      <c r="I422" s="7">
        <v>1483558</v>
      </c>
      <c r="K422" s="7">
        <v>242044</v>
      </c>
      <c r="M422" s="7">
        <v>0</v>
      </c>
      <c r="O422" s="7">
        <v>390809</v>
      </c>
      <c r="Q422" s="7">
        <v>939798</v>
      </c>
      <c r="S422" s="7">
        <v>1032457</v>
      </c>
      <c r="U422" s="7">
        <v>55143</v>
      </c>
      <c r="W422" s="7">
        <v>1368527</v>
      </c>
      <c r="Y422" s="7">
        <v>529280</v>
      </c>
      <c r="AA422" s="7">
        <v>0</v>
      </c>
      <c r="AC422" s="7">
        <v>1792662</v>
      </c>
      <c r="AE422" s="7">
        <v>796573</v>
      </c>
      <c r="AG422" s="7">
        <v>41387</v>
      </c>
      <c r="AI422" s="12" t="s">
        <v>485</v>
      </c>
      <c r="AJ422" s="12"/>
      <c r="AK422" s="12" t="s">
        <v>110</v>
      </c>
      <c r="AL422" s="12"/>
      <c r="AM422" s="7">
        <v>781535</v>
      </c>
      <c r="AO422" s="7">
        <v>5428</v>
      </c>
      <c r="AQ422" s="7">
        <v>848653</v>
      </c>
      <c r="AS422" s="7">
        <v>716278</v>
      </c>
      <c r="AW422" s="7">
        <v>0</v>
      </c>
      <c r="AY422" s="7">
        <f t="shared" si="69"/>
        <v>18268469</v>
      </c>
      <c r="BA422" s="7">
        <f>+'St of Activites - GA Rev'!AI422-'St of Activities - GA Exp'!AY422</f>
        <v>434506</v>
      </c>
      <c r="BC422" s="7">
        <v>14785080</v>
      </c>
      <c r="BE422" s="7">
        <f t="shared" si="76"/>
        <v>15219586</v>
      </c>
      <c r="BG422" s="7">
        <f>+'St of Net Assets - GA'!AA422-'St of Activities - GA Exp'!BE422</f>
        <v>0</v>
      </c>
      <c r="BL422" s="7" t="str">
        <f t="shared" si="58"/>
        <v>Ontario Local SD</v>
      </c>
      <c r="BM422" s="7" t="b">
        <f t="shared" si="59"/>
        <v>1</v>
      </c>
      <c r="BO422" s="7" t="str">
        <f t="shared" si="60"/>
        <v>Richland</v>
      </c>
      <c r="BP422" s="7" t="b">
        <f t="shared" si="61"/>
        <v>1</v>
      </c>
    </row>
    <row r="423" spans="1:68">
      <c r="A423" s="12" t="s">
        <v>280</v>
      </c>
      <c r="B423" s="12"/>
      <c r="C423" s="12" t="s">
        <v>20</v>
      </c>
      <c r="D423" s="12"/>
      <c r="E423" s="12">
        <v>46581</v>
      </c>
      <c r="G423" s="7">
        <v>20300444</v>
      </c>
      <c r="I423" s="7">
        <v>6615112</v>
      </c>
      <c r="K423" s="7">
        <v>373396</v>
      </c>
      <c r="M423" s="7">
        <v>0</v>
      </c>
      <c r="O423" s="7">
        <v>0</v>
      </c>
      <c r="Q423" s="7">
        <v>3816962</v>
      </c>
      <c r="S423" s="7">
        <v>4202438</v>
      </c>
      <c r="U423" s="7">
        <v>167112</v>
      </c>
      <c r="W423" s="7">
        <v>3070697</v>
      </c>
      <c r="Y423" s="7">
        <v>1217573</v>
      </c>
      <c r="AA423" s="7">
        <v>630083</v>
      </c>
      <c r="AC423" s="7">
        <v>4941387</v>
      </c>
      <c r="AE423" s="7">
        <v>3668804</v>
      </c>
      <c r="AG423" s="7">
        <v>1201191</v>
      </c>
      <c r="AI423" s="12" t="s">
        <v>280</v>
      </c>
      <c r="AJ423" s="12"/>
      <c r="AK423" s="12" t="s">
        <v>20</v>
      </c>
      <c r="AL423" s="12"/>
      <c r="AM423" s="7">
        <v>692679</v>
      </c>
      <c r="AO423" s="7">
        <v>755071</v>
      </c>
      <c r="AQ423" s="7">
        <v>1737345</v>
      </c>
      <c r="AS423" s="7">
        <v>1350545</v>
      </c>
      <c r="AW423" s="7">
        <v>0</v>
      </c>
      <c r="AY423" s="7">
        <f t="shared" si="69"/>
        <v>54740839</v>
      </c>
      <c r="BA423" s="7">
        <f>+'St of Activites - GA Rev'!AI423-'St of Activities - GA Exp'!AY423</f>
        <v>-144028</v>
      </c>
      <c r="BC423" s="7">
        <v>53896602</v>
      </c>
      <c r="BE423" s="7">
        <f t="shared" si="76"/>
        <v>53752574</v>
      </c>
      <c r="BG423" s="7">
        <f>+'St of Net Assets - GA'!AA423-'St of Activities - GA Exp'!BE423</f>
        <v>0</v>
      </c>
      <c r="BL423" s="7" t="str">
        <f t="shared" si="58"/>
        <v>Orange City SD</v>
      </c>
      <c r="BM423" s="7" t="b">
        <f t="shared" si="59"/>
        <v>1</v>
      </c>
      <c r="BO423" s="7" t="str">
        <f t="shared" si="60"/>
        <v>Cuyahoga</v>
      </c>
      <c r="BP423" s="7" t="b">
        <f t="shared" si="61"/>
        <v>1</v>
      </c>
    </row>
    <row r="424" spans="1:68" ht="12" customHeight="1">
      <c r="A424" s="12" t="s">
        <v>404</v>
      </c>
      <c r="B424" s="12"/>
      <c r="C424" s="12" t="s">
        <v>115</v>
      </c>
      <c r="D424" s="12"/>
      <c r="E424" s="12">
        <v>44602</v>
      </c>
      <c r="G424" s="7">
        <v>16998141</v>
      </c>
      <c r="I424" s="7">
        <v>4897064</v>
      </c>
      <c r="K424" s="7">
        <v>2795564</v>
      </c>
      <c r="M424" s="7">
        <v>421085</v>
      </c>
      <c r="O424" s="7">
        <v>247899</v>
      </c>
      <c r="Q424" s="7">
        <v>1803593</v>
      </c>
      <c r="S424" s="7">
        <v>3108094</v>
      </c>
      <c r="U424" s="7">
        <v>48545</v>
      </c>
      <c r="W424" s="7">
        <v>3075874</v>
      </c>
      <c r="Y424" s="7">
        <v>838610</v>
      </c>
      <c r="AA424" s="7">
        <v>201031</v>
      </c>
      <c r="AC424" s="7">
        <v>4828451</v>
      </c>
      <c r="AE424" s="7">
        <v>1887124</v>
      </c>
      <c r="AG424" s="7">
        <v>0</v>
      </c>
      <c r="AI424" s="12" t="s">
        <v>404</v>
      </c>
      <c r="AJ424" s="12"/>
      <c r="AK424" s="12" t="s">
        <v>115</v>
      </c>
      <c r="AL424" s="12"/>
      <c r="AM424" s="7">
        <v>1653668</v>
      </c>
      <c r="AO424" s="7">
        <v>377662</v>
      </c>
      <c r="AQ424" s="7">
        <v>1035340</v>
      </c>
      <c r="AS424" s="7">
        <v>1862040</v>
      </c>
      <c r="AW424" s="7">
        <v>0</v>
      </c>
      <c r="AY424" s="7">
        <f t="shared" si="69"/>
        <v>46079785</v>
      </c>
      <c r="BA424" s="7">
        <f>+'St of Activites - GA Rev'!AI424-'St of Activities - GA Exp'!AY424</f>
        <v>3508125</v>
      </c>
      <c r="BC424" s="7">
        <v>22112444</v>
      </c>
      <c r="BE424" s="7">
        <f t="shared" si="76"/>
        <v>25620569</v>
      </c>
      <c r="BG424" s="7">
        <f>+'St of Net Assets - GA'!AA424-'St of Activities - GA Exp'!BE424</f>
        <v>0</v>
      </c>
      <c r="BH424" s="7" t="s">
        <v>951</v>
      </c>
      <c r="BL424" s="7" t="str">
        <f t="shared" si="58"/>
        <v>Oregon City SD</v>
      </c>
      <c r="BM424" s="7" t="b">
        <f t="shared" si="59"/>
        <v>1</v>
      </c>
      <c r="BO424" s="7" t="str">
        <f t="shared" si="60"/>
        <v>Lucas</v>
      </c>
      <c r="BP424" s="7" t="b">
        <f t="shared" si="61"/>
        <v>1</v>
      </c>
    </row>
    <row r="425" spans="1:68" hidden="1">
      <c r="A425" s="12" t="s">
        <v>952</v>
      </c>
      <c r="B425" s="12"/>
      <c r="C425" s="12" t="s">
        <v>71</v>
      </c>
      <c r="D425" s="12"/>
      <c r="E425" s="12">
        <v>44610</v>
      </c>
      <c r="AI425" s="12" t="s">
        <v>952</v>
      </c>
      <c r="AJ425" s="12"/>
      <c r="AK425" s="12" t="s">
        <v>71</v>
      </c>
      <c r="AL425" s="12"/>
      <c r="AW425" s="7">
        <v>0</v>
      </c>
      <c r="AY425" s="7">
        <f t="shared" ref="AY425:AY485" si="77">SUM(G425:AX425)</f>
        <v>0</v>
      </c>
      <c r="BA425" s="7">
        <f>+'St of Activites - GA Rev'!AI425-'St of Activities - GA Exp'!AY425</f>
        <v>0</v>
      </c>
      <c r="BE425" s="7">
        <f t="shared" si="76"/>
        <v>0</v>
      </c>
      <c r="BG425" s="7">
        <f>+'St of Net Assets - GA'!AA425-'St of Activities - GA Exp'!BE425</f>
        <v>0</v>
      </c>
      <c r="BH425" s="7" t="s">
        <v>903</v>
      </c>
      <c r="BL425" s="7" t="str">
        <f t="shared" si="58"/>
        <v>Orrville City SD (CASH)</v>
      </c>
      <c r="BM425" s="7" t="b">
        <f t="shared" si="59"/>
        <v>1</v>
      </c>
      <c r="BO425" s="7" t="str">
        <f t="shared" si="60"/>
        <v>Wayne</v>
      </c>
      <c r="BP425" s="7" t="b">
        <f t="shared" si="61"/>
        <v>1</v>
      </c>
    </row>
    <row r="426" spans="1:68">
      <c r="A426" s="12" t="s">
        <v>519</v>
      </c>
      <c r="B426" s="12"/>
      <c r="C426" s="12" t="s">
        <v>62</v>
      </c>
      <c r="D426" s="12"/>
      <c r="E426" s="12">
        <v>49916</v>
      </c>
      <c r="G426" s="7">
        <v>3723683</v>
      </c>
      <c r="I426" s="7">
        <v>815579</v>
      </c>
      <c r="K426" s="7">
        <v>224416</v>
      </c>
      <c r="M426" s="7">
        <v>0</v>
      </c>
      <c r="O426" s="7">
        <v>821642</v>
      </c>
      <c r="Q426" s="7">
        <v>469029</v>
      </c>
      <c r="S426" s="7">
        <v>385596</v>
      </c>
      <c r="U426" s="7">
        <v>30834</v>
      </c>
      <c r="W426" s="7">
        <v>775212</v>
      </c>
      <c r="Y426" s="7">
        <v>307494</v>
      </c>
      <c r="AA426" s="7">
        <v>12531</v>
      </c>
      <c r="AC426" s="7">
        <v>880655</v>
      </c>
      <c r="AE426" s="7">
        <v>502751</v>
      </c>
      <c r="AG426" s="7">
        <v>173460</v>
      </c>
      <c r="AI426" s="12" t="s">
        <v>519</v>
      </c>
      <c r="AJ426" s="12"/>
      <c r="AK426" s="12" t="s">
        <v>62</v>
      </c>
      <c r="AL426" s="12"/>
      <c r="AM426" s="7">
        <v>352717</v>
      </c>
      <c r="AO426" s="7">
        <v>29695</v>
      </c>
      <c r="AQ426" s="7">
        <v>469366</v>
      </c>
      <c r="AS426" s="7">
        <v>386462</v>
      </c>
      <c r="AW426" s="7">
        <v>0</v>
      </c>
      <c r="AY426" s="7">
        <f t="shared" si="77"/>
        <v>10361122</v>
      </c>
      <c r="BA426" s="7">
        <f>+'St of Activites - GA Rev'!AI426-'St of Activities - GA Exp'!AY426</f>
        <v>-665115</v>
      </c>
      <c r="BC426" s="7">
        <v>23623372</v>
      </c>
      <c r="BE426" s="7">
        <f t="shared" si="76"/>
        <v>22958257</v>
      </c>
      <c r="BG426" s="7">
        <f>+'St of Net Assets - GA'!AA426-'St of Activities - GA Exp'!BE426</f>
        <v>0</v>
      </c>
      <c r="BL426" s="7" t="str">
        <f t="shared" si="58"/>
        <v>Osnaburg Local SD</v>
      </c>
      <c r="BM426" s="7" t="b">
        <f t="shared" si="59"/>
        <v>1</v>
      </c>
      <c r="BO426" s="7" t="str">
        <f t="shared" si="60"/>
        <v>Stark</v>
      </c>
      <c r="BP426" s="7" t="b">
        <f t="shared" si="61"/>
        <v>1</v>
      </c>
    </row>
    <row r="427" spans="1:68">
      <c r="A427" s="12" t="s">
        <v>576</v>
      </c>
      <c r="B427" s="12"/>
      <c r="C427" s="12" t="s">
        <v>72</v>
      </c>
      <c r="D427" s="12"/>
      <c r="E427" s="12">
        <v>50724</v>
      </c>
      <c r="G427" s="7">
        <v>7066955</v>
      </c>
      <c r="I427" s="7">
        <v>2249421</v>
      </c>
      <c r="K427" s="7">
        <v>39254</v>
      </c>
      <c r="M427" s="7">
        <v>0</v>
      </c>
      <c r="O427" s="7">
        <v>0</v>
      </c>
      <c r="Q427" s="7">
        <v>754381</v>
      </c>
      <c r="S427" s="7">
        <v>323390</v>
      </c>
      <c r="U427" s="7">
        <v>38740</v>
      </c>
      <c r="W427" s="7">
        <v>1110786</v>
      </c>
      <c r="Y427" s="7">
        <v>369004</v>
      </c>
      <c r="AA427" s="7">
        <v>6014</v>
      </c>
      <c r="AC427" s="7">
        <v>968430</v>
      </c>
      <c r="AE427" s="7">
        <v>973567</v>
      </c>
      <c r="AG427" s="7">
        <v>367</v>
      </c>
      <c r="AI427" s="12" t="s">
        <v>576</v>
      </c>
      <c r="AJ427" s="12"/>
      <c r="AK427" s="12" t="s">
        <v>72</v>
      </c>
      <c r="AL427" s="12"/>
      <c r="AM427" s="7">
        <v>0</v>
      </c>
      <c r="AO427" s="7">
        <v>661766</v>
      </c>
      <c r="AQ427" s="7">
        <v>420152</v>
      </c>
      <c r="AS427" s="7">
        <v>869649</v>
      </c>
      <c r="AW427" s="7">
        <v>0</v>
      </c>
      <c r="AY427" s="7">
        <f t="shared" si="77"/>
        <v>15851876</v>
      </c>
      <c r="BA427" s="7">
        <f>+'St of Activites - GA Rev'!AI427-'St of Activities - GA Exp'!AY427</f>
        <v>1214883</v>
      </c>
      <c r="BC427" s="7">
        <v>26789904</v>
      </c>
      <c r="BE427" s="7">
        <f t="shared" si="76"/>
        <v>28004787</v>
      </c>
      <c r="BG427" s="7">
        <f>+'St of Net Assets - GA'!AA427-'St of Activities - GA Exp'!BE427</f>
        <v>0</v>
      </c>
      <c r="BL427" s="7" t="str">
        <f t="shared" si="58"/>
        <v>Otsego Local SD</v>
      </c>
      <c r="BM427" s="7" t="b">
        <f t="shared" si="59"/>
        <v>1</v>
      </c>
      <c r="BO427" s="7" t="str">
        <f t="shared" si="60"/>
        <v>Wood</v>
      </c>
      <c r="BP427" s="7" t="b">
        <f t="shared" si="61"/>
        <v>1</v>
      </c>
    </row>
    <row r="428" spans="1:68">
      <c r="A428" s="12" t="s">
        <v>405</v>
      </c>
      <c r="B428" s="12"/>
      <c r="C428" s="12" t="s">
        <v>115</v>
      </c>
      <c r="D428" s="12"/>
      <c r="E428" s="12">
        <v>48215</v>
      </c>
      <c r="G428" s="7">
        <v>9634493</v>
      </c>
      <c r="K428" s="7">
        <v>0</v>
      </c>
      <c r="M428" s="7">
        <v>0</v>
      </c>
      <c r="O428" s="7">
        <v>0</v>
      </c>
      <c r="Q428" s="7">
        <v>720800</v>
      </c>
      <c r="S428" s="7">
        <v>462505</v>
      </c>
      <c r="U428" s="7">
        <v>22760</v>
      </c>
      <c r="W428" s="7">
        <v>992335</v>
      </c>
      <c r="Y428" s="7">
        <v>469780</v>
      </c>
      <c r="AA428" s="7">
        <v>0</v>
      </c>
      <c r="AC428" s="7">
        <v>1196856</v>
      </c>
      <c r="AE428" s="7">
        <v>24898</v>
      </c>
      <c r="AG428" s="7">
        <v>65867</v>
      </c>
      <c r="AI428" s="12" t="s">
        <v>405</v>
      </c>
      <c r="AJ428" s="12"/>
      <c r="AK428" s="12" t="s">
        <v>115</v>
      </c>
      <c r="AL428" s="12"/>
      <c r="AM428" s="7">
        <v>0</v>
      </c>
      <c r="AO428" s="7">
        <v>339062</v>
      </c>
      <c r="AQ428" s="7">
        <v>797865</v>
      </c>
      <c r="AS428" s="7">
        <v>61838</v>
      </c>
      <c r="AW428" s="7">
        <v>0</v>
      </c>
      <c r="AY428" s="7">
        <f t="shared" si="77"/>
        <v>14789059</v>
      </c>
      <c r="BA428" s="7">
        <f>+'St of Activites - GA Rev'!AI428-'St of Activities - GA Exp'!AY428</f>
        <v>113567</v>
      </c>
      <c r="BC428" s="7">
        <v>6243355</v>
      </c>
      <c r="BE428" s="7">
        <f t="shared" si="76"/>
        <v>6356922</v>
      </c>
      <c r="BG428" s="7">
        <f>+'St of Net Assets - GA'!AA428-'St of Activities - GA Exp'!BE428</f>
        <v>0</v>
      </c>
      <c r="BH428" s="7" t="s">
        <v>807</v>
      </c>
      <c r="BL428" s="7" t="str">
        <f t="shared" si="58"/>
        <v>Ottawa Hills Local SD</v>
      </c>
      <c r="BM428" s="7" t="b">
        <f t="shared" si="59"/>
        <v>1</v>
      </c>
      <c r="BO428" s="7" t="str">
        <f t="shared" si="60"/>
        <v>Lucas</v>
      </c>
      <c r="BP428" s="7" t="b">
        <f t="shared" si="61"/>
        <v>1</v>
      </c>
    </row>
    <row r="429" spans="1:68" ht="12" hidden="1" customHeight="1">
      <c r="A429" s="12" t="s">
        <v>749</v>
      </c>
      <c r="B429" s="12"/>
      <c r="C429" s="12" t="s">
        <v>482</v>
      </c>
      <c r="D429" s="12"/>
      <c r="E429" s="12">
        <v>49379</v>
      </c>
      <c r="AI429" s="12" t="s">
        <v>749</v>
      </c>
      <c r="AJ429" s="12"/>
      <c r="AK429" s="12" t="s">
        <v>482</v>
      </c>
      <c r="AL429" s="12"/>
      <c r="AW429" s="7">
        <v>0</v>
      </c>
      <c r="AY429" s="7">
        <f t="shared" si="77"/>
        <v>0</v>
      </c>
      <c r="BA429" s="7">
        <f>+'St of Activites - GA Rev'!AI429-'St of Activities - GA Exp'!AY429</f>
        <v>0</v>
      </c>
      <c r="BE429" s="7">
        <f t="shared" si="76"/>
        <v>0</v>
      </c>
      <c r="BG429" s="7">
        <f>+'St of Net Assets - GA'!AA429-'St of Activities - GA Exp'!BE429</f>
        <v>0</v>
      </c>
      <c r="BH429" s="7" t="s">
        <v>953</v>
      </c>
      <c r="BL429" s="7" t="str">
        <f t="shared" si="58"/>
        <v>Ottawa-Glandorf Local SD (CASH)</v>
      </c>
      <c r="BM429" s="7" t="b">
        <f t="shared" si="59"/>
        <v>1</v>
      </c>
      <c r="BO429" s="7" t="str">
        <f t="shared" si="60"/>
        <v>Putnam</v>
      </c>
      <c r="BP429" s="7" t="b">
        <f t="shared" si="61"/>
        <v>1</v>
      </c>
    </row>
    <row r="430" spans="1:68" ht="12" hidden="1" customHeight="1">
      <c r="A430" s="12" t="s">
        <v>955</v>
      </c>
      <c r="B430" s="12"/>
      <c r="C430" s="12" t="s">
        <v>482</v>
      </c>
      <c r="D430" s="12"/>
      <c r="E430" s="12">
        <v>49387</v>
      </c>
      <c r="AI430" s="12" t="s">
        <v>955</v>
      </c>
      <c r="AJ430" s="12"/>
      <c r="AK430" s="12" t="s">
        <v>482</v>
      </c>
      <c r="AL430" s="12"/>
      <c r="AW430" s="7">
        <v>0</v>
      </c>
      <c r="AY430" s="7">
        <f t="shared" si="77"/>
        <v>0</v>
      </c>
      <c r="BA430" s="7">
        <f>+'St of Activites - GA Rev'!AI430-'St of Activities - GA Exp'!AY430</f>
        <v>0</v>
      </c>
      <c r="BE430" s="7">
        <f t="shared" si="76"/>
        <v>0</v>
      </c>
      <c r="BG430" s="7">
        <f>+'St of Net Assets - GA'!AA430-'St of Activities - GA Exp'!BE430</f>
        <v>0</v>
      </c>
      <c r="BH430" s="7" t="s">
        <v>954</v>
      </c>
      <c r="BL430" s="7" t="str">
        <f t="shared" si="58"/>
        <v>Ottoville Local SD (NO REPORT) (Two year Audit)</v>
      </c>
      <c r="BM430" s="7" t="b">
        <f t="shared" si="59"/>
        <v>1</v>
      </c>
      <c r="BO430" s="7" t="str">
        <f t="shared" si="60"/>
        <v>Putnam</v>
      </c>
      <c r="BP430" s="7" t="b">
        <f t="shared" si="61"/>
        <v>1</v>
      </c>
    </row>
    <row r="431" spans="1:68" hidden="1">
      <c r="A431" s="12" t="s">
        <v>956</v>
      </c>
      <c r="B431" s="12"/>
      <c r="C431" s="12" t="s">
        <v>41</v>
      </c>
      <c r="D431" s="12"/>
      <c r="E431" s="12">
        <v>44628</v>
      </c>
      <c r="AI431" s="12" t="s">
        <v>956</v>
      </c>
      <c r="AJ431" s="12"/>
      <c r="AK431" s="12" t="s">
        <v>41</v>
      </c>
      <c r="AL431" s="12"/>
      <c r="AW431" s="7">
        <v>0</v>
      </c>
      <c r="AY431" s="7">
        <f t="shared" si="77"/>
        <v>0</v>
      </c>
      <c r="BA431" s="7">
        <f>+'St of Activites - GA Rev'!AI431-'St of Activities - GA Exp'!AY431</f>
        <v>0</v>
      </c>
      <c r="BE431" s="7">
        <f t="shared" si="76"/>
        <v>0</v>
      </c>
      <c r="BG431" s="7">
        <f>+'St of Net Assets - GA'!AA431-'St of Activities - GA Exp'!BE431</f>
        <v>0</v>
      </c>
      <c r="BH431" s="7" t="s">
        <v>903</v>
      </c>
      <c r="BL431" s="7" t="str">
        <f t="shared" si="58"/>
        <v>Painesville City Local SD (CASH)</v>
      </c>
      <c r="BM431" s="7" t="b">
        <f t="shared" si="59"/>
        <v>1</v>
      </c>
      <c r="BO431" s="7" t="str">
        <f t="shared" si="60"/>
        <v>Lake</v>
      </c>
      <c r="BP431" s="7" t="b">
        <f t="shared" si="61"/>
        <v>1</v>
      </c>
    </row>
    <row r="432" spans="1:68" ht="12" hidden="1" customHeight="1">
      <c r="A432" s="12" t="s">
        <v>893</v>
      </c>
      <c r="B432" s="12"/>
      <c r="C432" s="12" t="s">
        <v>41</v>
      </c>
      <c r="D432" s="12"/>
      <c r="E432" s="12">
        <v>47894</v>
      </c>
      <c r="AI432" s="12" t="s">
        <v>893</v>
      </c>
      <c r="AJ432" s="12"/>
      <c r="AK432" s="12" t="s">
        <v>41</v>
      </c>
      <c r="AL432" s="12"/>
      <c r="AW432" s="7">
        <v>0</v>
      </c>
      <c r="AY432" s="7">
        <f t="shared" si="77"/>
        <v>0</v>
      </c>
      <c r="BA432" s="7">
        <f>+'St of Activites - GA Rev'!AI432-'St of Activities - GA Exp'!AY432</f>
        <v>0</v>
      </c>
      <c r="BE432" s="7">
        <f t="shared" si="76"/>
        <v>0</v>
      </c>
      <c r="BG432" s="7">
        <f>+'St of Net Assets - GA'!AA432-'St of Activities - GA Exp'!BE432</f>
        <v>0</v>
      </c>
      <c r="BH432" s="7" t="s">
        <v>790</v>
      </c>
      <c r="BL432" s="7" t="str">
        <f t="shared" si="58"/>
        <v>Painesville Township Local SD - now RIVERSIDE LOCAL SCHOOL DISTRICT since 2007</v>
      </c>
      <c r="BM432" s="7" t="b">
        <f t="shared" si="59"/>
        <v>1</v>
      </c>
      <c r="BO432" s="7" t="str">
        <f t="shared" si="60"/>
        <v>Lake</v>
      </c>
      <c r="BP432" s="7" t="b">
        <f t="shared" si="61"/>
        <v>1</v>
      </c>
    </row>
    <row r="433" spans="1:68" ht="12" customHeight="1">
      <c r="A433" s="12" t="s">
        <v>490</v>
      </c>
      <c r="B433" s="12"/>
      <c r="C433" s="12" t="s">
        <v>58</v>
      </c>
      <c r="D433" s="12"/>
      <c r="E433" s="12">
        <v>49510</v>
      </c>
      <c r="G433" s="7">
        <v>5431662</v>
      </c>
      <c r="I433" s="7">
        <v>1955752</v>
      </c>
      <c r="K433" s="7">
        <v>2010</v>
      </c>
      <c r="M433" s="7">
        <v>0</v>
      </c>
      <c r="O433" s="7">
        <v>958986</v>
      </c>
      <c r="Q433" s="7">
        <v>325007</v>
      </c>
      <c r="S433" s="7">
        <v>163591</v>
      </c>
      <c r="U433" s="7">
        <v>136088</v>
      </c>
      <c r="W433" s="7">
        <v>660680</v>
      </c>
      <c r="Y433" s="7">
        <v>292891</v>
      </c>
      <c r="AA433" s="7">
        <v>0</v>
      </c>
      <c r="AC433" s="7">
        <v>1205596</v>
      </c>
      <c r="AE433" s="7">
        <v>619007</v>
      </c>
      <c r="AG433" s="7">
        <v>0</v>
      </c>
      <c r="AI433" s="12" t="s">
        <v>490</v>
      </c>
      <c r="AJ433" s="12"/>
      <c r="AK433" s="12" t="s">
        <v>58</v>
      </c>
      <c r="AL433" s="12"/>
      <c r="AM433" s="7">
        <v>0</v>
      </c>
      <c r="AO433" s="7">
        <v>342514</v>
      </c>
      <c r="AQ433" s="7">
        <v>369757</v>
      </c>
      <c r="AS433" s="7">
        <v>73252</v>
      </c>
      <c r="AW433" s="7">
        <v>0</v>
      </c>
      <c r="AY433" s="7">
        <f t="shared" si="77"/>
        <v>12536793</v>
      </c>
      <c r="BA433" s="7">
        <f>+'St of Activites - GA Rev'!AI433-'St of Activities - GA Exp'!AY433</f>
        <v>-1333066</v>
      </c>
      <c r="BC433" s="7">
        <v>20885894</v>
      </c>
      <c r="BE433" s="7">
        <f t="shared" si="76"/>
        <v>19552828</v>
      </c>
      <c r="BG433" s="7">
        <f>+'St of Net Assets - GA'!AA433-'St of Activities - GA Exp'!BE433</f>
        <v>0</v>
      </c>
      <c r="BL433" s="7" t="str">
        <f t="shared" si="58"/>
        <v>Paint Valley Local SD</v>
      </c>
      <c r="BM433" s="7" t="b">
        <f t="shared" si="59"/>
        <v>1</v>
      </c>
      <c r="BO433" s="7" t="str">
        <f t="shared" si="60"/>
        <v>Ross</v>
      </c>
      <c r="BP433" s="7" t="b">
        <f t="shared" si="61"/>
        <v>1</v>
      </c>
    </row>
    <row r="434" spans="1:68" ht="12" hidden="1" customHeight="1">
      <c r="A434" s="12" t="s">
        <v>722</v>
      </c>
      <c r="B434" s="12"/>
      <c r="C434" s="12" t="s">
        <v>482</v>
      </c>
      <c r="D434" s="12"/>
      <c r="E434" s="12">
        <v>49395</v>
      </c>
      <c r="AI434" s="12" t="s">
        <v>722</v>
      </c>
      <c r="AJ434" s="12"/>
      <c r="AK434" s="12" t="s">
        <v>482</v>
      </c>
      <c r="AL434" s="12"/>
      <c r="AW434" s="7">
        <v>0</v>
      </c>
      <c r="AY434" s="7">
        <f t="shared" si="77"/>
        <v>0</v>
      </c>
      <c r="BA434" s="7">
        <f>+'St of Activites - GA Rev'!AI434-'St of Activities - GA Exp'!AY434</f>
        <v>0</v>
      </c>
      <c r="BE434" s="7">
        <f t="shared" si="76"/>
        <v>0</v>
      </c>
      <c r="BG434" s="7">
        <f>+'St of Net Assets - GA'!AA434-'St of Activities - GA Exp'!BE434</f>
        <v>0</v>
      </c>
      <c r="BH434" s="7" t="s">
        <v>958</v>
      </c>
      <c r="BL434" s="7" t="str">
        <f t="shared" si="58"/>
        <v>Pandora-Gilboa Local SD (CASH)  (Two year Audit)</v>
      </c>
      <c r="BM434" s="7" t="b">
        <f t="shared" si="59"/>
        <v>1</v>
      </c>
      <c r="BO434" s="7" t="str">
        <f t="shared" si="60"/>
        <v>Putnam</v>
      </c>
      <c r="BP434" s="7" t="b">
        <f t="shared" si="61"/>
        <v>1</v>
      </c>
    </row>
    <row r="435" spans="1:68" ht="12" hidden="1" customHeight="1">
      <c r="A435" s="12" t="s">
        <v>723</v>
      </c>
      <c r="B435" s="12"/>
      <c r="C435" s="12" t="s">
        <v>435</v>
      </c>
      <c r="D435" s="12"/>
      <c r="E435" s="12">
        <v>48579</v>
      </c>
      <c r="AI435" s="12" t="s">
        <v>723</v>
      </c>
      <c r="AJ435" s="12"/>
      <c r="AK435" s="12" t="s">
        <v>435</v>
      </c>
      <c r="AL435" s="12"/>
      <c r="AW435" s="7">
        <v>0</v>
      </c>
      <c r="AY435" s="7">
        <f t="shared" si="77"/>
        <v>0</v>
      </c>
      <c r="BA435" s="7">
        <f>+'St of Activites - GA Rev'!AI435-'St of Activities - GA Exp'!AY435</f>
        <v>0</v>
      </c>
      <c r="BE435" s="7">
        <f t="shared" si="76"/>
        <v>0</v>
      </c>
      <c r="BG435" s="7">
        <f>+'St of Net Assets - GA'!AA435-'St of Activities - GA Exp'!BE435</f>
        <v>0</v>
      </c>
      <c r="BH435" s="7" t="s">
        <v>839</v>
      </c>
      <c r="BL435" s="7" t="str">
        <f t="shared" si="58"/>
        <v>Parkway Local SD (CASH) (Two year Audit)</v>
      </c>
      <c r="BM435" s="7" t="b">
        <f t="shared" si="59"/>
        <v>1</v>
      </c>
      <c r="BO435" s="7" t="str">
        <f t="shared" si="60"/>
        <v>Mercer</v>
      </c>
      <c r="BP435" s="7" t="b">
        <f t="shared" si="61"/>
        <v>1</v>
      </c>
    </row>
    <row r="436" spans="1:68">
      <c r="A436" s="12" t="s">
        <v>281</v>
      </c>
      <c r="B436" s="12"/>
      <c r="C436" s="12" t="s">
        <v>20</v>
      </c>
      <c r="D436" s="12"/>
      <c r="E436" s="12">
        <v>44636</v>
      </c>
      <c r="G436" s="7">
        <v>57106532</v>
      </c>
      <c r="I436" s="7">
        <v>20989772</v>
      </c>
      <c r="K436" s="7">
        <v>2822663</v>
      </c>
      <c r="M436" s="7">
        <v>698677</v>
      </c>
      <c r="O436" s="7">
        <v>122201</v>
      </c>
      <c r="Q436" s="7">
        <v>10343629</v>
      </c>
      <c r="S436" s="7">
        <v>7702655</v>
      </c>
      <c r="U436" s="7">
        <v>710352</v>
      </c>
      <c r="W436" s="7">
        <v>10482166</v>
      </c>
      <c r="Y436" s="7">
        <v>2939241</v>
      </c>
      <c r="AA436" s="7">
        <v>1245301</v>
      </c>
      <c r="AC436" s="7">
        <v>10258786</v>
      </c>
      <c r="AE436" s="7">
        <v>6160902</v>
      </c>
      <c r="AG436" s="7">
        <v>3238350</v>
      </c>
      <c r="AI436" s="12" t="s">
        <v>281</v>
      </c>
      <c r="AJ436" s="12"/>
      <c r="AK436" s="12" t="s">
        <v>20</v>
      </c>
      <c r="AL436" s="12"/>
      <c r="AM436" s="7">
        <v>0</v>
      </c>
      <c r="AO436" s="7">
        <v>4097992</v>
      </c>
      <c r="AQ436" s="7">
        <v>2455056</v>
      </c>
      <c r="AS436" s="7">
        <v>1773983</v>
      </c>
      <c r="AW436" s="7">
        <v>0</v>
      </c>
      <c r="AY436" s="7">
        <f t="shared" si="77"/>
        <v>143148258</v>
      </c>
      <c r="BA436" s="7">
        <f>+'St of Activites - GA Rev'!AI436-'St of Activities - GA Exp'!AY436</f>
        <v>10071679</v>
      </c>
      <c r="BC436" s="7">
        <v>31364671</v>
      </c>
      <c r="BE436" s="7">
        <f t="shared" si="76"/>
        <v>41436350</v>
      </c>
      <c r="BG436" s="7">
        <f>+'St of Net Assets - GA'!AA436-'St of Activities - GA Exp'!BE436</f>
        <v>0</v>
      </c>
      <c r="BH436" s="7" t="s">
        <v>951</v>
      </c>
      <c r="BL436" s="7" t="str">
        <f t="shared" si="58"/>
        <v>Parma City SD</v>
      </c>
      <c r="BM436" s="7" t="b">
        <f t="shared" si="59"/>
        <v>1</v>
      </c>
      <c r="BO436" s="7" t="str">
        <f t="shared" si="60"/>
        <v>Cuyahoga</v>
      </c>
      <c r="BP436" s="7" t="b">
        <f t="shared" si="61"/>
        <v>1</v>
      </c>
    </row>
    <row r="437" spans="1:68">
      <c r="A437" s="12" t="s">
        <v>357</v>
      </c>
      <c r="B437" s="12"/>
      <c r="C437" s="12" t="s">
        <v>34</v>
      </c>
      <c r="D437" s="12"/>
      <c r="E437" s="12">
        <v>47597</v>
      </c>
      <c r="G437" s="7">
        <v>4542615</v>
      </c>
      <c r="I437" s="7">
        <v>1209337</v>
      </c>
      <c r="K437" s="7">
        <v>8394</v>
      </c>
      <c r="M437" s="7">
        <v>0</v>
      </c>
      <c r="O437" s="7">
        <f>225+469794</f>
        <v>470019</v>
      </c>
      <c r="Q437" s="7">
        <v>476831</v>
      </c>
      <c r="S437" s="7">
        <v>586789</v>
      </c>
      <c r="U437" s="7">
        <v>32335</v>
      </c>
      <c r="W437" s="7">
        <v>1042479</v>
      </c>
      <c r="Y437" s="7">
        <v>369641</v>
      </c>
      <c r="AA437" s="7">
        <v>144158</v>
      </c>
      <c r="AC437" s="7">
        <v>925675</v>
      </c>
      <c r="AE437" s="7">
        <v>537184</v>
      </c>
      <c r="AG437" s="7">
        <v>193787</v>
      </c>
      <c r="AI437" s="12" t="s">
        <v>357</v>
      </c>
      <c r="AJ437" s="12"/>
      <c r="AK437" s="12" t="s">
        <v>34</v>
      </c>
      <c r="AL437" s="12"/>
      <c r="AM437" s="7">
        <v>0</v>
      </c>
      <c r="AO437" s="7">
        <v>468372</v>
      </c>
      <c r="AQ437" s="7">
        <v>447948</v>
      </c>
      <c r="AS437" s="7">
        <v>311501</v>
      </c>
      <c r="AW437" s="7">
        <v>90337</v>
      </c>
      <c r="AY437" s="7">
        <f t="shared" si="77"/>
        <v>11857402</v>
      </c>
      <c r="BA437" s="7">
        <f>+'St of Activites - GA Rev'!AI437-'St of Activities - GA Exp'!AY437</f>
        <v>-51953</v>
      </c>
      <c r="BC437" s="7">
        <v>11285670</v>
      </c>
      <c r="BE437" s="7">
        <f t="shared" si="76"/>
        <v>11233717</v>
      </c>
      <c r="BG437" s="7">
        <f>+'St of Net Assets - GA'!AA437-'St of Activities - GA Exp'!BE437</f>
        <v>0</v>
      </c>
      <c r="BH437" s="7" t="s">
        <v>957</v>
      </c>
      <c r="BL437" s="7" t="str">
        <f t="shared" si="58"/>
        <v>Patrick Henry Local SD</v>
      </c>
      <c r="BM437" s="7" t="b">
        <f t="shared" si="59"/>
        <v>1</v>
      </c>
      <c r="BO437" s="7" t="str">
        <f t="shared" si="60"/>
        <v>Henry</v>
      </c>
      <c r="BP437" s="7" t="b">
        <f t="shared" si="61"/>
        <v>1</v>
      </c>
    </row>
    <row r="438" spans="1:68" ht="12" hidden="1" customHeight="1">
      <c r="A438" s="12" t="s">
        <v>884</v>
      </c>
      <c r="B438" s="12"/>
      <c r="C438" s="12" t="s">
        <v>465</v>
      </c>
      <c r="D438" s="12"/>
      <c r="E438" s="12">
        <v>45575</v>
      </c>
      <c r="AI438" s="12" t="s">
        <v>884</v>
      </c>
      <c r="AJ438" s="12"/>
      <c r="AK438" s="12" t="s">
        <v>465</v>
      </c>
      <c r="AL438" s="12"/>
      <c r="AY438" s="7">
        <f>SUM(G438:AX438)</f>
        <v>0</v>
      </c>
      <c r="BA438" s="7">
        <f>+'St of Activites - GA Rev'!AI438-'St of Activities - GA Exp'!AY438</f>
        <v>0</v>
      </c>
      <c r="BE438" s="7">
        <f t="shared" si="76"/>
        <v>0</v>
      </c>
      <c r="BG438" s="7">
        <f>+'St of Net Assets - GA'!AA438-'St of Activities - GA Exp'!BE438</f>
        <v>0</v>
      </c>
      <c r="BH438" s="7" t="s">
        <v>839</v>
      </c>
      <c r="BL438" s="7" t="str">
        <f t="shared" si="58"/>
        <v>Paulding Exempted Village SD (CASH)</v>
      </c>
      <c r="BM438" s="7" t="b">
        <f t="shared" si="59"/>
        <v>1</v>
      </c>
      <c r="BO438" s="7" t="str">
        <f t="shared" si="60"/>
        <v>Paulding</v>
      </c>
      <c r="BP438" s="7" t="b">
        <f t="shared" si="61"/>
        <v>1</v>
      </c>
    </row>
    <row r="439" spans="1:68">
      <c r="A439" s="12" t="s">
        <v>295</v>
      </c>
      <c r="B439" s="12"/>
      <c r="C439" s="12" t="s">
        <v>24</v>
      </c>
      <c r="D439" s="12"/>
      <c r="E439" s="12">
        <v>46813</v>
      </c>
      <c r="G439" s="7">
        <v>11564985</v>
      </c>
      <c r="I439" s="7">
        <v>3618217</v>
      </c>
      <c r="K439" s="7">
        <v>203548</v>
      </c>
      <c r="M439" s="7">
        <v>0</v>
      </c>
      <c r="O439" s="7">
        <v>628402</v>
      </c>
      <c r="Q439" s="7">
        <v>1666212</v>
      </c>
      <c r="S439" s="7">
        <v>3410467</v>
      </c>
      <c r="U439" s="7">
        <v>38294</v>
      </c>
      <c r="W439" s="7">
        <v>1688830</v>
      </c>
      <c r="Y439" s="7">
        <v>546482</v>
      </c>
      <c r="AA439" s="7">
        <v>21480</v>
      </c>
      <c r="AC439" s="7">
        <v>1993807</v>
      </c>
      <c r="AE439" s="7">
        <v>1004304</v>
      </c>
      <c r="AG439" s="7">
        <v>107110</v>
      </c>
      <c r="AI439" s="12" t="s">
        <v>295</v>
      </c>
      <c r="AJ439" s="12"/>
      <c r="AK439" s="12" t="s">
        <v>24</v>
      </c>
      <c r="AL439" s="12"/>
      <c r="AM439" s="7">
        <v>968170</v>
      </c>
      <c r="AO439" s="7">
        <v>52112</v>
      </c>
      <c r="AQ439" s="7">
        <v>677949</v>
      </c>
      <c r="AS439" s="7">
        <v>120803</v>
      </c>
      <c r="AW439" s="7">
        <v>0</v>
      </c>
      <c r="AY439" s="7">
        <f>SUM(G439:AX439)</f>
        <v>28311172</v>
      </c>
      <c r="BA439" s="7">
        <f>+'St of Activites - GA Rev'!AI439-'St of Activities - GA Exp'!AY439</f>
        <v>-1456768</v>
      </c>
      <c r="BC439" s="7">
        <v>15035000</v>
      </c>
      <c r="BE439" s="7">
        <f t="shared" si="76"/>
        <v>13578232</v>
      </c>
      <c r="BG439" s="7">
        <f>+'St of Net Assets - GA'!AA439-'St of Activities - GA Exp'!BE439</f>
        <v>0</v>
      </c>
      <c r="BL439" s="7" t="str">
        <f t="shared" si="58"/>
        <v>Perkins Local SD</v>
      </c>
      <c r="BM439" s="7" t="b">
        <f t="shared" si="59"/>
        <v>1</v>
      </c>
      <c r="BO439" s="7" t="str">
        <f t="shared" si="60"/>
        <v>Erie</v>
      </c>
      <c r="BP439" s="7" t="b">
        <f t="shared" si="61"/>
        <v>1</v>
      </c>
    </row>
    <row r="440" spans="1:68" hidden="1">
      <c r="A440" s="12" t="s">
        <v>724</v>
      </c>
      <c r="B440" s="12"/>
      <c r="C440" s="12" t="s">
        <v>10</v>
      </c>
      <c r="D440" s="12"/>
      <c r="E440" s="12"/>
      <c r="AI440" s="12" t="s">
        <v>724</v>
      </c>
      <c r="AJ440" s="12"/>
      <c r="AK440" s="12" t="s">
        <v>10</v>
      </c>
      <c r="AL440" s="12"/>
      <c r="AW440" s="7">
        <v>0</v>
      </c>
      <c r="AY440" s="7">
        <f>SUM(G440:AX440)</f>
        <v>0</v>
      </c>
      <c r="BA440" s="7">
        <f>+'St of Activites - GA Rev'!AI440-'St of Activities - GA Exp'!AY440</f>
        <v>0</v>
      </c>
      <c r="BE440" s="7">
        <f t="shared" si="76"/>
        <v>0</v>
      </c>
      <c r="BG440" s="7">
        <f>+'St of Net Assets - GA'!AA440-'St of Activities - GA Exp'!BE440</f>
        <v>0</v>
      </c>
      <c r="BH440" s="7" t="s">
        <v>959</v>
      </c>
      <c r="BL440" s="7" t="str">
        <f t="shared" si="58"/>
        <v>Perry Local SD (CASH)</v>
      </c>
      <c r="BM440" s="7" t="b">
        <f t="shared" si="59"/>
        <v>1</v>
      </c>
      <c r="BO440" s="7" t="str">
        <f t="shared" si="60"/>
        <v>Allen</v>
      </c>
      <c r="BP440" s="7" t="b">
        <f t="shared" si="61"/>
        <v>1</v>
      </c>
    </row>
    <row r="441" spans="1:68" ht="12" customHeight="1">
      <c r="A441" s="12" t="s">
        <v>203</v>
      </c>
      <c r="B441" s="12"/>
      <c r="C441" s="12" t="s">
        <v>41</v>
      </c>
      <c r="D441" s="12"/>
      <c r="E441" s="12">
        <v>47902</v>
      </c>
      <c r="G441" s="7">
        <v>14105672</v>
      </c>
      <c r="I441" s="7">
        <v>633158</v>
      </c>
      <c r="K441" s="7">
        <v>62497</v>
      </c>
      <c r="M441" s="7">
        <v>0</v>
      </c>
      <c r="O441" s="7">
        <v>1704570</v>
      </c>
      <c r="Q441" s="7">
        <v>1474901</v>
      </c>
      <c r="S441" s="7">
        <v>1381177</v>
      </c>
      <c r="U441" s="7">
        <v>97586</v>
      </c>
      <c r="W441" s="7">
        <v>1393757</v>
      </c>
      <c r="Y441" s="7">
        <v>674297</v>
      </c>
      <c r="AA441" s="7">
        <v>207607</v>
      </c>
      <c r="AC441" s="7">
        <v>4185579</v>
      </c>
      <c r="AE441" s="7">
        <v>1288372</v>
      </c>
      <c r="AG441" s="7">
        <v>20091</v>
      </c>
      <c r="AI441" s="12" t="s">
        <v>203</v>
      </c>
      <c r="AJ441" s="12"/>
      <c r="AK441" s="12" t="s">
        <v>41</v>
      </c>
      <c r="AL441" s="12"/>
      <c r="AM441" s="7">
        <v>883893</v>
      </c>
      <c r="AO441" s="7">
        <f>177849+80396</f>
        <v>258245</v>
      </c>
      <c r="AQ441" s="7">
        <v>1429181</v>
      </c>
      <c r="AS441" s="7">
        <v>51004</v>
      </c>
      <c r="AW441" s="7">
        <v>0</v>
      </c>
      <c r="AY441" s="7">
        <f t="shared" si="77"/>
        <v>29851587</v>
      </c>
      <c r="BA441" s="7">
        <f>+'St of Activites - GA Rev'!AI441-'St of Activities - GA Exp'!AY441</f>
        <v>-134586</v>
      </c>
      <c r="BC441" s="7">
        <v>78317655</v>
      </c>
      <c r="BE441" s="7">
        <f t="shared" si="76"/>
        <v>78183069</v>
      </c>
      <c r="BG441" s="7">
        <f>+'St of Net Assets - GA'!AA441-'St of Activities - GA Exp'!BE441</f>
        <v>0</v>
      </c>
      <c r="BL441" s="7" t="str">
        <f t="shared" si="58"/>
        <v>Perry Local SD</v>
      </c>
      <c r="BM441" s="7" t="b">
        <f t="shared" si="59"/>
        <v>1</v>
      </c>
      <c r="BO441" s="7" t="str">
        <f t="shared" si="60"/>
        <v>Lake</v>
      </c>
      <c r="BP441" s="7" t="b">
        <f t="shared" si="61"/>
        <v>1</v>
      </c>
    </row>
    <row r="442" spans="1:68">
      <c r="A442" s="12" t="s">
        <v>203</v>
      </c>
      <c r="B442" s="12"/>
      <c r="C442" s="12" t="s">
        <v>62</v>
      </c>
      <c r="D442" s="12"/>
      <c r="E442" s="12">
        <v>49924</v>
      </c>
      <c r="G442" s="7">
        <v>19118124</v>
      </c>
      <c r="I442" s="7">
        <v>4033255</v>
      </c>
      <c r="K442" s="7">
        <v>2206807</v>
      </c>
      <c r="M442" s="7">
        <v>79980</v>
      </c>
      <c r="O442" s="7">
        <v>236904</v>
      </c>
      <c r="Q442" s="7">
        <v>3182773</v>
      </c>
      <c r="S442" s="7">
        <v>1969140</v>
      </c>
      <c r="U442" s="7">
        <v>119047</v>
      </c>
      <c r="W442" s="7">
        <v>3059170</v>
      </c>
      <c r="Y442" s="7">
        <v>724085</v>
      </c>
      <c r="AA442" s="7">
        <v>206125</v>
      </c>
      <c r="AC442" s="7">
        <v>5645914</v>
      </c>
      <c r="AE442" s="7">
        <v>2304579</v>
      </c>
      <c r="AG442" s="7">
        <v>442753</v>
      </c>
      <c r="AI442" s="12" t="s">
        <v>203</v>
      </c>
      <c r="AJ442" s="12"/>
      <c r="AK442" s="12" t="s">
        <v>62</v>
      </c>
      <c r="AL442" s="12"/>
      <c r="AM442" s="7">
        <v>0</v>
      </c>
      <c r="AO442" s="7">
        <v>2192175</v>
      </c>
      <c r="AQ442" s="7">
        <v>1352905</v>
      </c>
      <c r="AS442" s="7">
        <v>128790</v>
      </c>
      <c r="AW442" s="7">
        <v>0</v>
      </c>
      <c r="AY442" s="7">
        <f>SUM(G442:AX442)</f>
        <v>47002526</v>
      </c>
      <c r="BA442" s="7">
        <f>+'St of Activites - GA Rev'!AI442-'St of Activities - GA Exp'!AY442</f>
        <v>3771824</v>
      </c>
      <c r="BC442" s="7">
        <v>41111648</v>
      </c>
      <c r="BE442" s="7">
        <f t="shared" si="76"/>
        <v>44883472</v>
      </c>
      <c r="BG442" s="7">
        <f>+'St of Net Assets - GA'!AA442-'St of Activities - GA Exp'!BE442</f>
        <v>0</v>
      </c>
      <c r="BH442" s="7" t="s">
        <v>951</v>
      </c>
      <c r="BL442" s="7" t="str">
        <f t="shared" si="58"/>
        <v>Perry Local SD</v>
      </c>
      <c r="BM442" s="7" t="b">
        <f t="shared" si="59"/>
        <v>1</v>
      </c>
      <c r="BO442" s="7" t="str">
        <f t="shared" si="60"/>
        <v>Stark</v>
      </c>
      <c r="BP442" s="7" t="b">
        <f t="shared" si="61"/>
        <v>1</v>
      </c>
    </row>
    <row r="443" spans="1:68">
      <c r="A443" s="12" t="s">
        <v>885</v>
      </c>
      <c r="B443" s="12"/>
      <c r="C443" s="12" t="s">
        <v>72</v>
      </c>
      <c r="D443" s="12"/>
      <c r="E443" s="12">
        <v>45583</v>
      </c>
      <c r="G443" s="7">
        <v>23962866</v>
      </c>
      <c r="I443" s="7">
        <v>4743191</v>
      </c>
      <c r="K443" s="7">
        <v>100718</v>
      </c>
      <c r="M443" s="7">
        <v>0</v>
      </c>
      <c r="O443" s="7">
        <v>0</v>
      </c>
      <c r="Q443" s="7">
        <v>2906898</v>
      </c>
      <c r="S443" s="7">
        <v>678413</v>
      </c>
      <c r="U443" s="7">
        <v>47484</v>
      </c>
      <c r="W443" s="7">
        <v>3133511</v>
      </c>
      <c r="Y443" s="7">
        <v>911567</v>
      </c>
      <c r="AA443" s="7">
        <v>54830</v>
      </c>
      <c r="AC443" s="7">
        <v>4103255</v>
      </c>
      <c r="AE443" s="7">
        <v>1600985</v>
      </c>
      <c r="AG443" s="7">
        <v>488919</v>
      </c>
      <c r="AI443" s="12" t="s">
        <v>885</v>
      </c>
      <c r="AJ443" s="12"/>
      <c r="AK443" s="12" t="s">
        <v>72</v>
      </c>
      <c r="AL443" s="12"/>
      <c r="AM443" s="7">
        <v>1744589</v>
      </c>
      <c r="AO443" s="7">
        <v>346870</v>
      </c>
      <c r="AQ443" s="7">
        <v>1606293</v>
      </c>
      <c r="AS443" s="7">
        <v>1425019</v>
      </c>
      <c r="AW443" s="7">
        <v>0</v>
      </c>
      <c r="AY443" s="7">
        <f t="shared" si="77"/>
        <v>47855408</v>
      </c>
      <c r="BA443" s="7">
        <f>+'St of Activites - GA Rev'!AI443-'St of Activities - GA Exp'!AY443</f>
        <v>6718144</v>
      </c>
      <c r="BC443" s="7">
        <v>16717221</v>
      </c>
      <c r="BE443" s="7">
        <f t="shared" si="76"/>
        <v>23435365</v>
      </c>
      <c r="BG443" s="7">
        <f>+'St of Net Assets - GA'!AA443-'St of Activities - GA Exp'!BE443</f>
        <v>0</v>
      </c>
      <c r="BL443" s="7" t="str">
        <f t="shared" si="58"/>
        <v>Perrysburg Exempted Village SD</v>
      </c>
      <c r="BM443" s="7" t="b">
        <f t="shared" si="59"/>
        <v>1</v>
      </c>
      <c r="BO443" s="7" t="str">
        <f t="shared" si="60"/>
        <v>Wood</v>
      </c>
      <c r="BP443" s="7" t="b">
        <f t="shared" si="61"/>
        <v>1</v>
      </c>
    </row>
    <row r="444" spans="1:68" hidden="1">
      <c r="A444" s="12" t="s">
        <v>894</v>
      </c>
      <c r="B444" s="12"/>
      <c r="C444" s="12" t="s">
        <v>28</v>
      </c>
      <c r="D444" s="12"/>
      <c r="E444" s="12">
        <v>47076</v>
      </c>
      <c r="AI444" s="12" t="s">
        <v>894</v>
      </c>
      <c r="AJ444" s="12"/>
      <c r="AK444" s="12" t="s">
        <v>28</v>
      </c>
      <c r="AL444" s="12"/>
      <c r="AW444" s="7">
        <v>0</v>
      </c>
      <c r="AY444" s="7">
        <f t="shared" si="77"/>
        <v>0</v>
      </c>
      <c r="BA444" s="7">
        <f>+'St of Activites - GA Rev'!AI444-'St of Activities - GA Exp'!AY444</f>
        <v>0</v>
      </c>
      <c r="BE444" s="7">
        <f t="shared" si="76"/>
        <v>0</v>
      </c>
      <c r="BG444" s="7">
        <f>+'St of Net Assets - GA'!AA444-'St of Activities - GA Exp'!BE444</f>
        <v>0</v>
      </c>
      <c r="BH444" s="7" t="s">
        <v>966</v>
      </c>
      <c r="BL444" s="7" t="str">
        <f t="shared" si="58"/>
        <v>Pettisville Local SD</v>
      </c>
      <c r="BM444" s="7" t="b">
        <f t="shared" si="59"/>
        <v>1</v>
      </c>
      <c r="BO444" s="7" t="str">
        <f t="shared" si="60"/>
        <v>Fulton</v>
      </c>
      <c r="BP444" s="7" t="b">
        <f t="shared" si="61"/>
        <v>1</v>
      </c>
    </row>
    <row r="445" spans="1:68">
      <c r="A445" s="12" t="s">
        <v>302</v>
      </c>
      <c r="B445" s="12"/>
      <c r="C445" s="12" t="s">
        <v>25</v>
      </c>
      <c r="D445" s="12"/>
      <c r="E445" s="12">
        <v>46896</v>
      </c>
      <c r="G445" s="7">
        <v>53303768</v>
      </c>
      <c r="I445" s="7">
        <v>9164454</v>
      </c>
      <c r="K445" s="7">
        <v>1039530</v>
      </c>
      <c r="M445" s="7">
        <v>0</v>
      </c>
      <c r="O445" s="7">
        <v>2973424</v>
      </c>
      <c r="Q445" s="7">
        <v>5389487</v>
      </c>
      <c r="S445" s="7">
        <v>7518291</v>
      </c>
      <c r="U445" s="7">
        <v>716717</v>
      </c>
      <c r="W445" s="7">
        <v>8301524</v>
      </c>
      <c r="Y445" s="7">
        <v>1867031</v>
      </c>
      <c r="AA445" s="7">
        <v>509414</v>
      </c>
      <c r="AC445" s="7">
        <v>9890158</v>
      </c>
      <c r="AE445" s="7">
        <v>5621125</v>
      </c>
      <c r="AG445" s="7">
        <v>175403</v>
      </c>
      <c r="AI445" s="12" t="s">
        <v>302</v>
      </c>
      <c r="AJ445" s="12"/>
      <c r="AK445" s="12" t="s">
        <v>25</v>
      </c>
      <c r="AL445" s="12"/>
      <c r="AM445" s="7">
        <v>4773849</v>
      </c>
      <c r="AO445" s="7">
        <v>54984</v>
      </c>
      <c r="AQ445" s="7">
        <v>2777341</v>
      </c>
      <c r="AS445" s="7">
        <v>10019133</v>
      </c>
      <c r="AW445" s="7">
        <v>0</v>
      </c>
      <c r="AY445" s="7">
        <f t="shared" si="77"/>
        <v>124095633</v>
      </c>
      <c r="BA445" s="7">
        <f>+'St of Activites - GA Rev'!AI445-'St of Activities - GA Exp'!AY445</f>
        <v>-4811177</v>
      </c>
      <c r="BC445" s="7">
        <v>72370097</v>
      </c>
      <c r="BE445" s="7">
        <f t="shared" si="76"/>
        <v>67558920</v>
      </c>
      <c r="BG445" s="7">
        <f>+'St of Net Assets - GA'!AA445-'St of Activities - GA Exp'!BE445</f>
        <v>0</v>
      </c>
      <c r="BL445" s="7" t="str">
        <f t="shared" si="58"/>
        <v>Pickerington Local SD</v>
      </c>
      <c r="BM445" s="7" t="b">
        <f t="shared" si="59"/>
        <v>1</v>
      </c>
      <c r="BO445" s="7" t="str">
        <f t="shared" si="60"/>
        <v>Fairfield</v>
      </c>
      <c r="BP445" s="7" t="b">
        <f t="shared" si="61"/>
        <v>1</v>
      </c>
    </row>
    <row r="446" spans="1:68" hidden="1">
      <c r="A446" s="12" t="s">
        <v>961</v>
      </c>
      <c r="B446" s="12"/>
      <c r="C446" s="12" t="s">
        <v>28</v>
      </c>
      <c r="D446" s="12"/>
      <c r="E446" s="12">
        <v>47084</v>
      </c>
      <c r="AI446" s="12" t="s">
        <v>961</v>
      </c>
      <c r="AJ446" s="12"/>
      <c r="AK446" s="12" t="s">
        <v>28</v>
      </c>
      <c r="AL446" s="12"/>
      <c r="AW446" s="7">
        <v>0</v>
      </c>
      <c r="AY446" s="7">
        <f t="shared" si="77"/>
        <v>0</v>
      </c>
      <c r="BA446" s="7">
        <f>+'St of Activites - GA Rev'!AI446-'St of Activities - GA Exp'!AY446</f>
        <v>0</v>
      </c>
      <c r="BE446" s="7">
        <f t="shared" si="76"/>
        <v>0</v>
      </c>
      <c r="BG446" s="7">
        <f>+'St of Net Assets - GA'!AA446-'St of Activities - GA Exp'!BE446</f>
        <v>0</v>
      </c>
      <c r="BH446" s="7" t="s">
        <v>960</v>
      </c>
      <c r="BL446" s="7" t="str">
        <f t="shared" si="58"/>
        <v>Pike-Delta-York Local SD (CASH)</v>
      </c>
      <c r="BM446" s="7" t="b">
        <f t="shared" si="59"/>
        <v>1</v>
      </c>
      <c r="BO446" s="7" t="str">
        <f t="shared" si="60"/>
        <v>Fulton</v>
      </c>
      <c r="BP446" s="7" t="b">
        <f t="shared" si="61"/>
        <v>1</v>
      </c>
    </row>
    <row r="447" spans="1:68">
      <c r="A447" s="12" t="s">
        <v>438</v>
      </c>
      <c r="B447" s="12"/>
      <c r="C447" s="12" t="s">
        <v>48</v>
      </c>
      <c r="D447" s="12"/>
      <c r="E447" s="12">
        <v>44644</v>
      </c>
      <c r="G447" s="7">
        <v>21406030</v>
      </c>
      <c r="I447" s="7">
        <v>0</v>
      </c>
      <c r="K447" s="7">
        <v>0</v>
      </c>
      <c r="M447" s="7">
        <v>0</v>
      </c>
      <c r="O447" s="7">
        <v>0</v>
      </c>
      <c r="Q447" s="7">
        <v>1491789</v>
      </c>
      <c r="S447" s="7">
        <v>2034765</v>
      </c>
      <c r="U447" s="7">
        <v>23825</v>
      </c>
      <c r="W447" s="7">
        <v>2390523</v>
      </c>
      <c r="Y447" s="7">
        <v>629529</v>
      </c>
      <c r="AA447" s="7">
        <v>2338</v>
      </c>
      <c r="AC447" s="7">
        <v>3018583</v>
      </c>
      <c r="AE447" s="7">
        <v>1522099</v>
      </c>
      <c r="AG447" s="7">
        <v>269213</v>
      </c>
      <c r="AI447" s="12" t="s">
        <v>438</v>
      </c>
      <c r="AJ447" s="12"/>
      <c r="AK447" s="12" t="s">
        <v>48</v>
      </c>
      <c r="AL447" s="12"/>
      <c r="AM447" s="7">
        <v>0</v>
      </c>
      <c r="AO447" s="7">
        <v>301869</v>
      </c>
      <c r="AQ447" s="7">
        <v>915886</v>
      </c>
      <c r="AS447" s="7">
        <v>493346</v>
      </c>
      <c r="AW447" s="7">
        <v>0</v>
      </c>
      <c r="AY447" s="7">
        <f t="shared" si="77"/>
        <v>34499795</v>
      </c>
      <c r="BA447" s="7">
        <f>+'St of Activites - GA Rev'!AI447-'St of Activities - GA Exp'!AY447</f>
        <v>2180401</v>
      </c>
      <c r="BC447" s="7">
        <v>29126392</v>
      </c>
      <c r="BE447" s="7">
        <f t="shared" si="76"/>
        <v>31306793</v>
      </c>
      <c r="BG447" s="7">
        <f>+'St of Net Assets - GA'!AA447-'St of Activities - GA Exp'!BE447</f>
        <v>0</v>
      </c>
      <c r="BH447" s="7" t="s">
        <v>808</v>
      </c>
      <c r="BL447" s="7" t="str">
        <f t="shared" si="58"/>
        <v>Piqua City SD</v>
      </c>
      <c r="BM447" s="7" t="b">
        <f t="shared" si="59"/>
        <v>1</v>
      </c>
      <c r="BO447" s="7" t="str">
        <f t="shared" si="60"/>
        <v>Miami</v>
      </c>
      <c r="BP447" s="7" t="b">
        <f t="shared" si="61"/>
        <v>1</v>
      </c>
    </row>
    <row r="448" spans="1:68">
      <c r="A448" s="12" t="s">
        <v>312</v>
      </c>
      <c r="B448" s="12"/>
      <c r="C448" s="12" t="s">
        <v>62</v>
      </c>
      <c r="D448" s="12"/>
      <c r="E448" s="12">
        <v>49932</v>
      </c>
      <c r="G448" s="7">
        <v>23780976</v>
      </c>
      <c r="I448" s="7">
        <v>6754568</v>
      </c>
      <c r="K448" s="7">
        <v>1496714</v>
      </c>
      <c r="M448" s="7">
        <v>0</v>
      </c>
      <c r="O448" s="7">
        <v>183114</v>
      </c>
      <c r="Q448" s="7">
        <v>2459767</v>
      </c>
      <c r="S448" s="7">
        <v>3530242</v>
      </c>
      <c r="U448" s="7">
        <v>163304</v>
      </c>
      <c r="W448" s="7">
        <v>3521044</v>
      </c>
      <c r="Y448" s="7">
        <v>980443</v>
      </c>
      <c r="AA448" s="7">
        <v>158765</v>
      </c>
      <c r="AC448" s="7">
        <v>5151611</v>
      </c>
      <c r="AE448" s="7">
        <v>2741173</v>
      </c>
      <c r="AG448" s="7">
        <v>253679</v>
      </c>
      <c r="AI448" s="12" t="s">
        <v>312</v>
      </c>
      <c r="AJ448" s="12"/>
      <c r="AK448" s="12" t="s">
        <v>62</v>
      </c>
      <c r="AL448" s="12"/>
      <c r="AM448" s="7">
        <v>2126217</v>
      </c>
      <c r="AO448" s="7">
        <v>716206</v>
      </c>
      <c r="AQ448" s="7">
        <v>1291752</v>
      </c>
      <c r="AS448" s="7">
        <v>2517617</v>
      </c>
      <c r="AW448" s="7">
        <v>0</v>
      </c>
      <c r="AY448" s="7">
        <f t="shared" si="77"/>
        <v>57827192</v>
      </c>
      <c r="BA448" s="7">
        <f>+'St of Activites - GA Rev'!AI448-'St of Activities - GA Exp'!AY448</f>
        <v>7681094</v>
      </c>
      <c r="BC448" s="7">
        <v>14806841</v>
      </c>
      <c r="BE448" s="7">
        <f t="shared" si="76"/>
        <v>22487935</v>
      </c>
      <c r="BG448" s="7">
        <f>+'St of Net Assets - GA'!AA448-'St of Activities - GA Exp'!BE448</f>
        <v>0</v>
      </c>
      <c r="BL448" s="7" t="str">
        <f t="shared" si="58"/>
        <v>Plain Local SD</v>
      </c>
      <c r="BM448" s="7" t="b">
        <f t="shared" si="59"/>
        <v>1</v>
      </c>
      <c r="BO448" s="7" t="str">
        <f t="shared" si="60"/>
        <v>Stark</v>
      </c>
      <c r="BP448" s="7" t="b">
        <f t="shared" si="61"/>
        <v>1</v>
      </c>
    </row>
    <row r="449" spans="1:68">
      <c r="A449" s="12" t="s">
        <v>424</v>
      </c>
      <c r="B449" s="12"/>
      <c r="C449" s="12" t="s">
        <v>46</v>
      </c>
      <c r="D449" s="12"/>
      <c r="E449" s="12">
        <v>48421</v>
      </c>
      <c r="G449" s="7">
        <v>7007165</v>
      </c>
      <c r="I449" s="7">
        <v>963647</v>
      </c>
      <c r="K449" s="7">
        <v>163927</v>
      </c>
      <c r="M449" s="7">
        <v>0</v>
      </c>
      <c r="O449" s="7">
        <v>0</v>
      </c>
      <c r="Q449" s="7">
        <v>413888</v>
      </c>
      <c r="S449" s="7">
        <v>380693</v>
      </c>
      <c r="U449" s="7">
        <v>81436</v>
      </c>
      <c r="W449" s="7">
        <v>1101611</v>
      </c>
      <c r="Y449" s="7">
        <v>318680</v>
      </c>
      <c r="AA449" s="7">
        <v>0</v>
      </c>
      <c r="AC449" s="7">
        <v>1028735</v>
      </c>
      <c r="AE449" s="7">
        <v>526531</v>
      </c>
      <c r="AG449" s="7">
        <v>0</v>
      </c>
      <c r="AI449" s="12" t="s">
        <v>424</v>
      </c>
      <c r="AJ449" s="12"/>
      <c r="AK449" s="12" t="s">
        <v>46</v>
      </c>
      <c r="AL449" s="12"/>
      <c r="AM449" s="7">
        <v>0</v>
      </c>
      <c r="AO449" s="7">
        <v>572027</v>
      </c>
      <c r="AQ449" s="7">
        <v>497046</v>
      </c>
      <c r="AS449" s="7">
        <v>87122</v>
      </c>
      <c r="AW449" s="7">
        <v>0</v>
      </c>
      <c r="AY449" s="7">
        <f t="shared" si="77"/>
        <v>13142508</v>
      </c>
      <c r="BA449" s="7">
        <f>+'St of Activites - GA Rev'!AI449-'St of Activities - GA Exp'!AY449</f>
        <v>87374</v>
      </c>
      <c r="BC449" s="7">
        <v>10445344</v>
      </c>
      <c r="BE449" s="7">
        <f t="shared" si="76"/>
        <v>10532718</v>
      </c>
      <c r="BG449" s="7">
        <f>+'St of Net Assets - GA'!AA449-'St of Activities - GA Exp'!BE449</f>
        <v>0</v>
      </c>
      <c r="BL449" s="7" t="str">
        <f t="shared" si="58"/>
        <v>Pleasant Local SD</v>
      </c>
      <c r="BM449" s="7" t="b">
        <f t="shared" si="59"/>
        <v>1</v>
      </c>
      <c r="BO449" s="7" t="str">
        <f t="shared" si="60"/>
        <v>Marion</v>
      </c>
      <c r="BP449" s="7" t="b">
        <f t="shared" si="61"/>
        <v>1</v>
      </c>
    </row>
    <row r="450" spans="1:68">
      <c r="A450" s="12" t="s">
        <v>486</v>
      </c>
      <c r="B450" s="12"/>
      <c r="C450" s="12" t="s">
        <v>110</v>
      </c>
      <c r="D450" s="12"/>
      <c r="E450" s="12">
        <v>49460</v>
      </c>
      <c r="G450" s="7">
        <v>3804761</v>
      </c>
      <c r="I450" s="7">
        <v>1028144</v>
      </c>
      <c r="K450" s="7">
        <v>199315</v>
      </c>
      <c r="M450" s="7">
        <v>0</v>
      </c>
      <c r="O450" s="7">
        <v>448028</v>
      </c>
      <c r="Q450" s="7">
        <v>446305</v>
      </c>
      <c r="S450" s="7">
        <v>574796</v>
      </c>
      <c r="U450" s="7">
        <v>19034</v>
      </c>
      <c r="W450" s="7">
        <v>764159</v>
      </c>
      <c r="Y450" s="7">
        <v>237252</v>
      </c>
      <c r="AA450" s="7">
        <v>3102</v>
      </c>
      <c r="AC450" s="7">
        <v>1029561</v>
      </c>
      <c r="AE450" s="7">
        <v>451698</v>
      </c>
      <c r="AG450" s="7">
        <v>51591</v>
      </c>
      <c r="AI450" s="12" t="s">
        <v>486</v>
      </c>
      <c r="AJ450" s="12"/>
      <c r="AK450" s="12" t="s">
        <v>110</v>
      </c>
      <c r="AL450" s="12"/>
      <c r="AM450" s="7">
        <v>491140</v>
      </c>
      <c r="AO450" s="7">
        <v>0</v>
      </c>
      <c r="AQ450" s="7">
        <v>399722</v>
      </c>
      <c r="AS450" s="7">
        <v>130759</v>
      </c>
      <c r="AW450" s="7">
        <v>0</v>
      </c>
      <c r="AY450" s="7">
        <f t="shared" si="77"/>
        <v>10079367</v>
      </c>
      <c r="BA450" s="7">
        <f>+'St of Activites - GA Rev'!AI450-'St of Activities - GA Exp'!AY450</f>
        <v>-10116</v>
      </c>
      <c r="BC450" s="7">
        <v>21859265</v>
      </c>
      <c r="BE450" s="7">
        <f t="shared" si="76"/>
        <v>21849149</v>
      </c>
      <c r="BG450" s="7">
        <f>+'St of Net Assets - GA'!AA450-'St of Activities - GA Exp'!BE450</f>
        <v>0</v>
      </c>
      <c r="BL450" s="7" t="str">
        <f t="shared" si="58"/>
        <v>Plymouth-Shiloh Local SD</v>
      </c>
      <c r="BM450" s="7" t="b">
        <f t="shared" si="59"/>
        <v>1</v>
      </c>
      <c r="BO450" s="7" t="str">
        <f t="shared" si="60"/>
        <v>Richland</v>
      </c>
      <c r="BP450" s="7" t="b">
        <f t="shared" si="61"/>
        <v>1</v>
      </c>
    </row>
    <row r="451" spans="1:68" ht="12" customHeight="1">
      <c r="A451" s="12" t="s">
        <v>764</v>
      </c>
      <c r="B451" s="12"/>
      <c r="C451" s="12" t="s">
        <v>45</v>
      </c>
      <c r="D451" s="12"/>
      <c r="E451" s="12">
        <v>48348</v>
      </c>
      <c r="G451" s="7">
        <v>11285493</v>
      </c>
      <c r="I451" s="7">
        <v>1713435</v>
      </c>
      <c r="K451" s="7">
        <v>172025</v>
      </c>
      <c r="M451" s="7">
        <v>137533</v>
      </c>
      <c r="O451" s="7">
        <v>14869</v>
      </c>
      <c r="Q451" s="7">
        <v>1636966</v>
      </c>
      <c r="S451" s="7">
        <v>519382</v>
      </c>
      <c r="U451" s="7">
        <v>19385</v>
      </c>
      <c r="W451" s="7">
        <v>1546441</v>
      </c>
      <c r="Y451" s="7">
        <v>550130</v>
      </c>
      <c r="AA451" s="7">
        <v>602</v>
      </c>
      <c r="AC451" s="7">
        <v>2221701</v>
      </c>
      <c r="AE451" s="7">
        <v>954734</v>
      </c>
      <c r="AG451" s="7">
        <v>5770</v>
      </c>
      <c r="AI451" s="12" t="s">
        <v>764</v>
      </c>
      <c r="AJ451" s="12"/>
      <c r="AK451" s="12" t="s">
        <v>45</v>
      </c>
      <c r="AL451" s="12"/>
      <c r="AM451" s="7">
        <v>844047</v>
      </c>
      <c r="AO451" s="7">
        <v>325309</v>
      </c>
      <c r="AQ451" s="7">
        <v>942446</v>
      </c>
      <c r="AS451" s="7">
        <v>609595</v>
      </c>
      <c r="AW451" s="7">
        <v>0</v>
      </c>
      <c r="AY451" s="7">
        <f t="shared" si="77"/>
        <v>23499863</v>
      </c>
      <c r="BA451" s="7">
        <f>+'St of Activites - GA Rev'!AI451-'St of Activities - GA Exp'!AY451</f>
        <v>-773231</v>
      </c>
      <c r="BC451" s="7">
        <v>3075703</v>
      </c>
      <c r="BE451" s="7">
        <f t="shared" si="76"/>
        <v>2302472</v>
      </c>
      <c r="BG451" s="7">
        <f>+'St of Net Assets - GA'!AA451-'St of Activities - GA Exp'!BE451</f>
        <v>0</v>
      </c>
      <c r="BL451" s="7" t="str">
        <f t="shared" si="58"/>
        <v xml:space="preserve">Poland Local SD </v>
      </c>
      <c r="BM451" s="7" t="b">
        <f t="shared" si="59"/>
        <v>1</v>
      </c>
      <c r="BO451" s="7" t="str">
        <f t="shared" si="60"/>
        <v>Mahoning</v>
      </c>
      <c r="BP451" s="7" t="b">
        <f t="shared" si="61"/>
        <v>1</v>
      </c>
    </row>
    <row r="452" spans="1:68" hidden="1">
      <c r="A452" s="12" t="s">
        <v>962</v>
      </c>
      <c r="B452" s="12"/>
      <c r="C452" s="12" t="s">
        <v>53</v>
      </c>
      <c r="D452" s="12"/>
      <c r="E452" s="12">
        <v>44651</v>
      </c>
      <c r="AI452" s="12" t="s">
        <v>962</v>
      </c>
      <c r="AJ452" s="12"/>
      <c r="AK452" s="12" t="s">
        <v>53</v>
      </c>
      <c r="AL452" s="12"/>
      <c r="AW452" s="7">
        <v>0</v>
      </c>
      <c r="AY452" s="7">
        <f t="shared" si="77"/>
        <v>0</v>
      </c>
      <c r="BA452" s="7">
        <f>+'St of Activites - GA Rev'!AI452-'St of Activities - GA Exp'!AY452</f>
        <v>0</v>
      </c>
      <c r="BE452" s="7">
        <f t="shared" si="76"/>
        <v>0</v>
      </c>
      <c r="BG452" s="7">
        <f>+'St of Net Assets - GA'!AA452-'St of Activities - GA Exp'!BE452</f>
        <v>0</v>
      </c>
      <c r="BH452" s="7" t="s">
        <v>903</v>
      </c>
      <c r="BL452" s="7" t="str">
        <f t="shared" si="58"/>
        <v>Port Clinton City SD (CASH)</v>
      </c>
      <c r="BM452" s="7" t="b">
        <f t="shared" si="59"/>
        <v>1</v>
      </c>
      <c r="BO452" s="7" t="str">
        <f t="shared" si="60"/>
        <v>Ottawa</v>
      </c>
      <c r="BP452" s="7" t="b">
        <f t="shared" si="61"/>
        <v>1</v>
      </c>
    </row>
    <row r="453" spans="1:68" ht="12" customHeight="1">
      <c r="A453" s="12" t="s">
        <v>499</v>
      </c>
      <c r="B453" s="12"/>
      <c r="C453" s="12" t="s">
        <v>59</v>
      </c>
      <c r="D453" s="12"/>
      <c r="E453" s="12">
        <v>44669</v>
      </c>
      <c r="G453" s="7">
        <v>13689351</v>
      </c>
      <c r="I453" s="7">
        <v>6090527</v>
      </c>
      <c r="K453" s="7">
        <v>441427</v>
      </c>
      <c r="M453" s="7">
        <v>0</v>
      </c>
      <c r="O453" s="7">
        <f>883606+37500</f>
        <v>921106</v>
      </c>
      <c r="Q453" s="7">
        <v>1237058</v>
      </c>
      <c r="S453" s="7">
        <v>2200333</v>
      </c>
      <c r="U453" s="7">
        <v>20334</v>
      </c>
      <c r="W453" s="7">
        <v>1762928</v>
      </c>
      <c r="Y453" s="7">
        <v>590995</v>
      </c>
      <c r="AA453" s="7">
        <v>96868</v>
      </c>
      <c r="AC453" s="7">
        <v>2886014</v>
      </c>
      <c r="AE453" s="7">
        <v>633169</v>
      </c>
      <c r="AG453" s="7">
        <v>96569</v>
      </c>
      <c r="AI453" s="12" t="s">
        <v>499</v>
      </c>
      <c r="AJ453" s="12"/>
      <c r="AK453" s="12" t="s">
        <v>59</v>
      </c>
      <c r="AL453" s="12"/>
      <c r="AM453" s="7">
        <v>1260493</v>
      </c>
      <c r="AO453" s="7">
        <v>232488</v>
      </c>
      <c r="AQ453" s="7">
        <v>250238</v>
      </c>
      <c r="AS453" s="7">
        <v>621052</v>
      </c>
      <c r="AW453" s="7">
        <v>0</v>
      </c>
      <c r="AY453" s="7">
        <f t="shared" si="77"/>
        <v>33030950</v>
      </c>
      <c r="BA453" s="7">
        <f>+'St of Activites - GA Rev'!AI453-'St of Activities - GA Exp'!AY453</f>
        <v>-519355</v>
      </c>
      <c r="BC453" s="7">
        <v>51015396</v>
      </c>
      <c r="BE453" s="7">
        <f t="shared" si="76"/>
        <v>50496041</v>
      </c>
      <c r="BG453" s="7">
        <f>+'St of Net Assets - GA'!AA453-'St of Activities - GA Exp'!BE453</f>
        <v>0</v>
      </c>
      <c r="BL453" s="7" t="str">
        <f t="shared" si="58"/>
        <v>Portsmouth City SD</v>
      </c>
      <c r="BM453" s="7" t="b">
        <f t="shared" si="59"/>
        <v>1</v>
      </c>
      <c r="BO453" s="7" t="str">
        <f t="shared" si="60"/>
        <v>Scioto</v>
      </c>
      <c r="BP453" s="7" t="b">
        <f t="shared" si="61"/>
        <v>1</v>
      </c>
    </row>
    <row r="454" spans="1:68" ht="12" hidden="1" customHeight="1">
      <c r="A454" s="12" t="s">
        <v>725</v>
      </c>
      <c r="B454" s="12"/>
      <c r="C454" s="12" t="s">
        <v>57</v>
      </c>
      <c r="D454" s="12"/>
      <c r="E454" s="12">
        <v>49288</v>
      </c>
      <c r="AI454" s="12" t="s">
        <v>725</v>
      </c>
      <c r="AJ454" s="12"/>
      <c r="AK454" s="12" t="s">
        <v>57</v>
      </c>
      <c r="AL454" s="12"/>
      <c r="AW454" s="7">
        <v>0</v>
      </c>
      <c r="AY454" s="7">
        <f t="shared" si="77"/>
        <v>0</v>
      </c>
      <c r="BA454" s="7">
        <f>+'St of Activites - GA Rev'!AI454-'St of Activities - GA Exp'!AY454</f>
        <v>0</v>
      </c>
      <c r="BE454" s="7">
        <f t="shared" si="76"/>
        <v>0</v>
      </c>
      <c r="BG454" s="7">
        <f>+'St of Net Assets - GA'!AA454-'St of Activities - GA Exp'!BE454</f>
        <v>0</v>
      </c>
      <c r="BH454" s="7" t="s">
        <v>959</v>
      </c>
      <c r="BL454" s="7" t="str">
        <f t="shared" si="58"/>
        <v>Preble Shawnee Local SD (CASH)</v>
      </c>
      <c r="BM454" s="7" t="b">
        <f t="shared" si="59"/>
        <v>1</v>
      </c>
      <c r="BO454" s="7" t="str">
        <f t="shared" si="60"/>
        <v>Preble</v>
      </c>
      <c r="BP454" s="7" t="b">
        <f t="shared" si="61"/>
        <v>1</v>
      </c>
    </row>
    <row r="455" spans="1:68">
      <c r="A455" s="12" t="s">
        <v>337</v>
      </c>
      <c r="B455" s="12"/>
      <c r="C455" s="12" t="s">
        <v>32</v>
      </c>
      <c r="D455" s="12"/>
      <c r="E455" s="12">
        <v>44677</v>
      </c>
      <c r="G455" s="7">
        <v>33963420</v>
      </c>
      <c r="I455" s="7">
        <v>7849533</v>
      </c>
      <c r="K455" s="7">
        <v>0</v>
      </c>
      <c r="M455" s="7">
        <v>0</v>
      </c>
      <c r="O455" s="7">
        <v>2136788</v>
      </c>
      <c r="Q455" s="7">
        <v>4838552</v>
      </c>
      <c r="S455" s="7">
        <v>7408565</v>
      </c>
      <c r="U455" s="7">
        <v>358720</v>
      </c>
      <c r="W455" s="7">
        <v>3666881</v>
      </c>
      <c r="Y455" s="7">
        <v>2616425</v>
      </c>
      <c r="AA455" s="7">
        <v>214352</v>
      </c>
      <c r="AC455" s="7">
        <v>8022850</v>
      </c>
      <c r="AE455" s="7">
        <v>5133648</v>
      </c>
      <c r="AG455" s="7">
        <v>1485580</v>
      </c>
      <c r="AI455" s="12" t="s">
        <v>337</v>
      </c>
      <c r="AJ455" s="12"/>
      <c r="AK455" s="12" t="s">
        <v>32</v>
      </c>
      <c r="AL455" s="12"/>
      <c r="AM455" s="7">
        <v>2434906</v>
      </c>
      <c r="AO455" s="7">
        <v>2971828</v>
      </c>
      <c r="AQ455" s="7">
        <v>1508941</v>
      </c>
      <c r="AS455" s="7">
        <v>10093624</v>
      </c>
      <c r="AW455" s="7">
        <v>0</v>
      </c>
      <c r="AY455" s="7">
        <f t="shared" si="77"/>
        <v>94704613</v>
      </c>
      <c r="BA455" s="7">
        <f>+'St of Activites - GA Rev'!AI455-'St of Activities - GA Exp'!AY455</f>
        <v>-5305303</v>
      </c>
      <c r="BC455" s="7">
        <v>46465801</v>
      </c>
      <c r="BE455" s="7">
        <f t="shared" si="76"/>
        <v>41160498</v>
      </c>
      <c r="BG455" s="7">
        <f>+'St of Net Assets - GA'!AA455-'St of Activities - GA Exp'!BE455</f>
        <v>0</v>
      </c>
      <c r="BL455" s="7" t="str">
        <f t="shared" si="58"/>
        <v>Princeton City SD</v>
      </c>
      <c r="BM455" s="7" t="b">
        <f t="shared" si="59"/>
        <v>1</v>
      </c>
      <c r="BO455" s="7" t="str">
        <f t="shared" si="60"/>
        <v>Hamilton</v>
      </c>
      <c r="BP455" s="7" t="b">
        <f t="shared" si="61"/>
        <v>1</v>
      </c>
    </row>
    <row r="456" spans="1:68" ht="12" hidden="1" customHeight="1">
      <c r="A456" s="12" t="s">
        <v>963</v>
      </c>
      <c r="B456" s="12"/>
      <c r="C456" s="12" t="s">
        <v>53</v>
      </c>
      <c r="D456" s="12"/>
      <c r="E456" s="12"/>
      <c r="AI456" s="12" t="s">
        <v>963</v>
      </c>
      <c r="AJ456" s="12"/>
      <c r="AK456" s="12" t="s">
        <v>53</v>
      </c>
      <c r="AL456" s="12"/>
      <c r="AW456" s="7">
        <v>0</v>
      </c>
      <c r="AY456" s="7">
        <f t="shared" ref="AY456" si="78">SUM(G456:AX456)</f>
        <v>0</v>
      </c>
      <c r="BA456" s="7">
        <f>+'St of Activites - GA Rev'!AI456-'St of Activities - GA Exp'!AY456</f>
        <v>0</v>
      </c>
      <c r="BE456" s="7">
        <f t="shared" si="76"/>
        <v>0</v>
      </c>
      <c r="BG456" s="7">
        <f>+'St of Net Assets - GA'!AA456-'St of Activities - GA Exp'!BE456</f>
        <v>0</v>
      </c>
      <c r="BH456" s="7" t="s">
        <v>964</v>
      </c>
      <c r="BL456" s="7" t="str">
        <f t="shared" ref="BL456" si="79">A456</f>
        <v>Put-in-Bay Local SD (CASH) (Two year Audit)</v>
      </c>
      <c r="BM456" s="7" t="b">
        <f t="shared" ref="BM456" si="80">A456=AI456</f>
        <v>1</v>
      </c>
      <c r="BO456" s="7" t="str">
        <f t="shared" ref="BO456" si="81">C456</f>
        <v>Ottawa</v>
      </c>
      <c r="BP456" s="7" t="b">
        <f t="shared" ref="BP456" si="82">C456=AK456</f>
        <v>1</v>
      </c>
    </row>
    <row r="457" spans="1:68" ht="12" hidden="1" customHeight="1">
      <c r="A457" s="12" t="s">
        <v>965</v>
      </c>
      <c r="B457" s="12"/>
      <c r="C457" s="12" t="s">
        <v>12</v>
      </c>
      <c r="D457" s="12"/>
      <c r="E457" s="12">
        <v>45880</v>
      </c>
      <c r="AI457" s="12" t="s">
        <v>965</v>
      </c>
      <c r="AJ457" s="12"/>
      <c r="AK457" s="12" t="s">
        <v>12</v>
      </c>
      <c r="AL457" s="12"/>
      <c r="AW457" s="7">
        <v>0</v>
      </c>
      <c r="AY457" s="7">
        <f t="shared" si="77"/>
        <v>0</v>
      </c>
      <c r="BA457" s="7">
        <f>+'St of Activites - GA Rev'!AI457-'St of Activities - GA Exp'!AY457</f>
        <v>0</v>
      </c>
      <c r="BE457" s="7">
        <f t="shared" si="76"/>
        <v>0</v>
      </c>
      <c r="BG457" s="7">
        <f>+'St of Net Assets - GA'!AA457-'St of Activities - GA Exp'!BE457</f>
        <v>0</v>
      </c>
      <c r="BH457" s="7" t="s">
        <v>903</v>
      </c>
      <c r="BL457" s="7" t="str">
        <f t="shared" si="58"/>
        <v>Pymatuning Valley Local SD (CASH)</v>
      </c>
      <c r="BM457" s="7" t="b">
        <f t="shared" si="59"/>
        <v>1</v>
      </c>
      <c r="BO457" s="7" t="str">
        <f t="shared" si="60"/>
        <v>Ashtabula</v>
      </c>
      <c r="BP457" s="7" t="b">
        <f t="shared" si="61"/>
        <v>1</v>
      </c>
    </row>
    <row r="458" spans="1:68" s="32" customFormat="1">
      <c r="A458" s="31" t="s">
        <v>659</v>
      </c>
      <c r="B458" s="31"/>
      <c r="C458" s="31" t="s">
        <v>56</v>
      </c>
      <c r="D458" s="31"/>
      <c r="E458" s="31"/>
      <c r="G458" s="32">
        <v>9925942</v>
      </c>
      <c r="I458" s="32">
        <v>5039459</v>
      </c>
      <c r="K458" s="32">
        <v>337680</v>
      </c>
      <c r="M458" s="32">
        <v>0</v>
      </c>
      <c r="O458" s="32">
        <f>26108+1991896</f>
        <v>2018004</v>
      </c>
      <c r="Q458" s="32">
        <v>1413456</v>
      </c>
      <c r="S458" s="32">
        <v>909854</v>
      </c>
      <c r="U458" s="32">
        <v>65661</v>
      </c>
      <c r="W458" s="32">
        <v>2304888</v>
      </c>
      <c r="Y458" s="32">
        <v>688994</v>
      </c>
      <c r="AA458" s="32">
        <v>254061</v>
      </c>
      <c r="AC458" s="32">
        <v>4381866</v>
      </c>
      <c r="AE458" s="32">
        <v>1142842</v>
      </c>
      <c r="AG458" s="32">
        <v>725826</v>
      </c>
      <c r="AI458" s="31" t="s">
        <v>659</v>
      </c>
      <c r="AJ458" s="31"/>
      <c r="AK458" s="31" t="s">
        <v>56</v>
      </c>
      <c r="AL458" s="31"/>
      <c r="AM458" s="32">
        <v>1522337</v>
      </c>
      <c r="AO458" s="32">
        <v>31544</v>
      </c>
      <c r="AQ458" s="32">
        <v>769301</v>
      </c>
      <c r="AS458" s="32">
        <v>902681</v>
      </c>
      <c r="AW458" s="32">
        <v>0</v>
      </c>
      <c r="AY458" s="32">
        <f t="shared" si="77"/>
        <v>32434396</v>
      </c>
      <c r="BA458" s="32">
        <f>+'St of Activites - GA Rev'!AI458-'St of Activities - GA Exp'!AY458</f>
        <v>1406620</v>
      </c>
      <c r="BC458" s="32">
        <v>20380783</v>
      </c>
      <c r="BE458" s="32">
        <f t="shared" si="76"/>
        <v>21787403</v>
      </c>
      <c r="BG458" s="32">
        <f>+'St of Net Assets - GA'!AA458-'St of Activities - GA Exp'!BE458</f>
        <v>0</v>
      </c>
      <c r="BL458" s="32" t="str">
        <f t="shared" si="58"/>
        <v>Ravenna City SD</v>
      </c>
      <c r="BM458" s="32" t="b">
        <f t="shared" si="59"/>
        <v>1</v>
      </c>
      <c r="BO458" s="32" t="str">
        <f t="shared" si="60"/>
        <v>Portage</v>
      </c>
      <c r="BP458" s="32" t="b">
        <f t="shared" si="61"/>
        <v>1</v>
      </c>
    </row>
    <row r="459" spans="1:68" ht="12" customHeight="1">
      <c r="A459" s="12" t="s">
        <v>338</v>
      </c>
      <c r="B459" s="12"/>
      <c r="C459" s="12" t="s">
        <v>32</v>
      </c>
      <c r="D459" s="12"/>
      <c r="E459" s="12">
        <v>44693</v>
      </c>
      <c r="G459" s="7">
        <v>7014467</v>
      </c>
      <c r="I459" s="7">
        <v>1846538</v>
      </c>
      <c r="K459" s="7">
        <v>6888</v>
      </c>
      <c r="M459" s="7">
        <v>0</v>
      </c>
      <c r="O459" s="7">
        <v>546510</v>
      </c>
      <c r="Q459" s="7">
        <v>934242</v>
      </c>
      <c r="S459" s="7">
        <v>850171</v>
      </c>
      <c r="U459" s="7">
        <v>46111</v>
      </c>
      <c r="W459" s="7">
        <v>1417102</v>
      </c>
      <c r="Y459" s="7">
        <v>339459</v>
      </c>
      <c r="AA459" s="7">
        <v>0</v>
      </c>
      <c r="AC459" s="7">
        <v>1132420</v>
      </c>
      <c r="AE459" s="7">
        <v>270664</v>
      </c>
      <c r="AG459" s="7">
        <v>232210</v>
      </c>
      <c r="AI459" s="12" t="s">
        <v>338</v>
      </c>
      <c r="AJ459" s="12"/>
      <c r="AK459" s="12" t="s">
        <v>32</v>
      </c>
      <c r="AL459" s="12"/>
      <c r="AM459" s="7">
        <v>0</v>
      </c>
      <c r="AO459" s="7">
        <v>1438464</v>
      </c>
      <c r="AQ459" s="7">
        <v>536538</v>
      </c>
      <c r="AS459" s="7">
        <v>14328</v>
      </c>
      <c r="AW459" s="7">
        <v>0</v>
      </c>
      <c r="AY459" s="7">
        <f t="shared" si="77"/>
        <v>16626112</v>
      </c>
      <c r="BA459" s="7">
        <f>+'St of Activites - GA Rev'!AI459-'St of Activities - GA Exp'!AY459</f>
        <v>1554935</v>
      </c>
      <c r="BC459" s="7">
        <v>4466900</v>
      </c>
      <c r="BE459" s="7">
        <f t="shared" si="76"/>
        <v>6021835</v>
      </c>
      <c r="BG459" s="7">
        <f>+'St of Net Assets - GA'!AA459-'St of Activities - GA Exp'!BE459</f>
        <v>0</v>
      </c>
      <c r="BH459" s="7" t="s">
        <v>967</v>
      </c>
      <c r="BL459" s="7" t="str">
        <f t="shared" si="58"/>
        <v>Reading Community City SD</v>
      </c>
      <c r="BM459" s="7" t="b">
        <f t="shared" si="59"/>
        <v>1</v>
      </c>
      <c r="BO459" s="7" t="str">
        <f t="shared" si="60"/>
        <v>Hamilton</v>
      </c>
      <c r="BP459" s="7" t="b">
        <f t="shared" si="61"/>
        <v>1</v>
      </c>
    </row>
    <row r="460" spans="1:68">
      <c r="A460" s="12" t="s">
        <v>529</v>
      </c>
      <c r="B460" s="12"/>
      <c r="C460" s="12" t="s">
        <v>63</v>
      </c>
      <c r="D460" s="12"/>
      <c r="E460" s="12">
        <v>50054</v>
      </c>
      <c r="G460" s="7">
        <v>16386766</v>
      </c>
      <c r="I460" s="7">
        <v>1260499</v>
      </c>
      <c r="K460" s="7">
        <v>437213</v>
      </c>
      <c r="M460" s="7">
        <v>0</v>
      </c>
      <c r="O460" s="7">
        <f>1827939+631688</f>
        <v>2459627</v>
      </c>
      <c r="Q460" s="7">
        <v>1693687</v>
      </c>
      <c r="S460" s="7">
        <v>1165653</v>
      </c>
      <c r="U460" s="7">
        <v>189462</v>
      </c>
      <c r="W460" s="7">
        <v>2281599</v>
      </c>
      <c r="Y460" s="7">
        <v>1190881</v>
      </c>
      <c r="AA460" s="7">
        <v>57277</v>
      </c>
      <c r="AC460" s="7">
        <v>3103918</v>
      </c>
      <c r="AE460" s="7">
        <v>2264694</v>
      </c>
      <c r="AG460" s="7">
        <v>264314</v>
      </c>
      <c r="AI460" s="12" t="s">
        <v>529</v>
      </c>
      <c r="AJ460" s="12"/>
      <c r="AK460" s="12" t="s">
        <v>63</v>
      </c>
      <c r="AL460" s="12"/>
      <c r="AM460" s="7">
        <v>921435</v>
      </c>
      <c r="AO460" s="7">
        <v>311091</v>
      </c>
      <c r="AQ460" s="7">
        <v>1164408</v>
      </c>
      <c r="AS460" s="7">
        <v>359265</v>
      </c>
      <c r="AW460" s="7">
        <v>0</v>
      </c>
      <c r="AY460" s="7">
        <f t="shared" si="77"/>
        <v>35511789</v>
      </c>
      <c r="BA460" s="7">
        <f>+'St of Activites - GA Rev'!AI460-'St of Activities - GA Exp'!AY460</f>
        <v>1564436</v>
      </c>
      <c r="BC460" s="7">
        <v>24275046</v>
      </c>
      <c r="BE460" s="7">
        <f t="shared" si="76"/>
        <v>25839482</v>
      </c>
      <c r="BG460" s="7">
        <f>+'St of Net Assets - GA'!AA460-'St of Activities - GA Exp'!BE460</f>
        <v>0</v>
      </c>
      <c r="BL460" s="7" t="str">
        <f t="shared" si="58"/>
        <v>Revere Local SD</v>
      </c>
      <c r="BM460" s="7" t="b">
        <f t="shared" si="59"/>
        <v>1</v>
      </c>
      <c r="BO460" s="7" t="str">
        <f t="shared" si="60"/>
        <v>Summit</v>
      </c>
      <c r="BP460" s="7" t="b">
        <f t="shared" si="61"/>
        <v>1</v>
      </c>
    </row>
    <row r="461" spans="1:68" hidden="1">
      <c r="A461" s="12" t="s">
        <v>968</v>
      </c>
      <c r="B461" s="12"/>
      <c r="C461" s="12" t="s">
        <v>27</v>
      </c>
      <c r="D461" s="12"/>
      <c r="E461" s="12">
        <v>47001</v>
      </c>
      <c r="AI461" s="12" t="s">
        <v>968</v>
      </c>
      <c r="AJ461" s="12"/>
      <c r="AK461" s="12" t="s">
        <v>27</v>
      </c>
      <c r="AL461" s="12"/>
      <c r="AW461" s="7">
        <v>0</v>
      </c>
      <c r="AY461" s="7">
        <f t="shared" si="77"/>
        <v>0</v>
      </c>
      <c r="BA461" s="7">
        <f>+'St of Activites - GA Rev'!AI461-'St of Activities - GA Exp'!AY461</f>
        <v>0</v>
      </c>
      <c r="BE461" s="7">
        <f t="shared" si="76"/>
        <v>0</v>
      </c>
      <c r="BG461" s="7">
        <f>+'St of Net Assets - GA'!AA461-'St of Activities - GA Exp'!BE461</f>
        <v>0</v>
      </c>
      <c r="BH461" s="7" t="s">
        <v>903</v>
      </c>
      <c r="BL461" s="7" t="str">
        <f t="shared" si="58"/>
        <v>Reynoldsburg City SD (CASH)</v>
      </c>
      <c r="BM461" s="7" t="b">
        <f t="shared" si="59"/>
        <v>1</v>
      </c>
      <c r="BO461" s="7" t="str">
        <f t="shared" si="60"/>
        <v>Franklin</v>
      </c>
      <c r="BP461" s="7" t="b">
        <f t="shared" si="61"/>
        <v>1</v>
      </c>
    </row>
    <row r="462" spans="1:68" ht="12" customHeight="1">
      <c r="A462" s="12" t="s">
        <v>282</v>
      </c>
      <c r="B462" s="12"/>
      <c r="C462" s="12" t="s">
        <v>20</v>
      </c>
      <c r="D462" s="12"/>
      <c r="E462" s="12">
        <v>46599</v>
      </c>
      <c r="G462" s="7">
        <v>5232106</v>
      </c>
      <c r="I462" s="7">
        <v>2200342</v>
      </c>
      <c r="K462" s="7">
        <v>212193</v>
      </c>
      <c r="M462" s="7">
        <v>0</v>
      </c>
      <c r="O462" s="7">
        <v>0</v>
      </c>
      <c r="Q462" s="7">
        <v>778673</v>
      </c>
      <c r="S462" s="7">
        <v>275127</v>
      </c>
      <c r="U462" s="7">
        <v>295272</v>
      </c>
      <c r="W462" s="7">
        <v>1103095</v>
      </c>
      <c r="Y462" s="7">
        <v>640252</v>
      </c>
      <c r="AA462" s="7">
        <v>1094</v>
      </c>
      <c r="AC462" s="7">
        <v>1212758</v>
      </c>
      <c r="AE462" s="7">
        <v>970663</v>
      </c>
      <c r="AG462" s="7">
        <v>186350</v>
      </c>
      <c r="AI462" s="12" t="s">
        <v>282</v>
      </c>
      <c r="AJ462" s="12"/>
      <c r="AK462" s="12" t="s">
        <v>20</v>
      </c>
      <c r="AL462" s="12"/>
      <c r="AM462" s="7">
        <v>0</v>
      </c>
      <c r="AO462" s="7">
        <v>13998</v>
      </c>
      <c r="AQ462" s="7">
        <v>358381</v>
      </c>
      <c r="AS462" s="7">
        <v>56915</v>
      </c>
      <c r="AW462" s="7">
        <v>0</v>
      </c>
      <c r="AY462" s="7">
        <f t="shared" si="77"/>
        <v>13537219</v>
      </c>
      <c r="BA462" s="7">
        <f>+'St of Activites - GA Rev'!AI462-'St of Activities - GA Exp'!AY462</f>
        <v>2088436</v>
      </c>
      <c r="BC462" s="7">
        <v>2835593</v>
      </c>
      <c r="BE462" s="7">
        <f t="shared" si="76"/>
        <v>4924029</v>
      </c>
      <c r="BG462" s="7">
        <f>+'St of Net Assets - GA'!AA462-'St of Activities - GA Exp'!BE462</f>
        <v>0</v>
      </c>
      <c r="BL462" s="7" t="str">
        <f t="shared" si="58"/>
        <v>Richmond Heights Local SD</v>
      </c>
      <c r="BM462" s="7" t="b">
        <f t="shared" si="59"/>
        <v>1</v>
      </c>
      <c r="BO462" s="7" t="str">
        <f t="shared" si="60"/>
        <v>Cuyahoga</v>
      </c>
      <c r="BP462" s="7" t="b">
        <f t="shared" si="61"/>
        <v>1</v>
      </c>
    </row>
    <row r="463" spans="1:68">
      <c r="A463" s="12" t="s">
        <v>425</v>
      </c>
      <c r="B463" s="12"/>
      <c r="C463" s="12" t="s">
        <v>46</v>
      </c>
      <c r="D463" s="12"/>
      <c r="E463" s="12">
        <v>48439</v>
      </c>
      <c r="G463" s="7">
        <v>3257139</v>
      </c>
      <c r="I463" s="7">
        <v>477067</v>
      </c>
      <c r="K463" s="7">
        <v>153867</v>
      </c>
      <c r="M463" s="7">
        <v>0</v>
      </c>
      <c r="O463" s="7">
        <f>54064+1049734</f>
        <v>1103798</v>
      </c>
      <c r="Q463" s="7">
        <v>338255</v>
      </c>
      <c r="S463" s="7">
        <v>326725</v>
      </c>
      <c r="U463" s="7">
        <v>45943</v>
      </c>
      <c r="W463" s="7">
        <v>729925</v>
      </c>
      <c r="Y463" s="7">
        <v>233818</v>
      </c>
      <c r="AA463" s="7">
        <v>603</v>
      </c>
      <c r="AC463" s="7">
        <v>857346</v>
      </c>
      <c r="AE463" s="7">
        <v>478259</v>
      </c>
      <c r="AG463" s="7">
        <v>29625</v>
      </c>
      <c r="AI463" s="12" t="s">
        <v>425</v>
      </c>
      <c r="AJ463" s="12"/>
      <c r="AK463" s="12" t="s">
        <v>46</v>
      </c>
      <c r="AL463" s="12"/>
      <c r="AM463" s="7">
        <v>334489</v>
      </c>
      <c r="AO463" s="7">
        <v>0</v>
      </c>
      <c r="AQ463" s="7">
        <v>242880</v>
      </c>
      <c r="AS463" s="7">
        <v>13613</v>
      </c>
      <c r="AW463" s="7">
        <v>0</v>
      </c>
      <c r="AY463" s="7">
        <f t="shared" si="77"/>
        <v>8623352</v>
      </c>
      <c r="BA463" s="7">
        <f>+'St of Activites - GA Rev'!AI463-'St of Activities - GA Exp'!AY463</f>
        <v>593682</v>
      </c>
      <c r="BC463" s="7">
        <v>4160291</v>
      </c>
      <c r="BE463" s="7">
        <f t="shared" si="76"/>
        <v>4753973</v>
      </c>
      <c r="BG463" s="7">
        <f>+'St of Net Assets - GA'!AA463-'St of Activities - GA Exp'!BE463</f>
        <v>0</v>
      </c>
      <c r="BL463" s="7" t="str">
        <f t="shared" si="58"/>
        <v>Ridgedale Local SD</v>
      </c>
      <c r="BM463" s="7" t="b">
        <f t="shared" si="59"/>
        <v>1</v>
      </c>
      <c r="BO463" s="7" t="str">
        <f t="shared" si="60"/>
        <v>Marion</v>
      </c>
      <c r="BP463" s="7" t="b">
        <f t="shared" si="61"/>
        <v>1</v>
      </c>
    </row>
    <row r="464" spans="1:68" ht="12" customHeight="1">
      <c r="A464" s="12" t="s">
        <v>752</v>
      </c>
      <c r="B464" s="12"/>
      <c r="C464" s="12" t="s">
        <v>348</v>
      </c>
      <c r="D464" s="12"/>
      <c r="E464" s="12">
        <v>47506</v>
      </c>
      <c r="G464" s="7">
        <v>2525728</v>
      </c>
      <c r="I464" s="7">
        <v>441824</v>
      </c>
      <c r="K464" s="7">
        <v>263387</v>
      </c>
      <c r="M464" s="7">
        <v>0</v>
      </c>
      <c r="O464" s="7">
        <v>45537</v>
      </c>
      <c r="Q464" s="7">
        <v>78290</v>
      </c>
      <c r="S464" s="7">
        <v>207636</v>
      </c>
      <c r="U464" s="7">
        <v>29888</v>
      </c>
      <c r="W464" s="7">
        <v>666492</v>
      </c>
      <c r="Y464" s="7">
        <v>234879</v>
      </c>
      <c r="AA464" s="7">
        <v>0</v>
      </c>
      <c r="AC464" s="7">
        <v>467454</v>
      </c>
      <c r="AE464" s="7">
        <v>385619</v>
      </c>
      <c r="AG464" s="7">
        <v>4947</v>
      </c>
      <c r="AI464" s="12" t="s">
        <v>752</v>
      </c>
      <c r="AJ464" s="12"/>
      <c r="AK464" s="12" t="s">
        <v>348</v>
      </c>
      <c r="AL464" s="12"/>
      <c r="AM464" s="7">
        <v>0</v>
      </c>
      <c r="AO464" s="7">
        <v>52605</v>
      </c>
      <c r="AQ464" s="7">
        <v>200598</v>
      </c>
      <c r="AS464" s="7">
        <v>60436</v>
      </c>
      <c r="AW464" s="7">
        <v>4270</v>
      </c>
      <c r="AY464" s="7">
        <f t="shared" si="77"/>
        <v>5669590</v>
      </c>
      <c r="BA464" s="7">
        <f>+'St of Activites - GA Rev'!AI464-'St of Activities - GA Exp'!AY464</f>
        <v>311336</v>
      </c>
      <c r="BC464" s="7">
        <v>1881818</v>
      </c>
      <c r="BE464" s="7">
        <f t="shared" si="76"/>
        <v>2193154</v>
      </c>
      <c r="BG464" s="7">
        <f>+'St of Net Assets - GA'!AA464-'St of Activities - GA Exp'!BE464</f>
        <v>0</v>
      </c>
      <c r="BH464" s="14"/>
      <c r="BL464" s="7" t="str">
        <f t="shared" ref="BL464:BL527" si="83">A464</f>
        <v xml:space="preserve">Ridgemont Local SD </v>
      </c>
      <c r="BM464" s="7" t="b">
        <f t="shared" ref="BM464:BM527" si="84">A464=AI464</f>
        <v>1</v>
      </c>
      <c r="BO464" s="7" t="str">
        <f t="shared" ref="BO464:BO527" si="85">C464</f>
        <v>Hardin</v>
      </c>
      <c r="BP464" s="7" t="b">
        <f t="shared" ref="BP464:BP527" si="86">C464=AK464</f>
        <v>1</v>
      </c>
    </row>
    <row r="465" spans="1:68">
      <c r="A465" s="12" t="s">
        <v>260</v>
      </c>
      <c r="B465" s="12"/>
      <c r="C465" s="12" t="s">
        <v>19</v>
      </c>
      <c r="D465" s="12"/>
      <c r="E465" s="12">
        <v>46474</v>
      </c>
      <c r="G465" s="7">
        <v>6267360</v>
      </c>
      <c r="I465" s="7">
        <v>1312348</v>
      </c>
      <c r="K465" s="7">
        <v>255185</v>
      </c>
      <c r="M465" s="7">
        <v>0</v>
      </c>
      <c r="O465" s="7">
        <v>64884</v>
      </c>
      <c r="Q465" s="7">
        <v>561362</v>
      </c>
      <c r="S465" s="7">
        <v>567407</v>
      </c>
      <c r="U465" s="7">
        <v>55660</v>
      </c>
      <c r="W465" s="7">
        <v>838935</v>
      </c>
      <c r="Y465" s="7">
        <v>327871</v>
      </c>
      <c r="AA465" s="7">
        <v>13477</v>
      </c>
      <c r="AC465" s="7">
        <v>1306813</v>
      </c>
      <c r="AE465" s="7">
        <v>894870</v>
      </c>
      <c r="AG465" s="7">
        <v>3178</v>
      </c>
      <c r="AI465" s="12" t="s">
        <v>260</v>
      </c>
      <c r="AJ465" s="12"/>
      <c r="AK465" s="12" t="s">
        <v>19</v>
      </c>
      <c r="AL465" s="12"/>
      <c r="AM465" s="7">
        <v>667523</v>
      </c>
      <c r="AO465" s="7">
        <v>100</v>
      </c>
      <c r="AQ465" s="7">
        <v>491524</v>
      </c>
      <c r="AS465" s="7">
        <v>140608</v>
      </c>
      <c r="AW465" s="7">
        <v>0</v>
      </c>
      <c r="AY465" s="7">
        <f t="shared" si="77"/>
        <v>13769105</v>
      </c>
      <c r="BA465" s="7">
        <f>+'St of Activites - GA Rev'!AI465-'St of Activities - GA Exp'!AY465</f>
        <v>-303832</v>
      </c>
      <c r="BC465" s="7">
        <v>16269704</v>
      </c>
      <c r="BE465" s="7">
        <f t="shared" si="76"/>
        <v>15965872</v>
      </c>
      <c r="BG465" s="7">
        <f>+'St of Net Assets - GA'!AA465-'St of Activities - GA Exp'!BE465</f>
        <v>0</v>
      </c>
      <c r="BL465" s="7" t="str">
        <f t="shared" si="83"/>
        <v>Ridgewood Local SD</v>
      </c>
      <c r="BM465" s="7" t="b">
        <f t="shared" si="84"/>
        <v>1</v>
      </c>
      <c r="BO465" s="7" t="str">
        <f t="shared" si="85"/>
        <v>Coshocton</v>
      </c>
      <c r="BP465" s="7" t="b">
        <f t="shared" si="86"/>
        <v>1</v>
      </c>
    </row>
    <row r="466" spans="1:68" hidden="1">
      <c r="A466" s="12" t="s">
        <v>969</v>
      </c>
      <c r="B466" s="12"/>
      <c r="C466" s="12" t="s">
        <v>77</v>
      </c>
      <c r="D466" s="12"/>
      <c r="E466" s="12">
        <v>46078</v>
      </c>
      <c r="AI466" s="12" t="s">
        <v>969</v>
      </c>
      <c r="AJ466" s="12"/>
      <c r="AK466" s="12" t="s">
        <v>77</v>
      </c>
      <c r="AL466" s="12"/>
      <c r="AW466" s="7">
        <v>0</v>
      </c>
      <c r="AY466" s="7">
        <f t="shared" si="77"/>
        <v>0</v>
      </c>
      <c r="BA466" s="7">
        <f>+'St of Activites - GA Rev'!AI466-'St of Activities - GA Exp'!AY466</f>
        <v>0</v>
      </c>
      <c r="BE466" s="7">
        <f t="shared" si="76"/>
        <v>0</v>
      </c>
      <c r="BG466" s="7">
        <f>+'St of Net Assets - GA'!AA466-'St of Activities - GA Exp'!BE466</f>
        <v>0</v>
      </c>
      <c r="BH466" s="7" t="s">
        <v>903</v>
      </c>
      <c r="BL466" s="7" t="str">
        <f t="shared" si="83"/>
        <v>Ripley Union Lewis Huntington Local SD (CASH)</v>
      </c>
      <c r="BM466" s="7" t="b">
        <f t="shared" si="84"/>
        <v>1</v>
      </c>
      <c r="BO466" s="7" t="str">
        <f t="shared" si="85"/>
        <v>Brown</v>
      </c>
      <c r="BP466" s="7" t="b">
        <f t="shared" si="86"/>
        <v>1</v>
      </c>
    </row>
    <row r="467" spans="1:68" hidden="1">
      <c r="A467" s="12" t="s">
        <v>970</v>
      </c>
      <c r="B467" s="12"/>
      <c r="C467" s="12" t="s">
        <v>71</v>
      </c>
      <c r="D467" s="12"/>
      <c r="E467" s="12">
        <v>45591</v>
      </c>
      <c r="AI467" s="12" t="s">
        <v>970</v>
      </c>
      <c r="AJ467" s="12"/>
      <c r="AK467" s="12" t="s">
        <v>71</v>
      </c>
      <c r="AL467" s="12"/>
      <c r="AW467" s="7">
        <v>0</v>
      </c>
      <c r="AY467" s="7">
        <f t="shared" si="77"/>
        <v>0</v>
      </c>
      <c r="BA467" s="7">
        <f>+'St of Activites - GA Rev'!AI467-'St of Activities - GA Exp'!AY467</f>
        <v>0</v>
      </c>
      <c r="BE467" s="7">
        <f t="shared" si="76"/>
        <v>0</v>
      </c>
      <c r="BG467" s="7">
        <f>+'St of Net Assets - GA'!AA467-'St of Activities - GA Exp'!BE467</f>
        <v>0</v>
      </c>
      <c r="BH467" s="7" t="s">
        <v>903</v>
      </c>
      <c r="BL467" s="7" t="str">
        <f t="shared" si="83"/>
        <v>Rittman Exempted Village SD (CASH)</v>
      </c>
      <c r="BM467" s="7" t="b">
        <f t="shared" si="84"/>
        <v>1</v>
      </c>
      <c r="BO467" s="7" t="str">
        <f t="shared" si="85"/>
        <v>Wayne</v>
      </c>
      <c r="BP467" s="7" t="b">
        <f t="shared" si="86"/>
        <v>1</v>
      </c>
    </row>
    <row r="468" spans="1:68">
      <c r="A468" s="12" t="s">
        <v>426</v>
      </c>
      <c r="B468" s="12"/>
      <c r="C468" s="12" t="s">
        <v>46</v>
      </c>
      <c r="D468" s="12"/>
      <c r="E468" s="12">
        <v>48447</v>
      </c>
      <c r="G468" s="7">
        <v>9561378</v>
      </c>
      <c r="I468" s="7">
        <v>1538042</v>
      </c>
      <c r="K468" s="7">
        <v>187186</v>
      </c>
      <c r="M468" s="7">
        <v>0</v>
      </c>
      <c r="O468" s="7">
        <v>0</v>
      </c>
      <c r="Q468" s="7">
        <v>372441</v>
      </c>
      <c r="S468" s="7">
        <v>854127</v>
      </c>
      <c r="U468" s="7">
        <v>15172</v>
      </c>
      <c r="W468" s="7">
        <v>1558175</v>
      </c>
      <c r="Y468" s="7">
        <v>431608</v>
      </c>
      <c r="AA468" s="7">
        <v>53453</v>
      </c>
      <c r="AC468" s="7">
        <v>1307486</v>
      </c>
      <c r="AE468" s="7">
        <v>1135232</v>
      </c>
      <c r="AG468" s="7">
        <v>66421</v>
      </c>
      <c r="AI468" s="12" t="s">
        <v>426</v>
      </c>
      <c r="AJ468" s="12"/>
      <c r="AK468" s="12" t="s">
        <v>46</v>
      </c>
      <c r="AL468" s="12"/>
      <c r="AM468" s="7">
        <v>0</v>
      </c>
      <c r="AO468" s="7">
        <v>840183</v>
      </c>
      <c r="AQ468" s="7">
        <v>586437</v>
      </c>
      <c r="AS468" s="7">
        <v>653962</v>
      </c>
      <c r="AW468" s="7">
        <v>0</v>
      </c>
      <c r="AY468" s="7">
        <f t="shared" si="77"/>
        <v>19161303</v>
      </c>
      <c r="BA468" s="7">
        <f>+'St of Activites - GA Rev'!AI468-'St of Activities - GA Exp'!AY468</f>
        <v>580992</v>
      </c>
      <c r="BC468" s="7">
        <v>29306590</v>
      </c>
      <c r="BE468" s="7">
        <f t="shared" si="76"/>
        <v>29887582</v>
      </c>
      <c r="BG468" s="7">
        <f>+'St of Net Assets - GA'!AA468-'St of Activities - GA Exp'!BE468</f>
        <v>0</v>
      </c>
      <c r="BL468" s="7" t="str">
        <f t="shared" si="83"/>
        <v>River Valley Local SD</v>
      </c>
      <c r="BM468" s="7" t="b">
        <f t="shared" si="84"/>
        <v>1</v>
      </c>
      <c r="BO468" s="7" t="str">
        <f t="shared" si="85"/>
        <v>Marion</v>
      </c>
      <c r="BP468" s="7" t="b">
        <f t="shared" si="86"/>
        <v>1</v>
      </c>
    </row>
    <row r="469" spans="1:68">
      <c r="A469" s="12" t="s">
        <v>261</v>
      </c>
      <c r="B469" s="12"/>
      <c r="C469" s="12" t="s">
        <v>19</v>
      </c>
      <c r="D469" s="12"/>
      <c r="E469" s="12">
        <v>46482</v>
      </c>
      <c r="G469" s="7">
        <v>9461725</v>
      </c>
      <c r="I469" s="7">
        <v>2694390</v>
      </c>
      <c r="K469" s="7">
        <v>408408</v>
      </c>
      <c r="M469" s="7">
        <v>0</v>
      </c>
      <c r="O469" s="7">
        <v>0</v>
      </c>
      <c r="Q469" s="7">
        <v>872926</v>
      </c>
      <c r="S469" s="7">
        <v>1303497</v>
      </c>
      <c r="U469" s="7">
        <v>118343</v>
      </c>
      <c r="W469" s="7">
        <v>1627617</v>
      </c>
      <c r="Y469" s="7">
        <v>602200</v>
      </c>
      <c r="AA469" s="7">
        <v>0</v>
      </c>
      <c r="AC469" s="7">
        <v>2024799</v>
      </c>
      <c r="AE469" s="7">
        <v>1659121</v>
      </c>
      <c r="AG469" s="7">
        <v>445940</v>
      </c>
      <c r="AI469" s="12" t="s">
        <v>261</v>
      </c>
      <c r="AJ469" s="12"/>
      <c r="AK469" s="12" t="s">
        <v>19</v>
      </c>
      <c r="AL469" s="12"/>
      <c r="AM469" s="7">
        <v>935450</v>
      </c>
      <c r="AO469" s="7">
        <v>35798</v>
      </c>
      <c r="AQ469" s="7">
        <v>456262</v>
      </c>
      <c r="AS469" s="7">
        <v>67556</v>
      </c>
      <c r="AW469" s="7">
        <v>0</v>
      </c>
      <c r="AY469" s="7">
        <f t="shared" si="77"/>
        <v>22714032</v>
      </c>
      <c r="BA469" s="7">
        <f>+'St of Activites - GA Rev'!AI469-'St of Activities - GA Exp'!AY469</f>
        <v>1411515</v>
      </c>
      <c r="BC469" s="7">
        <v>11453536</v>
      </c>
      <c r="BE469" s="7">
        <f t="shared" si="76"/>
        <v>12865051</v>
      </c>
      <c r="BG469" s="7">
        <f>+'St of Net Assets - GA'!AA469-'St of Activities - GA Exp'!BE469</f>
        <v>0</v>
      </c>
      <c r="BL469" s="7" t="str">
        <f t="shared" si="83"/>
        <v>River View Local SD</v>
      </c>
      <c r="BM469" s="7" t="b">
        <f t="shared" si="84"/>
        <v>1</v>
      </c>
      <c r="BO469" s="7" t="str">
        <f t="shared" si="85"/>
        <v>Coshocton</v>
      </c>
      <c r="BP469" s="7" t="b">
        <f t="shared" si="86"/>
        <v>1</v>
      </c>
    </row>
    <row r="470" spans="1:68" hidden="1">
      <c r="A470" s="12" t="s">
        <v>971</v>
      </c>
      <c r="B470" s="12"/>
      <c r="C470" s="12" t="s">
        <v>348</v>
      </c>
      <c r="D470" s="12"/>
      <c r="E470" s="12">
        <v>47514</v>
      </c>
      <c r="AI470" s="12" t="s">
        <v>971</v>
      </c>
      <c r="AJ470" s="12"/>
      <c r="AK470" s="12" t="s">
        <v>348</v>
      </c>
      <c r="AL470" s="12"/>
      <c r="AW470" s="7">
        <v>0</v>
      </c>
      <c r="AY470" s="7">
        <f t="shared" si="77"/>
        <v>0</v>
      </c>
      <c r="BA470" s="7">
        <f>+'St of Activites - GA Rev'!AI470-'St of Activities - GA Exp'!AY470</f>
        <v>0</v>
      </c>
      <c r="BE470" s="7">
        <f t="shared" si="76"/>
        <v>0</v>
      </c>
      <c r="BG470" s="7">
        <f>+'St of Net Assets - GA'!AA470-'St of Activities - GA Exp'!BE470</f>
        <v>0</v>
      </c>
      <c r="BH470" s="7" t="s">
        <v>912</v>
      </c>
      <c r="BL470" s="7" t="str">
        <f t="shared" si="83"/>
        <v>Riverdale Local SD (CASH)</v>
      </c>
      <c r="BM470" s="7" t="b">
        <f t="shared" si="84"/>
        <v>1</v>
      </c>
      <c r="BO470" s="7" t="str">
        <f t="shared" si="85"/>
        <v>Hardin</v>
      </c>
      <c r="BP470" s="7" t="b">
        <f t="shared" si="86"/>
        <v>1</v>
      </c>
    </row>
    <row r="471" spans="1:68">
      <c r="A471" s="12" t="s">
        <v>391</v>
      </c>
      <c r="B471" s="12"/>
      <c r="C471" s="12" t="s">
        <v>41</v>
      </c>
      <c r="D471" s="12"/>
      <c r="E471" s="12"/>
      <c r="G471" s="7">
        <v>21047840</v>
      </c>
      <c r="I471" s="7">
        <v>4334915</v>
      </c>
      <c r="K471" s="7">
        <v>0</v>
      </c>
      <c r="M471" s="7">
        <v>0</v>
      </c>
      <c r="O471" s="7">
        <v>594611</v>
      </c>
      <c r="Q471" s="7">
        <v>2132774</v>
      </c>
      <c r="S471" s="7">
        <v>1625650</v>
      </c>
      <c r="U471" s="7">
        <v>22471</v>
      </c>
      <c r="W471" s="7">
        <v>4414705</v>
      </c>
      <c r="Y471" s="7">
        <v>1006799</v>
      </c>
      <c r="AA471" s="7">
        <v>10446</v>
      </c>
      <c r="AC471" s="7">
        <v>4398252</v>
      </c>
      <c r="AE471" s="7">
        <v>5051736</v>
      </c>
      <c r="AG471" s="7">
        <v>40501</v>
      </c>
      <c r="AI471" s="12" t="s">
        <v>391</v>
      </c>
      <c r="AJ471" s="12"/>
      <c r="AK471" s="12" t="s">
        <v>41</v>
      </c>
      <c r="AL471" s="12"/>
      <c r="AM471" s="7">
        <v>0</v>
      </c>
      <c r="AO471" s="7">
        <v>94520</v>
      </c>
      <c r="AQ471" s="7">
        <v>857802</v>
      </c>
      <c r="AS471" s="7">
        <v>142257</v>
      </c>
      <c r="AW471" s="7">
        <v>0</v>
      </c>
      <c r="AY471" s="7">
        <f t="shared" si="77"/>
        <v>45775279</v>
      </c>
      <c r="BA471" s="7">
        <f>+'St of Activites - GA Rev'!AI471-'St of Activities - GA Exp'!AY471</f>
        <v>-2435524</v>
      </c>
      <c r="BC471" s="7">
        <v>16010951</v>
      </c>
      <c r="BE471" s="7">
        <f t="shared" si="76"/>
        <v>13575427</v>
      </c>
      <c r="BG471" s="7">
        <f>+'St of Net Assets - GA'!AA471-'St of Activities - GA Exp'!BE471</f>
        <v>0</v>
      </c>
      <c r="BL471" s="7" t="str">
        <f t="shared" si="83"/>
        <v>Riverside Local SD</v>
      </c>
      <c r="BM471" s="7" t="b">
        <f t="shared" si="84"/>
        <v>1</v>
      </c>
      <c r="BO471" s="7" t="str">
        <f t="shared" si="85"/>
        <v>Lake</v>
      </c>
      <c r="BP471" s="7" t="b">
        <f t="shared" si="86"/>
        <v>1</v>
      </c>
    </row>
    <row r="472" spans="1:68">
      <c r="A472" s="12" t="s">
        <v>391</v>
      </c>
      <c r="B472" s="12"/>
      <c r="C472" s="12" t="s">
        <v>43</v>
      </c>
      <c r="D472" s="12"/>
      <c r="E472" s="12">
        <v>48090</v>
      </c>
      <c r="G472" s="7">
        <v>3858071</v>
      </c>
      <c r="I472" s="7">
        <v>1169058</v>
      </c>
      <c r="K472" s="7">
        <v>157038</v>
      </c>
      <c r="M472" s="7">
        <v>0</v>
      </c>
      <c r="O472" s="7">
        <v>0</v>
      </c>
      <c r="Q472" s="7">
        <v>169137</v>
      </c>
      <c r="S472" s="7">
        <v>271942</v>
      </c>
      <c r="U472" s="7">
        <v>14649</v>
      </c>
      <c r="W472" s="7">
        <v>425852</v>
      </c>
      <c r="Y472" s="7">
        <v>257081</v>
      </c>
      <c r="AA472" s="7">
        <v>21655</v>
      </c>
      <c r="AC472" s="7">
        <v>905432</v>
      </c>
      <c r="AE472" s="7">
        <v>446916</v>
      </c>
      <c r="AG472" s="7">
        <v>147768</v>
      </c>
      <c r="AI472" s="12" t="s">
        <v>391</v>
      </c>
      <c r="AJ472" s="12"/>
      <c r="AK472" s="12" t="s">
        <v>43</v>
      </c>
      <c r="AL472" s="12"/>
      <c r="AM472" s="7">
        <v>386923</v>
      </c>
      <c r="AO472" s="7">
        <v>500</v>
      </c>
      <c r="AQ472" s="7">
        <v>241491</v>
      </c>
      <c r="AS472" s="7">
        <v>133642</v>
      </c>
      <c r="AW472" s="7">
        <v>0</v>
      </c>
      <c r="AY472" s="7">
        <f t="shared" si="77"/>
        <v>8607155</v>
      </c>
      <c r="BA472" s="7">
        <f>+'St of Activites - GA Rev'!AI472-'St of Activities - GA Exp'!AY472</f>
        <v>618805</v>
      </c>
      <c r="BC472" s="7">
        <v>9875733</v>
      </c>
      <c r="BE472" s="7">
        <f t="shared" si="76"/>
        <v>10494538</v>
      </c>
      <c r="BG472" s="7">
        <f>+'St of Net Assets - GA'!AA472-'St of Activities - GA Exp'!BE472</f>
        <v>0</v>
      </c>
      <c r="BL472" s="7" t="str">
        <f t="shared" si="83"/>
        <v>Riverside Local SD</v>
      </c>
      <c r="BM472" s="7" t="b">
        <f t="shared" si="84"/>
        <v>1</v>
      </c>
      <c r="BO472" s="7" t="str">
        <f t="shared" si="85"/>
        <v>Logan</v>
      </c>
      <c r="BP472" s="7" t="b">
        <f t="shared" si="86"/>
        <v>1</v>
      </c>
    </row>
    <row r="473" spans="1:68">
      <c r="A473" s="12" t="s">
        <v>381</v>
      </c>
      <c r="B473" s="12"/>
      <c r="C473" s="12" t="s">
        <v>377</v>
      </c>
      <c r="D473" s="12"/>
      <c r="E473" s="12">
        <v>47944</v>
      </c>
      <c r="G473" s="7">
        <v>10638715</v>
      </c>
      <c r="I473" s="7">
        <v>2915690</v>
      </c>
      <c r="K473" s="7">
        <v>427749</v>
      </c>
      <c r="M473" s="7">
        <v>0</v>
      </c>
      <c r="O473" s="7">
        <v>0</v>
      </c>
      <c r="Q473" s="7">
        <v>690731</v>
      </c>
      <c r="S473" s="7">
        <v>425329</v>
      </c>
      <c r="U473" s="7">
        <v>255997</v>
      </c>
      <c r="W473" s="7">
        <v>1312878</v>
      </c>
      <c r="Y473" s="7">
        <v>365570</v>
      </c>
      <c r="AA473" s="7">
        <v>0</v>
      </c>
      <c r="AC473" s="7">
        <v>2773809</v>
      </c>
      <c r="AE473" s="7">
        <v>1351417</v>
      </c>
      <c r="AG473" s="7">
        <v>107783</v>
      </c>
      <c r="AI473" s="12" t="s">
        <v>381</v>
      </c>
      <c r="AJ473" s="12"/>
      <c r="AK473" s="12" t="s">
        <v>377</v>
      </c>
      <c r="AL473" s="12"/>
      <c r="AM473" s="7">
        <v>1145508</v>
      </c>
      <c r="AO473" s="7">
        <v>148571</v>
      </c>
      <c r="AQ473" s="7">
        <v>592137</v>
      </c>
      <c r="AS473" s="7">
        <v>0</v>
      </c>
      <c r="AW473" s="7">
        <v>0</v>
      </c>
      <c r="AY473" s="7">
        <f t="shared" si="77"/>
        <v>23151884</v>
      </c>
      <c r="BA473" s="7">
        <f>+'St of Activites - GA Rev'!AI473-'St of Activities - GA Exp'!AY473</f>
        <v>-2639337</v>
      </c>
      <c r="BC473" s="7">
        <v>43315195</v>
      </c>
      <c r="BE473" s="7">
        <f t="shared" si="76"/>
        <v>40675858</v>
      </c>
      <c r="BG473" s="7">
        <f>+'St of Net Assets - GA'!AA473-'St of Activities - GA Exp'!BE473</f>
        <v>0</v>
      </c>
      <c r="BL473" s="7" t="str">
        <f t="shared" si="83"/>
        <v>Rock Hill Local SD</v>
      </c>
      <c r="BM473" s="7" t="b">
        <f t="shared" si="84"/>
        <v>1</v>
      </c>
      <c r="BO473" s="7" t="str">
        <f t="shared" si="85"/>
        <v>Lawrence</v>
      </c>
      <c r="BP473" s="7" t="b">
        <f t="shared" si="86"/>
        <v>1</v>
      </c>
    </row>
    <row r="474" spans="1:68" ht="12" customHeight="1">
      <c r="A474" s="12" t="s">
        <v>753</v>
      </c>
      <c r="B474" s="12"/>
      <c r="C474" s="12" t="s">
        <v>20</v>
      </c>
      <c r="D474" s="12"/>
      <c r="E474" s="12">
        <v>44701</v>
      </c>
      <c r="G474" s="7">
        <v>16463918</v>
      </c>
      <c r="I474" s="7">
        <v>4376236</v>
      </c>
      <c r="K474" s="7">
        <v>425663</v>
      </c>
      <c r="M474" s="7">
        <v>0</v>
      </c>
      <c r="O474" s="7">
        <v>30989</v>
      </c>
      <c r="Q474" s="7">
        <v>2623801</v>
      </c>
      <c r="S474" s="7">
        <v>689619</v>
      </c>
      <c r="U474" s="7">
        <v>36815</v>
      </c>
      <c r="W474" s="7">
        <v>2100440</v>
      </c>
      <c r="Y474" s="7">
        <v>816363</v>
      </c>
      <c r="AA474" s="7">
        <v>546381</v>
      </c>
      <c r="AC474" s="7">
        <v>4029757</v>
      </c>
      <c r="AE474" s="7">
        <v>1717789</v>
      </c>
      <c r="AG474" s="7">
        <v>680629</v>
      </c>
      <c r="AI474" s="12" t="s">
        <v>753</v>
      </c>
      <c r="AJ474" s="12"/>
      <c r="AK474" s="12" t="s">
        <v>20</v>
      </c>
      <c r="AL474" s="12"/>
      <c r="AM474" s="7">
        <v>460080</v>
      </c>
      <c r="AO474" s="7">
        <v>1718531</v>
      </c>
      <c r="AQ474" s="7">
        <v>1385135</v>
      </c>
      <c r="AS474" s="7">
        <v>2747932</v>
      </c>
      <c r="AW474" s="7">
        <v>0</v>
      </c>
      <c r="AY474" s="7">
        <f t="shared" si="77"/>
        <v>40850078</v>
      </c>
      <c r="BA474" s="7">
        <f>+'St of Activites - GA Rev'!AI474-'St of Activities - GA Exp'!AY474</f>
        <v>-291004</v>
      </c>
      <c r="BC474" s="7">
        <v>11851683</v>
      </c>
      <c r="BE474" s="7">
        <f t="shared" si="76"/>
        <v>11560679</v>
      </c>
      <c r="BG474" s="7">
        <f>+'St of Net Assets - GA'!AA474-'St of Activities - GA Exp'!BE474</f>
        <v>0</v>
      </c>
      <c r="BL474" s="7" t="str">
        <f t="shared" si="83"/>
        <v xml:space="preserve">Rocky River City SD </v>
      </c>
      <c r="BM474" s="7" t="b">
        <f t="shared" si="84"/>
        <v>1</v>
      </c>
      <c r="BO474" s="7" t="str">
        <f t="shared" si="85"/>
        <v>Cuyahoga</v>
      </c>
      <c r="BP474" s="7" t="b">
        <f t="shared" si="86"/>
        <v>1</v>
      </c>
    </row>
    <row r="475" spans="1:68" ht="12" customHeight="1">
      <c r="A475" s="12" t="s">
        <v>329</v>
      </c>
      <c r="B475" s="12"/>
      <c r="C475" s="12" t="s">
        <v>31</v>
      </c>
      <c r="D475" s="12"/>
      <c r="E475" s="12">
        <v>47308</v>
      </c>
      <c r="G475" s="7">
        <v>7425962</v>
      </c>
      <c r="I475" s="7">
        <v>2241480</v>
      </c>
      <c r="K475" s="7">
        <v>287687</v>
      </c>
      <c r="M475" s="7">
        <v>0</v>
      </c>
      <c r="O475" s="7">
        <v>1252480</v>
      </c>
      <c r="Q475" s="7">
        <v>498747</v>
      </c>
      <c r="S475" s="7">
        <v>1238347</v>
      </c>
      <c r="U475" s="7">
        <v>22743</v>
      </c>
      <c r="W475" s="7">
        <v>1163097</v>
      </c>
      <c r="Y475" s="7">
        <v>699240</v>
      </c>
      <c r="AA475" s="7">
        <v>0</v>
      </c>
      <c r="AC475" s="7">
        <v>1715608</v>
      </c>
      <c r="AE475" s="7">
        <v>857151</v>
      </c>
      <c r="AG475" s="7">
        <v>46941</v>
      </c>
      <c r="AI475" s="12" t="s">
        <v>329</v>
      </c>
      <c r="AJ475" s="12"/>
      <c r="AK475" s="12" t="s">
        <v>31</v>
      </c>
      <c r="AL475" s="12"/>
      <c r="AM475" s="7">
        <v>940052</v>
      </c>
      <c r="AO475" s="7">
        <v>4322</v>
      </c>
      <c r="AQ475" s="7">
        <v>269407</v>
      </c>
      <c r="AS475" s="7">
        <v>26428</v>
      </c>
      <c r="AW475" s="7">
        <v>0</v>
      </c>
      <c r="AY475" s="7">
        <f t="shared" si="77"/>
        <v>18689692</v>
      </c>
      <c r="BA475" s="7">
        <f>+'St of Activites - GA Rev'!AI475-'St of Activities - GA Exp'!AY475</f>
        <v>1931960</v>
      </c>
      <c r="BC475" s="7">
        <v>14220114</v>
      </c>
      <c r="BE475" s="7">
        <f t="shared" si="76"/>
        <v>16152074</v>
      </c>
      <c r="BG475" s="7">
        <f>+'St of Net Assets - GA'!AA475-'St of Activities - GA Exp'!BE475</f>
        <v>0</v>
      </c>
      <c r="BL475" s="7" t="str">
        <f t="shared" si="83"/>
        <v>Rolling Hills Local SD</v>
      </c>
      <c r="BM475" s="7" t="b">
        <f t="shared" si="84"/>
        <v>1</v>
      </c>
      <c r="BO475" s="7" t="str">
        <f t="shared" si="85"/>
        <v>Guernsey</v>
      </c>
      <c r="BP475" s="7" t="b">
        <f t="shared" si="86"/>
        <v>1</v>
      </c>
    </row>
    <row r="476" spans="1:68" ht="12" customHeight="1">
      <c r="A476" s="12" t="s">
        <v>477</v>
      </c>
      <c r="B476" s="12"/>
      <c r="C476" s="12" t="s">
        <v>56</v>
      </c>
      <c r="D476" s="12"/>
      <c r="E476" s="12">
        <v>49213</v>
      </c>
      <c r="G476" s="7">
        <v>4448367</v>
      </c>
      <c r="I476" s="7">
        <v>1078550</v>
      </c>
      <c r="K476" s="7">
        <v>258778</v>
      </c>
      <c r="M476" s="7">
        <v>0</v>
      </c>
      <c r="O476" s="7">
        <v>629481</v>
      </c>
      <c r="Q476" s="7">
        <v>543801</v>
      </c>
      <c r="S476" s="7">
        <v>352001</v>
      </c>
      <c r="U476" s="7">
        <v>24095</v>
      </c>
      <c r="W476" s="7">
        <v>1000000</v>
      </c>
      <c r="Y476" s="7">
        <v>371296</v>
      </c>
      <c r="AA476" s="7">
        <v>10943</v>
      </c>
      <c r="AC476" s="7">
        <v>987963</v>
      </c>
      <c r="AE476" s="7">
        <v>675709</v>
      </c>
      <c r="AG476" s="7">
        <v>0</v>
      </c>
      <c r="AI476" s="12" t="s">
        <v>477</v>
      </c>
      <c r="AJ476" s="12"/>
      <c r="AK476" s="12" t="s">
        <v>56</v>
      </c>
      <c r="AL476" s="12"/>
      <c r="AM476" s="7">
        <v>347664</v>
      </c>
      <c r="AO476" s="7">
        <v>8152</v>
      </c>
      <c r="AQ476" s="7">
        <v>363978</v>
      </c>
      <c r="AS476" s="7">
        <v>3159</v>
      </c>
      <c r="AW476" s="7">
        <v>0</v>
      </c>
      <c r="AY476" s="7">
        <f t="shared" si="77"/>
        <v>11103937</v>
      </c>
      <c r="BA476" s="7">
        <f>+'St of Activites - GA Rev'!AI476-'St of Activities - GA Exp'!AY476</f>
        <v>545072</v>
      </c>
      <c r="BC476" s="7">
        <v>2816964</v>
      </c>
      <c r="BE476" s="7">
        <f t="shared" si="76"/>
        <v>3362036</v>
      </c>
      <c r="BG476" s="7">
        <f>+'St of Net Assets - GA'!AA476-'St of Activities - GA Exp'!BE476</f>
        <v>0</v>
      </c>
      <c r="BH476" s="7" t="s">
        <v>972</v>
      </c>
      <c r="BL476" s="7" t="str">
        <f t="shared" si="83"/>
        <v>Rootstown Local SD</v>
      </c>
      <c r="BM476" s="7" t="b">
        <f t="shared" si="84"/>
        <v>1</v>
      </c>
      <c r="BO476" s="7" t="str">
        <f t="shared" si="85"/>
        <v>Portage</v>
      </c>
      <c r="BP476" s="7" t="b">
        <f t="shared" si="86"/>
        <v>1</v>
      </c>
    </row>
    <row r="477" spans="1:68" ht="12" customHeight="1">
      <c r="A477" s="12" t="s">
        <v>754</v>
      </c>
      <c r="B477" s="12"/>
      <c r="C477" s="12" t="s">
        <v>223</v>
      </c>
      <c r="D477" s="12"/>
      <c r="E477" s="12">
        <v>46144</v>
      </c>
      <c r="G477" s="7">
        <v>12554421</v>
      </c>
      <c r="I477" s="7">
        <v>1876301</v>
      </c>
      <c r="K477" s="7">
        <v>0</v>
      </c>
      <c r="M477" s="7">
        <v>0</v>
      </c>
      <c r="O477" s="7">
        <v>796116</v>
      </c>
      <c r="Q477" s="7">
        <v>1049738</v>
      </c>
      <c r="S477" s="7">
        <v>1517143</v>
      </c>
      <c r="U477" s="7">
        <v>20266</v>
      </c>
      <c r="W477" s="7">
        <v>1859702</v>
      </c>
      <c r="Y477" s="7">
        <v>746212</v>
      </c>
      <c r="AA477" s="7">
        <v>0</v>
      </c>
      <c r="AC477" s="7">
        <v>2119800</v>
      </c>
      <c r="AE477" s="7">
        <v>1831602</v>
      </c>
      <c r="AG477" s="7">
        <v>9100</v>
      </c>
      <c r="AI477" s="12" t="s">
        <v>754</v>
      </c>
      <c r="AJ477" s="12"/>
      <c r="AK477" s="12" t="s">
        <v>223</v>
      </c>
      <c r="AL477" s="12"/>
      <c r="AM477" s="7">
        <v>1024440</v>
      </c>
      <c r="AO477" s="7">
        <v>164490</v>
      </c>
      <c r="AQ477" s="7">
        <v>802357</v>
      </c>
      <c r="AS477" s="7">
        <v>890291</v>
      </c>
      <c r="AW477" s="7">
        <v>0</v>
      </c>
      <c r="AY477" s="7">
        <f t="shared" si="77"/>
        <v>27261979</v>
      </c>
      <c r="BA477" s="7">
        <f>+'St of Activites - GA Rev'!AI477-'St of Activities - GA Exp'!AY477</f>
        <v>1000361</v>
      </c>
      <c r="BC477" s="7">
        <v>42783583</v>
      </c>
      <c r="BE477" s="7">
        <f t="shared" si="76"/>
        <v>43783944</v>
      </c>
      <c r="BG477" s="7">
        <f>+'St of Net Assets - GA'!AA477-'St of Activities - GA Exp'!BE477</f>
        <v>0</v>
      </c>
      <c r="BH477" s="14"/>
      <c r="BL477" s="7" t="str">
        <f t="shared" si="83"/>
        <v xml:space="preserve">Ross Local SD </v>
      </c>
      <c r="BM477" s="7" t="b">
        <f t="shared" si="84"/>
        <v>1</v>
      </c>
      <c r="BO477" s="7" t="str">
        <f t="shared" si="85"/>
        <v>Butler</v>
      </c>
      <c r="BP477" s="7" t="b">
        <f t="shared" si="86"/>
        <v>1</v>
      </c>
    </row>
    <row r="478" spans="1:68" ht="12" customHeight="1">
      <c r="A478" s="12" t="s">
        <v>886</v>
      </c>
      <c r="B478" s="12"/>
      <c r="C478" s="12" t="s">
        <v>72</v>
      </c>
      <c r="D478" s="12"/>
      <c r="E478" s="12">
        <v>45609</v>
      </c>
      <c r="G478" s="7">
        <v>11077217</v>
      </c>
      <c r="I478" s="7">
        <v>2648686</v>
      </c>
      <c r="K478" s="7">
        <v>324894</v>
      </c>
      <c r="M478" s="7">
        <v>31901</v>
      </c>
      <c r="O478" s="7">
        <v>0</v>
      </c>
      <c r="Q478" s="7">
        <v>1966067</v>
      </c>
      <c r="S478" s="7">
        <v>1391929</v>
      </c>
      <c r="U478" s="7">
        <v>64983</v>
      </c>
      <c r="W478" s="7">
        <v>2106170</v>
      </c>
      <c r="Y478" s="7">
        <v>448929</v>
      </c>
      <c r="AA478" s="7">
        <v>111724</v>
      </c>
      <c r="AC478" s="7">
        <v>1979800</v>
      </c>
      <c r="AE478" s="7">
        <v>1058612</v>
      </c>
      <c r="AG478" s="7">
        <v>494736</v>
      </c>
      <c r="AI478" s="12" t="s">
        <v>886</v>
      </c>
      <c r="AJ478" s="12"/>
      <c r="AK478" s="12" t="s">
        <v>72</v>
      </c>
      <c r="AL478" s="12"/>
      <c r="AM478" s="7">
        <v>0</v>
      </c>
      <c r="AO478" s="7">
        <v>983361</v>
      </c>
      <c r="AQ478" s="7">
        <v>814120</v>
      </c>
      <c r="AS478" s="7">
        <v>0</v>
      </c>
      <c r="AW478" s="7">
        <v>0</v>
      </c>
      <c r="AY478" s="7">
        <f t="shared" si="77"/>
        <v>25503129</v>
      </c>
      <c r="BA478" s="7">
        <f>+'St of Activites - GA Rev'!AI478-'St of Activities - GA Exp'!AY478</f>
        <v>1136376</v>
      </c>
      <c r="BC478" s="7">
        <v>18638371</v>
      </c>
      <c r="BE478" s="7">
        <f t="shared" si="76"/>
        <v>19774747</v>
      </c>
      <c r="BG478" s="7">
        <f>+'St of Net Assets - GA'!AA478-'St of Activities - GA Exp'!BE478</f>
        <v>0</v>
      </c>
      <c r="BL478" s="7" t="str">
        <f t="shared" si="83"/>
        <v>Rossford Exempted Village SD</v>
      </c>
      <c r="BM478" s="7" t="b">
        <f t="shared" si="84"/>
        <v>1</v>
      </c>
      <c r="BO478" s="7" t="str">
        <f t="shared" si="85"/>
        <v>Wood</v>
      </c>
      <c r="BP478" s="7" t="b">
        <f t="shared" si="86"/>
        <v>1</v>
      </c>
    </row>
    <row r="479" spans="1:68" ht="12" customHeight="1">
      <c r="A479" s="12" t="s">
        <v>507</v>
      </c>
      <c r="B479" s="12"/>
      <c r="C479" s="12" t="s">
        <v>61</v>
      </c>
      <c r="D479" s="12"/>
      <c r="E479" s="12">
        <v>49817</v>
      </c>
      <c r="G479" s="7">
        <v>2131090</v>
      </c>
      <c r="I479" s="7">
        <v>530799</v>
      </c>
      <c r="K479" s="7">
        <v>0</v>
      </c>
      <c r="M479" s="7">
        <v>0</v>
      </c>
      <c r="O479" s="7">
        <v>6803</v>
      </c>
      <c r="Q479" s="7">
        <v>91595</v>
      </c>
      <c r="S479" s="7">
        <v>118189</v>
      </c>
      <c r="U479" s="7">
        <v>7723</v>
      </c>
      <c r="W479" s="7">
        <v>370698</v>
      </c>
      <c r="Y479" s="7">
        <v>154063</v>
      </c>
      <c r="AA479" s="7">
        <v>474</v>
      </c>
      <c r="AC479" s="7">
        <v>813210</v>
      </c>
      <c r="AE479" s="7">
        <v>175629</v>
      </c>
      <c r="AG479" s="7">
        <v>136406</v>
      </c>
      <c r="AI479" s="12" t="s">
        <v>507</v>
      </c>
      <c r="AJ479" s="12"/>
      <c r="AK479" s="12" t="s">
        <v>61</v>
      </c>
      <c r="AL479" s="12"/>
      <c r="AM479" s="7">
        <v>0</v>
      </c>
      <c r="AO479" s="7">
        <v>168402</v>
      </c>
      <c r="AQ479" s="7">
        <v>202179</v>
      </c>
      <c r="AS479" s="7">
        <v>238016</v>
      </c>
      <c r="AW479" s="7">
        <v>89347</v>
      </c>
      <c r="AY479" s="7">
        <f t="shared" si="77"/>
        <v>5234623</v>
      </c>
      <c r="BA479" s="7">
        <f>+'St of Activites - GA Rev'!AI479-'St of Activities - GA Exp'!AY479</f>
        <v>-280817</v>
      </c>
      <c r="BC479" s="7">
        <v>7927752</v>
      </c>
      <c r="BE479" s="7">
        <f t="shared" si="76"/>
        <v>7646935</v>
      </c>
      <c r="BG479" s="7">
        <f>+'St of Net Assets - GA'!AA479-'St of Activities - GA Exp'!BE479</f>
        <v>0</v>
      </c>
      <c r="BL479" s="7" t="str">
        <f t="shared" si="83"/>
        <v>Russia Local SD</v>
      </c>
      <c r="BM479" s="7" t="b">
        <f t="shared" si="84"/>
        <v>1</v>
      </c>
      <c r="BO479" s="7" t="str">
        <f t="shared" si="85"/>
        <v>Shelby</v>
      </c>
      <c r="BP479" s="7" t="b">
        <f t="shared" si="86"/>
        <v>1</v>
      </c>
    </row>
    <row r="480" spans="1:68">
      <c r="A480" s="12" t="s">
        <v>632</v>
      </c>
      <c r="B480" s="12"/>
      <c r="C480" s="12" t="s">
        <v>112</v>
      </c>
      <c r="D480" s="12"/>
      <c r="E480" s="12"/>
      <c r="G480" s="7">
        <v>8699987</v>
      </c>
      <c r="I480" s="7">
        <v>2922231</v>
      </c>
      <c r="K480" s="7">
        <v>302886</v>
      </c>
      <c r="M480" s="7">
        <v>595466</v>
      </c>
      <c r="O480" s="7">
        <v>1933652</v>
      </c>
      <c r="Q480" s="7">
        <v>973918</v>
      </c>
      <c r="S480" s="7">
        <v>489178</v>
      </c>
      <c r="U480" s="7">
        <v>39985</v>
      </c>
      <c r="W480" s="7">
        <v>2071091</v>
      </c>
      <c r="Y480" s="7">
        <v>1141714</v>
      </c>
      <c r="AA480" s="7">
        <v>17492</v>
      </c>
      <c r="AC480" s="7">
        <v>1999192</v>
      </c>
      <c r="AE480" s="7">
        <v>1016473</v>
      </c>
      <c r="AG480" s="7">
        <v>271896</v>
      </c>
      <c r="AI480" s="12" t="s">
        <v>632</v>
      </c>
      <c r="AJ480" s="12"/>
      <c r="AK480" s="12" t="s">
        <v>112</v>
      </c>
      <c r="AL480" s="12"/>
      <c r="AM480" s="7">
        <v>713808</v>
      </c>
      <c r="AO480" s="7">
        <v>128360</v>
      </c>
      <c r="AQ480" s="7">
        <v>737689</v>
      </c>
      <c r="AS480" s="7">
        <v>61412</v>
      </c>
      <c r="AW480" s="7">
        <v>0</v>
      </c>
      <c r="AY480" s="7">
        <f t="shared" si="77"/>
        <v>24116430</v>
      </c>
      <c r="BA480" s="7">
        <f>+'St of Activites - GA Rev'!AI480-'St of Activities - GA Exp'!AY480</f>
        <v>-1060210</v>
      </c>
      <c r="BC480" s="7">
        <v>7503146</v>
      </c>
      <c r="BE480" s="7">
        <f t="shared" si="76"/>
        <v>6442936</v>
      </c>
      <c r="BG480" s="7">
        <f>+'St of Net Assets - GA'!AA480-'St of Activities - GA Exp'!BE480</f>
        <v>0</v>
      </c>
      <c r="BL480" s="7" t="str">
        <f t="shared" si="83"/>
        <v>Salem City SD</v>
      </c>
      <c r="BM480" s="7" t="b">
        <f t="shared" si="84"/>
        <v>1</v>
      </c>
      <c r="BO480" s="7" t="str">
        <f t="shared" si="85"/>
        <v>Columbiana</v>
      </c>
      <c r="BP480" s="7" t="b">
        <f t="shared" si="86"/>
        <v>1</v>
      </c>
    </row>
    <row r="481" spans="1:68">
      <c r="A481" s="12" t="s">
        <v>296</v>
      </c>
      <c r="B481" s="12"/>
      <c r="C481" s="12" t="s">
        <v>24</v>
      </c>
      <c r="D481" s="12"/>
      <c r="E481" s="12">
        <v>44743</v>
      </c>
      <c r="G481" s="7">
        <v>21511108</v>
      </c>
      <c r="I481" s="7">
        <v>8015836</v>
      </c>
      <c r="K481" s="7">
        <v>1816757</v>
      </c>
      <c r="M481" s="7">
        <v>1211173</v>
      </c>
      <c r="O481" s="7">
        <v>446123</v>
      </c>
      <c r="Q481" s="7">
        <v>1808990</v>
      </c>
      <c r="S481" s="7">
        <v>2178795</v>
      </c>
      <c r="U481" s="7">
        <v>237888</v>
      </c>
      <c r="W481" s="7">
        <v>3078638</v>
      </c>
      <c r="Y481" s="7">
        <v>772658</v>
      </c>
      <c r="AA481" s="7">
        <v>165412</v>
      </c>
      <c r="AC481" s="7">
        <v>3587482</v>
      </c>
      <c r="AE481" s="7">
        <v>1541087</v>
      </c>
      <c r="AG481" s="7">
        <v>1358070</v>
      </c>
      <c r="AI481" s="12" t="s">
        <v>296</v>
      </c>
      <c r="AJ481" s="12"/>
      <c r="AK481" s="12" t="s">
        <v>24</v>
      </c>
      <c r="AL481" s="12"/>
      <c r="AM481" s="7">
        <v>0</v>
      </c>
      <c r="AO481" s="7">
        <v>2697028</v>
      </c>
      <c r="AQ481" s="7">
        <v>1178272</v>
      </c>
      <c r="AS481" s="7">
        <v>47986</v>
      </c>
      <c r="AW481" s="7">
        <v>0</v>
      </c>
      <c r="AY481" s="7">
        <f t="shared" si="77"/>
        <v>51653303</v>
      </c>
      <c r="BA481" s="7">
        <f>+'St of Activites - GA Rev'!AI481-'St of Activities - GA Exp'!AY481</f>
        <v>-359729</v>
      </c>
      <c r="BC481" s="7">
        <v>13845171</v>
      </c>
      <c r="BE481" s="7">
        <f t="shared" si="76"/>
        <v>13485442</v>
      </c>
      <c r="BG481" s="7">
        <f>+'St of Net Assets - GA'!AA481-'St of Activities - GA Exp'!BE481</f>
        <v>0</v>
      </c>
      <c r="BL481" s="7" t="str">
        <f t="shared" si="83"/>
        <v>Sandusky City SD</v>
      </c>
      <c r="BM481" s="7" t="b">
        <f t="shared" si="84"/>
        <v>1</v>
      </c>
      <c r="BO481" s="7" t="str">
        <f t="shared" si="85"/>
        <v>Erie</v>
      </c>
      <c r="BP481" s="7" t="b">
        <f t="shared" si="86"/>
        <v>1</v>
      </c>
    </row>
    <row r="482" spans="1:68">
      <c r="A482" s="12" t="s">
        <v>520</v>
      </c>
      <c r="B482" s="12"/>
      <c r="C482" s="12" t="s">
        <v>62</v>
      </c>
      <c r="D482" s="12"/>
      <c r="E482" s="12">
        <v>49940</v>
      </c>
      <c r="G482" s="7">
        <v>6030036</v>
      </c>
      <c r="I482" s="7">
        <v>2346573</v>
      </c>
      <c r="K482" s="7">
        <v>423656</v>
      </c>
      <c r="M482" s="7">
        <v>8169</v>
      </c>
      <c r="O482" s="7">
        <v>694338</v>
      </c>
      <c r="Q482" s="7">
        <v>1134078</v>
      </c>
      <c r="S482" s="7">
        <v>222478</v>
      </c>
      <c r="U482" s="7">
        <v>11894</v>
      </c>
      <c r="W482" s="7">
        <v>1412167</v>
      </c>
      <c r="Y482" s="7">
        <v>400549</v>
      </c>
      <c r="AA482" s="7">
        <v>85508</v>
      </c>
      <c r="AC482" s="7">
        <v>1140356</v>
      </c>
      <c r="AE482" s="7">
        <v>998591</v>
      </c>
      <c r="AG482" s="7">
        <v>32549</v>
      </c>
      <c r="AI482" s="12" t="s">
        <v>520</v>
      </c>
      <c r="AJ482" s="12"/>
      <c r="AK482" s="12" t="s">
        <v>62</v>
      </c>
      <c r="AL482" s="12"/>
      <c r="AM482" s="7">
        <v>770038</v>
      </c>
      <c r="AO482" s="7">
        <v>54620</v>
      </c>
      <c r="AQ482" s="7">
        <v>506116</v>
      </c>
      <c r="AS482" s="7">
        <v>541343</v>
      </c>
      <c r="AW482" s="7">
        <v>0</v>
      </c>
      <c r="AY482" s="7">
        <f t="shared" si="77"/>
        <v>16813059</v>
      </c>
      <c r="BA482" s="7">
        <f>+'St of Activites - GA Rev'!AI482-'St of Activities - GA Exp'!AY482</f>
        <v>40860</v>
      </c>
      <c r="BC482" s="7">
        <v>30566557</v>
      </c>
      <c r="BE482" s="7">
        <f t="shared" si="76"/>
        <v>30607417</v>
      </c>
      <c r="BG482" s="7">
        <f>+'St of Net Assets - GA'!AA482-'St of Activities - GA Exp'!BE482</f>
        <v>0</v>
      </c>
      <c r="BH482" s="7" t="s">
        <v>788</v>
      </c>
      <c r="BL482" s="7" t="str">
        <f t="shared" si="83"/>
        <v>Sandy Valley Local SD</v>
      </c>
      <c r="BM482" s="7" t="b">
        <f t="shared" si="84"/>
        <v>1</v>
      </c>
      <c r="BO482" s="7" t="str">
        <f t="shared" si="85"/>
        <v>Stark</v>
      </c>
      <c r="BP482" s="7" t="b">
        <f t="shared" si="86"/>
        <v>1</v>
      </c>
    </row>
    <row r="483" spans="1:68">
      <c r="A483" s="12" t="s">
        <v>471</v>
      </c>
      <c r="B483" s="12"/>
      <c r="C483" s="12" t="s">
        <v>55</v>
      </c>
      <c r="D483" s="12"/>
      <c r="E483" s="12"/>
      <c r="G483" s="7">
        <v>7457590</v>
      </c>
      <c r="I483" s="7">
        <v>2418877</v>
      </c>
      <c r="K483" s="7">
        <v>0</v>
      </c>
      <c r="M483" s="7">
        <v>0</v>
      </c>
      <c r="O483" s="7">
        <v>9746</v>
      </c>
      <c r="Q483" s="7">
        <v>699162</v>
      </c>
      <c r="S483" s="7">
        <v>983035</v>
      </c>
      <c r="U483" s="7">
        <v>20272</v>
      </c>
      <c r="W483" s="7">
        <v>2063273</v>
      </c>
      <c r="Y483" s="7">
        <v>396528</v>
      </c>
      <c r="AA483" s="7">
        <v>0</v>
      </c>
      <c r="AC483" s="7">
        <v>1815796</v>
      </c>
      <c r="AE483" s="7">
        <v>1342226</v>
      </c>
      <c r="AG483" s="7">
        <v>114004</v>
      </c>
      <c r="AI483" s="12" t="s">
        <v>471</v>
      </c>
      <c r="AJ483" s="12"/>
      <c r="AK483" s="12" t="s">
        <v>55</v>
      </c>
      <c r="AL483" s="12"/>
      <c r="AM483" s="7">
        <v>0</v>
      </c>
      <c r="AO483" s="7">
        <v>612134</v>
      </c>
      <c r="AQ483" s="7">
        <v>436061</v>
      </c>
      <c r="AS483" s="7">
        <v>50511</v>
      </c>
      <c r="AU483" s="7">
        <v>0</v>
      </c>
      <c r="AW483" s="7">
        <v>52800</v>
      </c>
      <c r="AY483" s="7">
        <f t="shared" si="77"/>
        <v>18472015</v>
      </c>
      <c r="BA483" s="7">
        <f>+'St of Activites - GA Rev'!AI483-'St of Activities - GA Exp'!AY483</f>
        <v>-808544</v>
      </c>
      <c r="BC483" s="7">
        <v>29674496</v>
      </c>
      <c r="BE483" s="7">
        <f t="shared" si="76"/>
        <v>28865952</v>
      </c>
      <c r="BG483" s="7">
        <f>+'St of Net Assets - GA'!AA483-'St of Activities - GA Exp'!BE483</f>
        <v>0</v>
      </c>
      <c r="BL483" s="7" t="str">
        <f t="shared" si="83"/>
        <v>Scioto Valley Local SD</v>
      </c>
      <c r="BM483" s="7" t="b">
        <f t="shared" si="84"/>
        <v>1</v>
      </c>
      <c r="BO483" s="7" t="str">
        <f t="shared" si="85"/>
        <v>Pike</v>
      </c>
      <c r="BP483" s="7" t="b">
        <f t="shared" si="86"/>
        <v>1</v>
      </c>
    </row>
    <row r="484" spans="1:68">
      <c r="A484" s="12" t="s">
        <v>418</v>
      </c>
      <c r="B484" s="12"/>
      <c r="C484" s="12" t="s">
        <v>45</v>
      </c>
      <c r="D484" s="12"/>
      <c r="E484" s="12">
        <v>48355</v>
      </c>
      <c r="G484" s="7">
        <v>3168687</v>
      </c>
      <c r="I484" s="7">
        <v>1769191</v>
      </c>
      <c r="K484" s="7">
        <v>6576</v>
      </c>
      <c r="M484" s="7">
        <v>0</v>
      </c>
      <c r="O484" s="7">
        <v>0</v>
      </c>
      <c r="Q484" s="7">
        <v>199762</v>
      </c>
      <c r="S484" s="7">
        <v>301127</v>
      </c>
      <c r="U484" s="7">
        <v>12509</v>
      </c>
      <c r="W484" s="7">
        <v>748369</v>
      </c>
      <c r="Y484" s="7">
        <v>273573</v>
      </c>
      <c r="AA484" s="7">
        <v>0</v>
      </c>
      <c r="AC484" s="7">
        <v>790624</v>
      </c>
      <c r="AE484" s="7">
        <v>149299</v>
      </c>
      <c r="AG484" s="7">
        <v>837</v>
      </c>
      <c r="AI484" s="12" t="s">
        <v>418</v>
      </c>
      <c r="AJ484" s="12"/>
      <c r="AK484" s="12" t="s">
        <v>45</v>
      </c>
      <c r="AL484" s="12"/>
      <c r="AM484" s="7">
        <v>273381</v>
      </c>
      <c r="AO484" s="7">
        <v>0</v>
      </c>
      <c r="AQ484" s="7">
        <v>254456</v>
      </c>
      <c r="AS484" s="7">
        <v>44387</v>
      </c>
      <c r="AU484" s="7">
        <v>0</v>
      </c>
      <c r="AW484" s="7">
        <v>0</v>
      </c>
      <c r="AY484" s="7">
        <f t="shared" si="77"/>
        <v>7992778</v>
      </c>
      <c r="BA484" s="7">
        <f>+'St of Activites - GA Rev'!AI484-'St of Activities - GA Exp'!AY484</f>
        <v>-277769</v>
      </c>
      <c r="BC484" s="7">
        <v>10749815</v>
      </c>
      <c r="BE484" s="7">
        <f t="shared" si="76"/>
        <v>10472046</v>
      </c>
      <c r="BG484" s="7">
        <f>+'St of Net Assets - GA'!AA484-'St of Activities - GA Exp'!BE484</f>
        <v>0</v>
      </c>
      <c r="BL484" s="7" t="str">
        <f t="shared" si="83"/>
        <v>Sebring Local SD</v>
      </c>
      <c r="BM484" s="7" t="b">
        <f t="shared" si="84"/>
        <v>1</v>
      </c>
      <c r="BO484" s="7" t="str">
        <f t="shared" si="85"/>
        <v>Mahoning</v>
      </c>
      <c r="BP484" s="7" t="b">
        <f t="shared" si="86"/>
        <v>1</v>
      </c>
    </row>
    <row r="485" spans="1:68">
      <c r="A485" s="12" t="s">
        <v>502</v>
      </c>
      <c r="B485" s="12"/>
      <c r="C485" s="12" t="s">
        <v>60</v>
      </c>
      <c r="D485" s="12"/>
      <c r="E485" s="12">
        <v>49684</v>
      </c>
      <c r="G485" s="7">
        <v>4960696</v>
      </c>
      <c r="I485" s="7">
        <v>1260395</v>
      </c>
      <c r="K485" s="7">
        <v>253805</v>
      </c>
      <c r="M485" s="7">
        <v>0</v>
      </c>
      <c r="O485" s="7">
        <v>0</v>
      </c>
      <c r="Q485" s="7">
        <v>196530</v>
      </c>
      <c r="S485" s="7">
        <v>395538</v>
      </c>
      <c r="U485" s="7">
        <v>50530</v>
      </c>
      <c r="W485" s="7">
        <v>672906</v>
      </c>
      <c r="Y485" s="7">
        <v>309442</v>
      </c>
      <c r="AA485" s="7">
        <v>22629</v>
      </c>
      <c r="AC485" s="7">
        <v>722465</v>
      </c>
      <c r="AE485" s="7">
        <v>571086</v>
      </c>
      <c r="AG485" s="7">
        <v>0</v>
      </c>
      <c r="AI485" s="12" t="s">
        <v>502</v>
      </c>
      <c r="AJ485" s="12"/>
      <c r="AK485" s="12" t="s">
        <v>60</v>
      </c>
      <c r="AL485" s="12"/>
      <c r="AM485" s="7">
        <v>489962</v>
      </c>
      <c r="AO485" s="7">
        <v>3490</v>
      </c>
      <c r="AQ485" s="7">
        <v>364781</v>
      </c>
      <c r="AS485" s="7">
        <v>519914</v>
      </c>
      <c r="AW485" s="7">
        <v>0</v>
      </c>
      <c r="AY485" s="7">
        <f t="shared" si="77"/>
        <v>10794169</v>
      </c>
      <c r="BA485" s="7">
        <f>+'St of Activites - GA Rev'!AI485-'St of Activities - GA Exp'!AY485</f>
        <v>-437002</v>
      </c>
      <c r="BC485" s="7">
        <v>23226328</v>
      </c>
      <c r="BE485" s="7">
        <f t="shared" si="76"/>
        <v>22789326</v>
      </c>
      <c r="BG485" s="7">
        <f>+'St of Net Assets - GA'!AA485-'St of Activities - GA Exp'!BE485</f>
        <v>0</v>
      </c>
      <c r="BL485" s="7" t="str">
        <f t="shared" si="83"/>
        <v>Seneca East Local SD</v>
      </c>
      <c r="BM485" s="7" t="b">
        <f t="shared" si="84"/>
        <v>1</v>
      </c>
      <c r="BO485" s="7" t="str">
        <f t="shared" si="85"/>
        <v>Seneca</v>
      </c>
      <c r="BP485" s="7" t="b">
        <f t="shared" si="86"/>
        <v>1</v>
      </c>
    </row>
    <row r="486" spans="1:68">
      <c r="A486" s="12" t="s">
        <v>218</v>
      </c>
      <c r="B486" s="12"/>
      <c r="C486" s="12" t="s">
        <v>15</v>
      </c>
      <c r="D486" s="12"/>
      <c r="E486" s="12">
        <v>46003</v>
      </c>
      <c r="G486" s="7">
        <v>3813659</v>
      </c>
      <c r="I486" s="7">
        <v>777891</v>
      </c>
      <c r="K486" s="7">
        <v>21703</v>
      </c>
      <c r="M486" s="7">
        <v>0</v>
      </c>
      <c r="O486" s="7">
        <v>0</v>
      </c>
      <c r="Q486" s="7">
        <v>214341</v>
      </c>
      <c r="S486" s="7">
        <v>140979</v>
      </c>
      <c r="U486" s="7">
        <v>21087</v>
      </c>
      <c r="W486" s="7">
        <v>656533</v>
      </c>
      <c r="Y486" s="7">
        <v>281170</v>
      </c>
      <c r="AA486" s="7">
        <v>0</v>
      </c>
      <c r="AC486" s="7">
        <v>746961</v>
      </c>
      <c r="AE486" s="7">
        <v>171914</v>
      </c>
      <c r="AG486" s="7">
        <v>0</v>
      </c>
      <c r="AI486" s="12" t="s">
        <v>218</v>
      </c>
      <c r="AJ486" s="12"/>
      <c r="AK486" s="12" t="s">
        <v>15</v>
      </c>
      <c r="AL486" s="12"/>
      <c r="AM486" s="7">
        <v>132453</v>
      </c>
      <c r="AO486" s="7">
        <v>0</v>
      </c>
      <c r="AQ486" s="7">
        <v>247230</v>
      </c>
      <c r="AS486" s="7">
        <v>2401</v>
      </c>
      <c r="AW486" s="7">
        <v>0</v>
      </c>
      <c r="AY486" s="7">
        <f t="shared" ref="AY486:AY499" si="87">SUM(G486:AX486)</f>
        <v>7228322</v>
      </c>
      <c r="BA486" s="7">
        <f>+'St of Activites - GA Rev'!AI486-'St of Activities - GA Exp'!AY486</f>
        <v>2146393</v>
      </c>
      <c r="BC486" s="7">
        <v>4096405</v>
      </c>
      <c r="BE486" s="7">
        <f t="shared" ref="BE486:BE499" si="88">+BA486+BC486</f>
        <v>6242798</v>
      </c>
      <c r="BG486" s="7">
        <f>+'St of Net Assets - GA'!AA486-'St of Activities - GA Exp'!BE486</f>
        <v>0</v>
      </c>
      <c r="BL486" s="7" t="str">
        <f t="shared" si="83"/>
        <v>Shadyside Local SD</v>
      </c>
      <c r="BM486" s="7" t="b">
        <f t="shared" si="84"/>
        <v>1</v>
      </c>
      <c r="BO486" s="7" t="str">
        <f t="shared" si="85"/>
        <v>Belmont</v>
      </c>
      <c r="BP486" s="7" t="b">
        <f t="shared" si="86"/>
        <v>1</v>
      </c>
    </row>
    <row r="487" spans="1:68">
      <c r="A487" s="12" t="s">
        <v>755</v>
      </c>
      <c r="B487" s="12"/>
      <c r="C487" s="12" t="s">
        <v>20</v>
      </c>
      <c r="D487" s="12"/>
      <c r="E487" s="12">
        <v>44750</v>
      </c>
      <c r="G487" s="7">
        <v>35281264</v>
      </c>
      <c r="I487" s="7">
        <v>11964327</v>
      </c>
      <c r="K487" s="7">
        <v>228758</v>
      </c>
      <c r="M487" s="7">
        <v>0</v>
      </c>
      <c r="O487" s="7">
        <v>67198</v>
      </c>
      <c r="Q487" s="7">
        <v>5551875</v>
      </c>
      <c r="S487" s="7">
        <v>7168686</v>
      </c>
      <c r="U487" s="7">
        <v>17368</v>
      </c>
      <c r="W487" s="7">
        <v>6106215</v>
      </c>
      <c r="Y487" s="7">
        <v>2086303</v>
      </c>
      <c r="AA487" s="7">
        <v>952606</v>
      </c>
      <c r="AC487" s="7">
        <v>13466665</v>
      </c>
      <c r="AE487" s="7">
        <v>4602302</v>
      </c>
      <c r="AG487" s="7">
        <v>1917495</v>
      </c>
      <c r="AI487" s="12" t="s">
        <v>755</v>
      </c>
      <c r="AJ487" s="12"/>
      <c r="AK487" s="12" t="s">
        <v>20</v>
      </c>
      <c r="AL487" s="12"/>
      <c r="AM487" s="7">
        <v>1945696</v>
      </c>
      <c r="AO487" s="7">
        <v>1220198</v>
      </c>
      <c r="AQ487" s="7">
        <v>1249690</v>
      </c>
      <c r="AS487" s="7">
        <v>1106286</v>
      </c>
      <c r="AW487" s="7">
        <v>0</v>
      </c>
      <c r="AY487" s="7">
        <f t="shared" si="87"/>
        <v>94932932</v>
      </c>
      <c r="BA487" s="7">
        <f>+'St of Activites - GA Rev'!AI487-'St of Activities - GA Exp'!AY487</f>
        <v>6519299</v>
      </c>
      <c r="BC487" s="7">
        <v>35753983</v>
      </c>
      <c r="BE487" s="7">
        <f t="shared" si="88"/>
        <v>42273282</v>
      </c>
      <c r="BG487" s="7">
        <f>+'St of Net Assets - GA'!AA487-'St of Activities - GA Exp'!BE487</f>
        <v>0</v>
      </c>
      <c r="BH487" s="14"/>
      <c r="BL487" s="7" t="str">
        <f t="shared" si="83"/>
        <v xml:space="preserve">Shaker Heights City SD </v>
      </c>
      <c r="BM487" s="7" t="b">
        <f t="shared" si="84"/>
        <v>1</v>
      </c>
      <c r="BO487" s="7" t="str">
        <f t="shared" si="85"/>
        <v>Cuyahoga</v>
      </c>
      <c r="BP487" s="7" t="b">
        <f t="shared" si="86"/>
        <v>1</v>
      </c>
    </row>
    <row r="488" spans="1:68" hidden="1">
      <c r="A488" s="12" t="s">
        <v>738</v>
      </c>
      <c r="B488" s="12"/>
      <c r="C488" s="12" t="s">
        <v>10</v>
      </c>
      <c r="D488" s="12"/>
      <c r="E488" s="12"/>
      <c r="AI488" s="12" t="s">
        <v>738</v>
      </c>
      <c r="AJ488" s="12"/>
      <c r="AK488" s="12" t="s">
        <v>10</v>
      </c>
      <c r="AL488" s="12"/>
      <c r="AY488" s="7">
        <f t="shared" si="87"/>
        <v>0</v>
      </c>
      <c r="BA488" s="7">
        <f>+'St of Activites - GA Rev'!AI488-'St of Activities - GA Exp'!AY488</f>
        <v>0</v>
      </c>
      <c r="BE488" s="7">
        <f t="shared" si="88"/>
        <v>0</v>
      </c>
      <c r="BG488" s="7">
        <f>+'St of Net Assets - GA'!AA488-'St of Activities - GA Exp'!BE488</f>
        <v>0</v>
      </c>
      <c r="BH488" s="7" t="s">
        <v>973</v>
      </c>
      <c r="BL488" s="7" t="str">
        <f t="shared" si="83"/>
        <v>Shawnee Local SD (CASH)</v>
      </c>
      <c r="BM488" s="7" t="b">
        <f t="shared" si="84"/>
        <v>1</v>
      </c>
      <c r="BO488" s="7" t="str">
        <f t="shared" si="85"/>
        <v>Allen</v>
      </c>
      <c r="BP488" s="7" t="b">
        <f t="shared" si="86"/>
        <v>1</v>
      </c>
    </row>
    <row r="489" spans="1:68" ht="12" customHeight="1">
      <c r="A489" s="12" t="s">
        <v>899</v>
      </c>
      <c r="B489" s="12"/>
      <c r="C489" s="12" t="s">
        <v>44</v>
      </c>
      <c r="D489" s="12"/>
      <c r="E489" s="12">
        <v>44768</v>
      </c>
      <c r="G489" s="7">
        <v>9167659</v>
      </c>
      <c r="I489" s="7">
        <v>2876358</v>
      </c>
      <c r="K489" s="7">
        <v>169705</v>
      </c>
      <c r="M489" s="7">
        <v>0</v>
      </c>
      <c r="O489" s="7">
        <v>25102</v>
      </c>
      <c r="Q489" s="7">
        <v>1244572</v>
      </c>
      <c r="S489" s="7">
        <v>1013846</v>
      </c>
      <c r="U489" s="7">
        <v>35274</v>
      </c>
      <c r="W489" s="7">
        <v>1497169</v>
      </c>
      <c r="Y489" s="7">
        <v>589323</v>
      </c>
      <c r="AA489" s="7">
        <v>262938</v>
      </c>
      <c r="AC489" s="7">
        <v>1742403</v>
      </c>
      <c r="AE489" s="7">
        <v>1001388</v>
      </c>
      <c r="AG489" s="7">
        <v>279042</v>
      </c>
      <c r="AI489" s="12" t="s">
        <v>899</v>
      </c>
      <c r="AJ489" s="12"/>
      <c r="AK489" s="12" t="s">
        <v>44</v>
      </c>
      <c r="AL489" s="12"/>
      <c r="AM489" s="7">
        <v>695868</v>
      </c>
      <c r="AO489" s="7">
        <v>29998</v>
      </c>
      <c r="AQ489" s="7">
        <v>472972</v>
      </c>
      <c r="AS489" s="7">
        <v>23839</v>
      </c>
      <c r="AW489" s="7">
        <v>0</v>
      </c>
      <c r="AY489" s="7">
        <f t="shared" si="87"/>
        <v>21127456</v>
      </c>
      <c r="BA489" s="7">
        <f>+'St of Activites - GA Rev'!AI489-'St of Activities - GA Exp'!AY489</f>
        <v>867514</v>
      </c>
      <c r="BC489" s="7">
        <v>13084637</v>
      </c>
      <c r="BE489" s="7">
        <f t="shared" si="88"/>
        <v>13952151</v>
      </c>
      <c r="BG489" s="7">
        <f>+'St of Net Assets - GA'!AA489-'St of Activities - GA Exp'!BE489</f>
        <v>0</v>
      </c>
      <c r="BL489" s="7" t="str">
        <f t="shared" si="83"/>
        <v>Sheffield-Sheffield Lake City SD</v>
      </c>
      <c r="BM489" s="7" t="b">
        <f t="shared" si="84"/>
        <v>1</v>
      </c>
      <c r="BO489" s="7" t="str">
        <f t="shared" si="85"/>
        <v>Lorain</v>
      </c>
      <c r="BP489" s="7" t="b">
        <f t="shared" si="86"/>
        <v>1</v>
      </c>
    </row>
    <row r="490" spans="1:68">
      <c r="A490" s="12" t="s">
        <v>487</v>
      </c>
      <c r="B490" s="12"/>
      <c r="C490" s="12" t="s">
        <v>110</v>
      </c>
      <c r="D490" s="12"/>
      <c r="E490" s="12">
        <v>44776</v>
      </c>
      <c r="G490" s="7">
        <v>8398198</v>
      </c>
      <c r="I490" s="7">
        <v>2367435</v>
      </c>
      <c r="K490" s="7">
        <v>220166</v>
      </c>
      <c r="M490" s="7">
        <v>0</v>
      </c>
      <c r="O490" s="7">
        <v>20876</v>
      </c>
      <c r="Q490" s="7">
        <v>822463</v>
      </c>
      <c r="S490" s="7">
        <v>1669009</v>
      </c>
      <c r="U490" s="7">
        <v>60192</v>
      </c>
      <c r="W490" s="7">
        <v>1331934</v>
      </c>
      <c r="Y490" s="7">
        <v>671260</v>
      </c>
      <c r="AA490" s="7">
        <v>12343</v>
      </c>
      <c r="AC490" s="7">
        <v>1749559</v>
      </c>
      <c r="AE490" s="7">
        <v>979203</v>
      </c>
      <c r="AG490" s="7">
        <v>103370</v>
      </c>
      <c r="AI490" s="12" t="s">
        <v>487</v>
      </c>
      <c r="AJ490" s="12"/>
      <c r="AK490" s="12" t="s">
        <v>110</v>
      </c>
      <c r="AL490" s="12"/>
      <c r="AM490" s="7">
        <v>1044202</v>
      </c>
      <c r="AO490" s="7">
        <v>130848</v>
      </c>
      <c r="AQ490" s="7">
        <v>670172</v>
      </c>
      <c r="AS490" s="7">
        <v>680442</v>
      </c>
      <c r="AW490" s="7">
        <v>0</v>
      </c>
      <c r="AY490" s="7">
        <f t="shared" si="87"/>
        <v>20931672</v>
      </c>
      <c r="BA490" s="7">
        <f>+'St of Activites - GA Rev'!AI490-'St of Activities - GA Exp'!AY490</f>
        <v>12877602</v>
      </c>
      <c r="BC490" s="7">
        <v>6425615</v>
      </c>
      <c r="BE490" s="7">
        <f t="shared" si="88"/>
        <v>19303217</v>
      </c>
      <c r="BG490" s="7">
        <f>+'St of Net Assets - GA'!AA490-'St of Activities - GA Exp'!BE490</f>
        <v>0</v>
      </c>
      <c r="BL490" s="7" t="str">
        <f t="shared" si="83"/>
        <v>Shelby City SD</v>
      </c>
      <c r="BM490" s="7" t="b">
        <f t="shared" si="84"/>
        <v>1</v>
      </c>
      <c r="BO490" s="7" t="str">
        <f t="shared" si="85"/>
        <v>Richland</v>
      </c>
      <c r="BP490" s="7" t="b">
        <f t="shared" si="86"/>
        <v>1</v>
      </c>
    </row>
    <row r="491" spans="1:68" hidden="1">
      <c r="A491" s="12" t="s">
        <v>985</v>
      </c>
      <c r="B491" s="12"/>
      <c r="C491" s="12" t="s">
        <v>61</v>
      </c>
      <c r="D491" s="12"/>
      <c r="E491" s="12">
        <v>44784</v>
      </c>
      <c r="AI491" s="12" t="s">
        <v>985</v>
      </c>
      <c r="AJ491" s="12"/>
      <c r="AK491" s="12" t="s">
        <v>61</v>
      </c>
      <c r="AL491" s="12"/>
      <c r="AY491" s="7">
        <f t="shared" si="87"/>
        <v>0</v>
      </c>
      <c r="BA491" s="7">
        <f>+'St of Activites - GA Rev'!AI491-'St of Activities - GA Exp'!AY491</f>
        <v>0</v>
      </c>
      <c r="BE491" s="7">
        <f t="shared" si="88"/>
        <v>0</v>
      </c>
      <c r="BG491" s="7">
        <f>+'St of Net Assets - GA'!AA491-'St of Activities - GA Exp'!BE491</f>
        <v>0</v>
      </c>
      <c r="BH491" s="7" t="s">
        <v>974</v>
      </c>
      <c r="BL491" s="7" t="str">
        <f t="shared" si="83"/>
        <v>Sidney City SD (CASH)</v>
      </c>
      <c r="BM491" s="7" t="b">
        <f t="shared" si="84"/>
        <v>1</v>
      </c>
      <c r="BO491" s="7" t="str">
        <f t="shared" si="85"/>
        <v>Shelby</v>
      </c>
      <c r="BP491" s="7" t="b">
        <f t="shared" si="86"/>
        <v>1</v>
      </c>
    </row>
    <row r="492" spans="1:68">
      <c r="A492" s="12" t="s">
        <v>283</v>
      </c>
      <c r="B492" s="12"/>
      <c r="C492" s="12" t="s">
        <v>20</v>
      </c>
      <c r="D492" s="12"/>
      <c r="E492" s="12">
        <v>46607</v>
      </c>
      <c r="G492" s="7">
        <v>33389714</v>
      </c>
      <c r="I492" s="7">
        <v>7524357</v>
      </c>
      <c r="K492" s="7">
        <v>626621</v>
      </c>
      <c r="M492" s="7">
        <v>151606</v>
      </c>
      <c r="O492" s="7">
        <v>817045</v>
      </c>
      <c r="Q492" s="7">
        <v>4711248</v>
      </c>
      <c r="S492" s="7">
        <v>1733269</v>
      </c>
      <c r="U492" s="7">
        <v>33207</v>
      </c>
      <c r="W492" s="7">
        <v>3215158</v>
      </c>
      <c r="Y492" s="7">
        <v>1787602</v>
      </c>
      <c r="AA492" s="7">
        <v>1037134</v>
      </c>
      <c r="AC492" s="7">
        <v>6377142</v>
      </c>
      <c r="AE492" s="7">
        <v>3821166</v>
      </c>
      <c r="AG492" s="7">
        <v>944112</v>
      </c>
      <c r="AI492" s="12" t="s">
        <v>283</v>
      </c>
      <c r="AJ492" s="12"/>
      <c r="AK492" s="12" t="s">
        <v>20</v>
      </c>
      <c r="AL492" s="12"/>
      <c r="AM492" s="7">
        <v>1824354</v>
      </c>
      <c r="AO492" s="7">
        <v>434552</v>
      </c>
      <c r="AQ492" s="7">
        <v>1824325</v>
      </c>
      <c r="AS492" s="7">
        <v>805791</v>
      </c>
      <c r="AW492" s="7">
        <v>0</v>
      </c>
      <c r="AY492" s="7">
        <f t="shared" si="87"/>
        <v>71058403</v>
      </c>
      <c r="BA492" s="7">
        <f>+'St of Activites - GA Rev'!AI492-'St of Activities - GA Exp'!AY492</f>
        <v>8483966</v>
      </c>
      <c r="BC492" s="7">
        <v>29051324</v>
      </c>
      <c r="BE492" s="7">
        <f t="shared" si="88"/>
        <v>37535290</v>
      </c>
      <c r="BG492" s="7">
        <f>+'St of Net Assets - GA'!AA492-'St of Activities - GA Exp'!BE492</f>
        <v>0</v>
      </c>
      <c r="BL492" s="7" t="str">
        <f t="shared" si="83"/>
        <v>Solon City SD</v>
      </c>
      <c r="BM492" s="7" t="b">
        <f t="shared" si="84"/>
        <v>1</v>
      </c>
      <c r="BO492" s="7" t="str">
        <f t="shared" si="85"/>
        <v>Cuyahoga</v>
      </c>
      <c r="BP492" s="7" t="b">
        <f t="shared" si="86"/>
        <v>1</v>
      </c>
    </row>
    <row r="493" spans="1:68">
      <c r="A493" s="12" t="s">
        <v>660</v>
      </c>
      <c r="B493" s="12"/>
      <c r="C493" s="12" t="s">
        <v>37</v>
      </c>
      <c r="D493" s="12"/>
      <c r="E493" s="12"/>
      <c r="G493" s="7">
        <v>4041246</v>
      </c>
      <c r="I493" s="7">
        <v>559971</v>
      </c>
      <c r="K493" s="7">
        <v>185223</v>
      </c>
      <c r="M493" s="7">
        <v>0</v>
      </c>
      <c r="O493" s="7">
        <v>818964</v>
      </c>
      <c r="Q493" s="7">
        <v>444649</v>
      </c>
      <c r="S493" s="7">
        <v>357340</v>
      </c>
      <c r="U493" s="7">
        <v>31091</v>
      </c>
      <c r="W493" s="7">
        <v>773909</v>
      </c>
      <c r="Y493" s="7">
        <v>234479</v>
      </c>
      <c r="AA493" s="7">
        <v>0</v>
      </c>
      <c r="AC493" s="7">
        <v>775658</v>
      </c>
      <c r="AE493" s="7">
        <v>693844</v>
      </c>
      <c r="AG493" s="7">
        <v>11035</v>
      </c>
      <c r="AI493" s="12" t="s">
        <v>660</v>
      </c>
      <c r="AJ493" s="12"/>
      <c r="AK493" s="12" t="s">
        <v>37</v>
      </c>
      <c r="AL493" s="12"/>
      <c r="AM493" s="7">
        <v>416443</v>
      </c>
      <c r="AO493" s="7">
        <v>8150</v>
      </c>
      <c r="AQ493" s="7">
        <v>300236</v>
      </c>
      <c r="AS493" s="7">
        <v>48036</v>
      </c>
      <c r="AW493" s="7">
        <v>0</v>
      </c>
      <c r="AY493" s="7">
        <f t="shared" si="87"/>
        <v>9700274</v>
      </c>
      <c r="BA493" s="7">
        <f>+'St of Activites - GA Rev'!AI493-'St of Activities - GA Exp'!AY493</f>
        <v>101850</v>
      </c>
      <c r="BC493" s="7">
        <v>8052614</v>
      </c>
      <c r="BE493" s="7">
        <f t="shared" si="88"/>
        <v>8154464</v>
      </c>
      <c r="BG493" s="7">
        <f>+'St of Net Assets - GA'!AA493-'St of Activities - GA Exp'!BE493</f>
        <v>0</v>
      </c>
      <c r="BL493" s="7" t="str">
        <f t="shared" si="83"/>
        <v>South Central Local SD</v>
      </c>
      <c r="BM493" s="7" t="b">
        <f t="shared" si="84"/>
        <v>1</v>
      </c>
      <c r="BO493" s="7" t="str">
        <f t="shared" si="85"/>
        <v>Huron</v>
      </c>
      <c r="BP493" s="7" t="b">
        <f t="shared" si="86"/>
        <v>1</v>
      </c>
    </row>
    <row r="494" spans="1:68">
      <c r="A494" s="12" t="s">
        <v>284</v>
      </c>
      <c r="B494" s="12"/>
      <c r="C494" s="12" t="s">
        <v>20</v>
      </c>
      <c r="D494" s="12"/>
      <c r="E494" s="12">
        <v>44792</v>
      </c>
      <c r="G494" s="7">
        <v>25526709</v>
      </c>
      <c r="I494" s="7">
        <v>10146197</v>
      </c>
      <c r="K494" s="7">
        <v>2644911</v>
      </c>
      <c r="M494" s="7">
        <v>0</v>
      </c>
      <c r="O494" s="7">
        <v>1000667</v>
      </c>
      <c r="Q494" s="7">
        <v>4049494</v>
      </c>
      <c r="S494" s="7">
        <v>1707651</v>
      </c>
      <c r="U494" s="7">
        <v>194491</v>
      </c>
      <c r="W494" s="7">
        <v>4066614</v>
      </c>
      <c r="Y494" s="7">
        <v>1775600</v>
      </c>
      <c r="AA494" s="7">
        <v>364900</v>
      </c>
      <c r="AC494" s="7">
        <v>7127115</v>
      </c>
      <c r="AE494" s="7">
        <v>3236127</v>
      </c>
      <c r="AG494" s="7">
        <v>1493965</v>
      </c>
      <c r="AI494" s="12" t="s">
        <v>284</v>
      </c>
      <c r="AJ494" s="12"/>
      <c r="AK494" s="12" t="s">
        <v>20</v>
      </c>
      <c r="AL494" s="12"/>
      <c r="AM494" s="7">
        <v>1754325</v>
      </c>
      <c r="AO494" s="7">
        <v>1238301</v>
      </c>
      <c r="AQ494" s="7">
        <v>1332396</v>
      </c>
      <c r="AS494" s="7">
        <v>629004</v>
      </c>
      <c r="AW494" s="7">
        <v>0</v>
      </c>
      <c r="AY494" s="7">
        <f t="shared" si="87"/>
        <v>68288467</v>
      </c>
      <c r="BA494" s="7">
        <f>+'St of Activites - GA Rev'!AI494-'St of Activities - GA Exp'!AY494</f>
        <v>443244</v>
      </c>
      <c r="BC494" s="7">
        <v>25824917</v>
      </c>
      <c r="BE494" s="7">
        <f t="shared" si="88"/>
        <v>26268161</v>
      </c>
      <c r="BG494" s="7">
        <f>+'St of Net Assets - GA'!AA494-'St of Activities - GA Exp'!BE494</f>
        <v>0</v>
      </c>
      <c r="BL494" s="7" t="str">
        <f t="shared" si="83"/>
        <v>South Euclid-Lyndhurst City SD</v>
      </c>
      <c r="BM494" s="7" t="b">
        <f t="shared" si="84"/>
        <v>1</v>
      </c>
      <c r="BO494" s="7" t="str">
        <f t="shared" si="85"/>
        <v>Cuyahoga</v>
      </c>
      <c r="BP494" s="7" t="b">
        <f t="shared" si="86"/>
        <v>1</v>
      </c>
    </row>
    <row r="495" spans="1:68" ht="12" customHeight="1">
      <c r="A495" s="12" t="s">
        <v>382</v>
      </c>
      <c r="B495" s="12"/>
      <c r="C495" s="12" t="s">
        <v>377</v>
      </c>
      <c r="D495" s="12"/>
      <c r="E495" s="12">
        <v>47951</v>
      </c>
      <c r="G495" s="7">
        <v>8134851</v>
      </c>
      <c r="I495" s="7">
        <v>2277136</v>
      </c>
      <c r="K495" s="7">
        <v>254699</v>
      </c>
      <c r="M495" s="7">
        <v>0</v>
      </c>
      <c r="O495" s="7">
        <f>26347+22190</f>
        <v>48537</v>
      </c>
      <c r="Q495" s="7">
        <v>566061</v>
      </c>
      <c r="S495" s="7">
        <v>1078239</v>
      </c>
      <c r="U495" s="7">
        <v>222751</v>
      </c>
      <c r="W495" s="7">
        <v>1511941</v>
      </c>
      <c r="Y495" s="7">
        <v>455584</v>
      </c>
      <c r="AA495" s="7">
        <v>0</v>
      </c>
      <c r="AC495" s="7">
        <v>2126495</v>
      </c>
      <c r="AE495" s="7">
        <v>1133651</v>
      </c>
      <c r="AG495" s="7">
        <v>64014</v>
      </c>
      <c r="AI495" s="12" t="s">
        <v>382</v>
      </c>
      <c r="AJ495" s="12"/>
      <c r="AK495" s="12" t="s">
        <v>377</v>
      </c>
      <c r="AL495" s="12"/>
      <c r="AM495" s="7">
        <v>836142</v>
      </c>
      <c r="AO495" s="7">
        <v>1060</v>
      </c>
      <c r="AQ495" s="7">
        <f>291738+3350</f>
        <v>295088</v>
      </c>
      <c r="AS495" s="7">
        <v>519099</v>
      </c>
      <c r="AW495" s="7">
        <v>0</v>
      </c>
      <c r="AY495" s="7">
        <f t="shared" si="87"/>
        <v>19525348</v>
      </c>
      <c r="BA495" s="7">
        <f>+'St of Activites - GA Rev'!AI495-'St of Activities - GA Exp'!AY495</f>
        <v>298767</v>
      </c>
      <c r="BC495" s="7">
        <v>47243095</v>
      </c>
      <c r="BE495" s="7">
        <f t="shared" si="88"/>
        <v>47541862</v>
      </c>
      <c r="BG495" s="7">
        <f>+'St of Net Assets - GA'!AA495-'St of Activities - GA Exp'!BE495</f>
        <v>0</v>
      </c>
      <c r="BL495" s="7" t="str">
        <f t="shared" si="83"/>
        <v>South Point Local SD</v>
      </c>
      <c r="BM495" s="7" t="b">
        <f t="shared" si="84"/>
        <v>1</v>
      </c>
      <c r="BO495" s="7" t="str">
        <f t="shared" si="85"/>
        <v>Lawrence</v>
      </c>
      <c r="BP495" s="7" t="b">
        <f t="shared" si="86"/>
        <v>1</v>
      </c>
    </row>
    <row r="496" spans="1:68">
      <c r="A496" s="12" t="s">
        <v>419</v>
      </c>
      <c r="B496" s="12"/>
      <c r="C496" s="12" t="s">
        <v>45</v>
      </c>
      <c r="D496" s="12"/>
      <c r="E496" s="12">
        <v>48363</v>
      </c>
      <c r="G496" s="7">
        <v>7094967</v>
      </c>
      <c r="I496" s="7">
        <v>802653</v>
      </c>
      <c r="K496" s="7">
        <v>173914</v>
      </c>
      <c r="M496" s="7">
        <v>0</v>
      </c>
      <c r="O496" s="7">
        <v>222858</v>
      </c>
      <c r="Q496" s="7">
        <v>303820</v>
      </c>
      <c r="S496" s="7">
        <v>592448</v>
      </c>
      <c r="U496" s="7">
        <v>42230</v>
      </c>
      <c r="W496" s="7">
        <v>939747</v>
      </c>
      <c r="Y496" s="7">
        <v>395793</v>
      </c>
      <c r="AA496" s="7">
        <v>0</v>
      </c>
      <c r="AC496" s="7">
        <v>1123384</v>
      </c>
      <c r="AE496" s="7">
        <v>983361</v>
      </c>
      <c r="AG496" s="7">
        <v>172377</v>
      </c>
      <c r="AI496" s="12" t="s">
        <v>419</v>
      </c>
      <c r="AJ496" s="12"/>
      <c r="AK496" s="12" t="s">
        <v>45</v>
      </c>
      <c r="AL496" s="12"/>
      <c r="AM496" s="7">
        <v>365137</v>
      </c>
      <c r="AO496" s="7">
        <v>1426</v>
      </c>
      <c r="AQ496" s="7">
        <v>514513</v>
      </c>
      <c r="AS496" s="7">
        <v>903870</v>
      </c>
      <c r="AW496" s="7">
        <f>2863188+1227327</f>
        <v>4090515</v>
      </c>
      <c r="AY496" s="7">
        <f t="shared" si="87"/>
        <v>18723013</v>
      </c>
      <c r="BA496" s="7">
        <f>+'St of Activites - GA Rev'!AI496-'St of Activities - GA Exp'!AY496</f>
        <v>-4758790</v>
      </c>
      <c r="BC496" s="7">
        <v>28123877</v>
      </c>
      <c r="BE496" s="7">
        <f t="shared" si="88"/>
        <v>23365087</v>
      </c>
      <c r="BG496" s="7">
        <f>+'St of Net Assets - GA'!AA496-'St of Activities - GA Exp'!BE496</f>
        <v>0</v>
      </c>
      <c r="BL496" s="7" t="str">
        <f t="shared" si="83"/>
        <v>South Range Local SD</v>
      </c>
      <c r="BM496" s="7" t="b">
        <f t="shared" si="84"/>
        <v>1</v>
      </c>
      <c r="BO496" s="7" t="str">
        <f t="shared" si="85"/>
        <v>Mahoning</v>
      </c>
      <c r="BP496" s="7" t="b">
        <f t="shared" si="86"/>
        <v>1</v>
      </c>
    </row>
    <row r="497" spans="1:68">
      <c r="A497" s="12" t="s">
        <v>478</v>
      </c>
      <c r="B497" s="12"/>
      <c r="C497" s="12" t="s">
        <v>56</v>
      </c>
      <c r="D497" s="12"/>
      <c r="E497" s="12">
        <v>49221</v>
      </c>
      <c r="G497" s="7">
        <v>8534407</v>
      </c>
      <c r="I497" s="7">
        <v>2266024</v>
      </c>
      <c r="K497" s="7">
        <v>106014</v>
      </c>
      <c r="M497" s="7">
        <v>0</v>
      </c>
      <c r="O497" s="7">
        <f>42703+911396</f>
        <v>954099</v>
      </c>
      <c r="Q497" s="7">
        <v>1761766</v>
      </c>
      <c r="S497" s="7">
        <v>294693</v>
      </c>
      <c r="U497" s="7">
        <v>31683</v>
      </c>
      <c r="W497" s="7">
        <v>1449573</v>
      </c>
      <c r="Y497" s="7">
        <v>456709</v>
      </c>
      <c r="AA497" s="7">
        <v>121720</v>
      </c>
      <c r="AC497" s="7">
        <v>1604622</v>
      </c>
      <c r="AE497" s="7">
        <v>1473276</v>
      </c>
      <c r="AG497" s="7">
        <v>88687</v>
      </c>
      <c r="AI497" s="12" t="s">
        <v>478</v>
      </c>
      <c r="AJ497" s="12"/>
      <c r="AK497" s="12" t="s">
        <v>56</v>
      </c>
      <c r="AL497" s="12"/>
      <c r="AM497" s="7">
        <v>642234</v>
      </c>
      <c r="AO497" s="7">
        <v>0</v>
      </c>
      <c r="AQ497" s="7">
        <v>530367</v>
      </c>
      <c r="AS497" s="7">
        <v>261630</v>
      </c>
      <c r="AW497" s="7">
        <v>0</v>
      </c>
      <c r="AY497" s="7">
        <f t="shared" si="87"/>
        <v>20577504</v>
      </c>
      <c r="BA497" s="7">
        <f>+'St of Activites - GA Rev'!AI497-'St of Activities - GA Exp'!AY497</f>
        <v>5958853</v>
      </c>
      <c r="BC497" s="7">
        <v>32638069</v>
      </c>
      <c r="BE497" s="7">
        <f t="shared" si="88"/>
        <v>38596922</v>
      </c>
      <c r="BG497" s="7">
        <f>+'St of Net Assets - GA'!AA497-'St of Activities - GA Exp'!BE497</f>
        <v>0</v>
      </c>
      <c r="BL497" s="7" t="str">
        <f t="shared" si="83"/>
        <v>Southeast Local SD</v>
      </c>
      <c r="BM497" s="7" t="b">
        <f t="shared" si="84"/>
        <v>1</v>
      </c>
      <c r="BO497" s="7" t="str">
        <f t="shared" si="85"/>
        <v>Portage</v>
      </c>
      <c r="BP497" s="7" t="b">
        <f t="shared" si="86"/>
        <v>1</v>
      </c>
    </row>
    <row r="498" spans="1:68">
      <c r="A498" s="12" t="s">
        <v>478</v>
      </c>
      <c r="B498" s="12"/>
      <c r="C498" s="12" t="s">
        <v>71</v>
      </c>
      <c r="D498" s="12"/>
      <c r="E498" s="12">
        <v>50583</v>
      </c>
      <c r="G498" s="7">
        <v>6340175</v>
      </c>
      <c r="I498" s="7">
        <v>2478426</v>
      </c>
      <c r="K498" s="7">
        <v>236950</v>
      </c>
      <c r="M498" s="7">
        <v>0</v>
      </c>
      <c r="O498" s="7">
        <f>9856+586404</f>
        <v>596260</v>
      </c>
      <c r="Q498" s="7">
        <v>755803</v>
      </c>
      <c r="S498" s="7">
        <v>478226</v>
      </c>
      <c r="U498" s="7">
        <v>25305</v>
      </c>
      <c r="W498" s="7">
        <v>1846781</v>
      </c>
      <c r="Y498" s="7">
        <v>380006</v>
      </c>
      <c r="AA498" s="7">
        <v>0</v>
      </c>
      <c r="AC498" s="7">
        <v>1153761</v>
      </c>
      <c r="AE498" s="7">
        <v>1322400</v>
      </c>
      <c r="AG498" s="7">
        <v>183221</v>
      </c>
      <c r="AI498" s="12" t="s">
        <v>478</v>
      </c>
      <c r="AJ498" s="12"/>
      <c r="AK498" s="12" t="s">
        <v>71</v>
      </c>
      <c r="AL498" s="12"/>
      <c r="AM498" s="7">
        <v>0</v>
      </c>
      <c r="AO498" s="7">
        <v>838284</v>
      </c>
      <c r="AQ498" s="7">
        <v>427934</v>
      </c>
      <c r="AS498" s="7">
        <v>6470</v>
      </c>
      <c r="AW498" s="7">
        <v>0</v>
      </c>
      <c r="AY498" s="7">
        <f t="shared" si="87"/>
        <v>17070002</v>
      </c>
      <c r="BA498" s="7">
        <f>+'St of Activites - GA Rev'!AI498-'St of Activities - GA Exp'!AY498</f>
        <v>331188</v>
      </c>
      <c r="BC498" s="7">
        <v>3416407</v>
      </c>
      <c r="BE498" s="7">
        <f t="shared" si="88"/>
        <v>3747595</v>
      </c>
      <c r="BG498" s="7">
        <f>+'St of Net Assets - GA'!AA498-'St of Activities - GA Exp'!BE498</f>
        <v>0</v>
      </c>
      <c r="BH498" s="7" t="s">
        <v>788</v>
      </c>
      <c r="BL498" s="7" t="str">
        <f t="shared" si="83"/>
        <v>Southeast Local SD</v>
      </c>
      <c r="BM498" s="7" t="b">
        <f t="shared" si="84"/>
        <v>1</v>
      </c>
      <c r="BO498" s="7" t="str">
        <f t="shared" si="85"/>
        <v>Wayne</v>
      </c>
      <c r="BP498" s="7" t="b">
        <f t="shared" si="86"/>
        <v>1</v>
      </c>
    </row>
    <row r="499" spans="1:68">
      <c r="A499" s="12" t="s">
        <v>240</v>
      </c>
      <c r="B499" s="12"/>
      <c r="C499" s="12" t="s">
        <v>17</v>
      </c>
      <c r="D499" s="12"/>
      <c r="E499" s="12">
        <v>46276</v>
      </c>
      <c r="G499" s="7">
        <v>3833302</v>
      </c>
      <c r="I499" s="7">
        <v>1063039</v>
      </c>
      <c r="K499" s="7">
        <v>237042</v>
      </c>
      <c r="M499" s="7">
        <v>0</v>
      </c>
      <c r="O499" s="7">
        <f>21476+31</f>
        <v>21507</v>
      </c>
      <c r="Q499" s="7">
        <v>396574</v>
      </c>
      <c r="S499" s="7">
        <v>277020</v>
      </c>
      <c r="U499" s="7">
        <v>18029</v>
      </c>
      <c r="W499" s="7">
        <v>654116</v>
      </c>
      <c r="Y499" s="7">
        <v>314967</v>
      </c>
      <c r="AA499" s="7">
        <v>0</v>
      </c>
      <c r="AC499" s="7">
        <v>574373</v>
      </c>
      <c r="AE499" s="7">
        <v>430939</v>
      </c>
      <c r="AG499" s="7">
        <v>29306</v>
      </c>
      <c r="AI499" s="12" t="s">
        <v>240</v>
      </c>
      <c r="AJ499" s="12"/>
      <c r="AK499" s="12" t="s">
        <v>17</v>
      </c>
      <c r="AL499" s="12"/>
      <c r="AM499" s="7">
        <v>0</v>
      </c>
      <c r="AO499" s="7">
        <v>222575</v>
      </c>
      <c r="AQ499" s="7">
        <v>343640</v>
      </c>
      <c r="AS499" s="7">
        <v>85638</v>
      </c>
      <c r="AW499" s="7">
        <v>0</v>
      </c>
      <c r="AY499" s="7">
        <f t="shared" si="87"/>
        <v>8502067</v>
      </c>
      <c r="BA499" s="7">
        <f>+'St of Activites - GA Rev'!AI499-'St of Activities - GA Exp'!AY499</f>
        <v>314716</v>
      </c>
      <c r="BC499" s="7">
        <v>9051498</v>
      </c>
      <c r="BE499" s="7">
        <f t="shared" si="88"/>
        <v>9366214</v>
      </c>
      <c r="BG499" s="7">
        <f>+'St of Net Assets - GA'!AA499-'St of Activities - GA Exp'!BE499</f>
        <v>0</v>
      </c>
      <c r="BL499" s="7" t="str">
        <f t="shared" si="83"/>
        <v>Southeastern Local SD</v>
      </c>
      <c r="BM499" s="7" t="b">
        <f t="shared" si="84"/>
        <v>1</v>
      </c>
      <c r="BO499" s="7" t="str">
        <f t="shared" si="85"/>
        <v>Clark</v>
      </c>
      <c r="BP499" s="7" t="b">
        <f t="shared" si="86"/>
        <v>1</v>
      </c>
    </row>
    <row r="500" spans="1:68">
      <c r="A500" s="12" t="s">
        <v>240</v>
      </c>
      <c r="B500" s="12"/>
      <c r="C500" s="12" t="s">
        <v>58</v>
      </c>
      <c r="D500" s="12"/>
      <c r="E500" s="12">
        <v>49528</v>
      </c>
      <c r="G500" s="7">
        <v>5886587</v>
      </c>
      <c r="I500" s="7">
        <v>1512812</v>
      </c>
      <c r="K500" s="7">
        <v>0</v>
      </c>
      <c r="M500" s="7">
        <v>0</v>
      </c>
      <c r="O500" s="7">
        <v>1010</v>
      </c>
      <c r="Q500" s="7">
        <v>522722</v>
      </c>
      <c r="S500" s="7">
        <v>348370</v>
      </c>
      <c r="U500" s="7">
        <v>4714</v>
      </c>
      <c r="W500" s="7">
        <v>606780</v>
      </c>
      <c r="Y500" s="7">
        <v>281349</v>
      </c>
      <c r="AA500" s="7">
        <v>219718</v>
      </c>
      <c r="AC500" s="7">
        <v>1062419</v>
      </c>
      <c r="AE500" s="7">
        <v>930858</v>
      </c>
      <c r="AG500" s="7">
        <v>136821</v>
      </c>
      <c r="AI500" s="12" t="s">
        <v>240</v>
      </c>
      <c r="AJ500" s="12"/>
      <c r="AK500" s="12" t="s">
        <v>58</v>
      </c>
      <c r="AL500" s="12"/>
      <c r="AM500" s="7">
        <v>0</v>
      </c>
      <c r="AO500" s="7">
        <v>489582</v>
      </c>
      <c r="AQ500" s="7">
        <v>497925</v>
      </c>
      <c r="AS500" s="7">
        <v>262918</v>
      </c>
      <c r="AW500" s="7">
        <v>0</v>
      </c>
      <c r="AY500" s="7">
        <f t="shared" ref="AY500:AY506" si="89">SUM(G500:AX500)</f>
        <v>12764585</v>
      </c>
      <c r="BA500" s="7">
        <f>+'St of Activites - GA Rev'!AI500-'St of Activities - GA Exp'!AY500</f>
        <v>-272394</v>
      </c>
      <c r="BC500" s="7">
        <v>25179355</v>
      </c>
      <c r="BE500" s="7">
        <f t="shared" ref="BE500:BE506" si="90">+BA500+BC500</f>
        <v>24906961</v>
      </c>
      <c r="BG500" s="7">
        <f>+'St of Net Assets - GA'!AA500-'St of Activities - GA Exp'!BE500</f>
        <v>0</v>
      </c>
      <c r="BL500" s="7" t="str">
        <f t="shared" si="83"/>
        <v>Southeastern Local SD</v>
      </c>
      <c r="BM500" s="7" t="b">
        <f t="shared" si="84"/>
        <v>1</v>
      </c>
      <c r="BO500" s="7" t="str">
        <f t="shared" si="85"/>
        <v>Ross</v>
      </c>
      <c r="BP500" s="7" t="b">
        <f t="shared" si="86"/>
        <v>1</v>
      </c>
    </row>
    <row r="501" spans="1:68">
      <c r="A501" s="12" t="s">
        <v>674</v>
      </c>
      <c r="B501" s="12"/>
      <c r="C501" s="12" t="s">
        <v>112</v>
      </c>
      <c r="D501" s="12"/>
      <c r="E501" s="12">
        <v>46441</v>
      </c>
      <c r="G501" s="7">
        <v>4075962</v>
      </c>
      <c r="I501" s="7">
        <v>1058992</v>
      </c>
      <c r="K501" s="7">
        <v>221446</v>
      </c>
      <c r="M501" s="7">
        <v>0</v>
      </c>
      <c r="O501" s="7">
        <v>15260</v>
      </c>
      <c r="Q501" s="7">
        <v>328112</v>
      </c>
      <c r="S501" s="7">
        <v>323267</v>
      </c>
      <c r="U501" s="7">
        <v>1155983</v>
      </c>
      <c r="W501" s="7">
        <v>692937</v>
      </c>
      <c r="Y501" s="7">
        <v>230732</v>
      </c>
      <c r="AA501" s="7">
        <v>57148</v>
      </c>
      <c r="AC501" s="7">
        <v>990178</v>
      </c>
      <c r="AE501" s="7">
        <v>946285</v>
      </c>
      <c r="AG501" s="7">
        <v>25693</v>
      </c>
      <c r="AI501" s="12" t="s">
        <v>674</v>
      </c>
      <c r="AJ501" s="12"/>
      <c r="AK501" s="12" t="s">
        <v>112</v>
      </c>
      <c r="AL501" s="12"/>
      <c r="AM501" s="7">
        <v>384124</v>
      </c>
      <c r="AO501" s="7">
        <v>6642</v>
      </c>
      <c r="AQ501" s="7">
        <v>244511</v>
      </c>
      <c r="AS501" s="7">
        <v>175403</v>
      </c>
      <c r="AW501" s="7">
        <v>0</v>
      </c>
      <c r="AY501" s="7">
        <f t="shared" si="89"/>
        <v>10932675</v>
      </c>
      <c r="BA501" s="7">
        <f>+'St of Activites - GA Rev'!AI501-'St of Activities - GA Exp'!AY501</f>
        <v>225727</v>
      </c>
      <c r="BC501" s="7">
        <v>10991838</v>
      </c>
      <c r="BE501" s="7">
        <f t="shared" si="90"/>
        <v>11217565</v>
      </c>
      <c r="BG501" s="7">
        <f>+'St of Net Assets - GA'!AA501-'St of Activities - GA Exp'!BE501</f>
        <v>0</v>
      </c>
      <c r="BL501" s="7" t="str">
        <f t="shared" si="83"/>
        <v xml:space="preserve">Southern Local SD </v>
      </c>
      <c r="BM501" s="7" t="b">
        <f t="shared" si="84"/>
        <v>1</v>
      </c>
      <c r="BO501" s="7" t="str">
        <f t="shared" si="85"/>
        <v>Columbiana</v>
      </c>
      <c r="BP501" s="7" t="b">
        <f t="shared" si="86"/>
        <v>1</v>
      </c>
    </row>
    <row r="502" spans="1:68">
      <c r="A502" s="12" t="s">
        <v>256</v>
      </c>
      <c r="B502" s="12"/>
      <c r="C502" s="12" t="s">
        <v>433</v>
      </c>
      <c r="D502" s="12"/>
      <c r="E502" s="12">
        <v>46441</v>
      </c>
      <c r="G502" s="7">
        <v>3201361</v>
      </c>
      <c r="I502" s="7">
        <v>1077217</v>
      </c>
      <c r="K502" s="7">
        <v>182822</v>
      </c>
      <c r="M502" s="7">
        <v>0</v>
      </c>
      <c r="O502" s="7">
        <v>309984</v>
      </c>
      <c r="Q502" s="7">
        <v>757531</v>
      </c>
      <c r="S502" s="7">
        <v>678604</v>
      </c>
      <c r="U502" s="7">
        <v>116842</v>
      </c>
      <c r="W502" s="7">
        <v>461430</v>
      </c>
      <c r="Y502" s="7">
        <v>323436</v>
      </c>
      <c r="AA502" s="7">
        <v>0</v>
      </c>
      <c r="AC502" s="7">
        <v>688734</v>
      </c>
      <c r="AE502" s="7">
        <v>644766</v>
      </c>
      <c r="AG502" s="7">
        <v>192029</v>
      </c>
      <c r="AI502" s="12" t="s">
        <v>256</v>
      </c>
      <c r="AJ502" s="12"/>
      <c r="AK502" s="12" t="s">
        <v>433</v>
      </c>
      <c r="AL502" s="12"/>
      <c r="AM502" s="7">
        <v>429168</v>
      </c>
      <c r="AO502" s="7">
        <v>7315</v>
      </c>
      <c r="AQ502" s="7">
        <v>139952</v>
      </c>
      <c r="AS502" s="7">
        <v>253598</v>
      </c>
      <c r="AW502" s="7">
        <v>0</v>
      </c>
      <c r="AY502" s="7">
        <f t="shared" si="89"/>
        <v>9464789</v>
      </c>
      <c r="BA502" s="7">
        <f>+'St of Activites - GA Rev'!AI502-'St of Activities - GA Exp'!AY502</f>
        <v>7724304</v>
      </c>
      <c r="BC502" s="7">
        <v>8909938</v>
      </c>
      <c r="BE502" s="7">
        <f t="shared" si="90"/>
        <v>16634242</v>
      </c>
      <c r="BG502" s="7">
        <f>+'St of Net Assets - GA'!AA502-'St of Activities - GA Exp'!BE502</f>
        <v>0</v>
      </c>
      <c r="BL502" s="7" t="str">
        <f t="shared" si="83"/>
        <v>Southern Local SD</v>
      </c>
      <c r="BM502" s="7" t="b">
        <f t="shared" si="84"/>
        <v>1</v>
      </c>
      <c r="BO502" s="7" t="str">
        <f t="shared" si="85"/>
        <v>Meigs</v>
      </c>
      <c r="BP502" s="7" t="b">
        <f t="shared" si="86"/>
        <v>1</v>
      </c>
    </row>
    <row r="503" spans="1:68" hidden="1">
      <c r="A503" s="12" t="s">
        <v>739</v>
      </c>
      <c r="B503" s="12"/>
      <c r="C503" s="12" t="s">
        <v>466</v>
      </c>
      <c r="D503" s="12"/>
      <c r="E503" s="12"/>
      <c r="AI503" s="12" t="s">
        <v>739</v>
      </c>
      <c r="AJ503" s="12"/>
      <c r="AK503" s="12" t="s">
        <v>466</v>
      </c>
      <c r="AL503" s="12"/>
      <c r="AY503" s="7">
        <f t="shared" si="89"/>
        <v>0</v>
      </c>
      <c r="BA503" s="7">
        <f>+'St of Activites - GA Rev'!AI503-'St of Activities - GA Exp'!AY503</f>
        <v>0</v>
      </c>
      <c r="BE503" s="7">
        <f t="shared" si="90"/>
        <v>0</v>
      </c>
      <c r="BG503" s="7">
        <f>+'St of Net Assets - GA'!AA503-'St of Activities - GA Exp'!BE503</f>
        <v>0</v>
      </c>
      <c r="BH503" s="7" t="s">
        <v>789</v>
      </c>
      <c r="BL503" s="7" t="str">
        <f t="shared" si="83"/>
        <v>Southern Local SD (CASH)</v>
      </c>
      <c r="BM503" s="7" t="b">
        <f t="shared" si="84"/>
        <v>1</v>
      </c>
      <c r="BO503" s="7" t="str">
        <f t="shared" si="85"/>
        <v>Perry</v>
      </c>
      <c r="BP503" s="7" t="b">
        <f t="shared" si="86"/>
        <v>1</v>
      </c>
    </row>
    <row r="504" spans="1:68">
      <c r="A504" s="12" t="s">
        <v>546</v>
      </c>
      <c r="B504" s="12"/>
      <c r="C504" s="12" t="s">
        <v>64</v>
      </c>
      <c r="D504" s="12"/>
      <c r="E504" s="12">
        <v>50237</v>
      </c>
      <c r="G504" s="7">
        <v>2161552</v>
      </c>
      <c r="I504" s="7">
        <v>261900</v>
      </c>
      <c r="K504" s="7">
        <v>0</v>
      </c>
      <c r="M504" s="7">
        <v>0</v>
      </c>
      <c r="O504" s="7">
        <v>0</v>
      </c>
      <c r="Q504" s="7">
        <v>499381</v>
      </c>
      <c r="S504" s="7">
        <v>57538</v>
      </c>
      <c r="U504" s="7">
        <v>44993</v>
      </c>
      <c r="W504" s="7">
        <v>392020</v>
      </c>
      <c r="Y504" s="7">
        <v>209678</v>
      </c>
      <c r="AA504" s="7">
        <v>20420</v>
      </c>
      <c r="AC504" s="7">
        <v>346656</v>
      </c>
      <c r="AE504" s="7">
        <v>289304</v>
      </c>
      <c r="AG504" s="7">
        <v>5912</v>
      </c>
      <c r="AI504" s="12" t="s">
        <v>546</v>
      </c>
      <c r="AJ504" s="12"/>
      <c r="AK504" s="12" t="s">
        <v>64</v>
      </c>
      <c r="AL504" s="12"/>
      <c r="AM504" s="7">
        <v>156576</v>
      </c>
      <c r="AO504" s="7">
        <v>100</v>
      </c>
      <c r="AQ504" s="7">
        <v>179904</v>
      </c>
      <c r="AS504" s="7">
        <v>325396</v>
      </c>
      <c r="AW504" s="7">
        <v>0</v>
      </c>
      <c r="AY504" s="7">
        <f t="shared" si="89"/>
        <v>4951330</v>
      </c>
      <c r="BA504" s="7">
        <f>+'St of Activites - GA Rev'!AI504-'St of Activities - GA Exp'!AY504</f>
        <v>1256063</v>
      </c>
      <c r="BC504" s="7">
        <v>18743106</v>
      </c>
      <c r="BE504" s="7">
        <f t="shared" si="90"/>
        <v>19999169</v>
      </c>
      <c r="BG504" s="7">
        <f>+'St of Net Assets - GA'!AA504-'St of Activities - GA Exp'!BE504</f>
        <v>0</v>
      </c>
      <c r="BL504" s="7" t="str">
        <f t="shared" si="83"/>
        <v>Southington Local SD</v>
      </c>
      <c r="BM504" s="7" t="b">
        <f t="shared" si="84"/>
        <v>1</v>
      </c>
      <c r="BO504" s="7" t="str">
        <f t="shared" si="85"/>
        <v>Trumbull</v>
      </c>
      <c r="BP504" s="7" t="b">
        <f t="shared" si="86"/>
        <v>1</v>
      </c>
    </row>
    <row r="505" spans="1:68" ht="12" hidden="1" customHeight="1">
      <c r="A505" s="12" t="s">
        <v>976</v>
      </c>
      <c r="B505" s="12"/>
      <c r="C505" s="12" t="s">
        <v>42</v>
      </c>
      <c r="D505" s="12"/>
      <c r="E505" s="12">
        <v>48041</v>
      </c>
      <c r="AI505" s="12" t="s">
        <v>663</v>
      </c>
      <c r="AJ505" s="12"/>
      <c r="AK505" s="12" t="s">
        <v>42</v>
      </c>
      <c r="AL505" s="12"/>
      <c r="AY505" s="7">
        <f t="shared" si="89"/>
        <v>0</v>
      </c>
      <c r="BA505" s="7">
        <f>+'St of Activites - GA Rev'!AI505-'St of Activities - GA Exp'!AY505</f>
        <v>0</v>
      </c>
      <c r="BE505" s="7">
        <f t="shared" si="90"/>
        <v>0</v>
      </c>
      <c r="BG505" s="7">
        <f>+'St of Net Assets - GA'!AA505-'St of Activities - GA Exp'!BE505</f>
        <v>0</v>
      </c>
      <c r="BL505" s="7" t="str">
        <f t="shared" si="83"/>
        <v>Southwest Licking Local SD (CASH)</v>
      </c>
      <c r="BM505" s="7" t="b">
        <f t="shared" si="84"/>
        <v>0</v>
      </c>
      <c r="BO505" s="7" t="str">
        <f t="shared" si="85"/>
        <v>Licking</v>
      </c>
      <c r="BP505" s="7" t="b">
        <f t="shared" si="86"/>
        <v>1</v>
      </c>
    </row>
    <row r="506" spans="1:68" ht="12" customHeight="1">
      <c r="A506" s="12" t="s">
        <v>339</v>
      </c>
      <c r="B506" s="12"/>
      <c r="C506" s="12" t="s">
        <v>32</v>
      </c>
      <c r="D506" s="12"/>
      <c r="E506" s="12">
        <v>47381</v>
      </c>
      <c r="G506" s="7">
        <f>16446450+100</f>
        <v>16446550</v>
      </c>
      <c r="I506" s="7">
        <v>3963943</v>
      </c>
      <c r="K506" s="7">
        <v>1631</v>
      </c>
      <c r="M506" s="7">
        <v>0</v>
      </c>
      <c r="O506" s="7">
        <v>533228</v>
      </c>
      <c r="Q506" s="7">
        <v>1563048</v>
      </c>
      <c r="S506" s="7">
        <v>1263259</v>
      </c>
      <c r="U506" s="7">
        <v>67911</v>
      </c>
      <c r="W506" s="7">
        <v>2666586</v>
      </c>
      <c r="Y506" s="7">
        <v>1042948</v>
      </c>
      <c r="AA506" s="7">
        <v>0</v>
      </c>
      <c r="AC506" s="7">
        <v>3582586</v>
      </c>
      <c r="AE506" s="7">
        <v>1697375</v>
      </c>
      <c r="AG506" s="7">
        <v>56738</v>
      </c>
      <c r="AI506" s="12" t="s">
        <v>339</v>
      </c>
      <c r="AJ506" s="12"/>
      <c r="AK506" s="12" t="s">
        <v>32</v>
      </c>
      <c r="AL506" s="12"/>
      <c r="AM506" s="7">
        <v>0</v>
      </c>
      <c r="AO506" s="7">
        <v>1885975</v>
      </c>
      <c r="AQ506" s="7">
        <v>861779</v>
      </c>
      <c r="AS506" s="7">
        <v>773056</v>
      </c>
      <c r="AW506" s="7">
        <v>0</v>
      </c>
      <c r="AY506" s="7">
        <f t="shared" si="89"/>
        <v>36406613</v>
      </c>
      <c r="BA506" s="7">
        <f>+'St of Activites - GA Rev'!AI506-'St of Activities - GA Exp'!AY506</f>
        <v>1247617</v>
      </c>
      <c r="BC506" s="7">
        <v>6057574</v>
      </c>
      <c r="BE506" s="7">
        <f t="shared" si="90"/>
        <v>7305191</v>
      </c>
      <c r="BG506" s="7">
        <f>+'St of Net Assets - GA'!AA506-'St of Activities - GA Exp'!BE506</f>
        <v>0</v>
      </c>
      <c r="BL506" s="7" t="str">
        <f t="shared" si="83"/>
        <v>Southwest Local SD</v>
      </c>
      <c r="BM506" s="7" t="b">
        <f t="shared" si="84"/>
        <v>1</v>
      </c>
      <c r="BO506" s="7" t="str">
        <f t="shared" si="85"/>
        <v>Hamilton</v>
      </c>
      <c r="BP506" s="7" t="b">
        <f t="shared" si="86"/>
        <v>1</v>
      </c>
    </row>
    <row r="507" spans="1:68">
      <c r="A507" s="12" t="s">
        <v>313</v>
      </c>
      <c r="B507" s="12"/>
      <c r="C507" s="12" t="s">
        <v>27</v>
      </c>
      <c r="D507" s="12"/>
      <c r="E507" s="12">
        <v>44800</v>
      </c>
      <c r="G507" s="7">
        <v>98991909</v>
      </c>
      <c r="I507" s="7">
        <v>30607426</v>
      </c>
      <c r="K507" s="7">
        <v>6508952</v>
      </c>
      <c r="M507" s="7">
        <v>0</v>
      </c>
      <c r="O507" s="7">
        <v>997663</v>
      </c>
      <c r="Q507" s="7">
        <v>10440174</v>
      </c>
      <c r="S507" s="7">
        <v>16956180</v>
      </c>
      <c r="U507" s="7">
        <v>36274</v>
      </c>
      <c r="W507" s="7">
        <v>16031146</v>
      </c>
      <c r="Y507" s="7">
        <v>3505319</v>
      </c>
      <c r="AA507" s="7">
        <v>862888</v>
      </c>
      <c r="AC507" s="7">
        <v>16023962</v>
      </c>
      <c r="AE507" s="7">
        <v>11832057</v>
      </c>
      <c r="AG507" s="7">
        <v>4584027</v>
      </c>
      <c r="AI507" s="12" t="s">
        <v>313</v>
      </c>
      <c r="AJ507" s="12"/>
      <c r="AK507" s="12" t="s">
        <v>27</v>
      </c>
      <c r="AL507" s="12"/>
      <c r="AM507" s="7">
        <v>8395557</v>
      </c>
      <c r="AO507" s="7">
        <v>1842104</v>
      </c>
      <c r="AQ507" s="7">
        <v>4331911</v>
      </c>
      <c r="AS507" s="7">
        <v>3601621</v>
      </c>
      <c r="AW507" s="7">
        <v>0</v>
      </c>
      <c r="AY507" s="7">
        <f t="shared" ref="AY507:AY567" si="91">SUM(G507:AX507)</f>
        <v>235549170</v>
      </c>
      <c r="BA507" s="7">
        <f>+'St of Activites - GA Rev'!AI507-'St of Activities - GA Exp'!AY507</f>
        <v>38628344</v>
      </c>
      <c r="BC507" s="7">
        <v>129808672</v>
      </c>
      <c r="BE507" s="7">
        <f t="shared" ref="BE507:BE561" si="92">+BA507+BC507</f>
        <v>168437016</v>
      </c>
      <c r="BG507" s="7">
        <f>+'St of Net Assets - GA'!AA507-'St of Activities - GA Exp'!BE507</f>
        <v>0</v>
      </c>
      <c r="BL507" s="7" t="str">
        <f t="shared" si="83"/>
        <v>South-Western City SD</v>
      </c>
      <c r="BM507" s="7" t="b">
        <f t="shared" si="84"/>
        <v>1</v>
      </c>
      <c r="BO507" s="7" t="str">
        <f t="shared" si="85"/>
        <v>Franklin</v>
      </c>
      <c r="BP507" s="7" t="b">
        <f t="shared" si="86"/>
        <v>1</v>
      </c>
    </row>
    <row r="508" spans="1:68" ht="12" hidden="1" customHeight="1">
      <c r="A508" s="12" t="s">
        <v>741</v>
      </c>
      <c r="B508" s="12"/>
      <c r="C508" s="12" t="s">
        <v>10</v>
      </c>
      <c r="D508" s="12"/>
      <c r="E508" s="12">
        <v>45807</v>
      </c>
      <c r="AI508" s="12" t="s">
        <v>741</v>
      </c>
      <c r="AJ508" s="12"/>
      <c r="AK508" s="12" t="s">
        <v>10</v>
      </c>
      <c r="AL508" s="12"/>
      <c r="AY508" s="7">
        <f t="shared" si="91"/>
        <v>0</v>
      </c>
      <c r="BA508" s="7">
        <f>+'St of Activites - GA Rev'!AI508-'St of Activities - GA Exp'!AY508</f>
        <v>0</v>
      </c>
      <c r="BE508" s="7">
        <f t="shared" si="92"/>
        <v>0</v>
      </c>
      <c r="BG508" s="7">
        <f>+'St of Net Assets - GA'!AA508-'St of Activities - GA Exp'!BE508</f>
        <v>0</v>
      </c>
      <c r="BH508" s="7" t="s">
        <v>789</v>
      </c>
      <c r="BL508" s="7" t="str">
        <f t="shared" si="83"/>
        <v>Spencerville Local SD (CASH)</v>
      </c>
      <c r="BM508" s="7" t="b">
        <f t="shared" si="84"/>
        <v>1</v>
      </c>
      <c r="BO508" s="7" t="str">
        <f t="shared" si="85"/>
        <v>Allen</v>
      </c>
      <c r="BP508" s="7" t="b">
        <f t="shared" si="86"/>
        <v>1</v>
      </c>
    </row>
    <row r="509" spans="1:68" ht="12" customHeight="1">
      <c r="A509" s="12" t="s">
        <v>977</v>
      </c>
      <c r="B509" s="12"/>
      <c r="C509" s="12" t="s">
        <v>69</v>
      </c>
      <c r="D509" s="12"/>
      <c r="E509" s="12">
        <v>50427</v>
      </c>
      <c r="G509" s="7">
        <v>23526860</v>
      </c>
      <c r="I509" s="7">
        <v>4806728</v>
      </c>
      <c r="K509" s="7">
        <v>86256</v>
      </c>
      <c r="M509" s="7">
        <v>0</v>
      </c>
      <c r="O509" s="7">
        <v>471099</v>
      </c>
      <c r="Q509" s="7">
        <v>3087792</v>
      </c>
      <c r="S509" s="7">
        <v>3298065</v>
      </c>
      <c r="U509" s="7">
        <v>172409</v>
      </c>
      <c r="W509" s="7">
        <v>3008089</v>
      </c>
      <c r="Y509" s="7">
        <v>980970</v>
      </c>
      <c r="AA509" s="7">
        <v>245454</v>
      </c>
      <c r="AC509" s="7">
        <v>5047273</v>
      </c>
      <c r="AE509" s="7">
        <v>3228752</v>
      </c>
      <c r="AG509" s="7">
        <v>230242</v>
      </c>
      <c r="AI509" s="12" t="s">
        <v>740</v>
      </c>
      <c r="AJ509" s="12"/>
      <c r="AK509" s="12" t="s">
        <v>69</v>
      </c>
      <c r="AL509" s="12"/>
      <c r="AM509" s="7">
        <v>0</v>
      </c>
      <c r="AO509" s="7">
        <v>1387659</v>
      </c>
      <c r="AQ509" s="7">
        <v>1188838</v>
      </c>
      <c r="AS509" s="7">
        <v>5000270</v>
      </c>
      <c r="AW509" s="7">
        <v>0</v>
      </c>
      <c r="AY509" s="7">
        <f t="shared" si="91"/>
        <v>55766756</v>
      </c>
      <c r="BA509" s="7">
        <f>+'St of Activites - GA Rev'!AI509-'St of Activities - GA Exp'!AY509</f>
        <v>-554273</v>
      </c>
      <c r="BC509" s="7">
        <v>2082504</v>
      </c>
      <c r="BE509" s="7">
        <f t="shared" si="92"/>
        <v>1528231</v>
      </c>
      <c r="BG509" s="7">
        <f>+'St of Net Assets - GA'!AA509-'St of Activities - GA Exp'!BE509</f>
        <v>0</v>
      </c>
      <c r="BL509" s="7" t="str">
        <f t="shared" si="83"/>
        <v xml:space="preserve">Springboro Community City SD </v>
      </c>
      <c r="BM509" s="7" t="b">
        <f t="shared" si="84"/>
        <v>0</v>
      </c>
      <c r="BO509" s="7" t="str">
        <f t="shared" si="85"/>
        <v>Warren</v>
      </c>
      <c r="BP509" s="7" t="b">
        <f t="shared" si="86"/>
        <v>1</v>
      </c>
    </row>
    <row r="510" spans="1:68">
      <c r="A510" s="12" t="s">
        <v>656</v>
      </c>
      <c r="B510" s="12"/>
      <c r="C510" s="12" t="s">
        <v>17</v>
      </c>
      <c r="D510" s="12"/>
      <c r="E510" s="12"/>
      <c r="G510" s="7">
        <v>43206893</v>
      </c>
      <c r="I510" s="7">
        <v>10446395</v>
      </c>
      <c r="K510" s="7">
        <v>198230</v>
      </c>
      <c r="M510" s="7">
        <v>130193</v>
      </c>
      <c r="O510" s="7">
        <v>391333</v>
      </c>
      <c r="Q510" s="7">
        <v>7029551</v>
      </c>
      <c r="S510" s="7">
        <v>7017109</v>
      </c>
      <c r="U510" s="7">
        <v>233064</v>
      </c>
      <c r="W510" s="7">
        <v>6892481</v>
      </c>
      <c r="Y510" s="7">
        <v>1545232</v>
      </c>
      <c r="AA510" s="7">
        <v>298592</v>
      </c>
      <c r="AC510" s="7">
        <v>8539156</v>
      </c>
      <c r="AE510" s="7">
        <v>2398981</v>
      </c>
      <c r="AG510" s="7">
        <v>1238962</v>
      </c>
      <c r="AI510" s="12" t="s">
        <v>656</v>
      </c>
      <c r="AJ510" s="12"/>
      <c r="AK510" s="12" t="s">
        <v>17</v>
      </c>
      <c r="AL510" s="12"/>
      <c r="AM510" s="7">
        <v>0</v>
      </c>
      <c r="AO510" s="7">
        <v>4985764</v>
      </c>
      <c r="AQ510" s="7">
        <v>880975</v>
      </c>
      <c r="AS510" s="7">
        <v>2295411</v>
      </c>
      <c r="AW510" s="7">
        <v>4733369</v>
      </c>
      <c r="AY510" s="7">
        <f t="shared" si="91"/>
        <v>102461691</v>
      </c>
      <c r="BA510" s="7">
        <f>+'St of Activites - GA Rev'!AI510-'St of Activities - GA Exp'!AY510</f>
        <v>5377545</v>
      </c>
      <c r="BC510" s="7">
        <v>189518207</v>
      </c>
      <c r="BE510" s="7">
        <f t="shared" si="92"/>
        <v>194895752</v>
      </c>
      <c r="BG510" s="7">
        <f>+'St of Net Assets - GA'!AA510-'St of Activities - GA Exp'!BE510</f>
        <v>0</v>
      </c>
      <c r="BL510" s="7" t="str">
        <f t="shared" si="83"/>
        <v>Springfield City SD</v>
      </c>
      <c r="BM510" s="7" t="b">
        <f t="shared" si="84"/>
        <v>1</v>
      </c>
      <c r="BO510" s="7" t="str">
        <f t="shared" si="85"/>
        <v>Clark</v>
      </c>
      <c r="BP510" s="7" t="b">
        <f t="shared" si="86"/>
        <v>1</v>
      </c>
    </row>
    <row r="511" spans="1:68">
      <c r="A511" s="12" t="s">
        <v>756</v>
      </c>
      <c r="B511" s="12"/>
      <c r="C511" s="12" t="s">
        <v>115</v>
      </c>
      <c r="D511" s="12"/>
      <c r="E511" s="12">
        <v>48223</v>
      </c>
      <c r="G511" s="7">
        <v>18892212</v>
      </c>
      <c r="I511" s="7">
        <v>4157739</v>
      </c>
      <c r="K511" s="7">
        <v>274485</v>
      </c>
      <c r="M511" s="7">
        <v>0</v>
      </c>
      <c r="O511" s="7">
        <f>1972242+938323</f>
        <v>2910565</v>
      </c>
      <c r="Q511" s="7">
        <v>1780572</v>
      </c>
      <c r="S511" s="7">
        <v>468060</v>
      </c>
      <c r="U511" s="7">
        <v>26982</v>
      </c>
      <c r="W511" s="7">
        <v>2980440</v>
      </c>
      <c r="Y511" s="7">
        <v>678237</v>
      </c>
      <c r="AA511" s="7">
        <v>0</v>
      </c>
      <c r="AC511" s="7">
        <v>3186127</v>
      </c>
      <c r="AE511" s="7">
        <v>1939074</v>
      </c>
      <c r="AG511" s="7">
        <v>84112</v>
      </c>
      <c r="AI511" s="12" t="s">
        <v>756</v>
      </c>
      <c r="AJ511" s="12"/>
      <c r="AK511" s="12" t="s">
        <v>115</v>
      </c>
      <c r="AL511" s="12"/>
      <c r="AM511" s="7">
        <v>0</v>
      </c>
      <c r="AO511" s="7">
        <v>2464485</v>
      </c>
      <c r="AQ511" s="7">
        <v>1084089</v>
      </c>
      <c r="AS511" s="7">
        <v>570913</v>
      </c>
      <c r="AW511" s="7">
        <v>0</v>
      </c>
      <c r="AY511" s="7">
        <f t="shared" si="91"/>
        <v>41498092</v>
      </c>
      <c r="BA511" s="7">
        <f>+'St of Activites - GA Rev'!AI511-'St of Activities - GA Exp'!AY511</f>
        <v>3956787</v>
      </c>
      <c r="BC511" s="7">
        <v>9390924</v>
      </c>
      <c r="BE511" s="7">
        <f t="shared" si="92"/>
        <v>13347711</v>
      </c>
      <c r="BG511" s="7">
        <f>+'St of Net Assets - GA'!AA511-'St of Activities - GA Exp'!BE511</f>
        <v>0</v>
      </c>
      <c r="BL511" s="7" t="str">
        <f t="shared" si="83"/>
        <v xml:space="preserve">Springfield Local SD </v>
      </c>
      <c r="BM511" s="7" t="b">
        <f t="shared" si="84"/>
        <v>1</v>
      </c>
      <c r="BO511" s="7" t="str">
        <f t="shared" si="85"/>
        <v>Lucas</v>
      </c>
      <c r="BP511" s="7" t="b">
        <f t="shared" si="86"/>
        <v>1</v>
      </c>
    </row>
    <row r="512" spans="1:68">
      <c r="A512" s="12" t="s">
        <v>406</v>
      </c>
      <c r="B512" s="12"/>
      <c r="C512" s="12" t="s">
        <v>45</v>
      </c>
      <c r="D512" s="12"/>
      <c r="E512" s="12">
        <v>48371</v>
      </c>
      <c r="G512" s="7">
        <v>5071246</v>
      </c>
      <c r="I512" s="7">
        <v>1086162</v>
      </c>
      <c r="K512" s="7">
        <v>197279</v>
      </c>
      <c r="M512" s="7">
        <v>0</v>
      </c>
      <c r="O512" s="7">
        <v>112176</v>
      </c>
      <c r="Q512" s="7">
        <v>619331</v>
      </c>
      <c r="S512" s="7">
        <v>357859</v>
      </c>
      <c r="U512" s="7">
        <v>28980</v>
      </c>
      <c r="W512" s="7">
        <v>1251004</v>
      </c>
      <c r="Y512" s="7">
        <v>331902</v>
      </c>
      <c r="AA512" s="7">
        <v>5160</v>
      </c>
      <c r="AC512" s="7">
        <v>1058527</v>
      </c>
      <c r="AE512" s="7">
        <v>579616</v>
      </c>
      <c r="AG512" s="7">
        <v>43296</v>
      </c>
      <c r="AI512" s="12" t="s">
        <v>406</v>
      </c>
      <c r="AJ512" s="12"/>
      <c r="AK512" s="12" t="s">
        <v>45</v>
      </c>
      <c r="AL512" s="12"/>
      <c r="AM512" s="7">
        <v>544929</v>
      </c>
      <c r="AO512" s="7">
        <v>4102</v>
      </c>
      <c r="AQ512" s="7">
        <v>563923</v>
      </c>
      <c r="AS512" s="7">
        <v>84408</v>
      </c>
      <c r="AW512" s="7">
        <v>0</v>
      </c>
      <c r="AY512" s="7">
        <f t="shared" si="91"/>
        <v>11939900</v>
      </c>
      <c r="BA512" s="7">
        <f>+'St of Activites - GA Rev'!AI512-'St of Activities - GA Exp'!AY512</f>
        <v>-108616</v>
      </c>
      <c r="BC512" s="7">
        <v>5882341</v>
      </c>
      <c r="BE512" s="7">
        <f t="shared" si="92"/>
        <v>5773725</v>
      </c>
      <c r="BG512" s="7">
        <f>+'St of Net Assets - GA'!AA512-'St of Activities - GA Exp'!BE512</f>
        <v>0</v>
      </c>
      <c r="BL512" s="7" t="str">
        <f t="shared" si="83"/>
        <v>Springfield Local SD</v>
      </c>
      <c r="BM512" s="7" t="b">
        <f t="shared" si="84"/>
        <v>1</v>
      </c>
      <c r="BO512" s="7" t="str">
        <f t="shared" si="85"/>
        <v>Mahoning</v>
      </c>
      <c r="BP512" s="7" t="b">
        <f t="shared" si="86"/>
        <v>1</v>
      </c>
    </row>
    <row r="513" spans="1:68">
      <c r="A513" s="12" t="s">
        <v>406</v>
      </c>
      <c r="B513" s="12"/>
      <c r="C513" s="12" t="s">
        <v>63</v>
      </c>
      <c r="D513" s="12"/>
      <c r="E513" s="12">
        <v>50062</v>
      </c>
      <c r="G513" s="7">
        <v>10354086</v>
      </c>
      <c r="I513" s="7">
        <v>3193860</v>
      </c>
      <c r="K513" s="7">
        <v>276895</v>
      </c>
      <c r="M513" s="7">
        <v>0</v>
      </c>
      <c r="O513" s="7">
        <v>2475878</v>
      </c>
      <c r="Q513" s="7">
        <v>1152992</v>
      </c>
      <c r="S513" s="7">
        <v>931016</v>
      </c>
      <c r="U513" s="7">
        <v>85416</v>
      </c>
      <c r="W513" s="7">
        <v>1536278</v>
      </c>
      <c r="Y513" s="7">
        <v>611843</v>
      </c>
      <c r="AA513" s="7">
        <v>140118</v>
      </c>
      <c r="AC513" s="7">
        <v>2184119</v>
      </c>
      <c r="AE513" s="7">
        <v>1376471</v>
      </c>
      <c r="AG513" s="7">
        <v>60771</v>
      </c>
      <c r="AI513" s="12" t="s">
        <v>406</v>
      </c>
      <c r="AJ513" s="12"/>
      <c r="AK513" s="12" t="s">
        <v>63</v>
      </c>
      <c r="AL513" s="12"/>
      <c r="AM513" s="7">
        <v>918528</v>
      </c>
      <c r="AO513" s="7">
        <f>4781+119918</f>
        <v>124699</v>
      </c>
      <c r="AQ513" s="7">
        <v>677510</v>
      </c>
      <c r="AS513" s="7">
        <v>1538902</v>
      </c>
      <c r="AW513" s="7">
        <v>0</v>
      </c>
      <c r="AY513" s="7">
        <f t="shared" si="91"/>
        <v>27639382</v>
      </c>
      <c r="BA513" s="7">
        <f>+'St of Activites - GA Rev'!AI513-'St of Activities - GA Exp'!AY513</f>
        <v>12833531</v>
      </c>
      <c r="BC513" s="7">
        <v>1593727</v>
      </c>
      <c r="BE513" s="7">
        <f t="shared" si="92"/>
        <v>14427258</v>
      </c>
      <c r="BG513" s="7">
        <f>+'St of Net Assets - GA'!AA513-'St of Activities - GA Exp'!BE513</f>
        <v>0</v>
      </c>
      <c r="BL513" s="7" t="str">
        <f t="shared" si="83"/>
        <v>Springfield Local SD</v>
      </c>
      <c r="BM513" s="7" t="b">
        <f t="shared" si="84"/>
        <v>1</v>
      </c>
      <c r="BO513" s="7" t="str">
        <f t="shared" si="85"/>
        <v>Summit</v>
      </c>
      <c r="BP513" s="7" t="b">
        <f t="shared" si="86"/>
        <v>1</v>
      </c>
    </row>
    <row r="514" spans="1:68">
      <c r="A514" s="12" t="s">
        <v>896</v>
      </c>
      <c r="B514" s="12"/>
      <c r="C514" s="12" t="s">
        <v>32</v>
      </c>
      <c r="D514" s="12"/>
      <c r="E514" s="12">
        <v>44719</v>
      </c>
      <c r="G514" s="7">
        <v>5723475</v>
      </c>
      <c r="I514" s="7">
        <v>1635838</v>
      </c>
      <c r="K514" s="7">
        <v>0</v>
      </c>
      <c r="M514" s="7">
        <v>0</v>
      </c>
      <c r="O514" s="7">
        <v>92523</v>
      </c>
      <c r="Q514" s="7">
        <v>877909</v>
      </c>
      <c r="S514" s="7">
        <v>905968</v>
      </c>
      <c r="U514" s="7">
        <v>14907</v>
      </c>
      <c r="W514" s="7">
        <v>939480</v>
      </c>
      <c r="Y514" s="7">
        <v>483044</v>
      </c>
      <c r="AA514" s="7">
        <v>0</v>
      </c>
      <c r="AC514" s="7">
        <v>1293247</v>
      </c>
      <c r="AE514" s="7">
        <v>389698</v>
      </c>
      <c r="AG514" s="7">
        <v>167369</v>
      </c>
      <c r="AI514" s="12" t="s">
        <v>896</v>
      </c>
      <c r="AJ514" s="12"/>
      <c r="AK514" s="12" t="s">
        <v>32</v>
      </c>
      <c r="AL514" s="12"/>
      <c r="AM514" s="7">
        <v>0</v>
      </c>
      <c r="AO514" s="7">
        <v>1007585</v>
      </c>
      <c r="AQ514" s="7">
        <v>224199</v>
      </c>
      <c r="AS514" s="7">
        <v>58462</v>
      </c>
      <c r="AW514" s="7">
        <v>0</v>
      </c>
      <c r="AY514" s="7">
        <f t="shared" si="91"/>
        <v>13813704</v>
      </c>
      <c r="BA514" s="7">
        <f>+'St of Activites - GA Rev'!AI514-'St of Activities - GA Exp'!AY514</f>
        <v>1278908</v>
      </c>
      <c r="BC514" s="7">
        <v>7336751</v>
      </c>
      <c r="BE514" s="7">
        <f t="shared" si="92"/>
        <v>8615659</v>
      </c>
      <c r="BG514" s="7">
        <f>+'St of Net Assets - GA'!AA514-'St of Activities - GA Exp'!BE514</f>
        <v>0</v>
      </c>
      <c r="BL514" s="7" t="str">
        <f t="shared" si="83"/>
        <v>St. Bernard-Elmwood Place City SD</v>
      </c>
      <c r="BM514" s="7" t="b">
        <f t="shared" si="84"/>
        <v>1</v>
      </c>
      <c r="BO514" s="7" t="str">
        <f t="shared" si="85"/>
        <v>Hamilton</v>
      </c>
      <c r="BP514" s="7" t="b">
        <f t="shared" si="86"/>
        <v>1</v>
      </c>
    </row>
    <row r="515" spans="1:68">
      <c r="A515" s="12" t="s">
        <v>897</v>
      </c>
      <c r="B515" s="12"/>
      <c r="C515" s="12" t="s">
        <v>15</v>
      </c>
      <c r="D515" s="12"/>
      <c r="E515" s="12">
        <v>45997</v>
      </c>
      <c r="G515" s="7">
        <v>7642005</v>
      </c>
      <c r="I515" s="7">
        <v>1675987</v>
      </c>
      <c r="K515" s="7">
        <v>23166</v>
      </c>
      <c r="M515" s="7">
        <v>0</v>
      </c>
      <c r="O515" s="7">
        <v>0</v>
      </c>
      <c r="Q515" s="7">
        <v>873797</v>
      </c>
      <c r="S515" s="7">
        <v>656442</v>
      </c>
      <c r="U515" s="7">
        <v>25738</v>
      </c>
      <c r="W515" s="7">
        <v>1068080</v>
      </c>
      <c r="Y515" s="7">
        <v>536148</v>
      </c>
      <c r="AA515" s="7">
        <v>0</v>
      </c>
      <c r="AC515" s="7">
        <v>1398482</v>
      </c>
      <c r="AE515" s="7">
        <v>745692</v>
      </c>
      <c r="AG515" s="7">
        <v>265309</v>
      </c>
      <c r="AI515" s="12" t="s">
        <v>897</v>
      </c>
      <c r="AJ515" s="12"/>
      <c r="AK515" s="12" t="s">
        <v>15</v>
      </c>
      <c r="AL515" s="12"/>
      <c r="AM515" s="7">
        <v>375170</v>
      </c>
      <c r="AO515" s="7">
        <v>150592</v>
      </c>
      <c r="AQ515" s="7">
        <v>724378</v>
      </c>
      <c r="AS515" s="7">
        <v>187157</v>
      </c>
      <c r="AW515" s="7">
        <v>0</v>
      </c>
      <c r="AY515" s="7">
        <f t="shared" si="91"/>
        <v>16348143</v>
      </c>
      <c r="BA515" s="7">
        <f>+'St of Activites - GA Rev'!AI515-'St of Activities - GA Exp'!AY515</f>
        <v>-139394</v>
      </c>
      <c r="BC515" s="7">
        <v>8319828</v>
      </c>
      <c r="BE515" s="7">
        <f t="shared" si="92"/>
        <v>8180434</v>
      </c>
      <c r="BG515" s="7">
        <f>+'St of Net Assets - GA'!AA515-'St of Activities - GA Exp'!BE515</f>
        <v>0</v>
      </c>
      <c r="BL515" s="7" t="str">
        <f t="shared" si="83"/>
        <v>St. Clairsville-Richland City SD</v>
      </c>
      <c r="BM515" s="7" t="b">
        <f t="shared" si="84"/>
        <v>1</v>
      </c>
      <c r="BO515" s="7" t="str">
        <f t="shared" si="85"/>
        <v>Belmont</v>
      </c>
      <c r="BP515" s="7" t="b">
        <f t="shared" si="86"/>
        <v>1</v>
      </c>
    </row>
    <row r="516" spans="1:68" ht="12" hidden="1" customHeight="1">
      <c r="A516" s="12" t="s">
        <v>742</v>
      </c>
      <c r="B516" s="12"/>
      <c r="C516" s="12" t="s">
        <v>435</v>
      </c>
      <c r="D516" s="12"/>
      <c r="E516" s="12">
        <v>48587</v>
      </c>
      <c r="AI516" s="12" t="s">
        <v>742</v>
      </c>
      <c r="AJ516" s="12"/>
      <c r="AK516" s="12" t="s">
        <v>435</v>
      </c>
      <c r="AL516" s="12"/>
      <c r="AY516" s="7">
        <f t="shared" si="91"/>
        <v>0</v>
      </c>
      <c r="BA516" s="7">
        <f>+'St of Activites - GA Rev'!AI516-'St of Activities - GA Exp'!AY516</f>
        <v>0</v>
      </c>
      <c r="BE516" s="7">
        <f t="shared" si="92"/>
        <v>0</v>
      </c>
      <c r="BG516" s="7">
        <f>+'St of Net Assets - GA'!AA516-'St of Activities - GA Exp'!BE516</f>
        <v>0</v>
      </c>
      <c r="BH516" s="7" t="s">
        <v>789</v>
      </c>
      <c r="BL516" s="7" t="str">
        <f t="shared" si="83"/>
        <v>St Henry Consolidated Local SD (CASH)</v>
      </c>
      <c r="BM516" s="7" t="b">
        <f t="shared" si="84"/>
        <v>1</v>
      </c>
      <c r="BO516" s="7" t="str">
        <f t="shared" si="85"/>
        <v>Mercer</v>
      </c>
      <c r="BP516" s="7" t="b">
        <f t="shared" si="86"/>
        <v>1</v>
      </c>
    </row>
    <row r="517" spans="1:68" ht="12" hidden="1" customHeight="1">
      <c r="A517" s="12" t="s">
        <v>743</v>
      </c>
      <c r="B517" s="12"/>
      <c r="C517" s="12" t="s">
        <v>14</v>
      </c>
      <c r="D517" s="12"/>
      <c r="E517" s="12">
        <v>44727</v>
      </c>
      <c r="AI517" s="12" t="s">
        <v>743</v>
      </c>
      <c r="AJ517" s="12"/>
      <c r="AK517" s="12" t="s">
        <v>14</v>
      </c>
      <c r="AL517" s="12"/>
      <c r="AY517" s="7">
        <f t="shared" si="91"/>
        <v>0</v>
      </c>
      <c r="BA517" s="7">
        <f>+'St of Activites - GA Rev'!AI517-'St of Activities - GA Exp'!AY517</f>
        <v>0</v>
      </c>
      <c r="BE517" s="7">
        <f t="shared" si="92"/>
        <v>0</v>
      </c>
      <c r="BG517" s="7">
        <f>+'St of Net Assets - GA'!AA517-'St of Activities - GA Exp'!BE517</f>
        <v>0</v>
      </c>
      <c r="BH517" s="7" t="s">
        <v>789</v>
      </c>
      <c r="BL517" s="7" t="str">
        <f t="shared" si="83"/>
        <v>St Marys City SD (CASH)</v>
      </c>
      <c r="BM517" s="7" t="b">
        <f t="shared" si="84"/>
        <v>1</v>
      </c>
      <c r="BO517" s="7" t="str">
        <f t="shared" si="85"/>
        <v>Auglaize</v>
      </c>
      <c r="BP517" s="7" t="b">
        <f t="shared" si="86"/>
        <v>1</v>
      </c>
    </row>
    <row r="518" spans="1:68">
      <c r="A518" s="12" t="s">
        <v>374</v>
      </c>
      <c r="B518" s="12"/>
      <c r="C518" s="12" t="s">
        <v>39</v>
      </c>
      <c r="D518" s="12"/>
      <c r="E518" s="12">
        <v>44826</v>
      </c>
      <c r="G518" s="7">
        <v>10024078</v>
      </c>
      <c r="I518" s="7">
        <v>4183487</v>
      </c>
      <c r="K518" s="7">
        <v>894882</v>
      </c>
      <c r="M518" s="7">
        <v>0</v>
      </c>
      <c r="O518" s="7">
        <v>53439</v>
      </c>
      <c r="Q518" s="7">
        <v>1110096</v>
      </c>
      <c r="S518" s="7">
        <v>971228</v>
      </c>
      <c r="U518" s="7">
        <v>43192</v>
      </c>
      <c r="W518" s="7">
        <v>2737423</v>
      </c>
      <c r="Y518" s="7">
        <v>491275</v>
      </c>
      <c r="AA518" s="7">
        <v>205561</v>
      </c>
      <c r="AC518" s="7">
        <v>2391645</v>
      </c>
      <c r="AE518" s="7">
        <v>610008</v>
      </c>
      <c r="AG518" s="7">
        <v>43385</v>
      </c>
      <c r="AI518" s="12" t="s">
        <v>374</v>
      </c>
      <c r="AJ518" s="12"/>
      <c r="AK518" s="12" t="s">
        <v>39</v>
      </c>
      <c r="AL518" s="12"/>
      <c r="AM518" s="7">
        <v>896881</v>
      </c>
      <c r="AO518" s="7">
        <v>630153</v>
      </c>
      <c r="AQ518" s="7">
        <v>587914</v>
      </c>
      <c r="AS518" s="7">
        <v>458974</v>
      </c>
      <c r="AW518" s="7">
        <v>0</v>
      </c>
      <c r="AY518" s="7">
        <f t="shared" si="91"/>
        <v>26333621</v>
      </c>
      <c r="BA518" s="7">
        <f>+'St of Activites - GA Rev'!AI518-'St of Activities - GA Exp'!AY518</f>
        <v>645735</v>
      </c>
      <c r="BC518" s="7">
        <v>55160384</v>
      </c>
      <c r="BE518" s="7">
        <f t="shared" si="92"/>
        <v>55806119</v>
      </c>
      <c r="BG518" s="7">
        <f>+'St of Net Assets - GA'!AA518-'St of Activities - GA Exp'!BE518</f>
        <v>0</v>
      </c>
      <c r="BL518" s="7" t="str">
        <f t="shared" si="83"/>
        <v>Steubenville City SD</v>
      </c>
      <c r="BM518" s="7" t="b">
        <f t="shared" si="84"/>
        <v>1</v>
      </c>
      <c r="BO518" s="7" t="str">
        <f t="shared" si="85"/>
        <v>Jefferson</v>
      </c>
      <c r="BP518" s="7" t="b">
        <f t="shared" si="86"/>
        <v>1</v>
      </c>
    </row>
    <row r="519" spans="1:68">
      <c r="A519" s="12" t="s">
        <v>530</v>
      </c>
      <c r="B519" s="12"/>
      <c r="C519" s="12" t="s">
        <v>63</v>
      </c>
      <c r="D519" s="12"/>
      <c r="E519" s="12">
        <v>44834</v>
      </c>
      <c r="G519" s="7">
        <v>26866739</v>
      </c>
      <c r="I519" s="7">
        <v>5529916</v>
      </c>
      <c r="K519" s="7">
        <v>1602735</v>
      </c>
      <c r="M519" s="7">
        <v>0</v>
      </c>
      <c r="O519" s="7">
        <v>265404</v>
      </c>
      <c r="Q519" s="7">
        <v>3048577</v>
      </c>
      <c r="S519" s="7">
        <v>2366096</v>
      </c>
      <c r="U519" s="7">
        <v>373274</v>
      </c>
      <c r="W519" s="7">
        <v>3591133</v>
      </c>
      <c r="Y519" s="7">
        <v>1304844</v>
      </c>
      <c r="AA519" s="7">
        <v>47052</v>
      </c>
      <c r="AC519" s="7">
        <v>5327855</v>
      </c>
      <c r="AE519" s="7">
        <v>3105971</v>
      </c>
      <c r="AG519" s="7">
        <v>632010</v>
      </c>
      <c r="AI519" s="12" t="s">
        <v>530</v>
      </c>
      <c r="AJ519" s="12"/>
      <c r="AK519" s="12" t="s">
        <v>63</v>
      </c>
      <c r="AL519" s="12"/>
      <c r="AM519" s="7">
        <v>1313065</v>
      </c>
      <c r="AO519" s="7">
        <v>338433</v>
      </c>
      <c r="AQ519" s="7">
        <v>1240678</v>
      </c>
      <c r="AS519" s="7">
        <v>130192</v>
      </c>
      <c r="AW519" s="7">
        <v>0</v>
      </c>
      <c r="AY519" s="7">
        <f t="shared" si="91"/>
        <v>57083974</v>
      </c>
      <c r="BA519" s="7">
        <f>+'St of Activites - GA Rev'!AI519-'St of Activities - GA Exp'!AY519</f>
        <v>1125003</v>
      </c>
      <c r="BC519" s="7">
        <v>21798001</v>
      </c>
      <c r="BE519" s="7">
        <f t="shared" si="92"/>
        <v>22923004</v>
      </c>
      <c r="BG519" s="7">
        <f>+'St of Net Assets - GA'!AA519-'St of Activities - GA Exp'!BE519</f>
        <v>0</v>
      </c>
      <c r="BL519" s="7" t="str">
        <f t="shared" si="83"/>
        <v>Stow-Munroe Falls City SD</v>
      </c>
      <c r="BM519" s="7" t="b">
        <f t="shared" si="84"/>
        <v>1</v>
      </c>
      <c r="BO519" s="7" t="str">
        <f t="shared" si="85"/>
        <v>Summit</v>
      </c>
      <c r="BP519" s="7" t="b">
        <f t="shared" si="86"/>
        <v>1</v>
      </c>
    </row>
    <row r="520" spans="1:68" hidden="1">
      <c r="A520" s="12" t="s">
        <v>744</v>
      </c>
      <c r="B520" s="12"/>
      <c r="C520" s="12" t="s">
        <v>65</v>
      </c>
      <c r="D520" s="12"/>
      <c r="E520" s="12">
        <v>50294</v>
      </c>
      <c r="AI520" s="12" t="s">
        <v>744</v>
      </c>
      <c r="AJ520" s="12"/>
      <c r="AK520" s="12" t="s">
        <v>65</v>
      </c>
      <c r="AL520" s="12"/>
      <c r="AY520" s="7">
        <f t="shared" si="91"/>
        <v>0</v>
      </c>
      <c r="BA520" s="7">
        <f>+'St of Activites - GA Rev'!AI520-'St of Activities - GA Exp'!AY520</f>
        <v>0</v>
      </c>
      <c r="BE520" s="7">
        <f t="shared" si="92"/>
        <v>0</v>
      </c>
      <c r="BG520" s="7">
        <f>+'St of Net Assets - GA'!AA520-'St of Activities - GA Exp'!BE520</f>
        <v>0</v>
      </c>
      <c r="BH520" s="7" t="s">
        <v>792</v>
      </c>
      <c r="BL520" s="7" t="str">
        <f t="shared" si="83"/>
        <v>Strasburg-Franklin Local SD (CASH)</v>
      </c>
      <c r="BM520" s="7" t="b">
        <f t="shared" si="84"/>
        <v>1</v>
      </c>
      <c r="BO520" s="7" t="str">
        <f t="shared" si="85"/>
        <v>Tuscarawas</v>
      </c>
      <c r="BP520" s="7" t="b">
        <f t="shared" si="86"/>
        <v>1</v>
      </c>
    </row>
    <row r="521" spans="1:68">
      <c r="A521" s="12" t="s">
        <v>479</v>
      </c>
      <c r="B521" s="12"/>
      <c r="C521" s="12" t="s">
        <v>56</v>
      </c>
      <c r="D521" s="12"/>
      <c r="E521" s="12">
        <v>49239</v>
      </c>
      <c r="G521" s="7">
        <v>9895292</v>
      </c>
      <c r="I521" s="7">
        <v>1579808</v>
      </c>
      <c r="K521" s="7">
        <v>94093</v>
      </c>
      <c r="M521" s="7">
        <v>0</v>
      </c>
      <c r="O521" s="7">
        <f>225285+1150927</f>
        <v>1376212</v>
      </c>
      <c r="Q521" s="7">
        <v>1213284</v>
      </c>
      <c r="S521" s="7">
        <v>1268692</v>
      </c>
      <c r="U521" s="7">
        <v>267823</v>
      </c>
      <c r="W521" s="7">
        <v>1463550</v>
      </c>
      <c r="Y521" s="7">
        <v>686133</v>
      </c>
      <c r="AA521" s="7">
        <v>156764</v>
      </c>
      <c r="AC521" s="7">
        <v>1952656</v>
      </c>
      <c r="AE521" s="7">
        <v>1080025</v>
      </c>
      <c r="AG521" s="7">
        <v>76853</v>
      </c>
      <c r="AI521" s="12" t="s">
        <v>479</v>
      </c>
      <c r="AJ521" s="12"/>
      <c r="AK521" s="12" t="s">
        <v>56</v>
      </c>
      <c r="AL521" s="12"/>
      <c r="AM521" s="7">
        <v>664781</v>
      </c>
      <c r="AO521" s="7">
        <v>133958</v>
      </c>
      <c r="AQ521" s="7">
        <v>444464</v>
      </c>
      <c r="AS521" s="7">
        <v>629972</v>
      </c>
      <c r="AW521" s="7">
        <v>0</v>
      </c>
      <c r="AY521" s="7">
        <f t="shared" si="91"/>
        <v>22984360</v>
      </c>
      <c r="BA521" s="7">
        <f>+'St of Activites - GA Rev'!AI521-'St of Activities - GA Exp'!AY521</f>
        <v>6041536</v>
      </c>
      <c r="BC521" s="7">
        <v>3710140</v>
      </c>
      <c r="BE521" s="7">
        <f t="shared" si="92"/>
        <v>9751676</v>
      </c>
      <c r="BG521" s="7">
        <f>+'St of Net Assets - GA'!AA521-'St of Activities - GA Exp'!BE521</f>
        <v>0</v>
      </c>
      <c r="BL521" s="7" t="str">
        <f t="shared" si="83"/>
        <v>Streetsboro City SD</v>
      </c>
      <c r="BM521" s="7" t="b">
        <f t="shared" si="84"/>
        <v>1</v>
      </c>
      <c r="BO521" s="7" t="str">
        <f t="shared" si="85"/>
        <v>Portage</v>
      </c>
      <c r="BP521" s="7" t="b">
        <f t="shared" si="86"/>
        <v>1</v>
      </c>
    </row>
    <row r="522" spans="1:68">
      <c r="A522" s="12" t="s">
        <v>285</v>
      </c>
      <c r="B522" s="12"/>
      <c r="C522" s="12" t="s">
        <v>20</v>
      </c>
      <c r="D522" s="12"/>
      <c r="E522" s="12">
        <v>44842</v>
      </c>
      <c r="G522" s="7">
        <v>41340342</v>
      </c>
      <c r="I522" s="7">
        <v>5770265</v>
      </c>
      <c r="K522" s="7">
        <v>361927</v>
      </c>
      <c r="M522" s="7">
        <v>8969</v>
      </c>
      <c r="O522" s="7">
        <v>62845</v>
      </c>
      <c r="Q522" s="7">
        <v>3228434</v>
      </c>
      <c r="S522" s="7">
        <v>3616223</v>
      </c>
      <c r="U522" s="7">
        <v>27043</v>
      </c>
      <c r="W522" s="7">
        <v>3268009</v>
      </c>
      <c r="Y522" s="7">
        <v>5973581</v>
      </c>
      <c r="AA522" s="7">
        <v>571907</v>
      </c>
      <c r="AC522" s="7">
        <v>7302400</v>
      </c>
      <c r="AE522" s="7">
        <v>4159814</v>
      </c>
      <c r="AG522" s="7">
        <v>769585</v>
      </c>
      <c r="AI522" s="12" t="s">
        <v>285</v>
      </c>
      <c r="AJ522" s="12"/>
      <c r="AK522" s="12" t="s">
        <v>20</v>
      </c>
      <c r="AL522" s="12"/>
      <c r="AM522" s="7">
        <v>2044552</v>
      </c>
      <c r="AO522" s="7">
        <v>530844</v>
      </c>
      <c r="AQ522" s="7">
        <v>600654</v>
      </c>
      <c r="AS522" s="7">
        <v>909372</v>
      </c>
      <c r="AW522" s="7">
        <v>0</v>
      </c>
      <c r="AY522" s="7">
        <f t="shared" si="91"/>
        <v>80546766</v>
      </c>
      <c r="BA522" s="7">
        <f>+'St of Activites - GA Rev'!AI522-'St of Activities - GA Exp'!AY522</f>
        <v>2978085</v>
      </c>
      <c r="BC522" s="7">
        <v>21703156</v>
      </c>
      <c r="BE522" s="7">
        <f t="shared" si="92"/>
        <v>24681241</v>
      </c>
      <c r="BG522" s="7">
        <f>+'St of Net Assets - GA'!AA522-'St of Activities - GA Exp'!BE522</f>
        <v>0</v>
      </c>
      <c r="BH522" s="7" t="s">
        <v>788</v>
      </c>
      <c r="BL522" s="7" t="str">
        <f t="shared" si="83"/>
        <v>Strongsville City SD</v>
      </c>
      <c r="BM522" s="7" t="b">
        <f t="shared" si="84"/>
        <v>1</v>
      </c>
      <c r="BO522" s="7" t="str">
        <f t="shared" si="85"/>
        <v>Cuyahoga</v>
      </c>
      <c r="BP522" s="7" t="b">
        <f t="shared" si="86"/>
        <v>1</v>
      </c>
    </row>
    <row r="523" spans="1:68" ht="12" customHeight="1">
      <c r="A523" s="12" t="s">
        <v>420</v>
      </c>
      <c r="B523" s="12"/>
      <c r="C523" s="12" t="s">
        <v>45</v>
      </c>
      <c r="D523" s="12"/>
      <c r="E523" s="12">
        <v>44859</v>
      </c>
      <c r="G523" s="7">
        <v>9175482</v>
      </c>
      <c r="I523" s="7">
        <v>3498906</v>
      </c>
      <c r="K523" s="7">
        <v>536522</v>
      </c>
      <c r="M523" s="7">
        <v>0</v>
      </c>
      <c r="O523" s="7">
        <v>1216537</v>
      </c>
      <c r="Q523" s="7">
        <v>585010</v>
      </c>
      <c r="S523" s="7">
        <v>263417</v>
      </c>
      <c r="U523" s="7">
        <v>56067</v>
      </c>
      <c r="W523" s="7">
        <v>1176103</v>
      </c>
      <c r="Y523" s="7">
        <v>526091</v>
      </c>
      <c r="AA523" s="7">
        <v>59499</v>
      </c>
      <c r="AC523" s="7">
        <v>1894490</v>
      </c>
      <c r="AE523" s="7">
        <v>505822</v>
      </c>
      <c r="AG523" s="7">
        <v>53586</v>
      </c>
      <c r="AI523" s="12" t="s">
        <v>420</v>
      </c>
      <c r="AJ523" s="12"/>
      <c r="AK523" s="12" t="s">
        <v>45</v>
      </c>
      <c r="AL523" s="12"/>
      <c r="AM523" s="7">
        <v>837131</v>
      </c>
      <c r="AO523" s="7">
        <v>136028</v>
      </c>
      <c r="AQ523" s="7">
        <v>685527</v>
      </c>
      <c r="AS523" s="7">
        <v>230868</v>
      </c>
      <c r="AW523" s="7">
        <v>0</v>
      </c>
      <c r="AY523" s="7">
        <f t="shared" si="91"/>
        <v>21437086</v>
      </c>
      <c r="BA523" s="7">
        <f>+'St of Activites - GA Rev'!AI523-'St of Activities - GA Exp'!AY523</f>
        <v>511683</v>
      </c>
      <c r="BC523" s="7">
        <v>25824582</v>
      </c>
      <c r="BE523" s="7">
        <f t="shared" si="92"/>
        <v>26336265</v>
      </c>
      <c r="BG523" s="7">
        <f>+'St of Net Assets - GA'!AA523-'St of Activities - GA Exp'!BE523</f>
        <v>0</v>
      </c>
      <c r="BL523" s="7" t="str">
        <f t="shared" si="83"/>
        <v>Struthers City SD</v>
      </c>
      <c r="BM523" s="7" t="b">
        <f t="shared" si="84"/>
        <v>1</v>
      </c>
      <c r="BO523" s="7" t="str">
        <f t="shared" si="85"/>
        <v>Mahoning</v>
      </c>
      <c r="BP523" s="7" t="b">
        <f t="shared" si="86"/>
        <v>1</v>
      </c>
    </row>
    <row r="524" spans="1:68">
      <c r="A524" s="12" t="s">
        <v>571</v>
      </c>
      <c r="B524" s="12"/>
      <c r="C524" s="12" t="s">
        <v>570</v>
      </c>
      <c r="D524" s="12"/>
      <c r="E524" s="12">
        <v>50658</v>
      </c>
      <c r="G524" s="7">
        <v>2329185</v>
      </c>
      <c r="I524" s="7">
        <v>435210</v>
      </c>
      <c r="K524" s="7">
        <v>419</v>
      </c>
      <c r="M524" s="7">
        <v>3850</v>
      </c>
      <c r="O524" s="7">
        <v>342096</v>
      </c>
      <c r="Q524" s="7">
        <v>167332</v>
      </c>
      <c r="S524" s="7">
        <v>280962</v>
      </c>
      <c r="U524" s="7">
        <v>18165</v>
      </c>
      <c r="W524" s="7">
        <v>409795</v>
      </c>
      <c r="Y524" s="7">
        <v>209094</v>
      </c>
      <c r="AA524" s="7">
        <v>15327</v>
      </c>
      <c r="AC524" s="7">
        <v>400683</v>
      </c>
      <c r="AE524" s="7">
        <v>178153</v>
      </c>
      <c r="AG524" s="7">
        <v>36142</v>
      </c>
      <c r="AI524" s="12" t="s">
        <v>571</v>
      </c>
      <c r="AJ524" s="12"/>
      <c r="AK524" s="12" t="s">
        <v>570</v>
      </c>
      <c r="AL524" s="12"/>
      <c r="AM524" s="7">
        <v>0</v>
      </c>
      <c r="AO524" s="7">
        <v>215327</v>
      </c>
      <c r="AQ524" s="7">
        <v>212807</v>
      </c>
      <c r="AS524" s="7">
        <v>265863</v>
      </c>
      <c r="AW524" s="7">
        <v>0</v>
      </c>
      <c r="AY524" s="7">
        <f t="shared" si="91"/>
        <v>5520410</v>
      </c>
      <c r="BA524" s="7">
        <f>+'St of Activites - GA Rev'!AI524-'St of Activities - GA Exp'!AY524</f>
        <v>362553</v>
      </c>
      <c r="BC524" s="7">
        <v>10408349</v>
      </c>
      <c r="BE524" s="7">
        <f t="shared" si="92"/>
        <v>10770902</v>
      </c>
      <c r="BG524" s="7">
        <f>+'St of Net Assets - GA'!AA524-'St of Activities - GA Exp'!BE524</f>
        <v>0</v>
      </c>
      <c r="BL524" s="7" t="str">
        <f t="shared" si="83"/>
        <v>Stryker Local SD</v>
      </c>
      <c r="BM524" s="7" t="b">
        <f t="shared" si="84"/>
        <v>1</v>
      </c>
      <c r="BO524" s="7" t="str">
        <f t="shared" si="85"/>
        <v>Williams</v>
      </c>
      <c r="BP524" s="7" t="b">
        <f t="shared" si="86"/>
        <v>1</v>
      </c>
    </row>
    <row r="525" spans="1:68">
      <c r="A525" s="12" t="s">
        <v>319</v>
      </c>
      <c r="B525" s="12"/>
      <c r="C525" s="12" t="s">
        <v>28</v>
      </c>
      <c r="D525" s="12"/>
      <c r="E525" s="12">
        <v>47092</v>
      </c>
      <c r="G525" s="7">
        <v>7229582</v>
      </c>
      <c r="I525" s="7">
        <v>1889836</v>
      </c>
      <c r="K525" s="7">
        <v>0</v>
      </c>
      <c r="M525" s="7">
        <v>0</v>
      </c>
      <c r="O525" s="7">
        <v>0</v>
      </c>
      <c r="Q525" s="7">
        <v>663194</v>
      </c>
      <c r="S525" s="7">
        <v>718602</v>
      </c>
      <c r="U525" s="7">
        <v>35626</v>
      </c>
      <c r="W525" s="7">
        <v>1330481</v>
      </c>
      <c r="Y525" s="7">
        <v>457169</v>
      </c>
      <c r="AA525" s="7">
        <v>8819</v>
      </c>
      <c r="AC525" s="7">
        <v>1289567</v>
      </c>
      <c r="AE525" s="7">
        <v>862003</v>
      </c>
      <c r="AG525" s="7">
        <v>48307</v>
      </c>
      <c r="AI525" s="12" t="s">
        <v>319</v>
      </c>
      <c r="AJ525" s="12"/>
      <c r="AK525" s="12" t="s">
        <v>28</v>
      </c>
      <c r="AL525" s="12"/>
      <c r="AM525" s="7">
        <v>0</v>
      </c>
      <c r="AO525" s="7">
        <v>643575</v>
      </c>
      <c r="AQ525" s="7">
        <v>523435</v>
      </c>
      <c r="AS525" s="7">
        <v>629970</v>
      </c>
      <c r="AW525" s="7">
        <v>0</v>
      </c>
      <c r="AY525" s="7">
        <f t="shared" si="91"/>
        <v>16330166</v>
      </c>
      <c r="BA525" s="7">
        <f>+'St of Activites - GA Rev'!AI525-'St of Activities - GA Exp'!AY525</f>
        <v>74115</v>
      </c>
      <c r="BC525" s="7">
        <v>16758878</v>
      </c>
      <c r="BE525" s="7">
        <f t="shared" si="92"/>
        <v>16832993</v>
      </c>
      <c r="BG525" s="7">
        <f>+'St of Net Assets - GA'!AA525-'St of Activities - GA Exp'!BE525</f>
        <v>0</v>
      </c>
      <c r="BL525" s="7" t="str">
        <f t="shared" si="83"/>
        <v>Swanton Local SD</v>
      </c>
      <c r="BM525" s="7" t="b">
        <f t="shared" si="84"/>
        <v>1</v>
      </c>
      <c r="BO525" s="7" t="str">
        <f t="shared" si="85"/>
        <v>Fulton</v>
      </c>
      <c r="BP525" s="7" t="b">
        <f t="shared" si="86"/>
        <v>1</v>
      </c>
    </row>
    <row r="526" spans="1:68">
      <c r="A526" s="12" t="s">
        <v>655</v>
      </c>
      <c r="B526" s="12"/>
      <c r="C526" s="12" t="s">
        <v>49</v>
      </c>
      <c r="D526" s="12"/>
      <c r="E526" s="12">
        <v>48652</v>
      </c>
      <c r="G526" s="7">
        <v>10774199</v>
      </c>
      <c r="I526" s="7">
        <v>3302192</v>
      </c>
      <c r="K526" s="7">
        <v>2192611</v>
      </c>
      <c r="M526" s="7">
        <v>0</v>
      </c>
      <c r="O526" s="7">
        <v>4672</v>
      </c>
      <c r="Q526" s="7">
        <v>1235927</v>
      </c>
      <c r="S526" s="7">
        <v>816362</v>
      </c>
      <c r="U526" s="7">
        <v>37366</v>
      </c>
      <c r="W526" s="7">
        <v>2112219</v>
      </c>
      <c r="Y526" s="7">
        <v>885034</v>
      </c>
      <c r="AA526" s="7">
        <v>0</v>
      </c>
      <c r="AC526" s="7">
        <v>2533723</v>
      </c>
      <c r="AE526" s="7">
        <v>2829121</v>
      </c>
      <c r="AG526" s="7">
        <v>286043</v>
      </c>
      <c r="AI526" s="12" t="s">
        <v>440</v>
      </c>
      <c r="AJ526" s="12"/>
      <c r="AK526" s="12" t="s">
        <v>49</v>
      </c>
      <c r="AL526" s="12"/>
      <c r="AM526" s="7">
        <v>1469717</v>
      </c>
      <c r="AO526" s="7">
        <v>69492</v>
      </c>
      <c r="AQ526" s="7">
        <v>656666</v>
      </c>
      <c r="AS526" s="7">
        <v>1824298</v>
      </c>
      <c r="AW526" s="7">
        <v>0</v>
      </c>
      <c r="AY526" s="7">
        <f t="shared" si="91"/>
        <v>31029642</v>
      </c>
      <c r="BA526" s="7">
        <f>+'St of Activites - GA Rev'!AI526-'St of Activities - GA Exp'!AY526</f>
        <v>3961942</v>
      </c>
      <c r="BC526" s="7">
        <v>60058235</v>
      </c>
      <c r="BE526" s="7">
        <f t="shared" si="92"/>
        <v>64020177</v>
      </c>
      <c r="BG526" s="7">
        <f>+'St of Net Assets - GA'!AA526-'St of Activities - GA Exp'!BE526</f>
        <v>0</v>
      </c>
      <c r="BL526" s="7" t="str">
        <f t="shared" si="83"/>
        <v>Switzerland of Ohio Local SD</v>
      </c>
      <c r="BM526" s="7" t="b">
        <f t="shared" si="84"/>
        <v>1</v>
      </c>
      <c r="BO526" s="7" t="str">
        <f t="shared" si="85"/>
        <v>Monroe</v>
      </c>
      <c r="BP526" s="7" t="b">
        <f t="shared" si="86"/>
        <v>1</v>
      </c>
    </row>
    <row r="527" spans="1:68" ht="12" hidden="1" customHeight="1">
      <c r="A527" s="12" t="s">
        <v>340</v>
      </c>
      <c r="B527" s="12"/>
      <c r="C527" s="12" t="s">
        <v>32</v>
      </c>
      <c r="D527" s="12"/>
      <c r="E527" s="12">
        <v>44867</v>
      </c>
      <c r="AI527" s="12" t="s">
        <v>340</v>
      </c>
      <c r="AJ527" s="12"/>
      <c r="AK527" s="12" t="s">
        <v>32</v>
      </c>
      <c r="AL527" s="12"/>
      <c r="AY527" s="7">
        <f t="shared" si="91"/>
        <v>0</v>
      </c>
      <c r="BA527" s="7">
        <f>+'St of Activites - GA Rev'!AI527-'St of Activities - GA Exp'!AY527</f>
        <v>0</v>
      </c>
      <c r="BE527" s="7">
        <f t="shared" si="92"/>
        <v>0</v>
      </c>
      <c r="BG527" s="7">
        <f>+'St of Net Assets - GA'!AA527-'St of Activities - GA Exp'!BE527</f>
        <v>0</v>
      </c>
      <c r="BH527" s="7" t="s">
        <v>793</v>
      </c>
      <c r="BL527" s="7" t="str">
        <f t="shared" si="83"/>
        <v>Sycamore Community City SD</v>
      </c>
      <c r="BM527" s="7" t="b">
        <f t="shared" si="84"/>
        <v>1</v>
      </c>
      <c r="BO527" s="7" t="str">
        <f t="shared" si="85"/>
        <v>Hamilton</v>
      </c>
      <c r="BP527" s="7" t="b">
        <f t="shared" si="86"/>
        <v>1</v>
      </c>
    </row>
    <row r="528" spans="1:68">
      <c r="A528" s="12" t="s">
        <v>407</v>
      </c>
      <c r="B528" s="12"/>
      <c r="C528" s="12" t="s">
        <v>115</v>
      </c>
      <c r="D528" s="12"/>
      <c r="E528" s="12">
        <v>44875</v>
      </c>
      <c r="G528" s="7">
        <v>35895798</v>
      </c>
      <c r="I528" s="7">
        <v>9006976</v>
      </c>
      <c r="K528" s="7">
        <v>2250516</v>
      </c>
      <c r="M528" s="7">
        <v>36094</v>
      </c>
      <c r="O528" s="7">
        <v>1717014</v>
      </c>
      <c r="Q528" s="7">
        <v>6767500</v>
      </c>
      <c r="S528" s="7">
        <v>4133007</v>
      </c>
      <c r="U528" s="7">
        <v>16401</v>
      </c>
      <c r="W528" s="7">
        <v>9461636</v>
      </c>
      <c r="Y528" s="7">
        <v>1627076</v>
      </c>
      <c r="AA528" s="7">
        <v>220908</v>
      </c>
      <c r="AC528" s="7">
        <v>9626916</v>
      </c>
      <c r="AE528" s="7">
        <v>5130207</v>
      </c>
      <c r="AG528" s="7">
        <v>1216292</v>
      </c>
      <c r="AI528" s="12" t="s">
        <v>407</v>
      </c>
      <c r="AJ528" s="12"/>
      <c r="AK528" s="12" t="s">
        <v>115</v>
      </c>
      <c r="AL528" s="12"/>
      <c r="AM528" s="7">
        <v>2182491</v>
      </c>
      <c r="AO528" s="7">
        <v>1269893</v>
      </c>
      <c r="AQ528" s="7">
        <v>2540167</v>
      </c>
      <c r="AS528" s="7">
        <v>5221783</v>
      </c>
      <c r="AW528" s="7">
        <v>0</v>
      </c>
      <c r="AY528" s="7">
        <f t="shared" si="91"/>
        <v>98320675</v>
      </c>
      <c r="BA528" s="7">
        <f>+'St of Activites - GA Rev'!AI528-'St of Activities - GA Exp'!AY528</f>
        <v>-5327561</v>
      </c>
      <c r="BC528" s="7">
        <v>11825618</v>
      </c>
      <c r="BE528" s="7">
        <f t="shared" si="92"/>
        <v>6498057</v>
      </c>
      <c r="BG528" s="7">
        <f>+'St of Net Assets - GA'!AA528-'St of Activities - GA Exp'!BE528</f>
        <v>0</v>
      </c>
      <c r="BL528" s="7" t="str">
        <f t="shared" ref="BL528:BL591" si="93">A528</f>
        <v>Sylvania City SD</v>
      </c>
      <c r="BM528" s="7" t="b">
        <f t="shared" ref="BM528:BM591" si="94">A528=AI528</f>
        <v>1</v>
      </c>
      <c r="BO528" s="7" t="str">
        <f t="shared" ref="BO528:BO591" si="95">C528</f>
        <v>Lucas</v>
      </c>
      <c r="BP528" s="7" t="b">
        <f t="shared" ref="BP528:BP591" si="96">C528=AK528</f>
        <v>1</v>
      </c>
    </row>
    <row r="529" spans="1:68">
      <c r="A529" s="12" t="s">
        <v>383</v>
      </c>
      <c r="B529" s="12"/>
      <c r="C529" s="12" t="s">
        <v>377</v>
      </c>
      <c r="D529" s="12"/>
      <c r="E529" s="12">
        <v>47969</v>
      </c>
      <c r="G529" s="7">
        <v>4403417</v>
      </c>
      <c r="I529" s="7">
        <v>1212011</v>
      </c>
      <c r="K529" s="7">
        <v>174596</v>
      </c>
      <c r="M529" s="7">
        <v>0</v>
      </c>
      <c r="O529" s="7">
        <v>0</v>
      </c>
      <c r="Q529" s="7">
        <v>289143</v>
      </c>
      <c r="S529" s="7">
        <v>292209</v>
      </c>
      <c r="U529" s="7">
        <v>99336</v>
      </c>
      <c r="W529" s="7">
        <v>536948</v>
      </c>
      <c r="Y529" s="7">
        <v>337500</v>
      </c>
      <c r="AA529" s="7">
        <v>0</v>
      </c>
      <c r="AC529" s="7">
        <v>873394</v>
      </c>
      <c r="AE529" s="7">
        <v>997689</v>
      </c>
      <c r="AG529" s="7">
        <v>101408</v>
      </c>
      <c r="AI529" s="12" t="s">
        <v>383</v>
      </c>
      <c r="AJ529" s="12"/>
      <c r="AK529" s="12" t="s">
        <v>377</v>
      </c>
      <c r="AL529" s="12"/>
      <c r="AM529" s="7">
        <v>378388</v>
      </c>
      <c r="AO529" s="7">
        <v>5821</v>
      </c>
      <c r="AQ529" s="7">
        <v>253039</v>
      </c>
      <c r="AS529" s="7">
        <v>36993</v>
      </c>
      <c r="AW529" s="7">
        <v>0</v>
      </c>
      <c r="AY529" s="7">
        <f t="shared" si="91"/>
        <v>9991892</v>
      </c>
      <c r="BA529" s="7">
        <f>+'St of Activites - GA Rev'!AI529-'St of Activities - GA Exp'!AY529</f>
        <v>-360820</v>
      </c>
      <c r="BC529" s="7">
        <v>12317654</v>
      </c>
      <c r="BE529" s="7">
        <f t="shared" si="92"/>
        <v>11956834</v>
      </c>
      <c r="BG529" s="7">
        <f>+'St of Net Assets - GA'!AA529-'St of Activities - GA Exp'!BE529</f>
        <v>0</v>
      </c>
      <c r="BL529" s="7" t="str">
        <f t="shared" si="93"/>
        <v>Symmes Valley Local SD</v>
      </c>
      <c r="BM529" s="7" t="b">
        <f t="shared" si="94"/>
        <v>1</v>
      </c>
      <c r="BO529" s="7" t="str">
        <f t="shared" si="95"/>
        <v>Lawrence</v>
      </c>
      <c r="BP529" s="7" t="b">
        <f t="shared" si="96"/>
        <v>1</v>
      </c>
    </row>
    <row r="530" spans="1:68">
      <c r="A530" s="12" t="s">
        <v>757</v>
      </c>
      <c r="B530" s="12"/>
      <c r="C530" s="12" t="s">
        <v>223</v>
      </c>
      <c r="D530" s="12"/>
      <c r="E530" s="12">
        <v>46151</v>
      </c>
      <c r="G530" s="7">
        <v>14875502</v>
      </c>
      <c r="I530" s="7">
        <v>2813547</v>
      </c>
      <c r="O530" s="7">
        <v>962646</v>
      </c>
      <c r="Q530" s="7">
        <v>1846274</v>
      </c>
      <c r="S530" s="7">
        <v>2072793</v>
      </c>
      <c r="U530" s="7">
        <v>54884</v>
      </c>
      <c r="W530" s="7">
        <v>2442242</v>
      </c>
      <c r="Y530" s="7">
        <v>1311858</v>
      </c>
      <c r="AA530" s="7">
        <v>711</v>
      </c>
      <c r="AC530" s="7">
        <v>2802638</v>
      </c>
      <c r="AE530" s="7">
        <v>2451417</v>
      </c>
      <c r="AG530" s="7">
        <v>120390</v>
      </c>
      <c r="AI530" s="12" t="s">
        <v>757</v>
      </c>
      <c r="AJ530" s="12"/>
      <c r="AK530" s="12" t="s">
        <v>223</v>
      </c>
      <c r="AL530" s="12"/>
      <c r="AM530" s="7">
        <v>1220813</v>
      </c>
      <c r="AO530" s="7">
        <v>84385</v>
      </c>
      <c r="AQ530" s="7">
        <v>754808</v>
      </c>
      <c r="AS530" s="7">
        <v>2846510</v>
      </c>
      <c r="AW530" s="7">
        <v>0</v>
      </c>
      <c r="AY530" s="7">
        <f t="shared" si="91"/>
        <v>36661418</v>
      </c>
      <c r="BA530" s="7">
        <f>+'St of Activites - GA Rev'!AI530-'St of Activities - GA Exp'!AY530</f>
        <v>5090166</v>
      </c>
      <c r="BC530" s="7">
        <v>28133232</v>
      </c>
      <c r="BE530" s="7">
        <f t="shared" si="92"/>
        <v>33223398</v>
      </c>
      <c r="BG530" s="7">
        <f>+'St of Net Assets - GA'!AA530-'St of Activities - GA Exp'!BE530</f>
        <v>0</v>
      </c>
      <c r="BL530" s="7" t="str">
        <f t="shared" si="93"/>
        <v xml:space="preserve">Talawanda City SD </v>
      </c>
      <c r="BM530" s="7" t="b">
        <f t="shared" si="94"/>
        <v>1</v>
      </c>
      <c r="BO530" s="7" t="str">
        <f t="shared" si="95"/>
        <v>Butler</v>
      </c>
      <c r="BP530" s="7" t="b">
        <f t="shared" si="96"/>
        <v>1</v>
      </c>
    </row>
    <row r="531" spans="1:68">
      <c r="A531" s="12" t="s">
        <v>531</v>
      </c>
      <c r="B531" s="12"/>
      <c r="C531" s="12" t="s">
        <v>63</v>
      </c>
      <c r="D531" s="12"/>
      <c r="E531" s="12">
        <v>44883</v>
      </c>
      <c r="G531" s="7">
        <v>13372744</v>
      </c>
      <c r="I531" s="7">
        <v>3297424</v>
      </c>
      <c r="K531" s="7">
        <v>937969</v>
      </c>
      <c r="M531" s="7">
        <v>54163</v>
      </c>
      <c r="Q531" s="7">
        <v>1626513</v>
      </c>
      <c r="S531" s="7">
        <v>822428</v>
      </c>
      <c r="U531" s="7">
        <v>45343</v>
      </c>
      <c r="W531" s="7">
        <v>2121811</v>
      </c>
      <c r="Y531" s="7">
        <v>816837</v>
      </c>
      <c r="AA531" s="7">
        <v>101620</v>
      </c>
      <c r="AC531" s="7">
        <v>2148196</v>
      </c>
      <c r="AE531" s="7">
        <v>1842487</v>
      </c>
      <c r="AG531" s="7">
        <v>345851</v>
      </c>
      <c r="AI531" s="12" t="s">
        <v>531</v>
      </c>
      <c r="AJ531" s="12"/>
      <c r="AK531" s="12" t="s">
        <v>63</v>
      </c>
      <c r="AL531" s="12"/>
      <c r="AM531" s="7">
        <v>0</v>
      </c>
      <c r="AO531" s="7">
        <v>763709</v>
      </c>
      <c r="AQ531" s="7">
        <v>1039113</v>
      </c>
      <c r="AS531" s="7">
        <v>1234394</v>
      </c>
      <c r="AW531" s="7">
        <v>0</v>
      </c>
      <c r="AY531" s="7">
        <f t="shared" si="91"/>
        <v>30570602</v>
      </c>
      <c r="BA531" s="7">
        <f>+'St of Activites - GA Rev'!AI531-'St of Activities - GA Exp'!AY531</f>
        <v>-1723596</v>
      </c>
      <c r="BC531" s="7">
        <v>14120740</v>
      </c>
      <c r="BE531" s="7">
        <f t="shared" si="92"/>
        <v>12397144</v>
      </c>
      <c r="BG531" s="7">
        <f>+'St of Net Assets - GA'!AA531-'St of Activities - GA Exp'!BE531</f>
        <v>0</v>
      </c>
      <c r="BL531" s="7" t="str">
        <f t="shared" si="93"/>
        <v>Tallmadge City SD</v>
      </c>
      <c r="BM531" s="7" t="b">
        <f t="shared" si="94"/>
        <v>1</v>
      </c>
      <c r="BO531" s="7" t="str">
        <f t="shared" si="95"/>
        <v>Summit</v>
      </c>
      <c r="BP531" s="7" t="b">
        <f t="shared" si="96"/>
        <v>1</v>
      </c>
    </row>
    <row r="532" spans="1:68">
      <c r="A532" s="12" t="s">
        <v>469</v>
      </c>
      <c r="B532" s="12"/>
      <c r="C532" s="12" t="s">
        <v>54</v>
      </c>
      <c r="D532" s="12"/>
      <c r="E532" s="12">
        <v>49098</v>
      </c>
      <c r="G532" s="7">
        <v>20414129</v>
      </c>
      <c r="I532" s="7">
        <v>3695629</v>
      </c>
      <c r="K532" s="7">
        <v>720788</v>
      </c>
      <c r="O532" s="7">
        <v>353386</v>
      </c>
      <c r="Q532" s="7">
        <v>1373450</v>
      </c>
      <c r="S532" s="7">
        <v>1734745</v>
      </c>
      <c r="U532" s="7">
        <v>58731</v>
      </c>
      <c r="W532" s="7">
        <v>3894379</v>
      </c>
      <c r="Y532" s="7">
        <v>940113</v>
      </c>
      <c r="AA532" s="7">
        <v>356156</v>
      </c>
      <c r="AC532" s="7">
        <v>4168955</v>
      </c>
      <c r="AE532" s="7">
        <v>2373023</v>
      </c>
      <c r="AG532" s="7">
        <v>208944</v>
      </c>
      <c r="AI532" s="12" t="s">
        <v>469</v>
      </c>
      <c r="AJ532" s="12"/>
      <c r="AK532" s="12" t="s">
        <v>54</v>
      </c>
      <c r="AL532" s="12"/>
      <c r="AM532" s="7">
        <v>1328780</v>
      </c>
      <c r="AO532" s="7">
        <v>24114</v>
      </c>
      <c r="AQ532" s="7">
        <v>994641</v>
      </c>
      <c r="AS532" s="7">
        <v>1801812</v>
      </c>
      <c r="AW532" s="7">
        <v>0</v>
      </c>
      <c r="AY532" s="7">
        <f t="shared" si="91"/>
        <v>44441775</v>
      </c>
      <c r="BA532" s="7">
        <f>+'St of Activites - GA Rev'!AI532-'St of Activities - GA Exp'!AY532</f>
        <v>-5071530</v>
      </c>
      <c r="BC532" s="7">
        <v>82676484</v>
      </c>
      <c r="BE532" s="7">
        <f t="shared" si="92"/>
        <v>77604954</v>
      </c>
      <c r="BG532" s="7">
        <f>+'St of Net Assets - GA'!AA532-'St of Activities - GA Exp'!BE532</f>
        <v>0</v>
      </c>
      <c r="BL532" s="7" t="str">
        <f t="shared" si="93"/>
        <v>Teays Valley Local SD</v>
      </c>
      <c r="BM532" s="7" t="b">
        <f t="shared" si="94"/>
        <v>1</v>
      </c>
      <c r="BO532" s="7" t="str">
        <f t="shared" si="95"/>
        <v>Pickaway</v>
      </c>
      <c r="BP532" s="7" t="b">
        <f t="shared" si="96"/>
        <v>1</v>
      </c>
    </row>
    <row r="533" spans="1:68">
      <c r="A533" s="12" t="s">
        <v>241</v>
      </c>
      <c r="B533" s="12"/>
      <c r="C533" s="12" t="s">
        <v>17</v>
      </c>
      <c r="D533" s="12"/>
      <c r="E533" s="12">
        <v>46243</v>
      </c>
      <c r="G533" s="7">
        <v>12480053</v>
      </c>
      <c r="I533" s="7">
        <v>3886754</v>
      </c>
      <c r="K533" s="7">
        <v>489670</v>
      </c>
      <c r="M533" s="7">
        <v>0</v>
      </c>
      <c r="O533" s="7">
        <f>33620+1105298</f>
        <v>1138918</v>
      </c>
      <c r="Q533" s="7">
        <v>2143865</v>
      </c>
      <c r="S533" s="7">
        <v>1387763</v>
      </c>
      <c r="U533" s="7">
        <v>71175</v>
      </c>
      <c r="W533" s="7">
        <v>2965266</v>
      </c>
      <c r="Y533" s="7">
        <v>621029</v>
      </c>
      <c r="AA533" s="7">
        <v>68760</v>
      </c>
      <c r="AC533" s="7">
        <v>3281635</v>
      </c>
      <c r="AE533" s="7">
        <v>1413343</v>
      </c>
      <c r="AG533" s="7">
        <v>145677</v>
      </c>
      <c r="AI533" s="12" t="s">
        <v>241</v>
      </c>
      <c r="AJ533" s="12"/>
      <c r="AK533" s="12" t="s">
        <v>17</v>
      </c>
      <c r="AL533" s="12"/>
      <c r="AM533" s="7">
        <v>0</v>
      </c>
      <c r="AO533" s="7">
        <v>1661856</v>
      </c>
      <c r="AQ533" s="7">
        <v>541081</v>
      </c>
      <c r="AS533" s="7">
        <v>900270</v>
      </c>
      <c r="AW533" s="7">
        <v>2685845</v>
      </c>
      <c r="AY533" s="7">
        <f t="shared" si="91"/>
        <v>35882960</v>
      </c>
      <c r="BA533" s="7">
        <f>+'St of Activites - GA Rev'!AI533-'St of Activities - GA Exp'!AY533</f>
        <v>486945</v>
      </c>
      <c r="BC533" s="7">
        <v>64846547</v>
      </c>
      <c r="BE533" s="7">
        <f t="shared" si="92"/>
        <v>65333492</v>
      </c>
      <c r="BG533" s="7">
        <f>+'St of Net Assets - GA'!AA533-'St of Activities - GA Exp'!BE533</f>
        <v>0</v>
      </c>
      <c r="BL533" s="7" t="str">
        <f t="shared" si="93"/>
        <v>Tecumseh Local SD</v>
      </c>
      <c r="BM533" s="7" t="b">
        <f t="shared" si="94"/>
        <v>1</v>
      </c>
      <c r="BO533" s="7" t="str">
        <f t="shared" si="95"/>
        <v>Clark</v>
      </c>
      <c r="BP533" s="7" t="b">
        <f t="shared" si="96"/>
        <v>1</v>
      </c>
    </row>
    <row r="534" spans="1:68" ht="12" customHeight="1">
      <c r="A534" s="12" t="s">
        <v>765</v>
      </c>
      <c r="B534" s="12"/>
      <c r="C534" s="12" t="s">
        <v>32</v>
      </c>
      <c r="D534" s="12"/>
      <c r="E534" s="12">
        <v>47399</v>
      </c>
      <c r="G534" s="7">
        <v>8389105</v>
      </c>
      <c r="I534" s="7">
        <v>2858922</v>
      </c>
      <c r="K534" s="7">
        <v>25315</v>
      </c>
      <c r="M534" s="7">
        <v>0</v>
      </c>
      <c r="O534" s="7">
        <v>401332</v>
      </c>
      <c r="Q534" s="7">
        <v>1218030</v>
      </c>
      <c r="S534" s="7">
        <v>1920316</v>
      </c>
      <c r="U534" s="7">
        <v>51995</v>
      </c>
      <c r="W534" s="7">
        <v>1882320</v>
      </c>
      <c r="Y534" s="7">
        <v>569083</v>
      </c>
      <c r="AA534" s="7">
        <v>0</v>
      </c>
      <c r="AC534" s="7">
        <v>1435319</v>
      </c>
      <c r="AE534" s="7">
        <v>1618052</v>
      </c>
      <c r="AG534" s="7">
        <v>686208</v>
      </c>
      <c r="AI534" s="12" t="s">
        <v>765</v>
      </c>
      <c r="AJ534" s="12"/>
      <c r="AK534" s="12" t="s">
        <v>32</v>
      </c>
      <c r="AL534" s="12"/>
      <c r="AM534" s="7">
        <v>0</v>
      </c>
      <c r="AO534" s="7">
        <v>888806</v>
      </c>
      <c r="AQ534" s="7">
        <v>586524</v>
      </c>
      <c r="AS534" s="7">
        <v>1792310</v>
      </c>
      <c r="AW534" s="7">
        <v>0</v>
      </c>
      <c r="AY534" s="7">
        <f t="shared" si="91"/>
        <v>24323637</v>
      </c>
      <c r="BA534" s="7">
        <f>+'St of Activites - GA Rev'!AI534-'St of Activities - GA Exp'!AY534</f>
        <v>29261089</v>
      </c>
      <c r="BC534" s="7">
        <v>12305113</v>
      </c>
      <c r="BE534" s="7">
        <f t="shared" si="92"/>
        <v>41566202</v>
      </c>
      <c r="BG534" s="7">
        <f>+'St of Net Assets - GA'!AA534-'St of Activities - GA Exp'!BE534</f>
        <v>0</v>
      </c>
      <c r="BL534" s="7" t="str">
        <f t="shared" si="93"/>
        <v xml:space="preserve">Three Rivers Local SD </v>
      </c>
      <c r="BM534" s="7" t="b">
        <f t="shared" si="94"/>
        <v>1</v>
      </c>
      <c r="BO534" s="7" t="str">
        <f t="shared" si="95"/>
        <v>Hamilton</v>
      </c>
      <c r="BP534" s="7" t="b">
        <f t="shared" si="96"/>
        <v>1</v>
      </c>
    </row>
    <row r="535" spans="1:68" ht="12" customHeight="1">
      <c r="A535" s="12" t="s">
        <v>503</v>
      </c>
      <c r="B535" s="12"/>
      <c r="C535" s="12" t="s">
        <v>60</v>
      </c>
      <c r="D535" s="12"/>
      <c r="E535" s="12">
        <v>44891</v>
      </c>
      <c r="G535" s="7">
        <v>11359716</v>
      </c>
      <c r="I535" s="7">
        <v>4823230</v>
      </c>
      <c r="K535" s="7">
        <v>243347</v>
      </c>
      <c r="M535" s="7">
        <v>0</v>
      </c>
      <c r="O535" s="7">
        <v>80034</v>
      </c>
      <c r="Q535" s="7">
        <v>1246136</v>
      </c>
      <c r="S535" s="7">
        <v>1689704</v>
      </c>
      <c r="U535" s="7">
        <v>37763</v>
      </c>
      <c r="W535" s="7">
        <v>2192181</v>
      </c>
      <c r="Y535" s="7">
        <v>632268</v>
      </c>
      <c r="AA535" s="7">
        <v>46238</v>
      </c>
      <c r="AC535" s="7">
        <v>2686553</v>
      </c>
      <c r="AE535" s="7">
        <v>881218</v>
      </c>
      <c r="AG535" s="7">
        <v>35886</v>
      </c>
      <c r="AI535" s="12" t="s">
        <v>503</v>
      </c>
      <c r="AJ535" s="12"/>
      <c r="AK535" s="12" t="s">
        <v>60</v>
      </c>
      <c r="AL535" s="12"/>
      <c r="AM535" s="7">
        <v>811208</v>
      </c>
      <c r="AO535" s="7">
        <v>286203</v>
      </c>
      <c r="AQ535" s="7">
        <v>733871</v>
      </c>
      <c r="AS535" s="7">
        <v>404566</v>
      </c>
      <c r="AW535" s="7">
        <v>0</v>
      </c>
      <c r="AY535" s="7">
        <f t="shared" si="91"/>
        <v>28190122</v>
      </c>
      <c r="BA535" s="7">
        <f>+'St of Activites - GA Rev'!AI535-'St of Activities - GA Exp'!AY535</f>
        <v>2641992</v>
      </c>
      <c r="BC535" s="7">
        <v>13219593</v>
      </c>
      <c r="BE535" s="7">
        <f t="shared" si="92"/>
        <v>15861585</v>
      </c>
      <c r="BG535" s="7">
        <f>+'St of Net Assets - GA'!AA535-'St of Activities - GA Exp'!BE535</f>
        <v>0</v>
      </c>
      <c r="BL535" s="7" t="str">
        <f t="shared" si="93"/>
        <v>Tiffin City SD</v>
      </c>
      <c r="BM535" s="7" t="b">
        <f t="shared" si="94"/>
        <v>1</v>
      </c>
      <c r="BO535" s="7" t="str">
        <f t="shared" si="95"/>
        <v>Seneca</v>
      </c>
      <c r="BP535" s="7" t="b">
        <f t="shared" si="96"/>
        <v>1</v>
      </c>
    </row>
    <row r="536" spans="1:68">
      <c r="A536" s="12" t="s">
        <v>887</v>
      </c>
      <c r="B536" s="12"/>
      <c r="C536" s="12" t="s">
        <v>48</v>
      </c>
      <c r="D536" s="12"/>
      <c r="E536" s="12">
        <v>45617</v>
      </c>
      <c r="G536" s="7">
        <v>15503726</v>
      </c>
      <c r="I536" s="7">
        <v>0</v>
      </c>
      <c r="K536" s="7">
        <v>0</v>
      </c>
      <c r="M536" s="7">
        <v>0</v>
      </c>
      <c r="O536" s="7">
        <v>0</v>
      </c>
      <c r="Q536" s="7">
        <v>1057233</v>
      </c>
      <c r="S536" s="7">
        <v>1264423</v>
      </c>
      <c r="U536" s="7">
        <v>18067</v>
      </c>
      <c r="W536" s="7">
        <v>1664690</v>
      </c>
      <c r="Y536" s="7">
        <v>577225</v>
      </c>
      <c r="AA536" s="7">
        <v>122641</v>
      </c>
      <c r="AC536" s="7">
        <v>2199911</v>
      </c>
      <c r="AE536" s="7">
        <v>1174321</v>
      </c>
      <c r="AG536" s="7">
        <v>618633</v>
      </c>
      <c r="AI536" s="12" t="s">
        <v>887</v>
      </c>
      <c r="AJ536" s="12"/>
      <c r="AK536" s="12" t="s">
        <v>48</v>
      </c>
      <c r="AL536" s="12"/>
      <c r="AM536" s="7">
        <v>844705</v>
      </c>
      <c r="AO536" s="7">
        <v>9511</v>
      </c>
      <c r="AQ536" s="7">
        <v>1211407</v>
      </c>
      <c r="AS536" s="7">
        <v>863154</v>
      </c>
      <c r="AU536" s="7">
        <v>0</v>
      </c>
      <c r="AW536" s="7">
        <v>0</v>
      </c>
      <c r="AY536" s="7">
        <f t="shared" si="91"/>
        <v>27129647</v>
      </c>
      <c r="BA536" s="7">
        <f>+'St of Activites - GA Rev'!AI536-'St of Activities - GA Exp'!AY536</f>
        <v>617819</v>
      </c>
      <c r="BC536" s="7">
        <v>5961522</v>
      </c>
      <c r="BE536" s="7">
        <f t="shared" si="92"/>
        <v>6579341</v>
      </c>
      <c r="BG536" s="7">
        <f>+'St of Net Assets - GA'!AA536-'St of Activities - GA Exp'!BE536</f>
        <v>0</v>
      </c>
      <c r="BH536" s="7" t="s">
        <v>808</v>
      </c>
      <c r="BL536" s="7" t="str">
        <f t="shared" si="93"/>
        <v>Tipp City Exempted Village SD</v>
      </c>
      <c r="BM536" s="7" t="b">
        <f t="shared" si="94"/>
        <v>1</v>
      </c>
      <c r="BO536" s="7" t="str">
        <f t="shared" si="95"/>
        <v>Miami</v>
      </c>
      <c r="BP536" s="7" t="b">
        <f t="shared" si="96"/>
        <v>1</v>
      </c>
    </row>
    <row r="537" spans="1:68">
      <c r="A537" s="12" t="s">
        <v>408</v>
      </c>
      <c r="B537" s="12"/>
      <c r="C537" s="12" t="s">
        <v>115</v>
      </c>
      <c r="D537" s="12"/>
      <c r="E537" s="12">
        <v>44909</v>
      </c>
      <c r="G537" s="7">
        <v>261007528</v>
      </c>
      <c r="I537" s="7">
        <v>0</v>
      </c>
      <c r="K537" s="7">
        <v>0</v>
      </c>
      <c r="M537" s="7">
        <v>0</v>
      </c>
      <c r="O537" s="7">
        <v>0</v>
      </c>
      <c r="Q537" s="7">
        <v>121323934</v>
      </c>
      <c r="S537" s="7">
        <v>0</v>
      </c>
      <c r="U537" s="7">
        <v>0</v>
      </c>
      <c r="W537" s="7">
        <v>0</v>
      </c>
      <c r="Y537" s="7">
        <v>0</v>
      </c>
      <c r="AA537" s="7">
        <v>0</v>
      </c>
      <c r="AC537" s="7">
        <v>0</v>
      </c>
      <c r="AE537" s="7">
        <v>0</v>
      </c>
      <c r="AG537" s="7">
        <v>0</v>
      </c>
      <c r="AI537" s="12" t="s">
        <v>408</v>
      </c>
      <c r="AJ537" s="12"/>
      <c r="AK537" s="12" t="s">
        <v>115</v>
      </c>
      <c r="AL537" s="12"/>
      <c r="AM537" s="7">
        <v>0</v>
      </c>
      <c r="AO537" s="7">
        <v>26041413</v>
      </c>
      <c r="AQ537" s="7">
        <v>3563463</v>
      </c>
      <c r="AS537" s="7">
        <v>6327517</v>
      </c>
      <c r="AW537" s="7">
        <v>0</v>
      </c>
      <c r="AY537" s="7">
        <f t="shared" si="91"/>
        <v>418263855</v>
      </c>
      <c r="BA537" s="7">
        <f>+'St of Activites - GA Rev'!AI537-'St of Activities - GA Exp'!AY537</f>
        <v>2976728</v>
      </c>
      <c r="BC537" s="7">
        <v>498295679</v>
      </c>
      <c r="BE537" s="7">
        <f t="shared" si="92"/>
        <v>501272407</v>
      </c>
      <c r="BG537" s="7">
        <f>+'St of Net Assets - GA'!AA537-'St of Activities - GA Exp'!BE537</f>
        <v>0</v>
      </c>
      <c r="BL537" s="7" t="str">
        <f t="shared" si="93"/>
        <v>Toledo City SD</v>
      </c>
      <c r="BM537" s="7" t="b">
        <f t="shared" si="94"/>
        <v>1</v>
      </c>
      <c r="BO537" s="7" t="str">
        <f t="shared" si="95"/>
        <v>Lucas</v>
      </c>
      <c r="BP537" s="7" t="b">
        <f t="shared" si="96"/>
        <v>1</v>
      </c>
    </row>
    <row r="538" spans="1:68" hidden="1">
      <c r="A538" s="12" t="s">
        <v>731</v>
      </c>
      <c r="B538" s="12"/>
      <c r="C538" s="12" t="s">
        <v>115</v>
      </c>
      <c r="D538" s="12"/>
      <c r="E538" s="12"/>
      <c r="AI538" s="12" t="s">
        <v>731</v>
      </c>
      <c r="AJ538" s="12"/>
      <c r="AK538" s="12" t="s">
        <v>115</v>
      </c>
      <c r="AL538" s="12"/>
      <c r="AY538" s="7">
        <f t="shared" si="91"/>
        <v>0</v>
      </c>
      <c r="BA538" s="7">
        <f>+'St of Activites - GA Rev'!AI538-'St of Activities - GA Exp'!AY538</f>
        <v>0</v>
      </c>
      <c r="BE538" s="7">
        <f t="shared" si="92"/>
        <v>0</v>
      </c>
      <c r="BG538" s="7">
        <f>+'St of Net Assets - GA'!AA538-'St of Activities - GA Exp'!BE538</f>
        <v>0</v>
      </c>
      <c r="BH538" s="7" t="s">
        <v>794</v>
      </c>
      <c r="BL538" s="7" t="str">
        <f t="shared" si="93"/>
        <v>Toledo School for the Arts</v>
      </c>
      <c r="BM538" s="7" t="b">
        <f t="shared" si="94"/>
        <v>1</v>
      </c>
      <c r="BO538" s="7" t="str">
        <f t="shared" si="95"/>
        <v>Lucas</v>
      </c>
      <c r="BP538" s="7" t="b">
        <f t="shared" si="96"/>
        <v>1</v>
      </c>
    </row>
    <row r="539" spans="1:68">
      <c r="A539" s="12" t="s">
        <v>766</v>
      </c>
      <c r="B539" s="12"/>
      <c r="C539" s="12" t="s">
        <v>39</v>
      </c>
      <c r="D539" s="12"/>
      <c r="E539" s="12">
        <v>44917</v>
      </c>
      <c r="G539" s="7">
        <v>3209855</v>
      </c>
      <c r="I539" s="7">
        <v>1051999</v>
      </c>
      <c r="K539" s="7">
        <v>84165</v>
      </c>
      <c r="M539" s="7">
        <v>0</v>
      </c>
      <c r="O539" s="7">
        <f>84641+627078</f>
        <v>711719</v>
      </c>
      <c r="Q539" s="7">
        <v>231306</v>
      </c>
      <c r="S539" s="7">
        <v>268006</v>
      </c>
      <c r="U539" s="7">
        <v>10355</v>
      </c>
      <c r="W539" s="7">
        <v>936834</v>
      </c>
      <c r="Y539" s="7">
        <v>306453</v>
      </c>
      <c r="AA539" s="7">
        <v>65971</v>
      </c>
      <c r="AC539" s="7">
        <v>857018</v>
      </c>
      <c r="AE539" s="7">
        <v>129736</v>
      </c>
      <c r="AG539" s="7">
        <v>0</v>
      </c>
      <c r="AI539" s="12" t="s">
        <v>766</v>
      </c>
      <c r="AJ539" s="12"/>
      <c r="AK539" s="12" t="s">
        <v>39</v>
      </c>
      <c r="AL539" s="12"/>
      <c r="AM539" s="7">
        <v>0</v>
      </c>
      <c r="AO539" s="7">
        <v>399797</v>
      </c>
      <c r="AQ539" s="7">
        <v>278436</v>
      </c>
      <c r="AS539" s="7">
        <v>230324</v>
      </c>
      <c r="AW539" s="7">
        <v>0</v>
      </c>
      <c r="AY539" s="7">
        <f t="shared" si="91"/>
        <v>8771974</v>
      </c>
      <c r="BA539" s="7">
        <f>+'St of Activites - GA Rev'!AI539-'St of Activities - GA Exp'!AY539</f>
        <v>11669144</v>
      </c>
      <c r="BC539" s="7">
        <v>5579670</v>
      </c>
      <c r="BE539" s="7">
        <f t="shared" si="92"/>
        <v>17248814</v>
      </c>
      <c r="BG539" s="7">
        <f>+'St of Net Assets - GA'!AA539-'St of Activities - GA Exp'!BE539</f>
        <v>0</v>
      </c>
      <c r="BH539" s="7" t="s">
        <v>788</v>
      </c>
      <c r="BL539" s="7" t="str">
        <f t="shared" si="93"/>
        <v xml:space="preserve">Toronto City SD  </v>
      </c>
      <c r="BM539" s="7" t="b">
        <f t="shared" si="94"/>
        <v>1</v>
      </c>
      <c r="BO539" s="7" t="str">
        <f t="shared" si="95"/>
        <v>Jefferson</v>
      </c>
      <c r="BP539" s="7" t="b">
        <f t="shared" si="96"/>
        <v>1</v>
      </c>
    </row>
    <row r="540" spans="1:68">
      <c r="A540" s="12" t="s">
        <v>233</v>
      </c>
      <c r="B540" s="12"/>
      <c r="C540" s="12" t="s">
        <v>232</v>
      </c>
      <c r="D540" s="12"/>
      <c r="E540" s="12">
        <v>46201</v>
      </c>
      <c r="G540" s="7">
        <v>4793984</v>
      </c>
      <c r="I540" s="7">
        <v>1356131</v>
      </c>
      <c r="K540" s="7">
        <v>256472</v>
      </c>
      <c r="M540" s="7">
        <v>0</v>
      </c>
      <c r="O540" s="7">
        <v>36716</v>
      </c>
      <c r="Q540" s="7">
        <v>365925</v>
      </c>
      <c r="S540" s="7">
        <v>302840</v>
      </c>
      <c r="U540" s="7">
        <v>62275</v>
      </c>
      <c r="W540" s="7">
        <v>900433</v>
      </c>
      <c r="Y540" s="7">
        <v>320607</v>
      </c>
      <c r="AA540" s="7">
        <v>6823</v>
      </c>
      <c r="AC540" s="7">
        <v>2231161</v>
      </c>
      <c r="AE540" s="7">
        <v>573294</v>
      </c>
      <c r="AG540" s="7">
        <v>212149</v>
      </c>
      <c r="AI540" s="12" t="s">
        <v>233</v>
      </c>
      <c r="AJ540" s="12"/>
      <c r="AK540" s="12" t="s">
        <v>232</v>
      </c>
      <c r="AL540" s="12"/>
      <c r="AM540" s="7">
        <v>475787</v>
      </c>
      <c r="AO540" s="7">
        <v>0</v>
      </c>
      <c r="AQ540" s="7">
        <v>438786</v>
      </c>
      <c r="AS540" s="7">
        <v>285215</v>
      </c>
      <c r="AW540" s="7">
        <v>0</v>
      </c>
      <c r="AY540" s="7">
        <f t="shared" si="91"/>
        <v>12618598</v>
      </c>
      <c r="BA540" s="7">
        <f>+'St of Activites - GA Rev'!AI540-'St of Activities - GA Exp'!AY540</f>
        <v>-791416</v>
      </c>
      <c r="BC540" s="7">
        <v>13983997</v>
      </c>
      <c r="BE540" s="7">
        <f t="shared" si="92"/>
        <v>13192581</v>
      </c>
      <c r="BG540" s="7">
        <f>+'St of Net Assets - GA'!AA540-'St of Activities - GA Exp'!BE540</f>
        <v>0</v>
      </c>
      <c r="BL540" s="7" t="str">
        <f t="shared" si="93"/>
        <v>Triad Local SD</v>
      </c>
      <c r="BM540" s="7" t="b">
        <f t="shared" si="94"/>
        <v>1</v>
      </c>
      <c r="BO540" s="7" t="str">
        <f t="shared" si="95"/>
        <v>Champaign</v>
      </c>
      <c r="BP540" s="7" t="b">
        <f t="shared" si="96"/>
        <v>1</v>
      </c>
    </row>
    <row r="541" spans="1:68" s="32" customFormat="1">
      <c r="A541" s="31" t="s">
        <v>481</v>
      </c>
      <c r="B541" s="31"/>
      <c r="C541" s="31" t="s">
        <v>57</v>
      </c>
      <c r="D541" s="31"/>
      <c r="E541" s="31">
        <v>91397</v>
      </c>
      <c r="G541" s="32">
        <v>5187642</v>
      </c>
      <c r="I541" s="32">
        <v>1039632</v>
      </c>
      <c r="K541" s="32">
        <v>67636</v>
      </c>
      <c r="M541" s="32">
        <v>0</v>
      </c>
      <c r="O541" s="32">
        <v>0</v>
      </c>
      <c r="Q541" s="32">
        <v>618301</v>
      </c>
      <c r="S541" s="32">
        <v>672774</v>
      </c>
      <c r="U541" s="32">
        <v>22562</v>
      </c>
      <c r="W541" s="32">
        <v>1116555</v>
      </c>
      <c r="Y541" s="32">
        <v>221596</v>
      </c>
      <c r="AA541" s="32">
        <v>0</v>
      </c>
      <c r="AC541" s="32">
        <v>744537</v>
      </c>
      <c r="AE541" s="32">
        <v>565481</v>
      </c>
      <c r="AG541" s="32">
        <v>29216</v>
      </c>
      <c r="AI541" s="31" t="s">
        <v>481</v>
      </c>
      <c r="AJ541" s="31"/>
      <c r="AK541" s="31" t="s">
        <v>57</v>
      </c>
      <c r="AL541" s="31"/>
      <c r="AM541" s="32">
        <v>0</v>
      </c>
      <c r="AO541" s="32">
        <v>446659</v>
      </c>
      <c r="AQ541" s="32">
        <v>439884</v>
      </c>
      <c r="AS541" s="32">
        <v>0</v>
      </c>
      <c r="AW541" s="32">
        <v>0</v>
      </c>
      <c r="AY541" s="32">
        <f t="shared" si="91"/>
        <v>11172475</v>
      </c>
      <c r="BA541" s="32">
        <f>+'St of Activites - GA Rev'!AI541-'St of Activities - GA Exp'!AY541</f>
        <v>-378576</v>
      </c>
      <c r="BC541" s="32">
        <v>13584075</v>
      </c>
      <c r="BE541" s="32">
        <f t="shared" si="92"/>
        <v>13205499</v>
      </c>
      <c r="BG541" s="32">
        <f>+'St of Net Assets - GA'!AA541-'St of Activities - GA Exp'!BE541</f>
        <v>0</v>
      </c>
      <c r="BL541" s="32" t="str">
        <f t="shared" si="93"/>
        <v>Tri-County North Local SD</v>
      </c>
      <c r="BM541" s="32" t="b">
        <f t="shared" si="94"/>
        <v>1</v>
      </c>
      <c r="BO541" s="32" t="str">
        <f t="shared" si="95"/>
        <v>Preble</v>
      </c>
      <c r="BP541" s="32" t="b">
        <f t="shared" si="96"/>
        <v>1</v>
      </c>
    </row>
    <row r="542" spans="1:68">
      <c r="A542" s="12" t="s">
        <v>213</v>
      </c>
      <c r="B542" s="12"/>
      <c r="C542" s="12" t="s">
        <v>13</v>
      </c>
      <c r="D542" s="12"/>
      <c r="E542" s="12">
        <v>45922</v>
      </c>
      <c r="G542" s="7">
        <v>3443325</v>
      </c>
      <c r="I542" s="7">
        <v>1967939</v>
      </c>
      <c r="K542" s="7">
        <v>2027</v>
      </c>
      <c r="M542" s="7">
        <v>0</v>
      </c>
      <c r="O542" s="7">
        <f>34950+625401</f>
        <v>660351</v>
      </c>
      <c r="Q542" s="7">
        <v>515100</v>
      </c>
      <c r="S542" s="7">
        <v>495153</v>
      </c>
      <c r="U542" s="7">
        <v>123385</v>
      </c>
      <c r="W542" s="7">
        <v>807222</v>
      </c>
      <c r="Y542" s="7">
        <v>296352</v>
      </c>
      <c r="AA542" s="7">
        <v>0</v>
      </c>
      <c r="AC542" s="7">
        <v>912181</v>
      </c>
      <c r="AE542" s="7">
        <v>577681</v>
      </c>
      <c r="AG542" s="7">
        <v>22677</v>
      </c>
      <c r="AI542" s="12" t="s">
        <v>213</v>
      </c>
      <c r="AJ542" s="12"/>
      <c r="AK542" s="12" t="s">
        <v>13</v>
      </c>
      <c r="AL542" s="12"/>
      <c r="AM542" s="7">
        <v>0</v>
      </c>
      <c r="AO542" s="7">
        <v>492587</v>
      </c>
      <c r="AQ542" s="7">
        <v>182841</v>
      </c>
      <c r="AS542" s="7">
        <v>23743</v>
      </c>
      <c r="AU542" s="7">
        <v>0</v>
      </c>
      <c r="AW542" s="7">
        <v>491134</v>
      </c>
      <c r="AY542" s="7">
        <f>SUM(G542:AX542)</f>
        <v>11013698</v>
      </c>
      <c r="BA542" s="7">
        <f>+'St of Activites - GA Rev'!AI542-'St of Activities - GA Exp'!AY542</f>
        <v>397763</v>
      </c>
      <c r="BC542" s="7">
        <v>14273626</v>
      </c>
      <c r="BE542" s="7">
        <f t="shared" si="92"/>
        <v>14671389</v>
      </c>
      <c r="BG542" s="7">
        <f>+'St of Net Assets - GA'!AA542-'St of Activities - GA Exp'!BE542</f>
        <v>0</v>
      </c>
      <c r="BL542" s="7" t="str">
        <f t="shared" si="93"/>
        <v>Trimble Local SD</v>
      </c>
      <c r="BM542" s="7" t="b">
        <f t="shared" si="94"/>
        <v>1</v>
      </c>
      <c r="BO542" s="7" t="str">
        <f t="shared" si="95"/>
        <v>Athens</v>
      </c>
      <c r="BP542" s="7" t="b">
        <f t="shared" si="96"/>
        <v>1</v>
      </c>
    </row>
    <row r="543" spans="1:68">
      <c r="A543" s="12" t="s">
        <v>459</v>
      </c>
      <c r="B543" s="12"/>
      <c r="C543" s="12" t="s">
        <v>51</v>
      </c>
      <c r="D543" s="12"/>
      <c r="E543" s="12">
        <v>48876</v>
      </c>
      <c r="G543" s="7">
        <v>14555220</v>
      </c>
      <c r="I543" s="7">
        <v>3536353</v>
      </c>
      <c r="K543" s="7">
        <v>400855</v>
      </c>
      <c r="M543" s="7">
        <v>0</v>
      </c>
      <c r="O543" s="7">
        <v>43754</v>
      </c>
      <c r="Q543" s="7">
        <v>861069</v>
      </c>
      <c r="S543" s="7">
        <v>1550697</v>
      </c>
      <c r="U543" s="7">
        <v>1081594</v>
      </c>
      <c r="W543" s="7">
        <v>2650009</v>
      </c>
      <c r="Y543" s="7">
        <v>456577</v>
      </c>
      <c r="AA543" s="7">
        <v>0</v>
      </c>
      <c r="AC543" s="7">
        <v>1846086</v>
      </c>
      <c r="AE543" s="7">
        <v>1886384</v>
      </c>
      <c r="AG543" s="7">
        <v>450739</v>
      </c>
      <c r="AI543" s="12" t="s">
        <v>459</v>
      </c>
      <c r="AJ543" s="12"/>
      <c r="AK543" s="12" t="s">
        <v>51</v>
      </c>
      <c r="AL543" s="12"/>
      <c r="AM543" s="7">
        <v>1423731</v>
      </c>
      <c r="AO543" s="7">
        <v>161645</v>
      </c>
      <c r="AQ543" s="7">
        <v>313557</v>
      </c>
      <c r="AS543" s="7">
        <v>868290</v>
      </c>
      <c r="AW543" s="7">
        <v>0</v>
      </c>
      <c r="AY543" s="7">
        <f t="shared" si="91"/>
        <v>32086560</v>
      </c>
      <c r="BA543" s="7">
        <f>+'St of Activites - GA Rev'!AI543-'St of Activities - GA Exp'!AY543</f>
        <v>-461756</v>
      </c>
      <c r="BC543" s="7">
        <v>60200483</v>
      </c>
      <c r="BE543" s="7">
        <f t="shared" si="92"/>
        <v>59738727</v>
      </c>
      <c r="BG543" s="7">
        <f>+'St of Net Assets - GA'!AA543-'St of Activities - GA Exp'!BE543</f>
        <v>0</v>
      </c>
      <c r="BL543" s="7" t="str">
        <f t="shared" si="93"/>
        <v>Tri-Valley Local SD</v>
      </c>
      <c r="BM543" s="7" t="b">
        <f t="shared" si="94"/>
        <v>1</v>
      </c>
      <c r="BO543" s="7" t="str">
        <f t="shared" si="95"/>
        <v>Muskingum</v>
      </c>
      <c r="BP543" s="7" t="b">
        <f t="shared" si="96"/>
        <v>1</v>
      </c>
    </row>
    <row r="544" spans="1:68" ht="12" hidden="1" customHeight="1">
      <c r="A544" s="12" t="s">
        <v>726</v>
      </c>
      <c r="B544" s="12"/>
      <c r="C544" s="12" t="s">
        <v>21</v>
      </c>
      <c r="D544" s="12"/>
      <c r="E544" s="12">
        <v>46680</v>
      </c>
      <c r="AI544" s="12" t="s">
        <v>726</v>
      </c>
      <c r="AJ544" s="12"/>
      <c r="AK544" s="12" t="s">
        <v>21</v>
      </c>
      <c r="AL544" s="12"/>
      <c r="AY544" s="7">
        <f t="shared" si="91"/>
        <v>0</v>
      </c>
      <c r="BA544" s="7">
        <f>+'St of Activites - GA Rev'!AI544-'St of Activities - GA Exp'!AY544</f>
        <v>0</v>
      </c>
      <c r="BE544" s="7">
        <f t="shared" si="92"/>
        <v>0</v>
      </c>
      <c r="BG544" s="7">
        <f>+'St of Net Assets - GA'!AA544-'St of Activities - GA Exp'!BE544</f>
        <v>0</v>
      </c>
      <c r="BL544" s="7" t="str">
        <f t="shared" si="93"/>
        <v>Tri-Village Local SD (CASH)</v>
      </c>
      <c r="BM544" s="7" t="b">
        <f t="shared" si="94"/>
        <v>1</v>
      </c>
      <c r="BO544" s="7" t="str">
        <f t="shared" si="95"/>
        <v>Darke</v>
      </c>
      <c r="BP544" s="7" t="b">
        <f t="shared" si="96"/>
        <v>1</v>
      </c>
    </row>
    <row r="545" spans="1:68" hidden="1">
      <c r="A545" s="12" t="s">
        <v>569</v>
      </c>
      <c r="B545" s="12"/>
      <c r="C545" s="12" t="s">
        <v>71</v>
      </c>
      <c r="D545" s="12"/>
      <c r="E545" s="12">
        <v>50591</v>
      </c>
      <c r="AI545" s="12" t="s">
        <v>569</v>
      </c>
      <c r="AJ545" s="12"/>
      <c r="AK545" s="12" t="s">
        <v>71</v>
      </c>
      <c r="AL545" s="12"/>
      <c r="AY545" s="7">
        <f t="shared" si="91"/>
        <v>0</v>
      </c>
      <c r="BA545" s="7">
        <f>+'St of Activites - GA Rev'!AI545-'St of Activities - GA Exp'!AY545</f>
        <v>0</v>
      </c>
      <c r="BE545" s="7">
        <f t="shared" si="92"/>
        <v>0</v>
      </c>
      <c r="BG545" s="7">
        <f>+'St of Net Assets - GA'!AA545-'St of Activities - GA Exp'!BE545</f>
        <v>0</v>
      </c>
      <c r="BH545" s="7" t="s">
        <v>795</v>
      </c>
      <c r="BL545" s="7" t="str">
        <f t="shared" si="93"/>
        <v>Triway Local SD</v>
      </c>
      <c r="BM545" s="7" t="b">
        <f t="shared" si="94"/>
        <v>1</v>
      </c>
      <c r="BO545" s="7" t="str">
        <f t="shared" si="95"/>
        <v>Wayne</v>
      </c>
      <c r="BP545" s="7" t="b">
        <f t="shared" si="96"/>
        <v>1</v>
      </c>
    </row>
    <row r="546" spans="1:68">
      <c r="A546" s="12" t="s">
        <v>449</v>
      </c>
      <c r="B546" s="12"/>
      <c r="C546" s="12" t="s">
        <v>50</v>
      </c>
      <c r="D546" s="12"/>
      <c r="E546" s="12">
        <v>48694</v>
      </c>
      <c r="G546" s="7">
        <v>18357541</v>
      </c>
      <c r="I546" s="7">
        <v>4395004</v>
      </c>
      <c r="K546" s="7">
        <v>209</v>
      </c>
      <c r="M546" s="7">
        <v>0</v>
      </c>
      <c r="O546" s="7">
        <v>471937</v>
      </c>
      <c r="Q546" s="7">
        <v>2279513</v>
      </c>
      <c r="S546" s="7">
        <v>1515477</v>
      </c>
      <c r="U546" s="7">
        <v>42389</v>
      </c>
      <c r="W546" s="7">
        <v>2666021</v>
      </c>
      <c r="Y546" s="7">
        <v>661258</v>
      </c>
      <c r="AA546" s="7">
        <v>503040</v>
      </c>
      <c r="AC546" s="7">
        <v>3093825</v>
      </c>
      <c r="AE546" s="7">
        <v>1477769</v>
      </c>
      <c r="AG546" s="7">
        <v>1326745</v>
      </c>
      <c r="AI546" s="12" t="s">
        <v>449</v>
      </c>
      <c r="AJ546" s="12"/>
      <c r="AK546" s="12" t="s">
        <v>50</v>
      </c>
      <c r="AL546" s="12"/>
      <c r="AM546" s="7">
        <v>0</v>
      </c>
      <c r="AO546" s="7">
        <v>1966476</v>
      </c>
      <c r="AQ546" s="7">
        <v>536277</v>
      </c>
      <c r="AS546" s="7">
        <v>2087456</v>
      </c>
      <c r="AW546" s="7">
        <v>0</v>
      </c>
      <c r="AY546" s="7">
        <f t="shared" si="91"/>
        <v>41380937</v>
      </c>
      <c r="BA546" s="7">
        <f>+'St of Activites - GA Rev'!AI546-'St of Activities - GA Exp'!AY546</f>
        <v>892827</v>
      </c>
      <c r="BC546" s="7">
        <v>65072206</v>
      </c>
      <c r="BE546" s="7">
        <f t="shared" si="92"/>
        <v>65965033</v>
      </c>
      <c r="BG546" s="7">
        <f>+'St of Net Assets - GA'!AA546-'St of Activities - GA Exp'!BE546</f>
        <v>0</v>
      </c>
      <c r="BL546" s="7" t="str">
        <f t="shared" si="93"/>
        <v>Trotwood-Madison City SD</v>
      </c>
      <c r="BM546" s="7" t="b">
        <f t="shared" si="94"/>
        <v>1</v>
      </c>
      <c r="BO546" s="7" t="str">
        <f t="shared" si="95"/>
        <v>Montgomery</v>
      </c>
      <c r="BP546" s="7" t="b">
        <f t="shared" si="96"/>
        <v>1</v>
      </c>
    </row>
    <row r="547" spans="1:68">
      <c r="A547" s="12" t="s">
        <v>439</v>
      </c>
      <c r="B547" s="12"/>
      <c r="C547" s="12" t="s">
        <v>48</v>
      </c>
      <c r="D547" s="12"/>
      <c r="E547" s="12">
        <v>44925</v>
      </c>
      <c r="G547" s="7">
        <v>24515926</v>
      </c>
      <c r="I547" s="7">
        <v>6120461</v>
      </c>
      <c r="K547" s="7">
        <v>16822</v>
      </c>
      <c r="M547" s="7">
        <v>0</v>
      </c>
      <c r="O547" s="7">
        <v>2382394</v>
      </c>
      <c r="Q547" s="7">
        <v>2221165</v>
      </c>
      <c r="S547" s="7">
        <v>1009990</v>
      </c>
      <c r="U547" s="7">
        <v>691712</v>
      </c>
      <c r="W547" s="7">
        <v>3114350</v>
      </c>
      <c r="Y547" s="7">
        <v>569794</v>
      </c>
      <c r="AA547" s="7">
        <v>599224</v>
      </c>
      <c r="AC547" s="7">
        <v>3600867</v>
      </c>
      <c r="AE547" s="7">
        <v>1914312</v>
      </c>
      <c r="AG547" s="7">
        <v>57220</v>
      </c>
      <c r="AI547" s="12" t="s">
        <v>439</v>
      </c>
      <c r="AJ547" s="12"/>
      <c r="AK547" s="12" t="s">
        <v>48</v>
      </c>
      <c r="AL547" s="12"/>
      <c r="AM547" s="7">
        <v>0</v>
      </c>
      <c r="AO547" s="7">
        <v>2503815</v>
      </c>
      <c r="AQ547" s="7">
        <v>487113</v>
      </c>
      <c r="AS547" s="7">
        <v>965569</v>
      </c>
      <c r="AW547" s="7">
        <v>605889</v>
      </c>
      <c r="AY547" s="7">
        <f t="shared" si="91"/>
        <v>51376623</v>
      </c>
      <c r="BA547" s="7">
        <f>+'St of Activites - GA Rev'!AI547-'St of Activities - GA Exp'!AY547</f>
        <v>1680370</v>
      </c>
      <c r="BC547" s="7">
        <v>18486139</v>
      </c>
      <c r="BE547" s="7">
        <f t="shared" si="92"/>
        <v>20166509</v>
      </c>
      <c r="BG547" s="7">
        <f>+'St of Net Assets - GA'!AA547-'St of Activities - GA Exp'!BE547</f>
        <v>0</v>
      </c>
      <c r="BL547" s="7" t="str">
        <f t="shared" si="93"/>
        <v>Troy City SD</v>
      </c>
      <c r="BM547" s="7" t="b">
        <f t="shared" si="94"/>
        <v>1</v>
      </c>
      <c r="BO547" s="7" t="str">
        <f t="shared" si="95"/>
        <v>Miami</v>
      </c>
      <c r="BP547" s="7" t="b">
        <f t="shared" si="96"/>
        <v>1</v>
      </c>
    </row>
    <row r="548" spans="1:68">
      <c r="A548" s="12" t="s">
        <v>554</v>
      </c>
      <c r="B548" s="12"/>
      <c r="C548" s="12" t="s">
        <v>65</v>
      </c>
      <c r="D548" s="12"/>
      <c r="E548" s="12">
        <v>50302</v>
      </c>
      <c r="G548" s="7">
        <v>6333297</v>
      </c>
      <c r="I548" s="7">
        <v>869600</v>
      </c>
      <c r="K548" s="7">
        <v>147366</v>
      </c>
      <c r="M548" s="7">
        <v>0</v>
      </c>
      <c r="O548" s="7">
        <v>1094256</v>
      </c>
      <c r="Q548" s="7">
        <v>337161</v>
      </c>
      <c r="S548" s="7">
        <v>609181</v>
      </c>
      <c r="U548" s="7">
        <v>19651</v>
      </c>
      <c r="W548" s="7">
        <v>1420986</v>
      </c>
      <c r="Y548" s="7">
        <v>339724</v>
      </c>
      <c r="AA548" s="7">
        <v>0</v>
      </c>
      <c r="AC548" s="7">
        <v>1472450</v>
      </c>
      <c r="AE548" s="7">
        <v>1179544</v>
      </c>
      <c r="AG548" s="7">
        <v>68645</v>
      </c>
      <c r="AI548" s="12" t="s">
        <v>554</v>
      </c>
      <c r="AJ548" s="12"/>
      <c r="AK548" s="12" t="s">
        <v>65</v>
      </c>
      <c r="AL548" s="12"/>
      <c r="AM548" s="7">
        <v>470942</v>
      </c>
      <c r="AO548" s="7">
        <v>24253</v>
      </c>
      <c r="AQ548" s="7">
        <v>418846</v>
      </c>
      <c r="AS548" s="7">
        <v>240636</v>
      </c>
      <c r="AW548" s="7">
        <v>0</v>
      </c>
      <c r="AY548" s="7">
        <f t="shared" si="91"/>
        <v>15046538</v>
      </c>
      <c r="BA548" s="7">
        <f>+'St of Activites - GA Rev'!AI548-'St of Activities - GA Exp'!AY548</f>
        <v>-304847</v>
      </c>
      <c r="BC548" s="7">
        <v>6491550</v>
      </c>
      <c r="BE548" s="7">
        <f t="shared" si="92"/>
        <v>6186703</v>
      </c>
      <c r="BG548" s="7">
        <f>+'St of Net Assets - GA'!AA548-'St of Activities - GA Exp'!BE548</f>
        <v>0</v>
      </c>
      <c r="BL548" s="7" t="str">
        <f t="shared" si="93"/>
        <v>Tuscarawas Valley Local SD</v>
      </c>
      <c r="BM548" s="7" t="b">
        <f t="shared" si="94"/>
        <v>1</v>
      </c>
      <c r="BO548" s="7" t="str">
        <f t="shared" si="95"/>
        <v>Tuscarawas</v>
      </c>
      <c r="BP548" s="7" t="b">
        <f t="shared" si="96"/>
        <v>1</v>
      </c>
    </row>
    <row r="549" spans="1:68">
      <c r="A549" s="12" t="s">
        <v>521</v>
      </c>
      <c r="B549" s="12"/>
      <c r="C549" s="12" t="s">
        <v>62</v>
      </c>
      <c r="D549" s="12"/>
      <c r="E549" s="12">
        <v>49957</v>
      </c>
      <c r="G549" s="7">
        <v>6168958</v>
      </c>
      <c r="I549" s="7">
        <v>1642916</v>
      </c>
      <c r="K549" s="7">
        <v>186196</v>
      </c>
      <c r="M549" s="7">
        <v>0</v>
      </c>
      <c r="O549" s="7">
        <v>14549</v>
      </c>
      <c r="Q549" s="7">
        <v>783078</v>
      </c>
      <c r="S549" s="7">
        <v>409212</v>
      </c>
      <c r="U549" s="7">
        <v>14353</v>
      </c>
      <c r="W549" s="7">
        <v>1068749</v>
      </c>
      <c r="Y549" s="7">
        <v>391561</v>
      </c>
      <c r="AA549" s="7">
        <v>45051</v>
      </c>
      <c r="AC549" s="7">
        <v>1090067</v>
      </c>
      <c r="AE549" s="7">
        <v>806838</v>
      </c>
      <c r="AG549" s="7">
        <v>36834</v>
      </c>
      <c r="AI549" s="12" t="s">
        <v>521</v>
      </c>
      <c r="AJ549" s="12"/>
      <c r="AK549" s="12" t="s">
        <v>62</v>
      </c>
      <c r="AL549" s="12"/>
      <c r="AM549" s="7">
        <v>0</v>
      </c>
      <c r="AO549" s="7">
        <v>475839</v>
      </c>
      <c r="AQ549" s="7">
        <v>718202</v>
      </c>
      <c r="AS549" s="7">
        <v>659436</v>
      </c>
      <c r="AW549" s="7">
        <v>0</v>
      </c>
      <c r="AY549" s="7">
        <f t="shared" si="91"/>
        <v>14511839</v>
      </c>
      <c r="BA549" s="7">
        <f>+'St of Activites - GA Rev'!AI549-'St of Activities - GA Exp'!AY549</f>
        <v>1098318</v>
      </c>
      <c r="BC549" s="7">
        <v>15470643</v>
      </c>
      <c r="BE549" s="7">
        <f t="shared" si="92"/>
        <v>16568961</v>
      </c>
      <c r="BG549" s="7">
        <f>+'St of Net Assets - GA'!AA549-'St of Activities - GA Exp'!BE549</f>
        <v>0</v>
      </c>
      <c r="BL549" s="7" t="str">
        <f t="shared" si="93"/>
        <v>Tuslaw Local SD</v>
      </c>
      <c r="BM549" s="7" t="b">
        <f t="shared" si="94"/>
        <v>1</v>
      </c>
      <c r="BO549" s="7" t="str">
        <f t="shared" si="95"/>
        <v>Stark</v>
      </c>
      <c r="BP549" s="7" t="b">
        <f t="shared" si="96"/>
        <v>1</v>
      </c>
    </row>
    <row r="550" spans="1:68" ht="12" hidden="1" customHeight="1">
      <c r="A550" s="12" t="s">
        <v>732</v>
      </c>
      <c r="B550" s="12"/>
      <c r="C550" s="12" t="s">
        <v>57</v>
      </c>
      <c r="D550" s="12"/>
      <c r="E550" s="12">
        <v>49296</v>
      </c>
      <c r="AI550" s="12" t="s">
        <v>732</v>
      </c>
      <c r="AJ550" s="12"/>
      <c r="AK550" s="12" t="s">
        <v>57</v>
      </c>
      <c r="AL550" s="12"/>
      <c r="AY550" s="7">
        <f t="shared" si="91"/>
        <v>0</v>
      </c>
      <c r="BA550" s="7">
        <f>+'St of Activites - GA Rev'!AI550-'St of Activities - GA Exp'!AY550</f>
        <v>0</v>
      </c>
      <c r="BE550" s="7">
        <f t="shared" si="92"/>
        <v>0</v>
      </c>
      <c r="BG550" s="7">
        <f>+'St of Net Assets - GA'!AA550-'St of Activities - GA Exp'!BE550</f>
        <v>0</v>
      </c>
      <c r="BH550" s="7" t="s">
        <v>789</v>
      </c>
      <c r="BL550" s="7" t="str">
        <f t="shared" si="93"/>
        <v>Twin Valley Community Local SD (CASH)</v>
      </c>
      <c r="BM550" s="7" t="b">
        <f t="shared" si="94"/>
        <v>1</v>
      </c>
      <c r="BO550" s="7" t="str">
        <f t="shared" si="95"/>
        <v>Preble</v>
      </c>
      <c r="BP550" s="7" t="b">
        <f t="shared" si="96"/>
        <v>1</v>
      </c>
    </row>
    <row r="551" spans="1:68">
      <c r="A551" s="12" t="s">
        <v>532</v>
      </c>
      <c r="B551" s="12"/>
      <c r="C551" s="12" t="s">
        <v>63</v>
      </c>
      <c r="D551" s="12"/>
      <c r="E551" s="12">
        <v>50070</v>
      </c>
      <c r="G551" s="7">
        <v>21964455</v>
      </c>
      <c r="I551" s="7">
        <v>2962910</v>
      </c>
      <c r="K551" s="7">
        <v>302980</v>
      </c>
      <c r="M551" s="7">
        <v>0</v>
      </c>
      <c r="O551" s="7">
        <v>61741</v>
      </c>
      <c r="Q551" s="7">
        <v>2697561</v>
      </c>
      <c r="S551" s="7">
        <v>2620750</v>
      </c>
      <c r="U551" s="7">
        <v>339020</v>
      </c>
      <c r="W551" s="7">
        <v>3274612</v>
      </c>
      <c r="Y551" s="7">
        <v>1125999</v>
      </c>
      <c r="AA551" s="7">
        <v>97471</v>
      </c>
      <c r="AC551" s="7">
        <v>5011765</v>
      </c>
      <c r="AE551" s="7">
        <v>2885379</v>
      </c>
      <c r="AG551" s="7">
        <v>994783</v>
      </c>
      <c r="AI551" s="12" t="s">
        <v>532</v>
      </c>
      <c r="AJ551" s="12"/>
      <c r="AK551" s="12" t="s">
        <v>63</v>
      </c>
      <c r="AL551" s="12"/>
      <c r="AM551" s="7">
        <v>1467504</v>
      </c>
      <c r="AO551" s="7">
        <v>2056</v>
      </c>
      <c r="AQ551" s="7">
        <v>1292277</v>
      </c>
      <c r="AS551" s="7">
        <v>1149754</v>
      </c>
      <c r="AW551" s="7">
        <v>0</v>
      </c>
      <c r="AY551" s="7">
        <f t="shared" si="91"/>
        <v>48251017</v>
      </c>
      <c r="BA551" s="7">
        <f>+'St of Activites - GA Rev'!AI551-'St of Activities - GA Exp'!AY551</f>
        <v>99368</v>
      </c>
      <c r="BC551" s="7">
        <v>46140412</v>
      </c>
      <c r="BE551" s="7">
        <f t="shared" si="92"/>
        <v>46239780</v>
      </c>
      <c r="BG551" s="7">
        <f>+'St of Net Assets - GA'!AA551-'St of Activities - GA Exp'!BE551</f>
        <v>0</v>
      </c>
      <c r="BL551" s="7" t="str">
        <f t="shared" si="93"/>
        <v>Twinsburg City SD</v>
      </c>
      <c r="BM551" s="7" t="b">
        <f t="shared" si="94"/>
        <v>1</v>
      </c>
      <c r="BO551" s="7" t="str">
        <f t="shared" si="95"/>
        <v>Summit</v>
      </c>
      <c r="BP551" s="7" t="b">
        <f t="shared" si="96"/>
        <v>1</v>
      </c>
    </row>
    <row r="552" spans="1:68" hidden="1">
      <c r="A552" s="12" t="s">
        <v>219</v>
      </c>
      <c r="B552" s="12"/>
      <c r="C552" s="12" t="s">
        <v>15</v>
      </c>
      <c r="D552" s="12"/>
      <c r="E552" s="12">
        <v>46011</v>
      </c>
      <c r="AI552" s="12" t="s">
        <v>219</v>
      </c>
      <c r="AJ552" s="12"/>
      <c r="AK552" s="12" t="s">
        <v>15</v>
      </c>
      <c r="AL552" s="12"/>
      <c r="AY552" s="7">
        <f t="shared" si="91"/>
        <v>0</v>
      </c>
      <c r="BA552" s="7">
        <f>+'St of Activites - GA Rev'!AI552-'St of Activities - GA Exp'!AY552</f>
        <v>0</v>
      </c>
      <c r="BE552" s="7">
        <f t="shared" si="92"/>
        <v>0</v>
      </c>
      <c r="BG552" s="7">
        <f>+'St of Net Assets - GA'!AA552-'St of Activities - GA Exp'!BE552</f>
        <v>0</v>
      </c>
      <c r="BH552" s="7" t="s">
        <v>791</v>
      </c>
      <c r="BL552" s="7" t="str">
        <f t="shared" si="93"/>
        <v>Union Local SD</v>
      </c>
      <c r="BM552" s="7" t="b">
        <f t="shared" si="94"/>
        <v>1</v>
      </c>
      <c r="BO552" s="7" t="str">
        <f t="shared" si="95"/>
        <v>Belmont</v>
      </c>
      <c r="BP552" s="7" t="b">
        <f t="shared" si="96"/>
        <v>1</v>
      </c>
    </row>
    <row r="553" spans="1:68">
      <c r="A553" s="12" t="s">
        <v>491</v>
      </c>
      <c r="B553" s="12"/>
      <c r="C553" s="12" t="s">
        <v>58</v>
      </c>
      <c r="D553" s="12"/>
      <c r="E553" s="12">
        <v>49536</v>
      </c>
      <c r="G553" s="7">
        <v>11592474</v>
      </c>
      <c r="I553" s="7">
        <v>1490586</v>
      </c>
      <c r="K553" s="7">
        <v>10811</v>
      </c>
      <c r="M553" s="7">
        <v>0</v>
      </c>
      <c r="O553" s="7">
        <v>0</v>
      </c>
      <c r="Q553" s="7">
        <v>1018976</v>
      </c>
      <c r="S553" s="7">
        <v>690431</v>
      </c>
      <c r="U553" s="7">
        <v>610485</v>
      </c>
      <c r="W553" s="7">
        <v>1199868</v>
      </c>
      <c r="Y553" s="7">
        <v>459402</v>
      </c>
      <c r="AA553" s="7">
        <v>85994</v>
      </c>
      <c r="AC553" s="7">
        <v>1415537</v>
      </c>
      <c r="AE553" s="7">
        <v>859650</v>
      </c>
      <c r="AG553" s="7">
        <v>0</v>
      </c>
      <c r="AI553" s="12" t="s">
        <v>491</v>
      </c>
      <c r="AJ553" s="12"/>
      <c r="AK553" s="12" t="s">
        <v>58</v>
      </c>
      <c r="AL553" s="12"/>
      <c r="AM553" s="7">
        <v>0</v>
      </c>
      <c r="AO553" s="7">
        <v>1035218</v>
      </c>
      <c r="AQ553" s="7">
        <v>284369</v>
      </c>
      <c r="AS553" s="7">
        <v>214588</v>
      </c>
      <c r="AW553" s="7">
        <v>0</v>
      </c>
      <c r="AY553" s="7">
        <f t="shared" si="91"/>
        <v>20968389</v>
      </c>
      <c r="BA553" s="7">
        <f>+'St of Activites - GA Rev'!AI553-'St of Activities - GA Exp'!AY553</f>
        <v>786515</v>
      </c>
      <c r="BC553" s="7">
        <v>32029886</v>
      </c>
      <c r="BE553" s="7">
        <f t="shared" si="92"/>
        <v>32816401</v>
      </c>
      <c r="BG553" s="7">
        <f>+'St of Net Assets - GA'!AA553-'St of Activities - GA Exp'!BE553</f>
        <v>0</v>
      </c>
      <c r="BL553" s="7" t="str">
        <f t="shared" si="93"/>
        <v>Union-Scioto Local SD</v>
      </c>
      <c r="BM553" s="7" t="b">
        <f t="shared" si="94"/>
        <v>1</v>
      </c>
      <c r="BO553" s="7" t="str">
        <f t="shared" si="95"/>
        <v>Ross</v>
      </c>
      <c r="BP553" s="7" t="b">
        <f t="shared" si="96"/>
        <v>1</v>
      </c>
    </row>
    <row r="554" spans="1:68" ht="12" customHeight="1">
      <c r="A554" s="12" t="s">
        <v>257</v>
      </c>
      <c r="B554" s="12"/>
      <c r="C554" s="12" t="s">
        <v>112</v>
      </c>
      <c r="D554" s="12"/>
      <c r="E554" s="12">
        <v>46458</v>
      </c>
      <c r="G554" s="7">
        <v>5717321</v>
      </c>
      <c r="I554" s="7">
        <v>1631998</v>
      </c>
      <c r="K554" s="7">
        <v>222066</v>
      </c>
      <c r="M554" s="7">
        <v>8681</v>
      </c>
      <c r="O554" s="7">
        <v>2707</v>
      </c>
      <c r="Q554" s="7">
        <v>309205</v>
      </c>
      <c r="S554" s="7">
        <v>551832</v>
      </c>
      <c r="U554" s="7">
        <v>87232</v>
      </c>
      <c r="W554" s="7">
        <v>892371</v>
      </c>
      <c r="Y554" s="7">
        <v>291092</v>
      </c>
      <c r="AA554" s="7">
        <v>3797</v>
      </c>
      <c r="AC554" s="7">
        <v>1071946</v>
      </c>
      <c r="AE554" s="7">
        <v>916270</v>
      </c>
      <c r="AG554" s="7">
        <v>17580</v>
      </c>
      <c r="AI554" s="12" t="s">
        <v>257</v>
      </c>
      <c r="AJ554" s="12"/>
      <c r="AK554" s="12" t="s">
        <v>112</v>
      </c>
      <c r="AL554" s="12"/>
      <c r="AM554" s="7">
        <v>589104</v>
      </c>
      <c r="AO554" s="7">
        <v>1009</v>
      </c>
      <c r="AQ554" s="7">
        <v>576754</v>
      </c>
      <c r="AS554" s="7">
        <v>2234</v>
      </c>
      <c r="AW554" s="7">
        <v>0</v>
      </c>
      <c r="AY554" s="7">
        <f t="shared" si="91"/>
        <v>12893199</v>
      </c>
      <c r="BA554" s="7">
        <f>+'St of Activites - GA Rev'!AI554-'St of Activities - GA Exp'!AY554</f>
        <v>561493</v>
      </c>
      <c r="BC554" s="7">
        <v>10343751</v>
      </c>
      <c r="BE554" s="7">
        <f t="shared" si="92"/>
        <v>10905244</v>
      </c>
      <c r="BG554" s="7">
        <f>+'St of Net Assets - GA'!AA554-'St of Activities - GA Exp'!BE554</f>
        <v>0</v>
      </c>
      <c r="BL554" s="7" t="str">
        <f t="shared" si="93"/>
        <v>United Local SD</v>
      </c>
      <c r="BM554" s="7" t="b">
        <f t="shared" si="94"/>
        <v>1</v>
      </c>
      <c r="BO554" s="7" t="str">
        <f t="shared" si="95"/>
        <v>Columbiana</v>
      </c>
      <c r="BP554" s="7" t="b">
        <f t="shared" si="96"/>
        <v>1</v>
      </c>
    </row>
    <row r="555" spans="1:68">
      <c r="A555" s="12" t="s">
        <v>314</v>
      </c>
      <c r="B555" s="12"/>
      <c r="C555" s="12" t="s">
        <v>27</v>
      </c>
      <c r="D555" s="12"/>
      <c r="E555" s="12">
        <v>44933</v>
      </c>
      <c r="G555" s="7">
        <v>42546540</v>
      </c>
      <c r="I555" s="7">
        <v>8691548</v>
      </c>
      <c r="K555" s="7">
        <v>135957</v>
      </c>
      <c r="M555" s="7">
        <v>0</v>
      </c>
      <c r="O555" s="7">
        <v>0</v>
      </c>
      <c r="Q555" s="7">
        <v>4855412</v>
      </c>
      <c r="S555" s="7">
        <v>6068107</v>
      </c>
      <c r="U555" s="7">
        <v>39933</v>
      </c>
      <c r="W555" s="7">
        <v>4911763</v>
      </c>
      <c r="Y555" s="7">
        <v>1738556</v>
      </c>
      <c r="AA555" s="7">
        <v>591095</v>
      </c>
      <c r="AC555" s="7">
        <v>6999587</v>
      </c>
      <c r="AE555" s="7">
        <v>2213078</v>
      </c>
      <c r="AG555" s="7">
        <v>2203039</v>
      </c>
      <c r="AI555" s="12" t="s">
        <v>314</v>
      </c>
      <c r="AJ555" s="12"/>
      <c r="AK555" s="12" t="s">
        <v>27</v>
      </c>
      <c r="AL555" s="12"/>
      <c r="AM555" s="7">
        <v>1655370</v>
      </c>
      <c r="AO555" s="7">
        <v>3342620</v>
      </c>
      <c r="AQ555" s="7">
        <v>2890121</v>
      </c>
      <c r="AS555" s="7">
        <v>1451344</v>
      </c>
      <c r="AW555" s="7">
        <v>0</v>
      </c>
      <c r="AY555" s="7">
        <f t="shared" si="91"/>
        <v>90334070</v>
      </c>
      <c r="BA555" s="7">
        <f>+'St of Activites - GA Rev'!AI555-'St of Activities - GA Exp'!AY555</f>
        <v>2732189</v>
      </c>
      <c r="BC555" s="7">
        <v>77331139</v>
      </c>
      <c r="BE555" s="7">
        <f t="shared" si="92"/>
        <v>80063328</v>
      </c>
      <c r="BG555" s="7">
        <f>+'St of Net Assets - GA'!AA555-'St of Activities - GA Exp'!BE555</f>
        <v>0</v>
      </c>
      <c r="BL555" s="7" t="str">
        <f t="shared" si="93"/>
        <v>Upper Arlington City SD</v>
      </c>
      <c r="BM555" s="7" t="b">
        <f t="shared" si="94"/>
        <v>1</v>
      </c>
      <c r="BO555" s="7" t="str">
        <f t="shared" si="95"/>
        <v>Franklin</v>
      </c>
      <c r="BP555" s="7" t="b">
        <f t="shared" si="96"/>
        <v>1</v>
      </c>
    </row>
    <row r="556" spans="1:68" ht="12" hidden="1" customHeight="1">
      <c r="A556" s="12" t="s">
        <v>888</v>
      </c>
      <c r="B556" s="12"/>
      <c r="C556" s="12" t="s">
        <v>577</v>
      </c>
      <c r="D556" s="12"/>
      <c r="E556" s="12">
        <v>45625</v>
      </c>
      <c r="AI556" s="12" t="s">
        <v>888</v>
      </c>
      <c r="AJ556" s="12"/>
      <c r="AK556" s="12" t="s">
        <v>577</v>
      </c>
      <c r="AL556" s="12"/>
      <c r="AY556" s="7">
        <f t="shared" si="91"/>
        <v>0</v>
      </c>
      <c r="BA556" s="7">
        <f>+'St of Activites - GA Rev'!AI556-'St of Activities - GA Exp'!AY556</f>
        <v>0</v>
      </c>
      <c r="BE556" s="7">
        <f t="shared" si="92"/>
        <v>0</v>
      </c>
      <c r="BG556" s="7">
        <f>+'St of Net Assets - GA'!AA556-'St of Activities - GA Exp'!BE556</f>
        <v>0</v>
      </c>
      <c r="BH556" s="7" t="s">
        <v>789</v>
      </c>
      <c r="BL556" s="7" t="str">
        <f t="shared" si="93"/>
        <v>Upper Sandusky Exempted Village SD (CASH)</v>
      </c>
      <c r="BM556" s="7" t="b">
        <f t="shared" si="94"/>
        <v>1</v>
      </c>
      <c r="BO556" s="7" t="str">
        <f t="shared" si="95"/>
        <v>Wyandot</v>
      </c>
      <c r="BP556" s="7" t="b">
        <f t="shared" si="96"/>
        <v>1</v>
      </c>
    </row>
    <row r="557" spans="1:68" ht="12" hidden="1" customHeight="1">
      <c r="A557" s="12" t="s">
        <v>733</v>
      </c>
      <c r="B557" s="12"/>
      <c r="C557" s="12" t="s">
        <v>348</v>
      </c>
      <c r="D557" s="12"/>
      <c r="E557" s="12">
        <v>47522</v>
      </c>
      <c r="AI557" s="12" t="s">
        <v>733</v>
      </c>
      <c r="AJ557" s="12"/>
      <c r="AK557" s="12" t="s">
        <v>348</v>
      </c>
      <c r="AL557" s="12"/>
      <c r="AY557" s="7">
        <f t="shared" si="91"/>
        <v>0</v>
      </c>
      <c r="BA557" s="7">
        <f>+'St of Activites - GA Rev'!AI557-'St of Activities - GA Exp'!AY557</f>
        <v>0</v>
      </c>
      <c r="BE557" s="7">
        <f t="shared" si="92"/>
        <v>0</v>
      </c>
      <c r="BG557" s="7">
        <f>+'St of Net Assets - GA'!AA557-'St of Activities - GA Exp'!BE557</f>
        <v>0</v>
      </c>
      <c r="BH557" s="7" t="s">
        <v>789</v>
      </c>
      <c r="BL557" s="7" t="str">
        <f t="shared" si="93"/>
        <v>Upper Scioto Valley Local SD (CASH)</v>
      </c>
      <c r="BM557" s="7" t="b">
        <f t="shared" si="94"/>
        <v>1</v>
      </c>
      <c r="BO557" s="7" t="str">
        <f t="shared" si="95"/>
        <v>Hardin</v>
      </c>
      <c r="BP557" s="7" t="b">
        <f t="shared" si="96"/>
        <v>1</v>
      </c>
    </row>
    <row r="558" spans="1:68">
      <c r="A558" s="12" t="s">
        <v>234</v>
      </c>
      <c r="B558" s="12"/>
      <c r="C558" s="12" t="s">
        <v>232</v>
      </c>
      <c r="D558" s="12"/>
      <c r="E558" s="12">
        <v>44941</v>
      </c>
      <c r="G558" s="7">
        <v>12358600</v>
      </c>
      <c r="I558" s="7">
        <v>4365979</v>
      </c>
      <c r="K558" s="7">
        <v>351987</v>
      </c>
      <c r="M558" s="7">
        <v>0</v>
      </c>
      <c r="O558" s="7">
        <v>116350</v>
      </c>
      <c r="Q558" s="7">
        <v>1252885</v>
      </c>
      <c r="S558" s="7">
        <v>473776</v>
      </c>
      <c r="U558" s="7">
        <v>24135</v>
      </c>
      <c r="W558" s="7">
        <v>2002326</v>
      </c>
      <c r="Y558" s="7">
        <v>185842</v>
      </c>
      <c r="AA558" s="7">
        <v>352815</v>
      </c>
      <c r="AC558" s="7">
        <v>1648117</v>
      </c>
      <c r="AE558" s="7">
        <v>794722</v>
      </c>
      <c r="AG558" s="7">
        <v>283267</v>
      </c>
      <c r="AI558" s="12" t="s">
        <v>234</v>
      </c>
      <c r="AJ558" s="12"/>
      <c r="AK558" s="12" t="s">
        <v>232</v>
      </c>
      <c r="AL558" s="12"/>
      <c r="AM558" s="7">
        <v>991290</v>
      </c>
      <c r="AO558" s="7">
        <v>137999</v>
      </c>
      <c r="AQ558" s="7">
        <v>818874</v>
      </c>
      <c r="AS558" s="7">
        <v>51038</v>
      </c>
      <c r="AW558" s="7">
        <v>0</v>
      </c>
      <c r="AY558" s="7">
        <f t="shared" si="91"/>
        <v>26210002</v>
      </c>
      <c r="BA558" s="7">
        <f>+'St of Activites - GA Rev'!AI558-'St of Activities - GA Exp'!AY558</f>
        <v>66587</v>
      </c>
      <c r="BC558" s="7">
        <v>10384931</v>
      </c>
      <c r="BE558" s="7">
        <f t="shared" si="92"/>
        <v>10451518</v>
      </c>
      <c r="BG558" s="7">
        <f>+'St of Net Assets - GA'!AA558-'St of Activities - GA Exp'!BE558</f>
        <v>0</v>
      </c>
      <c r="BL558" s="7" t="str">
        <f t="shared" si="93"/>
        <v>Urbana City SD</v>
      </c>
      <c r="BM558" s="7" t="b">
        <f t="shared" si="94"/>
        <v>1</v>
      </c>
      <c r="BO558" s="7" t="str">
        <f t="shared" si="95"/>
        <v>Champaign</v>
      </c>
      <c r="BP558" s="7" t="b">
        <f t="shared" si="96"/>
        <v>1</v>
      </c>
    </row>
    <row r="559" spans="1:68" ht="12" hidden="1" customHeight="1">
      <c r="A559" s="12" t="s">
        <v>734</v>
      </c>
      <c r="B559" s="12"/>
      <c r="C559" s="12" t="s">
        <v>59</v>
      </c>
      <c r="D559" s="12"/>
      <c r="E559" s="12">
        <v>49643</v>
      </c>
      <c r="AI559" s="12" t="s">
        <v>734</v>
      </c>
      <c r="AJ559" s="12"/>
      <c r="AK559" s="12" t="s">
        <v>59</v>
      </c>
      <c r="AL559" s="12"/>
      <c r="AY559" s="7">
        <f t="shared" si="91"/>
        <v>0</v>
      </c>
      <c r="BA559" s="7">
        <f>+'St of Activites - GA Rev'!AI559-'St of Activities - GA Exp'!AY559</f>
        <v>0</v>
      </c>
      <c r="BE559" s="7">
        <f t="shared" si="92"/>
        <v>0</v>
      </c>
      <c r="BG559" s="7">
        <f>+'St of Net Assets - GA'!AA559-'St of Activities - GA Exp'!BE559</f>
        <v>0</v>
      </c>
      <c r="BH559" s="7" t="s">
        <v>789</v>
      </c>
      <c r="BL559" s="7" t="str">
        <f t="shared" si="93"/>
        <v>Valley Local SD (CASH)</v>
      </c>
      <c r="BM559" s="7" t="b">
        <f t="shared" si="94"/>
        <v>1</v>
      </c>
      <c r="BO559" s="7" t="str">
        <f t="shared" si="95"/>
        <v>Scioto</v>
      </c>
      <c r="BP559" s="7" t="b">
        <f t="shared" si="96"/>
        <v>1</v>
      </c>
    </row>
    <row r="560" spans="1:68">
      <c r="A560" s="12" t="s">
        <v>450</v>
      </c>
      <c r="B560" s="12"/>
      <c r="C560" s="12" t="s">
        <v>50</v>
      </c>
      <c r="D560" s="12"/>
      <c r="E560" s="12">
        <v>48744</v>
      </c>
      <c r="G560" s="7">
        <v>8986338</v>
      </c>
      <c r="I560" s="7">
        <v>1559934</v>
      </c>
      <c r="K560" s="7">
        <v>333266</v>
      </c>
      <c r="M560" s="7">
        <v>0</v>
      </c>
      <c r="O560" s="7">
        <v>598726</v>
      </c>
      <c r="Q560" s="7">
        <v>1129225</v>
      </c>
      <c r="S560" s="7">
        <v>1601200</v>
      </c>
      <c r="U560" s="7">
        <v>27216</v>
      </c>
      <c r="W560" s="7">
        <v>1488856</v>
      </c>
      <c r="Y560" s="7">
        <v>347394</v>
      </c>
      <c r="AA560" s="7">
        <v>13403</v>
      </c>
      <c r="AC560" s="7">
        <v>1829950</v>
      </c>
      <c r="AE560" s="7">
        <v>1102186</v>
      </c>
      <c r="AG560" s="7">
        <v>533918</v>
      </c>
      <c r="AI560" s="12" t="s">
        <v>450</v>
      </c>
      <c r="AJ560" s="12"/>
      <c r="AK560" s="12" t="s">
        <v>50</v>
      </c>
      <c r="AL560" s="12"/>
      <c r="AM560" s="7">
        <v>624204</v>
      </c>
      <c r="AO560" s="7">
        <v>68674</v>
      </c>
      <c r="AQ560" s="7">
        <v>775994</v>
      </c>
      <c r="AS560" s="7">
        <v>40749</v>
      </c>
      <c r="AW560" s="7">
        <v>0</v>
      </c>
      <c r="AY560" s="7">
        <f t="shared" si="91"/>
        <v>21061233</v>
      </c>
      <c r="BA560" s="7">
        <f>+'St of Activites - GA Rev'!AI560-'St of Activities - GA Exp'!AY560</f>
        <v>-1572014</v>
      </c>
      <c r="BC560" s="7">
        <v>8164274</v>
      </c>
      <c r="BE560" s="7">
        <f t="shared" si="92"/>
        <v>6592260</v>
      </c>
      <c r="BG560" s="7">
        <f>+'St of Net Assets - GA'!AA560-'St of Activities - GA Exp'!BE560</f>
        <v>0</v>
      </c>
      <c r="BL560" s="7" t="str">
        <f t="shared" si="93"/>
        <v>Valley View Local SD</v>
      </c>
      <c r="BM560" s="7" t="b">
        <f t="shared" si="94"/>
        <v>1</v>
      </c>
      <c r="BO560" s="7" t="str">
        <f t="shared" si="95"/>
        <v>Montgomery</v>
      </c>
      <c r="BP560" s="7" t="b">
        <f t="shared" si="96"/>
        <v>1</v>
      </c>
    </row>
    <row r="561" spans="1:68">
      <c r="A561" s="12" t="s">
        <v>347</v>
      </c>
      <c r="B561" s="12"/>
      <c r="C561" s="12" t="s">
        <v>33</v>
      </c>
      <c r="D561" s="12"/>
      <c r="E561" s="12">
        <v>47464</v>
      </c>
      <c r="G561" s="7">
        <v>5166266</v>
      </c>
      <c r="I561" s="7">
        <v>657772</v>
      </c>
      <c r="K561" s="7">
        <v>171208</v>
      </c>
      <c r="M561" s="7">
        <v>0</v>
      </c>
      <c r="O561" s="7">
        <v>0</v>
      </c>
      <c r="Q561" s="7">
        <v>757412</v>
      </c>
      <c r="S561" s="7">
        <v>351153</v>
      </c>
      <c r="U561" s="7">
        <v>69757</v>
      </c>
      <c r="W561" s="7">
        <v>821328</v>
      </c>
      <c r="Y561" s="7">
        <v>415985</v>
      </c>
      <c r="AA561" s="7">
        <v>0</v>
      </c>
      <c r="AC561" s="7">
        <v>1204962</v>
      </c>
      <c r="AE561" s="7">
        <v>555648</v>
      </c>
      <c r="AG561" s="7">
        <v>32709</v>
      </c>
      <c r="AI561" s="12" t="s">
        <v>347</v>
      </c>
      <c r="AJ561" s="12"/>
      <c r="AK561" s="12" t="s">
        <v>33</v>
      </c>
      <c r="AL561" s="12"/>
      <c r="AM561" s="7">
        <v>0</v>
      </c>
      <c r="AO561" s="7">
        <v>312555</v>
      </c>
      <c r="AQ561" s="7">
        <v>506498</v>
      </c>
      <c r="AS561" s="7">
        <v>295983</v>
      </c>
      <c r="AW561" s="7">
        <v>0</v>
      </c>
      <c r="AY561" s="7">
        <f t="shared" si="91"/>
        <v>11319236</v>
      </c>
      <c r="BA561" s="7">
        <f>+'St of Activites - GA Rev'!AI561-'St of Activities - GA Exp'!AY561</f>
        <v>1325677</v>
      </c>
      <c r="BC561" s="7">
        <v>13892854</v>
      </c>
      <c r="BE561" s="7">
        <f t="shared" si="92"/>
        <v>15218531</v>
      </c>
      <c r="BG561" s="7">
        <f>+'St of Net Assets - GA'!AA561-'St of Activities - GA Exp'!BE561</f>
        <v>0</v>
      </c>
      <c r="BL561" s="7" t="str">
        <f t="shared" si="93"/>
        <v>Van Buren Local SD</v>
      </c>
      <c r="BM561" s="7" t="b">
        <f t="shared" si="94"/>
        <v>1</v>
      </c>
      <c r="BO561" s="7" t="str">
        <f t="shared" si="95"/>
        <v>Hancock</v>
      </c>
      <c r="BP561" s="7" t="b">
        <f t="shared" si="96"/>
        <v>1</v>
      </c>
    </row>
    <row r="562" spans="1:68" ht="12" hidden="1" customHeight="1">
      <c r="A562" s="12" t="s">
        <v>978</v>
      </c>
      <c r="B562" s="12"/>
      <c r="C562" s="12" t="s">
        <v>67</v>
      </c>
      <c r="D562" s="12"/>
      <c r="E562" s="12">
        <v>44966</v>
      </c>
      <c r="AI562" s="12" t="s">
        <v>558</v>
      </c>
      <c r="AJ562" s="12"/>
      <c r="AK562" s="12" t="s">
        <v>67</v>
      </c>
      <c r="AL562" s="12"/>
      <c r="AY562" s="7">
        <f t="shared" si="91"/>
        <v>0</v>
      </c>
      <c r="BA562" s="7">
        <f>+'St of Activites - GA Rev'!AI562-'St of Activities - GA Exp'!AY562</f>
        <v>0</v>
      </c>
      <c r="BE562" s="7">
        <f>+BA562+BC562</f>
        <v>0</v>
      </c>
      <c r="BG562" s="7">
        <f>+'St of Net Assets - GA'!AA562-'St of Activities - GA Exp'!BE562</f>
        <v>0</v>
      </c>
      <c r="BH562" s="7" t="s">
        <v>979</v>
      </c>
      <c r="BL562" s="7" t="str">
        <f t="shared" si="93"/>
        <v>Van Wert City SD (CASH)</v>
      </c>
      <c r="BM562" s="7" t="b">
        <f t="shared" si="94"/>
        <v>0</v>
      </c>
      <c r="BO562" s="7" t="str">
        <f t="shared" si="95"/>
        <v>Van Wert</v>
      </c>
      <c r="BP562" s="7" t="b">
        <f t="shared" si="96"/>
        <v>1</v>
      </c>
    </row>
    <row r="563" spans="1:68">
      <c r="A563" s="12" t="s">
        <v>451</v>
      </c>
      <c r="B563" s="12"/>
      <c r="C563" s="12" t="s">
        <v>50</v>
      </c>
      <c r="D563" s="12"/>
      <c r="E563" s="12">
        <v>44958</v>
      </c>
      <c r="G563" s="7">
        <v>16444712</v>
      </c>
      <c r="I563" s="7">
        <v>4775357</v>
      </c>
      <c r="K563" s="7">
        <v>359027</v>
      </c>
      <c r="M563" s="7">
        <v>0</v>
      </c>
      <c r="O563" s="7">
        <v>1815093</v>
      </c>
      <c r="Q563" s="7">
        <v>2803360</v>
      </c>
      <c r="S563" s="7">
        <v>2442475</v>
      </c>
      <c r="U563" s="7">
        <v>41511</v>
      </c>
      <c r="W563" s="7">
        <v>2616962</v>
      </c>
      <c r="Y563" s="7">
        <v>950275</v>
      </c>
      <c r="AA563" s="7">
        <v>278519</v>
      </c>
      <c r="AC563" s="7">
        <v>1003893</v>
      </c>
      <c r="AE563" s="7">
        <v>1619405</v>
      </c>
      <c r="AG563" s="7">
        <v>779088</v>
      </c>
      <c r="AI563" s="12" t="s">
        <v>451</v>
      </c>
      <c r="AJ563" s="12"/>
      <c r="AK563" s="12" t="s">
        <v>50</v>
      </c>
      <c r="AL563" s="12"/>
      <c r="AM563" s="7">
        <v>1160897</v>
      </c>
      <c r="AO563" s="7">
        <v>563584</v>
      </c>
      <c r="AQ563" s="7">
        <v>548283</v>
      </c>
      <c r="AS563" s="7">
        <v>2426901</v>
      </c>
      <c r="AW563" s="7">
        <v>0</v>
      </c>
      <c r="AY563" s="7">
        <f t="shared" si="91"/>
        <v>40629342</v>
      </c>
      <c r="BA563" s="7">
        <f>+'St of Activites - GA Rev'!AI563-'St of Activities - GA Exp'!AY563</f>
        <v>-1820051</v>
      </c>
      <c r="BC563" s="7">
        <v>15762326</v>
      </c>
      <c r="BE563" s="7">
        <f>+BA563+BC563</f>
        <v>13942275</v>
      </c>
      <c r="BG563" s="7">
        <f>+'St of Net Assets - GA'!AA563-'St of Activities - GA Exp'!BE563</f>
        <v>0</v>
      </c>
      <c r="BL563" s="7" t="str">
        <f t="shared" si="93"/>
        <v>Vandalia-Butler City SD</v>
      </c>
      <c r="BM563" s="7" t="b">
        <f t="shared" si="94"/>
        <v>1</v>
      </c>
      <c r="BO563" s="7" t="str">
        <f t="shared" si="95"/>
        <v>Montgomery</v>
      </c>
      <c r="BP563" s="7" t="b">
        <f t="shared" si="96"/>
        <v>1</v>
      </c>
    </row>
    <row r="564" spans="1:68" ht="12" hidden="1" customHeight="1">
      <c r="A564" s="12" t="s">
        <v>736</v>
      </c>
      <c r="B564" s="12"/>
      <c r="C564" s="12" t="s">
        <v>33</v>
      </c>
      <c r="D564" s="12"/>
      <c r="E564" s="12">
        <v>47472</v>
      </c>
      <c r="AI564" s="12" t="s">
        <v>736</v>
      </c>
      <c r="AJ564" s="12"/>
      <c r="AK564" s="12" t="s">
        <v>33</v>
      </c>
      <c r="AL564" s="12"/>
      <c r="AY564" s="7">
        <f t="shared" si="91"/>
        <v>0</v>
      </c>
      <c r="BA564" s="7">
        <f>+'St of Activites - GA Rev'!AI564-'St of Activities - GA Exp'!AY564</f>
        <v>0</v>
      </c>
      <c r="BE564" s="7">
        <f>+BA564+BC564</f>
        <v>0</v>
      </c>
      <c r="BG564" s="7">
        <f>+'St of Net Assets - GA'!AA564-'St of Activities - GA Exp'!BE564</f>
        <v>0</v>
      </c>
      <c r="BH564" s="7" t="s">
        <v>789</v>
      </c>
      <c r="BL564" s="7" t="str">
        <f t="shared" si="93"/>
        <v>Vanlue Local SD (CASH)</v>
      </c>
      <c r="BM564" s="7" t="b">
        <f t="shared" si="94"/>
        <v>1</v>
      </c>
      <c r="BO564" s="7" t="str">
        <f t="shared" si="95"/>
        <v>Hancock</v>
      </c>
      <c r="BP564" s="7" t="b">
        <f t="shared" si="96"/>
        <v>1</v>
      </c>
    </row>
    <row r="565" spans="1:68">
      <c r="A565" s="12" t="s">
        <v>297</v>
      </c>
      <c r="B565" s="12"/>
      <c r="C565" s="12" t="s">
        <v>24</v>
      </c>
      <c r="D565" s="12"/>
      <c r="E565" s="12">
        <v>46821</v>
      </c>
      <c r="G565" s="7">
        <v>8352008</v>
      </c>
      <c r="I565" s="7">
        <v>1926489</v>
      </c>
      <c r="K565" s="7">
        <v>326547</v>
      </c>
      <c r="M565" s="7">
        <v>0</v>
      </c>
      <c r="O565" s="7">
        <v>1323366</v>
      </c>
      <c r="Q565" s="7">
        <v>1146631</v>
      </c>
      <c r="S565" s="7">
        <v>1991942</v>
      </c>
      <c r="U565" s="7">
        <v>187809</v>
      </c>
      <c r="W565" s="7">
        <v>1393380</v>
      </c>
      <c r="Y565" s="7">
        <v>598186</v>
      </c>
      <c r="AA565" s="7">
        <v>115432</v>
      </c>
      <c r="AC565" s="7">
        <v>2371556</v>
      </c>
      <c r="AE565" s="7">
        <v>1301801</v>
      </c>
      <c r="AG565" s="7">
        <v>25453</v>
      </c>
      <c r="AI565" s="12" t="s">
        <v>297</v>
      </c>
      <c r="AJ565" s="12"/>
      <c r="AK565" s="12" t="s">
        <v>24</v>
      </c>
      <c r="AL565" s="12"/>
      <c r="AM565" s="7">
        <v>737554</v>
      </c>
      <c r="AO565" s="7">
        <v>90396</v>
      </c>
      <c r="AQ565" s="7">
        <v>642731</v>
      </c>
      <c r="AS565" s="7">
        <v>379424</v>
      </c>
      <c r="AW565" s="7">
        <v>0</v>
      </c>
      <c r="AY565" s="7">
        <f t="shared" si="91"/>
        <v>22910705</v>
      </c>
      <c r="BA565" s="7">
        <f>+'St of Activites - GA Rev'!AI565-'St of Activities - GA Exp'!AY565</f>
        <v>4216811</v>
      </c>
      <c r="BC565" s="7">
        <v>13248645</v>
      </c>
      <c r="BE565" s="7">
        <f>+BA565+BC565</f>
        <v>17465456</v>
      </c>
      <c r="BG565" s="7">
        <f>+'St of Net Assets - GA'!AA565-'St of Activities - GA Exp'!BE565</f>
        <v>0</v>
      </c>
      <c r="BL565" s="7" t="str">
        <f t="shared" si="93"/>
        <v>Vermilion Local SD</v>
      </c>
      <c r="BM565" s="7" t="b">
        <f t="shared" si="94"/>
        <v>1</v>
      </c>
      <c r="BO565" s="7" t="str">
        <f t="shared" si="95"/>
        <v>Erie</v>
      </c>
      <c r="BP565" s="7" t="b">
        <f t="shared" si="96"/>
        <v>1</v>
      </c>
    </row>
    <row r="566" spans="1:68" hidden="1">
      <c r="A566" s="12" t="s">
        <v>737</v>
      </c>
      <c r="B566" s="12"/>
      <c r="C566" s="12" t="s">
        <v>21</v>
      </c>
      <c r="D566" s="12"/>
      <c r="E566" s="12"/>
      <c r="AI566" s="12" t="s">
        <v>737</v>
      </c>
      <c r="AJ566" s="12"/>
      <c r="AK566" s="12" t="s">
        <v>21</v>
      </c>
      <c r="AL566" s="12"/>
      <c r="BA566" s="7">
        <f>+'St of Activites - GA Rev'!AI566-'St of Activities - GA Exp'!AY566</f>
        <v>0</v>
      </c>
      <c r="BH566" s="7" t="s">
        <v>789</v>
      </c>
      <c r="BL566" s="7" t="str">
        <f t="shared" si="93"/>
        <v>Versailles Exempted Village SD (CASH)</v>
      </c>
      <c r="BM566" s="7" t="b">
        <f t="shared" si="94"/>
        <v>1</v>
      </c>
      <c r="BO566" s="7" t="str">
        <f t="shared" si="95"/>
        <v>Darke</v>
      </c>
      <c r="BP566" s="7" t="b">
        <f t="shared" si="96"/>
        <v>1</v>
      </c>
    </row>
    <row r="567" spans="1:68">
      <c r="A567" s="12" t="s">
        <v>559</v>
      </c>
      <c r="B567" s="12"/>
      <c r="C567" s="12" t="s">
        <v>68</v>
      </c>
      <c r="D567" s="12"/>
      <c r="E567" s="12">
        <v>50393</v>
      </c>
      <c r="G567" s="7">
        <v>12771909</v>
      </c>
      <c r="I567" s="7">
        <v>3178099</v>
      </c>
      <c r="K567" s="7">
        <v>259709</v>
      </c>
      <c r="M567" s="7">
        <v>0</v>
      </c>
      <c r="O567" s="7">
        <f>167025+1225214</f>
        <v>1392239</v>
      </c>
      <c r="Q567" s="7">
        <v>1965270</v>
      </c>
      <c r="S567" s="7">
        <v>1451985</v>
      </c>
      <c r="U567" s="7">
        <v>363827</v>
      </c>
      <c r="W567" s="7">
        <v>2124526</v>
      </c>
      <c r="Y567" s="7">
        <v>400052</v>
      </c>
      <c r="AA567" s="7">
        <v>0</v>
      </c>
      <c r="AC567" s="7">
        <v>2399483</v>
      </c>
      <c r="AE567" s="7">
        <v>2101234</v>
      </c>
      <c r="AG567" s="7">
        <v>373797</v>
      </c>
      <c r="AI567" s="12" t="s">
        <v>559</v>
      </c>
      <c r="AJ567" s="12"/>
      <c r="AK567" s="12" t="s">
        <v>68</v>
      </c>
      <c r="AL567" s="12"/>
      <c r="AM567" s="7">
        <v>1160342</v>
      </c>
      <c r="AO567" s="7">
        <v>85450</v>
      </c>
      <c r="AQ567" s="7">
        <v>318181</v>
      </c>
      <c r="AS567" s="7">
        <v>326762</v>
      </c>
      <c r="AW567" s="7">
        <v>0</v>
      </c>
      <c r="AY567" s="7">
        <f t="shared" si="91"/>
        <v>30672865</v>
      </c>
      <c r="BA567" s="7">
        <f>+'St of Activites - GA Rev'!AI567-'St of Activities - GA Exp'!AY567</f>
        <v>-1968994</v>
      </c>
      <c r="BC567" s="7">
        <v>72289466</v>
      </c>
      <c r="BE567" s="7">
        <f>+BA567+BC567</f>
        <v>70320472</v>
      </c>
      <c r="BG567" s="7">
        <f>+'St of Net Assets - GA'!AA567-'St of Activities - GA Exp'!BE567</f>
        <v>0</v>
      </c>
      <c r="BL567" s="7" t="str">
        <f t="shared" si="93"/>
        <v>Vinton County Local SD</v>
      </c>
      <c r="BM567" s="7" t="b">
        <f t="shared" si="94"/>
        <v>1</v>
      </c>
      <c r="BO567" s="7" t="str">
        <f t="shared" si="95"/>
        <v>Vinton</v>
      </c>
      <c r="BP567" s="7" t="b">
        <f t="shared" si="96"/>
        <v>1</v>
      </c>
    </row>
    <row r="568" spans="1:68">
      <c r="A568" s="12" t="s">
        <v>432</v>
      </c>
      <c r="B568" s="12"/>
      <c r="C568" s="12" t="s">
        <v>47</v>
      </c>
      <c r="D568" s="12"/>
      <c r="E568" s="12">
        <v>44974</v>
      </c>
      <c r="G568" s="7">
        <v>19840570</v>
      </c>
      <c r="I568" s="7">
        <v>3253387</v>
      </c>
      <c r="K568" s="7">
        <v>1824473</v>
      </c>
      <c r="M568" s="7">
        <v>24942</v>
      </c>
      <c r="O568" s="7">
        <v>1288333</v>
      </c>
      <c r="Q568" s="7">
        <v>2992876</v>
      </c>
      <c r="S568" s="7">
        <v>1358730</v>
      </c>
      <c r="U568" s="7">
        <v>313262</v>
      </c>
      <c r="W568" s="7">
        <v>3612235</v>
      </c>
      <c r="Y568" s="7">
        <v>736680</v>
      </c>
      <c r="AA568" s="7">
        <v>0</v>
      </c>
      <c r="AC568" s="7">
        <v>3608198</v>
      </c>
      <c r="AE568" s="7">
        <v>1531293</v>
      </c>
      <c r="AG568" s="7">
        <v>969802</v>
      </c>
      <c r="AI568" s="12" t="s">
        <v>432</v>
      </c>
      <c r="AJ568" s="12"/>
      <c r="AK568" s="12" t="s">
        <v>47</v>
      </c>
      <c r="AL568" s="12"/>
      <c r="AM568" s="7">
        <v>1223560</v>
      </c>
      <c r="AO568" s="7">
        <v>377219</v>
      </c>
      <c r="AQ568" s="7">
        <v>1123548</v>
      </c>
      <c r="AS568" s="7">
        <v>5017102</v>
      </c>
      <c r="AW568" s="7">
        <v>0</v>
      </c>
      <c r="AY568" s="7">
        <f t="shared" ref="AY568:AY587" si="97">SUM(G568:AX568)</f>
        <v>49096210</v>
      </c>
      <c r="BA568" s="7">
        <f>+'St of Activites - GA Rev'!AI568-'St of Activities - GA Exp'!AY568</f>
        <v>928787</v>
      </c>
      <c r="BC568" s="7">
        <v>83155826</v>
      </c>
      <c r="BE568" s="7">
        <f t="shared" ref="BE568:BE587" si="98">+BA568+BC568</f>
        <v>84084613</v>
      </c>
      <c r="BG568" s="7">
        <f>+'St of Net Assets - GA'!AA568-'St of Activities - GA Exp'!BE568</f>
        <v>0</v>
      </c>
      <c r="BL568" s="7" t="str">
        <f t="shared" si="93"/>
        <v>Wadsworth City SD</v>
      </c>
      <c r="BM568" s="7" t="b">
        <f t="shared" si="94"/>
        <v>1</v>
      </c>
      <c r="BO568" s="7" t="str">
        <f t="shared" si="95"/>
        <v>Medina</v>
      </c>
      <c r="BP568" s="7" t="b">
        <f t="shared" si="96"/>
        <v>1</v>
      </c>
    </row>
    <row r="569" spans="1:68">
      <c r="A569" s="12" t="s">
        <v>547</v>
      </c>
      <c r="B569" s="12"/>
      <c r="C569" s="12" t="s">
        <v>64</v>
      </c>
      <c r="D569" s="12"/>
      <c r="E569" s="12">
        <v>44990</v>
      </c>
      <c r="G569" s="7">
        <v>30228159</v>
      </c>
      <c r="I569" s="7">
        <v>10624146</v>
      </c>
      <c r="K569" s="7">
        <v>224788</v>
      </c>
      <c r="M569" s="7">
        <v>0</v>
      </c>
      <c r="O569" s="7">
        <v>2686262</v>
      </c>
      <c r="Q569" s="7">
        <v>3727660</v>
      </c>
      <c r="S569" s="7">
        <v>5835922</v>
      </c>
      <c r="U569" s="7">
        <v>42163</v>
      </c>
      <c r="W569" s="7">
        <v>6021520</v>
      </c>
      <c r="Y569" s="7">
        <v>1137135</v>
      </c>
      <c r="AA569" s="7">
        <v>730945</v>
      </c>
      <c r="AC569" s="7">
        <v>7774355</v>
      </c>
      <c r="AE569" s="7">
        <v>2845544</v>
      </c>
      <c r="AG569" s="7">
        <v>1338131</v>
      </c>
      <c r="AI569" s="12" t="s">
        <v>547</v>
      </c>
      <c r="AJ569" s="12"/>
      <c r="AK569" s="12" t="s">
        <v>64</v>
      </c>
      <c r="AL569" s="12"/>
      <c r="AM569" s="7">
        <v>3209041</v>
      </c>
      <c r="AO569" s="7">
        <v>233053</v>
      </c>
      <c r="AQ569" s="7">
        <v>1168923</v>
      </c>
      <c r="AS569" s="7">
        <v>1656058</v>
      </c>
      <c r="AW569" s="7">
        <v>0</v>
      </c>
      <c r="AY569" s="7">
        <f t="shared" si="97"/>
        <v>79483805</v>
      </c>
      <c r="BA569" s="7">
        <f>+'St of Activites - GA Rev'!AI569-'St of Activities - GA Exp'!AY569</f>
        <v>-1354217</v>
      </c>
      <c r="BC569" s="7">
        <v>148846482</v>
      </c>
      <c r="BE569" s="7">
        <f t="shared" si="98"/>
        <v>147492265</v>
      </c>
      <c r="BG569" s="7">
        <f>+'St of Net Assets - GA'!AA569-'St of Activities - GA Exp'!BE569</f>
        <v>0</v>
      </c>
      <c r="BL569" s="7" t="str">
        <f t="shared" si="93"/>
        <v>Warren City SD</v>
      </c>
      <c r="BM569" s="7" t="b">
        <f t="shared" si="94"/>
        <v>1</v>
      </c>
      <c r="BO569" s="7" t="str">
        <f t="shared" si="95"/>
        <v>Trumbull</v>
      </c>
      <c r="BP569" s="7" t="b">
        <f t="shared" si="96"/>
        <v>1</v>
      </c>
    </row>
    <row r="570" spans="1:68" ht="12" customHeight="1">
      <c r="A570" s="12" t="s">
        <v>566</v>
      </c>
      <c r="B570" s="12"/>
      <c r="C570" s="12" t="s">
        <v>70</v>
      </c>
      <c r="D570" s="12"/>
      <c r="E570" s="12">
        <v>50500</v>
      </c>
      <c r="G570" s="7">
        <v>10687375</v>
      </c>
      <c r="I570" s="7">
        <v>2027804</v>
      </c>
      <c r="K570" s="7">
        <v>92224</v>
      </c>
      <c r="M570" s="7">
        <v>0</v>
      </c>
      <c r="O570" s="7">
        <v>19209</v>
      </c>
      <c r="Q570" s="7">
        <v>541570</v>
      </c>
      <c r="S570" s="7">
        <v>817342</v>
      </c>
      <c r="U570" s="7">
        <v>130750</v>
      </c>
      <c r="W570" s="7">
        <v>1545837</v>
      </c>
      <c r="Y570" s="7">
        <v>525243</v>
      </c>
      <c r="AA570" s="7">
        <v>7755</v>
      </c>
      <c r="AC570" s="7">
        <v>1701981</v>
      </c>
      <c r="AE570" s="7">
        <v>1925457</v>
      </c>
      <c r="AG570" s="7">
        <v>30119</v>
      </c>
      <c r="AI570" s="12" t="s">
        <v>566</v>
      </c>
      <c r="AJ570" s="12"/>
      <c r="AK570" s="12" t="s">
        <v>70</v>
      </c>
      <c r="AL570" s="12"/>
      <c r="AM570" s="7">
        <v>0</v>
      </c>
      <c r="AO570" s="7">
        <v>93</v>
      </c>
      <c r="AQ570" s="7">
        <v>599280</v>
      </c>
      <c r="AS570" s="7">
        <v>0</v>
      </c>
      <c r="AW570" s="7">
        <v>0</v>
      </c>
      <c r="AY570" s="7">
        <f t="shared" si="97"/>
        <v>20652039</v>
      </c>
      <c r="BA570" s="7">
        <f>+'St of Activites - GA Rev'!AI570-'St of Activities - GA Exp'!AY570</f>
        <v>1681026</v>
      </c>
      <c r="BC570" s="7">
        <v>7339903</v>
      </c>
      <c r="BE570" s="7">
        <f t="shared" si="98"/>
        <v>9020929</v>
      </c>
      <c r="BG570" s="7">
        <f>+'St of Net Assets - GA'!AA570-'St of Activities - GA Exp'!BE570</f>
        <v>0</v>
      </c>
      <c r="BL570" s="7" t="str">
        <f t="shared" si="93"/>
        <v>Warren Local SD</v>
      </c>
      <c r="BM570" s="7" t="b">
        <f t="shared" si="94"/>
        <v>1</v>
      </c>
      <c r="BO570" s="7" t="str">
        <f t="shared" si="95"/>
        <v>Washington</v>
      </c>
      <c r="BP570" s="7" t="b">
        <f t="shared" si="96"/>
        <v>1</v>
      </c>
    </row>
    <row r="571" spans="1:68">
      <c r="A571" s="12" t="s">
        <v>286</v>
      </c>
      <c r="B571" s="12"/>
      <c r="C571" s="12" t="s">
        <v>20</v>
      </c>
      <c r="D571" s="12"/>
      <c r="E571" s="12">
        <v>45005</v>
      </c>
      <c r="G571" s="7">
        <v>12423873</v>
      </c>
      <c r="I571" s="7">
        <v>4912154</v>
      </c>
      <c r="K571" s="7">
        <v>117626</v>
      </c>
      <c r="M571" s="7">
        <v>0</v>
      </c>
      <c r="O571" s="7">
        <v>0</v>
      </c>
      <c r="Q571" s="7">
        <v>954740</v>
      </c>
      <c r="S571" s="7">
        <v>2882484</v>
      </c>
      <c r="U571" s="7">
        <v>74551</v>
      </c>
      <c r="W571" s="7">
        <v>2599532</v>
      </c>
      <c r="Y571" s="7">
        <v>1314827</v>
      </c>
      <c r="AA571" s="7">
        <v>1692149</v>
      </c>
      <c r="AC571" s="7">
        <v>4127121</v>
      </c>
      <c r="AE571" s="7">
        <v>1121094</v>
      </c>
      <c r="AG571" s="7">
        <v>184388</v>
      </c>
      <c r="AI571" s="12" t="s">
        <v>286</v>
      </c>
      <c r="AJ571" s="12"/>
      <c r="AK571" s="12" t="s">
        <v>20</v>
      </c>
      <c r="AL571" s="12"/>
      <c r="AM571" s="7">
        <v>886547</v>
      </c>
      <c r="AO571" s="7">
        <v>139604</v>
      </c>
      <c r="AQ571" s="7">
        <v>361408</v>
      </c>
      <c r="AS571" s="7">
        <v>1097628</v>
      </c>
      <c r="AW571" s="7">
        <v>0</v>
      </c>
      <c r="AY571" s="7">
        <f t="shared" si="97"/>
        <v>34889726</v>
      </c>
      <c r="BA571" s="7">
        <f>+'St of Activites - GA Rev'!AI571-'St of Activities - GA Exp'!AY571</f>
        <v>8477178</v>
      </c>
      <c r="BC571" s="7">
        <v>8177450</v>
      </c>
      <c r="BE571" s="7">
        <f t="shared" si="98"/>
        <v>16654628</v>
      </c>
      <c r="BG571" s="7">
        <f>+'St of Net Assets - GA'!AA571-'St of Activities - GA Exp'!BE571</f>
        <v>0</v>
      </c>
      <c r="BL571" s="7" t="str">
        <f t="shared" si="93"/>
        <v>Warrensville Heights City SD</v>
      </c>
      <c r="BM571" s="7" t="b">
        <f t="shared" si="94"/>
        <v>1</v>
      </c>
      <c r="BO571" s="7" t="str">
        <f t="shared" si="95"/>
        <v>Cuyahoga</v>
      </c>
      <c r="BP571" s="7" t="b">
        <f t="shared" si="96"/>
        <v>1</v>
      </c>
    </row>
    <row r="572" spans="1:68" ht="12" customHeight="1">
      <c r="A572" s="12" t="s">
        <v>304</v>
      </c>
      <c r="B572" s="12"/>
      <c r="C572" s="12" t="s">
        <v>26</v>
      </c>
      <c r="D572" s="12"/>
      <c r="E572" s="12">
        <v>45013</v>
      </c>
      <c r="G572" s="7">
        <v>10459534</v>
      </c>
      <c r="I572" s="7">
        <v>3307192</v>
      </c>
      <c r="K572" s="7">
        <v>0</v>
      </c>
      <c r="M572" s="7">
        <v>0</v>
      </c>
      <c r="O572" s="7">
        <v>25012</v>
      </c>
      <c r="Q572" s="7">
        <v>958985</v>
      </c>
      <c r="S572" s="7">
        <v>1045545</v>
      </c>
      <c r="U572" s="7">
        <v>55405</v>
      </c>
      <c r="W572" s="7">
        <v>1916789</v>
      </c>
      <c r="Y572" s="7">
        <v>566237</v>
      </c>
      <c r="AA572" s="7">
        <v>0</v>
      </c>
      <c r="AC572" s="7">
        <v>1942121</v>
      </c>
      <c r="AE572" s="7">
        <v>724622</v>
      </c>
      <c r="AG572" s="7">
        <v>244671</v>
      </c>
      <c r="AI572" s="12" t="s">
        <v>304</v>
      </c>
      <c r="AJ572" s="12"/>
      <c r="AK572" s="12" t="s">
        <v>26</v>
      </c>
      <c r="AL572" s="12"/>
      <c r="AM572" s="7">
        <v>1122546</v>
      </c>
      <c r="AO572" s="7">
        <v>0</v>
      </c>
      <c r="AQ572" s="7">
        <v>739754</v>
      </c>
      <c r="AS572" s="7">
        <v>1077363</v>
      </c>
      <c r="AW572" s="7">
        <v>0</v>
      </c>
      <c r="AY572" s="7">
        <f t="shared" si="97"/>
        <v>24185776</v>
      </c>
      <c r="BA572" s="7">
        <f>+'St of Activites - GA Rev'!AI572-'St of Activities - GA Exp'!AY572</f>
        <v>-205406</v>
      </c>
      <c r="BC572" s="7">
        <v>54800118</v>
      </c>
      <c r="BE572" s="7">
        <f t="shared" si="98"/>
        <v>54594712</v>
      </c>
      <c r="BG572" s="7">
        <f>+'St of Net Assets - GA'!AA572-'St of Activities - GA Exp'!BE572</f>
        <v>0</v>
      </c>
      <c r="BL572" s="7" t="str">
        <f t="shared" si="93"/>
        <v>Washington Court House City SD</v>
      </c>
      <c r="BM572" s="7" t="b">
        <f t="shared" si="94"/>
        <v>1</v>
      </c>
      <c r="BO572" s="7" t="str">
        <f t="shared" si="95"/>
        <v>Fayette</v>
      </c>
      <c r="BP572" s="7" t="b">
        <f t="shared" si="96"/>
        <v>1</v>
      </c>
    </row>
    <row r="573" spans="1:68" ht="12" customHeight="1">
      <c r="A573" s="12" t="s">
        <v>409</v>
      </c>
      <c r="B573" s="12"/>
      <c r="C573" s="12" t="s">
        <v>115</v>
      </c>
      <c r="D573" s="12"/>
      <c r="E573" s="12">
        <v>48231</v>
      </c>
      <c r="G573" s="7">
        <v>31091400</v>
      </c>
      <c r="I573" s="7">
        <v>10291960</v>
      </c>
      <c r="K573" s="7">
        <v>3209603</v>
      </c>
      <c r="M573" s="7">
        <v>8856</v>
      </c>
      <c r="O573" s="7">
        <v>3817356</v>
      </c>
      <c r="Q573" s="7">
        <v>4307263</v>
      </c>
      <c r="S573" s="7">
        <v>4061868</v>
      </c>
      <c r="U573" s="7">
        <v>149467</v>
      </c>
      <c r="W573" s="7">
        <v>5457890</v>
      </c>
      <c r="Y573" s="7">
        <v>1558264</v>
      </c>
      <c r="AA573" s="7">
        <v>619821</v>
      </c>
      <c r="AC573" s="7">
        <v>8802292</v>
      </c>
      <c r="AE573" s="7">
        <v>3674430</v>
      </c>
      <c r="AG573" s="7">
        <v>1712772</v>
      </c>
      <c r="AI573" s="12" t="s">
        <v>409</v>
      </c>
      <c r="AJ573" s="12"/>
      <c r="AK573" s="12" t="s">
        <v>115</v>
      </c>
      <c r="AL573" s="12"/>
      <c r="AM573" s="7">
        <v>2520530</v>
      </c>
      <c r="AO573" s="7">
        <v>1116061</v>
      </c>
      <c r="AQ573" s="7">
        <v>1394484</v>
      </c>
      <c r="AS573" s="7">
        <v>70872</v>
      </c>
      <c r="AW573" s="7">
        <v>0</v>
      </c>
      <c r="AY573" s="7">
        <f t="shared" si="97"/>
        <v>83865189</v>
      </c>
      <c r="BA573" s="7">
        <f>+'St of Activites - GA Rev'!AI573-'St of Activities - GA Exp'!AY573</f>
        <v>-47891</v>
      </c>
      <c r="BC573" s="7">
        <v>57330693</v>
      </c>
      <c r="BE573" s="7">
        <f t="shared" si="98"/>
        <v>57282802</v>
      </c>
      <c r="BG573" s="7">
        <f>+'St of Net Assets - GA'!AA573-'St of Activities - GA Exp'!BE573</f>
        <v>0</v>
      </c>
      <c r="BL573" s="7" t="str">
        <f t="shared" si="93"/>
        <v>Washington Local SD</v>
      </c>
      <c r="BM573" s="7" t="b">
        <f t="shared" si="94"/>
        <v>1</v>
      </c>
      <c r="BO573" s="7" t="str">
        <f t="shared" si="95"/>
        <v>Lucas</v>
      </c>
      <c r="BP573" s="7" t="b">
        <f t="shared" si="96"/>
        <v>1</v>
      </c>
    </row>
    <row r="574" spans="1:68" ht="12" customHeight="1">
      <c r="A574" s="12" t="s">
        <v>500</v>
      </c>
      <c r="B574" s="12"/>
      <c r="C574" s="12" t="s">
        <v>59</v>
      </c>
      <c r="D574" s="12"/>
      <c r="E574" s="12">
        <v>49650</v>
      </c>
      <c r="G574" s="7">
        <v>6728127</v>
      </c>
      <c r="I574" s="7">
        <v>2407170</v>
      </c>
      <c r="K574" s="7">
        <v>111871</v>
      </c>
      <c r="M574" s="7">
        <v>176596</v>
      </c>
      <c r="O574" s="7">
        <v>0</v>
      </c>
      <c r="Q574" s="7">
        <v>864203</v>
      </c>
      <c r="S574" s="7">
        <v>905930</v>
      </c>
      <c r="U574" s="7">
        <v>111224</v>
      </c>
      <c r="W574" s="7">
        <v>1181902</v>
      </c>
      <c r="Y574" s="7">
        <v>314068</v>
      </c>
      <c r="AA574" s="7">
        <v>0</v>
      </c>
      <c r="AC574" s="7">
        <v>2428257</v>
      </c>
      <c r="AE574" s="7">
        <v>1049974</v>
      </c>
      <c r="AG574" s="7">
        <v>0</v>
      </c>
      <c r="AI574" s="12" t="s">
        <v>500</v>
      </c>
      <c r="AJ574" s="12"/>
      <c r="AK574" s="12" t="s">
        <v>59</v>
      </c>
      <c r="AL574" s="12"/>
      <c r="AM574" s="7">
        <v>773575</v>
      </c>
      <c r="AO574" s="7">
        <v>73718</v>
      </c>
      <c r="AQ574" s="7">
        <v>433841</v>
      </c>
      <c r="AS574" s="7">
        <v>142641</v>
      </c>
      <c r="AW574" s="7">
        <v>0</v>
      </c>
      <c r="AY574" s="7">
        <f t="shared" si="97"/>
        <v>17703097</v>
      </c>
      <c r="BA574" s="7">
        <f>+'St of Activites - GA Rev'!AI574-'St of Activities - GA Exp'!AY574</f>
        <v>117119</v>
      </c>
      <c r="BC574" s="7">
        <v>41932934</v>
      </c>
      <c r="BE574" s="7">
        <f t="shared" si="98"/>
        <v>42050053</v>
      </c>
      <c r="BG574" s="7">
        <f>+'St of Net Assets - GA'!AA574-'St of Activities - GA Exp'!BE574</f>
        <v>0</v>
      </c>
      <c r="BL574" s="7" t="str">
        <f t="shared" si="93"/>
        <v>Washington-Nile Local SD</v>
      </c>
      <c r="BM574" s="7" t="b">
        <f t="shared" si="94"/>
        <v>1</v>
      </c>
      <c r="BO574" s="7" t="str">
        <f t="shared" si="95"/>
        <v>Scioto</v>
      </c>
      <c r="BP574" s="7" t="b">
        <f t="shared" si="96"/>
        <v>1</v>
      </c>
    </row>
    <row r="575" spans="1:68" ht="12" customHeight="1">
      <c r="A575" s="12" t="s">
        <v>480</v>
      </c>
      <c r="B575" s="12"/>
      <c r="C575" s="12" t="s">
        <v>56</v>
      </c>
      <c r="D575" s="12"/>
      <c r="E575" s="12">
        <v>49247</v>
      </c>
      <c r="G575" s="7">
        <v>5618842</v>
      </c>
      <c r="I575" s="7">
        <v>1659515</v>
      </c>
      <c r="K575" s="7">
        <v>64326</v>
      </c>
      <c r="M575" s="7">
        <v>0</v>
      </c>
      <c r="O575" s="7">
        <v>17909</v>
      </c>
      <c r="Q575" s="7">
        <v>467726</v>
      </c>
      <c r="S575" s="7">
        <v>370402</v>
      </c>
      <c r="U575" s="7">
        <v>36717</v>
      </c>
      <c r="W575" s="7">
        <v>920397</v>
      </c>
      <c r="Y575" s="7">
        <v>351666</v>
      </c>
      <c r="AA575" s="7">
        <v>34153</v>
      </c>
      <c r="AC575" s="7">
        <v>997640</v>
      </c>
      <c r="AE575" s="7">
        <v>892494</v>
      </c>
      <c r="AG575" s="7">
        <v>17347</v>
      </c>
      <c r="AI575" s="12" t="s">
        <v>480</v>
      </c>
      <c r="AJ575" s="12"/>
      <c r="AK575" s="12" t="s">
        <v>56</v>
      </c>
      <c r="AL575" s="12"/>
      <c r="AM575" s="7">
        <v>388973</v>
      </c>
      <c r="AO575" s="7">
        <v>65821</v>
      </c>
      <c r="AQ575" s="7">
        <v>407994</v>
      </c>
      <c r="AS575" s="7">
        <v>529428</v>
      </c>
      <c r="AW575" s="7">
        <v>0</v>
      </c>
      <c r="AY575" s="7">
        <f t="shared" si="97"/>
        <v>12841350</v>
      </c>
      <c r="BA575" s="7">
        <f>+'St of Activites - GA Rev'!AI575-'St of Activities - GA Exp'!AY575</f>
        <v>-816160</v>
      </c>
      <c r="BC575" s="7">
        <v>9817160</v>
      </c>
      <c r="BE575" s="7">
        <f t="shared" si="98"/>
        <v>9001000</v>
      </c>
      <c r="BG575" s="7">
        <f>+'St of Net Assets - GA'!AA575-'St of Activities - GA Exp'!BE575</f>
        <v>0</v>
      </c>
      <c r="BL575" s="7" t="str">
        <f t="shared" si="93"/>
        <v>Waterloo Local SD</v>
      </c>
      <c r="BM575" s="7" t="b">
        <f t="shared" si="94"/>
        <v>1</v>
      </c>
      <c r="BO575" s="7" t="str">
        <f t="shared" si="95"/>
        <v>Portage</v>
      </c>
      <c r="BP575" s="7" t="b">
        <f t="shared" si="96"/>
        <v>1</v>
      </c>
    </row>
    <row r="576" spans="1:68" ht="12" customHeight="1">
      <c r="A576" s="12" t="s">
        <v>889</v>
      </c>
      <c r="B576" s="12"/>
      <c r="C576" s="12" t="s">
        <v>28</v>
      </c>
      <c r="D576" s="12"/>
      <c r="E576" s="12">
        <v>45641</v>
      </c>
      <c r="G576" s="7">
        <v>7960325</v>
      </c>
      <c r="I576" s="7">
        <v>2029658</v>
      </c>
      <c r="K576" s="7">
        <v>263202</v>
      </c>
      <c r="M576" s="7">
        <v>0</v>
      </c>
      <c r="O576" s="7">
        <v>797607</v>
      </c>
      <c r="Q576" s="7">
        <v>675495</v>
      </c>
      <c r="S576" s="7">
        <v>763484</v>
      </c>
      <c r="U576" s="7">
        <v>39221</v>
      </c>
      <c r="W576" s="7">
        <v>1362003</v>
      </c>
      <c r="Y576" s="7">
        <v>388629</v>
      </c>
      <c r="AA576" s="7">
        <v>67303</v>
      </c>
      <c r="AC576" s="7">
        <v>1472563</v>
      </c>
      <c r="AE576" s="7">
        <v>800496</v>
      </c>
      <c r="AG576" s="7">
        <v>116087</v>
      </c>
      <c r="AI576" s="12" t="s">
        <v>889</v>
      </c>
      <c r="AJ576" s="12"/>
      <c r="AK576" s="12" t="s">
        <v>28</v>
      </c>
      <c r="AL576" s="12"/>
      <c r="AM576" s="7">
        <v>777007</v>
      </c>
      <c r="AO576" s="7">
        <v>0</v>
      </c>
      <c r="AQ576" s="7">
        <v>700283</v>
      </c>
      <c r="AS576" s="7">
        <v>1158252</v>
      </c>
      <c r="AW576" s="7">
        <v>0</v>
      </c>
      <c r="AY576" s="7">
        <f t="shared" si="97"/>
        <v>19371615</v>
      </c>
      <c r="BA576" s="7">
        <f>+'St of Activites - GA Rev'!AI576-'St of Activities - GA Exp'!AY576</f>
        <v>403584</v>
      </c>
      <c r="BC576" s="7">
        <v>34663120</v>
      </c>
      <c r="BE576" s="7">
        <f t="shared" si="98"/>
        <v>35066704</v>
      </c>
      <c r="BG576" s="7">
        <f>+'St of Net Assets - GA'!AA576-'St of Activities - GA Exp'!BE576</f>
        <v>0</v>
      </c>
      <c r="BL576" s="7" t="str">
        <f t="shared" si="93"/>
        <v>Wauseon Exempted Village SD</v>
      </c>
      <c r="BM576" s="7" t="b">
        <f t="shared" si="94"/>
        <v>1</v>
      </c>
      <c r="BO576" s="7" t="str">
        <f t="shared" si="95"/>
        <v>Fulton</v>
      </c>
      <c r="BP576" s="7" t="b">
        <f t="shared" si="96"/>
        <v>1</v>
      </c>
    </row>
    <row r="577" spans="1:68">
      <c r="A577" s="12" t="s">
        <v>472</v>
      </c>
      <c r="B577" s="12"/>
      <c r="C577" s="12" t="s">
        <v>55</v>
      </c>
      <c r="D577" s="12"/>
      <c r="E577" s="12">
        <v>49148</v>
      </c>
      <c r="G577" s="7">
        <v>8848933</v>
      </c>
      <c r="I577" s="7">
        <v>2278157</v>
      </c>
      <c r="K577" s="7">
        <v>200456</v>
      </c>
      <c r="M577" s="7">
        <v>0</v>
      </c>
      <c r="O577" s="7">
        <v>136491</v>
      </c>
      <c r="Q577" s="7">
        <v>930886</v>
      </c>
      <c r="S577" s="7">
        <v>1526791</v>
      </c>
      <c r="U577" s="7">
        <v>55505</v>
      </c>
      <c r="W577" s="7">
        <v>1326843</v>
      </c>
      <c r="Y577" s="7">
        <v>481932</v>
      </c>
      <c r="AA577" s="7">
        <v>0</v>
      </c>
      <c r="AC577" s="7">
        <v>2106566</v>
      </c>
      <c r="AE577" s="7">
        <v>1173837</v>
      </c>
      <c r="AG577" s="7">
        <v>1825</v>
      </c>
      <c r="AI577" s="12" t="s">
        <v>472</v>
      </c>
      <c r="AJ577" s="12"/>
      <c r="AK577" s="12" t="s">
        <v>55</v>
      </c>
      <c r="AL577" s="12"/>
      <c r="AM577" s="7">
        <v>948119</v>
      </c>
      <c r="AO577" s="7">
        <v>87038</v>
      </c>
      <c r="AQ577" s="7">
        <v>558324</v>
      </c>
      <c r="AS577" s="7">
        <v>379404</v>
      </c>
      <c r="AW577" s="7">
        <v>0</v>
      </c>
      <c r="AY577" s="7">
        <f t="shared" si="97"/>
        <v>21041107</v>
      </c>
      <c r="BA577" s="7">
        <f>+'St of Activites - GA Rev'!AI577-'St of Activities - GA Exp'!AY577</f>
        <v>-1058620</v>
      </c>
      <c r="BC577" s="7">
        <v>35410346</v>
      </c>
      <c r="BE577" s="7">
        <f t="shared" si="98"/>
        <v>34351726</v>
      </c>
      <c r="BG577" s="7">
        <f>+'St of Net Assets - GA'!AA577-'St of Activities - GA Exp'!BE577</f>
        <v>0</v>
      </c>
      <c r="BL577" s="7" t="str">
        <f t="shared" si="93"/>
        <v>Waverly City SD</v>
      </c>
      <c r="BM577" s="7" t="b">
        <f t="shared" si="94"/>
        <v>1</v>
      </c>
      <c r="BO577" s="7" t="str">
        <f t="shared" si="95"/>
        <v>Pike</v>
      </c>
      <c r="BP577" s="7" t="b">
        <f t="shared" si="96"/>
        <v>1</v>
      </c>
    </row>
    <row r="578" spans="1:68" ht="12" hidden="1" customHeight="1">
      <c r="A578" s="12" t="s">
        <v>747</v>
      </c>
      <c r="B578" s="12"/>
      <c r="C578" s="12" t="s">
        <v>69</v>
      </c>
      <c r="D578" s="12"/>
      <c r="E578" s="12">
        <v>50468</v>
      </c>
      <c r="AI578" s="12" t="s">
        <v>747</v>
      </c>
      <c r="AJ578" s="12"/>
      <c r="AK578" s="12" t="s">
        <v>69</v>
      </c>
      <c r="AL578" s="12"/>
      <c r="AY578" s="7">
        <f t="shared" si="97"/>
        <v>0</v>
      </c>
      <c r="BA578" s="7">
        <f>+'St of Activites - GA Rev'!AI578-'St of Activities - GA Exp'!AY578</f>
        <v>0</v>
      </c>
      <c r="BE578" s="7">
        <f t="shared" si="98"/>
        <v>0</v>
      </c>
      <c r="BG578" s="7">
        <f>+'St of Net Assets - GA'!AA578-'St of Activities - GA Exp'!BE578</f>
        <v>0</v>
      </c>
      <c r="BL578" s="7" t="str">
        <f t="shared" si="93"/>
        <v>Wayne Local SD (CASH)</v>
      </c>
      <c r="BM578" s="7" t="b">
        <f t="shared" si="94"/>
        <v>1</v>
      </c>
      <c r="BO578" s="7" t="str">
        <f t="shared" si="95"/>
        <v>Warren</v>
      </c>
      <c r="BP578" s="7" t="b">
        <f t="shared" si="96"/>
        <v>1</v>
      </c>
    </row>
    <row r="579" spans="1:68" ht="12" hidden="1" customHeight="1">
      <c r="A579" s="12" t="s">
        <v>926</v>
      </c>
      <c r="B579" s="12"/>
      <c r="C579" s="12" t="s">
        <v>465</v>
      </c>
      <c r="D579" s="12"/>
      <c r="E579" s="12">
        <v>49031</v>
      </c>
      <c r="AI579" s="12" t="s">
        <v>926</v>
      </c>
      <c r="AJ579" s="12"/>
      <c r="AK579" s="12" t="s">
        <v>465</v>
      </c>
      <c r="AL579" s="12"/>
      <c r="AY579" s="7">
        <f t="shared" si="97"/>
        <v>0</v>
      </c>
      <c r="BA579" s="7">
        <f>+'St of Activites - GA Rev'!AI579-'St of Activities - GA Exp'!AY579</f>
        <v>0</v>
      </c>
      <c r="BE579" s="7">
        <f t="shared" si="98"/>
        <v>0</v>
      </c>
      <c r="BG579" s="7">
        <f>+'St of Net Assets - GA'!AA579-'St of Activities - GA Exp'!BE579</f>
        <v>0</v>
      </c>
      <c r="BL579" s="7" t="str">
        <f t="shared" si="93"/>
        <v>Wayne Trace Local SD (CASH)</v>
      </c>
      <c r="BM579" s="7" t="b">
        <f t="shared" si="94"/>
        <v>1</v>
      </c>
      <c r="BO579" s="7" t="str">
        <f t="shared" si="95"/>
        <v>Paulding</v>
      </c>
      <c r="BP579" s="7" t="b">
        <f t="shared" si="96"/>
        <v>1</v>
      </c>
    </row>
    <row r="580" spans="1:68" hidden="1">
      <c r="A580" s="12" t="s">
        <v>675</v>
      </c>
      <c r="B580" s="12"/>
      <c r="C580" s="12" t="s">
        <v>14</v>
      </c>
      <c r="D580" s="12"/>
      <c r="E580" s="12">
        <v>45971</v>
      </c>
      <c r="AI580" s="12" t="s">
        <v>675</v>
      </c>
      <c r="AJ580" s="12"/>
      <c r="AK580" s="12" t="s">
        <v>14</v>
      </c>
      <c r="AL580" s="12"/>
      <c r="AY580" s="7">
        <f t="shared" si="97"/>
        <v>0</v>
      </c>
      <c r="BA580" s="7">
        <f>+'St of Activites - GA Rev'!AI580-'St of Activities - GA Exp'!AY580</f>
        <v>0</v>
      </c>
      <c r="BE580" s="7">
        <f t="shared" si="98"/>
        <v>0</v>
      </c>
      <c r="BG580" s="7">
        <f>+'St of Net Assets - GA'!AA580-'St of Activities - GA Exp'!BE580</f>
        <v>0</v>
      </c>
      <c r="BL580" s="7" t="str">
        <f t="shared" si="93"/>
        <v>Waynesfield-Goshen Local SD  (CASH)</v>
      </c>
      <c r="BM580" s="7" t="b">
        <f t="shared" si="94"/>
        <v>1</v>
      </c>
      <c r="BO580" s="7" t="str">
        <f t="shared" si="95"/>
        <v>Auglaize</v>
      </c>
      <c r="BP580" s="7" t="b">
        <f t="shared" si="96"/>
        <v>1</v>
      </c>
    </row>
    <row r="581" spans="1:68">
      <c r="A581" s="12" t="s">
        <v>548</v>
      </c>
      <c r="B581" s="12"/>
      <c r="C581" s="12" t="s">
        <v>64</v>
      </c>
      <c r="D581" s="12"/>
      <c r="E581" s="12">
        <v>50252</v>
      </c>
      <c r="G581" s="7">
        <v>3883475</v>
      </c>
      <c r="I581" s="7">
        <v>1124494</v>
      </c>
      <c r="K581" s="7">
        <v>0</v>
      </c>
      <c r="M581" s="7">
        <v>0</v>
      </c>
      <c r="O581" s="7">
        <v>528727</v>
      </c>
      <c r="Q581" s="7">
        <v>392125</v>
      </c>
      <c r="S581" s="7">
        <v>138636</v>
      </c>
      <c r="U581" s="7">
        <v>21578</v>
      </c>
      <c r="W581" s="7">
        <v>779286</v>
      </c>
      <c r="Y581" s="7">
        <v>291871</v>
      </c>
      <c r="AA581" s="7">
        <v>9144</v>
      </c>
      <c r="AC581" s="7">
        <v>1148360</v>
      </c>
      <c r="AE581" s="7">
        <v>411216</v>
      </c>
      <c r="AG581" s="7">
        <v>6825</v>
      </c>
      <c r="AI581" s="12" t="s">
        <v>548</v>
      </c>
      <c r="AJ581" s="12"/>
      <c r="AK581" s="12" t="s">
        <v>64</v>
      </c>
      <c r="AL581" s="12"/>
      <c r="AM581" s="7">
        <v>326275</v>
      </c>
      <c r="AO581" s="7">
        <v>0</v>
      </c>
      <c r="AQ581" s="7">
        <v>421963</v>
      </c>
      <c r="AS581" s="7">
        <v>96829</v>
      </c>
      <c r="AW581" s="7">
        <v>0</v>
      </c>
      <c r="AY581" s="7">
        <f t="shared" si="97"/>
        <v>9580804</v>
      </c>
      <c r="BA581" s="7">
        <f>+'St of Activites - GA Rev'!AI581-'St of Activities - GA Exp'!AY581</f>
        <v>561644</v>
      </c>
      <c r="BC581" s="7">
        <v>3012329</v>
      </c>
      <c r="BE581" s="7">
        <f t="shared" si="98"/>
        <v>3573973</v>
      </c>
      <c r="BG581" s="7">
        <f>+'St of Net Assets - GA'!AA581-'St of Activities - GA Exp'!BE581</f>
        <v>0</v>
      </c>
      <c r="BL581" s="7" t="str">
        <f t="shared" si="93"/>
        <v>Weathersfield Local SD</v>
      </c>
      <c r="BM581" s="7" t="b">
        <f t="shared" si="94"/>
        <v>1</v>
      </c>
      <c r="BO581" s="7" t="str">
        <f t="shared" si="95"/>
        <v>Trumbull</v>
      </c>
      <c r="BP581" s="7" t="b">
        <f t="shared" si="96"/>
        <v>1</v>
      </c>
    </row>
    <row r="582" spans="1:68">
      <c r="A582" s="12" t="s">
        <v>890</v>
      </c>
      <c r="B582" s="12"/>
      <c r="C582" s="12" t="s">
        <v>44</v>
      </c>
      <c r="D582" s="12"/>
      <c r="E582" s="12">
        <v>45658</v>
      </c>
      <c r="G582" s="7">
        <v>6391711</v>
      </c>
      <c r="I582" s="7">
        <v>1426335</v>
      </c>
      <c r="K582" s="7">
        <v>90672</v>
      </c>
      <c r="M582" s="7">
        <v>71</v>
      </c>
      <c r="O582" s="7">
        <v>0</v>
      </c>
      <c r="Q582" s="7">
        <v>466917</v>
      </c>
      <c r="S582" s="7">
        <v>795886</v>
      </c>
      <c r="U582" s="7">
        <v>24305</v>
      </c>
      <c r="W582" s="7">
        <v>1201050</v>
      </c>
      <c r="Y582" s="7">
        <v>351465</v>
      </c>
      <c r="AA582" s="7">
        <v>0</v>
      </c>
      <c r="AC582" s="7">
        <v>1019447</v>
      </c>
      <c r="AE582" s="7">
        <v>746270</v>
      </c>
      <c r="AG582" s="7">
        <v>108836</v>
      </c>
      <c r="AI582" s="12" t="s">
        <v>890</v>
      </c>
      <c r="AJ582" s="12"/>
      <c r="AK582" s="12" t="s">
        <v>44</v>
      </c>
      <c r="AL582" s="12"/>
      <c r="AM582" s="7">
        <v>0</v>
      </c>
      <c r="AO582" s="7">
        <v>497297</v>
      </c>
      <c r="AQ582" s="7">
        <v>430542</v>
      </c>
      <c r="AS582" s="7">
        <v>0</v>
      </c>
      <c r="AW582" s="7">
        <v>0</v>
      </c>
      <c r="AY582" s="7">
        <f t="shared" si="97"/>
        <v>13550804</v>
      </c>
      <c r="BA582" s="7">
        <f>+'St of Activites - GA Rev'!AI582-'St of Activities - GA Exp'!AY582</f>
        <v>162179</v>
      </c>
      <c r="BC582" s="7">
        <v>8399623</v>
      </c>
      <c r="BE582" s="7">
        <f t="shared" si="98"/>
        <v>8561802</v>
      </c>
      <c r="BG582" s="7">
        <f>+'St of Net Assets - GA'!AA582-'St of Activities - GA Exp'!BE582</f>
        <v>0</v>
      </c>
      <c r="BL582" s="7" t="str">
        <f t="shared" si="93"/>
        <v>Wellington Exempted Village SD</v>
      </c>
      <c r="BM582" s="7" t="b">
        <f t="shared" si="94"/>
        <v>1</v>
      </c>
      <c r="BO582" s="7" t="str">
        <f t="shared" si="95"/>
        <v>Lorain</v>
      </c>
      <c r="BP582" s="7" t="b">
        <f t="shared" si="96"/>
        <v>1</v>
      </c>
    </row>
    <row r="583" spans="1:68">
      <c r="A583" s="12" t="s">
        <v>371</v>
      </c>
      <c r="B583" s="12"/>
      <c r="C583" s="12" t="s">
        <v>38</v>
      </c>
      <c r="D583" s="12"/>
      <c r="E583" s="12">
        <v>45021</v>
      </c>
      <c r="G583" s="7">
        <v>6366423</v>
      </c>
      <c r="I583" s="7">
        <v>2602149</v>
      </c>
      <c r="K583" s="7">
        <v>93277</v>
      </c>
      <c r="M583" s="7">
        <v>27662</v>
      </c>
      <c r="O583" s="7">
        <v>0</v>
      </c>
      <c r="Q583" s="7">
        <v>768043</v>
      </c>
      <c r="S583" s="7">
        <v>1271294</v>
      </c>
      <c r="U583" s="7">
        <v>130504</v>
      </c>
      <c r="W583" s="7">
        <v>1340910</v>
      </c>
      <c r="Y583" s="7">
        <v>458021</v>
      </c>
      <c r="AA583" s="7">
        <v>0</v>
      </c>
      <c r="AC583" s="7">
        <v>1838407</v>
      </c>
      <c r="AE583" s="7">
        <v>1169187</v>
      </c>
      <c r="AG583" s="7">
        <v>240549</v>
      </c>
      <c r="AI583" s="12" t="s">
        <v>371</v>
      </c>
      <c r="AJ583" s="12"/>
      <c r="AK583" s="12" t="s">
        <v>38</v>
      </c>
      <c r="AL583" s="12"/>
      <c r="AM583" s="7">
        <v>783139</v>
      </c>
      <c r="AO583" s="7">
        <v>224106</v>
      </c>
      <c r="AQ583" s="7">
        <v>323373</v>
      </c>
      <c r="AS583" s="7">
        <v>99014</v>
      </c>
      <c r="AW583" s="7">
        <v>0</v>
      </c>
      <c r="AY583" s="7">
        <f t="shared" si="97"/>
        <v>17736058</v>
      </c>
      <c r="BA583" s="7">
        <f>+'St of Activites - GA Rev'!AI583-'St of Activities - GA Exp'!AY583</f>
        <v>3337283</v>
      </c>
      <c r="BC583" s="7">
        <v>42425593</v>
      </c>
      <c r="BE583" s="7">
        <f t="shared" si="98"/>
        <v>45762876</v>
      </c>
      <c r="BG583" s="7">
        <f>+'St of Net Assets - GA'!AA583-'St of Activities - GA Exp'!BE583</f>
        <v>0</v>
      </c>
      <c r="BL583" s="7" t="str">
        <f t="shared" si="93"/>
        <v>Wellston City SD</v>
      </c>
      <c r="BM583" s="7" t="b">
        <f t="shared" si="94"/>
        <v>1</v>
      </c>
      <c r="BO583" s="7" t="str">
        <f t="shared" si="95"/>
        <v>Jackson</v>
      </c>
      <c r="BP583" s="7" t="b">
        <f t="shared" si="96"/>
        <v>1</v>
      </c>
    </row>
    <row r="584" spans="1:68" ht="12" customHeight="1">
      <c r="A584" s="12" t="s">
        <v>258</v>
      </c>
      <c r="B584" s="12"/>
      <c r="C584" s="12" t="s">
        <v>112</v>
      </c>
      <c r="D584" s="12"/>
      <c r="E584" s="12">
        <v>45039</v>
      </c>
      <c r="G584" s="7">
        <v>5120344</v>
      </c>
      <c r="I584" s="7">
        <v>1111282</v>
      </c>
      <c r="K584" s="7">
        <v>171243</v>
      </c>
      <c r="M584" s="7">
        <v>0</v>
      </c>
      <c r="O584" s="7">
        <v>89481</v>
      </c>
      <c r="Q584" s="7">
        <v>320281</v>
      </c>
      <c r="S584" s="7">
        <v>407609</v>
      </c>
      <c r="U584" s="7">
        <v>13346</v>
      </c>
      <c r="W584" s="7">
        <v>830279</v>
      </c>
      <c r="Y584" s="7">
        <v>242007</v>
      </c>
      <c r="AA584" s="7">
        <v>0</v>
      </c>
      <c r="AC584" s="7">
        <v>996262</v>
      </c>
      <c r="AE584" s="7">
        <v>160417</v>
      </c>
      <c r="AG584" s="7">
        <v>59468</v>
      </c>
      <c r="AI584" s="12" t="s">
        <v>258</v>
      </c>
      <c r="AJ584" s="12"/>
      <c r="AK584" s="12" t="s">
        <v>112</v>
      </c>
      <c r="AL584" s="12"/>
      <c r="AM584" s="7">
        <v>428203</v>
      </c>
      <c r="AO584" s="7">
        <v>7447</v>
      </c>
      <c r="AQ584" s="7">
        <v>291066</v>
      </c>
      <c r="AS584" s="7">
        <v>60683</v>
      </c>
      <c r="AW584" s="7">
        <v>0</v>
      </c>
      <c r="AY584" s="7">
        <f t="shared" si="97"/>
        <v>10309418</v>
      </c>
      <c r="BA584" s="7">
        <f>+'St of Activites - GA Rev'!AI584-'St of Activities - GA Exp'!AY584</f>
        <v>-518014</v>
      </c>
      <c r="BC584" s="7">
        <v>8816589</v>
      </c>
      <c r="BE584" s="7">
        <f t="shared" si="98"/>
        <v>8298575</v>
      </c>
      <c r="BG584" s="7">
        <f>+'St of Net Assets - GA'!AA584-'St of Activities - GA Exp'!BE584</f>
        <v>0</v>
      </c>
      <c r="BL584" s="7" t="str">
        <f t="shared" si="93"/>
        <v>Wellsville Local SD</v>
      </c>
      <c r="BM584" s="7" t="b">
        <f t="shared" si="94"/>
        <v>1</v>
      </c>
      <c r="BO584" s="7" t="str">
        <f t="shared" si="95"/>
        <v>Columbiana</v>
      </c>
      <c r="BP584" s="7" t="b">
        <f t="shared" si="96"/>
        <v>1</v>
      </c>
    </row>
    <row r="585" spans="1:68">
      <c r="A585" s="12" t="s">
        <v>421</v>
      </c>
      <c r="B585" s="12"/>
      <c r="C585" s="12" t="s">
        <v>45</v>
      </c>
      <c r="D585" s="12"/>
      <c r="E585" s="12">
        <v>48389</v>
      </c>
      <c r="G585" s="7">
        <v>11118466</v>
      </c>
      <c r="I585" s="7">
        <v>2499323</v>
      </c>
      <c r="K585" s="7">
        <v>397180</v>
      </c>
      <c r="M585" s="7">
        <v>0</v>
      </c>
      <c r="O585" s="7">
        <v>184771</v>
      </c>
      <c r="Q585" s="7">
        <v>1184097</v>
      </c>
      <c r="S585" s="7">
        <v>1225223</v>
      </c>
      <c r="U585" s="7">
        <v>40311</v>
      </c>
      <c r="W585" s="7">
        <v>1595968</v>
      </c>
      <c r="Y585" s="7">
        <v>439603</v>
      </c>
      <c r="AA585" s="7">
        <v>0</v>
      </c>
      <c r="AC585" s="7">
        <v>2109690</v>
      </c>
      <c r="AE585" s="7">
        <v>1598857</v>
      </c>
      <c r="AG585" s="7">
        <v>255873</v>
      </c>
      <c r="AI585" s="12" t="s">
        <v>421</v>
      </c>
      <c r="AJ585" s="12"/>
      <c r="AK585" s="12" t="s">
        <v>45</v>
      </c>
      <c r="AL585" s="12"/>
      <c r="AM585" s="7">
        <v>871016</v>
      </c>
      <c r="AO585" s="7">
        <v>74263</v>
      </c>
      <c r="AQ585" s="7">
        <v>666919</v>
      </c>
      <c r="AS585" s="7">
        <v>375181</v>
      </c>
      <c r="AW585" s="7">
        <v>0</v>
      </c>
      <c r="AY585" s="7">
        <f t="shared" si="97"/>
        <v>24636741</v>
      </c>
      <c r="BA585" s="7">
        <f>+'St of Activites - GA Rev'!AI585-'St of Activities - GA Exp'!AY585</f>
        <v>-1537642</v>
      </c>
      <c r="BC585" s="7">
        <v>39752832</v>
      </c>
      <c r="BE585" s="7">
        <f t="shared" si="98"/>
        <v>38215190</v>
      </c>
      <c r="BG585" s="7">
        <f>+'St of Net Assets - GA'!AA585-'St of Activities - GA Exp'!BE585</f>
        <v>0</v>
      </c>
      <c r="BL585" s="7" t="str">
        <f t="shared" si="93"/>
        <v>West Branch Local SD</v>
      </c>
      <c r="BM585" s="7" t="b">
        <f t="shared" si="94"/>
        <v>1</v>
      </c>
      <c r="BO585" s="7" t="str">
        <f t="shared" si="95"/>
        <v>Mahoning</v>
      </c>
      <c r="BP585" s="7" t="b">
        <f t="shared" si="96"/>
        <v>1</v>
      </c>
    </row>
    <row r="586" spans="1:68">
      <c r="A586" s="12" t="s">
        <v>746</v>
      </c>
      <c r="B586" s="12"/>
      <c r="C586" s="12" t="s">
        <v>50</v>
      </c>
      <c r="D586" s="12"/>
      <c r="E586" s="12"/>
      <c r="G586" s="7">
        <v>15965325</v>
      </c>
      <c r="I586" s="7">
        <v>5752392</v>
      </c>
      <c r="K586" s="7">
        <v>212757</v>
      </c>
      <c r="M586" s="7">
        <v>0</v>
      </c>
      <c r="O586" s="7">
        <v>2615926</v>
      </c>
      <c r="Q586" s="7">
        <v>2741034</v>
      </c>
      <c r="S586" s="7">
        <v>2487830</v>
      </c>
      <c r="U586" s="7">
        <v>31123</v>
      </c>
      <c r="W586" s="7">
        <v>3034482</v>
      </c>
      <c r="Y586" s="7">
        <v>760964</v>
      </c>
      <c r="AA586" s="7">
        <v>498762</v>
      </c>
      <c r="AC586" s="7">
        <v>3517485</v>
      </c>
      <c r="AE586" s="7">
        <v>2795550</v>
      </c>
      <c r="AG586" s="7">
        <v>272629</v>
      </c>
      <c r="AI586" s="12" t="s">
        <v>746</v>
      </c>
      <c r="AJ586" s="12"/>
      <c r="AK586" s="12" t="s">
        <v>50</v>
      </c>
      <c r="AL586" s="12"/>
      <c r="AM586" s="7">
        <v>1480158</v>
      </c>
      <c r="AO586" s="7">
        <v>53231</v>
      </c>
      <c r="AQ586" s="7">
        <v>942177</v>
      </c>
      <c r="AS586" s="7">
        <v>49280</v>
      </c>
      <c r="AW586" s="7">
        <v>0</v>
      </c>
      <c r="AY586" s="7">
        <f t="shared" si="97"/>
        <v>43211105</v>
      </c>
      <c r="BA586" s="7">
        <f>+'St of Activites - GA Rev'!AI586-'St of Activities - GA Exp'!AY586</f>
        <v>622433</v>
      </c>
      <c r="BC586" s="7">
        <v>26876749</v>
      </c>
      <c r="BE586" s="7">
        <f t="shared" si="98"/>
        <v>27499182</v>
      </c>
      <c r="BG586" s="7">
        <f>+'St of Net Assets - GA'!AA586-'St of Activities - GA Exp'!BE586</f>
        <v>0</v>
      </c>
      <c r="BL586" s="7" t="str">
        <f t="shared" si="93"/>
        <v>West Carrollton City SD</v>
      </c>
      <c r="BM586" s="7" t="b">
        <f t="shared" si="94"/>
        <v>1</v>
      </c>
      <c r="BO586" s="7" t="str">
        <f t="shared" si="95"/>
        <v>Montgomery</v>
      </c>
      <c r="BP586" s="7" t="b">
        <f t="shared" si="96"/>
        <v>1</v>
      </c>
    </row>
    <row r="587" spans="1:68">
      <c r="A587" s="12" t="s">
        <v>246</v>
      </c>
      <c r="B587" s="12"/>
      <c r="C587" s="12" t="s">
        <v>113</v>
      </c>
      <c r="D587" s="12"/>
      <c r="E587" s="12">
        <v>46359</v>
      </c>
      <c r="G587" s="7">
        <v>34736866</v>
      </c>
      <c r="I587" s="7">
        <v>12305136</v>
      </c>
      <c r="K587" s="7">
        <v>181822</v>
      </c>
      <c r="M587" s="7">
        <v>0</v>
      </c>
      <c r="O587" s="7">
        <v>0</v>
      </c>
      <c r="Q587" s="7">
        <v>4862238</v>
      </c>
      <c r="S587" s="7">
        <v>3293758</v>
      </c>
      <c r="U587" s="7">
        <v>84090</v>
      </c>
      <c r="W587" s="7">
        <v>5388169</v>
      </c>
      <c r="Y587" s="7">
        <v>1603535</v>
      </c>
      <c r="AA587" s="7">
        <v>50613</v>
      </c>
      <c r="AC587" s="7">
        <v>6539776</v>
      </c>
      <c r="AE587" s="7">
        <v>7843068</v>
      </c>
      <c r="AG587" s="7">
        <v>1655251</v>
      </c>
      <c r="AI587" s="12" t="s">
        <v>246</v>
      </c>
      <c r="AJ587" s="12"/>
      <c r="AK587" s="12" t="s">
        <v>113</v>
      </c>
      <c r="AL587" s="12"/>
      <c r="AM587" s="7">
        <v>0</v>
      </c>
      <c r="AO587" s="7">
        <f>2734433+4992</f>
        <v>2739425</v>
      </c>
      <c r="AQ587" s="7">
        <v>1299742</v>
      </c>
      <c r="AS587" s="7">
        <v>1591301</v>
      </c>
      <c r="AW587" s="7">
        <v>0</v>
      </c>
      <c r="AY587" s="7">
        <f t="shared" si="97"/>
        <v>84174790</v>
      </c>
      <c r="BA587" s="7">
        <f>+'St of Activites - GA Rev'!AI587-'St of Activities - GA Exp'!AY587</f>
        <v>5328936</v>
      </c>
      <c r="BC587" s="7">
        <v>20177446</v>
      </c>
      <c r="BE587" s="7">
        <f t="shared" si="98"/>
        <v>25506382</v>
      </c>
      <c r="BG587" s="7">
        <f>+'St of Net Assets - GA'!AA587-'St of Activities - GA Exp'!BE587</f>
        <v>0</v>
      </c>
      <c r="BL587" s="7" t="str">
        <f t="shared" si="93"/>
        <v>West Clermont Local SD</v>
      </c>
      <c r="BM587" s="7" t="b">
        <f t="shared" si="94"/>
        <v>1</v>
      </c>
      <c r="BO587" s="7" t="str">
        <f t="shared" si="95"/>
        <v>Clermont</v>
      </c>
      <c r="BP587" s="7" t="b">
        <f t="shared" si="96"/>
        <v>1</v>
      </c>
    </row>
    <row r="588" spans="1:68">
      <c r="A588" s="12" t="s">
        <v>324</v>
      </c>
      <c r="B588" s="12"/>
      <c r="C588" s="12" t="s">
        <v>30</v>
      </c>
      <c r="D588" s="12"/>
      <c r="E588" s="12">
        <v>47225</v>
      </c>
      <c r="G588" s="7">
        <v>11011297</v>
      </c>
      <c r="I588" s="7">
        <v>3493129</v>
      </c>
      <c r="K588" s="7">
        <v>309061</v>
      </c>
      <c r="M588" s="7">
        <v>42900</v>
      </c>
      <c r="O588" s="7">
        <v>502297</v>
      </c>
      <c r="Q588" s="7">
        <v>1974773</v>
      </c>
      <c r="S588" s="7">
        <v>833666</v>
      </c>
      <c r="U588" s="7">
        <v>56094</v>
      </c>
      <c r="W588" s="7">
        <v>1797465</v>
      </c>
      <c r="Y588" s="7">
        <v>686250</v>
      </c>
      <c r="AA588" s="7">
        <v>323354</v>
      </c>
      <c r="AC588" s="7">
        <v>2245054</v>
      </c>
      <c r="AE588" s="7">
        <v>2066693</v>
      </c>
      <c r="AG588" s="7">
        <v>80608</v>
      </c>
      <c r="AI588" s="12" t="s">
        <v>324</v>
      </c>
      <c r="AJ588" s="12"/>
      <c r="AK588" s="12" t="s">
        <v>30</v>
      </c>
      <c r="AL588" s="12"/>
      <c r="AM588" s="7">
        <v>678763</v>
      </c>
      <c r="AO588" s="7">
        <f>461489+1001</f>
        <v>462490</v>
      </c>
      <c r="AQ588" s="7">
        <v>928726</v>
      </c>
      <c r="AS588" s="7">
        <v>280273</v>
      </c>
      <c r="AW588" s="7">
        <v>0</v>
      </c>
      <c r="AY588" s="7">
        <f>SUM(G588:AX588)</f>
        <v>27772893</v>
      </c>
      <c r="BA588" s="7">
        <f>+'St of Activites - GA Rev'!AI588-'St of Activities - GA Exp'!AY588</f>
        <v>3204401</v>
      </c>
      <c r="BC588" s="7">
        <v>14434343</v>
      </c>
      <c r="BE588" s="7">
        <f>+BA588+BC588</f>
        <v>17638744</v>
      </c>
      <c r="BG588" s="7">
        <f>+'St of Net Assets - GA'!AA588-'St of Activities - GA Exp'!BE588</f>
        <v>0</v>
      </c>
      <c r="BL588" s="7" t="str">
        <f t="shared" si="93"/>
        <v>West Geauga Local SD</v>
      </c>
      <c r="BM588" s="7" t="b">
        <f t="shared" si="94"/>
        <v>1</v>
      </c>
      <c r="BO588" s="7" t="str">
        <f t="shared" si="95"/>
        <v>Geauga</v>
      </c>
      <c r="BP588" s="7" t="b">
        <f t="shared" si="96"/>
        <v>1</v>
      </c>
    </row>
    <row r="589" spans="1:68">
      <c r="A589" s="12" t="s">
        <v>364</v>
      </c>
      <c r="B589" s="12"/>
      <c r="C589" s="12" t="s">
        <v>36</v>
      </c>
      <c r="D589" s="12"/>
      <c r="E589" s="12">
        <v>47696</v>
      </c>
      <c r="G589" s="7">
        <v>11329708</v>
      </c>
      <c r="I589" s="7">
        <v>3567178</v>
      </c>
      <c r="K589" s="7">
        <v>264674</v>
      </c>
      <c r="M589" s="7">
        <v>0</v>
      </c>
      <c r="O589" s="7">
        <v>0</v>
      </c>
      <c r="Q589" s="7">
        <v>767773</v>
      </c>
      <c r="S589" s="7">
        <v>976580</v>
      </c>
      <c r="U589" s="7">
        <v>40631</v>
      </c>
      <c r="W589" s="7">
        <v>2029927</v>
      </c>
      <c r="Y589" s="7">
        <v>567698</v>
      </c>
      <c r="AA589" s="7">
        <v>12243</v>
      </c>
      <c r="AC589" s="7">
        <v>2269694</v>
      </c>
      <c r="AE589" s="7">
        <v>1669298</v>
      </c>
      <c r="AG589" s="7">
        <v>78714</v>
      </c>
      <c r="AI589" s="12" t="s">
        <v>364</v>
      </c>
      <c r="AJ589" s="12"/>
      <c r="AK589" s="12" t="s">
        <v>36</v>
      </c>
      <c r="AL589" s="12"/>
      <c r="AM589" s="7">
        <v>1046643</v>
      </c>
      <c r="AO589" s="7">
        <v>54478</v>
      </c>
      <c r="AQ589" s="7">
        <v>621405</v>
      </c>
      <c r="AS589" s="7">
        <v>597917</v>
      </c>
      <c r="AW589" s="7">
        <v>0</v>
      </c>
      <c r="AY589" s="7">
        <f t="shared" ref="AY589:AY618" si="99">SUM(G589:AX589)</f>
        <v>25894561</v>
      </c>
      <c r="BA589" s="7">
        <f>+'St of Activites - GA Rev'!AI589-'St of Activities - GA Exp'!AY589</f>
        <v>1353162</v>
      </c>
      <c r="BC589" s="7">
        <v>21013868</v>
      </c>
      <c r="BE589" s="7">
        <f t="shared" ref="BE589:BE618" si="100">+BA589+BC589</f>
        <v>22367030</v>
      </c>
      <c r="BG589" s="7">
        <f>+'St of Net Assets - GA'!AA589-'St of Activities - GA Exp'!BE589</f>
        <v>0</v>
      </c>
      <c r="BL589" s="7" t="str">
        <f t="shared" si="93"/>
        <v>West Holmes Local SD</v>
      </c>
      <c r="BM589" s="7" t="b">
        <f t="shared" si="94"/>
        <v>1</v>
      </c>
      <c r="BO589" s="7" t="str">
        <f t="shared" si="95"/>
        <v>Holmes</v>
      </c>
      <c r="BP589" s="7" t="b">
        <f t="shared" si="96"/>
        <v>1</v>
      </c>
    </row>
    <row r="590" spans="1:68">
      <c r="A590" s="12" t="s">
        <v>235</v>
      </c>
      <c r="B590" s="12"/>
      <c r="C590" s="12" t="s">
        <v>232</v>
      </c>
      <c r="D590" s="12"/>
      <c r="E590" s="12">
        <v>46219</v>
      </c>
      <c r="G590" s="7">
        <v>5338769</v>
      </c>
      <c r="I590" s="7">
        <v>1954611</v>
      </c>
      <c r="K590" s="7">
        <v>182442</v>
      </c>
      <c r="M590" s="7">
        <v>0</v>
      </c>
      <c r="O590" s="7">
        <v>437406</v>
      </c>
      <c r="Q590" s="7">
        <v>827324</v>
      </c>
      <c r="S590" s="7">
        <v>641204</v>
      </c>
      <c r="U590" s="7">
        <v>129706</v>
      </c>
      <c r="W590" s="7">
        <v>828253</v>
      </c>
      <c r="Y590" s="7">
        <v>405019</v>
      </c>
      <c r="AA590" s="7">
        <v>894</v>
      </c>
      <c r="AC590" s="7">
        <v>1032909</v>
      </c>
      <c r="AE590" s="7">
        <v>736277</v>
      </c>
      <c r="AG590" s="7">
        <v>293134</v>
      </c>
      <c r="AI590" s="12" t="s">
        <v>235</v>
      </c>
      <c r="AJ590" s="12"/>
      <c r="AK590" s="12" t="s">
        <v>232</v>
      </c>
      <c r="AL590" s="12"/>
      <c r="AM590" s="7">
        <v>498571</v>
      </c>
      <c r="AO590" s="7">
        <v>6617</v>
      </c>
      <c r="AQ590" s="7">
        <v>601726</v>
      </c>
      <c r="AS590" s="7">
        <v>2875</v>
      </c>
      <c r="AW590" s="7">
        <v>0</v>
      </c>
      <c r="AY590" s="7">
        <f t="shared" si="99"/>
        <v>13917737</v>
      </c>
      <c r="BA590" s="7">
        <f>+'St of Activites - GA Rev'!AI590-'St of Activities - GA Exp'!AY590</f>
        <v>-191161</v>
      </c>
      <c r="BC590" s="7">
        <v>5959730</v>
      </c>
      <c r="BE590" s="7">
        <f t="shared" si="100"/>
        <v>5768569</v>
      </c>
      <c r="BG590" s="7">
        <f>+'St of Net Assets - GA'!AA590-'St of Activities - GA Exp'!BE590</f>
        <v>0</v>
      </c>
      <c r="BL590" s="7" t="str">
        <f t="shared" si="93"/>
        <v>West Liberty-Salem Local SD</v>
      </c>
      <c r="BM590" s="7" t="b">
        <f t="shared" si="94"/>
        <v>1</v>
      </c>
      <c r="BO590" s="7" t="str">
        <f t="shared" si="95"/>
        <v>Champaign</v>
      </c>
      <c r="BP590" s="7" t="b">
        <f t="shared" si="96"/>
        <v>1</v>
      </c>
    </row>
    <row r="591" spans="1:68">
      <c r="A591" s="12" t="s">
        <v>460</v>
      </c>
      <c r="B591" s="12"/>
      <c r="C591" s="12" t="s">
        <v>51</v>
      </c>
      <c r="D591" s="12"/>
      <c r="E591" s="12">
        <v>48884</v>
      </c>
      <c r="G591" s="7">
        <v>7790498</v>
      </c>
      <c r="I591" s="7">
        <v>2640501</v>
      </c>
      <c r="K591" s="7">
        <v>135778</v>
      </c>
      <c r="M591" s="7">
        <v>94277</v>
      </c>
      <c r="O591" s="7">
        <v>11046</v>
      </c>
      <c r="Q591" s="7">
        <v>441370</v>
      </c>
      <c r="S591" s="7">
        <v>966913</v>
      </c>
      <c r="U591" s="7">
        <v>14609</v>
      </c>
      <c r="W591" s="7">
        <v>1309980</v>
      </c>
      <c r="Y591" s="7">
        <v>386687</v>
      </c>
      <c r="AA591" s="7">
        <v>0</v>
      </c>
      <c r="AC591" s="7">
        <v>1456551</v>
      </c>
      <c r="AE591" s="7">
        <v>953413</v>
      </c>
      <c r="AG591" s="7">
        <v>80890</v>
      </c>
      <c r="AI591" s="12" t="s">
        <v>460</v>
      </c>
      <c r="AJ591" s="12"/>
      <c r="AK591" s="12" t="s">
        <v>51</v>
      </c>
      <c r="AL591" s="12"/>
      <c r="AM591" s="7">
        <v>741542</v>
      </c>
      <c r="AO591" s="7">
        <v>13162</v>
      </c>
      <c r="AQ591" s="7">
        <v>215229</v>
      </c>
      <c r="AS591" s="7">
        <v>1042041</v>
      </c>
      <c r="AW591" s="7">
        <v>0</v>
      </c>
      <c r="AY591" s="7">
        <f t="shared" si="99"/>
        <v>18294487</v>
      </c>
      <c r="BA591" s="7">
        <f>+'St of Activites - GA Rev'!AI591-'St of Activities - GA Exp'!AY591</f>
        <v>925166</v>
      </c>
      <c r="BC591" s="7">
        <v>5358411</v>
      </c>
      <c r="BE591" s="7">
        <f t="shared" si="100"/>
        <v>6283577</v>
      </c>
      <c r="BG591" s="7">
        <f>+'St of Net Assets - GA'!AA591-'St of Activities - GA Exp'!BE591</f>
        <v>0</v>
      </c>
      <c r="BL591" s="7" t="str">
        <f t="shared" si="93"/>
        <v>West Muskingum Local SD</v>
      </c>
      <c r="BM591" s="7" t="b">
        <f t="shared" si="94"/>
        <v>1</v>
      </c>
      <c r="BO591" s="7" t="str">
        <f t="shared" si="95"/>
        <v>Muskingum</v>
      </c>
      <c r="BP591" s="7" t="b">
        <f t="shared" si="96"/>
        <v>1</v>
      </c>
    </row>
    <row r="592" spans="1:68">
      <c r="A592" s="12" t="s">
        <v>222</v>
      </c>
      <c r="B592" s="12"/>
      <c r="C592" s="12" t="s">
        <v>77</v>
      </c>
      <c r="D592" s="12"/>
      <c r="E592" s="12">
        <v>46060</v>
      </c>
      <c r="G592" s="7">
        <v>15933550</v>
      </c>
      <c r="I592" s="7">
        <v>4139227</v>
      </c>
      <c r="K592" s="7">
        <v>293826</v>
      </c>
      <c r="M592" s="7">
        <v>930</v>
      </c>
      <c r="O592" s="7">
        <v>0</v>
      </c>
      <c r="Q592" s="7">
        <v>678606</v>
      </c>
      <c r="S592" s="7">
        <v>1324285</v>
      </c>
      <c r="U592" s="7">
        <v>25568</v>
      </c>
      <c r="W592" s="7">
        <v>2135651</v>
      </c>
      <c r="Y592" s="7">
        <v>575912</v>
      </c>
      <c r="AA592" s="7">
        <v>0</v>
      </c>
      <c r="AC592" s="7">
        <v>3066553</v>
      </c>
      <c r="AE592" s="7">
        <v>2184223</v>
      </c>
      <c r="AG592" s="7">
        <v>329013</v>
      </c>
      <c r="AI592" s="12" t="s">
        <v>222</v>
      </c>
      <c r="AJ592" s="12"/>
      <c r="AK592" s="12" t="s">
        <v>77</v>
      </c>
      <c r="AL592" s="12"/>
      <c r="AM592" s="7">
        <v>0</v>
      </c>
      <c r="AO592" s="7">
        <v>11155</v>
      </c>
      <c r="AQ592" s="7">
        <v>933119</v>
      </c>
      <c r="AS592" s="7">
        <v>194224</v>
      </c>
      <c r="AW592" s="7">
        <v>0</v>
      </c>
      <c r="AY592" s="7">
        <f t="shared" si="99"/>
        <v>31825842</v>
      </c>
      <c r="BA592" s="7">
        <f>+'St of Activites - GA Rev'!AI592-'St of Activities - GA Exp'!AY592</f>
        <v>-903409</v>
      </c>
      <c r="BC592" s="7">
        <v>45829223</v>
      </c>
      <c r="BE592" s="7">
        <f t="shared" si="100"/>
        <v>44925814</v>
      </c>
      <c r="BG592" s="7">
        <f>+'St of Net Assets - GA'!AA592-'St of Activities - GA Exp'!BE592</f>
        <v>0</v>
      </c>
      <c r="BL592" s="7" t="str">
        <f t="shared" ref="BL592:BL618" si="101">A592</f>
        <v>Western Brown Local SD</v>
      </c>
      <c r="BM592" s="7" t="b">
        <f t="shared" ref="BM592:BM618" si="102">A592=AI592</f>
        <v>1</v>
      </c>
      <c r="BO592" s="7" t="str">
        <f t="shared" ref="BO592:BO618" si="103">C592</f>
        <v>Brown</v>
      </c>
      <c r="BP592" s="7" t="b">
        <f t="shared" ref="BP592:BP618" si="104">C592=AK592</f>
        <v>1</v>
      </c>
    </row>
    <row r="593" spans="1:68">
      <c r="A593" s="12" t="s">
        <v>473</v>
      </c>
      <c r="B593" s="12"/>
      <c r="C593" s="12" t="s">
        <v>55</v>
      </c>
      <c r="D593" s="12"/>
      <c r="E593" s="12">
        <v>49155</v>
      </c>
      <c r="G593" s="7">
        <v>3924789</v>
      </c>
      <c r="I593" s="7">
        <v>1568496</v>
      </c>
      <c r="K593" s="7">
        <v>0</v>
      </c>
      <c r="M593" s="7">
        <v>0</v>
      </c>
      <c r="O593" s="7">
        <v>725615</v>
      </c>
      <c r="Q593" s="7">
        <v>472223</v>
      </c>
      <c r="S593" s="7">
        <v>480490</v>
      </c>
      <c r="U593" s="7">
        <v>17031</v>
      </c>
      <c r="W593" s="7">
        <v>874189</v>
      </c>
      <c r="Y593" s="7">
        <v>310485</v>
      </c>
      <c r="AA593" s="7">
        <v>0</v>
      </c>
      <c r="AC593" s="7">
        <v>1078334</v>
      </c>
      <c r="AE593" s="7">
        <v>864588</v>
      </c>
      <c r="AG593" s="7">
        <v>110559</v>
      </c>
      <c r="AI593" s="12" t="s">
        <v>473</v>
      </c>
      <c r="AJ593" s="12"/>
      <c r="AK593" s="12" t="s">
        <v>55</v>
      </c>
      <c r="AL593" s="12"/>
      <c r="AM593" s="7">
        <v>0</v>
      </c>
      <c r="AO593" s="7">
        <v>402359</v>
      </c>
      <c r="AQ593" s="7">
        <v>172999</v>
      </c>
      <c r="AS593" s="7">
        <v>43425</v>
      </c>
      <c r="AW593" s="7">
        <v>52487</v>
      </c>
      <c r="AY593" s="7">
        <f t="shared" si="99"/>
        <v>11098069</v>
      </c>
      <c r="BA593" s="7">
        <f>+'St of Activites - GA Rev'!AI593-'St of Activities - GA Exp'!AY593</f>
        <v>-1899783</v>
      </c>
      <c r="BC593" s="7">
        <v>22499183</v>
      </c>
      <c r="BE593" s="7">
        <f t="shared" si="100"/>
        <v>20599400</v>
      </c>
      <c r="BG593" s="7">
        <f>+'St of Net Assets - GA'!AA593-'St of Activities - GA Exp'!BE593</f>
        <v>0</v>
      </c>
      <c r="BL593" s="7" t="str">
        <f t="shared" si="101"/>
        <v>Western Local SD</v>
      </c>
      <c r="BM593" s="7" t="b">
        <f t="shared" si="102"/>
        <v>1</v>
      </c>
      <c r="BO593" s="7" t="str">
        <f t="shared" si="103"/>
        <v>Pike</v>
      </c>
      <c r="BP593" s="7" t="b">
        <f t="shared" si="104"/>
        <v>1</v>
      </c>
    </row>
    <row r="594" spans="1:68">
      <c r="A594" s="12" t="s">
        <v>369</v>
      </c>
      <c r="B594" s="12"/>
      <c r="C594" s="12" t="s">
        <v>37</v>
      </c>
      <c r="D594" s="12"/>
      <c r="E594" s="12">
        <v>47746</v>
      </c>
      <c r="G594" s="7">
        <v>5834695</v>
      </c>
      <c r="I594" s="7">
        <v>1622490</v>
      </c>
      <c r="K594" s="7">
        <v>193743</v>
      </c>
      <c r="M594" s="7">
        <v>0</v>
      </c>
      <c r="O594" s="7">
        <v>313702</v>
      </c>
      <c r="Q594" s="7">
        <v>266845</v>
      </c>
      <c r="S594" s="7">
        <v>696337</v>
      </c>
      <c r="U594" s="7">
        <v>143557</v>
      </c>
      <c r="W594" s="7">
        <v>920377</v>
      </c>
      <c r="Y594" s="7">
        <v>468857</v>
      </c>
      <c r="AA594" s="7">
        <v>28840</v>
      </c>
      <c r="AC594" s="7">
        <v>1021276</v>
      </c>
      <c r="AE594" s="7">
        <v>821773</v>
      </c>
      <c r="AG594" s="7">
        <v>26462</v>
      </c>
      <c r="AI594" s="12" t="s">
        <v>369</v>
      </c>
      <c r="AJ594" s="12"/>
      <c r="AK594" s="12" t="s">
        <v>37</v>
      </c>
      <c r="AL594" s="12"/>
      <c r="AM594" s="7">
        <v>478597</v>
      </c>
      <c r="AO594" s="7">
        <v>302721</v>
      </c>
      <c r="AQ594" s="7">
        <v>492209</v>
      </c>
      <c r="AS594" s="7">
        <v>47643</v>
      </c>
      <c r="AW594" s="7">
        <v>0</v>
      </c>
      <c r="AY594" s="7">
        <f t="shared" si="99"/>
        <v>13680124</v>
      </c>
      <c r="BA594" s="7">
        <f>+'St of Activites - GA Rev'!AI594-'St of Activities - GA Exp'!AY594</f>
        <v>120792</v>
      </c>
      <c r="BC594" s="7">
        <v>15159298</v>
      </c>
      <c r="BE594" s="7">
        <f t="shared" si="100"/>
        <v>15280090</v>
      </c>
      <c r="BG594" s="7">
        <f>+'St of Net Assets - GA'!AA594-'St of Activities - GA Exp'!BE594</f>
        <v>0</v>
      </c>
      <c r="BL594" s="7" t="str">
        <f t="shared" si="101"/>
        <v>Western Reserve Local SD</v>
      </c>
      <c r="BM594" s="7" t="b">
        <f t="shared" si="102"/>
        <v>1</v>
      </c>
      <c r="BO594" s="7" t="str">
        <f t="shared" si="103"/>
        <v>Huron</v>
      </c>
      <c r="BP594" s="7" t="b">
        <f t="shared" si="104"/>
        <v>1</v>
      </c>
    </row>
    <row r="595" spans="1:68">
      <c r="A595" s="12" t="s">
        <v>369</v>
      </c>
      <c r="B595" s="12"/>
      <c r="C595" s="12" t="s">
        <v>45</v>
      </c>
      <c r="D595" s="12"/>
      <c r="E595" s="12">
        <v>48397</v>
      </c>
      <c r="G595" s="7">
        <v>3143778</v>
      </c>
      <c r="I595" s="7">
        <v>875984</v>
      </c>
      <c r="K595" s="7">
        <v>118121</v>
      </c>
      <c r="M595" s="7">
        <v>11389</v>
      </c>
      <c r="O595" s="7">
        <v>2508</v>
      </c>
      <c r="Q595" s="7">
        <v>366994</v>
      </c>
      <c r="S595" s="7">
        <v>381781</v>
      </c>
      <c r="U595" s="7">
        <v>23266</v>
      </c>
      <c r="W595" s="7">
        <v>696300</v>
      </c>
      <c r="Y595" s="7">
        <v>344217</v>
      </c>
      <c r="AA595" s="7">
        <v>26735</v>
      </c>
      <c r="AC595" s="7">
        <v>528037</v>
      </c>
      <c r="AE595" s="7">
        <v>479660</v>
      </c>
      <c r="AG595" s="7">
        <v>18204</v>
      </c>
      <c r="AI595" s="12" t="s">
        <v>369</v>
      </c>
      <c r="AJ595" s="12"/>
      <c r="AK595" s="12" t="s">
        <v>45</v>
      </c>
      <c r="AL595" s="12"/>
      <c r="AM595" s="7">
        <v>234122</v>
      </c>
      <c r="AO595" s="7">
        <v>1641</v>
      </c>
      <c r="AQ595" s="7">
        <v>341096</v>
      </c>
      <c r="AS595" s="7">
        <v>460710</v>
      </c>
      <c r="AW595" s="7">
        <v>0</v>
      </c>
      <c r="AY595" s="7">
        <f t="shared" si="99"/>
        <v>8054543</v>
      </c>
      <c r="BA595" s="7">
        <f>+'St of Activites - GA Rev'!AI595-'St of Activities - GA Exp'!AY595</f>
        <v>710630</v>
      </c>
      <c r="BC595" s="7">
        <v>16896946</v>
      </c>
      <c r="BE595" s="7">
        <f t="shared" si="100"/>
        <v>17607576</v>
      </c>
      <c r="BG595" s="7">
        <f>+'St of Net Assets - GA'!AA595-'St of Activities - GA Exp'!BE595</f>
        <v>0</v>
      </c>
      <c r="BL595" s="7" t="str">
        <f t="shared" si="101"/>
        <v>Western Reserve Local SD</v>
      </c>
      <c r="BM595" s="7" t="b">
        <f t="shared" si="102"/>
        <v>1</v>
      </c>
      <c r="BO595" s="7" t="str">
        <f t="shared" si="103"/>
        <v>Mahoning</v>
      </c>
      <c r="BP595" s="7" t="b">
        <f t="shared" si="104"/>
        <v>1</v>
      </c>
    </row>
    <row r="596" spans="1:68">
      <c r="A596" s="12" t="s">
        <v>315</v>
      </c>
      <c r="B596" s="12"/>
      <c r="C596" s="12" t="s">
        <v>27</v>
      </c>
      <c r="D596" s="12"/>
      <c r="E596" s="12">
        <v>45047</v>
      </c>
      <c r="G596" s="7">
        <v>69983172</v>
      </c>
      <c r="I596" s="7">
        <v>23747901</v>
      </c>
      <c r="K596" s="7">
        <v>915477</v>
      </c>
      <c r="M596" s="7">
        <v>0</v>
      </c>
      <c r="O596" s="7">
        <v>4970334</v>
      </c>
      <c r="Q596" s="7">
        <v>12816271</v>
      </c>
      <c r="S596" s="7">
        <v>6401728</v>
      </c>
      <c r="U596" s="7">
        <v>1728752</v>
      </c>
      <c r="W596" s="7">
        <v>11888608</v>
      </c>
      <c r="Y596" s="7">
        <v>2804650</v>
      </c>
      <c r="AA596" s="7">
        <v>1204083</v>
      </c>
      <c r="AC596" s="7">
        <v>16024992</v>
      </c>
      <c r="AE596" s="7">
        <v>8815697</v>
      </c>
      <c r="AG596" s="7">
        <v>2731958</v>
      </c>
      <c r="AI596" s="12" t="s">
        <v>315</v>
      </c>
      <c r="AJ596" s="12"/>
      <c r="AK596" s="12" t="s">
        <v>27</v>
      </c>
      <c r="AL596" s="12"/>
      <c r="AM596" s="7">
        <v>4498897</v>
      </c>
      <c r="AO596" s="7">
        <v>1048002</v>
      </c>
      <c r="AQ596" s="7">
        <v>3320713</v>
      </c>
      <c r="AS596" s="7">
        <v>5627155</v>
      </c>
      <c r="AW596" s="7">
        <v>0</v>
      </c>
      <c r="AY596" s="7">
        <f t="shared" si="99"/>
        <v>178528390</v>
      </c>
      <c r="BA596" s="7">
        <f>+'St of Activites - GA Rev'!AI596-'St of Activities - GA Exp'!AY596</f>
        <v>5565999</v>
      </c>
      <c r="BC596" s="7">
        <v>78083513</v>
      </c>
      <c r="BE596" s="7">
        <f t="shared" si="100"/>
        <v>83649512</v>
      </c>
      <c r="BG596" s="7">
        <f>+'St of Net Assets - GA'!AA596-'St of Activities - GA Exp'!BE596</f>
        <v>0</v>
      </c>
      <c r="BL596" s="7" t="str">
        <f t="shared" si="101"/>
        <v>Westerville City SD</v>
      </c>
      <c r="BM596" s="7" t="b">
        <f t="shared" si="102"/>
        <v>1</v>
      </c>
      <c r="BO596" s="7" t="str">
        <f t="shared" si="103"/>
        <v>Franklin</v>
      </c>
      <c r="BP596" s="7" t="b">
        <f t="shared" si="104"/>
        <v>1</v>
      </c>
    </row>
    <row r="597" spans="1:68" ht="12" customHeight="1">
      <c r="A597" s="12" t="s">
        <v>470</v>
      </c>
      <c r="B597" s="12"/>
      <c r="C597" s="12" t="s">
        <v>54</v>
      </c>
      <c r="D597" s="12"/>
      <c r="E597" s="12">
        <v>49106</v>
      </c>
      <c r="G597" s="7">
        <v>6972968</v>
      </c>
      <c r="I597" s="7">
        <v>1686011</v>
      </c>
      <c r="K597" s="7">
        <v>0</v>
      </c>
      <c r="M597" s="7">
        <v>0</v>
      </c>
      <c r="O597" s="7">
        <v>5186</v>
      </c>
      <c r="Q597" s="7">
        <v>543392</v>
      </c>
      <c r="S597" s="7">
        <v>533502</v>
      </c>
      <c r="U597" s="7">
        <v>164915</v>
      </c>
      <c r="W597" s="7">
        <v>1362448</v>
      </c>
      <c r="Y597" s="7">
        <v>360608</v>
      </c>
      <c r="AA597" s="7">
        <v>95787</v>
      </c>
      <c r="AC597" s="7">
        <v>916316</v>
      </c>
      <c r="AE597" s="7">
        <v>1155041</v>
      </c>
      <c r="AG597" s="7">
        <v>302915</v>
      </c>
      <c r="AI597" s="12" t="s">
        <v>470</v>
      </c>
      <c r="AJ597" s="12"/>
      <c r="AK597" s="12" t="s">
        <v>54</v>
      </c>
      <c r="AL597" s="12"/>
      <c r="AM597" s="7">
        <v>503908</v>
      </c>
      <c r="AO597" s="7">
        <v>0</v>
      </c>
      <c r="AQ597" s="7">
        <v>405457</v>
      </c>
      <c r="AS597" s="7">
        <v>301912</v>
      </c>
      <c r="AW597" s="7">
        <v>0</v>
      </c>
      <c r="AY597" s="7">
        <f t="shared" si="99"/>
        <v>15310366</v>
      </c>
      <c r="BA597" s="7">
        <f>+'St of Activites - GA Rev'!AI597-'St of Activities - GA Exp'!AY597</f>
        <v>3589602</v>
      </c>
      <c r="BC597" s="7">
        <v>8699822</v>
      </c>
      <c r="BE597" s="7">
        <f t="shared" si="100"/>
        <v>12289424</v>
      </c>
      <c r="BG597" s="7">
        <f>+'St of Net Assets - GA'!AA597-'St of Activities - GA Exp'!BE597</f>
        <v>0</v>
      </c>
      <c r="BL597" s="7" t="str">
        <f t="shared" si="101"/>
        <v>Westfall Local SD</v>
      </c>
      <c r="BM597" s="7" t="b">
        <f t="shared" si="102"/>
        <v>1</v>
      </c>
      <c r="BO597" s="7" t="str">
        <f t="shared" si="103"/>
        <v>Pickaway</v>
      </c>
      <c r="BP597" s="7" t="b">
        <f t="shared" si="104"/>
        <v>1</v>
      </c>
    </row>
    <row r="598" spans="1:68">
      <c r="A598" s="12" t="s">
        <v>287</v>
      </c>
      <c r="B598" s="12"/>
      <c r="C598" s="12" t="s">
        <v>20</v>
      </c>
      <c r="D598" s="12"/>
      <c r="E598" s="12">
        <v>45062</v>
      </c>
      <c r="G598" s="7">
        <v>23000156</v>
      </c>
      <c r="I598" s="7">
        <v>5355715</v>
      </c>
      <c r="K598" s="7">
        <v>277138</v>
      </c>
      <c r="M598" s="7">
        <v>93920</v>
      </c>
      <c r="O598" s="7">
        <v>1584547</v>
      </c>
      <c r="Q598" s="7">
        <v>3735847</v>
      </c>
      <c r="S598" s="7">
        <v>3631697</v>
      </c>
      <c r="U598" s="7">
        <v>31539</v>
      </c>
      <c r="W598" s="7">
        <v>2946534</v>
      </c>
      <c r="Y598" s="7">
        <v>1246556</v>
      </c>
      <c r="AA598" s="7">
        <v>345423</v>
      </c>
      <c r="AC598" s="7">
        <v>4709177</v>
      </c>
      <c r="AE598" s="7">
        <v>4679476</v>
      </c>
      <c r="AG598" s="7">
        <v>151995</v>
      </c>
      <c r="AI598" s="12" t="s">
        <v>287</v>
      </c>
      <c r="AJ598" s="12"/>
      <c r="AK598" s="12" t="s">
        <v>20</v>
      </c>
      <c r="AL598" s="12"/>
      <c r="AM598" s="7">
        <v>1276077</v>
      </c>
      <c r="AO598" s="7">
        <v>736810</v>
      </c>
      <c r="AQ598" s="7">
        <v>1604308</v>
      </c>
      <c r="AS598" s="7">
        <v>4815718</v>
      </c>
      <c r="AW598" s="7">
        <v>0</v>
      </c>
      <c r="AY598" s="7">
        <f t="shared" si="99"/>
        <v>60222633</v>
      </c>
      <c r="BA598" s="7">
        <f>+'St of Activites - GA Rev'!AI598-'St of Activities - GA Exp'!AY598</f>
        <v>3578932</v>
      </c>
      <c r="BC598" s="7">
        <v>48100441</v>
      </c>
      <c r="BE598" s="7">
        <f t="shared" si="100"/>
        <v>51679373</v>
      </c>
      <c r="BG598" s="7">
        <f>+'St of Net Assets - GA'!AA598-'St of Activities - GA Exp'!BE598</f>
        <v>0</v>
      </c>
      <c r="BL598" s="7" t="str">
        <f t="shared" si="101"/>
        <v>Westlake City SD</v>
      </c>
      <c r="BM598" s="7" t="b">
        <f t="shared" si="102"/>
        <v>1</v>
      </c>
      <c r="BO598" s="7" t="str">
        <f t="shared" si="103"/>
        <v>Cuyahoga</v>
      </c>
      <c r="BP598" s="7" t="b">
        <f t="shared" si="104"/>
        <v>1</v>
      </c>
    </row>
    <row r="599" spans="1:68">
      <c r="A599" s="12" t="s">
        <v>501</v>
      </c>
      <c r="B599" s="12"/>
      <c r="C599" s="12" t="s">
        <v>59</v>
      </c>
      <c r="D599" s="12"/>
      <c r="E599" s="12">
        <v>49668</v>
      </c>
      <c r="G599" s="7">
        <v>7888348</v>
      </c>
      <c r="I599" s="7">
        <v>1435401</v>
      </c>
      <c r="K599" s="7">
        <v>5525</v>
      </c>
      <c r="M599" s="7">
        <v>0</v>
      </c>
      <c r="O599" s="7">
        <v>19325</v>
      </c>
      <c r="Q599" s="7">
        <v>767067</v>
      </c>
      <c r="S599" s="7">
        <v>901271</v>
      </c>
      <c r="U599" s="7">
        <v>87536</v>
      </c>
      <c r="W599" s="7">
        <v>1105160</v>
      </c>
      <c r="Y599" s="7">
        <v>386446</v>
      </c>
      <c r="AA599" s="7">
        <v>0</v>
      </c>
      <c r="AC599" s="7">
        <v>1434823</v>
      </c>
      <c r="AE599" s="7">
        <v>537044</v>
      </c>
      <c r="AG599" s="7">
        <v>117452</v>
      </c>
      <c r="AI599" s="12" t="s">
        <v>501</v>
      </c>
      <c r="AJ599" s="12"/>
      <c r="AK599" s="12" t="s">
        <v>59</v>
      </c>
      <c r="AL599" s="12"/>
      <c r="AM599" s="7">
        <v>610026</v>
      </c>
      <c r="AO599" s="7">
        <v>155995</v>
      </c>
      <c r="AQ599" s="7">
        <v>604960</v>
      </c>
      <c r="AS599" s="7">
        <v>424807</v>
      </c>
      <c r="AW599" s="7">
        <v>0</v>
      </c>
      <c r="AY599" s="7">
        <f t="shared" si="99"/>
        <v>16481186</v>
      </c>
      <c r="BA599" s="7">
        <f>+'St of Activites - GA Rev'!AI599-'St of Activities - GA Exp'!AY599</f>
        <v>-266516</v>
      </c>
      <c r="BC599" s="7">
        <v>30747656</v>
      </c>
      <c r="BE599" s="7">
        <f t="shared" si="100"/>
        <v>30481140</v>
      </c>
      <c r="BG599" s="7">
        <f>+'St of Net Assets - GA'!AA599-'St of Activities - GA Exp'!BE599</f>
        <v>0</v>
      </c>
      <c r="BL599" s="7" t="str">
        <f t="shared" si="101"/>
        <v>Wheelersburg Local SD</v>
      </c>
      <c r="BM599" s="7" t="b">
        <f t="shared" si="102"/>
        <v>1</v>
      </c>
      <c r="BO599" s="7" t="str">
        <f t="shared" si="103"/>
        <v>Scioto</v>
      </c>
      <c r="BP599" s="7" t="b">
        <f t="shared" si="104"/>
        <v>1</v>
      </c>
    </row>
    <row r="600" spans="1:68">
      <c r="A600" s="12" t="s">
        <v>316</v>
      </c>
      <c r="B600" s="12"/>
      <c r="C600" s="12" t="s">
        <v>27</v>
      </c>
      <c r="D600" s="12"/>
      <c r="E600" s="12">
        <v>45070</v>
      </c>
      <c r="G600" s="7">
        <v>16507050</v>
      </c>
      <c r="I600" s="7">
        <v>6331636</v>
      </c>
      <c r="K600" s="7">
        <v>678994</v>
      </c>
      <c r="M600" s="7">
        <v>0</v>
      </c>
      <c r="O600" s="7">
        <v>329970</v>
      </c>
      <c r="Q600" s="7">
        <v>1714650</v>
      </c>
      <c r="S600" s="7">
        <v>1633710</v>
      </c>
      <c r="U600" s="7">
        <v>107386</v>
      </c>
      <c r="W600" s="7">
        <v>2777491</v>
      </c>
      <c r="AA600" s="7">
        <v>820324</v>
      </c>
      <c r="AC600" s="7">
        <v>2697410</v>
      </c>
      <c r="AE600" s="7">
        <v>1486829</v>
      </c>
      <c r="AG600" s="7">
        <v>525890</v>
      </c>
      <c r="AI600" s="12" t="s">
        <v>316</v>
      </c>
      <c r="AJ600" s="12"/>
      <c r="AK600" s="12" t="s">
        <v>27</v>
      </c>
      <c r="AL600" s="12"/>
      <c r="AM600" s="7">
        <v>1150409</v>
      </c>
      <c r="AO600" s="7">
        <v>97974</v>
      </c>
      <c r="AQ600" s="7">
        <v>632181</v>
      </c>
      <c r="AS600" s="7">
        <v>1344945</v>
      </c>
      <c r="AW600" s="7">
        <v>0</v>
      </c>
      <c r="AY600" s="7">
        <f t="shared" si="99"/>
        <v>38836849</v>
      </c>
      <c r="BA600" s="7">
        <f>+'St of Activites - GA Rev'!AI600-'St of Activities - GA Exp'!AY600</f>
        <v>1341281</v>
      </c>
      <c r="BC600" s="7">
        <v>77970059</v>
      </c>
      <c r="BE600" s="7">
        <f t="shared" si="100"/>
        <v>79311340</v>
      </c>
      <c r="BG600" s="7">
        <f>+'St of Net Assets - GA'!AA600-'St of Activities - GA Exp'!BE600</f>
        <v>0</v>
      </c>
      <c r="BL600" s="7" t="str">
        <f t="shared" si="101"/>
        <v>Whitehall City SD</v>
      </c>
      <c r="BM600" s="7" t="b">
        <f t="shared" si="102"/>
        <v>1</v>
      </c>
      <c r="BO600" s="7" t="str">
        <f t="shared" si="103"/>
        <v>Franklin</v>
      </c>
      <c r="BP600" s="7" t="b">
        <f t="shared" si="104"/>
        <v>1</v>
      </c>
    </row>
    <row r="601" spans="1:68" ht="12" hidden="1" customHeight="1">
      <c r="A601" s="12" t="s">
        <v>649</v>
      </c>
      <c r="B601" s="12"/>
      <c r="C601" s="12" t="s">
        <v>41</v>
      </c>
      <c r="D601" s="12"/>
      <c r="E601" s="12">
        <v>45088</v>
      </c>
      <c r="AI601" s="12" t="s">
        <v>649</v>
      </c>
      <c r="AJ601" s="12"/>
      <c r="AK601" s="12" t="s">
        <v>41</v>
      </c>
      <c r="AL601" s="12"/>
      <c r="AY601" s="7">
        <f t="shared" si="99"/>
        <v>0</v>
      </c>
      <c r="BA601" s="7">
        <f>+'St of Activites - GA Rev'!AI601-'St of Activities - GA Exp'!AY601</f>
        <v>0</v>
      </c>
      <c r="BE601" s="7">
        <f t="shared" si="100"/>
        <v>0</v>
      </c>
      <c r="BG601" s="7">
        <f>+'St of Net Assets - GA'!AA601-'St of Activities - GA Exp'!BE601</f>
        <v>0</v>
      </c>
      <c r="BL601" s="7" t="str">
        <f t="shared" si="101"/>
        <v>Wickliffe City SD (CASH)</v>
      </c>
      <c r="BM601" s="7" t="b">
        <f t="shared" si="102"/>
        <v>1</v>
      </c>
      <c r="BO601" s="7" t="str">
        <f t="shared" si="103"/>
        <v>Lake</v>
      </c>
      <c r="BP601" s="7" t="b">
        <f t="shared" si="104"/>
        <v>1</v>
      </c>
    </row>
    <row r="602" spans="1:68">
      <c r="A602" s="12" t="s">
        <v>370</v>
      </c>
      <c r="B602" s="12"/>
      <c r="C602" s="12" t="s">
        <v>37</v>
      </c>
      <c r="D602" s="12"/>
      <c r="E602" s="12">
        <v>45096</v>
      </c>
      <c r="G602" s="7">
        <v>7789657</v>
      </c>
      <c r="I602" s="7">
        <v>1743794</v>
      </c>
      <c r="K602" s="7">
        <v>212971</v>
      </c>
      <c r="M602" s="7">
        <v>0</v>
      </c>
      <c r="O602" s="7">
        <v>2323559</v>
      </c>
      <c r="Q602" s="7">
        <v>804397</v>
      </c>
      <c r="S602" s="7">
        <v>573644</v>
      </c>
      <c r="U602" s="7">
        <v>438862</v>
      </c>
      <c r="W602" s="7">
        <v>1881880</v>
      </c>
      <c r="Y602" s="7">
        <v>404498</v>
      </c>
      <c r="AA602" s="7">
        <v>50213</v>
      </c>
      <c r="AC602" s="7">
        <v>1321134</v>
      </c>
      <c r="AE602" s="7">
        <v>899333</v>
      </c>
      <c r="AG602" s="7">
        <v>4962</v>
      </c>
      <c r="AI602" s="12" t="s">
        <v>370</v>
      </c>
      <c r="AJ602" s="12"/>
      <c r="AK602" s="12" t="s">
        <v>37</v>
      </c>
      <c r="AL602" s="12"/>
      <c r="AM602" s="7">
        <v>905917</v>
      </c>
      <c r="AO602" s="7">
        <v>214968</v>
      </c>
      <c r="AQ602" s="7">
        <v>630680</v>
      </c>
      <c r="AS602" s="7">
        <v>153577</v>
      </c>
      <c r="AW602" s="7">
        <v>0</v>
      </c>
      <c r="AY602" s="7">
        <f t="shared" si="99"/>
        <v>20354046</v>
      </c>
      <c r="BA602" s="7">
        <f>+'St of Activites - GA Rev'!AI602-'St of Activities - GA Exp'!AY602</f>
        <v>921948</v>
      </c>
      <c r="BC602" s="7">
        <v>4330426</v>
      </c>
      <c r="BE602" s="7">
        <f t="shared" si="100"/>
        <v>5252374</v>
      </c>
      <c r="BG602" s="7">
        <f>+'St of Net Assets - GA'!AA602-'St of Activities - GA Exp'!BE602</f>
        <v>0</v>
      </c>
      <c r="BL602" s="7" t="str">
        <f t="shared" si="101"/>
        <v>Willard City SD</v>
      </c>
      <c r="BM602" s="7" t="b">
        <f t="shared" si="102"/>
        <v>1</v>
      </c>
      <c r="BO602" s="7" t="str">
        <f t="shared" si="103"/>
        <v>Huron</v>
      </c>
      <c r="BP602" s="7" t="b">
        <f t="shared" si="104"/>
        <v>1</v>
      </c>
    </row>
    <row r="603" spans="1:68">
      <c r="A603" s="12" t="s">
        <v>247</v>
      </c>
      <c r="B603" s="12"/>
      <c r="C603" s="12" t="s">
        <v>113</v>
      </c>
      <c r="D603" s="12"/>
      <c r="E603" s="12">
        <v>46367</v>
      </c>
      <c r="G603" s="7">
        <v>4817495</v>
      </c>
      <c r="I603" s="7">
        <v>1442033</v>
      </c>
      <c r="K603" s="7">
        <v>90004</v>
      </c>
      <c r="M603" s="7">
        <v>0</v>
      </c>
      <c r="O603" s="7">
        <v>25384</v>
      </c>
      <c r="Q603" s="7">
        <v>401391</v>
      </c>
      <c r="S603" s="7">
        <v>538485</v>
      </c>
      <c r="U603" s="7">
        <v>22187</v>
      </c>
      <c r="W603" s="7">
        <v>704715</v>
      </c>
      <c r="Y603" s="7">
        <v>330359</v>
      </c>
      <c r="AA603" s="7">
        <v>0</v>
      </c>
      <c r="AC603" s="7">
        <v>1046402</v>
      </c>
      <c r="AE603" s="7">
        <v>632315</v>
      </c>
      <c r="AG603" s="7">
        <v>739</v>
      </c>
      <c r="AI603" s="12" t="s">
        <v>247</v>
      </c>
      <c r="AJ603" s="12"/>
      <c r="AK603" s="12" t="s">
        <v>113</v>
      </c>
      <c r="AL603" s="12"/>
      <c r="AM603" s="7">
        <v>0</v>
      </c>
      <c r="AO603" s="7">
        <v>547074</v>
      </c>
      <c r="AQ603" s="7">
        <v>306195</v>
      </c>
      <c r="AS603" s="7">
        <v>95044</v>
      </c>
      <c r="AW603" s="7">
        <v>0</v>
      </c>
      <c r="AY603" s="7">
        <f t="shared" si="99"/>
        <v>10999822</v>
      </c>
      <c r="BA603" s="7">
        <f>+'St of Activites - GA Rev'!AI603-'St of Activities - GA Exp'!AY603</f>
        <v>325086</v>
      </c>
      <c r="BC603" s="7">
        <v>9008864</v>
      </c>
      <c r="BE603" s="7">
        <f t="shared" si="100"/>
        <v>9333950</v>
      </c>
      <c r="BG603" s="7">
        <f>+'St of Net Assets - GA'!AA603-'St of Activities - GA Exp'!BE603</f>
        <v>0</v>
      </c>
      <c r="BL603" s="7" t="str">
        <f t="shared" si="101"/>
        <v>Williamsburg Local SD</v>
      </c>
      <c r="BM603" s="7" t="b">
        <f t="shared" si="102"/>
        <v>1</v>
      </c>
      <c r="BO603" s="7" t="str">
        <f t="shared" si="103"/>
        <v>Clermont</v>
      </c>
      <c r="BP603" s="7" t="b">
        <f t="shared" si="104"/>
        <v>1</v>
      </c>
    </row>
    <row r="604" spans="1:68">
      <c r="A604" s="12" t="s">
        <v>376</v>
      </c>
      <c r="B604" s="12"/>
      <c r="C604" s="12" t="s">
        <v>41</v>
      </c>
      <c r="D604" s="12"/>
      <c r="E604" s="12">
        <v>45104</v>
      </c>
      <c r="G604" s="7">
        <v>40404785</v>
      </c>
      <c r="I604" s="7">
        <v>17193287</v>
      </c>
      <c r="K604" s="7">
        <v>1494792</v>
      </c>
      <c r="M604" s="7">
        <v>0</v>
      </c>
      <c r="O604" s="7">
        <v>314215</v>
      </c>
      <c r="Q604" s="7">
        <v>8121363</v>
      </c>
      <c r="S604" s="7">
        <v>3678374</v>
      </c>
      <c r="U604" s="7">
        <v>386092</v>
      </c>
      <c r="W604" s="7">
        <v>5546694</v>
      </c>
      <c r="Y604" s="7">
        <v>1744151</v>
      </c>
      <c r="AA604" s="7">
        <v>356833</v>
      </c>
      <c r="AC604" s="7">
        <v>8955767</v>
      </c>
      <c r="AE604" s="7">
        <v>7025333</v>
      </c>
      <c r="AG604" s="7">
        <v>1402624</v>
      </c>
      <c r="AI604" s="12" t="s">
        <v>376</v>
      </c>
      <c r="AJ604" s="12"/>
      <c r="AK604" s="12" t="s">
        <v>41</v>
      </c>
      <c r="AL604" s="12"/>
      <c r="AM604" s="7">
        <v>2515616</v>
      </c>
      <c r="AO604" s="7">
        <v>1299594</v>
      </c>
      <c r="AQ604" s="7">
        <v>2121184</v>
      </c>
      <c r="AS604" s="7">
        <v>425468</v>
      </c>
      <c r="AW604" s="7">
        <v>0</v>
      </c>
      <c r="AY604" s="7">
        <f t="shared" si="99"/>
        <v>102986172</v>
      </c>
      <c r="BA604" s="7">
        <f>+'St of Activites - GA Rev'!AI604-'St of Activities - GA Exp'!AY604</f>
        <v>-877510</v>
      </c>
      <c r="BC604" s="7">
        <v>20673325</v>
      </c>
      <c r="BE604" s="7">
        <f t="shared" si="100"/>
        <v>19795815</v>
      </c>
      <c r="BG604" s="7">
        <f>+'St of Net Assets - GA'!AA604-'St of Activities - GA Exp'!BE604</f>
        <v>0</v>
      </c>
      <c r="BL604" s="7" t="str">
        <f t="shared" si="101"/>
        <v>Willoughby-Eastlake City SD</v>
      </c>
      <c r="BM604" s="7" t="b">
        <f t="shared" si="102"/>
        <v>1</v>
      </c>
      <c r="BO604" s="7" t="str">
        <f t="shared" si="103"/>
        <v>Lake</v>
      </c>
      <c r="BP604" s="7" t="b">
        <f t="shared" si="104"/>
        <v>1</v>
      </c>
    </row>
    <row r="605" spans="1:68">
      <c r="A605" s="12" t="s">
        <v>251</v>
      </c>
      <c r="B605" s="12"/>
      <c r="C605" s="12" t="s">
        <v>18</v>
      </c>
      <c r="D605" s="12"/>
      <c r="E605" s="12">
        <v>45112</v>
      </c>
      <c r="G605" s="7">
        <v>14165496</v>
      </c>
      <c r="I605" s="7">
        <v>2491833</v>
      </c>
      <c r="K605" s="7">
        <v>237268</v>
      </c>
      <c r="M605" s="7">
        <v>0</v>
      </c>
      <c r="O605" s="7">
        <v>503703</v>
      </c>
      <c r="Q605" s="7">
        <v>1533672</v>
      </c>
      <c r="S605" s="7">
        <v>1843288</v>
      </c>
      <c r="U605" s="7">
        <v>175569</v>
      </c>
      <c r="W605" s="7">
        <v>1538311</v>
      </c>
      <c r="Y605" s="7">
        <v>702795</v>
      </c>
      <c r="AA605" s="7">
        <v>288521</v>
      </c>
      <c r="AC605" s="7">
        <v>2153039</v>
      </c>
      <c r="AE605" s="7">
        <v>1385279</v>
      </c>
      <c r="AG605" s="7">
        <v>326381</v>
      </c>
      <c r="AI605" s="12" t="s">
        <v>251</v>
      </c>
      <c r="AJ605" s="12"/>
      <c r="AK605" s="12" t="s">
        <v>18</v>
      </c>
      <c r="AL605" s="12"/>
      <c r="AM605" s="7">
        <v>0</v>
      </c>
      <c r="AO605" s="7">
        <v>1399553</v>
      </c>
      <c r="AQ605" s="7">
        <v>533571</v>
      </c>
      <c r="AS605" s="7">
        <v>323834</v>
      </c>
      <c r="AW605" s="7">
        <v>0</v>
      </c>
      <c r="AY605" s="7">
        <f t="shared" si="99"/>
        <v>29602113</v>
      </c>
      <c r="BA605" s="7">
        <f>+'St of Activites - GA Rev'!AI605-'St of Activities - GA Exp'!AY605</f>
        <v>-324194</v>
      </c>
      <c r="BC605" s="7">
        <v>18025500</v>
      </c>
      <c r="BE605" s="7">
        <f t="shared" si="100"/>
        <v>17701306</v>
      </c>
      <c r="BG605" s="7">
        <f>+'St of Net Assets - GA'!AA605-'St of Activities - GA Exp'!BE605</f>
        <v>0</v>
      </c>
      <c r="BL605" s="7" t="str">
        <f t="shared" si="101"/>
        <v>Wilmington City SD</v>
      </c>
      <c r="BM605" s="7" t="b">
        <f t="shared" si="102"/>
        <v>1</v>
      </c>
      <c r="BO605" s="7" t="str">
        <f t="shared" si="103"/>
        <v>Clinton</v>
      </c>
      <c r="BP605" s="7" t="b">
        <f t="shared" si="104"/>
        <v>1</v>
      </c>
    </row>
    <row r="606" spans="1:68">
      <c r="A606" s="12" t="s">
        <v>891</v>
      </c>
      <c r="B606" s="12"/>
      <c r="C606" s="12" t="s">
        <v>56</v>
      </c>
      <c r="D606" s="12"/>
      <c r="E606" s="12">
        <v>45666</v>
      </c>
      <c r="G606" s="7">
        <v>4102147</v>
      </c>
      <c r="I606" s="7">
        <v>1728005</v>
      </c>
      <c r="K606" s="7">
        <v>193012</v>
      </c>
      <c r="M606" s="7">
        <v>0</v>
      </c>
      <c r="O606" s="7">
        <v>4227</v>
      </c>
      <c r="Q606" s="7">
        <v>522705</v>
      </c>
      <c r="S606" s="7">
        <v>478933</v>
      </c>
      <c r="U606" s="7">
        <v>38373</v>
      </c>
      <c r="W606" s="7">
        <v>677255</v>
      </c>
      <c r="Y606" s="7">
        <v>224117</v>
      </c>
      <c r="AA606" s="7">
        <v>15256</v>
      </c>
      <c r="AC606" s="7">
        <v>784292</v>
      </c>
      <c r="AE606" s="7">
        <v>383705</v>
      </c>
      <c r="AG606" s="7">
        <v>79575</v>
      </c>
      <c r="AI606" s="12" t="s">
        <v>891</v>
      </c>
      <c r="AJ606" s="12"/>
      <c r="AK606" s="12" t="s">
        <v>56</v>
      </c>
      <c r="AL606" s="12"/>
      <c r="AM606" s="7">
        <v>364513</v>
      </c>
      <c r="AO606" s="7">
        <v>0</v>
      </c>
      <c r="AQ606" s="7">
        <v>232527</v>
      </c>
      <c r="AS606" s="7">
        <v>35251</v>
      </c>
      <c r="AW606" s="7">
        <v>0</v>
      </c>
      <c r="AY606" s="7">
        <f t="shared" si="99"/>
        <v>9863893</v>
      </c>
      <c r="BA606" s="7">
        <f>+'St of Activites - GA Rev'!AI606-'St of Activities - GA Exp'!AY606</f>
        <v>9171</v>
      </c>
      <c r="BC606" s="7">
        <v>17878150</v>
      </c>
      <c r="BE606" s="7">
        <f t="shared" si="100"/>
        <v>17887321</v>
      </c>
      <c r="BG606" s="7">
        <f>+'St of Net Assets - GA'!AA606-'St of Activities - GA Exp'!BE606</f>
        <v>0</v>
      </c>
      <c r="BL606" s="7" t="str">
        <f t="shared" si="101"/>
        <v>Windham Exempted Village SD</v>
      </c>
      <c r="BM606" s="7" t="b">
        <f t="shared" si="102"/>
        <v>1</v>
      </c>
      <c r="BO606" s="7" t="str">
        <f t="shared" si="103"/>
        <v>Portage</v>
      </c>
      <c r="BP606" s="7" t="b">
        <f t="shared" si="104"/>
        <v>1</v>
      </c>
    </row>
    <row r="607" spans="1:68">
      <c r="A607" s="12" t="s">
        <v>341</v>
      </c>
      <c r="B607" s="12"/>
      <c r="C607" s="12" t="s">
        <v>32</v>
      </c>
      <c r="D607" s="12"/>
      <c r="E607" s="12">
        <v>44081</v>
      </c>
      <c r="G607" s="7">
        <v>19414523</v>
      </c>
      <c r="I607" s="7">
        <v>6370572</v>
      </c>
      <c r="K607" s="7">
        <v>332872</v>
      </c>
      <c r="M607" s="7">
        <v>0</v>
      </c>
      <c r="O607" s="7">
        <v>1316</v>
      </c>
      <c r="Q607" s="7">
        <v>2309917</v>
      </c>
      <c r="S607" s="7">
        <v>3841740</v>
      </c>
      <c r="U607" s="7">
        <v>83595</v>
      </c>
      <c r="W607" s="7">
        <v>3626781</v>
      </c>
      <c r="Y607" s="7">
        <v>1300255</v>
      </c>
      <c r="AA607" s="7">
        <v>442823</v>
      </c>
      <c r="AC607" s="7">
        <v>3733674</v>
      </c>
      <c r="AE607" s="7">
        <v>2399023</v>
      </c>
      <c r="AG607" s="7">
        <v>824967</v>
      </c>
      <c r="AI607" s="12" t="s">
        <v>341</v>
      </c>
      <c r="AJ607" s="12"/>
      <c r="AK607" s="12" t="s">
        <v>32</v>
      </c>
      <c r="AL607" s="12"/>
      <c r="AM607" s="7">
        <v>0</v>
      </c>
      <c r="AO607" s="7">
        <v>1762111</v>
      </c>
      <c r="AQ607" s="7">
        <v>1001762</v>
      </c>
      <c r="AS607" s="7">
        <v>176162</v>
      </c>
      <c r="AW607" s="7">
        <v>0</v>
      </c>
      <c r="AY607" s="7">
        <f t="shared" si="99"/>
        <v>47622093</v>
      </c>
      <c r="BA607" s="7">
        <f>+'St of Activites - GA Rev'!AI607-'St of Activities - GA Exp'!AY607</f>
        <v>2168592</v>
      </c>
      <c r="BC607" s="7">
        <v>12919478</v>
      </c>
      <c r="BE607" s="7">
        <f t="shared" si="100"/>
        <v>15088070</v>
      </c>
      <c r="BG607" s="7">
        <f>+'St of Net Assets - GA'!AA607-'St of Activities - GA Exp'!BE607</f>
        <v>0</v>
      </c>
      <c r="BL607" s="7" t="str">
        <f t="shared" si="101"/>
        <v>Winton Woods City SD</v>
      </c>
      <c r="BM607" s="7" t="b">
        <f t="shared" si="102"/>
        <v>1</v>
      </c>
      <c r="BO607" s="7" t="str">
        <f t="shared" si="103"/>
        <v>Hamilton</v>
      </c>
      <c r="BP607" s="7" t="b">
        <f t="shared" si="104"/>
        <v>1</v>
      </c>
    </row>
    <row r="608" spans="1:68">
      <c r="A608" s="12" t="s">
        <v>567</v>
      </c>
      <c r="B608" s="12"/>
      <c r="C608" s="12" t="s">
        <v>70</v>
      </c>
      <c r="D608" s="12"/>
      <c r="E608" s="12">
        <v>50518</v>
      </c>
      <c r="G608" s="7">
        <v>3289110</v>
      </c>
      <c r="I608" s="7">
        <v>554980</v>
      </c>
      <c r="K608" s="7">
        <v>166220</v>
      </c>
      <c r="M608" s="7">
        <v>0</v>
      </c>
      <c r="O608" s="7">
        <v>0</v>
      </c>
      <c r="Q608" s="7">
        <v>249881</v>
      </c>
      <c r="S608" s="7">
        <v>415740</v>
      </c>
      <c r="U608" s="7">
        <v>28830</v>
      </c>
      <c r="W608" s="7">
        <v>480606</v>
      </c>
      <c r="Y608" s="7">
        <v>579590</v>
      </c>
      <c r="AA608" s="7">
        <v>0</v>
      </c>
      <c r="AC608" s="7">
        <v>569556</v>
      </c>
      <c r="AE608" s="7">
        <v>407527</v>
      </c>
      <c r="AG608" s="7">
        <v>33708</v>
      </c>
      <c r="AI608" s="12" t="s">
        <v>567</v>
      </c>
      <c r="AJ608" s="12"/>
      <c r="AK608" s="12" t="s">
        <v>70</v>
      </c>
      <c r="AL608" s="12"/>
      <c r="AM608" s="7">
        <v>217024</v>
      </c>
      <c r="AO608" s="7">
        <v>7228</v>
      </c>
      <c r="AQ608" s="7">
        <v>274278</v>
      </c>
      <c r="AS608" s="7">
        <v>319576</v>
      </c>
      <c r="AW608" s="7">
        <v>0</v>
      </c>
      <c r="AY608" s="7">
        <f t="shared" si="99"/>
        <v>7593854</v>
      </c>
      <c r="BA608" s="7">
        <f>+'St of Activites - GA Rev'!AI608-'St of Activities - GA Exp'!AY608</f>
        <v>1238890</v>
      </c>
      <c r="BC608" s="7">
        <v>8936279</v>
      </c>
      <c r="BE608" s="7">
        <f t="shared" si="100"/>
        <v>10175169</v>
      </c>
      <c r="BG608" s="7">
        <f>+'St of Net Assets - GA'!AA608-'St of Activities - GA Exp'!BE608</f>
        <v>0</v>
      </c>
      <c r="BL608" s="7" t="str">
        <f t="shared" si="101"/>
        <v>Wolf Creek Local SD</v>
      </c>
      <c r="BM608" s="7" t="b">
        <f t="shared" si="102"/>
        <v>1</v>
      </c>
      <c r="BO608" s="7" t="str">
        <f t="shared" si="103"/>
        <v>Washington</v>
      </c>
      <c r="BP608" s="7" t="b">
        <f t="shared" si="104"/>
        <v>1</v>
      </c>
    </row>
    <row r="609" spans="1:68">
      <c r="A609" s="12" t="s">
        <v>493</v>
      </c>
      <c r="B609" s="12"/>
      <c r="C609" s="12" t="s">
        <v>79</v>
      </c>
      <c r="D609" s="12"/>
      <c r="E609" s="12">
        <v>49577</v>
      </c>
      <c r="G609" s="7">
        <v>5393237</v>
      </c>
      <c r="I609" s="7">
        <v>861953</v>
      </c>
      <c r="K609" s="7">
        <v>9064</v>
      </c>
      <c r="M609" s="7">
        <v>0</v>
      </c>
      <c r="O609" s="7">
        <v>4026</v>
      </c>
      <c r="Q609" s="7">
        <v>587858</v>
      </c>
      <c r="S609" s="7">
        <v>214485</v>
      </c>
      <c r="U609" s="7">
        <v>57667</v>
      </c>
      <c r="W609" s="7">
        <v>912865</v>
      </c>
      <c r="Y609" s="7">
        <v>313517</v>
      </c>
      <c r="AA609" s="7">
        <v>0</v>
      </c>
      <c r="AC609" s="7">
        <v>928202</v>
      </c>
      <c r="AE609" s="7">
        <v>533423</v>
      </c>
      <c r="AG609" s="7">
        <v>0</v>
      </c>
      <c r="AI609" s="12" t="s">
        <v>493</v>
      </c>
      <c r="AJ609" s="12"/>
      <c r="AK609" s="12" t="s">
        <v>79</v>
      </c>
      <c r="AL609" s="12"/>
      <c r="AM609" s="7">
        <v>364659</v>
      </c>
      <c r="AO609" s="7">
        <v>53035</v>
      </c>
      <c r="AQ609" s="7">
        <v>288957</v>
      </c>
      <c r="AS609" s="7">
        <v>8197</v>
      </c>
      <c r="AW609" s="7">
        <v>0</v>
      </c>
      <c r="AY609" s="7">
        <f t="shared" si="99"/>
        <v>10531145</v>
      </c>
      <c r="BA609" s="7">
        <f>+'St of Activites - GA Rev'!AI609-'St of Activities - GA Exp'!AY609</f>
        <v>961924</v>
      </c>
      <c r="BC609" s="7">
        <v>6459786</v>
      </c>
      <c r="BE609" s="7">
        <f t="shared" si="100"/>
        <v>7421710</v>
      </c>
      <c r="BG609" s="7">
        <f>+'St of Net Assets - GA'!AA609-'St of Activities - GA Exp'!BE609</f>
        <v>0</v>
      </c>
      <c r="BL609" s="7" t="str">
        <f t="shared" si="101"/>
        <v>Woodmore Local SD</v>
      </c>
      <c r="BM609" s="7" t="b">
        <f t="shared" si="102"/>
        <v>1</v>
      </c>
      <c r="BO609" s="7" t="str">
        <f t="shared" si="103"/>
        <v>Sandusky</v>
      </c>
      <c r="BP609" s="7" t="b">
        <f t="shared" si="104"/>
        <v>1</v>
      </c>
    </row>
    <row r="610" spans="1:68">
      <c r="A610" s="12" t="s">
        <v>533</v>
      </c>
      <c r="B610" s="12"/>
      <c r="C610" s="12" t="s">
        <v>63</v>
      </c>
      <c r="D610" s="12"/>
      <c r="E610" s="12">
        <v>49973</v>
      </c>
      <c r="G610" s="7">
        <v>10911776</v>
      </c>
      <c r="I610" s="7">
        <v>3605156</v>
      </c>
      <c r="K610" s="7">
        <v>351921</v>
      </c>
      <c r="M610" s="7">
        <v>0</v>
      </c>
      <c r="O610" s="7">
        <v>461896</v>
      </c>
      <c r="Q610" s="7">
        <v>1399177</v>
      </c>
      <c r="S610" s="7">
        <v>537462</v>
      </c>
      <c r="U610" s="7">
        <v>31052</v>
      </c>
      <c r="W610" s="7">
        <v>2139573</v>
      </c>
      <c r="Y610" s="7">
        <v>618442</v>
      </c>
      <c r="AA610" s="7">
        <v>49268</v>
      </c>
      <c r="AC610" s="7">
        <v>1909359</v>
      </c>
      <c r="AE610" s="7">
        <v>1754338</v>
      </c>
      <c r="AG610" s="7">
        <v>236962</v>
      </c>
      <c r="AI610" s="12" t="s">
        <v>533</v>
      </c>
      <c r="AJ610" s="12"/>
      <c r="AK610" s="12" t="s">
        <v>63</v>
      </c>
      <c r="AL610" s="12"/>
      <c r="AM610" s="7">
        <v>804443</v>
      </c>
      <c r="AO610" s="7">
        <v>18398</v>
      </c>
      <c r="AQ610" s="7">
        <v>763956</v>
      </c>
      <c r="AS610" s="7">
        <v>649622</v>
      </c>
      <c r="AW610" s="7">
        <v>0</v>
      </c>
      <c r="AY610" s="7">
        <f t="shared" si="99"/>
        <v>26242801</v>
      </c>
      <c r="BA610" s="7">
        <f>+'St of Activites - GA Rev'!AI610-'St of Activities - GA Exp'!AY610</f>
        <v>-763124</v>
      </c>
      <c r="BC610" s="7">
        <v>12505528</v>
      </c>
      <c r="BE610" s="7">
        <f t="shared" si="100"/>
        <v>11742404</v>
      </c>
      <c r="BG610" s="7">
        <f>+'St of Net Assets - GA'!AA610-'St of Activities - GA Exp'!BE610</f>
        <v>0</v>
      </c>
      <c r="BL610" s="7" t="str">
        <f t="shared" si="101"/>
        <v>Woodridge Local SD</v>
      </c>
      <c r="BM610" s="7" t="b">
        <f t="shared" si="102"/>
        <v>1</v>
      </c>
      <c r="BO610" s="7" t="str">
        <f t="shared" si="103"/>
        <v>Summit</v>
      </c>
      <c r="BP610" s="7" t="b">
        <f t="shared" si="104"/>
        <v>1</v>
      </c>
    </row>
    <row r="611" spans="1:68">
      <c r="A611" s="12" t="s">
        <v>650</v>
      </c>
      <c r="B611" s="12"/>
      <c r="C611" s="12" t="s">
        <v>71</v>
      </c>
      <c r="D611" s="12"/>
      <c r="E611" s="12">
        <v>45138</v>
      </c>
      <c r="G611" s="7">
        <v>18662304</v>
      </c>
      <c r="I611" s="7">
        <v>5684152</v>
      </c>
      <c r="K611" s="7">
        <v>397441</v>
      </c>
      <c r="M611" s="7">
        <v>138004</v>
      </c>
      <c r="O611" s="7">
        <v>2354936</v>
      </c>
      <c r="Q611" s="7">
        <v>2086637</v>
      </c>
      <c r="S611" s="7">
        <v>2173541</v>
      </c>
      <c r="U611" s="7">
        <v>51587</v>
      </c>
      <c r="W611" s="7">
        <v>2877226</v>
      </c>
      <c r="Y611" s="7">
        <v>972329</v>
      </c>
      <c r="AA611" s="7">
        <v>221316</v>
      </c>
      <c r="AC611" s="7">
        <v>4710760</v>
      </c>
      <c r="AE611" s="7">
        <v>1707292</v>
      </c>
      <c r="AG611" s="7">
        <v>711178</v>
      </c>
      <c r="AI611" s="12" t="s">
        <v>650</v>
      </c>
      <c r="AJ611" s="12"/>
      <c r="AK611" s="12" t="s">
        <v>71</v>
      </c>
      <c r="AL611" s="12"/>
      <c r="AM611" s="7">
        <v>0</v>
      </c>
      <c r="AO611" s="7">
        <v>412310</v>
      </c>
      <c r="AQ611" s="7">
        <v>684525</v>
      </c>
      <c r="AS611" s="7">
        <v>1199937</v>
      </c>
      <c r="AW611" s="7">
        <v>90356</v>
      </c>
      <c r="AY611" s="7">
        <f t="shared" si="99"/>
        <v>45135831</v>
      </c>
      <c r="BA611" s="7">
        <f>+'St of Activites - GA Rev'!AI611-'St of Activities - GA Exp'!AY611</f>
        <v>3453107</v>
      </c>
      <c r="BC611" s="7">
        <v>30023560</v>
      </c>
      <c r="BE611" s="7">
        <f t="shared" si="100"/>
        <v>33476667</v>
      </c>
      <c r="BG611" s="7">
        <f>+'St of Net Assets - GA'!AA611-'St of Activities - GA Exp'!BE611</f>
        <v>0</v>
      </c>
      <c r="BL611" s="7" t="str">
        <f t="shared" si="101"/>
        <v>Wooster City SD</v>
      </c>
      <c r="BM611" s="7" t="b">
        <f t="shared" si="102"/>
        <v>1</v>
      </c>
      <c r="BO611" s="7" t="str">
        <f t="shared" si="103"/>
        <v>Wayne</v>
      </c>
      <c r="BP611" s="7" t="b">
        <f t="shared" si="104"/>
        <v>1</v>
      </c>
    </row>
    <row r="612" spans="1:68" ht="12" customHeight="1">
      <c r="A612" s="12" t="s">
        <v>317</v>
      </c>
      <c r="B612" s="12"/>
      <c r="C612" s="12" t="s">
        <v>27</v>
      </c>
      <c r="D612" s="12"/>
      <c r="E612" s="12">
        <v>46524</v>
      </c>
      <c r="G612" s="7">
        <v>61948546</v>
      </c>
      <c r="I612" s="7">
        <v>13847900</v>
      </c>
      <c r="K612" s="7">
        <v>1295740</v>
      </c>
      <c r="M612" s="7">
        <v>2320</v>
      </c>
      <c r="O612" s="7">
        <v>0</v>
      </c>
      <c r="Q612" s="7">
        <v>6184067</v>
      </c>
      <c r="S612" s="7">
        <v>11248835</v>
      </c>
      <c r="U612" s="7">
        <v>54500</v>
      </c>
      <c r="W612" s="7">
        <v>8695004</v>
      </c>
      <c r="Y612" s="7">
        <v>0</v>
      </c>
      <c r="AA612" s="7">
        <v>2835885</v>
      </c>
      <c r="AC612" s="7">
        <v>14276316</v>
      </c>
      <c r="AE612" s="7">
        <v>4335906</v>
      </c>
      <c r="AG612" s="7">
        <v>1547692</v>
      </c>
      <c r="AI612" s="12" t="s">
        <v>317</v>
      </c>
      <c r="AJ612" s="12"/>
      <c r="AK612" s="12" t="s">
        <v>27</v>
      </c>
      <c r="AL612" s="12"/>
      <c r="AM612" s="7">
        <v>3393287</v>
      </c>
      <c r="AO612" s="7">
        <v>1605646</v>
      </c>
      <c r="AQ612" s="7">
        <v>2696681</v>
      </c>
      <c r="AS612" s="7">
        <v>2496537</v>
      </c>
      <c r="AW612" s="7">
        <v>0</v>
      </c>
      <c r="AY612" s="7">
        <f t="shared" si="99"/>
        <v>136464862</v>
      </c>
      <c r="BA612" s="7">
        <f>+'St of Activites - GA Rev'!AI612-'St of Activities - GA Exp'!AY612</f>
        <v>1634060</v>
      </c>
      <c r="BC612" s="7">
        <v>79762877</v>
      </c>
      <c r="BE612" s="7">
        <f t="shared" si="100"/>
        <v>81396937</v>
      </c>
      <c r="BG612" s="7">
        <f>+'St of Net Assets - GA'!AA612-'St of Activities - GA Exp'!BE612</f>
        <v>0</v>
      </c>
      <c r="BL612" s="7" t="str">
        <f t="shared" si="101"/>
        <v>Worthington City SD</v>
      </c>
      <c r="BM612" s="7" t="b">
        <f t="shared" si="102"/>
        <v>1</v>
      </c>
      <c r="BO612" s="7" t="str">
        <f t="shared" si="103"/>
        <v>Franklin</v>
      </c>
      <c r="BP612" s="7" t="b">
        <f t="shared" si="104"/>
        <v>1</v>
      </c>
    </row>
    <row r="613" spans="1:68">
      <c r="A613" s="12" t="s">
        <v>266</v>
      </c>
      <c r="B613" s="12"/>
      <c r="C613" s="12" t="s">
        <v>111</v>
      </c>
      <c r="D613" s="12"/>
      <c r="E613" s="12">
        <v>45146</v>
      </c>
      <c r="G613" s="7">
        <v>4757264</v>
      </c>
      <c r="I613" s="7">
        <v>1240644</v>
      </c>
      <c r="K613" s="7">
        <v>5145</v>
      </c>
      <c r="M613" s="7">
        <v>0</v>
      </c>
      <c r="O613" s="7">
        <v>617806</v>
      </c>
      <c r="Q613" s="7">
        <v>995295</v>
      </c>
      <c r="S613" s="7">
        <v>474030</v>
      </c>
      <c r="U613" s="7">
        <v>6744</v>
      </c>
      <c r="W613" s="7">
        <v>861965</v>
      </c>
      <c r="Y613" s="7">
        <v>375425</v>
      </c>
      <c r="AA613" s="7">
        <v>16870</v>
      </c>
      <c r="AC613" s="7">
        <v>695227</v>
      </c>
      <c r="AE613" s="7">
        <v>743822</v>
      </c>
      <c r="AG613" s="7">
        <v>50307</v>
      </c>
      <c r="AI613" s="12" t="s">
        <v>266</v>
      </c>
      <c r="AJ613" s="12"/>
      <c r="AK613" s="12" t="s">
        <v>111</v>
      </c>
      <c r="AL613" s="12"/>
      <c r="AM613" s="7">
        <v>483428</v>
      </c>
      <c r="AO613" s="7">
        <v>600</v>
      </c>
      <c r="AQ613" s="7">
        <v>380152</v>
      </c>
      <c r="AS613" s="7">
        <v>275510</v>
      </c>
      <c r="AW613" s="7">
        <v>0</v>
      </c>
      <c r="AY613" s="7">
        <f t="shared" si="99"/>
        <v>11980234</v>
      </c>
      <c r="BA613" s="7">
        <f>+'St of Activites - GA Rev'!AI613-'St of Activities - GA Exp'!AY613</f>
        <v>329285</v>
      </c>
      <c r="BC613" s="7">
        <v>3903613</v>
      </c>
      <c r="BE613" s="7">
        <f t="shared" si="100"/>
        <v>4232898</v>
      </c>
      <c r="BG613" s="7">
        <f>+'St of Net Assets - GA'!AA613-'St of Activities - GA Exp'!BE613</f>
        <v>0</v>
      </c>
      <c r="BL613" s="7" t="str">
        <f t="shared" si="101"/>
        <v>Wynford Local SD</v>
      </c>
      <c r="BM613" s="7" t="b">
        <f t="shared" si="102"/>
        <v>1</v>
      </c>
      <c r="BO613" s="7" t="str">
        <f t="shared" si="103"/>
        <v>Crawford</v>
      </c>
      <c r="BP613" s="7" t="b">
        <f t="shared" si="104"/>
        <v>1</v>
      </c>
    </row>
    <row r="614" spans="1:68" ht="12" customHeight="1">
      <c r="A614" s="12" t="s">
        <v>342</v>
      </c>
      <c r="B614" s="12"/>
      <c r="C614" s="12" t="s">
        <v>32</v>
      </c>
      <c r="D614" s="12"/>
      <c r="E614" s="12">
        <v>45153</v>
      </c>
      <c r="G614" s="7">
        <v>11510913</v>
      </c>
      <c r="I614" s="7">
        <v>2387700</v>
      </c>
      <c r="K614" s="7">
        <v>106326</v>
      </c>
      <c r="M614" s="7">
        <v>0</v>
      </c>
      <c r="O614" s="7">
        <v>18396</v>
      </c>
      <c r="Q614" s="7">
        <v>1722340</v>
      </c>
      <c r="S614" s="7">
        <v>1124331</v>
      </c>
      <c r="U614" s="7">
        <v>225222</v>
      </c>
      <c r="W614" s="7">
        <v>1612827</v>
      </c>
      <c r="Y614" s="7">
        <v>930426</v>
      </c>
      <c r="AA614" s="7">
        <v>1113</v>
      </c>
      <c r="AC614" s="7">
        <v>2217921</v>
      </c>
      <c r="AE614" s="7">
        <v>483774</v>
      </c>
      <c r="AG614" s="7">
        <v>144944</v>
      </c>
      <c r="AI614" s="12" t="s">
        <v>342</v>
      </c>
      <c r="AJ614" s="12"/>
      <c r="AK614" s="12" t="s">
        <v>32</v>
      </c>
      <c r="AL614" s="12"/>
      <c r="AM614" s="7">
        <v>0</v>
      </c>
      <c r="AO614" s="7">
        <v>694413</v>
      </c>
      <c r="AQ614" s="7">
        <v>754760</v>
      </c>
      <c r="AS614" s="7">
        <v>1058696</v>
      </c>
      <c r="AW614" s="7">
        <v>0</v>
      </c>
      <c r="AY614" s="7">
        <f t="shared" si="99"/>
        <v>24994102</v>
      </c>
      <c r="BA614" s="7">
        <f>+'St of Activites - GA Rev'!AI614-'St of Activities - GA Exp'!AY614</f>
        <v>1330742</v>
      </c>
      <c r="BC614" s="7">
        <v>15757671</v>
      </c>
      <c r="BE614" s="7">
        <f t="shared" si="100"/>
        <v>17088413</v>
      </c>
      <c r="BG614" s="7">
        <f>+'St of Net Assets - GA'!AA614-'St of Activities - GA Exp'!BE614</f>
        <v>0</v>
      </c>
      <c r="BL614" s="7" t="str">
        <f t="shared" si="101"/>
        <v>Wyoming City SD</v>
      </c>
      <c r="BM614" s="7" t="b">
        <f t="shared" si="102"/>
        <v>1</v>
      </c>
      <c r="BO614" s="7" t="str">
        <f t="shared" si="103"/>
        <v>Hamilton</v>
      </c>
      <c r="BP614" s="7" t="b">
        <f t="shared" si="104"/>
        <v>1</v>
      </c>
    </row>
    <row r="615" spans="1:68">
      <c r="A615" s="12" t="s">
        <v>892</v>
      </c>
      <c r="B615" s="12"/>
      <c r="C615" s="12" t="s">
        <v>114</v>
      </c>
      <c r="D615" s="12"/>
      <c r="E615" s="12">
        <v>45674</v>
      </c>
      <c r="G615" s="7">
        <v>4144199</v>
      </c>
      <c r="I615" s="7">
        <v>818462</v>
      </c>
      <c r="K615" s="7">
        <v>0</v>
      </c>
      <c r="M615" s="7">
        <v>17672</v>
      </c>
      <c r="O615" s="7">
        <v>229002</v>
      </c>
      <c r="Q615" s="7">
        <v>431905</v>
      </c>
      <c r="S615" s="7">
        <v>483028</v>
      </c>
      <c r="U615" s="7">
        <v>46346</v>
      </c>
      <c r="W615" s="7">
        <v>763520</v>
      </c>
      <c r="Y615" s="7">
        <v>366303</v>
      </c>
      <c r="AA615" s="7">
        <v>0</v>
      </c>
      <c r="AC615" s="7">
        <v>747591</v>
      </c>
      <c r="AE615" s="7">
        <v>238983</v>
      </c>
      <c r="AG615" s="7">
        <v>39449</v>
      </c>
      <c r="AI615" s="12" t="s">
        <v>892</v>
      </c>
      <c r="AJ615" s="12"/>
      <c r="AK615" s="12" t="s">
        <v>114</v>
      </c>
      <c r="AL615" s="12"/>
      <c r="AM615" s="7">
        <v>0</v>
      </c>
      <c r="AO615" s="7">
        <v>241787</v>
      </c>
      <c r="AQ615" s="7">
        <v>226104</v>
      </c>
      <c r="AS615" s="7">
        <v>362932</v>
      </c>
      <c r="AW615" s="7">
        <v>0</v>
      </c>
      <c r="AY615" s="7">
        <f t="shared" si="99"/>
        <v>9157283</v>
      </c>
      <c r="BA615" s="7">
        <f>+'St of Activites - GA Rev'!AI615-'St of Activities - GA Exp'!AY615</f>
        <v>-912849</v>
      </c>
      <c r="BC615" s="7">
        <v>4552936</v>
      </c>
      <c r="BE615" s="7">
        <f t="shared" si="100"/>
        <v>3640087</v>
      </c>
      <c r="BG615" s="7">
        <f>+'St of Net Assets - GA'!AA615-'St of Activities - GA Exp'!BE615</f>
        <v>0</v>
      </c>
      <c r="BL615" s="7" t="str">
        <f t="shared" si="101"/>
        <v>Yellow Springs Exempted Village SD</v>
      </c>
      <c r="BM615" s="7" t="b">
        <f t="shared" si="102"/>
        <v>1</v>
      </c>
      <c r="BO615" s="7" t="str">
        <f t="shared" si="103"/>
        <v>Greene</v>
      </c>
      <c r="BP615" s="7" t="b">
        <f t="shared" si="104"/>
        <v>1</v>
      </c>
    </row>
    <row r="616" spans="1:68">
      <c r="A616" s="12" t="s">
        <v>422</v>
      </c>
      <c r="B616" s="12"/>
      <c r="C616" s="12" t="s">
        <v>45</v>
      </c>
      <c r="D616" s="12"/>
      <c r="E616" s="12">
        <v>45161</v>
      </c>
      <c r="G616" s="7">
        <v>61461836</v>
      </c>
      <c r="I616" s="7">
        <v>15667096</v>
      </c>
      <c r="K616" s="7">
        <v>3219051</v>
      </c>
      <c r="M616" s="7">
        <v>330816</v>
      </c>
      <c r="O616" s="7">
        <v>1913992</v>
      </c>
      <c r="Q616" s="7">
        <v>6240351</v>
      </c>
      <c r="S616" s="7">
        <v>9820904</v>
      </c>
      <c r="U616" s="7">
        <v>502420</v>
      </c>
      <c r="W616" s="7">
        <v>6691503</v>
      </c>
      <c r="Y616" s="7">
        <v>1819997</v>
      </c>
      <c r="AA616" s="7">
        <v>746879</v>
      </c>
      <c r="AC616" s="7">
        <v>11642937</v>
      </c>
      <c r="AE616" s="7">
        <v>5946743</v>
      </c>
      <c r="AG616" s="7">
        <v>977922</v>
      </c>
      <c r="AI616" s="12" t="s">
        <v>422</v>
      </c>
      <c r="AJ616" s="12"/>
      <c r="AK616" s="12" t="s">
        <v>45</v>
      </c>
      <c r="AL616" s="12"/>
      <c r="AM616" s="7">
        <v>3321341</v>
      </c>
      <c r="AO616" s="7">
        <v>1708035</v>
      </c>
      <c r="AQ616" s="7">
        <v>845370</v>
      </c>
      <c r="AS616" s="7">
        <v>1275538</v>
      </c>
      <c r="AW616" s="7">
        <v>0</v>
      </c>
      <c r="AY616" s="7">
        <f t="shared" si="99"/>
        <v>134132731</v>
      </c>
      <c r="BA616" s="7">
        <f>+'St of Activites - GA Rev'!AI616-'St of Activities - GA Exp'!AY616</f>
        <v>-2111172</v>
      </c>
      <c r="BC616" s="7">
        <v>137980512</v>
      </c>
      <c r="BE616" s="7">
        <f t="shared" si="100"/>
        <v>135869340</v>
      </c>
      <c r="BG616" s="7">
        <f>+'St of Net Assets - GA'!AA616-'St of Activities - GA Exp'!BE616</f>
        <v>0</v>
      </c>
      <c r="BL616" s="7" t="str">
        <f t="shared" si="101"/>
        <v>Youngstown City SD</v>
      </c>
      <c r="BM616" s="7" t="b">
        <f t="shared" si="102"/>
        <v>1</v>
      </c>
      <c r="BO616" s="7" t="str">
        <f t="shared" si="103"/>
        <v>Mahoning</v>
      </c>
      <c r="BP616" s="7" t="b">
        <f t="shared" si="104"/>
        <v>1</v>
      </c>
    </row>
    <row r="617" spans="1:68">
      <c r="A617" s="12" t="s">
        <v>492</v>
      </c>
      <c r="B617" s="12"/>
      <c r="C617" s="12" t="s">
        <v>58</v>
      </c>
      <c r="D617" s="12"/>
      <c r="E617" s="12">
        <v>49544</v>
      </c>
      <c r="G617" s="7">
        <v>7098423</v>
      </c>
      <c r="I617" s="7">
        <v>1374820</v>
      </c>
      <c r="K617" s="7">
        <v>7150</v>
      </c>
      <c r="M617" s="7">
        <v>0</v>
      </c>
      <c r="O617" s="7">
        <v>79795</v>
      </c>
      <c r="Q617" s="7">
        <v>575181</v>
      </c>
      <c r="S617" s="7">
        <v>406008</v>
      </c>
      <c r="U617" s="7">
        <v>496187</v>
      </c>
      <c r="W617" s="7">
        <v>920344</v>
      </c>
      <c r="Y617" s="7">
        <v>423572</v>
      </c>
      <c r="AA617" s="7">
        <v>0</v>
      </c>
      <c r="AC617" s="7">
        <v>1236168</v>
      </c>
      <c r="AE617" s="7">
        <v>1059703</v>
      </c>
      <c r="AG617" s="7">
        <v>147133</v>
      </c>
      <c r="AI617" s="12" t="s">
        <v>492</v>
      </c>
      <c r="AJ617" s="12"/>
      <c r="AK617" s="12" t="s">
        <v>58</v>
      </c>
      <c r="AL617" s="12"/>
      <c r="AM617" s="7">
        <v>0</v>
      </c>
      <c r="AO617" s="7">
        <v>589287</v>
      </c>
      <c r="AQ617" s="7">
        <v>438110</v>
      </c>
      <c r="AS617" s="7">
        <v>216766</v>
      </c>
      <c r="AW617" s="7">
        <v>0</v>
      </c>
      <c r="AY617" s="7">
        <f t="shared" si="99"/>
        <v>15068647</v>
      </c>
      <c r="BA617" s="7">
        <f>+'St of Activites - GA Rev'!AI617-'St of Activities - GA Exp'!AY617</f>
        <v>-595459</v>
      </c>
      <c r="BC617" s="7">
        <v>15048751</v>
      </c>
      <c r="BE617" s="7">
        <f t="shared" si="100"/>
        <v>14453292</v>
      </c>
      <c r="BG617" s="7">
        <f>+'St of Net Assets - GA'!AA617-'St of Activities - GA Exp'!BE617</f>
        <v>0</v>
      </c>
      <c r="BL617" s="7" t="str">
        <f t="shared" si="101"/>
        <v>Zane Trace Local SD</v>
      </c>
      <c r="BM617" s="7" t="b">
        <f t="shared" si="102"/>
        <v>1</v>
      </c>
      <c r="BO617" s="7" t="str">
        <f t="shared" si="103"/>
        <v>Ross</v>
      </c>
      <c r="BP617" s="7" t="b">
        <f t="shared" si="104"/>
        <v>1</v>
      </c>
    </row>
    <row r="618" spans="1:68">
      <c r="A618" s="12" t="s">
        <v>461</v>
      </c>
      <c r="B618" s="12"/>
      <c r="C618" s="12" t="s">
        <v>51</v>
      </c>
      <c r="D618" s="12"/>
      <c r="E618" s="12">
        <v>45179</v>
      </c>
      <c r="G618" s="7">
        <v>19613907</v>
      </c>
      <c r="I618" s="7">
        <v>7663990</v>
      </c>
      <c r="K618" s="7">
        <v>441195</v>
      </c>
      <c r="M618" s="7">
        <v>0</v>
      </c>
      <c r="O618" s="7">
        <v>1551851</v>
      </c>
      <c r="Q618" s="7">
        <v>2895891</v>
      </c>
      <c r="S618" s="7">
        <v>3887890</v>
      </c>
      <c r="U618" s="7">
        <v>140120</v>
      </c>
      <c r="W618" s="7">
        <v>2481207</v>
      </c>
      <c r="Y618" s="7">
        <v>692747</v>
      </c>
      <c r="AA618" s="7">
        <v>0</v>
      </c>
      <c r="AC618" s="7">
        <v>4978253</v>
      </c>
      <c r="AE618" s="7">
        <v>1454244</v>
      </c>
      <c r="AG618" s="7">
        <v>1395001</v>
      </c>
      <c r="AI618" s="12" t="s">
        <v>461</v>
      </c>
      <c r="AJ618" s="12"/>
      <c r="AK618" s="12" t="s">
        <v>51</v>
      </c>
      <c r="AL618" s="12"/>
      <c r="AM618" s="7">
        <v>2033551</v>
      </c>
      <c r="AO618" s="7">
        <v>479873</v>
      </c>
      <c r="AQ618" s="7">
        <v>784467</v>
      </c>
      <c r="AS618" s="7">
        <v>1511857</v>
      </c>
      <c r="AW618" s="7">
        <v>0</v>
      </c>
      <c r="AY618" s="7">
        <f t="shared" si="99"/>
        <v>52006044</v>
      </c>
      <c r="BA618" s="7">
        <f>+'St of Activites - GA Rev'!AI618-'St of Activities - GA Exp'!AY618</f>
        <v>3585155</v>
      </c>
      <c r="BC618" s="7">
        <v>72585628</v>
      </c>
      <c r="BE618" s="7">
        <f t="shared" si="100"/>
        <v>76170783</v>
      </c>
      <c r="BG618" s="7">
        <f>+'St of Net Assets - GA'!AA618-'St of Activities - GA Exp'!BE618</f>
        <v>0</v>
      </c>
      <c r="BL618" s="7" t="str">
        <f t="shared" si="101"/>
        <v>Zanesville City SD</v>
      </c>
      <c r="BM618" s="7" t="b">
        <f t="shared" si="102"/>
        <v>1</v>
      </c>
      <c r="BO618" s="7" t="str">
        <f t="shared" si="103"/>
        <v>Muskingum</v>
      </c>
      <c r="BP618" s="7" t="b">
        <f t="shared" si="104"/>
        <v>1</v>
      </c>
    </row>
    <row r="619" spans="1:68">
      <c r="A619" s="12"/>
      <c r="B619" s="12"/>
      <c r="C619" s="12"/>
      <c r="D619" s="12"/>
    </row>
    <row r="626" spans="1:17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</row>
  </sheetData>
  <mergeCells count="3">
    <mergeCell ref="A1:L1"/>
    <mergeCell ref="A626:Q626"/>
    <mergeCell ref="AI1:AT1"/>
  </mergeCells>
  <phoneticPr fontId="3" type="noConversion"/>
  <pageMargins left="0.9" right="0.75" top="0.5" bottom="0.5" header="0.25" footer="0.25"/>
  <pageSetup scale="77" firstPageNumber="44" fitToWidth="4" fitToHeight="18" pageOrder="overThenDown" orientation="portrait" useFirstPageNumber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19"/>
  <sheetViews>
    <sheetView view="pageBreakPreview" zoomScaleNormal="100" zoomScaleSheetLayoutView="100" workbookViewId="0">
      <pane xSplit="4" ySplit="9" topLeftCell="E472" activePane="bottomRight" state="frozen"/>
      <selection pane="topRight" activeCell="E1" sqref="E1"/>
      <selection pane="bottomLeft" activeCell="A10" sqref="A10"/>
      <selection pane="bottomRight" activeCell="K485" sqref="K485"/>
    </sheetView>
  </sheetViews>
  <sheetFormatPr defaultColWidth="9.140625" defaultRowHeight="12"/>
  <cols>
    <col min="1" max="1" width="32" style="7" customWidth="1"/>
    <col min="2" max="2" width="1.7109375" style="7" customWidth="1"/>
    <col min="3" max="3" width="10.140625" style="7" bestFit="1" customWidth="1"/>
    <col min="4" max="4" width="1.7109375" style="7" customWidth="1"/>
    <col min="5" max="5" width="11.7109375" style="7" hidden="1" customWidth="1"/>
    <col min="6" max="6" width="1.7109375" style="7" hidden="1" customWidth="1"/>
    <col min="7" max="7" width="10.140625" style="7" bestFit="1" customWidth="1"/>
    <col min="8" max="8" width="1.7109375" style="7" customWidth="1"/>
    <col min="9" max="9" width="9.28515625" style="7" bestFit="1" customWidth="1"/>
    <col min="10" max="10" width="1.7109375" style="7" customWidth="1"/>
    <col min="11" max="11" width="10.140625" style="7" bestFit="1" customWidth="1"/>
    <col min="12" max="12" width="1.7109375" style="7" customWidth="1"/>
    <col min="13" max="13" width="10.140625" style="7" bestFit="1" customWidth="1"/>
    <col min="14" max="14" width="1.7109375" style="7" customWidth="1"/>
    <col min="15" max="15" width="10.140625" style="7" bestFit="1" customWidth="1"/>
    <col min="16" max="16" width="1.7109375" style="7" customWidth="1"/>
    <col min="17" max="17" width="10.140625" style="7" bestFit="1" customWidth="1"/>
    <col min="18" max="18" width="1.7109375" style="7" customWidth="1"/>
    <col min="19" max="19" width="11.7109375" style="7" customWidth="1"/>
    <col min="20" max="20" width="1.7109375" style="7" customWidth="1"/>
    <col min="21" max="21" width="11.7109375" style="7" customWidth="1"/>
    <col min="22" max="22" width="1.7109375" style="7" customWidth="1"/>
    <col min="23" max="23" width="11.7109375" style="7" customWidth="1"/>
    <col min="24" max="24" width="1.7109375" style="7" customWidth="1"/>
    <col min="25" max="25" width="11.7109375" style="7" customWidth="1"/>
    <col min="26" max="26" width="1.7109375" style="7" customWidth="1"/>
    <col min="27" max="27" width="11.7109375" style="7" customWidth="1"/>
    <col min="28" max="28" width="1.7109375" style="7" customWidth="1"/>
    <col min="29" max="29" width="11.7109375" style="7" customWidth="1"/>
    <col min="30" max="30" width="1.7109375" style="7" customWidth="1"/>
    <col min="31" max="31" width="11.7109375" style="7" customWidth="1"/>
    <col min="32" max="32" width="1.7109375" style="7" customWidth="1"/>
    <col min="33" max="33" width="11.7109375" style="7" customWidth="1"/>
    <col min="34" max="34" width="2.28515625" style="7" customWidth="1"/>
    <col min="35" max="35" width="11.7109375" style="7" customWidth="1"/>
    <col min="36" max="36" width="19.42578125" style="7" customWidth="1"/>
    <col min="37" max="37" width="36" style="7" customWidth="1"/>
    <col min="38" max="38" width="23.140625" style="7" customWidth="1"/>
    <col min="39" max="39" width="20" style="7" customWidth="1"/>
    <col min="40" max="16384" width="9.140625" style="7"/>
  </cols>
  <sheetData>
    <row r="1" spans="1:41">
      <c r="A1" s="25" t="s">
        <v>117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</row>
    <row r="2" spans="1:41">
      <c r="A2" s="25" t="s">
        <v>769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</row>
    <row r="3" spans="1:41">
      <c r="A3" s="25" t="s">
        <v>622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</row>
    <row r="4" spans="1:41">
      <c r="A4" s="14" t="s">
        <v>169</v>
      </c>
      <c r="B4" s="14"/>
      <c r="C4" s="14"/>
      <c r="D4" s="14"/>
      <c r="E4" s="1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AF4" s="10"/>
    </row>
    <row r="5" spans="1:41">
      <c r="A5" s="14"/>
      <c r="Q5" s="15" t="s">
        <v>92</v>
      </c>
    </row>
    <row r="6" spans="1:41" s="14" customFormat="1">
      <c r="A6" s="59" t="s">
        <v>767</v>
      </c>
      <c r="B6" s="10"/>
      <c r="C6" s="10"/>
      <c r="D6" s="10"/>
      <c r="E6" s="10"/>
      <c r="F6" s="81"/>
      <c r="G6" s="113" t="s">
        <v>87</v>
      </c>
      <c r="H6" s="113"/>
      <c r="I6" s="113"/>
      <c r="J6" s="113"/>
      <c r="K6" s="113"/>
      <c r="L6" s="81"/>
      <c r="M6" s="81"/>
      <c r="N6" s="81"/>
      <c r="O6" s="95" t="s">
        <v>92</v>
      </c>
      <c r="P6" s="10"/>
      <c r="Q6" s="95" t="s">
        <v>622</v>
      </c>
      <c r="R6" s="81"/>
      <c r="S6" s="81"/>
      <c r="T6" s="81"/>
      <c r="U6" s="113" t="s">
        <v>999</v>
      </c>
      <c r="V6" s="113"/>
      <c r="W6" s="113"/>
      <c r="X6" s="113"/>
      <c r="Y6" s="113"/>
      <c r="Z6" s="113"/>
      <c r="AA6" s="113"/>
      <c r="AB6" s="113"/>
      <c r="AC6" s="113"/>
    </row>
    <row r="7" spans="1:41">
      <c r="A7" s="14"/>
      <c r="B7" s="14"/>
      <c r="C7" s="14"/>
      <c r="D7" s="14"/>
      <c r="E7" s="1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V7" s="4"/>
      <c r="W7" s="4"/>
      <c r="X7" s="4"/>
      <c r="Y7" s="4"/>
      <c r="Z7" s="4"/>
      <c r="AA7" s="4"/>
      <c r="AB7" s="4"/>
      <c r="AC7" s="4"/>
      <c r="AD7" s="4"/>
      <c r="AE7" s="4"/>
      <c r="AF7" s="10"/>
      <c r="AG7" s="15" t="s">
        <v>133</v>
      </c>
      <c r="AH7" s="15"/>
      <c r="AI7" s="15"/>
    </row>
    <row r="8" spans="1:41">
      <c r="A8" s="4"/>
      <c r="B8" s="4"/>
      <c r="C8" s="4"/>
      <c r="D8" s="4"/>
      <c r="E8" s="4"/>
      <c r="F8" s="4"/>
      <c r="G8" s="4" t="s">
        <v>88</v>
      </c>
      <c r="H8" s="4"/>
      <c r="I8" s="4" t="s">
        <v>102</v>
      </c>
      <c r="J8" s="4"/>
      <c r="K8" s="4" t="s">
        <v>82</v>
      </c>
      <c r="L8" s="4"/>
      <c r="M8" s="4" t="s">
        <v>3</v>
      </c>
      <c r="N8" s="4"/>
      <c r="O8" s="4"/>
      <c r="P8" s="4"/>
      <c r="Q8" s="4" t="s">
        <v>89</v>
      </c>
      <c r="R8" s="4"/>
      <c r="S8" s="4" t="s">
        <v>3</v>
      </c>
      <c r="T8" s="4"/>
      <c r="U8" s="4" t="s">
        <v>774</v>
      </c>
      <c r="V8" s="4"/>
      <c r="W8" s="4" t="s">
        <v>102</v>
      </c>
      <c r="X8" s="4"/>
      <c r="Y8" s="4" t="s">
        <v>775</v>
      </c>
      <c r="Z8" s="4"/>
      <c r="AA8" s="4" t="s">
        <v>776</v>
      </c>
      <c r="AB8" s="4"/>
      <c r="AC8" s="4" t="s">
        <v>777</v>
      </c>
      <c r="AD8" s="4"/>
      <c r="AE8" s="4" t="s">
        <v>3</v>
      </c>
      <c r="AF8" s="10"/>
      <c r="AG8" s="15" t="s">
        <v>134</v>
      </c>
      <c r="AH8" s="15"/>
      <c r="AI8" s="15"/>
    </row>
    <row r="9" spans="1:41" s="10" customFormat="1">
      <c r="A9" s="82" t="s">
        <v>200</v>
      </c>
      <c r="B9" s="15"/>
      <c r="C9" s="82" t="s">
        <v>4</v>
      </c>
      <c r="D9" s="15"/>
      <c r="E9" s="82" t="s">
        <v>199</v>
      </c>
      <c r="F9" s="4"/>
      <c r="G9" s="82" t="s">
        <v>91</v>
      </c>
      <c r="H9" s="4"/>
      <c r="I9" s="82" t="s">
        <v>87</v>
      </c>
      <c r="J9" s="4"/>
      <c r="K9" s="82" t="s">
        <v>87</v>
      </c>
      <c r="L9" s="4"/>
      <c r="M9" s="82" t="s">
        <v>87</v>
      </c>
      <c r="N9" s="4"/>
      <c r="O9" s="82" t="s">
        <v>92</v>
      </c>
      <c r="P9" s="4"/>
      <c r="Q9" s="82" t="s">
        <v>8</v>
      </c>
      <c r="R9" s="4"/>
      <c r="S9" s="82" t="s">
        <v>92</v>
      </c>
      <c r="T9" s="4"/>
      <c r="U9" s="82" t="s">
        <v>93</v>
      </c>
      <c r="V9" s="4"/>
      <c r="W9" s="82" t="s">
        <v>93</v>
      </c>
      <c r="X9" s="4"/>
      <c r="Y9" s="82" t="s">
        <v>93</v>
      </c>
      <c r="Z9" s="4"/>
      <c r="AA9" s="82" t="s">
        <v>93</v>
      </c>
      <c r="AB9" s="4"/>
      <c r="AC9" s="82" t="s">
        <v>93</v>
      </c>
      <c r="AD9" s="4"/>
      <c r="AE9" s="82" t="s">
        <v>93</v>
      </c>
      <c r="AG9" s="82" t="s">
        <v>135</v>
      </c>
      <c r="AH9" s="4"/>
      <c r="AI9" s="4"/>
      <c r="AK9" s="10" t="s">
        <v>816</v>
      </c>
      <c r="AL9" s="10" t="s">
        <v>817</v>
      </c>
      <c r="AN9" s="10" t="s">
        <v>815</v>
      </c>
      <c r="AO9" s="10" t="s">
        <v>826</v>
      </c>
    </row>
    <row r="10" spans="1:41">
      <c r="A10" s="12"/>
      <c r="B10" s="12"/>
      <c r="C10" s="12"/>
      <c r="D10" s="12"/>
      <c r="E10" s="12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10"/>
    </row>
    <row r="11" spans="1:41" s="32" customFormat="1">
      <c r="A11" s="31" t="s">
        <v>898</v>
      </c>
      <c r="B11" s="31"/>
      <c r="C11" s="31" t="s">
        <v>201</v>
      </c>
      <c r="D11" s="31"/>
      <c r="E11" s="31">
        <v>61903</v>
      </c>
      <c r="F11" s="37"/>
      <c r="G11" s="32">
        <v>3374191</v>
      </c>
      <c r="I11" s="32">
        <v>10511</v>
      </c>
      <c r="K11" s="34">
        <f>+M11-I11-G11</f>
        <v>5365753</v>
      </c>
      <c r="M11" s="32">
        <v>8750455</v>
      </c>
      <c r="O11" s="34">
        <f>+S11-Q11</f>
        <v>3634058</v>
      </c>
      <c r="Q11" s="32">
        <v>4353400</v>
      </c>
      <c r="S11" s="32">
        <v>7987458</v>
      </c>
      <c r="U11" s="32">
        <v>0</v>
      </c>
      <c r="W11" s="32">
        <v>0</v>
      </c>
      <c r="Y11" s="32">
        <v>10511</v>
      </c>
      <c r="AA11" s="32">
        <v>232770</v>
      </c>
      <c r="AC11" s="32">
        <v>519716</v>
      </c>
      <c r="AE11" s="45">
        <f>+Y11+W11++U11+AA11+AC11</f>
        <v>762997</v>
      </c>
      <c r="AG11" s="32">
        <f>+G11+I11+K11-O11-Q11-Y11-W11-U11-AA11-AC11</f>
        <v>0</v>
      </c>
      <c r="AK11" s="32" t="str">
        <f>A11</f>
        <v>Adams County/Ohio Valley Local SD</v>
      </c>
      <c r="AL11" s="32" t="str">
        <f>'St of Activities - GA Exp'!A11</f>
        <v>Adams County/Ohio Valley Local SD</v>
      </c>
      <c r="AM11" s="32" t="b">
        <f>AK11=AL11</f>
        <v>1</v>
      </c>
      <c r="AN11" s="32" t="str">
        <f>C11</f>
        <v>Adams</v>
      </c>
      <c r="AO11" s="32" t="b">
        <f>C11='St of Activities - GA Exp'!C11</f>
        <v>1</v>
      </c>
    </row>
    <row r="12" spans="1:41">
      <c r="A12" s="12" t="s">
        <v>607</v>
      </c>
      <c r="B12" s="12"/>
      <c r="C12" s="12" t="s">
        <v>58</v>
      </c>
      <c r="D12" s="12"/>
      <c r="E12" s="12">
        <v>49494</v>
      </c>
      <c r="G12" s="7">
        <v>3954754</v>
      </c>
      <c r="I12" s="7">
        <v>821492</v>
      </c>
      <c r="K12" s="2">
        <f t="shared" ref="K12:K78" si="0">+M12-I12-G12</f>
        <v>2490339</v>
      </c>
      <c r="M12" s="7">
        <v>7266585</v>
      </c>
      <c r="O12" s="2">
        <f t="shared" ref="O12:O76" si="1">+S12-Q12</f>
        <v>1125754</v>
      </c>
      <c r="Q12" s="7">
        <v>1588490</v>
      </c>
      <c r="S12" s="7">
        <v>2714244</v>
      </c>
      <c r="U12" s="7">
        <v>0</v>
      </c>
      <c r="W12" s="7">
        <v>821492</v>
      </c>
      <c r="Y12" s="7">
        <v>156171</v>
      </c>
      <c r="AA12" s="7">
        <v>101552</v>
      </c>
      <c r="AC12" s="7">
        <v>3473126</v>
      </c>
      <c r="AE12" s="13">
        <f t="shared" ref="AE12:AE76" si="2">+Y12+W12++U12+AA12+AC12</f>
        <v>4552341</v>
      </c>
      <c r="AG12" s="7">
        <f t="shared" ref="AG12:AG76" si="3">+G12+I12+K12-O12-Q12-Y12-W12-U12-AA12-AC12</f>
        <v>0</v>
      </c>
      <c r="AK12" s="7" t="str">
        <f t="shared" ref="AK12:AK76" si="4">A12</f>
        <v xml:space="preserve">Adena Local SD </v>
      </c>
      <c r="AL12" s="7" t="str">
        <f>'St of Activities - GA Exp'!A12</f>
        <v xml:space="preserve">Adena Local SD </v>
      </c>
      <c r="AM12" s="7" t="b">
        <f t="shared" ref="AM12:AM76" si="5">AK12=AL12</f>
        <v>1</v>
      </c>
      <c r="AN12" s="7" t="str">
        <f t="shared" ref="AN12:AN75" si="6">C12</f>
        <v>Ross</v>
      </c>
      <c r="AO12" s="7" t="b">
        <f>C12='St of Activities - GA Exp'!C12</f>
        <v>1</v>
      </c>
    </row>
    <row r="13" spans="1:41">
      <c r="A13" s="12" t="s">
        <v>522</v>
      </c>
      <c r="B13" s="12"/>
      <c r="C13" s="12" t="s">
        <v>63</v>
      </c>
      <c r="D13" s="12"/>
      <c r="E13" s="12">
        <v>43489</v>
      </c>
      <c r="G13" s="7">
        <f>16280220+20225421+120440064</f>
        <v>156945705</v>
      </c>
      <c r="I13" s="7">
        <v>0</v>
      </c>
      <c r="K13" s="2">
        <f t="shared" si="0"/>
        <v>2187970</v>
      </c>
      <c r="M13" s="7">
        <v>159133675</v>
      </c>
      <c r="O13" s="2">
        <f t="shared" si="1"/>
        <v>22534715</v>
      </c>
      <c r="Q13" s="7">
        <v>108939399</v>
      </c>
      <c r="S13" s="7">
        <v>131474114</v>
      </c>
      <c r="U13" s="7">
        <v>90745</v>
      </c>
      <c r="W13" s="7">
        <v>33333</v>
      </c>
      <c r="Y13" s="7">
        <v>1647468</v>
      </c>
      <c r="AA13" s="7">
        <v>2222963</v>
      </c>
      <c r="AC13" s="7">
        <v>23665052</v>
      </c>
      <c r="AE13" s="13">
        <f t="shared" si="2"/>
        <v>27659561</v>
      </c>
      <c r="AG13" s="7">
        <f t="shared" si="3"/>
        <v>0</v>
      </c>
      <c r="AK13" s="7" t="str">
        <f t="shared" si="4"/>
        <v>Akron City SD</v>
      </c>
      <c r="AL13" s="7" t="str">
        <f>'St of Activities - GA Exp'!A13</f>
        <v>Akron City SD</v>
      </c>
      <c r="AM13" s="7" t="b">
        <f t="shared" si="5"/>
        <v>1</v>
      </c>
      <c r="AN13" s="7" t="str">
        <f t="shared" si="6"/>
        <v>Summit</v>
      </c>
      <c r="AO13" s="7" t="b">
        <f>C13='St of Activities - GA Exp'!C13</f>
        <v>1</v>
      </c>
    </row>
    <row r="14" spans="1:41" hidden="1">
      <c r="A14" s="12" t="s">
        <v>643</v>
      </c>
      <c r="B14" s="12"/>
      <c r="C14" s="12" t="s">
        <v>13</v>
      </c>
      <c r="D14" s="12"/>
      <c r="E14" s="12">
        <v>45906</v>
      </c>
      <c r="K14" s="2">
        <f t="shared" si="0"/>
        <v>0</v>
      </c>
      <c r="O14" s="2">
        <f t="shared" si="1"/>
        <v>0</v>
      </c>
      <c r="AE14" s="13">
        <f t="shared" si="2"/>
        <v>0</v>
      </c>
      <c r="AG14" s="7">
        <f t="shared" si="3"/>
        <v>0</v>
      </c>
      <c r="AI14" s="7" t="s">
        <v>778</v>
      </c>
      <c r="AK14" s="7" t="str">
        <f t="shared" si="4"/>
        <v>Alexander Local SD (CASH)</v>
      </c>
      <c r="AL14" s="7" t="str">
        <f>'St of Activities - GA Exp'!A14</f>
        <v>Alexander Local SD (CASH)</v>
      </c>
      <c r="AM14" s="7" t="b">
        <f t="shared" si="5"/>
        <v>1</v>
      </c>
      <c r="AN14" s="7" t="str">
        <f t="shared" si="6"/>
        <v>Athens</v>
      </c>
      <c r="AO14" s="7" t="b">
        <f>C14='St of Activities - GA Exp'!C14</f>
        <v>1</v>
      </c>
    </row>
    <row r="15" spans="1:41">
      <c r="A15" s="12" t="s">
        <v>508</v>
      </c>
      <c r="B15" s="12"/>
      <c r="C15" s="12" t="s">
        <v>62</v>
      </c>
      <c r="D15" s="12"/>
      <c r="E15" s="12">
        <v>43497</v>
      </c>
      <c r="G15" s="7">
        <f>5917830+150597</f>
        <v>6068427</v>
      </c>
      <c r="I15" s="7">
        <v>295597</v>
      </c>
      <c r="K15" s="2">
        <f t="shared" si="0"/>
        <v>7849413</v>
      </c>
      <c r="M15" s="7">
        <v>14213437</v>
      </c>
      <c r="O15" s="2">
        <f t="shared" si="1"/>
        <v>3408923</v>
      </c>
      <c r="Q15" s="7">
        <v>6816125</v>
      </c>
      <c r="S15" s="7">
        <v>10225048</v>
      </c>
      <c r="U15" s="7">
        <v>65715</v>
      </c>
      <c r="W15" s="7">
        <v>446194</v>
      </c>
      <c r="Y15" s="7">
        <v>65767</v>
      </c>
      <c r="AA15" s="7">
        <v>331984</v>
      </c>
      <c r="AC15" s="7">
        <v>3078729</v>
      </c>
      <c r="AE15" s="13">
        <f t="shared" si="2"/>
        <v>3988389</v>
      </c>
      <c r="AG15" s="7">
        <f t="shared" si="3"/>
        <v>0</v>
      </c>
      <c r="AK15" s="7" t="str">
        <f t="shared" si="4"/>
        <v>Alliance City SD</v>
      </c>
      <c r="AL15" s="7" t="str">
        <f>'St of Activities - GA Exp'!A15</f>
        <v>Alliance City SD</v>
      </c>
      <c r="AM15" s="7" t="b">
        <f t="shared" si="5"/>
        <v>1</v>
      </c>
      <c r="AN15" s="7" t="str">
        <f t="shared" si="6"/>
        <v>Stark</v>
      </c>
      <c r="AO15" s="7" t="b">
        <f>C15='St of Activities - GA Exp'!C15</f>
        <v>1</v>
      </c>
    </row>
    <row r="16" spans="1:41">
      <c r="A16" s="12" t="s">
        <v>298</v>
      </c>
      <c r="B16" s="12"/>
      <c r="C16" s="12" t="s">
        <v>25</v>
      </c>
      <c r="D16" s="12"/>
      <c r="E16" s="12">
        <v>46847</v>
      </c>
      <c r="G16" s="7">
        <v>1937959</v>
      </c>
      <c r="I16" s="7">
        <v>155652</v>
      </c>
      <c r="K16" s="2">
        <f t="shared" si="0"/>
        <v>3021643</v>
      </c>
      <c r="M16" s="7">
        <v>5115254</v>
      </c>
      <c r="O16" s="2">
        <f t="shared" si="1"/>
        <v>1680952</v>
      </c>
      <c r="Q16" s="7">
        <v>2784877</v>
      </c>
      <c r="S16" s="7">
        <v>4465829</v>
      </c>
      <c r="U16" s="7">
        <v>0</v>
      </c>
      <c r="W16" s="7">
        <v>155652</v>
      </c>
      <c r="Y16" s="7">
        <v>0</v>
      </c>
      <c r="AA16" s="7">
        <v>127890</v>
      </c>
      <c r="AC16" s="7">
        <v>365883</v>
      </c>
      <c r="AE16" s="13">
        <f t="shared" si="2"/>
        <v>649425</v>
      </c>
      <c r="AG16" s="7">
        <f t="shared" si="3"/>
        <v>0</v>
      </c>
      <c r="AK16" s="7" t="str">
        <f t="shared" si="4"/>
        <v>Amanda-Clearcreek Local SD</v>
      </c>
      <c r="AL16" s="7" t="str">
        <f>'St of Activities - GA Exp'!A16</f>
        <v>Amanda-Clearcreek Local SD</v>
      </c>
      <c r="AM16" s="7" t="b">
        <f t="shared" si="5"/>
        <v>1</v>
      </c>
      <c r="AN16" s="7" t="str">
        <f t="shared" si="6"/>
        <v>Fairfield</v>
      </c>
      <c r="AO16" s="7" t="b">
        <f>C16='St of Activities - GA Exp'!C16</f>
        <v>1</v>
      </c>
    </row>
    <row r="17" spans="1:41">
      <c r="A17" s="12" t="s">
        <v>858</v>
      </c>
      <c r="B17" s="12"/>
      <c r="C17" s="12" t="s">
        <v>44</v>
      </c>
      <c r="D17" s="12"/>
      <c r="E17" s="12">
        <v>45195</v>
      </c>
      <c r="F17" s="4"/>
      <c r="G17" s="7">
        <v>6010910</v>
      </c>
      <c r="I17" s="7">
        <v>268004</v>
      </c>
      <c r="K17" s="2">
        <f t="shared" si="0"/>
        <v>15562155</v>
      </c>
      <c r="M17" s="7">
        <v>21841069</v>
      </c>
      <c r="O17" s="2">
        <f t="shared" si="1"/>
        <v>4808110</v>
      </c>
      <c r="Q17" s="7">
        <v>12828468</v>
      </c>
      <c r="S17" s="7">
        <v>17636578</v>
      </c>
      <c r="U17" s="7">
        <v>0</v>
      </c>
      <c r="W17" s="7">
        <v>268004</v>
      </c>
      <c r="Y17" s="7">
        <v>0</v>
      </c>
      <c r="AA17" s="7">
        <v>403979</v>
      </c>
      <c r="AC17" s="7">
        <v>3532508</v>
      </c>
      <c r="AE17" s="13">
        <f t="shared" si="2"/>
        <v>4204491</v>
      </c>
      <c r="AG17" s="7">
        <f t="shared" si="3"/>
        <v>0</v>
      </c>
      <c r="AK17" s="7" t="str">
        <f t="shared" si="4"/>
        <v xml:space="preserve">Amherst Exempted Village SD </v>
      </c>
      <c r="AL17" s="7" t="str">
        <f>'St of Activities - GA Exp'!A17</f>
        <v xml:space="preserve">Amherst Exempted Village SD </v>
      </c>
      <c r="AM17" s="7" t="b">
        <f t="shared" si="5"/>
        <v>1</v>
      </c>
      <c r="AN17" s="7" t="str">
        <f t="shared" si="6"/>
        <v>Lorain</v>
      </c>
      <c r="AO17" s="7" t="b">
        <f>C17='St of Activities - GA Exp'!C17</f>
        <v>1</v>
      </c>
    </row>
    <row r="18" spans="1:41">
      <c r="A18" s="12" t="s">
        <v>928</v>
      </c>
      <c r="B18" s="12"/>
      <c r="C18" s="12" t="s">
        <v>61</v>
      </c>
      <c r="D18" s="12"/>
      <c r="E18" s="12">
        <v>49759</v>
      </c>
      <c r="G18" s="7">
        <v>2659882</v>
      </c>
      <c r="I18" s="7">
        <v>70953</v>
      </c>
      <c r="K18" s="2">
        <f t="shared" si="0"/>
        <v>3144756</v>
      </c>
      <c r="M18" s="7">
        <v>5875591</v>
      </c>
      <c r="O18" s="2">
        <f t="shared" si="1"/>
        <v>1078833</v>
      </c>
      <c r="Q18" s="7">
        <v>2568247</v>
      </c>
      <c r="S18" s="7">
        <v>3647080</v>
      </c>
      <c r="U18" s="7">
        <v>0</v>
      </c>
      <c r="W18" s="7">
        <v>70953</v>
      </c>
      <c r="Y18" s="7">
        <v>305659</v>
      </c>
      <c r="AA18" s="7">
        <v>114581</v>
      </c>
      <c r="AC18" s="7">
        <v>1737318</v>
      </c>
      <c r="AE18" s="13">
        <f t="shared" si="2"/>
        <v>2228511</v>
      </c>
      <c r="AG18" s="7">
        <f t="shared" si="3"/>
        <v>0</v>
      </c>
      <c r="AI18" s="7" t="s">
        <v>929</v>
      </c>
      <c r="AK18" s="7" t="str">
        <f t="shared" si="4"/>
        <v>Anna Local SD</v>
      </c>
      <c r="AL18" s="7" t="str">
        <f>'St of Activities - GA Exp'!A18</f>
        <v>Anna Local SD</v>
      </c>
      <c r="AM18" s="7" t="b">
        <f t="shared" si="5"/>
        <v>1</v>
      </c>
      <c r="AN18" s="7" t="str">
        <f t="shared" si="6"/>
        <v>Shelby</v>
      </c>
      <c r="AO18" s="7" t="b">
        <f>C18='St of Activities - GA Exp'!C18</f>
        <v>1</v>
      </c>
    </row>
    <row r="19" spans="1:41" hidden="1">
      <c r="A19" s="12" t="s">
        <v>727</v>
      </c>
      <c r="B19" s="12"/>
      <c r="C19" s="12" t="s">
        <v>628</v>
      </c>
      <c r="D19" s="12"/>
      <c r="E19" s="12"/>
      <c r="K19" s="2">
        <f t="shared" si="0"/>
        <v>0</v>
      </c>
      <c r="O19" s="2">
        <f t="shared" si="1"/>
        <v>0</v>
      </c>
      <c r="AE19" s="13">
        <f t="shared" si="2"/>
        <v>0</v>
      </c>
      <c r="AG19" s="7">
        <f t="shared" si="3"/>
        <v>0</v>
      </c>
      <c r="AI19" s="7" t="s">
        <v>778</v>
      </c>
      <c r="AK19" s="7" t="str">
        <f t="shared" si="4"/>
        <v>Ansonia Local SD (CASH)</v>
      </c>
      <c r="AL19" s="7" t="str">
        <f>'St of Activities - GA Exp'!A19</f>
        <v>Ansonia Local SD (CASH)</v>
      </c>
      <c r="AM19" s="7" t="b">
        <f t="shared" si="5"/>
        <v>1</v>
      </c>
      <c r="AN19" s="7" t="str">
        <f t="shared" si="6"/>
        <v xml:space="preserve">Darke </v>
      </c>
      <c r="AO19" s="7" t="b">
        <f>C19='St of Activities - GA Exp'!C19</f>
        <v>1</v>
      </c>
    </row>
    <row r="20" spans="1:41">
      <c r="A20" s="12" t="s">
        <v>402</v>
      </c>
      <c r="B20" s="12"/>
      <c r="C20" s="12" t="s">
        <v>115</v>
      </c>
      <c r="D20" s="12"/>
      <c r="E20" s="12">
        <v>48207</v>
      </c>
      <c r="G20" s="7">
        <v>8235433</v>
      </c>
      <c r="I20" s="7">
        <v>34698</v>
      </c>
      <c r="K20" s="2">
        <f t="shared" si="0"/>
        <v>22429213</v>
      </c>
      <c r="M20" s="7">
        <v>30699344</v>
      </c>
      <c r="O20" s="2">
        <f t="shared" si="1"/>
        <v>4478926</v>
      </c>
      <c r="Q20" s="7">
        <f>968777+20085966</f>
        <v>21054743</v>
      </c>
      <c r="S20" s="7">
        <v>25533669</v>
      </c>
      <c r="U20" s="7">
        <f>70304+34610</f>
        <v>104914</v>
      </c>
      <c r="W20" s="7">
        <v>34698</v>
      </c>
      <c r="Y20" s="7">
        <v>0</v>
      </c>
      <c r="AA20" s="7">
        <f>131475+343853+350+81154+1497+161674</f>
        <v>720003</v>
      </c>
      <c r="AC20" s="7">
        <v>4306060</v>
      </c>
      <c r="AE20" s="13">
        <f t="shared" si="2"/>
        <v>5165675</v>
      </c>
      <c r="AG20" s="7">
        <f t="shared" si="3"/>
        <v>0</v>
      </c>
      <c r="AK20" s="7" t="str">
        <f t="shared" si="4"/>
        <v>Anthony Wayne Local SD</v>
      </c>
      <c r="AL20" s="7" t="str">
        <f>'St of Activities - GA Exp'!A20</f>
        <v>Anthony Wayne Local SD</v>
      </c>
      <c r="AM20" s="7" t="b">
        <f t="shared" si="5"/>
        <v>1</v>
      </c>
      <c r="AN20" s="7" t="str">
        <f t="shared" si="6"/>
        <v>Lucas</v>
      </c>
      <c r="AO20" s="7" t="b">
        <f>C20='St of Activities - GA Exp'!C20</f>
        <v>1</v>
      </c>
    </row>
    <row r="21" spans="1:41">
      <c r="A21" s="12" t="s">
        <v>343</v>
      </c>
      <c r="B21" s="12"/>
      <c r="C21" s="12" t="s">
        <v>33</v>
      </c>
      <c r="D21" s="12"/>
      <c r="E21" s="12">
        <v>47415</v>
      </c>
      <c r="G21" s="7">
        <v>3312840</v>
      </c>
      <c r="I21" s="7">
        <v>149536</v>
      </c>
      <c r="K21" s="2">
        <f t="shared" si="0"/>
        <v>2394782</v>
      </c>
      <c r="M21" s="7">
        <v>5857158</v>
      </c>
      <c r="O21" s="2">
        <f t="shared" si="1"/>
        <v>672487</v>
      </c>
      <c r="Q21" s="7">
        <v>2001178</v>
      </c>
      <c r="S21" s="7">
        <v>2673665</v>
      </c>
      <c r="U21" s="7">
        <v>7080</v>
      </c>
      <c r="W21" s="7">
        <v>149536</v>
      </c>
      <c r="Y21" s="7">
        <v>0</v>
      </c>
      <c r="AA21" s="7">
        <v>45714</v>
      </c>
      <c r="AC21" s="7">
        <v>2981163</v>
      </c>
      <c r="AE21" s="13">
        <f t="shared" si="2"/>
        <v>3183493</v>
      </c>
      <c r="AG21" s="7">
        <f t="shared" si="3"/>
        <v>0</v>
      </c>
      <c r="AK21" s="7" t="str">
        <f t="shared" si="4"/>
        <v>Arcadia Local SD</v>
      </c>
      <c r="AL21" s="7" t="str">
        <f>'St of Activities - GA Exp'!A21</f>
        <v>Arcadia Local SD</v>
      </c>
      <c r="AM21" s="7" t="b">
        <f t="shared" si="5"/>
        <v>1</v>
      </c>
      <c r="AN21" s="7" t="str">
        <f t="shared" si="6"/>
        <v>Hancock</v>
      </c>
      <c r="AO21" s="7" t="b">
        <f>C21='St of Activities - GA Exp'!C21</f>
        <v>1</v>
      </c>
    </row>
    <row r="22" spans="1:41" hidden="1">
      <c r="A22" s="12" t="s">
        <v>702</v>
      </c>
      <c r="B22" s="12"/>
      <c r="C22" s="12" t="s">
        <v>21</v>
      </c>
      <c r="D22" s="12"/>
      <c r="E22" s="12">
        <v>46631</v>
      </c>
      <c r="K22" s="2">
        <f t="shared" si="0"/>
        <v>0</v>
      </c>
      <c r="O22" s="2">
        <f t="shared" si="1"/>
        <v>0</v>
      </c>
      <c r="AE22" s="13">
        <f t="shared" si="2"/>
        <v>0</v>
      </c>
      <c r="AG22" s="7">
        <f t="shared" si="3"/>
        <v>0</v>
      </c>
      <c r="AI22" s="7" t="s">
        <v>778</v>
      </c>
      <c r="AK22" s="7" t="str">
        <f t="shared" si="4"/>
        <v>Arcanum Butler Local SD (CASH)</v>
      </c>
      <c r="AL22" s="7" t="str">
        <f>'St of Activities - GA Exp'!A22</f>
        <v>Arcanum Butler Local SD (CASH)</v>
      </c>
      <c r="AM22" s="7" t="b">
        <f t="shared" si="5"/>
        <v>1</v>
      </c>
      <c r="AN22" s="7" t="str">
        <f t="shared" si="6"/>
        <v>Darke</v>
      </c>
      <c r="AO22" s="7" t="b">
        <f>C22='St of Activities - GA Exp'!C22</f>
        <v>1</v>
      </c>
    </row>
    <row r="23" spans="1:41">
      <c r="A23" s="12" t="s">
        <v>318</v>
      </c>
      <c r="B23" s="12"/>
      <c r="C23" s="12" t="s">
        <v>28</v>
      </c>
      <c r="D23" s="12"/>
      <c r="E23" s="12">
        <v>47043</v>
      </c>
      <c r="G23" s="7">
        <v>5063832</v>
      </c>
      <c r="I23" s="7">
        <v>0</v>
      </c>
      <c r="K23" s="2">
        <f t="shared" si="0"/>
        <v>6038547</v>
      </c>
      <c r="M23" s="7">
        <v>11102379</v>
      </c>
      <c r="O23" s="2">
        <f t="shared" si="1"/>
        <v>1323939</v>
      </c>
      <c r="Q23" s="7">
        <v>5690935</v>
      </c>
      <c r="S23" s="7">
        <v>7014874</v>
      </c>
      <c r="U23" s="7">
        <v>0</v>
      </c>
      <c r="W23" s="7">
        <v>0</v>
      </c>
      <c r="Y23" s="7">
        <v>0</v>
      </c>
      <c r="AA23" s="7">
        <v>90327</v>
      </c>
      <c r="AC23" s="7">
        <v>3997178</v>
      </c>
      <c r="AE23" s="13">
        <f t="shared" si="2"/>
        <v>4087505</v>
      </c>
      <c r="AG23" s="7">
        <f t="shared" si="3"/>
        <v>0</v>
      </c>
      <c r="AK23" s="7" t="str">
        <f t="shared" si="4"/>
        <v>Archbold-Area Local SD</v>
      </c>
      <c r="AL23" s="7" t="str">
        <f>'St of Activities - GA Exp'!A23</f>
        <v>Archbold-Area Local SD</v>
      </c>
      <c r="AM23" s="7" t="b">
        <f t="shared" si="5"/>
        <v>1</v>
      </c>
      <c r="AN23" s="7" t="str">
        <f t="shared" si="6"/>
        <v>Fulton</v>
      </c>
      <c r="AO23" s="7" t="b">
        <f>C23='St of Activities - GA Exp'!C23</f>
        <v>1</v>
      </c>
    </row>
    <row r="24" spans="1:41">
      <c r="A24" s="12" t="s">
        <v>344</v>
      </c>
      <c r="B24" s="12"/>
      <c r="C24" s="12" t="s">
        <v>33</v>
      </c>
      <c r="D24" s="12"/>
      <c r="E24" s="12">
        <v>47423</v>
      </c>
      <c r="G24" s="7">
        <v>1933823</v>
      </c>
      <c r="I24" s="7">
        <v>369285</v>
      </c>
      <c r="K24" s="2">
        <f t="shared" si="0"/>
        <v>1693189</v>
      </c>
      <c r="M24" s="7">
        <v>3996297</v>
      </c>
      <c r="O24" s="2">
        <f t="shared" si="1"/>
        <v>694565</v>
      </c>
      <c r="Q24" s="7">
        <v>1247726</v>
      </c>
      <c r="S24" s="7">
        <v>1942291</v>
      </c>
      <c r="U24" s="7">
        <v>35196</v>
      </c>
      <c r="W24" s="7">
        <v>369285</v>
      </c>
      <c r="Y24" s="7">
        <v>44202</v>
      </c>
      <c r="AA24" s="7">
        <v>67045</v>
      </c>
      <c r="AC24" s="7">
        <v>1538278</v>
      </c>
      <c r="AE24" s="13">
        <f t="shared" si="2"/>
        <v>2054006</v>
      </c>
      <c r="AG24" s="7">
        <f t="shared" si="3"/>
        <v>0</v>
      </c>
      <c r="AK24" s="7" t="str">
        <f t="shared" si="4"/>
        <v>Arlington Local SD</v>
      </c>
      <c r="AL24" s="7" t="str">
        <f>'St of Activities - GA Exp'!A24</f>
        <v>Arlington Local SD</v>
      </c>
      <c r="AM24" s="7" t="b">
        <f t="shared" si="5"/>
        <v>1</v>
      </c>
      <c r="AN24" s="7" t="str">
        <f t="shared" si="6"/>
        <v>Hancock</v>
      </c>
      <c r="AO24" s="7" t="b">
        <f>C24='St of Activities - GA Exp'!C24</f>
        <v>1</v>
      </c>
    </row>
    <row r="25" spans="1:41">
      <c r="A25" s="12" t="s">
        <v>204</v>
      </c>
      <c r="B25" s="12"/>
      <c r="C25" s="12" t="s">
        <v>11</v>
      </c>
      <c r="D25" s="12"/>
      <c r="E25" s="12">
        <v>43505</v>
      </c>
      <c r="G25" s="7">
        <v>8547966</v>
      </c>
      <c r="I25" s="7">
        <v>0</v>
      </c>
      <c r="K25" s="2">
        <f t="shared" si="0"/>
        <v>14894995</v>
      </c>
      <c r="M25" s="7">
        <v>23442961</v>
      </c>
      <c r="O25" s="2">
        <f t="shared" si="1"/>
        <v>4212225</v>
      </c>
      <c r="Q25" s="7">
        <v>11088460</v>
      </c>
      <c r="S25" s="7">
        <v>15300685</v>
      </c>
      <c r="U25" s="7">
        <v>10248</v>
      </c>
      <c r="W25" s="7">
        <v>0</v>
      </c>
      <c r="Y25" s="7">
        <v>0</v>
      </c>
      <c r="AA25" s="7">
        <v>182554</v>
      </c>
      <c r="AC25" s="7">
        <v>7949474</v>
      </c>
      <c r="AE25" s="13">
        <f t="shared" si="2"/>
        <v>8142276</v>
      </c>
      <c r="AG25" s="7">
        <f t="shared" si="3"/>
        <v>0</v>
      </c>
      <c r="AK25" s="7" t="str">
        <f t="shared" si="4"/>
        <v>Ashland City SD</v>
      </c>
      <c r="AL25" s="7" t="str">
        <f>'St of Activities - GA Exp'!A25</f>
        <v>Ashland City SD</v>
      </c>
      <c r="AM25" s="7" t="b">
        <f t="shared" si="5"/>
        <v>1</v>
      </c>
      <c r="AN25" s="7" t="str">
        <f t="shared" si="6"/>
        <v>Ashland</v>
      </c>
      <c r="AO25" s="7" t="b">
        <f>C25='St of Activities - GA Exp'!C25</f>
        <v>1</v>
      </c>
    </row>
    <row r="26" spans="1:41">
      <c r="A26" s="12" t="s">
        <v>701</v>
      </c>
      <c r="B26" s="12"/>
      <c r="C26" s="12" t="s">
        <v>12</v>
      </c>
      <c r="D26" s="12"/>
      <c r="E26" s="12">
        <v>43513</v>
      </c>
      <c r="G26" s="7">
        <v>736135</v>
      </c>
      <c r="I26" s="7">
        <v>0</v>
      </c>
      <c r="K26" s="2">
        <f t="shared" si="0"/>
        <v>10838162</v>
      </c>
      <c r="M26" s="7">
        <v>11574297</v>
      </c>
      <c r="O26" s="2">
        <f t="shared" si="1"/>
        <v>3971688</v>
      </c>
      <c r="Q26" s="7">
        <v>5217724</v>
      </c>
      <c r="S26" s="7">
        <v>9189412</v>
      </c>
      <c r="U26" s="7">
        <v>377185</v>
      </c>
      <c r="W26" s="7">
        <v>11000</v>
      </c>
      <c r="Y26" s="7">
        <v>0</v>
      </c>
      <c r="AA26" s="7">
        <v>160555</v>
      </c>
      <c r="AC26" s="7">
        <v>1836145</v>
      </c>
      <c r="AE26" s="13">
        <f t="shared" si="2"/>
        <v>2384885</v>
      </c>
      <c r="AG26" s="7">
        <f t="shared" si="3"/>
        <v>0</v>
      </c>
      <c r="AK26" s="7" t="str">
        <f t="shared" si="4"/>
        <v xml:space="preserve">Ashtabula Area City SD </v>
      </c>
      <c r="AL26" s="7" t="str">
        <f>'St of Activities - GA Exp'!A26</f>
        <v xml:space="preserve">Ashtabula Area City SD </v>
      </c>
      <c r="AM26" s="7" t="b">
        <f t="shared" si="5"/>
        <v>1</v>
      </c>
      <c r="AN26" s="7" t="str">
        <f t="shared" si="6"/>
        <v>Ashtabula</v>
      </c>
      <c r="AO26" s="7" t="b">
        <f>C26='St of Activities - GA Exp'!C26</f>
        <v>1</v>
      </c>
    </row>
    <row r="27" spans="1:41">
      <c r="A27" s="12" t="s">
        <v>211</v>
      </c>
      <c r="B27" s="12"/>
      <c r="C27" s="12" t="s">
        <v>13</v>
      </c>
      <c r="D27" s="12"/>
      <c r="E27" s="12">
        <v>43521</v>
      </c>
      <c r="G27" s="7">
        <v>9608182</v>
      </c>
      <c r="I27" s="7">
        <v>0</v>
      </c>
      <c r="K27" s="2">
        <f t="shared" si="0"/>
        <v>15426887</v>
      </c>
      <c r="M27" s="7">
        <v>25035069</v>
      </c>
      <c r="O27" s="2">
        <f t="shared" si="1"/>
        <v>3849250</v>
      </c>
      <c r="Q27" s="7">
        <v>13066612</v>
      </c>
      <c r="S27" s="7">
        <v>16915862</v>
      </c>
      <c r="U27" s="7">
        <v>0</v>
      </c>
      <c r="W27" s="7">
        <v>0</v>
      </c>
      <c r="Y27" s="7">
        <v>0</v>
      </c>
      <c r="AA27" s="7">
        <v>262310</v>
      </c>
      <c r="AC27" s="7">
        <v>7856897</v>
      </c>
      <c r="AE27" s="13">
        <f t="shared" si="2"/>
        <v>8119207</v>
      </c>
      <c r="AG27" s="7">
        <f t="shared" si="3"/>
        <v>0</v>
      </c>
      <c r="AK27" s="7" t="str">
        <f t="shared" si="4"/>
        <v>Athens City SD</v>
      </c>
      <c r="AL27" s="7" t="str">
        <f>'St of Activities - GA Exp'!A27</f>
        <v>Athens City SD</v>
      </c>
      <c r="AM27" s="7" t="b">
        <f t="shared" si="5"/>
        <v>1</v>
      </c>
      <c r="AN27" s="7" t="str">
        <f t="shared" si="6"/>
        <v>Athens</v>
      </c>
      <c r="AO27" s="7" t="b">
        <f>C27='St of Activities - GA Exp'!C27</f>
        <v>1</v>
      </c>
    </row>
    <row r="28" spans="1:41">
      <c r="A28" s="12" t="s">
        <v>474</v>
      </c>
      <c r="B28" s="12"/>
      <c r="C28" s="12" t="s">
        <v>56</v>
      </c>
      <c r="D28" s="12"/>
      <c r="E28" s="12">
        <v>49171</v>
      </c>
      <c r="G28" s="7">
        <v>3857074</v>
      </c>
      <c r="I28" s="7">
        <v>1178024</v>
      </c>
      <c r="K28" s="2">
        <f t="shared" si="0"/>
        <v>20846613</v>
      </c>
      <c r="M28" s="7">
        <v>25881711</v>
      </c>
      <c r="O28" s="2">
        <f t="shared" si="1"/>
        <v>4115253</v>
      </c>
      <c r="Q28" s="7">
        <v>19215862</v>
      </c>
      <c r="S28" s="7">
        <v>23331115</v>
      </c>
      <c r="U28" s="7">
        <v>42248</v>
      </c>
      <c r="W28" s="7">
        <v>1178024</v>
      </c>
      <c r="Y28" s="7">
        <v>0</v>
      </c>
      <c r="AA28" s="7">
        <v>3603005</v>
      </c>
      <c r="AC28" s="7">
        <v>-2272681</v>
      </c>
      <c r="AE28" s="13">
        <f t="shared" si="2"/>
        <v>2550596</v>
      </c>
      <c r="AG28" s="7">
        <f t="shared" si="3"/>
        <v>0</v>
      </c>
      <c r="AK28" s="7" t="str">
        <f t="shared" si="4"/>
        <v>Aurora City SD</v>
      </c>
      <c r="AL28" s="7" t="str">
        <f>'St of Activities - GA Exp'!A28</f>
        <v>Aurora City SD</v>
      </c>
      <c r="AM28" s="7" t="b">
        <f t="shared" si="5"/>
        <v>1</v>
      </c>
      <c r="AN28" s="7" t="str">
        <f t="shared" si="6"/>
        <v>Portage</v>
      </c>
      <c r="AO28" s="7" t="b">
        <f>C28='St of Activities - GA Exp'!C28</f>
        <v>1</v>
      </c>
    </row>
    <row r="29" spans="1:41">
      <c r="A29" s="12" t="s">
        <v>414</v>
      </c>
      <c r="B29" s="12"/>
      <c r="C29" s="12" t="s">
        <v>45</v>
      </c>
      <c r="D29" s="12"/>
      <c r="E29" s="12">
        <v>48298</v>
      </c>
      <c r="G29" s="7">
        <v>6029646</v>
      </c>
      <c r="I29" s="7">
        <v>71058</v>
      </c>
      <c r="K29" s="2">
        <f t="shared" si="0"/>
        <v>17447649</v>
      </c>
      <c r="M29" s="7">
        <v>23548353</v>
      </c>
      <c r="O29" s="2">
        <f t="shared" si="1"/>
        <v>8058729</v>
      </c>
      <c r="Q29" s="7">
        <v>14843000</v>
      </c>
      <c r="S29" s="7">
        <v>22901729</v>
      </c>
      <c r="U29" s="7">
        <v>35538</v>
      </c>
      <c r="W29" s="7">
        <v>71058</v>
      </c>
      <c r="Y29" s="7">
        <v>0</v>
      </c>
      <c r="AA29" s="7">
        <v>457516</v>
      </c>
      <c r="AC29" s="7">
        <v>82512</v>
      </c>
      <c r="AE29" s="13">
        <f t="shared" si="2"/>
        <v>646624</v>
      </c>
      <c r="AG29" s="7">
        <f t="shared" si="3"/>
        <v>0</v>
      </c>
      <c r="AK29" s="7" t="str">
        <f t="shared" si="4"/>
        <v>Austintown Local SD</v>
      </c>
      <c r="AL29" s="7" t="str">
        <f>'St of Activities - GA Exp'!A29</f>
        <v>Austintown Local SD</v>
      </c>
      <c r="AM29" s="7" t="b">
        <f t="shared" si="5"/>
        <v>1</v>
      </c>
      <c r="AN29" s="7" t="str">
        <f t="shared" si="6"/>
        <v>Mahoning</v>
      </c>
      <c r="AO29" s="7" t="b">
        <f>C29='St of Activities - GA Exp'!C29</f>
        <v>1</v>
      </c>
    </row>
    <row r="30" spans="1:41">
      <c r="A30" s="12" t="s">
        <v>392</v>
      </c>
      <c r="B30" s="12"/>
      <c r="C30" s="12" t="s">
        <v>44</v>
      </c>
      <c r="D30" s="12"/>
      <c r="E30" s="12">
        <v>48124</v>
      </c>
      <c r="G30" s="7">
        <v>13800575</v>
      </c>
      <c r="I30" s="7">
        <v>113990</v>
      </c>
      <c r="K30" s="2">
        <f t="shared" si="0"/>
        <v>30548510</v>
      </c>
      <c r="M30" s="7">
        <v>44463075</v>
      </c>
      <c r="O30" s="2">
        <f t="shared" si="1"/>
        <v>4758799</v>
      </c>
      <c r="Q30" s="7">
        <v>27147502</v>
      </c>
      <c r="S30" s="7">
        <v>31906301</v>
      </c>
      <c r="U30" s="7">
        <v>35732</v>
      </c>
      <c r="W30" s="7">
        <v>0</v>
      </c>
      <c r="Y30" s="7">
        <v>113990</v>
      </c>
      <c r="AA30" s="7">
        <v>1762398</v>
      </c>
      <c r="AC30" s="7">
        <v>10644654</v>
      </c>
      <c r="AE30" s="13">
        <f t="shared" si="2"/>
        <v>12556774</v>
      </c>
      <c r="AG30" s="7">
        <f t="shared" si="3"/>
        <v>0</v>
      </c>
      <c r="AK30" s="7" t="str">
        <f t="shared" si="4"/>
        <v>Avon Lake City SD</v>
      </c>
      <c r="AL30" s="7" t="str">
        <f>'St of Activities - GA Exp'!A30</f>
        <v>Avon Lake City SD</v>
      </c>
      <c r="AM30" s="7" t="b">
        <f t="shared" si="5"/>
        <v>1</v>
      </c>
      <c r="AN30" s="7" t="str">
        <f t="shared" si="6"/>
        <v>Lorain</v>
      </c>
      <c r="AO30" s="7" t="b">
        <f>C30='St of Activities - GA Exp'!C30</f>
        <v>1</v>
      </c>
    </row>
    <row r="31" spans="1:41">
      <c r="A31" s="12" t="s">
        <v>393</v>
      </c>
      <c r="B31" s="12"/>
      <c r="C31" s="12" t="s">
        <v>44</v>
      </c>
      <c r="D31" s="12"/>
      <c r="E31" s="12">
        <v>48116</v>
      </c>
      <c r="G31" s="7">
        <v>8378198</v>
      </c>
      <c r="I31" s="7">
        <v>0</v>
      </c>
      <c r="K31" s="2">
        <f t="shared" si="0"/>
        <v>25643050</v>
      </c>
      <c r="M31" s="7">
        <v>34021248</v>
      </c>
      <c r="O31" s="2">
        <f t="shared" si="1"/>
        <v>3542148</v>
      </c>
      <c r="Q31" s="7">
        <v>23208176</v>
      </c>
      <c r="S31" s="7">
        <v>26750324</v>
      </c>
      <c r="U31" s="7">
        <v>0</v>
      </c>
      <c r="W31" s="7">
        <v>0</v>
      </c>
      <c r="Y31" s="7">
        <v>0</v>
      </c>
      <c r="AA31" s="7">
        <v>580521</v>
      </c>
      <c r="AC31" s="7">
        <v>6690403</v>
      </c>
      <c r="AE31" s="13">
        <f t="shared" si="2"/>
        <v>7270924</v>
      </c>
      <c r="AG31" s="7">
        <f t="shared" si="3"/>
        <v>0</v>
      </c>
      <c r="AK31" s="7" t="str">
        <f t="shared" si="4"/>
        <v>Avon Local SD</v>
      </c>
      <c r="AL31" s="7" t="str">
        <f>'St of Activities - GA Exp'!A31</f>
        <v>Avon Local SD</v>
      </c>
      <c r="AM31" s="7" t="b">
        <f t="shared" si="5"/>
        <v>1</v>
      </c>
      <c r="AN31" s="7" t="str">
        <f t="shared" si="6"/>
        <v>Lorain</v>
      </c>
      <c r="AO31" s="7" t="b">
        <f>C31='St of Activities - GA Exp'!C31</f>
        <v>1</v>
      </c>
    </row>
    <row r="32" spans="1:41">
      <c r="A32" s="12" t="s">
        <v>289</v>
      </c>
      <c r="B32" s="12"/>
      <c r="C32" s="12" t="s">
        <v>22</v>
      </c>
      <c r="D32" s="12"/>
      <c r="E32" s="12">
        <v>46706</v>
      </c>
      <c r="G32" s="7">
        <v>3697035</v>
      </c>
      <c r="I32" s="7">
        <v>1056</v>
      </c>
      <c r="K32" s="2">
        <f t="shared" si="0"/>
        <v>2661150</v>
      </c>
      <c r="M32" s="7">
        <v>6359241</v>
      </c>
      <c r="O32" s="2">
        <f t="shared" si="1"/>
        <v>965141</v>
      </c>
      <c r="Q32" s="7">
        <v>2116589</v>
      </c>
      <c r="S32" s="7">
        <v>3081730</v>
      </c>
      <c r="U32" s="7">
        <f>20824+10022</f>
        <v>30846</v>
      </c>
      <c r="W32" s="7">
        <v>213398</v>
      </c>
      <c r="Y32" s="7">
        <v>0</v>
      </c>
      <c r="AA32" s="7">
        <f>64471+42311</f>
        <v>106782</v>
      </c>
      <c r="AC32" s="7">
        <v>2926485</v>
      </c>
      <c r="AE32" s="13">
        <f t="shared" si="2"/>
        <v>3277511</v>
      </c>
      <c r="AG32" s="7">
        <f t="shared" si="3"/>
        <v>0</v>
      </c>
      <c r="AK32" s="7" t="str">
        <f t="shared" si="4"/>
        <v>Ayersville Local SD</v>
      </c>
      <c r="AL32" s="7" t="str">
        <f>'St of Activities - GA Exp'!A32</f>
        <v>Ayersville Local SD</v>
      </c>
      <c r="AM32" s="7" t="b">
        <f t="shared" si="5"/>
        <v>1</v>
      </c>
      <c r="AN32" s="7" t="str">
        <f t="shared" si="6"/>
        <v>Defiance</v>
      </c>
      <c r="AO32" s="7" t="b">
        <f>C32='St of Activities - GA Exp'!C32</f>
        <v>1</v>
      </c>
    </row>
    <row r="33" spans="1:41">
      <c r="A33" s="12" t="s">
        <v>523</v>
      </c>
      <c r="B33" s="12"/>
      <c r="C33" s="12" t="s">
        <v>63</v>
      </c>
      <c r="D33" s="12"/>
      <c r="E33" s="12">
        <v>43539</v>
      </c>
      <c r="G33" s="7">
        <f>4069462+3069002</f>
        <v>7138464</v>
      </c>
      <c r="I33" s="7">
        <v>0</v>
      </c>
      <c r="K33" s="2">
        <f t="shared" si="0"/>
        <v>12831875</v>
      </c>
      <c r="M33" s="7">
        <v>19970339</v>
      </c>
      <c r="O33" s="2">
        <f t="shared" si="1"/>
        <v>4529799</v>
      </c>
      <c r="Q33" s="7">
        <f>1771694+9477837</f>
        <v>11249531</v>
      </c>
      <c r="S33" s="7">
        <v>15779330</v>
      </c>
      <c r="U33" s="7">
        <v>69188</v>
      </c>
      <c r="W33" s="7">
        <v>0</v>
      </c>
      <c r="Y33" s="7">
        <v>14012</v>
      </c>
      <c r="AA33" s="7">
        <f>167479+377315+11596+13188</f>
        <v>569578</v>
      </c>
      <c r="AC33" s="7">
        <v>3538231</v>
      </c>
      <c r="AE33" s="13">
        <f t="shared" si="2"/>
        <v>4191009</v>
      </c>
      <c r="AG33" s="7">
        <f t="shared" si="3"/>
        <v>0</v>
      </c>
      <c r="AK33" s="7" t="str">
        <f t="shared" si="4"/>
        <v>Barberton City SD</v>
      </c>
      <c r="AL33" s="7" t="str">
        <f>'St of Activities - GA Exp'!A33</f>
        <v>Barberton City SD</v>
      </c>
      <c r="AM33" s="7" t="b">
        <f t="shared" si="5"/>
        <v>1</v>
      </c>
      <c r="AN33" s="7" t="str">
        <f t="shared" si="6"/>
        <v>Summit</v>
      </c>
      <c r="AO33" s="7" t="b">
        <f>C33='St of Activities - GA Exp'!C33</f>
        <v>1</v>
      </c>
    </row>
    <row r="34" spans="1:41">
      <c r="A34" s="12" t="s">
        <v>859</v>
      </c>
      <c r="B34" s="12"/>
      <c r="C34" s="12" t="s">
        <v>15</v>
      </c>
      <c r="D34" s="12"/>
      <c r="E34" s="12"/>
      <c r="G34" s="7">
        <v>3035728</v>
      </c>
      <c r="I34" s="7">
        <v>9036</v>
      </c>
      <c r="K34" s="2">
        <f t="shared" si="0"/>
        <v>3108197</v>
      </c>
      <c r="M34" s="7">
        <v>6152961</v>
      </c>
      <c r="O34" s="2">
        <f t="shared" si="1"/>
        <v>1162688</v>
      </c>
      <c r="Q34" s="7">
        <v>2905697</v>
      </c>
      <c r="S34" s="7">
        <v>4068385</v>
      </c>
      <c r="U34" s="7">
        <f>16972+5836</f>
        <v>22808</v>
      </c>
      <c r="W34" s="7">
        <v>9036</v>
      </c>
      <c r="Y34" s="7">
        <v>0</v>
      </c>
      <c r="AA34" s="7">
        <v>0</v>
      </c>
      <c r="AC34" s="7">
        <v>2052732</v>
      </c>
      <c r="AE34" s="13">
        <f t="shared" si="2"/>
        <v>2084576</v>
      </c>
      <c r="AG34" s="7">
        <f t="shared" si="3"/>
        <v>0</v>
      </c>
      <c r="AK34" s="7" t="str">
        <f t="shared" si="4"/>
        <v>Barnesville Exempted Village SD</v>
      </c>
      <c r="AL34" s="7" t="str">
        <f>'St of Activities - GA Exp'!A34</f>
        <v>Barnesville Exempted Village SD</v>
      </c>
      <c r="AM34" s="7" t="b">
        <f t="shared" si="5"/>
        <v>1</v>
      </c>
      <c r="AN34" s="7" t="str">
        <f t="shared" si="6"/>
        <v>Belmont</v>
      </c>
      <c r="AO34" s="7" t="b">
        <f>C34='St of Activities - GA Exp'!C34</f>
        <v>1</v>
      </c>
    </row>
    <row r="35" spans="1:41">
      <c r="A35" s="12" t="s">
        <v>242</v>
      </c>
      <c r="B35" s="12"/>
      <c r="C35" s="12" t="s">
        <v>113</v>
      </c>
      <c r="D35" s="12"/>
      <c r="E35" s="12">
        <v>46300</v>
      </c>
      <c r="G35" s="7">
        <v>483175</v>
      </c>
      <c r="I35" s="7">
        <v>78607</v>
      </c>
      <c r="K35" s="2">
        <f t="shared" si="0"/>
        <v>8052324</v>
      </c>
      <c r="M35" s="7">
        <v>8614106</v>
      </c>
      <c r="O35" s="2">
        <f t="shared" si="1"/>
        <v>2151298</v>
      </c>
      <c r="Q35" s="7">
        <v>5907651</v>
      </c>
      <c r="S35" s="7">
        <v>8058949</v>
      </c>
      <c r="U35" s="7">
        <v>0</v>
      </c>
      <c r="W35" s="7">
        <v>0</v>
      </c>
      <c r="Y35" s="7">
        <v>10844</v>
      </c>
      <c r="AA35" s="7">
        <v>32875</v>
      </c>
      <c r="AC35" s="7">
        <v>511438</v>
      </c>
      <c r="AE35" s="13">
        <f t="shared" si="2"/>
        <v>555157</v>
      </c>
      <c r="AG35" s="7">
        <f t="shared" si="3"/>
        <v>0</v>
      </c>
      <c r="AK35" s="7" t="str">
        <f t="shared" si="4"/>
        <v>Batavia Local SD</v>
      </c>
      <c r="AL35" s="7" t="str">
        <f>'St of Activities - GA Exp'!A35</f>
        <v>Batavia Local SD</v>
      </c>
      <c r="AM35" s="7" t="b">
        <f t="shared" si="5"/>
        <v>1</v>
      </c>
      <c r="AN35" s="7" t="str">
        <f t="shared" si="6"/>
        <v>Clermont</v>
      </c>
      <c r="AO35" s="7" t="b">
        <f>C35='St of Activities - GA Exp'!C35</f>
        <v>1</v>
      </c>
    </row>
    <row r="36" spans="1:41" hidden="1">
      <c r="A36" s="12" t="s">
        <v>703</v>
      </c>
      <c r="B36" s="12"/>
      <c r="C36" s="12" t="s">
        <v>10</v>
      </c>
      <c r="D36" s="12"/>
      <c r="E36" s="12">
        <v>45765</v>
      </c>
      <c r="K36" s="2">
        <f t="shared" si="0"/>
        <v>0</v>
      </c>
      <c r="O36" s="2">
        <f t="shared" si="1"/>
        <v>0</v>
      </c>
      <c r="AE36" s="13">
        <f t="shared" si="2"/>
        <v>0</v>
      </c>
      <c r="AG36" s="7">
        <f t="shared" si="3"/>
        <v>0</v>
      </c>
      <c r="AI36" s="7" t="s">
        <v>778</v>
      </c>
      <c r="AK36" s="7" t="str">
        <f t="shared" si="4"/>
        <v>Bath Local SD (CASH)</v>
      </c>
      <c r="AL36" s="7" t="str">
        <f>'St of Activities - GA Exp'!A36</f>
        <v>Bath Local SD (CASH)</v>
      </c>
      <c r="AM36" s="7" t="b">
        <f t="shared" si="5"/>
        <v>1</v>
      </c>
      <c r="AN36" s="7" t="str">
        <f t="shared" si="6"/>
        <v>Allen</v>
      </c>
      <c r="AO36" s="7" t="b">
        <f>C36='St of Activities - GA Exp'!C36</f>
        <v>1</v>
      </c>
    </row>
    <row r="37" spans="1:41">
      <c r="A37" s="12" t="s">
        <v>661</v>
      </c>
      <c r="B37" s="12"/>
      <c r="C37" s="12" t="s">
        <v>20</v>
      </c>
      <c r="D37" s="12"/>
      <c r="E37" s="12">
        <v>43547</v>
      </c>
      <c r="G37" s="7">
        <v>6953312</v>
      </c>
      <c r="I37" s="7">
        <v>0</v>
      </c>
      <c r="K37" s="2">
        <f t="shared" si="0"/>
        <v>23122344</v>
      </c>
      <c r="M37" s="7">
        <v>30075656</v>
      </c>
      <c r="O37" s="2">
        <f t="shared" si="1"/>
        <v>3825370</v>
      </c>
      <c r="Q37" s="7">
        <v>19615923</v>
      </c>
      <c r="S37" s="7">
        <v>23441293</v>
      </c>
      <c r="U37" s="7">
        <v>28704</v>
      </c>
      <c r="W37" s="7">
        <v>71781</v>
      </c>
      <c r="Y37" s="7">
        <v>0</v>
      </c>
      <c r="AA37" s="7">
        <v>841256</v>
      </c>
      <c r="AC37" s="7">
        <v>5692622</v>
      </c>
      <c r="AE37" s="13">
        <f t="shared" si="2"/>
        <v>6634363</v>
      </c>
      <c r="AG37" s="7">
        <f t="shared" si="3"/>
        <v>0</v>
      </c>
      <c r="AK37" s="7" t="str">
        <f t="shared" si="4"/>
        <v xml:space="preserve">Bay Village City SD </v>
      </c>
      <c r="AL37" s="7" t="str">
        <f>'St of Activities - GA Exp'!A37</f>
        <v xml:space="preserve">Bay Village City SD </v>
      </c>
      <c r="AM37" s="7" t="b">
        <f t="shared" si="5"/>
        <v>1</v>
      </c>
      <c r="AN37" s="7" t="str">
        <f t="shared" si="6"/>
        <v>Cuyahoga</v>
      </c>
      <c r="AO37" s="7" t="b">
        <f>C37='St of Activities - GA Exp'!C37</f>
        <v>1</v>
      </c>
    </row>
    <row r="38" spans="1:41">
      <c r="A38" s="12" t="s">
        <v>267</v>
      </c>
      <c r="B38" s="12"/>
      <c r="C38" s="12" t="s">
        <v>20</v>
      </c>
      <c r="D38" s="12"/>
      <c r="E38" s="12">
        <v>43554</v>
      </c>
      <c r="G38" s="7">
        <f>15095862+134873</f>
        <v>15230735</v>
      </c>
      <c r="I38" s="7">
        <v>0</v>
      </c>
      <c r="K38" s="2">
        <f t="shared" si="0"/>
        <v>26167909</v>
      </c>
      <c r="M38" s="7">
        <v>41398644</v>
      </c>
      <c r="O38" s="2">
        <f t="shared" si="1"/>
        <v>2634550</v>
      </c>
      <c r="Q38" s="7">
        <v>20089518</v>
      </c>
      <c r="S38" s="7">
        <v>22724068</v>
      </c>
      <c r="U38" s="7">
        <v>78834</v>
      </c>
      <c r="W38" s="7">
        <v>142715</v>
      </c>
      <c r="Y38" s="7">
        <v>466442</v>
      </c>
      <c r="AA38" s="7">
        <v>1170307</v>
      </c>
      <c r="AC38" s="7">
        <v>16816278</v>
      </c>
      <c r="AE38" s="13">
        <f t="shared" si="2"/>
        <v>18674576</v>
      </c>
      <c r="AG38" s="7">
        <f t="shared" si="3"/>
        <v>0</v>
      </c>
      <c r="AK38" s="7" t="str">
        <f t="shared" si="4"/>
        <v>Beachwood City SD</v>
      </c>
      <c r="AL38" s="7" t="str">
        <f>'St of Activities - GA Exp'!A38</f>
        <v>Beachwood City SD</v>
      </c>
      <c r="AM38" s="7" t="b">
        <f t="shared" si="5"/>
        <v>1</v>
      </c>
      <c r="AN38" s="7" t="str">
        <f t="shared" si="6"/>
        <v>Cuyahoga</v>
      </c>
      <c r="AO38" s="7" t="b">
        <f>C38='St of Activities - GA Exp'!C38</f>
        <v>1</v>
      </c>
    </row>
    <row r="39" spans="1:41">
      <c r="A39" s="12" t="s">
        <v>252</v>
      </c>
      <c r="B39" s="12"/>
      <c r="C39" s="12" t="s">
        <v>112</v>
      </c>
      <c r="D39" s="12"/>
      <c r="E39" s="12">
        <v>46425</v>
      </c>
      <c r="G39" s="7">
        <v>373283</v>
      </c>
      <c r="I39" s="7">
        <v>0</v>
      </c>
      <c r="K39" s="2">
        <f t="shared" si="0"/>
        <v>6773236</v>
      </c>
      <c r="M39" s="7">
        <v>7146519</v>
      </c>
      <c r="O39" s="2">
        <f t="shared" si="1"/>
        <v>1748937</v>
      </c>
      <c r="Q39" s="7">
        <v>6588502</v>
      </c>
      <c r="S39" s="7">
        <v>8337439</v>
      </c>
      <c r="U39" s="7">
        <v>16411</v>
      </c>
      <c r="W39" s="7">
        <v>0</v>
      </c>
      <c r="Y39" s="7">
        <v>0</v>
      </c>
      <c r="AA39" s="7">
        <v>210869</v>
      </c>
      <c r="AC39" s="7">
        <v>-1418200</v>
      </c>
      <c r="AE39" s="13">
        <f t="shared" si="2"/>
        <v>-1190920</v>
      </c>
      <c r="AG39" s="7">
        <f t="shared" si="3"/>
        <v>0</v>
      </c>
      <c r="AK39" s="7" t="str">
        <f t="shared" si="4"/>
        <v>Beaver Local SD</v>
      </c>
      <c r="AL39" s="7" t="str">
        <f>'St of Activities - GA Exp'!A39</f>
        <v>Beaver Local SD</v>
      </c>
      <c r="AM39" s="7" t="b">
        <f t="shared" si="5"/>
        <v>1</v>
      </c>
      <c r="AN39" s="7" t="str">
        <f t="shared" si="6"/>
        <v>Columbiana</v>
      </c>
      <c r="AO39" s="7" t="b">
        <f>C39='St of Activities - GA Exp'!C39</f>
        <v>1</v>
      </c>
    </row>
    <row r="40" spans="1:41">
      <c r="A40" s="12" t="s">
        <v>325</v>
      </c>
      <c r="B40" s="12"/>
      <c r="C40" s="12" t="s">
        <v>114</v>
      </c>
      <c r="D40" s="12"/>
      <c r="E40" s="12">
        <v>47241</v>
      </c>
      <c r="G40" s="7">
        <v>26582196</v>
      </c>
      <c r="I40" s="7">
        <v>0</v>
      </c>
      <c r="K40" s="2">
        <f t="shared" si="0"/>
        <v>45790828</v>
      </c>
      <c r="M40" s="7">
        <v>72373024</v>
      </c>
      <c r="O40" s="2">
        <f t="shared" si="1"/>
        <v>9003919</v>
      </c>
      <c r="Q40" s="7">
        <v>41107090</v>
      </c>
      <c r="S40" s="7">
        <v>50111009</v>
      </c>
      <c r="U40" s="7">
        <v>108679</v>
      </c>
      <c r="W40" s="7">
        <v>0</v>
      </c>
      <c r="Y40" s="7">
        <v>0</v>
      </c>
      <c r="AA40" s="7">
        <v>419622</v>
      </c>
      <c r="AC40" s="7">
        <v>21733714</v>
      </c>
      <c r="AE40" s="13">
        <f t="shared" si="2"/>
        <v>22262015</v>
      </c>
      <c r="AG40" s="7">
        <f t="shared" si="3"/>
        <v>0</v>
      </c>
      <c r="AK40" s="7" t="str">
        <f t="shared" si="4"/>
        <v>Beavercreek City SD</v>
      </c>
      <c r="AL40" s="7" t="str">
        <f>'St of Activities - GA Exp'!A40</f>
        <v>Beavercreek City SD</v>
      </c>
      <c r="AM40" s="7" t="b">
        <f t="shared" si="5"/>
        <v>1</v>
      </c>
      <c r="AN40" s="7" t="str">
        <f t="shared" si="6"/>
        <v>Greene</v>
      </c>
      <c r="AO40" s="7" t="b">
        <f>C40='St of Activities - GA Exp'!C40</f>
        <v>1</v>
      </c>
    </row>
    <row r="41" spans="1:41">
      <c r="A41" s="12" t="s">
        <v>268</v>
      </c>
      <c r="B41" s="12"/>
      <c r="C41" s="12" t="s">
        <v>20</v>
      </c>
      <c r="D41" s="12"/>
      <c r="E41" s="12">
        <v>43562</v>
      </c>
      <c r="G41" s="7">
        <v>17004579</v>
      </c>
      <c r="I41" s="7">
        <v>0</v>
      </c>
      <c r="K41" s="2">
        <f t="shared" si="0"/>
        <v>31928047</v>
      </c>
      <c r="M41" s="7">
        <v>48932626</v>
      </c>
      <c r="O41" s="2">
        <f t="shared" si="1"/>
        <v>5520441</v>
      </c>
      <c r="Q41" s="7">
        <v>25818932</v>
      </c>
      <c r="S41" s="7">
        <v>31339373</v>
      </c>
      <c r="U41" s="7">
        <v>381025</v>
      </c>
      <c r="W41" s="7">
        <v>66205</v>
      </c>
      <c r="Y41" s="7">
        <v>263940</v>
      </c>
      <c r="AA41" s="7">
        <v>212853</v>
      </c>
      <c r="AC41" s="7">
        <v>16669230</v>
      </c>
      <c r="AE41" s="13">
        <f t="shared" si="2"/>
        <v>17593253</v>
      </c>
      <c r="AG41" s="7">
        <f t="shared" si="3"/>
        <v>0</v>
      </c>
      <c r="AK41" s="7" t="str">
        <f t="shared" si="4"/>
        <v>Bedford City SD</v>
      </c>
      <c r="AL41" s="7" t="str">
        <f>'St of Activities - GA Exp'!A41</f>
        <v>Bedford City SD</v>
      </c>
      <c r="AM41" s="7" t="b">
        <f t="shared" si="5"/>
        <v>1</v>
      </c>
      <c r="AN41" s="7" t="str">
        <f t="shared" si="6"/>
        <v>Cuyahoga</v>
      </c>
      <c r="AO41" s="7" t="b">
        <f>C41='St of Activities - GA Exp'!C41</f>
        <v>1</v>
      </c>
    </row>
    <row r="42" spans="1:41">
      <c r="A42" s="12" t="s">
        <v>216</v>
      </c>
      <c r="B42" s="12"/>
      <c r="C42" s="12" t="s">
        <v>15</v>
      </c>
      <c r="D42" s="12"/>
      <c r="E42" s="12">
        <v>43570</v>
      </c>
      <c r="G42" s="7">
        <v>0</v>
      </c>
      <c r="I42" s="7">
        <v>6396</v>
      </c>
      <c r="K42" s="2">
        <f t="shared" si="0"/>
        <v>2616681</v>
      </c>
      <c r="M42" s="7">
        <v>2623077</v>
      </c>
      <c r="O42" s="2">
        <f t="shared" si="1"/>
        <v>4709169</v>
      </c>
      <c r="Q42" s="7">
        <v>2243988</v>
      </c>
      <c r="S42" s="7">
        <v>6953157</v>
      </c>
      <c r="U42" s="7">
        <f>61230+36611</f>
        <v>97841</v>
      </c>
      <c r="W42" s="7">
        <v>55562</v>
      </c>
      <c r="Y42" s="7">
        <v>0</v>
      </c>
      <c r="AA42" s="7">
        <v>0</v>
      </c>
      <c r="AC42" s="7">
        <v>-4483483</v>
      </c>
      <c r="AE42" s="13">
        <f t="shared" si="2"/>
        <v>-4330080</v>
      </c>
      <c r="AG42" s="7">
        <f t="shared" si="3"/>
        <v>0</v>
      </c>
      <c r="AK42" s="7" t="str">
        <f t="shared" si="4"/>
        <v>Bellaire Local SD</v>
      </c>
      <c r="AL42" s="7" t="str">
        <f>'St of Activities - GA Exp'!A42</f>
        <v>Bellaire Local SD</v>
      </c>
      <c r="AM42" s="7" t="b">
        <f t="shared" si="5"/>
        <v>1</v>
      </c>
      <c r="AN42" s="7" t="str">
        <f t="shared" si="6"/>
        <v>Belmont</v>
      </c>
      <c r="AO42" s="7" t="b">
        <f>C42='St of Activities - GA Exp'!C42</f>
        <v>1</v>
      </c>
    </row>
    <row r="43" spans="1:41">
      <c r="A43" s="12" t="s">
        <v>796</v>
      </c>
      <c r="B43" s="12"/>
      <c r="C43" s="12" t="s">
        <v>114</v>
      </c>
      <c r="D43" s="12"/>
      <c r="E43" s="12"/>
      <c r="G43" s="7">
        <v>2026208</v>
      </c>
      <c r="I43" s="7">
        <v>0</v>
      </c>
      <c r="K43" s="2">
        <f t="shared" si="0"/>
        <v>15554866</v>
      </c>
      <c r="M43" s="7">
        <v>17581074</v>
      </c>
      <c r="O43" s="2">
        <f t="shared" si="1"/>
        <v>4948274</v>
      </c>
      <c r="Q43" s="7">
        <v>12244732</v>
      </c>
      <c r="S43" s="7">
        <v>17193006</v>
      </c>
      <c r="U43" s="7">
        <v>0</v>
      </c>
      <c r="W43" s="7">
        <v>0</v>
      </c>
      <c r="Y43" s="7">
        <v>331839</v>
      </c>
      <c r="AA43" s="7">
        <v>94534</v>
      </c>
      <c r="AC43" s="7">
        <v>-38305</v>
      </c>
      <c r="AE43" s="13">
        <f t="shared" si="2"/>
        <v>388068</v>
      </c>
      <c r="AI43" s="7" t="s">
        <v>780</v>
      </c>
      <c r="AK43" s="7" t="str">
        <f t="shared" ref="AK43" si="7">A43</f>
        <v>Bellbrook-Sugarcreek Local SD</v>
      </c>
      <c r="AL43" s="7" t="str">
        <f>'St of Activities - GA Exp'!A43</f>
        <v>Bellbrook-Sugarcreek Local SD</v>
      </c>
      <c r="AM43" s="7" t="b">
        <f t="shared" ref="AM43" si="8">AK43=AL43</f>
        <v>1</v>
      </c>
      <c r="AN43" s="7" t="str">
        <f t="shared" si="6"/>
        <v>Greene</v>
      </c>
      <c r="AO43" s="7" t="b">
        <f>C43='St of Activities - GA Exp'!C43</f>
        <v>1</v>
      </c>
    </row>
    <row r="44" spans="1:41">
      <c r="A44" s="12" t="s">
        <v>365</v>
      </c>
      <c r="B44" s="12"/>
      <c r="C44" s="12" t="s">
        <v>37</v>
      </c>
      <c r="D44" s="12"/>
      <c r="E44" s="12">
        <v>43596</v>
      </c>
      <c r="G44" s="7">
        <v>4314536</v>
      </c>
      <c r="I44" s="7">
        <v>0</v>
      </c>
      <c r="K44" s="2">
        <f t="shared" si="0"/>
        <v>8217857</v>
      </c>
      <c r="M44" s="7">
        <v>12532393</v>
      </c>
      <c r="O44" s="2">
        <f t="shared" si="1"/>
        <v>2495285</v>
      </c>
      <c r="Q44" s="7">
        <f>1048987+4660649</f>
        <v>5709636</v>
      </c>
      <c r="S44" s="7">
        <v>8204921</v>
      </c>
      <c r="U44" s="7">
        <f>95862+56180</f>
        <v>152042</v>
      </c>
      <c r="W44" s="7">
        <v>0</v>
      </c>
      <c r="Y44" s="7">
        <v>0</v>
      </c>
      <c r="AA44" s="7">
        <f>16481+142572+1360+2027+21656</f>
        <v>184096</v>
      </c>
      <c r="AC44" s="7">
        <v>3991334</v>
      </c>
      <c r="AE44" s="13">
        <f t="shared" si="2"/>
        <v>4327472</v>
      </c>
      <c r="AG44" s="7">
        <f t="shared" si="3"/>
        <v>0</v>
      </c>
      <c r="AK44" s="7" t="str">
        <f t="shared" si="4"/>
        <v>Bellevue City SD</v>
      </c>
      <c r="AL44" s="7" t="str">
        <f>'St of Activities - GA Exp'!A44</f>
        <v>Bellevue City SD</v>
      </c>
      <c r="AM44" s="7" t="b">
        <f t="shared" si="5"/>
        <v>1</v>
      </c>
      <c r="AN44" s="7" t="str">
        <f t="shared" si="6"/>
        <v>Huron</v>
      </c>
      <c r="AO44" s="7" t="b">
        <f>C44='St of Activities - GA Exp'!C44</f>
        <v>1</v>
      </c>
    </row>
    <row r="45" spans="1:41">
      <c r="A45" s="12" t="s">
        <v>564</v>
      </c>
      <c r="B45" s="12"/>
      <c r="C45" s="12" t="s">
        <v>70</v>
      </c>
      <c r="D45" s="12"/>
      <c r="E45" s="12">
        <v>43604</v>
      </c>
      <c r="G45" s="7">
        <v>1558376</v>
      </c>
      <c r="I45" s="7">
        <v>191793</v>
      </c>
      <c r="K45" s="2">
        <f t="shared" si="0"/>
        <v>3896460</v>
      </c>
      <c r="M45" s="7">
        <v>5646629</v>
      </c>
      <c r="O45" s="2">
        <f t="shared" si="1"/>
        <v>1228754</v>
      </c>
      <c r="Q45" s="7">
        <f>278691+3464953</f>
        <v>3743644</v>
      </c>
      <c r="S45" s="7">
        <v>4972398</v>
      </c>
      <c r="U45" s="7">
        <v>24027</v>
      </c>
      <c r="W45" s="7">
        <f>1842+185849+5944</f>
        <v>193635</v>
      </c>
      <c r="Y45" s="7">
        <v>0</v>
      </c>
      <c r="AA45" s="7">
        <f>14721+63602+565+18086+1123+2388</f>
        <v>100485</v>
      </c>
      <c r="AC45" s="7">
        <v>356084</v>
      </c>
      <c r="AE45" s="13">
        <f t="shared" si="2"/>
        <v>674231</v>
      </c>
      <c r="AG45" s="7">
        <f t="shared" si="3"/>
        <v>0</v>
      </c>
      <c r="AK45" s="7" t="str">
        <f t="shared" si="4"/>
        <v>Belpre City SD</v>
      </c>
      <c r="AL45" s="7" t="str">
        <f>'St of Activities - GA Exp'!A45</f>
        <v>Belpre City SD</v>
      </c>
      <c r="AM45" s="7" t="b">
        <f t="shared" si="5"/>
        <v>1</v>
      </c>
      <c r="AN45" s="7" t="str">
        <f t="shared" si="6"/>
        <v>Washington</v>
      </c>
      <c r="AO45" s="7" t="b">
        <f>C45='St of Activities - GA Exp'!C45</f>
        <v>1</v>
      </c>
    </row>
    <row r="46" spans="1:41">
      <c r="A46" s="12" t="s">
        <v>463</v>
      </c>
      <c r="B46" s="12"/>
      <c r="C46" s="12" t="s">
        <v>53</v>
      </c>
      <c r="D46" s="12"/>
      <c r="E46" s="12">
        <v>48926</v>
      </c>
      <c r="G46" s="7">
        <f>2546399+879</f>
        <v>2547278</v>
      </c>
      <c r="I46" s="7">
        <v>663368</v>
      </c>
      <c r="K46" s="2">
        <f t="shared" si="0"/>
        <v>8524919</v>
      </c>
      <c r="M46" s="7">
        <v>11735565</v>
      </c>
      <c r="O46" s="2">
        <f t="shared" si="1"/>
        <v>2503966</v>
      </c>
      <c r="Q46" s="7">
        <f>552092+7092866</f>
        <v>7644958</v>
      </c>
      <c r="S46" s="7">
        <v>10148924</v>
      </c>
      <c r="U46" s="7">
        <v>20619</v>
      </c>
      <c r="W46" s="7">
        <f>647752+15616</f>
        <v>663368</v>
      </c>
      <c r="Y46" s="7">
        <v>252657</v>
      </c>
      <c r="AA46" s="7">
        <f>47554+528743+65250+8799</f>
        <v>650346</v>
      </c>
      <c r="AC46" s="7">
        <v>-349</v>
      </c>
      <c r="AE46" s="13">
        <f t="shared" si="2"/>
        <v>1586641</v>
      </c>
      <c r="AG46" s="7">
        <f t="shared" si="3"/>
        <v>0</v>
      </c>
      <c r="AK46" s="7" t="str">
        <f t="shared" si="4"/>
        <v>Benton Carroll Salem Local SD</v>
      </c>
      <c r="AL46" s="7" t="str">
        <f>'St of Activities - GA Exp'!A46</f>
        <v>Benton Carroll Salem Local SD</v>
      </c>
      <c r="AM46" s="7" t="b">
        <f t="shared" si="5"/>
        <v>1</v>
      </c>
      <c r="AN46" s="7" t="str">
        <f t="shared" si="6"/>
        <v>Ottawa</v>
      </c>
      <c r="AO46" s="7" t="b">
        <f>C46='St of Activities - GA Exp'!C46</f>
        <v>1</v>
      </c>
    </row>
    <row r="47" spans="1:41">
      <c r="A47" s="12" t="s">
        <v>269</v>
      </c>
      <c r="B47" s="12"/>
      <c r="C47" s="12" t="s">
        <v>20</v>
      </c>
      <c r="D47" s="12"/>
      <c r="E47" s="12">
        <v>43612</v>
      </c>
      <c r="G47" s="7">
        <v>17085625</v>
      </c>
      <c r="I47" s="7">
        <v>193440</v>
      </c>
      <c r="K47" s="2">
        <f t="shared" si="0"/>
        <v>48829063</v>
      </c>
      <c r="M47" s="7">
        <v>66108128</v>
      </c>
      <c r="O47" s="2">
        <f t="shared" si="1"/>
        <v>9234002</v>
      </c>
      <c r="Q47" s="7">
        <v>41399062</v>
      </c>
      <c r="S47" s="7">
        <v>50633064</v>
      </c>
      <c r="U47" s="7">
        <v>172618</v>
      </c>
      <c r="W47" s="7">
        <v>206582</v>
      </c>
      <c r="Y47" s="7">
        <v>0</v>
      </c>
      <c r="AA47" s="7">
        <v>196107</v>
      </c>
      <c r="AC47" s="7">
        <v>14899757</v>
      </c>
      <c r="AE47" s="13">
        <f t="shared" si="2"/>
        <v>15475064</v>
      </c>
      <c r="AG47" s="7">
        <f t="shared" si="3"/>
        <v>0</v>
      </c>
      <c r="AK47" s="7" t="str">
        <f t="shared" si="4"/>
        <v>Berea City SD</v>
      </c>
      <c r="AL47" s="7" t="str">
        <f>'St of Activities - GA Exp'!A47</f>
        <v>Berea City SD</v>
      </c>
      <c r="AM47" s="7" t="b">
        <f t="shared" si="5"/>
        <v>1</v>
      </c>
      <c r="AN47" s="7" t="str">
        <f t="shared" si="6"/>
        <v>Cuyahoga</v>
      </c>
      <c r="AO47" s="7" t="b">
        <f>C47='St of Activities - GA Exp'!C47</f>
        <v>1</v>
      </c>
    </row>
    <row r="48" spans="1:41">
      <c r="A48" s="12" t="s">
        <v>668</v>
      </c>
      <c r="B48" s="12"/>
      <c r="C48" s="12" t="s">
        <v>30</v>
      </c>
      <c r="D48" s="12"/>
      <c r="E48" s="12">
        <v>47167</v>
      </c>
      <c r="G48" s="7">
        <v>2812232</v>
      </c>
      <c r="I48" s="7">
        <v>39468</v>
      </c>
      <c r="K48" s="2">
        <f t="shared" si="0"/>
        <v>4879617</v>
      </c>
      <c r="M48" s="7">
        <v>7731317</v>
      </c>
      <c r="O48" s="2">
        <f t="shared" si="1"/>
        <v>1849302</v>
      </c>
      <c r="Q48" s="7">
        <v>3812892</v>
      </c>
      <c r="S48" s="7">
        <v>5662194</v>
      </c>
      <c r="U48" s="7">
        <v>2029</v>
      </c>
      <c r="W48" s="7">
        <v>41045</v>
      </c>
      <c r="Y48" s="7">
        <v>0</v>
      </c>
      <c r="AA48" s="7">
        <v>888474</v>
      </c>
      <c r="AC48" s="7">
        <v>1137575</v>
      </c>
      <c r="AE48" s="13">
        <f t="shared" si="2"/>
        <v>2069123</v>
      </c>
      <c r="AG48" s="7">
        <f t="shared" si="3"/>
        <v>0</v>
      </c>
      <c r="AK48" s="7" t="str">
        <f t="shared" si="4"/>
        <v xml:space="preserve">Berkshire Local SD </v>
      </c>
      <c r="AL48" s="7" t="str">
        <f>'St of Activities - GA Exp'!A48</f>
        <v xml:space="preserve">Berkshire Local SD </v>
      </c>
      <c r="AM48" s="7" t="b">
        <f t="shared" si="5"/>
        <v>1</v>
      </c>
      <c r="AN48" s="7" t="str">
        <f t="shared" si="6"/>
        <v>Geauga</v>
      </c>
      <c r="AO48" s="7" t="b">
        <f>C48='St of Activities - GA Exp'!C48</f>
        <v>1</v>
      </c>
    </row>
    <row r="49" spans="1:41">
      <c r="A49" s="12" t="s">
        <v>291</v>
      </c>
      <c r="B49" s="12"/>
      <c r="C49" s="12" t="s">
        <v>24</v>
      </c>
      <c r="D49" s="12"/>
      <c r="E49" s="12">
        <v>46789</v>
      </c>
      <c r="G49" s="7">
        <v>4241349</v>
      </c>
      <c r="I49" s="7">
        <v>0</v>
      </c>
      <c r="K49" s="2">
        <f t="shared" si="0"/>
        <v>6814902</v>
      </c>
      <c r="M49" s="7">
        <v>11056251</v>
      </c>
      <c r="O49" s="2">
        <f t="shared" si="1"/>
        <v>1911868</v>
      </c>
      <c r="Q49" s="7">
        <v>5418958</v>
      </c>
      <c r="S49" s="7">
        <v>7330826</v>
      </c>
      <c r="U49" s="7">
        <f>18428+11635+360</f>
        <v>30423</v>
      </c>
      <c r="W49" s="7">
        <v>0</v>
      </c>
      <c r="Y49" s="7">
        <f>42341+14580</f>
        <v>56921</v>
      </c>
      <c r="AA49" s="7">
        <f>102690+193649+57574+262</f>
        <v>354175</v>
      </c>
      <c r="AC49" s="7">
        <v>3283906</v>
      </c>
      <c r="AE49" s="13">
        <f t="shared" si="2"/>
        <v>3725425</v>
      </c>
      <c r="AG49" s="7">
        <f t="shared" si="3"/>
        <v>0</v>
      </c>
      <c r="AK49" s="7" t="str">
        <f t="shared" si="4"/>
        <v>Berlin-Milan Local SD</v>
      </c>
      <c r="AL49" s="7" t="str">
        <f>'St of Activities - GA Exp'!A49</f>
        <v>Berlin-Milan Local SD</v>
      </c>
      <c r="AM49" s="7" t="b">
        <f t="shared" si="5"/>
        <v>1</v>
      </c>
      <c r="AN49" s="7" t="str">
        <f t="shared" si="6"/>
        <v>Erie</v>
      </c>
      <c r="AO49" s="7" t="b">
        <f>C49='St of Activities - GA Exp'!C49</f>
        <v>1</v>
      </c>
    </row>
    <row r="50" spans="1:41" hidden="1">
      <c r="A50" s="12" t="s">
        <v>905</v>
      </c>
      <c r="B50" s="12"/>
      <c r="C50" s="12" t="s">
        <v>25</v>
      </c>
      <c r="D50" s="12"/>
      <c r="E50" s="12">
        <v>46854</v>
      </c>
      <c r="K50" s="2">
        <f t="shared" si="0"/>
        <v>0</v>
      </c>
      <c r="O50" s="2">
        <f t="shared" si="1"/>
        <v>0</v>
      </c>
      <c r="AE50" s="13">
        <f t="shared" si="2"/>
        <v>0</v>
      </c>
      <c r="AG50" s="7">
        <f t="shared" si="3"/>
        <v>0</v>
      </c>
      <c r="AI50" s="7" t="s">
        <v>903</v>
      </c>
      <c r="AK50" s="7" t="str">
        <f t="shared" si="4"/>
        <v>Berne Union Local SD (CASH)</v>
      </c>
      <c r="AL50" s="7" t="str">
        <f>'St of Activities - GA Exp'!A50</f>
        <v>Berne Union Local SD (CASH)</v>
      </c>
      <c r="AM50" s="7" t="b">
        <f t="shared" si="5"/>
        <v>1</v>
      </c>
      <c r="AN50" s="7" t="str">
        <f t="shared" si="6"/>
        <v>Fairfield</v>
      </c>
      <c r="AO50" s="7" t="b">
        <f>C50='St of Activities - GA Exp'!C50</f>
        <v>1</v>
      </c>
    </row>
    <row r="51" spans="1:41">
      <c r="A51" s="12" t="s">
        <v>436</v>
      </c>
      <c r="B51" s="12"/>
      <c r="C51" s="12" t="s">
        <v>48</v>
      </c>
      <c r="D51" s="12"/>
      <c r="E51" s="12">
        <v>48611</v>
      </c>
      <c r="G51" s="7">
        <v>602848</v>
      </c>
      <c r="I51" s="7">
        <v>0</v>
      </c>
      <c r="K51" s="2">
        <f t="shared" si="0"/>
        <v>3275890</v>
      </c>
      <c r="M51" s="7">
        <v>3878738</v>
      </c>
      <c r="O51" s="2">
        <f t="shared" si="1"/>
        <v>797629</v>
      </c>
      <c r="Q51" s="7">
        <v>2718359</v>
      </c>
      <c r="S51" s="7">
        <v>3515988</v>
      </c>
      <c r="U51" s="7">
        <v>13626</v>
      </c>
      <c r="W51" s="7">
        <v>0</v>
      </c>
      <c r="Y51" s="7">
        <v>0</v>
      </c>
      <c r="AA51" s="7">
        <f>60485+51364</f>
        <v>111849</v>
      </c>
      <c r="AC51" s="7">
        <v>237275</v>
      </c>
      <c r="AE51" s="13">
        <f t="shared" si="2"/>
        <v>362750</v>
      </c>
      <c r="AG51" s="7">
        <f t="shared" si="3"/>
        <v>0</v>
      </c>
      <c r="AK51" s="7" t="str">
        <f t="shared" si="4"/>
        <v>Bethel Local SD</v>
      </c>
      <c r="AL51" s="7" t="str">
        <f>'St of Activities - GA Exp'!A51</f>
        <v>Bethel Local SD</v>
      </c>
      <c r="AM51" s="7" t="b">
        <f t="shared" si="5"/>
        <v>1</v>
      </c>
      <c r="AN51" s="7" t="str">
        <f t="shared" si="6"/>
        <v>Miami</v>
      </c>
      <c r="AO51" s="7" t="b">
        <f>C51='St of Activities - GA Exp'!C51</f>
        <v>1</v>
      </c>
    </row>
    <row r="52" spans="1:41">
      <c r="A52" s="12" t="s">
        <v>243</v>
      </c>
      <c r="B52" s="12"/>
      <c r="C52" s="12" t="s">
        <v>113</v>
      </c>
      <c r="D52" s="12"/>
      <c r="E52" s="12">
        <v>46318</v>
      </c>
      <c r="G52" s="7">
        <v>1871608</v>
      </c>
      <c r="I52" s="7">
        <v>377048</v>
      </c>
      <c r="K52" s="2">
        <f t="shared" si="0"/>
        <v>3515533</v>
      </c>
      <c r="M52" s="7">
        <v>5764189</v>
      </c>
      <c r="O52" s="2">
        <f t="shared" si="1"/>
        <v>1624316</v>
      </c>
      <c r="Q52" s="7">
        <v>2689511</v>
      </c>
      <c r="S52" s="7">
        <v>4313827</v>
      </c>
      <c r="U52" s="7">
        <v>0</v>
      </c>
      <c r="W52" s="7">
        <v>377048</v>
      </c>
      <c r="Y52" s="7">
        <v>0</v>
      </c>
      <c r="AA52" s="7">
        <v>165877</v>
      </c>
      <c r="AC52" s="7">
        <v>907437</v>
      </c>
      <c r="AE52" s="13">
        <f t="shared" si="2"/>
        <v>1450362</v>
      </c>
      <c r="AG52" s="7">
        <f t="shared" si="3"/>
        <v>0</v>
      </c>
      <c r="AK52" s="7" t="str">
        <f t="shared" si="4"/>
        <v>Bethel-Tate Local SD</v>
      </c>
      <c r="AL52" s="7" t="str">
        <f>'St of Activities - GA Exp'!A52</f>
        <v>Bethel-Tate Local SD</v>
      </c>
      <c r="AM52" s="7" t="b">
        <f t="shared" si="5"/>
        <v>1</v>
      </c>
      <c r="AN52" s="7" t="str">
        <f t="shared" si="6"/>
        <v>Clermont</v>
      </c>
      <c r="AO52" s="7" t="b">
        <f>C52='St of Activities - GA Exp'!C52</f>
        <v>1</v>
      </c>
    </row>
    <row r="53" spans="1:41" hidden="1">
      <c r="A53" s="12" t="s">
        <v>705</v>
      </c>
      <c r="B53" s="12"/>
      <c r="C53" s="12" t="s">
        <v>60</v>
      </c>
      <c r="D53" s="12"/>
      <c r="E53" s="12">
        <v>49692</v>
      </c>
      <c r="K53" s="2">
        <f t="shared" si="0"/>
        <v>0</v>
      </c>
      <c r="O53" s="2">
        <f t="shared" si="1"/>
        <v>0</v>
      </c>
      <c r="AE53" s="13">
        <f t="shared" si="2"/>
        <v>0</v>
      </c>
      <c r="AG53" s="7">
        <f t="shared" si="3"/>
        <v>0</v>
      </c>
      <c r="AI53" s="7" t="s">
        <v>778</v>
      </c>
      <c r="AK53" s="7" t="str">
        <f t="shared" si="4"/>
        <v>Bettsville Local SD (CASH)</v>
      </c>
      <c r="AL53" s="7" t="str">
        <f>'St of Activities - GA Exp'!A53</f>
        <v>Bettsville Local SD (CASH)</v>
      </c>
      <c r="AM53" s="7" t="b">
        <f t="shared" si="5"/>
        <v>1</v>
      </c>
      <c r="AN53" s="7" t="str">
        <f t="shared" si="6"/>
        <v>Seneca</v>
      </c>
      <c r="AO53" s="7" t="b">
        <f>C53='St of Activities - GA Exp'!C53</f>
        <v>1</v>
      </c>
    </row>
    <row r="54" spans="1:41">
      <c r="A54" s="12" t="s">
        <v>305</v>
      </c>
      <c r="B54" s="12"/>
      <c r="C54" s="12" t="s">
        <v>27</v>
      </c>
      <c r="D54" s="12"/>
      <c r="E54" s="12">
        <v>43620</v>
      </c>
      <c r="G54" s="7">
        <v>21404813</v>
      </c>
      <c r="I54" s="7">
        <v>0</v>
      </c>
      <c r="K54" s="2">
        <f t="shared" si="0"/>
        <v>17521072</v>
      </c>
      <c r="M54" s="7">
        <v>38925885</v>
      </c>
      <c r="O54" s="2">
        <f t="shared" si="1"/>
        <v>3712716</v>
      </c>
      <c r="Q54" s="7">
        <v>12429146</v>
      </c>
      <c r="S54" s="7">
        <v>16141862</v>
      </c>
      <c r="U54" s="7">
        <v>14295</v>
      </c>
      <c r="W54" s="7">
        <v>0</v>
      </c>
      <c r="Y54" s="7">
        <v>0</v>
      </c>
      <c r="AA54" s="7">
        <v>549817</v>
      </c>
      <c r="AC54" s="7">
        <v>22219911</v>
      </c>
      <c r="AE54" s="13">
        <f t="shared" si="2"/>
        <v>22784023</v>
      </c>
      <c r="AG54" s="7">
        <f t="shared" si="3"/>
        <v>0</v>
      </c>
      <c r="AK54" s="7" t="str">
        <f t="shared" si="4"/>
        <v>Bexley City SD</v>
      </c>
      <c r="AL54" s="7" t="str">
        <f>'St of Activities - GA Exp'!A54</f>
        <v>Bexley City SD</v>
      </c>
      <c r="AM54" s="7" t="b">
        <f t="shared" si="5"/>
        <v>1</v>
      </c>
      <c r="AN54" s="7" t="str">
        <f t="shared" si="6"/>
        <v>Franklin</v>
      </c>
      <c r="AO54" s="7" t="b">
        <f>C54='St of Activities - GA Exp'!C54</f>
        <v>1</v>
      </c>
    </row>
    <row r="55" spans="1:41">
      <c r="A55" s="12" t="s">
        <v>664</v>
      </c>
      <c r="B55" s="12"/>
      <c r="C55" s="12" t="s">
        <v>23</v>
      </c>
      <c r="D55" s="12"/>
      <c r="E55" s="12">
        <v>46748</v>
      </c>
      <c r="G55" s="7">
        <v>3162384</v>
      </c>
      <c r="I55" s="7">
        <v>370742</v>
      </c>
      <c r="K55" s="2">
        <f t="shared" si="0"/>
        <v>20155624</v>
      </c>
      <c r="M55" s="7">
        <v>23688750</v>
      </c>
      <c r="O55" s="2">
        <f t="shared" si="1"/>
        <v>2848966</v>
      </c>
      <c r="Q55" s="7">
        <v>15411236</v>
      </c>
      <c r="S55" s="7">
        <v>18260202</v>
      </c>
      <c r="U55" s="7">
        <v>0</v>
      </c>
      <c r="W55" s="7">
        <v>390689</v>
      </c>
      <c r="Y55" s="7">
        <v>0</v>
      </c>
      <c r="AA55" s="7">
        <v>364639</v>
      </c>
      <c r="AC55" s="7">
        <v>4673220</v>
      </c>
      <c r="AE55" s="13">
        <f t="shared" si="2"/>
        <v>5428548</v>
      </c>
      <c r="AG55" s="7">
        <f t="shared" si="3"/>
        <v>0</v>
      </c>
      <c r="AK55" s="7" t="str">
        <f t="shared" si="4"/>
        <v xml:space="preserve">Big Walnut Local SD </v>
      </c>
      <c r="AL55" s="7" t="str">
        <f>'St of Activities - GA Exp'!A55</f>
        <v xml:space="preserve">Big Walnut Local SD </v>
      </c>
      <c r="AM55" s="7" t="b">
        <f t="shared" si="5"/>
        <v>1</v>
      </c>
      <c r="AN55" s="7" t="str">
        <f t="shared" si="6"/>
        <v>Delaware</v>
      </c>
      <c r="AO55" s="7" t="b">
        <f>C55='St of Activities - GA Exp'!C55</f>
        <v>1</v>
      </c>
    </row>
    <row r="56" spans="1:41">
      <c r="A56" s="12" t="s">
        <v>427</v>
      </c>
      <c r="B56" s="12"/>
      <c r="C56" s="12" t="s">
        <v>47</v>
      </c>
      <c r="D56" s="12"/>
      <c r="E56" s="12">
        <v>48462</v>
      </c>
      <c r="G56" s="7">
        <v>26283</v>
      </c>
      <c r="I56" s="7">
        <v>0</v>
      </c>
      <c r="K56" s="2">
        <f t="shared" si="0"/>
        <v>4136036</v>
      </c>
      <c r="M56" s="7">
        <v>4162319</v>
      </c>
      <c r="O56" s="2">
        <f t="shared" si="1"/>
        <v>5557400</v>
      </c>
      <c r="Q56" s="7">
        <v>191599</v>
      </c>
      <c r="S56" s="7">
        <v>5748999</v>
      </c>
      <c r="U56" s="7">
        <v>31788</v>
      </c>
      <c r="W56" s="7">
        <v>0</v>
      </c>
      <c r="Y56" s="7">
        <v>0</v>
      </c>
      <c r="AA56" s="7">
        <f>16821+91850+2155</f>
        <v>110826</v>
      </c>
      <c r="AC56" s="7">
        <v>-1729294</v>
      </c>
      <c r="AE56" s="13">
        <f t="shared" si="2"/>
        <v>-1586680</v>
      </c>
      <c r="AG56" s="7">
        <f t="shared" si="3"/>
        <v>0</v>
      </c>
      <c r="AK56" s="7" t="str">
        <f t="shared" si="4"/>
        <v>Black River Local SD</v>
      </c>
      <c r="AL56" s="7" t="str">
        <f>'St of Activities - GA Exp'!A56</f>
        <v>Black River Local SD</v>
      </c>
      <c r="AM56" s="7" t="b">
        <f t="shared" si="5"/>
        <v>1</v>
      </c>
      <c r="AN56" s="7" t="str">
        <f t="shared" si="6"/>
        <v>Medina</v>
      </c>
      <c r="AO56" s="7" t="b">
        <f>C56='St of Activities - GA Exp'!C56</f>
        <v>1</v>
      </c>
    </row>
    <row r="57" spans="1:41">
      <c r="A57" s="12" t="s">
        <v>248</v>
      </c>
      <c r="B57" s="12"/>
      <c r="C57" s="12" t="s">
        <v>18</v>
      </c>
      <c r="D57" s="12"/>
      <c r="E57" s="12">
        <v>46383</v>
      </c>
      <c r="G57" s="7">
        <v>1607705</v>
      </c>
      <c r="I57" s="7">
        <v>586213</v>
      </c>
      <c r="K57" s="2">
        <f t="shared" si="0"/>
        <v>3375614</v>
      </c>
      <c r="M57" s="7">
        <v>5569532</v>
      </c>
      <c r="O57" s="2">
        <f t="shared" si="1"/>
        <v>1487256</v>
      </c>
      <c r="Q57" s="7">
        <v>2988131</v>
      </c>
      <c r="S57" s="7">
        <v>4475387</v>
      </c>
      <c r="U57" s="7">
        <v>0</v>
      </c>
      <c r="W57" s="7">
        <v>586213</v>
      </c>
      <c r="Y57" s="7">
        <v>0</v>
      </c>
      <c r="AA57" s="7">
        <v>326213</v>
      </c>
      <c r="AC57" s="7">
        <v>181719</v>
      </c>
      <c r="AE57" s="13">
        <f t="shared" si="2"/>
        <v>1094145</v>
      </c>
      <c r="AG57" s="7">
        <f t="shared" si="3"/>
        <v>0</v>
      </c>
      <c r="AK57" s="7" t="str">
        <f t="shared" si="4"/>
        <v>Blanchester Local SD</v>
      </c>
      <c r="AL57" s="7" t="str">
        <f>'St of Activities - GA Exp'!A57</f>
        <v>Blanchester Local SD</v>
      </c>
      <c r="AM57" s="7" t="b">
        <f t="shared" si="5"/>
        <v>1</v>
      </c>
      <c r="AN57" s="7" t="str">
        <f t="shared" si="6"/>
        <v>Clinton</v>
      </c>
      <c r="AO57" s="7" t="b">
        <f>C57='St of Activities - GA Exp'!C57</f>
        <v>1</v>
      </c>
    </row>
    <row r="58" spans="1:41">
      <c r="A58" s="12" t="s">
        <v>299</v>
      </c>
      <c r="B58" s="12"/>
      <c r="C58" s="12" t="s">
        <v>25</v>
      </c>
      <c r="D58" s="12"/>
      <c r="E58" s="12">
        <v>46862</v>
      </c>
      <c r="G58" s="7">
        <v>1889167</v>
      </c>
      <c r="I58" s="7">
        <v>31855</v>
      </c>
      <c r="K58" s="2">
        <f t="shared" si="0"/>
        <v>7556184</v>
      </c>
      <c r="M58" s="7">
        <v>9477206</v>
      </c>
      <c r="O58" s="2">
        <f t="shared" si="1"/>
        <v>1983253</v>
      </c>
      <c r="Q58" s="7">
        <v>5839166</v>
      </c>
      <c r="S58" s="7">
        <v>7822419</v>
      </c>
      <c r="U58" s="7">
        <v>6851</v>
      </c>
      <c r="W58" s="7">
        <v>31855</v>
      </c>
      <c r="Y58" s="7">
        <v>0</v>
      </c>
      <c r="AA58" s="7">
        <v>162099</v>
      </c>
      <c r="AC58" s="7">
        <v>1453982</v>
      </c>
      <c r="AE58" s="13">
        <f t="shared" si="2"/>
        <v>1654787</v>
      </c>
      <c r="AG58" s="7">
        <f t="shared" si="3"/>
        <v>0</v>
      </c>
      <c r="AK58" s="7" t="str">
        <f t="shared" si="4"/>
        <v>Bloom-Carroll Local SD</v>
      </c>
      <c r="AL58" s="7" t="str">
        <f>'St of Activities - GA Exp'!A58</f>
        <v>Bloom-Carroll Local SD</v>
      </c>
      <c r="AM58" s="7" t="b">
        <f>AK58=AL58</f>
        <v>1</v>
      </c>
      <c r="AN58" s="7" t="str">
        <f t="shared" si="6"/>
        <v>Fairfield</v>
      </c>
      <c r="AO58" s="7" t="b">
        <f>C58='St of Activities - GA Exp'!C58</f>
        <v>1</v>
      </c>
    </row>
    <row r="59" spans="1:41">
      <c r="A59" s="12" t="s">
        <v>534</v>
      </c>
      <c r="B59" s="12"/>
      <c r="C59" s="12" t="s">
        <v>64</v>
      </c>
      <c r="D59" s="12"/>
      <c r="E59" s="12">
        <v>50096</v>
      </c>
      <c r="G59" s="7">
        <v>522251</v>
      </c>
      <c r="I59" s="7">
        <v>15949</v>
      </c>
      <c r="K59" s="2">
        <f t="shared" si="0"/>
        <v>1451069</v>
      </c>
      <c r="M59" s="7">
        <v>1989269</v>
      </c>
      <c r="O59" s="2">
        <f t="shared" si="1"/>
        <v>316316</v>
      </c>
      <c r="Q59" s="7">
        <f>296158+1149484</f>
        <v>1445642</v>
      </c>
      <c r="S59" s="7">
        <v>1761958</v>
      </c>
      <c r="U59" s="7">
        <v>5131</v>
      </c>
      <c r="W59" s="7">
        <f>13233+2716</f>
        <v>15949</v>
      </c>
      <c r="Y59" s="7">
        <v>0</v>
      </c>
      <c r="AA59" s="7">
        <v>363</v>
      </c>
      <c r="AC59" s="7">
        <v>205868</v>
      </c>
      <c r="AE59" s="13">
        <f t="shared" si="2"/>
        <v>227311</v>
      </c>
      <c r="AG59" s="7">
        <f t="shared" si="3"/>
        <v>0</v>
      </c>
      <c r="AK59" s="7" t="str">
        <f t="shared" si="4"/>
        <v>Bloomfield-Mespo Local SD</v>
      </c>
      <c r="AL59" s="7" t="str">
        <f>'St of Activities - GA Exp'!A59</f>
        <v>Bloomfield-Mespo Local SD</v>
      </c>
      <c r="AM59" s="7" t="b">
        <f>AK59=AL59</f>
        <v>1</v>
      </c>
      <c r="AN59" s="7" t="str">
        <f t="shared" si="6"/>
        <v>Trumbull</v>
      </c>
      <c r="AO59" s="7" t="b">
        <f>C59='St of Activities - GA Exp'!C59</f>
        <v>1</v>
      </c>
    </row>
    <row r="60" spans="1:41">
      <c r="A60" s="12" t="s">
        <v>494</v>
      </c>
      <c r="B60" s="12"/>
      <c r="C60" s="12" t="s">
        <v>59</v>
      </c>
      <c r="D60" s="12"/>
      <c r="E60" s="12">
        <v>49593</v>
      </c>
      <c r="G60" s="7">
        <v>1234478</v>
      </c>
      <c r="I60" s="7">
        <v>88726</v>
      </c>
      <c r="K60" s="2">
        <f t="shared" ref="K60" si="9">+M60-I60-G60</f>
        <v>1444431</v>
      </c>
      <c r="M60" s="7">
        <v>2767635</v>
      </c>
      <c r="O60" s="2">
        <f t="shared" ref="O60" si="10">+S60-Q60</f>
        <v>809732</v>
      </c>
      <c r="Q60" s="7">
        <v>1208469</v>
      </c>
      <c r="S60" s="7">
        <v>2018201</v>
      </c>
      <c r="U60" s="7">
        <v>23973</v>
      </c>
      <c r="W60" s="7">
        <v>85698</v>
      </c>
      <c r="Y60" s="7">
        <v>0</v>
      </c>
      <c r="AA60" s="7">
        <v>121366</v>
      </c>
      <c r="AC60" s="7">
        <v>518397</v>
      </c>
      <c r="AE60" s="13">
        <f t="shared" si="2"/>
        <v>749434</v>
      </c>
      <c r="AG60" s="7">
        <f t="shared" si="3"/>
        <v>0</v>
      </c>
      <c r="AK60" s="7" t="str">
        <f t="shared" si="4"/>
        <v>Bloom-Vernon Local SD</v>
      </c>
      <c r="AL60" s="7" t="str">
        <f>'St of Activities - GA Exp'!A60</f>
        <v>Bloom-Vernon Local SD</v>
      </c>
      <c r="AM60" s="7" t="b">
        <f t="shared" ref="AM60" si="11">AK60=AL60</f>
        <v>1</v>
      </c>
      <c r="AN60" s="7" t="str">
        <f t="shared" si="6"/>
        <v>Scioto</v>
      </c>
      <c r="AO60" s="7" t="b">
        <f>C60='St of Activities - GA Exp'!C60</f>
        <v>1</v>
      </c>
    </row>
    <row r="61" spans="1:41" hidden="1">
      <c r="A61" s="12" t="s">
        <v>676</v>
      </c>
      <c r="B61" s="12"/>
      <c r="C61" s="12" t="s">
        <v>10</v>
      </c>
      <c r="D61" s="12"/>
      <c r="E61" s="12">
        <v>49593</v>
      </c>
      <c r="K61" s="2">
        <f t="shared" si="0"/>
        <v>0</v>
      </c>
      <c r="O61" s="2">
        <f t="shared" si="1"/>
        <v>0</v>
      </c>
      <c r="AE61" s="13">
        <f t="shared" si="2"/>
        <v>0</v>
      </c>
      <c r="AG61" s="7">
        <f t="shared" si="3"/>
        <v>0</v>
      </c>
      <c r="AI61" s="7" t="s">
        <v>778</v>
      </c>
      <c r="AK61" s="7" t="str">
        <f t="shared" si="4"/>
        <v>Bluffton Ex Vill SD (OCBOA)</v>
      </c>
      <c r="AL61" s="7" t="str">
        <f>'St of Activities - GA Exp'!A61</f>
        <v>Bluffton Ex Vill SD (OCBOA)</v>
      </c>
      <c r="AM61" s="7" t="b">
        <f t="shared" si="5"/>
        <v>1</v>
      </c>
      <c r="AN61" s="7" t="str">
        <f t="shared" si="6"/>
        <v>Allen</v>
      </c>
      <c r="AO61" s="7" t="b">
        <f>C61='St of Activities - GA Exp'!C61</f>
        <v>1</v>
      </c>
    </row>
    <row r="62" spans="1:41">
      <c r="A62" s="12" t="s">
        <v>415</v>
      </c>
      <c r="B62" s="12"/>
      <c r="C62" s="12" t="s">
        <v>45</v>
      </c>
      <c r="D62" s="12"/>
      <c r="E62" s="12">
        <v>48306</v>
      </c>
      <c r="G62" s="7">
        <v>7724212</v>
      </c>
      <c r="I62" s="7">
        <v>233898</v>
      </c>
      <c r="K62" s="2">
        <f t="shared" si="0"/>
        <v>33531622</v>
      </c>
      <c r="M62" s="7">
        <v>41489732</v>
      </c>
      <c r="O62" s="2">
        <f t="shared" si="1"/>
        <v>6206926</v>
      </c>
      <c r="Q62" s="7">
        <v>32454098</v>
      </c>
      <c r="S62" s="7">
        <v>38661024</v>
      </c>
      <c r="U62" s="7">
        <v>69156</v>
      </c>
      <c r="W62" s="7">
        <v>0</v>
      </c>
      <c r="Y62" s="7">
        <v>719610</v>
      </c>
      <c r="AA62" s="7">
        <v>1078447</v>
      </c>
      <c r="AC62" s="7">
        <v>961495</v>
      </c>
      <c r="AE62" s="13">
        <f t="shared" si="2"/>
        <v>2828708</v>
      </c>
      <c r="AG62" s="7">
        <f t="shared" si="3"/>
        <v>0</v>
      </c>
      <c r="AK62" s="7" t="str">
        <f t="shared" si="4"/>
        <v>Boardman Local SD</v>
      </c>
      <c r="AL62" s="7" t="str">
        <f>'St of Activities - GA Exp'!A62</f>
        <v>Boardman Local SD</v>
      </c>
      <c r="AM62" s="7" t="b">
        <f>AK62=AL62</f>
        <v>1</v>
      </c>
      <c r="AN62" s="7" t="str">
        <f t="shared" si="6"/>
        <v>Mahoning</v>
      </c>
      <c r="AO62" s="7" t="b">
        <f>C62='St of Activities - GA Exp'!C62</f>
        <v>1</v>
      </c>
    </row>
    <row r="63" spans="1:41">
      <c r="A63" s="12" t="s">
        <v>504</v>
      </c>
      <c r="B63" s="12"/>
      <c r="C63" s="12" t="s">
        <v>61</v>
      </c>
      <c r="D63" s="12"/>
      <c r="E63" s="12">
        <v>49767</v>
      </c>
      <c r="G63" s="7">
        <v>2032874</v>
      </c>
      <c r="I63" s="7">
        <v>144345</v>
      </c>
      <c r="K63" s="2">
        <f t="shared" si="0"/>
        <v>1055842</v>
      </c>
      <c r="M63" s="7">
        <v>3233061</v>
      </c>
      <c r="O63" s="2">
        <f t="shared" si="1"/>
        <v>465367</v>
      </c>
      <c r="Q63" s="7">
        <v>809417</v>
      </c>
      <c r="S63" s="7">
        <v>1274784</v>
      </c>
      <c r="U63" s="7">
        <v>12980</v>
      </c>
      <c r="W63" s="7">
        <v>144345</v>
      </c>
      <c r="Y63" s="7">
        <v>63661</v>
      </c>
      <c r="AA63" s="7">
        <v>1032710</v>
      </c>
      <c r="AC63" s="7">
        <v>704581</v>
      </c>
      <c r="AE63" s="13">
        <f t="shared" si="2"/>
        <v>1958277</v>
      </c>
      <c r="AG63" s="7">
        <f t="shared" si="3"/>
        <v>0</v>
      </c>
      <c r="AK63" s="7" t="str">
        <f t="shared" si="4"/>
        <v>Botkins Local SD</v>
      </c>
      <c r="AL63" s="7" t="str">
        <f>'St of Activities - GA Exp'!A63</f>
        <v>Botkins Local SD</v>
      </c>
      <c r="AM63" s="7" t="b">
        <f t="shared" si="5"/>
        <v>1</v>
      </c>
      <c r="AN63" s="7" t="str">
        <f t="shared" si="6"/>
        <v>Shelby</v>
      </c>
      <c r="AO63" s="7" t="b">
        <f>C63='St of Activities - GA Exp'!C63</f>
        <v>1</v>
      </c>
    </row>
    <row r="64" spans="1:41">
      <c r="A64" s="12" t="s">
        <v>572</v>
      </c>
      <c r="B64" s="12"/>
      <c r="C64" s="12" t="s">
        <v>72</v>
      </c>
      <c r="D64" s="12"/>
      <c r="E64" s="12">
        <v>43638</v>
      </c>
      <c r="G64" s="7">
        <f>4227639+3000+4286817</f>
        <v>8517456</v>
      </c>
      <c r="I64" s="7">
        <v>0</v>
      </c>
      <c r="K64" s="2">
        <f t="shared" si="0"/>
        <v>17020978</v>
      </c>
      <c r="M64" s="7">
        <v>25538434</v>
      </c>
      <c r="O64" s="2">
        <f t="shared" si="1"/>
        <v>3729118</v>
      </c>
      <c r="Q64" s="7">
        <v>12531970</v>
      </c>
      <c r="S64" s="7">
        <v>16261088</v>
      </c>
      <c r="U64" s="7">
        <v>180163</v>
      </c>
      <c r="W64" s="7">
        <v>0</v>
      </c>
      <c r="Y64" s="7">
        <v>975763</v>
      </c>
      <c r="AA64" s="7">
        <v>3088532</v>
      </c>
      <c r="AC64" s="7">
        <v>5032888</v>
      </c>
      <c r="AE64" s="13">
        <f t="shared" si="2"/>
        <v>9277346</v>
      </c>
      <c r="AG64" s="7">
        <f t="shared" si="3"/>
        <v>0</v>
      </c>
      <c r="AK64" s="7" t="str">
        <f t="shared" si="4"/>
        <v>Bowling Green City SD</v>
      </c>
      <c r="AL64" s="7" t="str">
        <f>'St of Activities - GA Exp'!A64</f>
        <v>Bowling Green City SD</v>
      </c>
      <c r="AM64" s="7" t="b">
        <f t="shared" si="5"/>
        <v>1</v>
      </c>
      <c r="AN64" s="7" t="str">
        <f t="shared" si="6"/>
        <v>Wood</v>
      </c>
      <c r="AO64" s="7" t="b">
        <f>C64='St of Activities - GA Exp'!C64</f>
        <v>1</v>
      </c>
    </row>
    <row r="65" spans="1:41" hidden="1">
      <c r="A65" s="12" t="s">
        <v>704</v>
      </c>
      <c r="B65" s="12"/>
      <c r="C65" s="12" t="s">
        <v>48</v>
      </c>
      <c r="D65" s="12"/>
      <c r="E65" s="12">
        <v>43646</v>
      </c>
      <c r="K65" s="2">
        <f t="shared" si="0"/>
        <v>0</v>
      </c>
      <c r="O65" s="2">
        <f t="shared" si="1"/>
        <v>0</v>
      </c>
      <c r="AE65" s="13">
        <f t="shared" si="2"/>
        <v>0</v>
      </c>
      <c r="AG65" s="7">
        <f t="shared" si="3"/>
        <v>0</v>
      </c>
      <c r="AI65" s="7" t="s">
        <v>778</v>
      </c>
      <c r="AK65" s="7" t="str">
        <f t="shared" si="4"/>
        <v>Bradford Ex Vill SD (cash) Two year audit</v>
      </c>
      <c r="AL65" s="7" t="str">
        <f>'St of Activities - GA Exp'!A65</f>
        <v>Bradford Ex Vill SD (cash) Two year audit</v>
      </c>
      <c r="AM65" s="7" t="b">
        <f t="shared" si="5"/>
        <v>1</v>
      </c>
      <c r="AN65" s="7" t="str">
        <f t="shared" si="6"/>
        <v>Miami</v>
      </c>
      <c r="AO65" s="7" t="b">
        <f>C65='St of Activities - GA Exp'!C65</f>
        <v>1</v>
      </c>
    </row>
    <row r="66" spans="1:41">
      <c r="A66" s="12" t="s">
        <v>895</v>
      </c>
      <c r="B66" s="12"/>
      <c r="C66" s="12" t="s">
        <v>20</v>
      </c>
      <c r="D66" s="12"/>
      <c r="E66" s="12">
        <v>43646</v>
      </c>
      <c r="G66" s="7">
        <v>11211602</v>
      </c>
      <c r="I66" s="7">
        <v>0</v>
      </c>
      <c r="K66" s="2">
        <f t="shared" si="0"/>
        <v>29088673</v>
      </c>
      <c r="M66" s="7">
        <v>40300275</v>
      </c>
      <c r="O66" s="2">
        <f t="shared" si="1"/>
        <v>6508924</v>
      </c>
      <c r="Q66" s="7">
        <v>23621448</v>
      </c>
      <c r="S66" s="7">
        <v>30130372</v>
      </c>
      <c r="U66" s="7">
        <v>30534</v>
      </c>
      <c r="W66" s="7">
        <v>0</v>
      </c>
      <c r="Y66" s="7">
        <v>0</v>
      </c>
      <c r="AA66" s="7">
        <v>325080</v>
      </c>
      <c r="AC66" s="7">
        <v>9814289</v>
      </c>
      <c r="AE66" s="13">
        <f t="shared" si="2"/>
        <v>10169903</v>
      </c>
      <c r="AG66" s="7">
        <f t="shared" si="3"/>
        <v>0</v>
      </c>
      <c r="AK66" s="7" t="str">
        <f t="shared" si="4"/>
        <v>Brecksville-Broadview Heights City SD</v>
      </c>
      <c r="AL66" s="7" t="str">
        <f>'St of Activities - GA Exp'!A66</f>
        <v>Brecksville-Broadview Heights City SD</v>
      </c>
      <c r="AM66" s="7" t="b">
        <f t="shared" si="5"/>
        <v>1</v>
      </c>
      <c r="AN66" s="7" t="str">
        <f t="shared" si="6"/>
        <v>Cuyahoga</v>
      </c>
      <c r="AO66" s="7" t="b">
        <f>C66='St of Activities - GA Exp'!C66</f>
        <v>1</v>
      </c>
    </row>
    <row r="67" spans="1:41">
      <c r="A67" s="12" t="s">
        <v>860</v>
      </c>
      <c r="B67" s="12"/>
      <c r="C67" s="12" t="s">
        <v>15</v>
      </c>
      <c r="D67" s="12"/>
      <c r="E67" s="12">
        <v>45237</v>
      </c>
      <c r="G67" s="7">
        <v>749943</v>
      </c>
      <c r="I67" s="7">
        <v>32629</v>
      </c>
      <c r="K67" s="2">
        <f t="shared" si="0"/>
        <v>1885661</v>
      </c>
      <c r="M67" s="7">
        <v>2668233</v>
      </c>
      <c r="O67" s="2">
        <f t="shared" si="1"/>
        <v>827876</v>
      </c>
      <c r="Q67" s="7">
        <f>391457+1125283</f>
        <v>1516740</v>
      </c>
      <c r="S67" s="7">
        <v>2344616</v>
      </c>
      <c r="U67" s="7">
        <f>18725+3050+40702</f>
        <v>62477</v>
      </c>
      <c r="W67" s="7">
        <v>32629</v>
      </c>
      <c r="Y67" s="7">
        <v>0</v>
      </c>
      <c r="AA67" s="7">
        <f>24494+62219</f>
        <v>86713</v>
      </c>
      <c r="AC67" s="7">
        <v>141798</v>
      </c>
      <c r="AE67" s="13">
        <f t="shared" si="2"/>
        <v>323617</v>
      </c>
      <c r="AG67" s="7">
        <f t="shared" si="3"/>
        <v>0</v>
      </c>
      <c r="AK67" s="7" t="str">
        <f t="shared" si="4"/>
        <v>Bridgeport Exempted Village SD</v>
      </c>
      <c r="AL67" s="7" t="str">
        <f>'St of Activities - GA Exp'!A67</f>
        <v>Bridgeport Exempted Village SD</v>
      </c>
      <c r="AM67" s="7" t="b">
        <f t="shared" si="5"/>
        <v>1</v>
      </c>
      <c r="AN67" s="7" t="str">
        <f t="shared" si="6"/>
        <v>Belmont</v>
      </c>
      <c r="AO67" s="7" t="b">
        <f>C67='St of Activities - GA Exp'!C67</f>
        <v>1</v>
      </c>
    </row>
    <row r="68" spans="1:41" hidden="1">
      <c r="A68" s="12" t="s">
        <v>906</v>
      </c>
      <c r="B68" s="12"/>
      <c r="C68" s="12" t="s">
        <v>358</v>
      </c>
      <c r="D68" s="12"/>
      <c r="E68" s="12">
        <v>47613</v>
      </c>
      <c r="K68" s="2">
        <f t="shared" si="0"/>
        <v>0</v>
      </c>
      <c r="O68" s="2">
        <f t="shared" si="1"/>
        <v>0</v>
      </c>
      <c r="AE68" s="13">
        <f t="shared" si="2"/>
        <v>0</v>
      </c>
      <c r="AG68" s="7">
        <f t="shared" si="3"/>
        <v>0</v>
      </c>
      <c r="AI68" s="7" t="s">
        <v>903</v>
      </c>
      <c r="AK68" s="7" t="str">
        <f t="shared" si="4"/>
        <v>Bright Local SD (CASH)</v>
      </c>
      <c r="AL68" s="7" t="str">
        <f>'St of Activities - GA Exp'!A68</f>
        <v>Bright Local SD (CASH)</v>
      </c>
      <c r="AM68" s="7" t="b">
        <f t="shared" si="5"/>
        <v>1</v>
      </c>
      <c r="AN68" s="7" t="str">
        <f t="shared" si="6"/>
        <v>Highland</v>
      </c>
      <c r="AO68" s="7" t="b">
        <f>C68='St of Activities - GA Exp'!C68</f>
        <v>1</v>
      </c>
    </row>
    <row r="69" spans="1:41">
      <c r="A69" s="12" t="s">
        <v>535</v>
      </c>
      <c r="B69" s="12"/>
      <c r="C69" s="12" t="s">
        <v>64</v>
      </c>
      <c r="D69" s="12"/>
      <c r="E69" s="12">
        <v>50112</v>
      </c>
      <c r="G69" s="7">
        <v>2361041</v>
      </c>
      <c r="I69" s="7">
        <v>94421</v>
      </c>
      <c r="K69" s="2">
        <f t="shared" si="0"/>
        <v>2755236</v>
      </c>
      <c r="M69" s="7">
        <v>5210698</v>
      </c>
      <c r="O69" s="2">
        <f t="shared" si="1"/>
        <v>708227</v>
      </c>
      <c r="Q69" s="7">
        <f>330934+2395520</f>
        <v>2726454</v>
      </c>
      <c r="S69" s="7">
        <v>3434681</v>
      </c>
      <c r="U69" s="7">
        <v>10724</v>
      </c>
      <c r="W69" s="7">
        <v>94421</v>
      </c>
      <c r="Y69" s="7">
        <v>12750</v>
      </c>
      <c r="AA69" s="7">
        <f>18549+11475+1315+2099+9372+68</f>
        <v>42878</v>
      </c>
      <c r="AC69" s="7">
        <v>1615244</v>
      </c>
      <c r="AE69" s="13">
        <f t="shared" si="2"/>
        <v>1776017</v>
      </c>
      <c r="AG69" s="7">
        <f t="shared" si="3"/>
        <v>0</v>
      </c>
      <c r="AK69" s="7" t="str">
        <f t="shared" si="4"/>
        <v>Bristol Local SD</v>
      </c>
      <c r="AL69" s="7" t="str">
        <f>'St of Activities - GA Exp'!A69</f>
        <v>Bristol Local SD</v>
      </c>
      <c r="AM69" s="7" t="b">
        <f t="shared" si="5"/>
        <v>1</v>
      </c>
      <c r="AN69" s="7" t="str">
        <f t="shared" si="6"/>
        <v>Trumbull</v>
      </c>
      <c r="AO69" s="7" t="b">
        <f>C69='St of Activities - GA Exp'!C69</f>
        <v>1</v>
      </c>
    </row>
    <row r="70" spans="1:41">
      <c r="A70" s="12" t="s">
        <v>706</v>
      </c>
      <c r="B70" s="12"/>
      <c r="C70" s="12" t="s">
        <v>64</v>
      </c>
      <c r="D70" s="12"/>
      <c r="E70" s="12">
        <v>50120</v>
      </c>
      <c r="G70" s="7">
        <v>60476</v>
      </c>
      <c r="I70" s="7">
        <v>0</v>
      </c>
      <c r="K70" s="2">
        <f t="shared" si="0"/>
        <v>3431032</v>
      </c>
      <c r="M70" s="7">
        <v>3491508</v>
      </c>
      <c r="O70" s="2">
        <f t="shared" si="1"/>
        <v>1437198</v>
      </c>
      <c r="Q70" s="7">
        <f>742795+2674930</f>
        <v>3417725</v>
      </c>
      <c r="S70" s="7">
        <v>4854923</v>
      </c>
      <c r="U70" s="7">
        <v>0</v>
      </c>
      <c r="W70" s="7">
        <v>0</v>
      </c>
      <c r="Y70" s="7">
        <v>0</v>
      </c>
      <c r="AA70" s="7">
        <f>19191+8005</f>
        <v>27196</v>
      </c>
      <c r="AC70" s="7">
        <v>-1390611</v>
      </c>
      <c r="AE70" s="13">
        <f t="shared" si="2"/>
        <v>-1363415</v>
      </c>
      <c r="AG70" s="7">
        <f t="shared" si="3"/>
        <v>0</v>
      </c>
      <c r="AK70" s="7" t="str">
        <f t="shared" si="4"/>
        <v xml:space="preserve">Brookfield Local SD </v>
      </c>
      <c r="AL70" s="7" t="str">
        <f>'St of Activities - GA Exp'!A70</f>
        <v xml:space="preserve">Brookfield Local SD </v>
      </c>
      <c r="AM70" s="7" t="b">
        <f t="shared" si="5"/>
        <v>1</v>
      </c>
      <c r="AN70" s="7" t="str">
        <f t="shared" si="6"/>
        <v>Trumbull</v>
      </c>
      <c r="AO70" s="7" t="b">
        <f>C70='St of Activities - GA Exp'!C70</f>
        <v>1</v>
      </c>
    </row>
    <row r="71" spans="1:41">
      <c r="A71" s="12" t="s">
        <v>270</v>
      </c>
      <c r="B71" s="12"/>
      <c r="C71" s="12" t="s">
        <v>20</v>
      </c>
      <c r="D71" s="12"/>
      <c r="E71" s="12">
        <v>43653</v>
      </c>
      <c r="G71" s="7">
        <v>3403408</v>
      </c>
      <c r="I71" s="7">
        <v>41921</v>
      </c>
      <c r="K71" s="2">
        <f t="shared" si="0"/>
        <v>13747640</v>
      </c>
      <c r="M71" s="7">
        <v>17192969</v>
      </c>
      <c r="O71" s="2">
        <f t="shared" si="1"/>
        <v>1464000</v>
      </c>
      <c r="Q71" s="7">
        <v>11097345</v>
      </c>
      <c r="S71" s="7">
        <v>12561345</v>
      </c>
      <c r="U71" s="7">
        <v>31412</v>
      </c>
      <c r="W71" s="7">
        <v>26565</v>
      </c>
      <c r="Y71" s="7">
        <v>0</v>
      </c>
      <c r="AA71" s="7">
        <v>0</v>
      </c>
      <c r="AC71" s="7">
        <v>4573647</v>
      </c>
      <c r="AE71" s="13">
        <f t="shared" si="2"/>
        <v>4631624</v>
      </c>
      <c r="AG71" s="7">
        <f t="shared" si="3"/>
        <v>0</v>
      </c>
      <c r="AK71" s="7" t="str">
        <f t="shared" si="4"/>
        <v>Brooklyn City SD</v>
      </c>
      <c r="AL71" s="7" t="str">
        <f>'St of Activities - GA Exp'!A71</f>
        <v>Brooklyn City SD</v>
      </c>
      <c r="AM71" s="7" t="b">
        <f t="shared" si="5"/>
        <v>1</v>
      </c>
      <c r="AN71" s="7" t="str">
        <f t="shared" si="6"/>
        <v>Cuyahoga</v>
      </c>
      <c r="AO71" s="7" t="b">
        <f>C71='St of Activities - GA Exp'!C71</f>
        <v>1</v>
      </c>
    </row>
    <row r="72" spans="1:41">
      <c r="A72" s="12" t="s">
        <v>441</v>
      </c>
      <c r="B72" s="12"/>
      <c r="C72" s="12" t="s">
        <v>50</v>
      </c>
      <c r="D72" s="12"/>
      <c r="E72" s="12">
        <v>48678</v>
      </c>
      <c r="G72" s="7">
        <v>4076467</v>
      </c>
      <c r="I72" s="7">
        <v>630470</v>
      </c>
      <c r="K72" s="2">
        <f t="shared" si="0"/>
        <v>5113180</v>
      </c>
      <c r="M72" s="7">
        <v>9820117</v>
      </c>
      <c r="O72" s="2">
        <f t="shared" si="1"/>
        <v>1595851</v>
      </c>
      <c r="Q72" s="7">
        <v>4670307</v>
      </c>
      <c r="S72" s="7">
        <v>6266158</v>
      </c>
      <c r="U72" s="7">
        <v>53879</v>
      </c>
      <c r="W72" s="7">
        <v>630470</v>
      </c>
      <c r="Y72" s="7">
        <v>0</v>
      </c>
      <c r="AA72" s="7">
        <v>126070</v>
      </c>
      <c r="AC72" s="7">
        <v>2743540</v>
      </c>
      <c r="AE72" s="13">
        <f t="shared" si="2"/>
        <v>3553959</v>
      </c>
      <c r="AG72" s="7">
        <f t="shared" si="3"/>
        <v>0</v>
      </c>
      <c r="AK72" s="7" t="str">
        <f t="shared" si="4"/>
        <v>Brookville Local SD</v>
      </c>
      <c r="AL72" s="7" t="str">
        <f>'St of Activities - GA Exp'!A72</f>
        <v>Brookville Local SD</v>
      </c>
      <c r="AM72" s="7" t="b">
        <f t="shared" si="5"/>
        <v>1</v>
      </c>
      <c r="AN72" s="7" t="str">
        <f t="shared" si="6"/>
        <v>Montgomery</v>
      </c>
      <c r="AO72" s="7" t="b">
        <f>C72='St of Activities - GA Exp'!C72</f>
        <v>1</v>
      </c>
    </row>
    <row r="73" spans="1:41">
      <c r="A73" s="12" t="s">
        <v>231</v>
      </c>
      <c r="B73" s="12"/>
      <c r="C73" s="12" t="s">
        <v>16</v>
      </c>
      <c r="D73" s="12"/>
      <c r="E73" s="12">
        <v>46177</v>
      </c>
      <c r="G73" s="7">
        <v>2617488</v>
      </c>
      <c r="I73" s="7">
        <v>29889</v>
      </c>
      <c r="K73" s="2">
        <f t="shared" si="0"/>
        <v>2772166</v>
      </c>
      <c r="M73" s="7">
        <v>5419543</v>
      </c>
      <c r="O73" s="2">
        <f t="shared" si="1"/>
        <v>652144</v>
      </c>
      <c r="Q73" s="7">
        <v>1888858</v>
      </c>
      <c r="S73" s="7">
        <v>2541002</v>
      </c>
      <c r="U73" s="7">
        <v>0</v>
      </c>
      <c r="W73" s="7">
        <v>29889</v>
      </c>
      <c r="Y73" s="7">
        <v>125320</v>
      </c>
      <c r="AA73" s="7">
        <v>42871</v>
      </c>
      <c r="AC73" s="7">
        <v>2680461</v>
      </c>
      <c r="AE73" s="13">
        <f t="shared" si="2"/>
        <v>2878541</v>
      </c>
      <c r="AG73" s="7">
        <f t="shared" si="3"/>
        <v>0</v>
      </c>
      <c r="AK73" s="7" t="str">
        <f t="shared" si="4"/>
        <v>Brown Local SD</v>
      </c>
      <c r="AL73" s="7" t="str">
        <f>'St of Activities - GA Exp'!A73</f>
        <v>Brown Local SD</v>
      </c>
      <c r="AM73" s="7" t="b">
        <f t="shared" si="5"/>
        <v>1</v>
      </c>
      <c r="AN73" s="7" t="str">
        <f t="shared" si="6"/>
        <v>Carroll</v>
      </c>
      <c r="AO73" s="7" t="b">
        <f>C73='St of Activities - GA Exp'!C73</f>
        <v>1</v>
      </c>
    </row>
    <row r="74" spans="1:41">
      <c r="A74" s="12" t="s">
        <v>428</v>
      </c>
      <c r="B74" s="12"/>
      <c r="C74" s="12" t="s">
        <v>47</v>
      </c>
      <c r="D74" s="12"/>
      <c r="E74" s="12">
        <v>43661</v>
      </c>
      <c r="G74" s="7">
        <v>12582183</v>
      </c>
      <c r="I74" s="7">
        <v>0</v>
      </c>
      <c r="K74" s="2">
        <f t="shared" si="0"/>
        <v>36181196</v>
      </c>
      <c r="M74" s="7">
        <v>48763379</v>
      </c>
      <c r="O74" s="2">
        <f t="shared" si="1"/>
        <v>8458276</v>
      </c>
      <c r="Q74" s="7">
        <v>32878466</v>
      </c>
      <c r="S74" s="7">
        <v>41336742</v>
      </c>
      <c r="U74" s="7">
        <v>590040</v>
      </c>
      <c r="W74" s="7">
        <v>0</v>
      </c>
      <c r="Y74" s="7">
        <v>17734</v>
      </c>
      <c r="AA74" s="7">
        <v>730320</v>
      </c>
      <c r="AC74" s="7">
        <v>6088543</v>
      </c>
      <c r="AE74" s="13">
        <f t="shared" si="2"/>
        <v>7426637</v>
      </c>
      <c r="AG74" s="7">
        <f t="shared" si="3"/>
        <v>0</v>
      </c>
      <c r="AK74" s="7" t="str">
        <f t="shared" si="4"/>
        <v>Brunswick City SD</v>
      </c>
      <c r="AL74" s="7" t="str">
        <f>'St of Activities - GA Exp'!A74</f>
        <v>Brunswick City SD</v>
      </c>
      <c r="AM74" s="7" t="b">
        <f t="shared" si="5"/>
        <v>1</v>
      </c>
      <c r="AN74" s="7" t="str">
        <f t="shared" si="6"/>
        <v>Medina</v>
      </c>
      <c r="AO74" s="7" t="b">
        <f>C74='St of Activities - GA Exp'!C74</f>
        <v>1</v>
      </c>
    </row>
    <row r="75" spans="1:41" hidden="1">
      <c r="A75" s="12" t="s">
        <v>707</v>
      </c>
      <c r="B75" s="12"/>
      <c r="C75" s="12" t="s">
        <v>570</v>
      </c>
      <c r="D75" s="12"/>
      <c r="E75" s="12">
        <v>43679</v>
      </c>
      <c r="K75" s="2">
        <f t="shared" si="0"/>
        <v>0</v>
      </c>
      <c r="O75" s="2">
        <f t="shared" si="1"/>
        <v>0</v>
      </c>
      <c r="AE75" s="13">
        <f t="shared" si="2"/>
        <v>0</v>
      </c>
      <c r="AG75" s="7">
        <f t="shared" si="3"/>
        <v>0</v>
      </c>
      <c r="AI75" s="7" t="s">
        <v>778</v>
      </c>
      <c r="AK75" s="7" t="str">
        <f t="shared" si="4"/>
        <v>Bryan City SD (CASH)</v>
      </c>
      <c r="AL75" s="7" t="str">
        <f>'St of Activities - GA Exp'!A75</f>
        <v>Bryan City SD (CASH)</v>
      </c>
      <c r="AM75" s="7" t="b">
        <f t="shared" si="5"/>
        <v>1</v>
      </c>
      <c r="AN75" s="7" t="str">
        <f t="shared" si="6"/>
        <v>Williams</v>
      </c>
      <c r="AO75" s="7" t="b">
        <f>C75='St of Activities - GA Exp'!C75</f>
        <v>1</v>
      </c>
    </row>
    <row r="76" spans="1:41">
      <c r="A76" s="12" t="s">
        <v>262</v>
      </c>
      <c r="B76" s="12"/>
      <c r="C76" s="12" t="s">
        <v>111</v>
      </c>
      <c r="D76" s="12"/>
      <c r="E76" s="12">
        <v>46508</v>
      </c>
      <c r="G76" s="7">
        <v>2811930</v>
      </c>
      <c r="I76" s="7">
        <v>0</v>
      </c>
      <c r="K76" s="2">
        <f t="shared" si="0"/>
        <v>2283926</v>
      </c>
      <c r="M76" s="7">
        <v>5095856</v>
      </c>
      <c r="O76" s="2">
        <f t="shared" si="1"/>
        <v>856092</v>
      </c>
      <c r="Q76" s="7">
        <f>1267099+72653</f>
        <v>1339752</v>
      </c>
      <c r="S76" s="7">
        <v>2195844</v>
      </c>
      <c r="U76" s="7">
        <v>11891</v>
      </c>
      <c r="W76" s="7">
        <v>0</v>
      </c>
      <c r="Y76" s="7">
        <v>10000</v>
      </c>
      <c r="AA76" s="7">
        <f>25334+141861+736+2410</f>
        <v>170341</v>
      </c>
      <c r="AC76" s="7">
        <f>2698308+9472</f>
        <v>2707780</v>
      </c>
      <c r="AE76" s="13">
        <f t="shared" si="2"/>
        <v>2900012</v>
      </c>
      <c r="AG76" s="7">
        <f t="shared" si="3"/>
        <v>0</v>
      </c>
      <c r="AK76" s="7" t="str">
        <f t="shared" si="4"/>
        <v>Buckeye Central Local SD</v>
      </c>
      <c r="AL76" s="7" t="str">
        <f>'St of Activities - GA Exp'!A76</f>
        <v>Buckeye Central Local SD</v>
      </c>
      <c r="AM76" s="7" t="b">
        <f t="shared" si="5"/>
        <v>1</v>
      </c>
      <c r="AN76" s="7" t="str">
        <f t="shared" ref="AN76:AN139" si="12">C76</f>
        <v>Crawford</v>
      </c>
      <c r="AO76" s="7" t="b">
        <f>C76='St of Activities - GA Exp'!C76</f>
        <v>1</v>
      </c>
    </row>
    <row r="77" spans="1:41">
      <c r="A77" s="12" t="s">
        <v>207</v>
      </c>
      <c r="B77" s="12"/>
      <c r="C77" s="12" t="s">
        <v>12</v>
      </c>
      <c r="D77" s="12"/>
      <c r="E77" s="12">
        <v>45856</v>
      </c>
      <c r="G77" s="7">
        <v>5361399</v>
      </c>
      <c r="I77" s="7">
        <v>181630</v>
      </c>
      <c r="K77" s="2">
        <f t="shared" si="0"/>
        <v>7053086</v>
      </c>
      <c r="M77" s="7">
        <v>12596115</v>
      </c>
      <c r="O77" s="2">
        <f t="shared" ref="O77:O140" si="13">+S77-Q77</f>
        <v>2257227</v>
      </c>
      <c r="Q77" s="7">
        <v>3930713</v>
      </c>
      <c r="S77" s="7">
        <v>6187940</v>
      </c>
      <c r="U77" s="7">
        <v>146116</v>
      </c>
      <c r="W77" s="7">
        <v>181630</v>
      </c>
      <c r="Y77" s="7">
        <v>462377</v>
      </c>
      <c r="AA77" s="7">
        <v>72509</v>
      </c>
      <c r="AC77" s="7">
        <v>5545543</v>
      </c>
      <c r="AE77" s="13">
        <f t="shared" ref="AE77:AE140" si="14">+Y77+W77++U77+AA77+AC77</f>
        <v>6408175</v>
      </c>
      <c r="AG77" s="7">
        <f t="shared" ref="AG77:AG140" si="15">+G77+I77+K77-O77-Q77-Y77-W77-U77-AA77-AC77</f>
        <v>0</v>
      </c>
      <c r="AK77" s="7" t="str">
        <f t="shared" ref="AK77:AK140" si="16">A77</f>
        <v>Buckeye Local SD</v>
      </c>
      <c r="AL77" s="7" t="str">
        <f>'St of Activities - GA Exp'!A77</f>
        <v>Buckeye Local SD</v>
      </c>
      <c r="AM77" s="7" t="b">
        <f t="shared" ref="AM77:AM140" si="17">AK77=AL77</f>
        <v>1</v>
      </c>
      <c r="AN77" s="7" t="str">
        <f t="shared" si="12"/>
        <v>Ashtabula</v>
      </c>
      <c r="AO77" s="7" t="b">
        <f>C77='St of Activities - GA Exp'!C77</f>
        <v>1</v>
      </c>
    </row>
    <row r="78" spans="1:41">
      <c r="A78" s="12" t="s">
        <v>207</v>
      </c>
      <c r="B78" s="12"/>
      <c r="C78" s="12" t="s">
        <v>39</v>
      </c>
      <c r="D78" s="12"/>
      <c r="E78" s="12">
        <v>47787</v>
      </c>
      <c r="G78" s="7">
        <f>1172071+603+399796</f>
        <v>1572470</v>
      </c>
      <c r="I78" s="7">
        <v>121920</v>
      </c>
      <c r="K78" s="2">
        <f t="shared" si="0"/>
        <v>7391571</v>
      </c>
      <c r="M78" s="7">
        <v>9085961</v>
      </c>
      <c r="O78" s="2">
        <f t="shared" si="13"/>
        <v>2144577</v>
      </c>
      <c r="Q78" s="7">
        <v>6976380</v>
      </c>
      <c r="S78" s="7">
        <v>9120957</v>
      </c>
      <c r="U78" s="7">
        <f>52415+1387</f>
        <v>53802</v>
      </c>
      <c r="W78" s="7">
        <f>5959+115961</f>
        <v>121920</v>
      </c>
      <c r="Y78" s="7">
        <v>0</v>
      </c>
      <c r="AA78" s="7">
        <v>0</v>
      </c>
      <c r="AC78" s="7">
        <v>-210718</v>
      </c>
      <c r="AE78" s="13">
        <f t="shared" si="14"/>
        <v>-34996</v>
      </c>
      <c r="AG78" s="7">
        <f t="shared" si="15"/>
        <v>0</v>
      </c>
      <c r="AK78" s="7" t="str">
        <f t="shared" si="16"/>
        <v>Buckeye Local SD</v>
      </c>
      <c r="AL78" s="7" t="str">
        <f>'St of Activities - GA Exp'!A78</f>
        <v>Buckeye Local SD</v>
      </c>
      <c r="AM78" s="7" t="b">
        <f t="shared" si="17"/>
        <v>1</v>
      </c>
      <c r="AN78" s="7" t="str">
        <f t="shared" si="12"/>
        <v>Jefferson</v>
      </c>
      <c r="AO78" s="7" t="b">
        <f>C78='St of Activities - GA Exp'!C78</f>
        <v>1</v>
      </c>
    </row>
    <row r="79" spans="1:41">
      <c r="A79" s="12" t="s">
        <v>708</v>
      </c>
      <c r="B79" s="12"/>
      <c r="C79" s="12" t="s">
        <v>47</v>
      </c>
      <c r="D79" s="12"/>
      <c r="E79" s="12">
        <v>48470</v>
      </c>
      <c r="G79" s="7">
        <v>920088</v>
      </c>
      <c r="I79" s="7">
        <v>0</v>
      </c>
      <c r="K79" s="2">
        <f t="shared" ref="K79:K142" si="18">+M79-I79-G79</f>
        <v>8579285</v>
      </c>
      <c r="M79" s="7">
        <v>9499373</v>
      </c>
      <c r="O79" s="2">
        <f t="shared" si="13"/>
        <v>2556659</v>
      </c>
      <c r="Q79" s="7">
        <v>7775538</v>
      </c>
      <c r="S79" s="7">
        <v>10332197</v>
      </c>
      <c r="U79" s="7">
        <v>100910</v>
      </c>
      <c r="W79" s="7">
        <v>0</v>
      </c>
      <c r="Y79" s="7">
        <v>0</v>
      </c>
      <c r="AA79" s="7">
        <v>138424</v>
      </c>
      <c r="AC79" s="7">
        <v>-1072158</v>
      </c>
      <c r="AE79" s="13">
        <f t="shared" si="14"/>
        <v>-832824</v>
      </c>
      <c r="AG79" s="7">
        <f t="shared" si="15"/>
        <v>0</v>
      </c>
      <c r="AK79" s="7" t="str">
        <f t="shared" si="16"/>
        <v xml:space="preserve">Buckeye Local SD </v>
      </c>
      <c r="AL79" s="7" t="str">
        <f>'St of Activities - GA Exp'!A79</f>
        <v xml:space="preserve">Buckeye Local SD </v>
      </c>
      <c r="AM79" s="7" t="b">
        <f t="shared" si="17"/>
        <v>1</v>
      </c>
      <c r="AN79" s="7" t="str">
        <f t="shared" si="12"/>
        <v>Medina</v>
      </c>
      <c r="AO79" s="7" t="b">
        <f>C79='St of Activities - GA Exp'!C79</f>
        <v>1</v>
      </c>
    </row>
    <row r="80" spans="1:41" hidden="1">
      <c r="A80" s="54" t="s">
        <v>908</v>
      </c>
      <c r="B80" s="12"/>
      <c r="C80" s="12" t="s">
        <v>112</v>
      </c>
      <c r="D80" s="12"/>
      <c r="E80" s="12">
        <v>46755</v>
      </c>
      <c r="K80" s="2">
        <f t="shared" si="18"/>
        <v>0</v>
      </c>
      <c r="O80" s="2">
        <f t="shared" si="13"/>
        <v>0</v>
      </c>
      <c r="AE80" s="13">
        <f t="shared" si="14"/>
        <v>0</v>
      </c>
      <c r="AG80" s="7">
        <f t="shared" si="15"/>
        <v>0</v>
      </c>
      <c r="AI80" s="7" t="s">
        <v>907</v>
      </c>
      <c r="AK80" s="7" t="str">
        <f t="shared" si="16"/>
        <v>Buckeye Online School for Success (now Community School)</v>
      </c>
      <c r="AL80" s="7" t="str">
        <f>'St of Activities - GA Exp'!A80</f>
        <v>Buckeye Online School for Success (now Community School)</v>
      </c>
      <c r="AM80" s="7" t="b">
        <f t="shared" si="17"/>
        <v>1</v>
      </c>
      <c r="AN80" s="7" t="str">
        <f t="shared" si="12"/>
        <v>Columbiana</v>
      </c>
      <c r="AO80" s="7" t="b">
        <f>C80='St of Activities - GA Exp'!C80</f>
        <v>1</v>
      </c>
    </row>
    <row r="81" spans="1:41">
      <c r="A81" s="12" t="s">
        <v>665</v>
      </c>
      <c r="B81" s="12"/>
      <c r="C81" s="12" t="s">
        <v>23</v>
      </c>
      <c r="D81" s="12"/>
      <c r="E81" s="12">
        <v>46755</v>
      </c>
      <c r="G81" s="7">
        <v>3808958</v>
      </c>
      <c r="I81" s="7">
        <v>0</v>
      </c>
      <c r="K81" s="2">
        <f t="shared" si="18"/>
        <v>11136493</v>
      </c>
      <c r="M81" s="7">
        <v>14945451</v>
      </c>
      <c r="O81" s="2">
        <f t="shared" si="13"/>
        <v>2363659</v>
      </c>
      <c r="Q81" s="7">
        <f>335923+7673736</f>
        <v>8009659</v>
      </c>
      <c r="S81" s="7">
        <v>10373318</v>
      </c>
      <c r="U81" s="7">
        <f>41207+7630</f>
        <v>48837</v>
      </c>
      <c r="W81" s="7">
        <v>0</v>
      </c>
      <c r="Y81" s="7">
        <v>0</v>
      </c>
      <c r="AA81" s="7">
        <f>10191+364726+19889+67539+13532</f>
        <v>475877</v>
      </c>
      <c r="AC81" s="7">
        <v>4047419</v>
      </c>
      <c r="AE81" s="13">
        <f t="shared" si="14"/>
        <v>4572133</v>
      </c>
      <c r="AG81" s="7">
        <f t="shared" si="15"/>
        <v>0</v>
      </c>
      <c r="AK81" s="7" t="str">
        <f t="shared" si="16"/>
        <v xml:space="preserve">Buckeye Valley Local SD </v>
      </c>
      <c r="AL81" s="7" t="str">
        <f>'St of Activities - GA Exp'!A81</f>
        <v xml:space="preserve">Buckeye Valley Local SD </v>
      </c>
      <c r="AM81" s="7" t="b">
        <f t="shared" si="17"/>
        <v>1</v>
      </c>
      <c r="AN81" s="7" t="str">
        <f t="shared" si="12"/>
        <v>Delaware</v>
      </c>
      <c r="AO81" s="7" t="b">
        <f>C81='St of Activities - GA Exp'!C81</f>
        <v>1</v>
      </c>
    </row>
    <row r="82" spans="1:41">
      <c r="A82" s="12" t="s">
        <v>263</v>
      </c>
      <c r="B82" s="12"/>
      <c r="C82" s="12" t="s">
        <v>111</v>
      </c>
      <c r="D82" s="12"/>
      <c r="E82" s="12">
        <v>43687</v>
      </c>
      <c r="G82" s="7">
        <f>5969364+647885</f>
        <v>6617249</v>
      </c>
      <c r="I82" s="7">
        <v>5605</v>
      </c>
      <c r="K82" s="2">
        <f t="shared" si="18"/>
        <v>4465659</v>
      </c>
      <c r="M82" s="7">
        <v>11088513</v>
      </c>
      <c r="O82" s="2">
        <f t="shared" si="13"/>
        <v>1844871</v>
      </c>
      <c r="Q82" s="7">
        <f>2797881+307998</f>
        <v>3105879</v>
      </c>
      <c r="S82" s="7">
        <v>4950750</v>
      </c>
      <c r="U82" s="7">
        <v>38824</v>
      </c>
      <c r="W82" s="7">
        <v>5605</v>
      </c>
      <c r="Y82" s="7">
        <v>0</v>
      </c>
      <c r="AA82" s="7">
        <v>293894</v>
      </c>
      <c r="AC82" s="7">
        <v>5799440</v>
      </c>
      <c r="AE82" s="13">
        <f t="shared" si="14"/>
        <v>6137763</v>
      </c>
      <c r="AG82" s="7">
        <f t="shared" si="15"/>
        <v>0</v>
      </c>
      <c r="AK82" s="7" t="str">
        <f t="shared" si="16"/>
        <v>Bucyrus City SD</v>
      </c>
      <c r="AL82" s="7" t="str">
        <f>'St of Activities - GA Exp'!A82</f>
        <v>Bucyrus City SD</v>
      </c>
      <c r="AM82" s="7" t="b">
        <f t="shared" si="17"/>
        <v>1</v>
      </c>
      <c r="AN82" s="7" t="str">
        <f t="shared" si="12"/>
        <v>Crawford</v>
      </c>
      <c r="AO82" s="7" t="b">
        <f>C82='St of Activities - GA Exp'!C82</f>
        <v>1</v>
      </c>
    </row>
    <row r="83" spans="1:41">
      <c r="A83" s="12" t="s">
        <v>861</v>
      </c>
      <c r="B83" s="12"/>
      <c r="C83" s="12" t="s">
        <v>52</v>
      </c>
      <c r="D83" s="12"/>
      <c r="E83" s="12">
        <v>45252</v>
      </c>
      <c r="G83" s="7">
        <v>963827</v>
      </c>
      <c r="I83" s="7">
        <v>28461</v>
      </c>
      <c r="K83" s="2">
        <f t="shared" si="18"/>
        <v>2883628</v>
      </c>
      <c r="M83" s="7">
        <v>3875916</v>
      </c>
      <c r="O83" s="2">
        <f t="shared" si="13"/>
        <v>1017613</v>
      </c>
      <c r="Q83" s="7">
        <v>2525241</v>
      </c>
      <c r="S83" s="7">
        <v>3542854</v>
      </c>
      <c r="U83" s="7">
        <v>4465</v>
      </c>
      <c r="W83" s="7">
        <v>28284</v>
      </c>
      <c r="Y83" s="7">
        <v>0</v>
      </c>
      <c r="AA83" s="7">
        <v>300313</v>
      </c>
      <c r="AC83" s="7">
        <v>0</v>
      </c>
      <c r="AE83" s="13">
        <f t="shared" si="14"/>
        <v>333062</v>
      </c>
      <c r="AG83" s="7">
        <f t="shared" si="15"/>
        <v>0</v>
      </c>
      <c r="AK83" s="7" t="str">
        <f t="shared" si="16"/>
        <v>Caldwell Exempted Village SD</v>
      </c>
      <c r="AL83" s="7" t="str">
        <f>'St of Activities - GA Exp'!A83</f>
        <v>Caldwell Exempted Village SD</v>
      </c>
      <c r="AM83" s="7" t="b">
        <f t="shared" si="17"/>
        <v>1</v>
      </c>
      <c r="AN83" s="7" t="str">
        <f t="shared" si="12"/>
        <v>Noble</v>
      </c>
      <c r="AO83" s="7" t="b">
        <f>C83='St of Activities - GA Exp'!C83</f>
        <v>1</v>
      </c>
    </row>
    <row r="84" spans="1:41">
      <c r="A84" s="12" t="s">
        <v>327</v>
      </c>
      <c r="B84" s="12"/>
      <c r="C84" s="12" t="s">
        <v>31</v>
      </c>
      <c r="D84" s="12"/>
      <c r="E84" s="12">
        <v>43695</v>
      </c>
      <c r="G84" s="7">
        <f>1426517+15539</f>
        <v>1442056</v>
      </c>
      <c r="I84" s="7">
        <v>23525</v>
      </c>
      <c r="K84" s="2">
        <f t="shared" si="18"/>
        <v>6978003</v>
      </c>
      <c r="M84" s="7">
        <v>8443584</v>
      </c>
      <c r="O84" s="2">
        <f t="shared" si="13"/>
        <v>2369238</v>
      </c>
      <c r="Q84" s="7">
        <v>5010089</v>
      </c>
      <c r="S84" s="7">
        <v>7379327</v>
      </c>
      <c r="U84" s="7">
        <f>59082+88670+12869</f>
        <v>160621</v>
      </c>
      <c r="W84" s="7">
        <v>10656</v>
      </c>
      <c r="Y84" s="7">
        <v>21167</v>
      </c>
      <c r="AA84" s="7">
        <f>271372+186310+30700</f>
        <v>488382</v>
      </c>
      <c r="AC84" s="7">
        <v>383431</v>
      </c>
      <c r="AE84" s="13">
        <f t="shared" si="14"/>
        <v>1064257</v>
      </c>
      <c r="AG84" s="7">
        <f t="shared" si="15"/>
        <v>0</v>
      </c>
      <c r="AK84" s="7" t="str">
        <f t="shared" si="16"/>
        <v>Cambridge City SD</v>
      </c>
      <c r="AL84" s="7" t="str">
        <f>'St of Activities - GA Exp'!A84</f>
        <v>Cambridge City SD</v>
      </c>
      <c r="AM84" s="7" t="b">
        <f t="shared" si="17"/>
        <v>1</v>
      </c>
      <c r="AN84" s="7" t="str">
        <f t="shared" si="12"/>
        <v>Guernsey</v>
      </c>
      <c r="AO84" s="7" t="b">
        <f>C84='St of Activities - GA Exp'!C84</f>
        <v>1</v>
      </c>
    </row>
    <row r="85" spans="1:41">
      <c r="A85" s="12" t="s">
        <v>677</v>
      </c>
      <c r="B85" s="12"/>
      <c r="C85" s="12" t="s">
        <v>45</v>
      </c>
      <c r="D85" s="12"/>
      <c r="E85" s="12">
        <v>43703</v>
      </c>
      <c r="G85" s="7">
        <v>987844</v>
      </c>
      <c r="I85" s="7">
        <v>85084</v>
      </c>
      <c r="K85" s="2">
        <f t="shared" si="18"/>
        <v>2769312</v>
      </c>
      <c r="M85" s="7">
        <v>3842240</v>
      </c>
      <c r="O85" s="2">
        <f t="shared" si="13"/>
        <v>1777121</v>
      </c>
      <c r="Q85" s="7">
        <v>2612123</v>
      </c>
      <c r="S85" s="7">
        <v>4389244</v>
      </c>
      <c r="U85" s="7">
        <v>0</v>
      </c>
      <c r="W85" s="7">
        <v>86124</v>
      </c>
      <c r="Y85" s="7">
        <v>21441</v>
      </c>
      <c r="AA85" s="7">
        <v>302393</v>
      </c>
      <c r="AC85" s="7">
        <v>-956962</v>
      </c>
      <c r="AE85" s="13">
        <f t="shared" si="14"/>
        <v>-547004</v>
      </c>
      <c r="AG85" s="7">
        <f t="shared" si="15"/>
        <v>0</v>
      </c>
      <c r="AK85" s="7" t="str">
        <f t="shared" si="16"/>
        <v xml:space="preserve">Campbell City SD </v>
      </c>
      <c r="AL85" s="7" t="str">
        <f>'St of Activities - GA Exp'!A85</f>
        <v xml:space="preserve">Campbell City SD </v>
      </c>
      <c r="AM85" s="7" t="b">
        <f t="shared" si="17"/>
        <v>1</v>
      </c>
      <c r="AN85" s="7" t="str">
        <f t="shared" si="12"/>
        <v>Mahoning</v>
      </c>
      <c r="AO85" s="7" t="b">
        <f>C85='St of Activities - GA Exp'!C85</f>
        <v>1</v>
      </c>
    </row>
    <row r="86" spans="1:41">
      <c r="A86" s="12" t="s">
        <v>306</v>
      </c>
      <c r="B86" s="12"/>
      <c r="C86" s="12" t="s">
        <v>27</v>
      </c>
      <c r="D86" s="12"/>
      <c r="E86" s="12">
        <v>46946</v>
      </c>
      <c r="G86" s="7">
        <v>5254308</v>
      </c>
      <c r="I86" s="7">
        <v>0</v>
      </c>
      <c r="K86" s="2">
        <f t="shared" si="18"/>
        <v>19803741</v>
      </c>
      <c r="M86" s="7">
        <v>25058049</v>
      </c>
      <c r="O86" s="2">
        <f t="shared" si="13"/>
        <v>4657274</v>
      </c>
      <c r="Q86" s="7">
        <f>1747869+11423917</f>
        <v>13171786</v>
      </c>
      <c r="S86" s="7">
        <v>17829060</v>
      </c>
      <c r="U86" s="7">
        <v>0</v>
      </c>
      <c r="W86" s="7">
        <v>0</v>
      </c>
      <c r="Y86" s="7">
        <f>54219+444979</f>
        <v>499198</v>
      </c>
      <c r="AA86" s="7">
        <f>101067+352606+1711</f>
        <v>455384</v>
      </c>
      <c r="AC86" s="7">
        <v>6274407</v>
      </c>
      <c r="AE86" s="13">
        <f t="shared" si="14"/>
        <v>7228989</v>
      </c>
      <c r="AG86" s="7">
        <f t="shared" si="15"/>
        <v>0</v>
      </c>
      <c r="AK86" s="7" t="str">
        <f t="shared" si="16"/>
        <v>Canal Winchester Local SD</v>
      </c>
      <c r="AL86" s="7" t="str">
        <f>'St of Activities - GA Exp'!A86</f>
        <v>Canal Winchester Local SD</v>
      </c>
      <c r="AM86" s="7" t="b">
        <f t="shared" si="17"/>
        <v>1</v>
      </c>
      <c r="AN86" s="7" t="str">
        <f t="shared" si="12"/>
        <v>Franklin</v>
      </c>
      <c r="AO86" s="7" t="b">
        <f>C86='St of Activities - GA Exp'!C86</f>
        <v>1</v>
      </c>
    </row>
    <row r="87" spans="1:41">
      <c r="A87" s="12" t="s">
        <v>416</v>
      </c>
      <c r="B87" s="12"/>
      <c r="C87" s="12" t="s">
        <v>45</v>
      </c>
      <c r="D87" s="12"/>
      <c r="E87" s="12">
        <v>48314</v>
      </c>
      <c r="G87" s="7">
        <v>4674178</v>
      </c>
      <c r="I87" s="7">
        <v>1130724</v>
      </c>
      <c r="K87" s="2">
        <f t="shared" si="18"/>
        <v>16309822</v>
      </c>
      <c r="M87" s="7">
        <v>22114724</v>
      </c>
      <c r="O87" s="2">
        <f t="shared" si="13"/>
        <v>2269071</v>
      </c>
      <c r="Q87" s="7">
        <v>16232369</v>
      </c>
      <c r="S87" s="7">
        <v>18501440</v>
      </c>
      <c r="U87" s="7">
        <v>57494</v>
      </c>
      <c r="W87" s="7">
        <v>1130724</v>
      </c>
      <c r="Y87" s="7">
        <v>29693</v>
      </c>
      <c r="AA87" s="7">
        <v>90839</v>
      </c>
      <c r="AC87" s="7">
        <v>2304534</v>
      </c>
      <c r="AE87" s="13">
        <f t="shared" si="14"/>
        <v>3613284</v>
      </c>
      <c r="AG87" s="7">
        <f t="shared" si="15"/>
        <v>0</v>
      </c>
      <c r="AK87" s="7" t="str">
        <f t="shared" si="16"/>
        <v>Canfield Local SD</v>
      </c>
      <c r="AL87" s="7" t="str">
        <f>'St of Activities - GA Exp'!A87</f>
        <v>Canfield Local SD</v>
      </c>
      <c r="AM87" s="7" t="b">
        <f t="shared" si="17"/>
        <v>1</v>
      </c>
      <c r="AN87" s="7" t="str">
        <f t="shared" si="12"/>
        <v>Mahoning</v>
      </c>
      <c r="AO87" s="7" t="b">
        <f>C87='St of Activities - GA Exp'!C87</f>
        <v>1</v>
      </c>
    </row>
    <row r="88" spans="1:41">
      <c r="A88" s="12" t="s">
        <v>509</v>
      </c>
      <c r="B88" s="12"/>
      <c r="C88" s="12" t="s">
        <v>62</v>
      </c>
      <c r="D88" s="12"/>
      <c r="E88" s="12">
        <v>49833</v>
      </c>
      <c r="G88" s="7">
        <v>1430498</v>
      </c>
      <c r="I88" s="7">
        <v>0</v>
      </c>
      <c r="K88" s="2">
        <f>+M88-I88-G88</f>
        <v>9579095</v>
      </c>
      <c r="M88" s="7">
        <v>11009593</v>
      </c>
      <c r="O88" s="2">
        <f>+S88-Q88</f>
        <v>3382689</v>
      </c>
      <c r="Q88" s="7">
        <f>7488475+771437</f>
        <v>8259912</v>
      </c>
      <c r="S88" s="7">
        <v>11642601</v>
      </c>
      <c r="U88" s="7">
        <v>0</v>
      </c>
      <c r="W88" s="7">
        <v>0</v>
      </c>
      <c r="Y88" s="7">
        <v>0</v>
      </c>
      <c r="AA88" s="7">
        <f>126720+166796+1563+29808+10787</f>
        <v>335674</v>
      </c>
      <c r="AC88" s="7">
        <v>-968682</v>
      </c>
      <c r="AE88" s="13">
        <f>+Y88+W88++U88+AA88+AC88</f>
        <v>-633008</v>
      </c>
      <c r="AG88" s="7">
        <f>+G88+I88+K88-O88-Q88-Y88-W88-U88-AA88-AC88</f>
        <v>0</v>
      </c>
      <c r="AK88" s="7" t="str">
        <f>A88</f>
        <v>Canton City SD</v>
      </c>
      <c r="AL88" s="7" t="str">
        <f>'St of Activities - GA Exp'!A88</f>
        <v>Canton City SD</v>
      </c>
      <c r="AM88" s="7" t="b">
        <f>AK88=AL88</f>
        <v>1</v>
      </c>
      <c r="AN88" s="7" t="str">
        <f>C88</f>
        <v>Stark</v>
      </c>
      <c r="AO88" s="7" t="b">
        <f>C88='St of Activities - GA Exp'!C88</f>
        <v>1</v>
      </c>
    </row>
    <row r="89" spans="1:41">
      <c r="A89" s="12" t="s">
        <v>510</v>
      </c>
      <c r="B89" s="12"/>
      <c r="C89" s="12" t="s">
        <v>62</v>
      </c>
      <c r="D89" s="12"/>
      <c r="E89" s="12">
        <v>43711</v>
      </c>
      <c r="G89" s="7">
        <v>12646000</v>
      </c>
      <c r="I89" s="7">
        <v>157000</v>
      </c>
      <c r="K89" s="2">
        <f t="shared" si="18"/>
        <v>29020000</v>
      </c>
      <c r="M89" s="7">
        <v>41823000</v>
      </c>
      <c r="O89" s="2">
        <f t="shared" si="13"/>
        <v>14056000</v>
      </c>
      <c r="Q89" s="7">
        <f>5021000+19837000</f>
        <v>24858000</v>
      </c>
      <c r="S89" s="7">
        <v>38914000</v>
      </c>
      <c r="U89" s="7">
        <f>121000+55000</f>
        <v>176000</v>
      </c>
      <c r="W89" s="7">
        <v>157000</v>
      </c>
      <c r="Y89" s="7">
        <v>0</v>
      </c>
      <c r="AA89" s="7">
        <v>3237000</v>
      </c>
      <c r="AC89" s="7">
        <v>-661000</v>
      </c>
      <c r="AE89" s="13">
        <f t="shared" si="14"/>
        <v>2909000</v>
      </c>
      <c r="AG89" s="7">
        <f t="shared" si="15"/>
        <v>0</v>
      </c>
      <c r="AK89" s="7" t="str">
        <f t="shared" si="16"/>
        <v>Canton Local SD</v>
      </c>
      <c r="AL89" s="7" t="str">
        <f>'St of Activities - GA Exp'!A89</f>
        <v>Canton Local SD</v>
      </c>
      <c r="AM89" s="7" t="b">
        <f t="shared" si="17"/>
        <v>1</v>
      </c>
      <c r="AN89" s="7" t="str">
        <f t="shared" si="12"/>
        <v>Stark</v>
      </c>
      <c r="AO89" s="7" t="b">
        <f>C89='St of Activities - GA Exp'!C89</f>
        <v>1</v>
      </c>
    </row>
    <row r="90" spans="1:41">
      <c r="A90" s="12" t="s">
        <v>678</v>
      </c>
      <c r="B90" s="12"/>
      <c r="C90" s="12" t="s">
        <v>30</v>
      </c>
      <c r="D90" s="12"/>
      <c r="E90" s="12">
        <v>47175</v>
      </c>
      <c r="G90" s="7">
        <v>203645</v>
      </c>
      <c r="I90" s="7">
        <v>715179</v>
      </c>
      <c r="K90" s="2">
        <f t="shared" si="18"/>
        <v>6679991</v>
      </c>
      <c r="M90" s="7">
        <v>7598815</v>
      </c>
      <c r="O90" s="2">
        <f t="shared" si="13"/>
        <v>1689748</v>
      </c>
      <c r="Q90" s="7">
        <v>6023672</v>
      </c>
      <c r="S90" s="7">
        <v>7713420</v>
      </c>
      <c r="U90" s="7">
        <v>50410</v>
      </c>
      <c r="W90" s="7">
        <v>715179</v>
      </c>
      <c r="Y90" s="7">
        <v>0</v>
      </c>
      <c r="AA90" s="7">
        <v>129096</v>
      </c>
      <c r="AC90" s="7">
        <v>-1009290</v>
      </c>
      <c r="AE90" s="13">
        <f t="shared" si="14"/>
        <v>-114605</v>
      </c>
      <c r="AG90" s="7">
        <f t="shared" si="15"/>
        <v>0</v>
      </c>
      <c r="AK90" s="7" t="str">
        <f t="shared" si="16"/>
        <v xml:space="preserve">Cardinal Local SD </v>
      </c>
      <c r="AL90" s="7" t="str">
        <f>'St of Activities - GA Exp'!A90</f>
        <v xml:space="preserve">Cardinal Local SD </v>
      </c>
      <c r="AM90" s="7" t="b">
        <f t="shared" si="17"/>
        <v>1</v>
      </c>
      <c r="AN90" s="7" t="str">
        <f t="shared" si="12"/>
        <v>Geauga</v>
      </c>
      <c r="AO90" s="7" t="b">
        <f>C90='St of Activities - GA Exp'!C90</f>
        <v>1</v>
      </c>
    </row>
    <row r="91" spans="1:41" hidden="1">
      <c r="A91" s="12" t="s">
        <v>454</v>
      </c>
      <c r="B91" s="12"/>
      <c r="C91" s="12" t="s">
        <v>78</v>
      </c>
      <c r="D91" s="12"/>
      <c r="E91" s="12">
        <v>48793</v>
      </c>
      <c r="K91" s="2">
        <f t="shared" si="18"/>
        <v>0</v>
      </c>
      <c r="O91" s="2">
        <f t="shared" si="13"/>
        <v>0</v>
      </c>
      <c r="AE91" s="13">
        <f t="shared" si="14"/>
        <v>0</v>
      </c>
      <c r="AG91" s="7">
        <f t="shared" si="15"/>
        <v>0</v>
      </c>
      <c r="AI91" s="7" t="s">
        <v>981</v>
      </c>
      <c r="AK91" s="7" t="str">
        <f t="shared" si="16"/>
        <v>Cardington-Lincoln Local SD</v>
      </c>
      <c r="AL91" s="7" t="str">
        <f>'St of Activities - GA Exp'!A91</f>
        <v>Cardington-Lincoln Local SD</v>
      </c>
      <c r="AM91" s="7" t="b">
        <f t="shared" si="17"/>
        <v>1</v>
      </c>
      <c r="AN91" s="7" t="str">
        <f t="shared" si="12"/>
        <v>Morrow</v>
      </c>
      <c r="AO91" s="7" t="b">
        <f>C91='St of Activities - GA Exp'!C91</f>
        <v>1</v>
      </c>
    </row>
    <row r="92" spans="1:41" hidden="1">
      <c r="A92" s="12" t="s">
        <v>644</v>
      </c>
      <c r="B92" s="12"/>
      <c r="C92" s="12" t="s">
        <v>577</v>
      </c>
      <c r="D92" s="12"/>
      <c r="E92" s="12">
        <v>45260</v>
      </c>
      <c r="K92" s="2">
        <f t="shared" si="18"/>
        <v>0</v>
      </c>
      <c r="O92" s="2">
        <f t="shared" si="13"/>
        <v>0</v>
      </c>
      <c r="AE92" s="13">
        <f t="shared" si="14"/>
        <v>0</v>
      </c>
      <c r="AG92" s="7">
        <f t="shared" si="15"/>
        <v>0</v>
      </c>
      <c r="AI92" s="7" t="s">
        <v>778</v>
      </c>
      <c r="AK92" s="7" t="str">
        <f t="shared" si="16"/>
        <v>Carey Ex Vill SD (CASH)</v>
      </c>
      <c r="AL92" s="7" t="str">
        <f>'St of Activities - GA Exp'!A92</f>
        <v>Carey Ex Vill SD (CASH)</v>
      </c>
      <c r="AM92" s="7" t="b">
        <f t="shared" si="17"/>
        <v>1</v>
      </c>
      <c r="AN92" s="7" t="str">
        <f t="shared" si="12"/>
        <v>Wyandot</v>
      </c>
      <c r="AO92" s="7" t="b">
        <f>C92='St of Activities - GA Exp'!C92</f>
        <v>1</v>
      </c>
    </row>
    <row r="93" spans="1:41" s="32" customFormat="1">
      <c r="A93" s="31" t="s">
        <v>560</v>
      </c>
      <c r="B93" s="31"/>
      <c r="C93" s="31" t="s">
        <v>69</v>
      </c>
      <c r="D93" s="31"/>
      <c r="E93" s="31">
        <v>50419</v>
      </c>
      <c r="G93" s="32">
        <v>1210753</v>
      </c>
      <c r="I93" s="32">
        <v>0</v>
      </c>
      <c r="K93" s="34">
        <f t="shared" si="18"/>
        <v>5137212</v>
      </c>
      <c r="M93" s="32">
        <v>6347965</v>
      </c>
      <c r="O93" s="34">
        <f t="shared" si="13"/>
        <v>2026809</v>
      </c>
      <c r="Q93" s="32">
        <v>4061904</v>
      </c>
      <c r="S93" s="32">
        <v>6088713</v>
      </c>
      <c r="U93" s="32">
        <v>0</v>
      </c>
      <c r="W93" s="32">
        <v>0</v>
      </c>
      <c r="Y93" s="32">
        <v>0</v>
      </c>
      <c r="AA93" s="32">
        <v>30681</v>
      </c>
      <c r="AC93" s="32">
        <v>228571</v>
      </c>
      <c r="AE93" s="45">
        <f t="shared" si="14"/>
        <v>259252</v>
      </c>
      <c r="AG93" s="32">
        <f t="shared" si="15"/>
        <v>0</v>
      </c>
      <c r="AK93" s="32" t="str">
        <f t="shared" si="16"/>
        <v>Carlisle Local SD</v>
      </c>
      <c r="AL93" s="32" t="str">
        <f>'St of Activities - GA Exp'!A93</f>
        <v>Carlisle Local SD</v>
      </c>
      <c r="AM93" s="32" t="b">
        <f t="shared" si="17"/>
        <v>1</v>
      </c>
      <c r="AN93" s="32" t="str">
        <f t="shared" si="12"/>
        <v>Warren</v>
      </c>
      <c r="AO93" s="32" t="b">
        <f>C93='St of Activities - GA Exp'!C93</f>
        <v>1</v>
      </c>
    </row>
    <row r="94" spans="1:41">
      <c r="A94" s="12" t="s">
        <v>862</v>
      </c>
      <c r="B94" s="12"/>
      <c r="C94" s="12" t="s">
        <v>16</v>
      </c>
      <c r="D94" s="12"/>
      <c r="E94" s="12">
        <v>45278</v>
      </c>
      <c r="G94" s="7">
        <v>5922037</v>
      </c>
      <c r="I94" s="7">
        <v>0</v>
      </c>
      <c r="K94" s="2">
        <f t="shared" si="18"/>
        <v>6794293</v>
      </c>
      <c r="M94" s="7">
        <v>12716330</v>
      </c>
      <c r="O94" s="2">
        <f t="shared" si="13"/>
        <v>2145308</v>
      </c>
      <c r="Q94" s="7">
        <v>4951116</v>
      </c>
      <c r="S94" s="7">
        <v>7096424</v>
      </c>
      <c r="U94" s="7">
        <v>64848</v>
      </c>
      <c r="W94" s="7">
        <v>0</v>
      </c>
      <c r="Y94" s="7">
        <v>0</v>
      </c>
      <c r="AA94" s="7">
        <v>241355</v>
      </c>
      <c r="AC94" s="7">
        <v>5313703</v>
      </c>
      <c r="AE94" s="13">
        <f t="shared" si="14"/>
        <v>5619906</v>
      </c>
      <c r="AG94" s="7">
        <f t="shared" si="15"/>
        <v>0</v>
      </c>
      <c r="AK94" s="7" t="str">
        <f t="shared" si="16"/>
        <v>Carrollton Exempted Village SD</v>
      </c>
      <c r="AL94" s="7" t="str">
        <f>'St of Activities - GA Exp'!A94</f>
        <v>Carrollton Exempted Village SD</v>
      </c>
      <c r="AM94" s="7" t="b">
        <f t="shared" si="17"/>
        <v>1</v>
      </c>
      <c r="AN94" s="7" t="str">
        <f t="shared" si="12"/>
        <v>Carroll</v>
      </c>
      <c r="AO94" s="7" t="b">
        <f>C94='St of Activities - GA Exp'!C94</f>
        <v>1</v>
      </c>
    </row>
    <row r="95" spans="1:41">
      <c r="A95" s="12" t="s">
        <v>679</v>
      </c>
      <c r="B95" s="12"/>
      <c r="C95" s="12" t="s">
        <v>114</v>
      </c>
      <c r="D95" s="12"/>
      <c r="E95" s="12">
        <v>47258</v>
      </c>
      <c r="G95" s="7">
        <v>2210333</v>
      </c>
      <c r="I95" s="7">
        <v>0</v>
      </c>
      <c r="K95" s="2">
        <f t="shared" si="18"/>
        <v>2080269</v>
      </c>
      <c r="M95" s="7">
        <v>4290602</v>
      </c>
      <c r="O95" s="2">
        <f t="shared" si="13"/>
        <v>578125</v>
      </c>
      <c r="Q95" s="7">
        <v>1617810</v>
      </c>
      <c r="S95" s="7">
        <v>2195935</v>
      </c>
      <c r="U95" s="7">
        <v>10065</v>
      </c>
      <c r="W95" s="7">
        <v>0</v>
      </c>
      <c r="Y95" s="7">
        <v>0</v>
      </c>
      <c r="AA95" s="7">
        <v>34499</v>
      </c>
      <c r="AC95" s="7">
        <v>2050103</v>
      </c>
      <c r="AE95" s="13">
        <f t="shared" si="14"/>
        <v>2094667</v>
      </c>
      <c r="AG95" s="7">
        <f t="shared" si="15"/>
        <v>0</v>
      </c>
      <c r="AI95" s="7" t="s">
        <v>783</v>
      </c>
      <c r="AK95" s="7" t="str">
        <f t="shared" si="16"/>
        <v xml:space="preserve">Cedar Cliff Local SD </v>
      </c>
      <c r="AL95" s="7" t="str">
        <f>'St of Activities - GA Exp'!A95</f>
        <v xml:space="preserve">Cedar Cliff Local SD </v>
      </c>
      <c r="AM95" s="7" t="b">
        <f t="shared" si="17"/>
        <v>1</v>
      </c>
      <c r="AN95" s="7" t="str">
        <f t="shared" si="12"/>
        <v>Greene</v>
      </c>
      <c r="AO95" s="7" t="b">
        <f>C95='St of Activities - GA Exp'!C95</f>
        <v>1</v>
      </c>
    </row>
    <row r="96" spans="1:41" hidden="1">
      <c r="A96" s="12" t="s">
        <v>645</v>
      </c>
      <c r="B96" s="12"/>
      <c r="C96" s="12" t="s">
        <v>435</v>
      </c>
      <c r="D96" s="12"/>
      <c r="E96" s="12">
        <v>43729</v>
      </c>
      <c r="K96" s="2">
        <f t="shared" si="18"/>
        <v>0</v>
      </c>
      <c r="O96" s="2">
        <f t="shared" si="13"/>
        <v>0</v>
      </c>
      <c r="AE96" s="13">
        <f t="shared" si="14"/>
        <v>0</v>
      </c>
      <c r="AG96" s="7">
        <f t="shared" si="15"/>
        <v>0</v>
      </c>
      <c r="AI96" s="7" t="s">
        <v>778</v>
      </c>
      <c r="AK96" s="7" t="str">
        <f t="shared" si="16"/>
        <v>Celina City SD (CASH)</v>
      </c>
      <c r="AL96" s="7" t="str">
        <f>'St of Activities - GA Exp'!A96</f>
        <v>Celina City SD (CASH)</v>
      </c>
      <c r="AM96" s="7" t="b">
        <f t="shared" si="17"/>
        <v>1</v>
      </c>
      <c r="AN96" s="7" t="str">
        <f t="shared" si="12"/>
        <v>Mercer</v>
      </c>
      <c r="AO96" s="7" t="b">
        <f>C96='St of Activities - GA Exp'!C96</f>
        <v>1</v>
      </c>
    </row>
    <row r="97" spans="1:41">
      <c r="A97" s="12" t="s">
        <v>680</v>
      </c>
      <c r="B97" s="12"/>
      <c r="C97" s="12" t="s">
        <v>40</v>
      </c>
      <c r="D97" s="12"/>
      <c r="E97" s="12">
        <v>47829</v>
      </c>
      <c r="G97" s="7">
        <v>2837521</v>
      </c>
      <c r="I97" s="7">
        <v>488074</v>
      </c>
      <c r="K97" s="2">
        <f t="shared" si="18"/>
        <v>2919125</v>
      </c>
      <c r="M97" s="7">
        <v>6244720</v>
      </c>
      <c r="O97" s="2">
        <f t="shared" si="13"/>
        <v>941477</v>
      </c>
      <c r="Q97" s="7">
        <v>1660210</v>
      </c>
      <c r="S97" s="7">
        <v>2601687</v>
      </c>
      <c r="U97" s="7">
        <v>0</v>
      </c>
      <c r="W97" s="7">
        <v>488074</v>
      </c>
      <c r="Y97" s="7">
        <v>0</v>
      </c>
      <c r="AA97" s="7">
        <v>488050</v>
      </c>
      <c r="AC97" s="7">
        <v>2666909</v>
      </c>
      <c r="AE97" s="13">
        <f t="shared" si="14"/>
        <v>3643033</v>
      </c>
      <c r="AG97" s="7">
        <f t="shared" si="15"/>
        <v>0</v>
      </c>
      <c r="AK97" s="7" t="str">
        <f t="shared" si="16"/>
        <v xml:space="preserve">Centerburg Local SD </v>
      </c>
      <c r="AL97" s="7" t="str">
        <f>'St of Activities - GA Exp'!A97</f>
        <v xml:space="preserve">Centerburg Local SD </v>
      </c>
      <c r="AM97" s="7" t="b">
        <f t="shared" si="17"/>
        <v>1</v>
      </c>
      <c r="AN97" s="7" t="str">
        <f t="shared" si="12"/>
        <v>Knox</v>
      </c>
      <c r="AO97" s="7" t="b">
        <f>C97='St of Activities - GA Exp'!C97</f>
        <v>1</v>
      </c>
    </row>
    <row r="98" spans="1:41">
      <c r="A98" s="12" t="s">
        <v>681</v>
      </c>
      <c r="B98" s="12"/>
      <c r="C98" s="12" t="s">
        <v>50</v>
      </c>
      <c r="D98" s="12"/>
      <c r="E98" s="12">
        <v>43737</v>
      </c>
      <c r="G98" s="7">
        <v>21672138</v>
      </c>
      <c r="I98" s="7">
        <v>141886</v>
      </c>
      <c r="K98" s="2">
        <f t="shared" si="18"/>
        <v>55355348</v>
      </c>
      <c r="M98" s="7">
        <v>77169372</v>
      </c>
      <c r="O98" s="2">
        <f t="shared" si="13"/>
        <v>9423681</v>
      </c>
      <c r="Q98" s="7">
        <v>51327986</v>
      </c>
      <c r="S98" s="7">
        <v>60751667</v>
      </c>
      <c r="U98" s="7">
        <v>0</v>
      </c>
      <c r="W98" s="7">
        <v>0</v>
      </c>
      <c r="Y98" s="7">
        <v>0</v>
      </c>
      <c r="AA98" s="7">
        <v>363830</v>
      </c>
      <c r="AC98" s="7">
        <v>16053875</v>
      </c>
      <c r="AE98" s="13">
        <f t="shared" si="14"/>
        <v>16417705</v>
      </c>
      <c r="AG98" s="7">
        <f t="shared" si="15"/>
        <v>0</v>
      </c>
      <c r="AK98" s="7" t="str">
        <f t="shared" si="16"/>
        <v xml:space="preserve">Centerville City SD </v>
      </c>
      <c r="AL98" s="7" t="str">
        <f>'St of Activities - GA Exp'!A98</f>
        <v xml:space="preserve">Centerville City SD </v>
      </c>
      <c r="AM98" s="7" t="b">
        <f t="shared" si="17"/>
        <v>1</v>
      </c>
      <c r="AN98" s="7" t="str">
        <f t="shared" si="12"/>
        <v>Montgomery</v>
      </c>
      <c r="AO98" s="7" t="b">
        <f>C98='St of Activities - GA Exp'!C98</f>
        <v>1</v>
      </c>
    </row>
    <row r="99" spans="1:41" hidden="1">
      <c r="A99" s="12" t="s">
        <v>797</v>
      </c>
      <c r="B99" s="12"/>
      <c r="C99" s="12" t="s">
        <v>22</v>
      </c>
      <c r="D99" s="12"/>
      <c r="E99" s="12">
        <v>46714</v>
      </c>
      <c r="K99" s="2">
        <f t="shared" si="18"/>
        <v>0</v>
      </c>
      <c r="O99" s="2">
        <f t="shared" si="13"/>
        <v>0</v>
      </c>
      <c r="AE99" s="13">
        <f t="shared" si="14"/>
        <v>0</v>
      </c>
      <c r="AG99" s="7">
        <f t="shared" si="15"/>
        <v>0</v>
      </c>
      <c r="AI99" s="7" t="s">
        <v>779</v>
      </c>
      <c r="AK99" s="7" t="str">
        <f t="shared" si="16"/>
        <v>Central Local SD (CASH)</v>
      </c>
      <c r="AL99" s="7" t="str">
        <f>'St of Activities - GA Exp'!A99</f>
        <v>Central Local SD (CASH)</v>
      </c>
      <c r="AM99" s="7" t="b">
        <f t="shared" si="17"/>
        <v>1</v>
      </c>
      <c r="AN99" s="7" t="str">
        <f t="shared" si="12"/>
        <v>Defiance</v>
      </c>
      <c r="AO99" s="7" t="b">
        <f>C99='St of Activities - GA Exp'!C99</f>
        <v>1</v>
      </c>
    </row>
    <row r="100" spans="1:41">
      <c r="A100" s="12" t="s">
        <v>863</v>
      </c>
      <c r="B100" s="12"/>
      <c r="C100" s="12" t="s">
        <v>20</v>
      </c>
      <c r="D100" s="12"/>
      <c r="E100" s="12">
        <v>45286</v>
      </c>
      <c r="G100" s="7">
        <v>6784777</v>
      </c>
      <c r="I100" s="7">
        <v>0</v>
      </c>
      <c r="K100" s="2">
        <f t="shared" si="18"/>
        <v>18757076</v>
      </c>
      <c r="M100" s="7">
        <v>25541853</v>
      </c>
      <c r="O100" s="2">
        <f t="shared" si="13"/>
        <v>2801707</v>
      </c>
      <c r="Q100" s="7">
        <v>16177891</v>
      </c>
      <c r="S100" s="7">
        <v>18979598</v>
      </c>
      <c r="U100" s="7">
        <v>0</v>
      </c>
      <c r="W100" s="7">
        <v>0</v>
      </c>
      <c r="Y100" s="7">
        <v>0</v>
      </c>
      <c r="AA100" s="7">
        <v>53895</v>
      </c>
      <c r="AC100" s="7">
        <v>6508360</v>
      </c>
      <c r="AE100" s="13">
        <f t="shared" si="14"/>
        <v>6562255</v>
      </c>
      <c r="AG100" s="7">
        <f t="shared" si="15"/>
        <v>0</v>
      </c>
      <c r="AK100" s="7" t="str">
        <f t="shared" si="16"/>
        <v>Chagrin Falls Exempted Village SD</v>
      </c>
      <c r="AL100" s="7" t="str">
        <f>'St of Activities - GA Exp'!A100</f>
        <v>Chagrin Falls Exempted Village SD</v>
      </c>
      <c r="AM100" s="7" t="b">
        <f t="shared" si="17"/>
        <v>1</v>
      </c>
      <c r="AN100" s="7" t="str">
        <f t="shared" si="12"/>
        <v>Cuyahoga</v>
      </c>
      <c r="AO100" s="7" t="b">
        <f>C100='St of Activities - GA Exp'!C100</f>
        <v>1</v>
      </c>
    </row>
    <row r="101" spans="1:41">
      <c r="A101" s="12" t="s">
        <v>536</v>
      </c>
      <c r="B101" s="12"/>
      <c r="C101" s="12" t="s">
        <v>64</v>
      </c>
      <c r="D101" s="12"/>
      <c r="E101" s="12">
        <v>50138</v>
      </c>
      <c r="G101" s="7">
        <v>969494</v>
      </c>
      <c r="I101" s="7">
        <v>0</v>
      </c>
      <c r="K101" s="2">
        <f t="shared" si="18"/>
        <v>6112955</v>
      </c>
      <c r="M101" s="7">
        <v>7082449</v>
      </c>
      <c r="O101" s="2">
        <f t="shared" si="13"/>
        <v>1725711</v>
      </c>
      <c r="Q101" s="7">
        <f>4725308+1321490</f>
        <v>6046798</v>
      </c>
      <c r="S101" s="7">
        <v>7772509</v>
      </c>
      <c r="U101" s="7">
        <f>7653+39582</f>
        <v>47235</v>
      </c>
      <c r="W101" s="7">
        <v>0</v>
      </c>
      <c r="Y101" s="7">
        <v>0</v>
      </c>
      <c r="AA101" s="7">
        <f>19234+142290+15807</f>
        <v>177331</v>
      </c>
      <c r="AC101" s="7">
        <v>-914626</v>
      </c>
      <c r="AE101" s="13">
        <f t="shared" si="14"/>
        <v>-690060</v>
      </c>
      <c r="AG101" s="7">
        <f t="shared" si="15"/>
        <v>0</v>
      </c>
      <c r="AK101" s="7" t="str">
        <f t="shared" si="16"/>
        <v>Champion Local SD</v>
      </c>
      <c r="AL101" s="7" t="str">
        <f>'St of Activities - GA Exp'!A101</f>
        <v>Champion Local SD</v>
      </c>
      <c r="AM101" s="7" t="b">
        <f t="shared" si="17"/>
        <v>1</v>
      </c>
      <c r="AN101" s="7" t="str">
        <f t="shared" si="12"/>
        <v>Trumbull</v>
      </c>
      <c r="AO101" s="7" t="b">
        <f>C101='St of Activities - GA Exp'!C101</f>
        <v>1</v>
      </c>
    </row>
    <row r="102" spans="1:41" hidden="1">
      <c r="A102" s="12" t="s">
        <v>798</v>
      </c>
      <c r="B102" s="12"/>
      <c r="C102" s="12" t="s">
        <v>30</v>
      </c>
      <c r="D102" s="12"/>
      <c r="E102" s="12">
        <v>47183</v>
      </c>
      <c r="K102" s="2">
        <f t="shared" si="18"/>
        <v>0</v>
      </c>
      <c r="O102" s="2">
        <f t="shared" si="13"/>
        <v>0</v>
      </c>
      <c r="AE102" s="13">
        <f t="shared" si="14"/>
        <v>0</v>
      </c>
      <c r="AG102" s="7">
        <f t="shared" si="15"/>
        <v>0</v>
      </c>
      <c r="AI102" s="7" t="s">
        <v>779</v>
      </c>
      <c r="AK102" s="7" t="str">
        <f t="shared" si="16"/>
        <v>Chardon Local SD (CASH)</v>
      </c>
      <c r="AL102" s="7" t="str">
        <f>'St of Activities - GA Exp'!A102</f>
        <v>Chardon Local SD (CASH)</v>
      </c>
      <c r="AM102" s="7" t="b">
        <f t="shared" si="17"/>
        <v>1</v>
      </c>
      <c r="AN102" s="7" t="str">
        <f t="shared" si="12"/>
        <v>Geauga</v>
      </c>
      <c r="AO102" s="7" t="b">
        <f>C102='St of Activities - GA Exp'!C102</f>
        <v>1</v>
      </c>
    </row>
    <row r="103" spans="1:41">
      <c r="A103" s="12" t="s">
        <v>864</v>
      </c>
      <c r="B103" s="12"/>
      <c r="C103" s="12" t="s">
        <v>377</v>
      </c>
      <c r="D103" s="12"/>
      <c r="E103" s="12">
        <v>45294</v>
      </c>
      <c r="G103" s="7">
        <v>823805</v>
      </c>
      <c r="I103" s="7">
        <v>704663</v>
      </c>
      <c r="K103" s="2">
        <f t="shared" si="18"/>
        <v>2029367</v>
      </c>
      <c r="M103" s="7">
        <v>3557835</v>
      </c>
      <c r="O103" s="2">
        <f t="shared" si="13"/>
        <v>1538393</v>
      </c>
      <c r="Q103" s="7">
        <v>1900870</v>
      </c>
      <c r="S103" s="7">
        <v>3439263</v>
      </c>
      <c r="U103" s="7">
        <v>0</v>
      </c>
      <c r="W103" s="7">
        <v>704663</v>
      </c>
      <c r="Y103" s="7">
        <v>11000</v>
      </c>
      <c r="AA103" s="7">
        <v>0</v>
      </c>
      <c r="AC103" s="7">
        <v>-597091</v>
      </c>
      <c r="AE103" s="13">
        <f t="shared" si="14"/>
        <v>118572</v>
      </c>
      <c r="AG103" s="7">
        <f t="shared" si="15"/>
        <v>0</v>
      </c>
      <c r="AK103" s="7" t="str">
        <f t="shared" si="16"/>
        <v>Chesapeake Union Exempted Village SD</v>
      </c>
      <c r="AL103" s="7" t="str">
        <f>'St of Activities - GA Exp'!A103</f>
        <v>Chesapeake Union Exempted Village SD</v>
      </c>
      <c r="AM103" s="7" t="b">
        <f t="shared" si="17"/>
        <v>1</v>
      </c>
      <c r="AN103" s="7" t="str">
        <f t="shared" si="12"/>
        <v>Lawrence</v>
      </c>
      <c r="AO103" s="7" t="b">
        <f>C103='St of Activities - GA Exp'!C103</f>
        <v>1</v>
      </c>
    </row>
    <row r="104" spans="1:41">
      <c r="A104" s="12" t="s">
        <v>488</v>
      </c>
      <c r="B104" s="12"/>
      <c r="C104" s="12" t="s">
        <v>58</v>
      </c>
      <c r="D104" s="12"/>
      <c r="E104" s="12">
        <v>43745</v>
      </c>
      <c r="G104" s="7">
        <v>3157496</v>
      </c>
      <c r="I104" s="7">
        <v>492</v>
      </c>
      <c r="K104" s="2">
        <f t="shared" si="18"/>
        <v>10351548</v>
      </c>
      <c r="M104" s="7">
        <v>13509536</v>
      </c>
      <c r="O104" s="2">
        <f t="shared" si="13"/>
        <v>2662175</v>
      </c>
      <c r="Q104" s="7">
        <v>7882408</v>
      </c>
      <c r="S104" s="7">
        <v>10544583</v>
      </c>
      <c r="U104" s="7">
        <v>0</v>
      </c>
      <c r="W104" s="7">
        <v>492</v>
      </c>
      <c r="Y104" s="7">
        <f>60079+221652</f>
        <v>281731</v>
      </c>
      <c r="AA104" s="7">
        <f>31889+93570</f>
        <v>125459</v>
      </c>
      <c r="AC104" s="7">
        <v>2557271</v>
      </c>
      <c r="AE104" s="13">
        <f t="shared" si="14"/>
        <v>2964953</v>
      </c>
      <c r="AG104" s="7">
        <f t="shared" si="15"/>
        <v>0</v>
      </c>
      <c r="AK104" s="7" t="str">
        <f t="shared" si="16"/>
        <v>Chillicothe City SD</v>
      </c>
      <c r="AL104" s="7" t="str">
        <f>'St of Activities - GA Exp'!A104</f>
        <v>Chillicothe City SD</v>
      </c>
      <c r="AM104" s="7" t="b">
        <f t="shared" si="17"/>
        <v>1</v>
      </c>
      <c r="AN104" s="7" t="str">
        <f t="shared" si="12"/>
        <v>Ross</v>
      </c>
      <c r="AO104" s="7" t="b">
        <f>C104='St of Activities - GA Exp'!C104</f>
        <v>1</v>
      </c>
    </row>
    <row r="105" spans="1:41">
      <c r="A105" s="12" t="s">
        <v>568</v>
      </c>
      <c r="B105" s="12"/>
      <c r="C105" s="12" t="s">
        <v>71</v>
      </c>
      <c r="D105" s="12"/>
      <c r="E105" s="12">
        <v>50534</v>
      </c>
      <c r="G105" s="7">
        <v>5878164</v>
      </c>
      <c r="I105" s="7">
        <v>0</v>
      </c>
      <c r="K105" s="2">
        <f t="shared" si="18"/>
        <v>4048789</v>
      </c>
      <c r="M105" s="7">
        <v>9926953</v>
      </c>
      <c r="O105" s="2">
        <f t="shared" si="13"/>
        <v>1298675</v>
      </c>
      <c r="Q105" s="7">
        <f>65203+3068260</f>
        <v>3133463</v>
      </c>
      <c r="S105" s="7">
        <v>4432138</v>
      </c>
      <c r="U105" s="7">
        <v>25415</v>
      </c>
      <c r="W105" s="7">
        <v>0</v>
      </c>
      <c r="Y105" s="7">
        <v>0</v>
      </c>
      <c r="AA105" s="7">
        <f>15997+139532+62885+34769</f>
        <v>253183</v>
      </c>
      <c r="AC105" s="7">
        <v>5216217</v>
      </c>
      <c r="AE105" s="13">
        <f t="shared" si="14"/>
        <v>5494815</v>
      </c>
      <c r="AG105" s="7">
        <f t="shared" si="15"/>
        <v>0</v>
      </c>
      <c r="AK105" s="7" t="str">
        <f t="shared" si="16"/>
        <v>Chippewa Local SD</v>
      </c>
      <c r="AL105" s="7" t="str">
        <f>'St of Activities - GA Exp'!A105</f>
        <v>Chippewa Local SD</v>
      </c>
      <c r="AM105" s="7" t="b">
        <f t="shared" si="17"/>
        <v>1</v>
      </c>
      <c r="AN105" s="7" t="str">
        <f t="shared" si="12"/>
        <v>Wayne</v>
      </c>
      <c r="AO105" s="7" t="b">
        <f>C105='St of Activities - GA Exp'!C105</f>
        <v>1</v>
      </c>
    </row>
    <row r="106" spans="1:41">
      <c r="A106" s="12" t="s">
        <v>683</v>
      </c>
      <c r="B106" s="12"/>
      <c r="C106" s="12" t="s">
        <v>32</v>
      </c>
      <c r="D106" s="12"/>
      <c r="E106" s="12">
        <v>43752</v>
      </c>
      <c r="G106" s="7">
        <v>113505701</v>
      </c>
      <c r="I106" s="7">
        <v>12604372</v>
      </c>
      <c r="K106" s="2">
        <f t="shared" si="18"/>
        <v>319932439</v>
      </c>
      <c r="M106" s="7">
        <v>446042512</v>
      </c>
      <c r="O106" s="2">
        <f t="shared" si="13"/>
        <v>30565254</v>
      </c>
      <c r="Q106" s="7">
        <f>267414992+31115</f>
        <v>267446107</v>
      </c>
      <c r="S106" s="7">
        <v>298011361</v>
      </c>
      <c r="U106" s="7">
        <v>0</v>
      </c>
      <c r="W106" s="7">
        <v>0</v>
      </c>
      <c r="Y106" s="7">
        <v>0</v>
      </c>
      <c r="AA106" s="7">
        <v>11987019</v>
      </c>
      <c r="AC106" s="7">
        <v>136044132</v>
      </c>
      <c r="AE106" s="13">
        <f t="shared" si="14"/>
        <v>148031151</v>
      </c>
      <c r="AG106" s="7">
        <f t="shared" si="15"/>
        <v>0</v>
      </c>
      <c r="AK106" s="7" t="str">
        <f t="shared" si="16"/>
        <v>Cincinnati City SD/Cincinnati Public SD</v>
      </c>
      <c r="AL106" s="7" t="str">
        <f>'St of Activities - GA Exp'!A106</f>
        <v>Cincinnati City SD/Cincinnati Public SD</v>
      </c>
      <c r="AM106" s="7" t="b">
        <f t="shared" si="17"/>
        <v>1</v>
      </c>
      <c r="AN106" s="7" t="str">
        <f t="shared" si="12"/>
        <v>Hamilton</v>
      </c>
      <c r="AO106" s="7" t="b">
        <f>C106='St of Activities - GA Exp'!C106</f>
        <v>1</v>
      </c>
    </row>
    <row r="107" spans="1:41">
      <c r="A107" s="12" t="s">
        <v>467</v>
      </c>
      <c r="B107" s="12"/>
      <c r="C107" s="12" t="s">
        <v>54</v>
      </c>
      <c r="D107" s="12"/>
      <c r="E107" s="12">
        <v>43760</v>
      </c>
      <c r="G107" s="7">
        <v>13003042</v>
      </c>
      <c r="I107" s="7">
        <v>22253</v>
      </c>
      <c r="K107" s="2">
        <f t="shared" si="18"/>
        <v>10890975</v>
      </c>
      <c r="M107" s="7">
        <v>23916270</v>
      </c>
      <c r="O107" s="2">
        <f t="shared" si="13"/>
        <v>1122469</v>
      </c>
      <c r="Q107" s="7">
        <f>6262614+262957</f>
        <v>6525571</v>
      </c>
      <c r="S107" s="7">
        <v>7648040</v>
      </c>
      <c r="U107" s="7">
        <f>13000+24542</f>
        <v>37542</v>
      </c>
      <c r="W107" s="7">
        <v>22253</v>
      </c>
      <c r="Y107" s="7">
        <f>352122+51071</f>
        <v>403193</v>
      </c>
      <c r="AA107" s="7">
        <f>45498+348770</f>
        <v>394268</v>
      </c>
      <c r="AC107" s="7">
        <v>15410974</v>
      </c>
      <c r="AE107" s="13">
        <f t="shared" si="14"/>
        <v>16268230</v>
      </c>
      <c r="AG107" s="7">
        <f t="shared" si="15"/>
        <v>0</v>
      </c>
      <c r="AK107" s="7" t="str">
        <f t="shared" si="16"/>
        <v>Circleville City SD</v>
      </c>
      <c r="AL107" s="7" t="str">
        <f>'St of Activities - GA Exp'!A107</f>
        <v>Circleville City SD</v>
      </c>
      <c r="AM107" s="7" t="b">
        <f t="shared" si="17"/>
        <v>1</v>
      </c>
      <c r="AN107" s="7" t="str">
        <f t="shared" si="12"/>
        <v>Pickaway</v>
      </c>
      <c r="AO107" s="7" t="b">
        <f>C107='St of Activities - GA Exp'!C107</f>
        <v>1</v>
      </c>
    </row>
    <row r="108" spans="1:41">
      <c r="A108" s="12" t="s">
        <v>236</v>
      </c>
      <c r="B108" s="12"/>
      <c r="C108" s="12" t="s">
        <v>17</v>
      </c>
      <c r="D108" s="12"/>
      <c r="E108" s="12">
        <v>46284</v>
      </c>
      <c r="G108" s="7">
        <v>3402292</v>
      </c>
      <c r="I108" s="7">
        <v>15770</v>
      </c>
      <c r="K108" s="2">
        <f t="shared" si="18"/>
        <v>12058818</v>
      </c>
      <c r="M108" s="7">
        <v>15476880</v>
      </c>
      <c r="O108" s="2">
        <f t="shared" si="13"/>
        <v>2328837</v>
      </c>
      <c r="Q108" s="7">
        <v>9714426</v>
      </c>
      <c r="S108" s="7">
        <v>12043263</v>
      </c>
      <c r="U108" s="7">
        <v>44493</v>
      </c>
      <c r="W108" s="7">
        <v>15770</v>
      </c>
      <c r="Y108" s="7">
        <v>11000</v>
      </c>
      <c r="AA108" s="7">
        <v>1337679</v>
      </c>
      <c r="AC108" s="7">
        <v>2024675</v>
      </c>
      <c r="AE108" s="13">
        <f t="shared" si="14"/>
        <v>3433617</v>
      </c>
      <c r="AG108" s="7">
        <f t="shared" si="15"/>
        <v>0</v>
      </c>
      <c r="AK108" s="7" t="str">
        <f t="shared" si="16"/>
        <v>Clark-Shawnee Local SD</v>
      </c>
      <c r="AL108" s="7" t="str">
        <f>'St of Activities - GA Exp'!A108</f>
        <v>Clark-Shawnee Local SD</v>
      </c>
      <c r="AM108" s="7" t="b">
        <f t="shared" si="17"/>
        <v>1</v>
      </c>
      <c r="AN108" s="7" t="str">
        <f t="shared" si="12"/>
        <v>Clark</v>
      </c>
      <c r="AO108" s="7" t="b">
        <f>C108='St of Activities - GA Exp'!C108</f>
        <v>1</v>
      </c>
    </row>
    <row r="109" spans="1:41">
      <c r="A109" s="12" t="s">
        <v>495</v>
      </c>
      <c r="B109" s="12"/>
      <c r="C109" s="12" t="s">
        <v>59</v>
      </c>
      <c r="D109" s="12"/>
      <c r="E109" s="12">
        <v>49601</v>
      </c>
      <c r="G109" s="7">
        <v>632827</v>
      </c>
      <c r="I109" s="7">
        <v>10677</v>
      </c>
      <c r="K109" s="2">
        <f t="shared" si="18"/>
        <v>1100377</v>
      </c>
      <c r="M109" s="7">
        <v>1743881</v>
      </c>
      <c r="O109" s="2">
        <f t="shared" si="13"/>
        <v>515547</v>
      </c>
      <c r="Q109" s="7">
        <v>999092</v>
      </c>
      <c r="S109" s="7">
        <v>1514639</v>
      </c>
      <c r="U109" s="7">
        <v>13829</v>
      </c>
      <c r="W109" s="7">
        <v>10677</v>
      </c>
      <c r="Y109" s="7">
        <v>0</v>
      </c>
      <c r="AA109" s="7">
        <v>48034</v>
      </c>
      <c r="AC109" s="7">
        <v>156702</v>
      </c>
      <c r="AE109" s="13">
        <f t="shared" si="14"/>
        <v>229242</v>
      </c>
      <c r="AG109" s="7">
        <f t="shared" si="15"/>
        <v>0</v>
      </c>
      <c r="AK109" s="7" t="str">
        <f t="shared" si="16"/>
        <v>Clay Local SD</v>
      </c>
      <c r="AL109" s="7" t="str">
        <f>'St of Activities - GA Exp'!A109</f>
        <v>Clay Local SD</v>
      </c>
      <c r="AM109" s="7" t="b">
        <f t="shared" si="17"/>
        <v>1</v>
      </c>
      <c r="AN109" s="7" t="str">
        <f t="shared" si="12"/>
        <v>Scioto</v>
      </c>
      <c r="AO109" s="7" t="b">
        <f>C109='St of Activities - GA Exp'!C109</f>
        <v>1</v>
      </c>
    </row>
    <row r="110" spans="1:41">
      <c r="A110" s="12" t="s">
        <v>549</v>
      </c>
      <c r="B110" s="12"/>
      <c r="C110" s="12" t="s">
        <v>65</v>
      </c>
      <c r="D110" s="12"/>
      <c r="E110" s="12">
        <v>43778</v>
      </c>
      <c r="G110" s="7">
        <v>2916941</v>
      </c>
      <c r="I110" s="7">
        <v>173425</v>
      </c>
      <c r="K110" s="2">
        <f t="shared" si="18"/>
        <v>3656597</v>
      </c>
      <c r="M110" s="7">
        <v>6746963</v>
      </c>
      <c r="O110" s="2">
        <f t="shared" si="13"/>
        <v>2124946</v>
      </c>
      <c r="Q110" s="7">
        <f>523566+2665656</f>
        <v>3189222</v>
      </c>
      <c r="S110" s="7">
        <v>5314168</v>
      </c>
      <c r="U110" s="7">
        <v>28416</v>
      </c>
      <c r="W110" s="7">
        <v>173425</v>
      </c>
      <c r="Y110" s="7">
        <v>0</v>
      </c>
      <c r="AA110" s="7">
        <f>25887+287715+4449+63546+103</f>
        <v>381700</v>
      </c>
      <c r="AC110" s="7">
        <v>849254</v>
      </c>
      <c r="AE110" s="13">
        <f t="shared" si="14"/>
        <v>1432795</v>
      </c>
      <c r="AG110" s="7">
        <f t="shared" si="15"/>
        <v>0</v>
      </c>
      <c r="AK110" s="7" t="str">
        <f t="shared" si="16"/>
        <v>Claymont City SD</v>
      </c>
      <c r="AL110" s="7" t="str">
        <f>'St of Activities - GA Exp'!A110</f>
        <v>Claymont City SD</v>
      </c>
      <c r="AM110" s="7" t="b">
        <f t="shared" si="17"/>
        <v>1</v>
      </c>
      <c r="AN110" s="7" t="str">
        <f t="shared" si="12"/>
        <v>Tuscarawas</v>
      </c>
      <c r="AO110" s="7" t="b">
        <f>C110='St of Activities - GA Exp'!C110</f>
        <v>1</v>
      </c>
    </row>
    <row r="111" spans="1:41">
      <c r="A111" s="12" t="s">
        <v>483</v>
      </c>
      <c r="B111" s="12"/>
      <c r="C111" s="12" t="s">
        <v>110</v>
      </c>
      <c r="D111" s="12"/>
      <c r="E111" s="12">
        <v>49411</v>
      </c>
      <c r="G111" s="7">
        <f>6911059+862</f>
        <v>6911921</v>
      </c>
      <c r="I111" s="7">
        <v>0</v>
      </c>
      <c r="K111" s="2">
        <f t="shared" si="18"/>
        <v>3870990</v>
      </c>
      <c r="M111" s="7">
        <v>10782911</v>
      </c>
      <c r="O111" s="2">
        <f t="shared" si="13"/>
        <v>-857956</v>
      </c>
      <c r="Q111" s="7">
        <f>2531131+2468599</f>
        <v>4999730</v>
      </c>
      <c r="S111" s="7">
        <v>4141774</v>
      </c>
      <c r="U111" s="7">
        <f>23577+264489</f>
        <v>288066</v>
      </c>
      <c r="W111" s="7">
        <v>0</v>
      </c>
      <c r="Y111" s="7">
        <v>4400</v>
      </c>
      <c r="AA111" s="7">
        <f>3673+286+14471</f>
        <v>18430</v>
      </c>
      <c r="AC111" s="7">
        <v>6330241</v>
      </c>
      <c r="AE111" s="13">
        <f t="shared" si="14"/>
        <v>6641137</v>
      </c>
      <c r="AG111" s="7">
        <f t="shared" si="15"/>
        <v>0</v>
      </c>
      <c r="AK111" s="7" t="str">
        <f t="shared" si="16"/>
        <v>Clear Fork Valley Local SD</v>
      </c>
      <c r="AL111" s="7" t="str">
        <f>'St of Activities - GA Exp'!A111</f>
        <v>Clear Fork Valley Local SD</v>
      </c>
      <c r="AM111" s="7" t="b">
        <f t="shared" si="17"/>
        <v>1</v>
      </c>
      <c r="AN111" s="7" t="str">
        <f t="shared" si="12"/>
        <v>Richland</v>
      </c>
      <c r="AO111" s="7" t="b">
        <f>C111='St of Activities - GA Exp'!C111</f>
        <v>1</v>
      </c>
    </row>
    <row r="112" spans="1:41">
      <c r="A112" s="12" t="s">
        <v>394</v>
      </c>
      <c r="B112" s="12"/>
      <c r="C112" s="12" t="s">
        <v>44</v>
      </c>
      <c r="D112" s="12"/>
      <c r="E112" s="12">
        <v>48132</v>
      </c>
      <c r="G112" s="7">
        <v>918903</v>
      </c>
      <c r="I112" s="7">
        <v>396438</v>
      </c>
      <c r="K112" s="2">
        <f t="shared" si="18"/>
        <v>3529926</v>
      </c>
      <c r="M112" s="7">
        <v>4845267</v>
      </c>
      <c r="O112" s="2">
        <f t="shared" si="13"/>
        <v>1982883</v>
      </c>
      <c r="Q112" s="7">
        <v>3286552</v>
      </c>
      <c r="S112" s="7">
        <v>5269435</v>
      </c>
      <c r="U112" s="7">
        <v>0</v>
      </c>
      <c r="W112" s="7">
        <v>396438</v>
      </c>
      <c r="Y112" s="7">
        <v>0</v>
      </c>
      <c r="AA112" s="7">
        <v>169007</v>
      </c>
      <c r="AC112" s="7">
        <v>-989613</v>
      </c>
      <c r="AE112" s="13">
        <f t="shared" si="14"/>
        <v>-424168</v>
      </c>
      <c r="AG112" s="7">
        <f t="shared" si="15"/>
        <v>0</v>
      </c>
      <c r="AK112" s="7" t="str">
        <f t="shared" si="16"/>
        <v>Clearview Local SD</v>
      </c>
      <c r="AL112" s="7" t="str">
        <f>'St of Activities - GA Exp'!A112</f>
        <v>Clearview Local SD</v>
      </c>
      <c r="AM112" s="7" t="b">
        <f t="shared" si="17"/>
        <v>1</v>
      </c>
      <c r="AN112" s="7" t="str">
        <f t="shared" si="12"/>
        <v>Lorain</v>
      </c>
      <c r="AO112" s="7" t="b">
        <f>C112='St of Activities - GA Exp'!C112</f>
        <v>1</v>
      </c>
    </row>
    <row r="113" spans="1:41">
      <c r="A113" s="12" t="s">
        <v>684</v>
      </c>
      <c r="B113" s="12"/>
      <c r="C113" s="12" t="s">
        <v>113</v>
      </c>
      <c r="D113" s="12"/>
      <c r="E113" s="12"/>
      <c r="G113" s="7">
        <v>329672</v>
      </c>
      <c r="I113" s="7">
        <v>0</v>
      </c>
      <c r="K113" s="2">
        <f t="shared" si="18"/>
        <v>7458750</v>
      </c>
      <c r="M113" s="7">
        <v>7788422</v>
      </c>
      <c r="O113" s="2">
        <f t="shared" si="13"/>
        <v>1355022</v>
      </c>
      <c r="Q113" s="7">
        <v>4969774</v>
      </c>
      <c r="S113" s="7">
        <v>6324796</v>
      </c>
      <c r="U113" s="7">
        <v>0</v>
      </c>
      <c r="W113" s="7">
        <v>0</v>
      </c>
      <c r="Y113" s="7">
        <v>168422</v>
      </c>
      <c r="AA113" s="7">
        <v>979365</v>
      </c>
      <c r="AC113" s="7">
        <v>315839</v>
      </c>
      <c r="AE113" s="13">
        <f t="shared" si="14"/>
        <v>1463626</v>
      </c>
      <c r="AG113" s="7">
        <f t="shared" si="15"/>
        <v>0</v>
      </c>
      <c r="AK113" s="7" t="str">
        <f t="shared" si="16"/>
        <v>Clermont Northeastern Local SD</v>
      </c>
      <c r="AL113" s="7" t="str">
        <f>'St of Activities - GA Exp'!A113</f>
        <v>Clermont Northeastern Local SD</v>
      </c>
      <c r="AM113" s="7" t="b">
        <f t="shared" si="17"/>
        <v>1</v>
      </c>
      <c r="AN113" s="7" t="str">
        <f t="shared" si="12"/>
        <v>Clermont</v>
      </c>
      <c r="AO113" s="7" t="b">
        <f>C113='St of Activities - GA Exp'!C113</f>
        <v>1</v>
      </c>
    </row>
    <row r="114" spans="1:41">
      <c r="A114" s="12" t="s">
        <v>682</v>
      </c>
      <c r="B114" s="12"/>
      <c r="C114" s="12" t="s">
        <v>20</v>
      </c>
      <c r="D114" s="12"/>
      <c r="E114" s="12">
        <v>43794</v>
      </c>
      <c r="G114" s="7">
        <v>34160748</v>
      </c>
      <c r="I114" s="7">
        <v>2425675</v>
      </c>
      <c r="K114" s="2">
        <f t="shared" si="18"/>
        <v>77125714</v>
      </c>
      <c r="M114" s="7">
        <v>113712137</v>
      </c>
      <c r="O114" s="2">
        <f t="shared" si="13"/>
        <v>3360741</v>
      </c>
      <c r="Q114" s="7">
        <f>60363223-4590424</f>
        <v>55772799</v>
      </c>
      <c r="S114" s="7">
        <f>65935113-6801573</f>
        <v>59133540</v>
      </c>
      <c r="U114" s="7">
        <v>377185</v>
      </c>
      <c r="W114" s="7">
        <v>2425675</v>
      </c>
      <c r="Y114" s="7">
        <v>0</v>
      </c>
      <c r="AA114" s="7">
        <v>2045821</v>
      </c>
      <c r="AC114" s="7">
        <v>49729916</v>
      </c>
      <c r="AE114" s="13">
        <f t="shared" si="14"/>
        <v>54578597</v>
      </c>
      <c r="AG114" s="7">
        <f t="shared" si="15"/>
        <v>0</v>
      </c>
      <c r="AK114" s="7" t="str">
        <f t="shared" si="16"/>
        <v>Cleveland Heights-University Heights City SD</v>
      </c>
      <c r="AL114" s="7" t="str">
        <f>'St of Activities - GA Exp'!A114</f>
        <v>Cleveland Heights-University Heights City SD</v>
      </c>
      <c r="AM114" s="7" t="b">
        <f t="shared" si="17"/>
        <v>1</v>
      </c>
      <c r="AN114" s="7" t="str">
        <f t="shared" si="12"/>
        <v>Cuyahoga</v>
      </c>
      <c r="AO114" s="7" t="b">
        <f>C114='St of Activities - GA Exp'!C114</f>
        <v>1</v>
      </c>
    </row>
    <row r="115" spans="1:41">
      <c r="A115" s="12" t="s">
        <v>271</v>
      </c>
      <c r="B115" s="12"/>
      <c r="C115" s="12" t="s">
        <v>20</v>
      </c>
      <c r="D115" s="12"/>
      <c r="E115" s="12">
        <v>43786</v>
      </c>
      <c r="G115" s="7">
        <v>34955505</v>
      </c>
      <c r="I115" s="7">
        <v>0</v>
      </c>
      <c r="K115" s="2">
        <f t="shared" si="18"/>
        <v>259809661</v>
      </c>
      <c r="M115" s="7">
        <v>294765166</v>
      </c>
      <c r="O115" s="2">
        <f t="shared" si="13"/>
        <v>47500760</v>
      </c>
      <c r="Q115" s="7">
        <v>230577846</v>
      </c>
      <c r="S115" s="7">
        <v>278078606</v>
      </c>
      <c r="U115" s="7">
        <v>3691170</v>
      </c>
      <c r="W115" s="7">
        <v>-40964314</v>
      </c>
      <c r="Y115" s="7">
        <v>5608988</v>
      </c>
      <c r="AA115" s="7">
        <v>0</v>
      </c>
      <c r="AC115" s="7">
        <v>48350716</v>
      </c>
      <c r="AE115" s="13">
        <f t="shared" si="14"/>
        <v>16686560</v>
      </c>
      <c r="AG115" s="7">
        <f t="shared" si="15"/>
        <v>0</v>
      </c>
      <c r="AK115" s="7" t="str">
        <f t="shared" si="16"/>
        <v>Cleveland Municipal SD</v>
      </c>
      <c r="AL115" s="7" t="str">
        <f>'St of Activities - GA Exp'!A115</f>
        <v>Cleveland Municipal SD</v>
      </c>
      <c r="AM115" s="7" t="b">
        <f t="shared" si="17"/>
        <v>1</v>
      </c>
      <c r="AN115" s="7" t="str">
        <f t="shared" si="12"/>
        <v>Cuyahoga</v>
      </c>
      <c r="AO115" s="7" t="b">
        <f>C115='St of Activities - GA Exp'!C115</f>
        <v>1</v>
      </c>
    </row>
    <row r="116" spans="1:41">
      <c r="A116" s="12" t="s">
        <v>249</v>
      </c>
      <c r="B116" s="12"/>
      <c r="C116" s="12" t="s">
        <v>18</v>
      </c>
      <c r="D116" s="12"/>
      <c r="E116" s="12">
        <v>46391</v>
      </c>
      <c r="G116" s="7">
        <v>3404102</v>
      </c>
      <c r="I116" s="7">
        <v>0</v>
      </c>
      <c r="K116" s="2">
        <f t="shared" si="18"/>
        <v>4952247</v>
      </c>
      <c r="M116" s="7">
        <v>8356349</v>
      </c>
      <c r="O116" s="2">
        <f t="shared" si="13"/>
        <v>1660254</v>
      </c>
      <c r="Q116" s="7">
        <v>4519890</v>
      </c>
      <c r="S116" s="7">
        <v>6180144</v>
      </c>
      <c r="U116" s="7">
        <v>0</v>
      </c>
      <c r="W116" s="7">
        <v>0</v>
      </c>
      <c r="Y116" s="7">
        <v>0</v>
      </c>
      <c r="AA116" s="7">
        <v>110472</v>
      </c>
      <c r="AC116" s="7">
        <v>2065733</v>
      </c>
      <c r="AE116" s="13">
        <f t="shared" si="14"/>
        <v>2176205</v>
      </c>
      <c r="AG116" s="7">
        <f t="shared" si="15"/>
        <v>0</v>
      </c>
      <c r="AK116" s="7" t="str">
        <f t="shared" si="16"/>
        <v>Clinton-Massie Local SD</v>
      </c>
      <c r="AL116" s="7" t="str">
        <f>'St of Activities - GA Exp'!A116</f>
        <v>Clinton-Massie Local SD</v>
      </c>
      <c r="AM116" s="7" t="b">
        <f t="shared" si="17"/>
        <v>1</v>
      </c>
      <c r="AN116" s="7" t="str">
        <f t="shared" si="12"/>
        <v>Clinton</v>
      </c>
      <c r="AO116" s="7" t="b">
        <f>C116='St of Activities - GA Exp'!C116</f>
        <v>1</v>
      </c>
    </row>
    <row r="117" spans="1:41">
      <c r="A117" s="12" t="s">
        <v>429</v>
      </c>
      <c r="B117" s="12"/>
      <c r="C117" s="12" t="s">
        <v>47</v>
      </c>
      <c r="D117" s="12"/>
      <c r="E117" s="12">
        <v>48488</v>
      </c>
      <c r="G117" s="7">
        <v>1403925</v>
      </c>
      <c r="I117" s="7">
        <v>0</v>
      </c>
      <c r="K117" s="2">
        <f t="shared" si="18"/>
        <v>13079423</v>
      </c>
      <c r="M117" s="7">
        <v>14483348</v>
      </c>
      <c r="O117" s="2">
        <f t="shared" si="13"/>
        <v>3712513</v>
      </c>
      <c r="Q117" s="7">
        <v>10984703</v>
      </c>
      <c r="S117" s="7">
        <v>14697216</v>
      </c>
      <c r="U117" s="7">
        <v>0</v>
      </c>
      <c r="W117" s="7">
        <v>0</v>
      </c>
      <c r="Y117" s="7">
        <v>167451</v>
      </c>
      <c r="AA117" s="7">
        <v>0</v>
      </c>
      <c r="AC117" s="7">
        <v>-381319</v>
      </c>
      <c r="AE117" s="13">
        <f t="shared" si="14"/>
        <v>-213868</v>
      </c>
      <c r="AG117" s="7">
        <f t="shared" si="15"/>
        <v>0</v>
      </c>
      <c r="AK117" s="7" t="str">
        <f t="shared" si="16"/>
        <v>Cloverleaf Local SD</v>
      </c>
      <c r="AL117" s="7" t="str">
        <f>'St of Activities - GA Exp'!A117</f>
        <v>Cloverleaf Local SD</v>
      </c>
      <c r="AM117" s="7" t="b">
        <f t="shared" si="17"/>
        <v>1</v>
      </c>
      <c r="AN117" s="7" t="str">
        <f t="shared" si="12"/>
        <v>Medina</v>
      </c>
      <c r="AO117" s="7" t="b">
        <f>C117='St of Activities - GA Exp'!C117</f>
        <v>1</v>
      </c>
    </row>
    <row r="118" spans="1:41">
      <c r="A118" s="12" t="s">
        <v>865</v>
      </c>
      <c r="B118" s="12"/>
      <c r="C118" s="12" t="s">
        <v>79</v>
      </c>
      <c r="D118" s="12"/>
      <c r="E118" s="12">
        <v>45302</v>
      </c>
      <c r="G118" s="7">
        <v>2296309</v>
      </c>
      <c r="I118" s="7">
        <v>0</v>
      </c>
      <c r="K118" s="2">
        <f t="shared" si="18"/>
        <v>7126926</v>
      </c>
      <c r="M118" s="7">
        <v>9423235</v>
      </c>
      <c r="O118" s="2">
        <f t="shared" si="13"/>
        <v>2227024</v>
      </c>
      <c r="Q118" s="7">
        <f>468915+4403016</f>
        <v>4871931</v>
      </c>
      <c r="S118" s="7">
        <v>7098955</v>
      </c>
      <c r="U118" s="7">
        <f>15063+31181</f>
        <v>46244</v>
      </c>
      <c r="W118" s="7">
        <v>972375</v>
      </c>
      <c r="Y118" s="7">
        <v>0</v>
      </c>
      <c r="AA118" s="7">
        <f>30856+21970+13393</f>
        <v>66219</v>
      </c>
      <c r="AC118" s="7">
        <v>1239442</v>
      </c>
      <c r="AE118" s="13">
        <f t="shared" si="14"/>
        <v>2324280</v>
      </c>
      <c r="AG118" s="7">
        <f t="shared" si="15"/>
        <v>0</v>
      </c>
      <c r="AK118" s="7" t="str">
        <f t="shared" si="16"/>
        <v>Clyde-Green Springs Exempted Village SD</v>
      </c>
      <c r="AL118" s="7" t="str">
        <f>'St of Activities - GA Exp'!A118</f>
        <v>Clyde-Green Springs Exempted Village SD</v>
      </c>
      <c r="AM118" s="7" t="b">
        <f t="shared" si="17"/>
        <v>1</v>
      </c>
      <c r="AN118" s="7" t="str">
        <f t="shared" si="12"/>
        <v>Sandusky</v>
      </c>
      <c r="AO118" s="7" t="b">
        <f>C118='St of Activities - GA Exp'!C118</f>
        <v>1</v>
      </c>
    </row>
    <row r="119" spans="1:41" hidden="1">
      <c r="A119" s="12" t="s">
        <v>685</v>
      </c>
      <c r="B119" s="12"/>
      <c r="C119" s="12" t="s">
        <v>435</v>
      </c>
      <c r="D119" s="12"/>
      <c r="E119" s="12"/>
      <c r="K119" s="2">
        <f t="shared" si="18"/>
        <v>0</v>
      </c>
      <c r="O119" s="2">
        <f t="shared" si="13"/>
        <v>0</v>
      </c>
      <c r="AE119" s="13">
        <f t="shared" si="14"/>
        <v>0</v>
      </c>
      <c r="AG119" s="7">
        <f t="shared" si="15"/>
        <v>0</v>
      </c>
      <c r="AI119" s="7" t="s">
        <v>778</v>
      </c>
      <c r="AK119" s="7" t="str">
        <f t="shared" si="16"/>
        <v>Coldwater Exempted Village SD (CASH)</v>
      </c>
      <c r="AL119" s="7" t="str">
        <f>'St of Activities - GA Exp'!A119</f>
        <v>Coldwater Exempted Village SD (CASH)</v>
      </c>
      <c r="AM119" s="7" t="b">
        <f t="shared" si="17"/>
        <v>1</v>
      </c>
      <c r="AN119" s="7" t="str">
        <f t="shared" si="12"/>
        <v>Mercer</v>
      </c>
      <c r="AO119" s="7" t="b">
        <f>C119='St of Activities - GA Exp'!C119</f>
        <v>1</v>
      </c>
    </row>
    <row r="120" spans="1:41" hidden="1">
      <c r="A120" s="12" t="s">
        <v>636</v>
      </c>
      <c r="B120" s="12"/>
      <c r="C120" s="12" t="s">
        <v>57</v>
      </c>
      <c r="D120" s="12"/>
      <c r="E120" s="12">
        <v>64964</v>
      </c>
      <c r="K120" s="2">
        <f t="shared" si="18"/>
        <v>0</v>
      </c>
      <c r="O120" s="2">
        <f t="shared" si="13"/>
        <v>0</v>
      </c>
      <c r="AE120" s="13">
        <f t="shared" si="14"/>
        <v>0</v>
      </c>
      <c r="AG120" s="7">
        <f t="shared" si="15"/>
        <v>0</v>
      </c>
      <c r="AI120" s="7" t="s">
        <v>778</v>
      </c>
      <c r="AK120" s="7" t="str">
        <f t="shared" si="16"/>
        <v>College Corner Local SD (CASH)</v>
      </c>
      <c r="AL120" s="7" t="str">
        <f>'St of Activities - GA Exp'!A120</f>
        <v>College Corner Local SD (CASH)</v>
      </c>
      <c r="AM120" s="7" t="b">
        <f t="shared" si="17"/>
        <v>1</v>
      </c>
      <c r="AN120" s="7" t="str">
        <f t="shared" si="12"/>
        <v>Preble</v>
      </c>
      <c r="AO120" s="7" t="b">
        <f>C120='St of Activities - GA Exp'!C120</f>
        <v>1</v>
      </c>
    </row>
    <row r="121" spans="1:41">
      <c r="A121" s="12" t="s">
        <v>264</v>
      </c>
      <c r="B121" s="12"/>
      <c r="C121" s="12" t="s">
        <v>111</v>
      </c>
      <c r="D121" s="12"/>
      <c r="E121" s="12">
        <v>46516</v>
      </c>
      <c r="G121" s="7">
        <v>1381371</v>
      </c>
      <c r="I121" s="7">
        <v>42629</v>
      </c>
      <c r="K121" s="2">
        <f t="shared" si="18"/>
        <v>2814677</v>
      </c>
      <c r="M121" s="7">
        <v>4238677</v>
      </c>
      <c r="O121" s="2">
        <f t="shared" si="13"/>
        <v>1109620</v>
      </c>
      <c r="Q121" s="7">
        <f>1153811+113693</f>
        <v>1267504</v>
      </c>
      <c r="S121" s="7">
        <v>2377124</v>
      </c>
      <c r="U121" s="7">
        <v>15232</v>
      </c>
      <c r="W121" s="7">
        <v>42629</v>
      </c>
      <c r="Y121" s="7">
        <v>153014</v>
      </c>
      <c r="AA121" s="7">
        <f>4411+31237+1978</f>
        <v>37626</v>
      </c>
      <c r="AC121" s="7">
        <v>1613052</v>
      </c>
      <c r="AE121" s="13">
        <f t="shared" si="14"/>
        <v>1861553</v>
      </c>
      <c r="AG121" s="7">
        <f t="shared" si="15"/>
        <v>0</v>
      </c>
      <c r="AK121" s="7" t="str">
        <f t="shared" si="16"/>
        <v>Colonel Crawford Local SD</v>
      </c>
      <c r="AL121" s="7" t="str">
        <f>'St of Activities - GA Exp'!A121</f>
        <v>Colonel Crawford Local SD</v>
      </c>
      <c r="AM121" s="7" t="b">
        <f t="shared" si="17"/>
        <v>1</v>
      </c>
      <c r="AN121" s="7" t="str">
        <f t="shared" si="12"/>
        <v>Crawford</v>
      </c>
      <c r="AO121" s="7" t="b">
        <f>C121='St of Activities - GA Exp'!C121</f>
        <v>1</v>
      </c>
    </row>
    <row r="122" spans="1:41">
      <c r="A122" s="12" t="s">
        <v>395</v>
      </c>
      <c r="B122" s="12"/>
      <c r="C122" s="12" t="s">
        <v>44</v>
      </c>
      <c r="D122" s="12"/>
      <c r="E122" s="12">
        <v>48140</v>
      </c>
      <c r="G122" s="7">
        <v>1426175</v>
      </c>
      <c r="I122" s="7">
        <v>0</v>
      </c>
      <c r="K122" s="2">
        <f t="shared" si="18"/>
        <v>5773225</v>
      </c>
      <c r="M122" s="7">
        <v>7199400</v>
      </c>
      <c r="O122" s="2">
        <f t="shared" si="13"/>
        <v>1349940</v>
      </c>
      <c r="Q122" s="7">
        <f>22676+5222808</f>
        <v>5245484</v>
      </c>
      <c r="S122" s="7">
        <v>6595424</v>
      </c>
      <c r="U122" s="7">
        <v>0</v>
      </c>
      <c r="W122" s="7">
        <v>0</v>
      </c>
      <c r="Y122" s="7">
        <v>11000</v>
      </c>
      <c r="AA122" s="7">
        <f>26790+42857+509+31028+3187</f>
        <v>104371</v>
      </c>
      <c r="AC122" s="7">
        <v>488605</v>
      </c>
      <c r="AE122" s="13">
        <f t="shared" si="14"/>
        <v>603976</v>
      </c>
      <c r="AG122" s="7">
        <f t="shared" si="15"/>
        <v>0</v>
      </c>
      <c r="AK122" s="7" t="str">
        <f t="shared" si="16"/>
        <v>Columbia Local SD</v>
      </c>
      <c r="AL122" s="7" t="str">
        <f>'St of Activities - GA Exp'!A122</f>
        <v>Columbia Local SD</v>
      </c>
      <c r="AM122" s="7" t="b">
        <f t="shared" si="17"/>
        <v>1</v>
      </c>
      <c r="AN122" s="7" t="str">
        <f t="shared" si="12"/>
        <v>Lorain</v>
      </c>
      <c r="AO122" s="7" t="b">
        <f>C122='St of Activities - GA Exp'!C122</f>
        <v>1</v>
      </c>
    </row>
    <row r="123" spans="1:41">
      <c r="A123" s="12" t="s">
        <v>866</v>
      </c>
      <c r="B123" s="12"/>
      <c r="C123" s="12" t="s">
        <v>112</v>
      </c>
      <c r="D123" s="12"/>
      <c r="E123" s="12">
        <v>45328</v>
      </c>
      <c r="G123" s="7">
        <v>2014957</v>
      </c>
      <c r="I123" s="7">
        <v>0</v>
      </c>
      <c r="K123" s="2">
        <f t="shared" si="18"/>
        <v>4636112</v>
      </c>
      <c r="M123" s="7">
        <v>6651069</v>
      </c>
      <c r="O123" s="2">
        <f t="shared" si="13"/>
        <v>961715</v>
      </c>
      <c r="Q123" s="7">
        <v>3964059</v>
      </c>
      <c r="S123" s="7">
        <v>4925774</v>
      </c>
      <c r="U123" s="7">
        <v>0</v>
      </c>
      <c r="W123" s="7">
        <v>0</v>
      </c>
      <c r="Y123" s="7">
        <v>0</v>
      </c>
      <c r="AA123" s="7">
        <v>53921</v>
      </c>
      <c r="AC123" s="7">
        <v>1671374</v>
      </c>
      <c r="AE123" s="13">
        <f t="shared" si="14"/>
        <v>1725295</v>
      </c>
      <c r="AG123" s="7">
        <f t="shared" si="15"/>
        <v>0</v>
      </c>
      <c r="AK123" s="7" t="str">
        <f t="shared" si="16"/>
        <v>Columbiana Exempted Village SD</v>
      </c>
      <c r="AL123" s="7" t="str">
        <f>'St of Activities - GA Exp'!A123</f>
        <v>Columbiana Exempted Village SD</v>
      </c>
      <c r="AM123" s="7" t="b">
        <f t="shared" si="17"/>
        <v>1</v>
      </c>
      <c r="AN123" s="7" t="str">
        <f t="shared" si="12"/>
        <v>Columbiana</v>
      </c>
      <c r="AO123" s="7" t="b">
        <f>C123='St of Activities - GA Exp'!C123</f>
        <v>1</v>
      </c>
    </row>
    <row r="124" spans="1:41">
      <c r="A124" s="12" t="s">
        <v>307</v>
      </c>
      <c r="B124" s="12"/>
      <c r="C124" s="12" t="s">
        <v>27</v>
      </c>
      <c r="D124" s="12"/>
      <c r="E124" s="12">
        <v>43802</v>
      </c>
      <c r="G124" s="7">
        <v>233461302</v>
      </c>
      <c r="I124" s="7">
        <v>0</v>
      </c>
      <c r="K124" s="2">
        <f t="shared" si="18"/>
        <v>405895850</v>
      </c>
      <c r="M124" s="7">
        <v>639357152</v>
      </c>
      <c r="O124" s="2">
        <f t="shared" si="13"/>
        <v>81591309</v>
      </c>
      <c r="Q124" s="7">
        <v>310989674</v>
      </c>
      <c r="S124" s="7">
        <v>392580983</v>
      </c>
      <c r="U124" s="7">
        <v>279960</v>
      </c>
      <c r="W124" s="7">
        <v>0</v>
      </c>
      <c r="Y124" s="7">
        <v>800651</v>
      </c>
      <c r="AA124" s="7">
        <v>7265292</v>
      </c>
      <c r="AC124" s="7">
        <v>238430266</v>
      </c>
      <c r="AE124" s="13">
        <f t="shared" si="14"/>
        <v>246776169</v>
      </c>
      <c r="AG124" s="7">
        <f t="shared" si="15"/>
        <v>0</v>
      </c>
      <c r="AK124" s="7" t="str">
        <f t="shared" si="16"/>
        <v>Columbus City SD</v>
      </c>
      <c r="AL124" s="7" t="str">
        <f>'St of Activities - GA Exp'!A124</f>
        <v>Columbus City SD</v>
      </c>
      <c r="AM124" s="7" t="b">
        <f t="shared" si="17"/>
        <v>1</v>
      </c>
      <c r="AN124" s="7" t="str">
        <f t="shared" si="12"/>
        <v>Franklin</v>
      </c>
      <c r="AO124" s="7" t="b">
        <f>C124='St of Activities - GA Exp'!C124</f>
        <v>1</v>
      </c>
    </row>
    <row r="125" spans="1:41" hidden="1">
      <c r="A125" s="12" t="s">
        <v>637</v>
      </c>
      <c r="B125" s="12"/>
      <c r="C125" s="12" t="s">
        <v>482</v>
      </c>
      <c r="D125" s="12"/>
      <c r="E125" s="12">
        <v>49312</v>
      </c>
      <c r="K125" s="2">
        <f t="shared" si="18"/>
        <v>0</v>
      </c>
      <c r="O125" s="2">
        <f t="shared" si="13"/>
        <v>0</v>
      </c>
      <c r="AE125" s="13">
        <f t="shared" si="14"/>
        <v>0</v>
      </c>
      <c r="AG125" s="7">
        <f t="shared" si="15"/>
        <v>0</v>
      </c>
      <c r="AI125" s="7" t="s">
        <v>778</v>
      </c>
      <c r="AK125" s="7" t="str">
        <f t="shared" si="16"/>
        <v>Columbus Grove Local SD (CASH)</v>
      </c>
      <c r="AL125" s="7" t="str">
        <f>'St of Activities - GA Exp'!A125</f>
        <v>Columbus Grove Local SD (CASH)</v>
      </c>
      <c r="AM125" s="7" t="b">
        <f t="shared" si="17"/>
        <v>1</v>
      </c>
      <c r="AN125" s="7" t="str">
        <f t="shared" si="12"/>
        <v>Putnam</v>
      </c>
      <c r="AO125" s="7" t="b">
        <f>C125='St of Activities - GA Exp'!C125</f>
        <v>1</v>
      </c>
    </row>
    <row r="126" spans="1:41">
      <c r="A126" s="12" t="s">
        <v>208</v>
      </c>
      <c r="B126" s="12"/>
      <c r="C126" s="12" t="s">
        <v>12</v>
      </c>
      <c r="D126" s="12"/>
      <c r="E126" s="12">
        <v>43810</v>
      </c>
      <c r="G126" s="7">
        <v>3672577</v>
      </c>
      <c r="I126" s="7">
        <v>799810</v>
      </c>
      <c r="K126" s="2">
        <f t="shared" si="18"/>
        <v>3569380</v>
      </c>
      <c r="M126" s="7">
        <v>8041767</v>
      </c>
      <c r="O126" s="2">
        <f t="shared" si="13"/>
        <v>2070272</v>
      </c>
      <c r="Q126" s="7">
        <v>1946478</v>
      </c>
      <c r="S126" s="7">
        <v>4016750</v>
      </c>
      <c r="U126" s="7">
        <v>46487</v>
      </c>
      <c r="W126" s="7">
        <v>799810</v>
      </c>
      <c r="Y126" s="7">
        <v>0</v>
      </c>
      <c r="AA126" s="7">
        <v>2502952</v>
      </c>
      <c r="AC126" s="7">
        <v>675768</v>
      </c>
      <c r="AE126" s="13">
        <f t="shared" si="14"/>
        <v>4025017</v>
      </c>
      <c r="AG126" s="7">
        <f t="shared" si="15"/>
        <v>0</v>
      </c>
      <c r="AK126" s="7" t="str">
        <f t="shared" si="16"/>
        <v>Conneaut Area City SD</v>
      </c>
      <c r="AL126" s="7" t="str">
        <f>'St of Activities - GA Exp'!A126</f>
        <v>Conneaut Area City SD</v>
      </c>
      <c r="AM126" s="7" t="b">
        <f t="shared" si="17"/>
        <v>1</v>
      </c>
      <c r="AN126" s="7" t="str">
        <f t="shared" si="12"/>
        <v>Ashtabula</v>
      </c>
      <c r="AO126" s="7" t="b">
        <f>C126='St of Activities - GA Exp'!C126</f>
        <v>1</v>
      </c>
    </row>
    <row r="127" spans="1:41">
      <c r="A127" s="12" t="s">
        <v>351</v>
      </c>
      <c r="B127" s="12"/>
      <c r="C127" s="12" t="s">
        <v>352</v>
      </c>
      <c r="D127" s="12"/>
      <c r="E127" s="12">
        <v>47548</v>
      </c>
      <c r="G127" s="7">
        <v>737087</v>
      </c>
      <c r="I127" s="7">
        <v>163128</v>
      </c>
      <c r="K127" s="2">
        <f t="shared" si="18"/>
        <v>2198401</v>
      </c>
      <c r="M127" s="7">
        <v>3098616</v>
      </c>
      <c r="O127" s="2">
        <f t="shared" si="13"/>
        <v>471605</v>
      </c>
      <c r="Q127" s="7">
        <f>140634+1695116</f>
        <v>1835750</v>
      </c>
      <c r="S127" s="7">
        <v>2307355</v>
      </c>
      <c r="U127" s="7">
        <v>27767</v>
      </c>
      <c r="W127" s="7">
        <f>872+163128</f>
        <v>164000</v>
      </c>
      <c r="Y127" s="7">
        <v>0</v>
      </c>
      <c r="AA127" s="7">
        <f>2359+3859</f>
        <v>6218</v>
      </c>
      <c r="AC127" s="7">
        <v>593276</v>
      </c>
      <c r="AE127" s="13">
        <f t="shared" si="14"/>
        <v>791261</v>
      </c>
      <c r="AG127" s="7">
        <f t="shared" si="15"/>
        <v>0</v>
      </c>
      <c r="AK127" s="7" t="str">
        <f t="shared" si="16"/>
        <v>Conotton Valley Union Local SD</v>
      </c>
      <c r="AL127" s="7" t="str">
        <f>'St of Activities - GA Exp'!A127</f>
        <v>Conotton Valley Union Local SD</v>
      </c>
      <c r="AM127" s="7" t="b">
        <f t="shared" si="17"/>
        <v>1</v>
      </c>
      <c r="AN127" s="7" t="str">
        <f t="shared" si="12"/>
        <v>Harrison</v>
      </c>
      <c r="AO127" s="7" t="b">
        <f>C127='St of Activities - GA Exp'!C127</f>
        <v>1</v>
      </c>
    </row>
    <row r="128" spans="1:41" hidden="1">
      <c r="A128" s="12" t="s">
        <v>709</v>
      </c>
      <c r="B128" s="12"/>
      <c r="C128" s="12" t="s">
        <v>482</v>
      </c>
      <c r="D128" s="12"/>
      <c r="E128" s="12">
        <v>49320</v>
      </c>
      <c r="K128" s="2">
        <f t="shared" si="18"/>
        <v>0</v>
      </c>
      <c r="O128" s="2">
        <f t="shared" si="13"/>
        <v>0</v>
      </c>
      <c r="AE128" s="13">
        <f t="shared" si="14"/>
        <v>0</v>
      </c>
      <c r="AG128" s="7">
        <f t="shared" si="15"/>
        <v>0</v>
      </c>
      <c r="AI128" s="7" t="s">
        <v>778</v>
      </c>
      <c r="AK128" s="7" t="str">
        <f t="shared" si="16"/>
        <v>Continental Local SD (CASH) Two year Audit</v>
      </c>
      <c r="AL128" s="7" t="str">
        <f>'St of Activities - GA Exp'!A128</f>
        <v>Continental Local SD (CASH) Two year Audit</v>
      </c>
      <c r="AM128" s="7" t="b">
        <f t="shared" si="17"/>
        <v>1</v>
      </c>
      <c r="AN128" s="7" t="str">
        <f t="shared" si="12"/>
        <v>Putnam</v>
      </c>
      <c r="AO128" s="7" t="b">
        <f>C128='St of Activities - GA Exp'!C128</f>
        <v>1</v>
      </c>
    </row>
    <row r="129" spans="1:41">
      <c r="A129" s="12" t="s">
        <v>524</v>
      </c>
      <c r="B129" s="12"/>
      <c r="C129" s="12" t="s">
        <v>63</v>
      </c>
      <c r="D129" s="12"/>
      <c r="E129" s="12">
        <v>49981</v>
      </c>
      <c r="G129" s="7">
        <v>7760422</v>
      </c>
      <c r="I129" s="7">
        <v>0</v>
      </c>
      <c r="K129" s="2">
        <f t="shared" si="18"/>
        <v>28692702</v>
      </c>
      <c r="M129" s="7">
        <v>36453124</v>
      </c>
      <c r="O129" s="2">
        <f t="shared" si="13"/>
        <v>3453684</v>
      </c>
      <c r="Q129" s="7">
        <v>24983053</v>
      </c>
      <c r="S129" s="7">
        <v>28436737</v>
      </c>
      <c r="U129" s="7">
        <v>86966</v>
      </c>
      <c r="W129" s="7">
        <v>0</v>
      </c>
      <c r="Y129" s="7">
        <v>0</v>
      </c>
      <c r="AA129" s="7">
        <v>1278600</v>
      </c>
      <c r="AC129" s="7">
        <v>6650821</v>
      </c>
      <c r="AE129" s="13">
        <f t="shared" si="14"/>
        <v>8016387</v>
      </c>
      <c r="AG129" s="7">
        <f t="shared" si="15"/>
        <v>0</v>
      </c>
      <c r="AK129" s="7" t="str">
        <f t="shared" si="16"/>
        <v>Copley-Fairlawn City SD</v>
      </c>
      <c r="AL129" s="7" t="str">
        <f>'St of Activities - GA Exp'!A129</f>
        <v>Copley-Fairlawn City SD</v>
      </c>
      <c r="AM129" s="7" t="b">
        <f t="shared" si="17"/>
        <v>1</v>
      </c>
      <c r="AN129" s="7" t="str">
        <f t="shared" si="12"/>
        <v>Summit</v>
      </c>
      <c r="AO129" s="7" t="b">
        <f>C129='St of Activities - GA Exp'!C129</f>
        <v>1</v>
      </c>
    </row>
    <row r="130" spans="1:41">
      <c r="A130" s="12" t="s">
        <v>345</v>
      </c>
      <c r="B130" s="12"/>
      <c r="C130" s="12" t="s">
        <v>33</v>
      </c>
      <c r="D130" s="12"/>
      <c r="E130" s="12">
        <v>47431</v>
      </c>
      <c r="G130" s="7">
        <v>331001</v>
      </c>
      <c r="I130" s="7">
        <v>5370</v>
      </c>
      <c r="K130" s="2">
        <f t="shared" si="18"/>
        <v>2264970</v>
      </c>
      <c r="M130" s="7">
        <v>2601341</v>
      </c>
      <c r="O130" s="2">
        <f t="shared" si="13"/>
        <v>876321</v>
      </c>
      <c r="Q130" s="7">
        <v>1637753</v>
      </c>
      <c r="S130" s="7">
        <v>2514074</v>
      </c>
      <c r="U130" s="7">
        <v>1774</v>
      </c>
      <c r="W130" s="7">
        <v>5370</v>
      </c>
      <c r="Y130" s="7">
        <v>0</v>
      </c>
      <c r="AA130" s="7">
        <v>37932</v>
      </c>
      <c r="AC130" s="7">
        <v>42191</v>
      </c>
      <c r="AE130" s="13">
        <f t="shared" si="14"/>
        <v>87267</v>
      </c>
      <c r="AG130" s="7">
        <f t="shared" si="15"/>
        <v>0</v>
      </c>
      <c r="AK130" s="7" t="str">
        <f t="shared" si="16"/>
        <v>Cory-Rawson Local SD</v>
      </c>
      <c r="AL130" s="7" t="str">
        <f>'St of Activities - GA Exp'!A130</f>
        <v>Cory-Rawson Local SD</v>
      </c>
      <c r="AM130" s="7" t="b">
        <f t="shared" si="17"/>
        <v>1</v>
      </c>
      <c r="AN130" s="7" t="str">
        <f t="shared" si="12"/>
        <v>Hancock</v>
      </c>
      <c r="AO130" s="7" t="b">
        <f>C130='St of Activities - GA Exp'!C130</f>
        <v>1</v>
      </c>
    </row>
    <row r="131" spans="1:41">
      <c r="A131" s="12" t="s">
        <v>259</v>
      </c>
      <c r="B131" s="12"/>
      <c r="C131" s="12" t="s">
        <v>19</v>
      </c>
      <c r="D131" s="12"/>
      <c r="E131" s="12">
        <v>43828</v>
      </c>
      <c r="G131" s="7">
        <v>1190946</v>
      </c>
      <c r="I131" s="7">
        <v>836502</v>
      </c>
      <c r="K131" s="2">
        <f t="shared" si="18"/>
        <v>5284983</v>
      </c>
      <c r="M131" s="7">
        <v>7312431</v>
      </c>
      <c r="O131" s="2">
        <f t="shared" si="13"/>
        <v>1695148</v>
      </c>
      <c r="Q131" s="7">
        <v>4970821</v>
      </c>
      <c r="S131" s="7">
        <v>6665969</v>
      </c>
      <c r="U131" s="7">
        <v>5588</v>
      </c>
      <c r="W131" s="7">
        <v>836502</v>
      </c>
      <c r="Y131" s="7">
        <v>0</v>
      </c>
      <c r="AA131" s="7">
        <v>250883</v>
      </c>
      <c r="AC131" s="7">
        <v>-446511</v>
      </c>
      <c r="AE131" s="13">
        <f t="shared" si="14"/>
        <v>646462</v>
      </c>
      <c r="AG131" s="7">
        <f t="shared" si="15"/>
        <v>0</v>
      </c>
      <c r="AK131" s="7" t="str">
        <f t="shared" si="16"/>
        <v>Coshocton City SD</v>
      </c>
      <c r="AL131" s="7" t="str">
        <f>'St of Activities - GA Exp'!A131</f>
        <v>Coshocton City SD</v>
      </c>
      <c r="AM131" s="7" t="b">
        <f t="shared" si="17"/>
        <v>1</v>
      </c>
      <c r="AN131" s="7" t="str">
        <f t="shared" si="12"/>
        <v>Coshocton</v>
      </c>
      <c r="AO131" s="7" t="b">
        <f>C131='St of Activities - GA Exp'!C131</f>
        <v>1</v>
      </c>
    </row>
    <row r="132" spans="1:41">
      <c r="A132" s="12" t="s">
        <v>629</v>
      </c>
      <c r="B132" s="12"/>
      <c r="C132" s="12" t="s">
        <v>63</v>
      </c>
      <c r="D132" s="12"/>
      <c r="E132" s="12"/>
      <c r="G132" s="7">
        <v>130966</v>
      </c>
      <c r="I132" s="7">
        <v>3344</v>
      </c>
      <c r="K132" s="2">
        <f t="shared" si="18"/>
        <v>10045912</v>
      </c>
      <c r="M132" s="7">
        <v>10180222</v>
      </c>
      <c r="O132" s="2">
        <f t="shared" si="13"/>
        <v>4905418</v>
      </c>
      <c r="Q132" s="7">
        <v>8527905</v>
      </c>
      <c r="S132" s="7">
        <v>13433323</v>
      </c>
      <c r="U132" s="7">
        <v>0</v>
      </c>
      <c r="W132" s="7">
        <v>3344</v>
      </c>
      <c r="Y132" s="7">
        <v>0</v>
      </c>
      <c r="AA132" s="7">
        <v>0</v>
      </c>
      <c r="AC132" s="7">
        <v>-3256445</v>
      </c>
      <c r="AE132" s="13">
        <f t="shared" si="14"/>
        <v>-3253101</v>
      </c>
      <c r="AG132" s="7">
        <f t="shared" si="15"/>
        <v>0</v>
      </c>
      <c r="AK132" s="7" t="str">
        <f t="shared" si="16"/>
        <v>Coventry Local SD</v>
      </c>
      <c r="AL132" s="7" t="str">
        <f>'St of Activities - GA Exp'!A132</f>
        <v>Coventry Local SD</v>
      </c>
      <c r="AM132" s="7" t="b">
        <f t="shared" si="17"/>
        <v>1</v>
      </c>
      <c r="AN132" s="7" t="str">
        <f t="shared" si="12"/>
        <v>Summit</v>
      </c>
      <c r="AO132" s="7" t="b">
        <f>C132='St of Activities - GA Exp'!C132</f>
        <v>1</v>
      </c>
    </row>
    <row r="133" spans="1:41">
      <c r="A133" s="12" t="s">
        <v>867</v>
      </c>
      <c r="B133" s="12"/>
      <c r="C133" s="12" t="s">
        <v>48</v>
      </c>
      <c r="D133" s="12"/>
      <c r="E133" s="12">
        <v>45336</v>
      </c>
      <c r="G133" s="7">
        <v>1304609</v>
      </c>
      <c r="I133" s="7">
        <v>0</v>
      </c>
      <c r="K133" s="2">
        <f t="shared" si="18"/>
        <v>2325932</v>
      </c>
      <c r="M133" s="7">
        <v>3630541</v>
      </c>
      <c r="O133" s="2">
        <f t="shared" si="13"/>
        <v>828539</v>
      </c>
      <c r="Q133" s="7">
        <f>1415664+30042</f>
        <v>1445706</v>
      </c>
      <c r="S133" s="7">
        <v>2274245</v>
      </c>
      <c r="U133" s="7">
        <v>6076</v>
      </c>
      <c r="W133" s="7">
        <v>0</v>
      </c>
      <c r="Y133" s="7">
        <v>0</v>
      </c>
      <c r="AA133" s="7">
        <f>2252+38046</f>
        <v>40298</v>
      </c>
      <c r="AC133" s="7">
        <v>1309922</v>
      </c>
      <c r="AE133" s="13">
        <f t="shared" si="14"/>
        <v>1356296</v>
      </c>
      <c r="AG133" s="7">
        <f t="shared" si="15"/>
        <v>0</v>
      </c>
      <c r="AK133" s="7" t="str">
        <f t="shared" si="16"/>
        <v>Covington Exempted Village SD</v>
      </c>
      <c r="AL133" s="7" t="str">
        <f>'St of Activities - GA Exp'!A133</f>
        <v>Covington Exempted Village SD</v>
      </c>
      <c r="AM133" s="7" t="b">
        <f t="shared" si="17"/>
        <v>1</v>
      </c>
      <c r="AN133" s="7" t="str">
        <f t="shared" si="12"/>
        <v>Miami</v>
      </c>
      <c r="AO133" s="7" t="b">
        <f>C133='St of Activities - GA Exp'!C133</f>
        <v>1</v>
      </c>
    </row>
    <row r="134" spans="1:41" hidden="1">
      <c r="A134" s="12" t="s">
        <v>982</v>
      </c>
      <c r="B134" s="12"/>
      <c r="C134" s="12" t="s">
        <v>111</v>
      </c>
      <c r="D134" s="12"/>
      <c r="E134" s="12">
        <v>45344</v>
      </c>
      <c r="K134" s="2">
        <f t="shared" si="18"/>
        <v>0</v>
      </c>
      <c r="O134" s="2">
        <f t="shared" si="13"/>
        <v>0</v>
      </c>
      <c r="AE134" s="13">
        <f t="shared" si="14"/>
        <v>0</v>
      </c>
      <c r="AG134" s="7">
        <f t="shared" si="15"/>
        <v>0</v>
      </c>
      <c r="AI134" s="7" t="s">
        <v>903</v>
      </c>
      <c r="AK134" s="7" t="str">
        <f t="shared" si="16"/>
        <v>Crestline Exempted Village SD (CASH)</v>
      </c>
      <c r="AL134" s="7" t="str">
        <f>'St of Activities - GA Exp'!A134</f>
        <v>Crestline Exempted Village SD (CASH)</v>
      </c>
      <c r="AM134" s="7" t="b">
        <f t="shared" si="17"/>
        <v>1</v>
      </c>
      <c r="AN134" s="7" t="str">
        <f t="shared" si="12"/>
        <v>Crawford</v>
      </c>
      <c r="AO134" s="7" t="b">
        <f>C134='St of Activities - GA Exp'!C134</f>
        <v>1</v>
      </c>
    </row>
    <row r="135" spans="1:41" ht="11.25" customHeight="1">
      <c r="A135" s="12" t="s">
        <v>253</v>
      </c>
      <c r="B135" s="12"/>
      <c r="C135" s="12" t="s">
        <v>112</v>
      </c>
      <c r="D135" s="12"/>
      <c r="E135" s="12">
        <v>46433</v>
      </c>
      <c r="G135" s="7">
        <v>1305459</v>
      </c>
      <c r="I135" s="7">
        <v>10469</v>
      </c>
      <c r="K135" s="2">
        <f t="shared" si="18"/>
        <v>2574897</v>
      </c>
      <c r="M135" s="7">
        <v>3890825</v>
      </c>
      <c r="O135" s="2">
        <f t="shared" si="13"/>
        <v>1122877</v>
      </c>
      <c r="Q135" s="7">
        <v>1924218</v>
      </c>
      <c r="S135" s="7">
        <v>3047095</v>
      </c>
      <c r="U135" s="7">
        <v>39368</v>
      </c>
      <c r="W135" s="7">
        <v>10469</v>
      </c>
      <c r="Y135" s="7">
        <v>0</v>
      </c>
      <c r="AA135" s="7">
        <v>20869</v>
      </c>
      <c r="AC135" s="7">
        <v>773024</v>
      </c>
      <c r="AE135" s="13">
        <f t="shared" si="14"/>
        <v>843730</v>
      </c>
      <c r="AG135" s="7">
        <f t="shared" si="15"/>
        <v>0</v>
      </c>
      <c r="AK135" s="7" t="str">
        <f t="shared" si="16"/>
        <v>Crestview Local SD</v>
      </c>
      <c r="AL135" s="7" t="str">
        <f>'St of Activities - GA Exp'!A135</f>
        <v>Crestview Local SD</v>
      </c>
      <c r="AM135" s="7" t="b">
        <f t="shared" si="17"/>
        <v>1</v>
      </c>
      <c r="AN135" s="7" t="str">
        <f t="shared" si="12"/>
        <v>Columbiana</v>
      </c>
      <c r="AO135" s="7" t="b">
        <f>C135='St of Activities - GA Exp'!C135</f>
        <v>1</v>
      </c>
    </row>
    <row r="136" spans="1:41">
      <c r="A136" s="12" t="s">
        <v>253</v>
      </c>
      <c r="B136" s="12"/>
      <c r="C136" s="12" t="s">
        <v>110</v>
      </c>
      <c r="D136" s="12"/>
      <c r="E136" s="12">
        <v>49429</v>
      </c>
      <c r="G136" s="7">
        <v>6366276</v>
      </c>
      <c r="I136" s="7">
        <v>1198</v>
      </c>
      <c r="K136" s="2">
        <f t="shared" si="18"/>
        <v>2259111</v>
      </c>
      <c r="M136" s="7">
        <v>8626585</v>
      </c>
      <c r="O136" s="2">
        <f t="shared" si="13"/>
        <v>1001968</v>
      </c>
      <c r="Q136" s="7">
        <f>1533742+100507</f>
        <v>1634249</v>
      </c>
      <c r="S136" s="7">
        <v>2636217</v>
      </c>
      <c r="U136" s="7">
        <f>45489+38470</f>
        <v>83959</v>
      </c>
      <c r="W136" s="7">
        <v>1198</v>
      </c>
      <c r="Y136" s="7">
        <v>2000</v>
      </c>
      <c r="AA136" s="7">
        <f>5742+59477+1327</f>
        <v>66546</v>
      </c>
      <c r="AC136" s="7">
        <v>5836665</v>
      </c>
      <c r="AE136" s="13">
        <f t="shared" si="14"/>
        <v>5990368</v>
      </c>
      <c r="AG136" s="7">
        <f t="shared" si="15"/>
        <v>0</v>
      </c>
      <c r="AJ136" s="92"/>
      <c r="AK136" s="7" t="str">
        <f t="shared" si="16"/>
        <v>Crestview Local SD</v>
      </c>
      <c r="AL136" s="7" t="str">
        <f>'St of Activities - GA Exp'!A136</f>
        <v>Crestview Local SD</v>
      </c>
      <c r="AM136" s="7" t="b">
        <f t="shared" si="17"/>
        <v>1</v>
      </c>
      <c r="AN136" s="7" t="str">
        <f t="shared" si="12"/>
        <v>Richland</v>
      </c>
      <c r="AO136" s="7" t="b">
        <f>C136='St of Activities - GA Exp'!C136</f>
        <v>1</v>
      </c>
    </row>
    <row r="137" spans="1:41" hidden="1">
      <c r="A137" s="12" t="s">
        <v>686</v>
      </c>
      <c r="B137" s="12"/>
      <c r="C137" s="12" t="s">
        <v>67</v>
      </c>
      <c r="D137" s="12"/>
      <c r="E137" s="12"/>
      <c r="K137" s="2">
        <f t="shared" si="18"/>
        <v>0</v>
      </c>
      <c r="O137" s="2">
        <f t="shared" si="13"/>
        <v>0</v>
      </c>
      <c r="AE137" s="13">
        <f t="shared" si="14"/>
        <v>0</v>
      </c>
      <c r="AG137" s="7">
        <f t="shared" si="15"/>
        <v>0</v>
      </c>
      <c r="AI137" s="7" t="s">
        <v>778</v>
      </c>
      <c r="AJ137" s="92"/>
      <c r="AK137" s="7" t="str">
        <f t="shared" si="16"/>
        <v>Crestview Local SD (CASH)</v>
      </c>
      <c r="AL137" s="7" t="str">
        <f>'St of Activities - GA Exp'!A137</f>
        <v>Crestview Local SD (CASH)</v>
      </c>
      <c r="AM137" s="7" t="b">
        <f t="shared" si="17"/>
        <v>1</v>
      </c>
      <c r="AN137" s="7" t="str">
        <f t="shared" si="12"/>
        <v>Van Wert</v>
      </c>
      <c r="AO137" s="7" t="b">
        <f>C137='St of Activities - GA Exp'!C137</f>
        <v>1</v>
      </c>
    </row>
    <row r="138" spans="1:41">
      <c r="A138" s="12" t="s">
        <v>758</v>
      </c>
      <c r="B138" s="12"/>
      <c r="C138" s="12" t="s">
        <v>56</v>
      </c>
      <c r="D138" s="12"/>
      <c r="E138" s="12">
        <v>49189</v>
      </c>
      <c r="G138" s="7">
        <f>3990498+396748</f>
        <v>4387246</v>
      </c>
      <c r="I138" s="7">
        <v>0</v>
      </c>
      <c r="K138" s="2">
        <f t="shared" si="18"/>
        <v>6465089</v>
      </c>
      <c r="M138" s="7">
        <v>10852335</v>
      </c>
      <c r="O138" s="2">
        <f t="shared" si="13"/>
        <v>2632434</v>
      </c>
      <c r="Q138" s="7">
        <v>5884831</v>
      </c>
      <c r="S138" s="7">
        <v>8517265</v>
      </c>
      <c r="U138" s="7">
        <v>19462</v>
      </c>
      <c r="W138" s="7">
        <v>396748</v>
      </c>
      <c r="Y138" s="7">
        <v>0</v>
      </c>
      <c r="AA138" s="7">
        <v>472388</v>
      </c>
      <c r="AC138" s="7">
        <v>1446472</v>
      </c>
      <c r="AE138" s="13">
        <f t="shared" si="14"/>
        <v>2335070</v>
      </c>
      <c r="AG138" s="7">
        <f t="shared" si="15"/>
        <v>0</v>
      </c>
      <c r="AK138" s="7" t="str">
        <f t="shared" si="16"/>
        <v xml:space="preserve">Crestwood Local SD </v>
      </c>
      <c r="AL138" s="7" t="str">
        <f>'St of Activities - GA Exp'!A138</f>
        <v xml:space="preserve">Crestwood Local SD </v>
      </c>
      <c r="AM138" s="7" t="b">
        <f t="shared" si="17"/>
        <v>1</v>
      </c>
      <c r="AN138" s="7" t="str">
        <f t="shared" si="12"/>
        <v>Portage</v>
      </c>
      <c r="AO138" s="7" t="b">
        <f>C138='St of Activities - GA Exp'!C138</f>
        <v>1</v>
      </c>
    </row>
    <row r="139" spans="1:41">
      <c r="A139" s="12" t="s">
        <v>868</v>
      </c>
      <c r="B139" s="12"/>
      <c r="C139" s="12" t="s">
        <v>466</v>
      </c>
      <c r="D139" s="12"/>
      <c r="E139" s="12"/>
      <c r="G139" s="7">
        <v>534436</v>
      </c>
      <c r="I139" s="7">
        <v>182901</v>
      </c>
      <c r="K139" s="2">
        <f t="shared" si="18"/>
        <v>2347318</v>
      </c>
      <c r="M139" s="7">
        <v>3064655</v>
      </c>
      <c r="O139" s="2">
        <f t="shared" si="13"/>
        <v>953097</v>
      </c>
      <c r="Q139" s="7">
        <v>1970194</v>
      </c>
      <c r="S139" s="7">
        <v>2923291</v>
      </c>
      <c r="U139" s="7">
        <v>116036</v>
      </c>
      <c r="W139" s="7">
        <v>182901</v>
      </c>
      <c r="Y139" s="7">
        <v>0</v>
      </c>
      <c r="AA139" s="7">
        <v>96185</v>
      </c>
      <c r="AC139" s="7">
        <v>-253758</v>
      </c>
      <c r="AE139" s="13">
        <f t="shared" si="14"/>
        <v>141364</v>
      </c>
      <c r="AG139" s="7">
        <f t="shared" si="15"/>
        <v>0</v>
      </c>
      <c r="AK139" s="7" t="str">
        <f t="shared" si="16"/>
        <v>Crooksville Exempted Village SD</v>
      </c>
      <c r="AL139" s="7" t="str">
        <f>'St of Activities - GA Exp'!A139</f>
        <v>Crooksville Exempted Village SD</v>
      </c>
      <c r="AM139" s="7" t="b">
        <f t="shared" si="17"/>
        <v>1</v>
      </c>
      <c r="AN139" s="7" t="str">
        <f t="shared" si="12"/>
        <v>Perry</v>
      </c>
      <c r="AO139" s="7" t="b">
        <f>C139='St of Activities - GA Exp'!C139</f>
        <v>1</v>
      </c>
    </row>
    <row r="140" spans="1:41">
      <c r="A140" s="12" t="s">
        <v>687</v>
      </c>
      <c r="B140" s="12"/>
      <c r="C140" s="12" t="s">
        <v>63</v>
      </c>
      <c r="D140" s="12"/>
      <c r="E140" s="12">
        <v>43836</v>
      </c>
      <c r="G140" s="7">
        <v>4711075</v>
      </c>
      <c r="I140" s="7">
        <v>0</v>
      </c>
      <c r="K140" s="2">
        <f t="shared" si="18"/>
        <v>28221404</v>
      </c>
      <c r="M140" s="7">
        <v>32932479</v>
      </c>
      <c r="O140" s="2">
        <f t="shared" si="13"/>
        <v>5120285</v>
      </c>
      <c r="Q140" s="7">
        <f>23507861+1193407</f>
        <v>24701268</v>
      </c>
      <c r="S140" s="7">
        <v>29821553</v>
      </c>
      <c r="U140" s="7">
        <f>65003+177+1369</f>
        <v>66549</v>
      </c>
      <c r="W140" s="7">
        <v>0</v>
      </c>
      <c r="Y140" s="7">
        <v>11000</v>
      </c>
      <c r="AA140" s="7">
        <f>100+282314+450+111560+6089+94199</f>
        <v>494712</v>
      </c>
      <c r="AC140" s="7">
        <v>2538665</v>
      </c>
      <c r="AE140" s="13">
        <f t="shared" si="14"/>
        <v>3110926</v>
      </c>
      <c r="AG140" s="7">
        <f t="shared" si="15"/>
        <v>0</v>
      </c>
      <c r="AK140" s="7" t="str">
        <f t="shared" si="16"/>
        <v xml:space="preserve">Cuyahoga Falls City SD </v>
      </c>
      <c r="AL140" s="7" t="str">
        <f>'St of Activities - GA Exp'!A140</f>
        <v xml:space="preserve">Cuyahoga Falls City SD </v>
      </c>
      <c r="AM140" s="7" t="b">
        <f t="shared" si="17"/>
        <v>1</v>
      </c>
      <c r="AN140" s="7" t="str">
        <f t="shared" ref="AN140:AN203" si="19">C140</f>
        <v>Summit</v>
      </c>
      <c r="AO140" s="7" t="b">
        <f>C140='St of Activities - GA Exp'!C140</f>
        <v>1</v>
      </c>
    </row>
    <row r="141" spans="1:41">
      <c r="A141" s="12" t="s">
        <v>759</v>
      </c>
      <c r="B141" s="12"/>
      <c r="C141" s="12" t="s">
        <v>20</v>
      </c>
      <c r="D141" s="12"/>
      <c r="E141" s="12">
        <v>46557</v>
      </c>
      <c r="G141" s="7">
        <v>1831592</v>
      </c>
      <c r="I141" s="7">
        <v>56259</v>
      </c>
      <c r="K141" s="2">
        <f t="shared" si="18"/>
        <v>8708732</v>
      </c>
      <c r="M141" s="7">
        <v>10596583</v>
      </c>
      <c r="O141" s="2">
        <f t="shared" ref="O141:O204" si="20">+S141-Q141</f>
        <v>1893991</v>
      </c>
      <c r="Q141" s="7">
        <f>7388246+12958</f>
        <v>7401204</v>
      </c>
      <c r="S141" s="7">
        <v>9295195</v>
      </c>
      <c r="U141" s="7">
        <v>48632</v>
      </c>
      <c r="W141" s="7">
        <v>1115</v>
      </c>
      <c r="Y141" s="7">
        <v>55144</v>
      </c>
      <c r="AA141" s="7">
        <v>352668</v>
      </c>
      <c r="AC141" s="7">
        <v>843829</v>
      </c>
      <c r="AE141" s="13">
        <f t="shared" ref="AE141:AE204" si="21">+Y141+W141++U141+AA141+AC141</f>
        <v>1301388</v>
      </c>
      <c r="AG141" s="7">
        <f t="shared" ref="AG141:AG204" si="22">+G141+I141+K141-O141-Q141-Y141-W141-U141-AA141-AC141</f>
        <v>0</v>
      </c>
      <c r="AK141" s="7" t="str">
        <f t="shared" ref="AK141:AK204" si="23">A141</f>
        <v xml:space="preserve">Cuyahoga Heights Local SD </v>
      </c>
      <c r="AL141" s="7" t="str">
        <f>'St of Activities - GA Exp'!A141</f>
        <v xml:space="preserve">Cuyahoga Heights Local SD </v>
      </c>
      <c r="AM141" s="7" t="b">
        <f t="shared" ref="AM141:AM204" si="24">AK141=AL141</f>
        <v>1</v>
      </c>
      <c r="AN141" s="7" t="str">
        <f t="shared" si="19"/>
        <v>Cuyahoga</v>
      </c>
      <c r="AO141" s="7" t="b">
        <f>C141='St of Activities - GA Exp'!C141</f>
        <v>1</v>
      </c>
    </row>
    <row r="142" spans="1:41">
      <c r="A142" s="12" t="s">
        <v>635</v>
      </c>
      <c r="B142" s="12"/>
      <c r="C142" s="12" t="s">
        <v>71</v>
      </c>
      <c r="D142" s="12"/>
      <c r="E142" s="12">
        <v>48934</v>
      </c>
      <c r="G142" s="7">
        <v>376700</v>
      </c>
      <c r="I142" s="7">
        <v>231966</v>
      </c>
      <c r="K142" s="2">
        <f t="shared" si="18"/>
        <v>2928467</v>
      </c>
      <c r="M142" s="7">
        <v>3537133</v>
      </c>
      <c r="O142" s="2">
        <f t="shared" si="20"/>
        <v>847328</v>
      </c>
      <c r="Q142" s="7">
        <f>65194+2267135</f>
        <v>2332329</v>
      </c>
      <c r="S142" s="7">
        <v>3179657</v>
      </c>
      <c r="U142" s="7">
        <v>1750</v>
      </c>
      <c r="W142" s="7">
        <v>231966</v>
      </c>
      <c r="Y142" s="7">
        <v>0</v>
      </c>
      <c r="AA142" s="7">
        <f>790+38286+1300</f>
        <v>40376</v>
      </c>
      <c r="AC142" s="7">
        <v>83384</v>
      </c>
      <c r="AE142" s="13">
        <f t="shared" si="21"/>
        <v>357476</v>
      </c>
      <c r="AG142" s="7">
        <f t="shared" si="22"/>
        <v>0</v>
      </c>
      <c r="AK142" s="7" t="str">
        <f t="shared" si="23"/>
        <v>Dalton Local SD</v>
      </c>
      <c r="AL142" s="7" t="str">
        <f>'St of Activities - GA Exp'!A142</f>
        <v>Dalton Local SD</v>
      </c>
      <c r="AM142" s="7" t="b">
        <f t="shared" si="24"/>
        <v>1</v>
      </c>
      <c r="AN142" s="7" t="str">
        <f t="shared" si="19"/>
        <v>Wayne</v>
      </c>
      <c r="AO142" s="7" t="b">
        <f>C142='St of Activities - GA Exp'!C142</f>
        <v>1</v>
      </c>
    </row>
    <row r="143" spans="1:41" hidden="1">
      <c r="A143" s="12" t="s">
        <v>838</v>
      </c>
      <c r="B143" s="12"/>
      <c r="C143" s="12" t="s">
        <v>53</v>
      </c>
      <c r="D143" s="12"/>
      <c r="E143" s="12">
        <v>48934</v>
      </c>
      <c r="K143" s="2">
        <f t="shared" ref="K143:K206" si="25">+M143-I143-G143</f>
        <v>0</v>
      </c>
      <c r="O143" s="2">
        <f t="shared" si="20"/>
        <v>0</v>
      </c>
      <c r="AE143" s="13">
        <f t="shared" si="21"/>
        <v>0</v>
      </c>
      <c r="AG143" s="7">
        <f t="shared" si="22"/>
        <v>0</v>
      </c>
      <c r="AI143" s="7" t="s">
        <v>837</v>
      </c>
      <c r="AK143" s="7" t="str">
        <f t="shared" si="23"/>
        <v>Danbury Local SD (CASH)</v>
      </c>
      <c r="AL143" s="7" t="str">
        <f>'St of Activities - GA Exp'!A143</f>
        <v>Danbury Local SD (CASH)</v>
      </c>
      <c r="AM143" s="7" t="b">
        <f t="shared" si="24"/>
        <v>1</v>
      </c>
      <c r="AN143" s="7" t="str">
        <f t="shared" si="19"/>
        <v>Ottawa</v>
      </c>
      <c r="AO143" s="7" t="b">
        <f>C143='St of Activities - GA Exp'!C143</f>
        <v>1</v>
      </c>
    </row>
    <row r="144" spans="1:41" hidden="1">
      <c r="A144" s="12" t="s">
        <v>688</v>
      </c>
      <c r="B144" s="12"/>
      <c r="C144" s="12" t="s">
        <v>40</v>
      </c>
      <c r="D144" s="12"/>
      <c r="E144" s="12">
        <v>47837</v>
      </c>
      <c r="K144" s="2">
        <f t="shared" si="25"/>
        <v>0</v>
      </c>
      <c r="O144" s="2">
        <f t="shared" si="20"/>
        <v>0</v>
      </c>
      <c r="AE144" s="13">
        <f t="shared" si="21"/>
        <v>0</v>
      </c>
      <c r="AG144" s="7">
        <f t="shared" si="22"/>
        <v>0</v>
      </c>
      <c r="AI144" s="7" t="s">
        <v>839</v>
      </c>
      <c r="AK144" s="7" t="str">
        <f t="shared" si="23"/>
        <v>Danville Local SD (CASH)</v>
      </c>
      <c r="AL144" s="7" t="str">
        <f>'St of Activities - GA Exp'!A144</f>
        <v>Danville Local SD (CASH)</v>
      </c>
      <c r="AM144" s="7" t="b">
        <f t="shared" si="24"/>
        <v>1</v>
      </c>
      <c r="AN144" s="7" t="str">
        <f t="shared" si="19"/>
        <v>Knox</v>
      </c>
      <c r="AO144" s="7" t="b">
        <f>C144='St of Activities - GA Exp'!C144</f>
        <v>1</v>
      </c>
    </row>
    <row r="145" spans="1:41">
      <c r="A145" s="12" t="s">
        <v>378</v>
      </c>
      <c r="B145" s="12"/>
      <c r="C145" s="12" t="s">
        <v>377</v>
      </c>
      <c r="D145" s="12"/>
      <c r="E145" s="12">
        <v>47928</v>
      </c>
      <c r="G145" s="7">
        <v>3684478</v>
      </c>
      <c r="I145" s="7">
        <v>0</v>
      </c>
      <c r="K145" s="2">
        <f t="shared" si="25"/>
        <v>1643642</v>
      </c>
      <c r="M145" s="7">
        <v>5328120</v>
      </c>
      <c r="O145" s="2">
        <f t="shared" si="20"/>
        <v>1222622</v>
      </c>
      <c r="Q145" s="7">
        <v>1197098</v>
      </c>
      <c r="S145" s="7">
        <v>2419720</v>
      </c>
      <c r="U145" s="7">
        <v>35576</v>
      </c>
      <c r="W145" s="7">
        <v>0</v>
      </c>
      <c r="Y145" s="7">
        <v>146742</v>
      </c>
      <c r="AA145" s="7">
        <v>176802</v>
      </c>
      <c r="AC145" s="7">
        <v>2549280</v>
      </c>
      <c r="AE145" s="13">
        <f t="shared" si="21"/>
        <v>2908400</v>
      </c>
      <c r="AG145" s="7">
        <f t="shared" si="22"/>
        <v>0</v>
      </c>
      <c r="AK145" s="7" t="str">
        <f t="shared" si="23"/>
        <v>Dawson-Bryant Local SD</v>
      </c>
      <c r="AL145" s="7" t="str">
        <f>'St of Activities - GA Exp'!A145</f>
        <v>Dawson-Bryant Local SD</v>
      </c>
      <c r="AM145" s="7" t="b">
        <f t="shared" si="24"/>
        <v>1</v>
      </c>
      <c r="AN145" s="7" t="str">
        <f t="shared" si="19"/>
        <v>Lawrence</v>
      </c>
      <c r="AO145" s="7" t="b">
        <f>C145='St of Activities - GA Exp'!C145</f>
        <v>1</v>
      </c>
    </row>
    <row r="146" spans="1:41">
      <c r="A146" s="12" t="s">
        <v>442</v>
      </c>
      <c r="B146" s="12"/>
      <c r="C146" s="12" t="s">
        <v>50</v>
      </c>
      <c r="D146" s="12"/>
      <c r="E146" s="12">
        <v>43844</v>
      </c>
      <c r="G146" s="7">
        <v>11311072</v>
      </c>
      <c r="I146" s="7">
        <v>0</v>
      </c>
      <c r="K146" s="2">
        <f t="shared" si="25"/>
        <v>97495203</v>
      </c>
      <c r="M146" s="7">
        <v>108806275</v>
      </c>
      <c r="O146" s="2">
        <f t="shared" si="20"/>
        <v>12201853</v>
      </c>
      <c r="Q146" s="7">
        <v>86594823</v>
      </c>
      <c r="S146" s="7">
        <v>98796676</v>
      </c>
      <c r="U146" s="7">
        <v>1183167</v>
      </c>
      <c r="W146" s="7">
        <v>0</v>
      </c>
      <c r="Y146" s="7">
        <v>0</v>
      </c>
      <c r="AA146" s="7">
        <v>87383</v>
      </c>
      <c r="AC146" s="7">
        <v>8739049</v>
      </c>
      <c r="AE146" s="13">
        <f t="shared" si="21"/>
        <v>10009599</v>
      </c>
      <c r="AG146" s="7">
        <f t="shared" si="22"/>
        <v>0</v>
      </c>
      <c r="AI146" s="7" t="s">
        <v>843</v>
      </c>
      <c r="AK146" s="7" t="str">
        <f t="shared" si="23"/>
        <v>Dayton City SD</v>
      </c>
      <c r="AL146" s="7" t="str">
        <f>'St of Activities - GA Exp'!A146</f>
        <v>Dayton City SD</v>
      </c>
      <c r="AM146" s="7" t="b">
        <f t="shared" si="24"/>
        <v>1</v>
      </c>
      <c r="AN146" s="7" t="str">
        <f t="shared" si="19"/>
        <v>Montgomery</v>
      </c>
      <c r="AO146" s="7" t="b">
        <f>C146='St of Activities - GA Exp'!C146</f>
        <v>1</v>
      </c>
    </row>
    <row r="147" spans="1:41">
      <c r="A147" s="12" t="s">
        <v>689</v>
      </c>
      <c r="B147" s="12"/>
      <c r="C147" s="12" t="s">
        <v>32</v>
      </c>
      <c r="D147" s="12"/>
      <c r="E147" s="12">
        <v>43851</v>
      </c>
      <c r="G147" s="7">
        <v>5792312</v>
      </c>
      <c r="I147" s="7">
        <v>50000</v>
      </c>
      <c r="K147" s="2">
        <f t="shared" si="25"/>
        <v>8808847</v>
      </c>
      <c r="M147" s="7">
        <v>14651159</v>
      </c>
      <c r="O147" s="2">
        <f t="shared" si="20"/>
        <v>1821029</v>
      </c>
      <c r="Q147" s="7">
        <v>5556883</v>
      </c>
      <c r="S147" s="7">
        <v>7377912</v>
      </c>
      <c r="U147" s="7">
        <v>0</v>
      </c>
      <c r="W147" s="7">
        <v>0</v>
      </c>
      <c r="Y147" s="7">
        <v>0</v>
      </c>
      <c r="AA147" s="7">
        <v>191686</v>
      </c>
      <c r="AC147" s="7">
        <v>7081561</v>
      </c>
      <c r="AE147" s="13">
        <f t="shared" si="21"/>
        <v>7273247</v>
      </c>
      <c r="AG147" s="7">
        <f t="shared" si="22"/>
        <v>0</v>
      </c>
      <c r="AK147" s="7" t="str">
        <f t="shared" si="23"/>
        <v>Deer Park City SD</v>
      </c>
      <c r="AL147" s="7" t="str">
        <f>'St of Activities - GA Exp'!A147</f>
        <v>Deer Park City SD</v>
      </c>
      <c r="AM147" s="7" t="b">
        <f t="shared" si="24"/>
        <v>1</v>
      </c>
      <c r="AN147" s="7" t="str">
        <f t="shared" si="19"/>
        <v>Hamilton</v>
      </c>
      <c r="AO147" s="7" t="b">
        <f>C147='St of Activities - GA Exp'!C147</f>
        <v>1</v>
      </c>
    </row>
    <row r="148" spans="1:41" hidden="1">
      <c r="A148" s="12" t="s">
        <v>690</v>
      </c>
      <c r="B148" s="12"/>
      <c r="C148" s="12" t="s">
        <v>22</v>
      </c>
      <c r="D148" s="12"/>
      <c r="E148" s="12">
        <v>43869</v>
      </c>
      <c r="K148" s="2">
        <f t="shared" si="25"/>
        <v>0</v>
      </c>
      <c r="O148" s="2">
        <f t="shared" si="20"/>
        <v>0</v>
      </c>
      <c r="AE148" s="13">
        <f t="shared" si="21"/>
        <v>0</v>
      </c>
      <c r="AG148" s="7">
        <f t="shared" si="22"/>
        <v>0</v>
      </c>
      <c r="AI148" s="7" t="s">
        <v>839</v>
      </c>
      <c r="AK148" s="7" t="str">
        <f t="shared" si="23"/>
        <v>Defiance City SD (CASH)</v>
      </c>
      <c r="AL148" s="7" t="str">
        <f>'St of Activities - GA Exp'!A148</f>
        <v>Defiance City SD (CASH)</v>
      </c>
      <c r="AM148" s="7" t="b">
        <f t="shared" si="24"/>
        <v>1</v>
      </c>
      <c r="AN148" s="7" t="str">
        <f t="shared" si="19"/>
        <v>Defiance</v>
      </c>
      <c r="AO148" s="7" t="b">
        <f>C148='St of Activities - GA Exp'!C148</f>
        <v>1</v>
      </c>
    </row>
    <row r="149" spans="1:41">
      <c r="A149" s="12" t="s">
        <v>840</v>
      </c>
      <c r="B149" s="12"/>
      <c r="C149" s="12" t="s">
        <v>23</v>
      </c>
      <c r="D149" s="12"/>
      <c r="E149" s="12"/>
      <c r="G149" s="7">
        <v>4386065</v>
      </c>
      <c r="I149" s="7">
        <v>0</v>
      </c>
      <c r="K149" s="2">
        <f t="shared" si="25"/>
        <v>23906009</v>
      </c>
      <c r="M149" s="7">
        <v>28292074</v>
      </c>
      <c r="O149" s="2">
        <f t="shared" si="20"/>
        <v>6105520</v>
      </c>
      <c r="Q149" s="7">
        <v>19769265</v>
      </c>
      <c r="S149" s="7">
        <v>25874785</v>
      </c>
      <c r="U149" s="7">
        <v>224542</v>
      </c>
      <c r="W149" s="7">
        <v>0</v>
      </c>
      <c r="Y149" s="7">
        <v>367699</v>
      </c>
      <c r="AA149" s="7">
        <v>286116</v>
      </c>
      <c r="AC149" s="7">
        <v>1538932</v>
      </c>
      <c r="AE149" s="13">
        <f t="shared" si="21"/>
        <v>2417289</v>
      </c>
      <c r="AG149" s="7">
        <f t="shared" si="22"/>
        <v>0</v>
      </c>
      <c r="AK149" s="7" t="str">
        <f t="shared" si="23"/>
        <v>Delaware City SD</v>
      </c>
      <c r="AL149" s="7" t="str">
        <f>'St of Activities - GA Exp'!A149</f>
        <v>Delaware City SD</v>
      </c>
      <c r="AM149" s="7" t="b">
        <f t="shared" si="24"/>
        <v>1</v>
      </c>
      <c r="AN149" s="7" t="str">
        <f t="shared" si="19"/>
        <v>Delaware</v>
      </c>
      <c r="AO149" s="7" t="b">
        <f>C149='St of Activities - GA Exp'!C149</f>
        <v>1</v>
      </c>
    </row>
    <row r="150" spans="1:41">
      <c r="A150" s="12" t="s">
        <v>202</v>
      </c>
      <c r="B150" s="12"/>
      <c r="C150" s="12" t="s">
        <v>10</v>
      </c>
      <c r="D150" s="12"/>
      <c r="E150" s="12">
        <v>43885</v>
      </c>
      <c r="G150" s="7">
        <v>19895</v>
      </c>
      <c r="I150" s="7">
        <v>11268</v>
      </c>
      <c r="K150" s="2">
        <f t="shared" si="25"/>
        <v>4227130</v>
      </c>
      <c r="M150" s="7">
        <v>4258293</v>
      </c>
      <c r="O150" s="2">
        <f t="shared" si="20"/>
        <v>988775</v>
      </c>
      <c r="Q150" s="7">
        <v>3646924</v>
      </c>
      <c r="S150" s="7">
        <v>4635699</v>
      </c>
      <c r="U150" s="7">
        <v>38318</v>
      </c>
      <c r="W150" s="7">
        <v>11268</v>
      </c>
      <c r="Y150" s="7">
        <v>0</v>
      </c>
      <c r="AA150" s="7">
        <v>125393</v>
      </c>
      <c r="AC150" s="7">
        <v>-552385</v>
      </c>
      <c r="AE150" s="13">
        <f t="shared" si="21"/>
        <v>-377406</v>
      </c>
      <c r="AG150" s="7">
        <f t="shared" si="22"/>
        <v>0</v>
      </c>
      <c r="AK150" s="7" t="str">
        <f t="shared" si="23"/>
        <v>Delphos City SD</v>
      </c>
      <c r="AL150" s="7" t="str">
        <f>'St of Activities - GA Exp'!A150</f>
        <v>Delphos City SD</v>
      </c>
      <c r="AM150" s="7" t="b">
        <f t="shared" si="24"/>
        <v>1</v>
      </c>
      <c r="AN150" s="7" t="str">
        <f t="shared" si="19"/>
        <v>Allen</v>
      </c>
      <c r="AO150" s="7" t="b">
        <f>C150='St of Activities - GA Exp'!C150</f>
        <v>1</v>
      </c>
    </row>
    <row r="151" spans="1:41">
      <c r="A151" s="12" t="s">
        <v>550</v>
      </c>
      <c r="B151" s="12"/>
      <c r="C151" s="12" t="s">
        <v>65</v>
      </c>
      <c r="D151" s="12"/>
      <c r="E151" s="12">
        <v>43893</v>
      </c>
      <c r="G151" s="7">
        <v>8166758</v>
      </c>
      <c r="I151" s="7">
        <v>129036</v>
      </c>
      <c r="K151" s="2">
        <f t="shared" si="25"/>
        <v>11529945</v>
      </c>
      <c r="M151" s="7">
        <v>19825739</v>
      </c>
      <c r="O151" s="2">
        <f t="shared" si="20"/>
        <v>3014138</v>
      </c>
      <c r="Q151" s="7">
        <v>9937008</v>
      </c>
      <c r="S151" s="7">
        <v>12951146</v>
      </c>
      <c r="U151" s="7">
        <v>0</v>
      </c>
      <c r="W151" s="7">
        <v>129036</v>
      </c>
      <c r="Y151" s="7">
        <v>0</v>
      </c>
      <c r="AA151" s="7">
        <v>360616</v>
      </c>
      <c r="AC151" s="7">
        <v>6384941</v>
      </c>
      <c r="AE151" s="13">
        <f t="shared" si="21"/>
        <v>6874593</v>
      </c>
      <c r="AG151" s="7">
        <f t="shared" si="22"/>
        <v>0</v>
      </c>
      <c r="AK151" s="7" t="str">
        <f t="shared" si="23"/>
        <v>Dover City SD</v>
      </c>
      <c r="AL151" s="7" t="str">
        <f>'St of Activities - GA Exp'!A151</f>
        <v>Dover City SD</v>
      </c>
      <c r="AM151" s="7" t="b">
        <f t="shared" si="24"/>
        <v>1</v>
      </c>
      <c r="AN151" s="7" t="str">
        <f t="shared" si="19"/>
        <v>Tuscarawas</v>
      </c>
      <c r="AO151" s="7" t="b">
        <f>C151='St of Activities - GA Exp'!C151</f>
        <v>1</v>
      </c>
    </row>
    <row r="152" spans="1:41">
      <c r="A152" s="12" t="s">
        <v>308</v>
      </c>
      <c r="B152" s="12"/>
      <c r="C152" s="12" t="s">
        <v>27</v>
      </c>
      <c r="D152" s="12"/>
      <c r="E152" s="12">
        <v>47027</v>
      </c>
      <c r="G152" s="7">
        <v>41363744</v>
      </c>
      <c r="I152" s="7">
        <v>0</v>
      </c>
      <c r="K152" s="2">
        <f t="shared" si="25"/>
        <v>208118383</v>
      </c>
      <c r="M152" s="7">
        <v>249482127</v>
      </c>
      <c r="O152" s="2">
        <f t="shared" si="20"/>
        <v>18528129</v>
      </c>
      <c r="Q152" s="7">
        <v>164454475</v>
      </c>
      <c r="S152" s="7">
        <v>182982604</v>
      </c>
      <c r="U152" s="7">
        <v>208473</v>
      </c>
      <c r="W152" s="7">
        <v>0</v>
      </c>
      <c r="Y152" s="7">
        <v>0</v>
      </c>
      <c r="AA152" s="7">
        <f>1192711+211742+180010+628146+217943</f>
        <v>2430552</v>
      </c>
      <c r="AC152" s="7">
        <v>63860498</v>
      </c>
      <c r="AE152" s="13">
        <f t="shared" si="21"/>
        <v>66499523</v>
      </c>
      <c r="AG152" s="7">
        <f t="shared" si="22"/>
        <v>0</v>
      </c>
      <c r="AK152" s="7" t="str">
        <f t="shared" si="23"/>
        <v>Dublin City SD</v>
      </c>
      <c r="AL152" s="7" t="str">
        <f>'St of Activities - GA Exp'!A152</f>
        <v>Dublin City SD</v>
      </c>
      <c r="AM152" s="7" t="b">
        <f t="shared" si="24"/>
        <v>1</v>
      </c>
      <c r="AN152" s="7" t="str">
        <f t="shared" si="19"/>
        <v>Franklin</v>
      </c>
      <c r="AO152" s="7" t="b">
        <f>C152='St of Activities - GA Exp'!C152</f>
        <v>1</v>
      </c>
    </row>
    <row r="153" spans="1:41">
      <c r="A153" s="12" t="s">
        <v>272</v>
      </c>
      <c r="B153" s="12"/>
      <c r="C153" s="12" t="s">
        <v>20</v>
      </c>
      <c r="D153" s="12"/>
      <c r="E153" s="12">
        <v>43901</v>
      </c>
      <c r="G153" s="7">
        <f>33104761+4386</f>
        <v>33109147</v>
      </c>
      <c r="I153" s="7">
        <v>0</v>
      </c>
      <c r="K153" s="2">
        <f t="shared" si="25"/>
        <v>18965607</v>
      </c>
      <c r="M153" s="7">
        <v>52074754</v>
      </c>
      <c r="O153" s="2">
        <f t="shared" si="20"/>
        <v>4124306</v>
      </c>
      <c r="Q153" s="7">
        <v>14545922</v>
      </c>
      <c r="S153" s="7">
        <v>18670228</v>
      </c>
      <c r="U153" s="7">
        <v>0</v>
      </c>
      <c r="W153" s="7">
        <v>0</v>
      </c>
      <c r="Y153" s="7">
        <v>0</v>
      </c>
      <c r="AA153" s="7">
        <v>1625983</v>
      </c>
      <c r="AC153" s="7">
        <v>31778543</v>
      </c>
      <c r="AE153" s="13">
        <f t="shared" si="21"/>
        <v>33404526</v>
      </c>
      <c r="AG153" s="7">
        <f t="shared" si="22"/>
        <v>0</v>
      </c>
      <c r="AI153" s="7" t="s">
        <v>843</v>
      </c>
      <c r="AK153" s="7" t="str">
        <f t="shared" si="23"/>
        <v>East Cleveland City SD</v>
      </c>
      <c r="AL153" s="7" t="str">
        <f>'St of Activities - GA Exp'!A153</f>
        <v>East Cleveland City SD</v>
      </c>
      <c r="AM153" s="7" t="b">
        <f t="shared" si="24"/>
        <v>1</v>
      </c>
      <c r="AN153" s="7" t="str">
        <f t="shared" si="19"/>
        <v>Cuyahoga</v>
      </c>
      <c r="AO153" s="7" t="b">
        <f>C153='St of Activities - GA Exp'!C153</f>
        <v>1</v>
      </c>
    </row>
    <row r="154" spans="1:41">
      <c r="A154" s="12" t="s">
        <v>250</v>
      </c>
      <c r="B154" s="12"/>
      <c r="C154" s="12" t="s">
        <v>18</v>
      </c>
      <c r="D154" s="12"/>
      <c r="E154" s="12">
        <v>46409</v>
      </c>
      <c r="G154" s="7">
        <v>2220799</v>
      </c>
      <c r="I154" s="7">
        <v>0</v>
      </c>
      <c r="K154" s="2">
        <f t="shared" si="25"/>
        <v>2691786</v>
      </c>
      <c r="M154" s="7">
        <v>4912585</v>
      </c>
      <c r="O154" s="2">
        <f t="shared" si="20"/>
        <v>1317828</v>
      </c>
      <c r="Q154" s="7">
        <v>2506547</v>
      </c>
      <c r="S154" s="7">
        <v>3824375</v>
      </c>
      <c r="U154" s="7">
        <v>0</v>
      </c>
      <c r="W154" s="7">
        <v>0</v>
      </c>
      <c r="Y154" s="7">
        <v>30140</v>
      </c>
      <c r="AA154" s="7">
        <v>117153</v>
      </c>
      <c r="AC154" s="7">
        <v>940917</v>
      </c>
      <c r="AE154" s="13">
        <f t="shared" si="21"/>
        <v>1088210</v>
      </c>
      <c r="AG154" s="7">
        <f t="shared" si="22"/>
        <v>0</v>
      </c>
      <c r="AK154" s="7" t="str">
        <f t="shared" si="23"/>
        <v>East Clinton Local SD</v>
      </c>
      <c r="AL154" s="7" t="str">
        <f>'St of Activities - GA Exp'!A154</f>
        <v>East Clinton Local SD</v>
      </c>
      <c r="AM154" s="7" t="b">
        <f t="shared" si="24"/>
        <v>1</v>
      </c>
      <c r="AN154" s="7" t="str">
        <f t="shared" si="19"/>
        <v>Clinton</v>
      </c>
      <c r="AO154" s="7" t="b">
        <f>C154='St of Activities - GA Exp'!C154</f>
        <v>1</v>
      </c>
    </row>
    <row r="155" spans="1:41">
      <c r="A155" s="12" t="s">
        <v>328</v>
      </c>
      <c r="B155" s="12"/>
      <c r="C155" s="12" t="s">
        <v>31</v>
      </c>
      <c r="D155" s="12"/>
      <c r="E155" s="12">
        <v>69682</v>
      </c>
      <c r="G155" s="7">
        <v>2569012</v>
      </c>
      <c r="I155" s="7">
        <v>0</v>
      </c>
      <c r="K155" s="2">
        <f t="shared" si="25"/>
        <v>2807280</v>
      </c>
      <c r="M155" s="7">
        <v>5376292</v>
      </c>
      <c r="O155" s="2">
        <f t="shared" si="20"/>
        <v>1123589</v>
      </c>
      <c r="Q155" s="7">
        <v>1957620</v>
      </c>
      <c r="S155" s="7">
        <v>3081209</v>
      </c>
      <c r="U155" s="7">
        <f>42443+134035</f>
        <v>176478</v>
      </c>
      <c r="W155" s="7">
        <v>0</v>
      </c>
      <c r="Y155" s="7">
        <v>0</v>
      </c>
      <c r="AA155" s="7">
        <v>0</v>
      </c>
      <c r="AC155" s="7">
        <v>2118605</v>
      </c>
      <c r="AE155" s="13">
        <f t="shared" si="21"/>
        <v>2295083</v>
      </c>
      <c r="AG155" s="7">
        <f t="shared" si="22"/>
        <v>0</v>
      </c>
      <c r="AK155" s="7" t="str">
        <f t="shared" si="23"/>
        <v>East Guernsey Local SD</v>
      </c>
      <c r="AL155" s="7" t="str">
        <f>'St of Activities - GA Exp'!A155</f>
        <v>East Guernsey Local SD</v>
      </c>
      <c r="AM155" s="7" t="b">
        <f t="shared" si="24"/>
        <v>1</v>
      </c>
      <c r="AN155" s="7" t="str">
        <f t="shared" si="19"/>
        <v>Guernsey</v>
      </c>
      <c r="AO155" s="7" t="b">
        <f>C155='St of Activities - GA Exp'!C155</f>
        <v>1</v>
      </c>
    </row>
    <row r="156" spans="1:41">
      <c r="A156" s="12" t="s">
        <v>363</v>
      </c>
      <c r="B156" s="12"/>
      <c r="C156" s="12" t="s">
        <v>36</v>
      </c>
      <c r="D156" s="12"/>
      <c r="E156" s="12">
        <v>47688</v>
      </c>
      <c r="G156" s="7">
        <v>5254060</v>
      </c>
      <c r="I156" s="7">
        <v>0</v>
      </c>
      <c r="K156" s="2">
        <f t="shared" si="25"/>
        <v>7543447</v>
      </c>
      <c r="M156" s="7">
        <v>12797507</v>
      </c>
      <c r="O156" s="2">
        <f t="shared" si="20"/>
        <v>1906229</v>
      </c>
      <c r="Q156" s="7">
        <v>7040677</v>
      </c>
      <c r="S156" s="7">
        <v>8946906</v>
      </c>
      <c r="U156" s="7">
        <v>74985</v>
      </c>
      <c r="W156" s="7">
        <v>60975</v>
      </c>
      <c r="Y156" s="7">
        <v>0</v>
      </c>
      <c r="AA156" s="7">
        <v>251236</v>
      </c>
      <c r="AC156" s="7">
        <v>3463405</v>
      </c>
      <c r="AE156" s="13">
        <f t="shared" si="21"/>
        <v>3850601</v>
      </c>
      <c r="AG156" s="7">
        <f t="shared" si="22"/>
        <v>0</v>
      </c>
      <c r="AI156" s="7" t="s">
        <v>843</v>
      </c>
      <c r="AK156" s="7" t="str">
        <f t="shared" si="23"/>
        <v>East Holmes Local SD</v>
      </c>
      <c r="AL156" s="7" t="str">
        <f>'St of Activities - GA Exp'!A156</f>
        <v>East Holmes Local SD</v>
      </c>
      <c r="AM156" s="7" t="b">
        <f t="shared" si="24"/>
        <v>1</v>
      </c>
      <c r="AN156" s="7" t="str">
        <f t="shared" si="19"/>
        <v>Holmes</v>
      </c>
      <c r="AO156" s="7" t="b">
        <f>C156='St of Activities - GA Exp'!C156</f>
        <v>1</v>
      </c>
    </row>
    <row r="157" spans="1:41" hidden="1">
      <c r="A157" s="12" t="s">
        <v>691</v>
      </c>
      <c r="B157" s="12"/>
      <c r="C157" s="12" t="s">
        <v>40</v>
      </c>
      <c r="D157" s="12"/>
      <c r="E157" s="12"/>
      <c r="K157" s="2">
        <f t="shared" si="25"/>
        <v>0</v>
      </c>
      <c r="O157" s="2">
        <f t="shared" si="20"/>
        <v>0</v>
      </c>
      <c r="AE157" s="13">
        <f t="shared" si="21"/>
        <v>0</v>
      </c>
      <c r="AG157" s="7">
        <f t="shared" si="22"/>
        <v>0</v>
      </c>
      <c r="AI157" s="7" t="s">
        <v>839</v>
      </c>
      <c r="AK157" s="7" t="str">
        <f t="shared" si="23"/>
        <v>East Knox Local SD (CASH)</v>
      </c>
      <c r="AL157" s="7" t="str">
        <f>'St of Activities - GA Exp'!A157</f>
        <v>East Knox Local SD (CASH)</v>
      </c>
      <c r="AM157" s="7" t="b">
        <f t="shared" si="24"/>
        <v>1</v>
      </c>
      <c r="AN157" s="7" t="str">
        <f t="shared" si="19"/>
        <v>Knox</v>
      </c>
      <c r="AO157" s="7" t="b">
        <f>C157='St of Activities - GA Exp'!C157</f>
        <v>1</v>
      </c>
    </row>
    <row r="158" spans="1:41">
      <c r="A158" s="12" t="s">
        <v>254</v>
      </c>
      <c r="B158" s="12"/>
      <c r="C158" s="12" t="s">
        <v>112</v>
      </c>
      <c r="D158" s="12"/>
      <c r="E158" s="12">
        <v>43919</v>
      </c>
      <c r="G158" s="7">
        <v>5704789</v>
      </c>
      <c r="I158" s="7">
        <v>170118</v>
      </c>
      <c r="K158" s="2">
        <f t="shared" si="25"/>
        <v>4786947</v>
      </c>
      <c r="M158" s="7">
        <v>10661854</v>
      </c>
      <c r="O158" s="2">
        <f t="shared" si="20"/>
        <v>2572468</v>
      </c>
      <c r="Q158" s="7">
        <v>4273183</v>
      </c>
      <c r="S158" s="7">
        <v>6845651</v>
      </c>
      <c r="U158" s="7">
        <v>0</v>
      </c>
      <c r="W158" s="7">
        <v>170118</v>
      </c>
      <c r="Y158" s="7">
        <v>500000</v>
      </c>
      <c r="AA158" s="7">
        <v>170895</v>
      </c>
      <c r="AC158" s="7">
        <v>2975190</v>
      </c>
      <c r="AE158" s="13">
        <f t="shared" si="21"/>
        <v>3816203</v>
      </c>
      <c r="AG158" s="7">
        <f t="shared" si="22"/>
        <v>0</v>
      </c>
      <c r="AK158" s="7" t="str">
        <f t="shared" si="23"/>
        <v>East Liverpool City SD</v>
      </c>
      <c r="AL158" s="7" t="str">
        <f>'St of Activities - GA Exp'!A158</f>
        <v>East Liverpool City SD</v>
      </c>
      <c r="AM158" s="7" t="b">
        <f t="shared" si="24"/>
        <v>1</v>
      </c>
      <c r="AN158" s="7" t="str">
        <f t="shared" si="19"/>
        <v>Columbiana</v>
      </c>
      <c r="AO158" s="7" t="b">
        <f>C158='St of Activities - GA Exp'!C158</f>
        <v>1</v>
      </c>
    </row>
    <row r="159" spans="1:41">
      <c r="A159" s="12" t="s">
        <v>456</v>
      </c>
      <c r="B159" s="12"/>
      <c r="C159" s="12" t="s">
        <v>51</v>
      </c>
      <c r="D159" s="12"/>
      <c r="E159" s="12">
        <v>48835</v>
      </c>
      <c r="G159" s="7">
        <v>4529969</v>
      </c>
      <c r="I159" s="7">
        <v>3503</v>
      </c>
      <c r="K159" s="2">
        <f t="shared" si="25"/>
        <v>7149781</v>
      </c>
      <c r="M159" s="7">
        <v>11683253</v>
      </c>
      <c r="O159" s="2">
        <f t="shared" si="20"/>
        <v>2089520</v>
      </c>
      <c r="Q159" s="7">
        <v>6411461</v>
      </c>
      <c r="S159" s="7">
        <v>8500981</v>
      </c>
      <c r="U159" s="7">
        <f>128521+3914+3503</f>
        <v>135938</v>
      </c>
      <c r="W159" s="7">
        <v>0</v>
      </c>
      <c r="Y159" s="7">
        <v>254182</v>
      </c>
      <c r="AA159" s="7">
        <f>112476+57421</f>
        <v>169897</v>
      </c>
      <c r="AC159" s="7">
        <v>2622255</v>
      </c>
      <c r="AE159" s="13">
        <f t="shared" si="21"/>
        <v>3182272</v>
      </c>
      <c r="AG159" s="7">
        <f t="shared" si="22"/>
        <v>0</v>
      </c>
      <c r="AK159" s="7" t="str">
        <f t="shared" si="23"/>
        <v>East Muskingum Local SD</v>
      </c>
      <c r="AL159" s="7" t="str">
        <f>'St of Activities - GA Exp'!A159</f>
        <v>East Muskingum Local SD</v>
      </c>
      <c r="AM159" s="7" t="b">
        <f t="shared" si="24"/>
        <v>1</v>
      </c>
      <c r="AN159" s="7" t="str">
        <f t="shared" si="19"/>
        <v>Muskingum</v>
      </c>
      <c r="AO159" s="7" t="b">
        <f>C159='St of Activities - GA Exp'!C159</f>
        <v>1</v>
      </c>
    </row>
    <row r="160" spans="1:41">
      <c r="A160" s="12" t="s">
        <v>255</v>
      </c>
      <c r="B160" s="12"/>
      <c r="C160" s="12" t="s">
        <v>112</v>
      </c>
      <c r="D160" s="12"/>
      <c r="E160" s="12">
        <v>43927</v>
      </c>
      <c r="G160" s="7">
        <f>648101+28309</f>
        <v>676410</v>
      </c>
      <c r="I160" s="7">
        <v>321239</v>
      </c>
      <c r="K160" s="2">
        <f t="shared" si="25"/>
        <v>2546795</v>
      </c>
      <c r="M160" s="7">
        <v>3544444</v>
      </c>
      <c r="O160" s="2">
        <f t="shared" si="20"/>
        <v>1047809</v>
      </c>
      <c r="Q160" s="7">
        <v>2370548</v>
      </c>
      <c r="S160" s="7">
        <v>3418357</v>
      </c>
      <c r="U160" s="7">
        <v>0</v>
      </c>
      <c r="W160" s="7">
        <v>321239</v>
      </c>
      <c r="Y160" s="7">
        <v>0</v>
      </c>
      <c r="AA160" s="7">
        <v>0</v>
      </c>
      <c r="AC160" s="7">
        <v>-195152</v>
      </c>
      <c r="AE160" s="13">
        <f t="shared" si="21"/>
        <v>126087</v>
      </c>
      <c r="AG160" s="7">
        <f t="shared" si="22"/>
        <v>0</v>
      </c>
      <c r="AK160" s="7" t="str">
        <f t="shared" si="23"/>
        <v>East Palestine City SD</v>
      </c>
      <c r="AL160" s="7" t="str">
        <f>'St of Activities - GA Exp'!A160</f>
        <v>East Palestine City SD</v>
      </c>
      <c r="AM160" s="7" t="b">
        <f t="shared" si="24"/>
        <v>1</v>
      </c>
      <c r="AN160" s="7" t="str">
        <f t="shared" si="19"/>
        <v>Columbiana</v>
      </c>
      <c r="AO160" s="7" t="b">
        <f>C160='St of Activities - GA Exp'!C160</f>
        <v>1</v>
      </c>
    </row>
    <row r="161" spans="1:41">
      <c r="A161" s="12" t="s">
        <v>220</v>
      </c>
      <c r="B161" s="12"/>
      <c r="C161" s="12" t="s">
        <v>77</v>
      </c>
      <c r="D161" s="12"/>
      <c r="E161" s="12">
        <v>46037</v>
      </c>
      <c r="G161" s="7">
        <v>1454600</v>
      </c>
      <c r="I161" s="7">
        <v>39589</v>
      </c>
      <c r="K161" s="2">
        <f t="shared" si="25"/>
        <v>3142088</v>
      </c>
      <c r="M161" s="7">
        <v>4636277</v>
      </c>
      <c r="O161" s="2">
        <f t="shared" si="20"/>
        <v>1176608</v>
      </c>
      <c r="Q161" s="7">
        <v>2454187</v>
      </c>
      <c r="S161" s="7">
        <v>3630795</v>
      </c>
      <c r="U161" s="7">
        <v>0</v>
      </c>
      <c r="W161" s="7">
        <v>39589</v>
      </c>
      <c r="Y161" s="7">
        <v>0</v>
      </c>
      <c r="AA161" s="7">
        <v>65812</v>
      </c>
      <c r="AC161" s="7">
        <v>900081</v>
      </c>
      <c r="AE161" s="13">
        <f t="shared" si="21"/>
        <v>1005482</v>
      </c>
      <c r="AG161" s="7">
        <f t="shared" si="22"/>
        <v>0</v>
      </c>
      <c r="AK161" s="7" t="str">
        <f t="shared" si="23"/>
        <v>Eastern Local SD</v>
      </c>
      <c r="AL161" s="7" t="str">
        <f>'St of Activities - GA Exp'!A161</f>
        <v>Eastern Local SD</v>
      </c>
      <c r="AM161" s="7" t="b">
        <f t="shared" si="24"/>
        <v>1</v>
      </c>
      <c r="AN161" s="7" t="str">
        <f t="shared" si="19"/>
        <v>Brown</v>
      </c>
      <c r="AO161" s="7" t="b">
        <f>C161='St of Activities - GA Exp'!C161</f>
        <v>1</v>
      </c>
    </row>
    <row r="162" spans="1:41">
      <c r="A162" s="12" t="s">
        <v>220</v>
      </c>
      <c r="B162" s="12"/>
      <c r="C162" s="12" t="s">
        <v>433</v>
      </c>
      <c r="D162" s="12"/>
      <c r="E162" s="12">
        <v>48512</v>
      </c>
      <c r="G162" s="7">
        <v>777855</v>
      </c>
      <c r="I162" s="7">
        <v>52866</v>
      </c>
      <c r="K162" s="2">
        <f t="shared" si="25"/>
        <v>1593953</v>
      </c>
      <c r="M162" s="7">
        <v>2424674</v>
      </c>
      <c r="O162" s="2">
        <f t="shared" si="20"/>
        <v>901584</v>
      </c>
      <c r="Q162" s="7">
        <v>1103171</v>
      </c>
      <c r="S162" s="7">
        <v>2004755</v>
      </c>
      <c r="U162" s="7">
        <v>19223</v>
      </c>
      <c r="W162" s="7">
        <v>52866</v>
      </c>
      <c r="Y162" s="7">
        <v>0</v>
      </c>
      <c r="AA162" s="7">
        <v>118650</v>
      </c>
      <c r="AC162" s="7">
        <v>229180</v>
      </c>
      <c r="AE162" s="13">
        <f t="shared" si="21"/>
        <v>419919</v>
      </c>
      <c r="AG162" s="7">
        <f t="shared" si="22"/>
        <v>0</v>
      </c>
      <c r="AK162" s="7" t="str">
        <f t="shared" si="23"/>
        <v>Eastern Local SD</v>
      </c>
      <c r="AL162" s="7" t="str">
        <f>'St of Activities - GA Exp'!A162</f>
        <v>Eastern Local SD</v>
      </c>
      <c r="AM162" s="7" t="b">
        <f t="shared" si="24"/>
        <v>1</v>
      </c>
      <c r="AN162" s="7" t="str">
        <f t="shared" si="19"/>
        <v>Meigs</v>
      </c>
      <c r="AO162" s="7" t="b">
        <f>C162='St of Activities - GA Exp'!C162</f>
        <v>1</v>
      </c>
    </row>
    <row r="163" spans="1:41" hidden="1">
      <c r="A163" s="12" t="s">
        <v>692</v>
      </c>
      <c r="B163" s="12"/>
      <c r="C163" s="12" t="s">
        <v>55</v>
      </c>
      <c r="D163" s="12"/>
      <c r="E163" s="12">
        <v>49122</v>
      </c>
      <c r="K163" s="2">
        <f t="shared" si="25"/>
        <v>0</v>
      </c>
      <c r="O163" s="2">
        <f t="shared" si="20"/>
        <v>0</v>
      </c>
      <c r="AE163" s="13">
        <f t="shared" si="21"/>
        <v>0</v>
      </c>
      <c r="AG163" s="7">
        <f t="shared" si="22"/>
        <v>0</v>
      </c>
      <c r="AI163" s="7" t="s">
        <v>839</v>
      </c>
      <c r="AK163" s="7" t="str">
        <f t="shared" si="23"/>
        <v>Eastern Local SD (CASH)</v>
      </c>
      <c r="AL163" s="7" t="str">
        <f>'St of Activities - GA Exp'!A163</f>
        <v>Eastern Local SD (CASH)</v>
      </c>
      <c r="AM163" s="7" t="b">
        <f t="shared" si="24"/>
        <v>1</v>
      </c>
      <c r="AN163" s="7" t="str">
        <f t="shared" si="19"/>
        <v>Pike</v>
      </c>
      <c r="AO163" s="7" t="b">
        <f>C163='St of Activities - GA Exp'!C163</f>
        <v>1</v>
      </c>
    </row>
    <row r="164" spans="1:41">
      <c r="A164" s="12" t="s">
        <v>573</v>
      </c>
      <c r="B164" s="12"/>
      <c r="C164" s="12" t="s">
        <v>72</v>
      </c>
      <c r="D164" s="12"/>
      <c r="E164" s="12">
        <v>50674</v>
      </c>
      <c r="G164" s="7">
        <v>7250934</v>
      </c>
      <c r="I164" s="7">
        <v>0</v>
      </c>
      <c r="K164" s="2">
        <f t="shared" si="25"/>
        <v>5822272</v>
      </c>
      <c r="M164" s="7">
        <v>13073206</v>
      </c>
      <c r="O164" s="2">
        <f t="shared" si="20"/>
        <v>1642711</v>
      </c>
      <c r="Q164" s="7">
        <v>4047713</v>
      </c>
      <c r="S164" s="7">
        <v>5690424</v>
      </c>
      <c r="U164" s="7">
        <v>136143</v>
      </c>
      <c r="W164" s="7">
        <v>0</v>
      </c>
      <c r="Y164" s="7">
        <v>0</v>
      </c>
      <c r="AA164" s="7">
        <v>1015274</v>
      </c>
      <c r="AC164" s="7">
        <v>6231365</v>
      </c>
      <c r="AE164" s="13">
        <f t="shared" si="21"/>
        <v>7382782</v>
      </c>
      <c r="AG164" s="7">
        <f t="shared" si="22"/>
        <v>0</v>
      </c>
      <c r="AI164" s="7" t="s">
        <v>845</v>
      </c>
      <c r="AK164" s="7" t="str">
        <f t="shared" si="23"/>
        <v>Eastwood Local SD</v>
      </c>
      <c r="AL164" s="7" t="str">
        <f>'St of Activities - GA Exp'!A164</f>
        <v>Eastwood Local SD</v>
      </c>
      <c r="AM164" s="7" t="b">
        <f t="shared" si="24"/>
        <v>1</v>
      </c>
      <c r="AN164" s="7" t="str">
        <f t="shared" si="19"/>
        <v>Wood</v>
      </c>
      <c r="AO164" s="7" t="b">
        <f>C164='St of Activities - GA Exp'!C164</f>
        <v>1</v>
      </c>
    </row>
    <row r="165" spans="1:41">
      <c r="A165" s="12" t="s">
        <v>712</v>
      </c>
      <c r="B165" s="12"/>
      <c r="C165" s="12" t="s">
        <v>57</v>
      </c>
      <c r="D165" s="12"/>
      <c r="E165" s="12">
        <v>43935</v>
      </c>
      <c r="G165" s="7">
        <f>3045518+7721505</f>
        <v>10767023</v>
      </c>
      <c r="I165" s="7">
        <v>1256104</v>
      </c>
      <c r="K165" s="2">
        <f t="shared" si="25"/>
        <v>6872900</v>
      </c>
      <c r="M165" s="7">
        <v>18896027</v>
      </c>
      <c r="O165" s="2">
        <f t="shared" si="20"/>
        <v>1754394</v>
      </c>
      <c r="Q165" s="7">
        <v>4716062</v>
      </c>
      <c r="S165" s="7">
        <v>6470456</v>
      </c>
      <c r="U165" s="7">
        <v>158341</v>
      </c>
      <c r="W165" s="7">
        <v>1269086</v>
      </c>
      <c r="Y165" s="7">
        <v>0</v>
      </c>
      <c r="AA165" s="7">
        <v>1952610</v>
      </c>
      <c r="AC165" s="7">
        <v>9045534</v>
      </c>
      <c r="AE165" s="13">
        <f t="shared" si="21"/>
        <v>12425571</v>
      </c>
      <c r="AG165" s="7">
        <f t="shared" si="22"/>
        <v>0</v>
      </c>
      <c r="AI165" s="7" t="s">
        <v>846</v>
      </c>
      <c r="AK165" s="7" t="str">
        <f t="shared" si="23"/>
        <v>Eaton Community SD</v>
      </c>
      <c r="AL165" s="7" t="str">
        <f>'St of Activities - GA Exp'!A165</f>
        <v>Eaton Community SD</v>
      </c>
      <c r="AM165" s="7" t="b">
        <f t="shared" si="24"/>
        <v>1</v>
      </c>
      <c r="AN165" s="7" t="str">
        <f t="shared" si="19"/>
        <v>Preble</v>
      </c>
      <c r="AO165" s="7" t="b">
        <f>C165='St of Activities - GA Exp'!C165</f>
        <v>1</v>
      </c>
    </row>
    <row r="166" spans="1:41" hidden="1">
      <c r="A166" s="12" t="s">
        <v>693</v>
      </c>
      <c r="B166" s="12"/>
      <c r="C166" s="12" t="s">
        <v>570</v>
      </c>
      <c r="D166" s="12"/>
      <c r="E166" s="12">
        <v>50617</v>
      </c>
      <c r="K166" s="2">
        <f t="shared" si="25"/>
        <v>0</v>
      </c>
      <c r="O166" s="2">
        <f t="shared" si="20"/>
        <v>0</v>
      </c>
      <c r="AE166" s="13">
        <f t="shared" si="21"/>
        <v>0</v>
      </c>
      <c r="AG166" s="7">
        <f t="shared" si="22"/>
        <v>0</v>
      </c>
      <c r="AI166" s="7" t="s">
        <v>839</v>
      </c>
      <c r="AK166" s="7" t="str">
        <f t="shared" si="23"/>
        <v>Edgerton Local SD (CASH)</v>
      </c>
      <c r="AL166" s="7" t="str">
        <f>'St of Activities - GA Exp'!A166</f>
        <v>Edgerton Local SD (CASH)</v>
      </c>
      <c r="AM166" s="7" t="b">
        <f t="shared" si="24"/>
        <v>1</v>
      </c>
      <c r="AN166" s="7" t="str">
        <f t="shared" si="19"/>
        <v>Williams</v>
      </c>
      <c r="AO166" s="7" t="b">
        <f>C166='St of Activities - GA Exp'!C166</f>
        <v>1</v>
      </c>
    </row>
    <row r="167" spans="1:41">
      <c r="A167" s="12" t="s">
        <v>694</v>
      </c>
      <c r="B167" s="12"/>
      <c r="C167" s="12" t="s">
        <v>223</v>
      </c>
      <c r="D167" s="12"/>
      <c r="E167" s="12">
        <v>46094</v>
      </c>
      <c r="G167" s="7">
        <v>3580459</v>
      </c>
      <c r="I167" s="7">
        <v>0</v>
      </c>
      <c r="K167" s="2">
        <f t="shared" si="25"/>
        <v>11407828</v>
      </c>
      <c r="M167" s="7">
        <v>14988287</v>
      </c>
      <c r="O167" s="2">
        <f t="shared" si="20"/>
        <v>3848564</v>
      </c>
      <c r="Q167" s="7">
        <f>75405+10639300</f>
        <v>10714705</v>
      </c>
      <c r="S167" s="7">
        <v>14563269</v>
      </c>
      <c r="U167" s="7">
        <v>674</v>
      </c>
      <c r="W167" s="7">
        <v>0</v>
      </c>
      <c r="Y167" s="7">
        <v>0</v>
      </c>
      <c r="AA167" s="7">
        <f>517+85082+13597+3830</f>
        <v>103026</v>
      </c>
      <c r="AC167" s="7">
        <v>321318</v>
      </c>
      <c r="AE167" s="13">
        <f t="shared" si="21"/>
        <v>425018</v>
      </c>
      <c r="AG167" s="7">
        <f t="shared" si="22"/>
        <v>0</v>
      </c>
      <c r="AK167" s="7" t="str">
        <f t="shared" si="23"/>
        <v xml:space="preserve">Edgewood City SD </v>
      </c>
      <c r="AL167" s="7" t="str">
        <f>'St of Activities - GA Exp'!A167</f>
        <v xml:space="preserve">Edgewood City SD </v>
      </c>
      <c r="AM167" s="7" t="b">
        <f t="shared" si="24"/>
        <v>1</v>
      </c>
      <c r="AN167" s="7" t="str">
        <f t="shared" si="19"/>
        <v>Butler</v>
      </c>
      <c r="AO167" s="7" t="b">
        <f>C167='St of Activities - GA Exp'!C167</f>
        <v>1</v>
      </c>
    </row>
    <row r="168" spans="1:41">
      <c r="A168" s="12" t="s">
        <v>372</v>
      </c>
      <c r="B168" s="12"/>
      <c r="C168" s="12" t="s">
        <v>39</v>
      </c>
      <c r="D168" s="12"/>
      <c r="E168" s="12">
        <v>47795</v>
      </c>
      <c r="G168" s="7">
        <v>1105697</v>
      </c>
      <c r="I168" s="7">
        <v>15362</v>
      </c>
      <c r="K168" s="2">
        <f t="shared" si="25"/>
        <v>8400487</v>
      </c>
      <c r="M168" s="7">
        <v>9521546</v>
      </c>
      <c r="O168" s="2">
        <f t="shared" si="20"/>
        <v>1762144</v>
      </c>
      <c r="Q168" s="7">
        <f>7003693+636524</f>
        <v>7640217</v>
      </c>
      <c r="S168" s="7">
        <v>9402361</v>
      </c>
      <c r="U168" s="7">
        <v>97402</v>
      </c>
      <c r="W168" s="7">
        <v>15362</v>
      </c>
      <c r="Y168" s="7">
        <v>0</v>
      </c>
      <c r="AA168" s="7">
        <f>15397+191474+5740+935</f>
        <v>213546</v>
      </c>
      <c r="AC168" s="7">
        <v>-207125</v>
      </c>
      <c r="AE168" s="13">
        <f t="shared" si="21"/>
        <v>119185</v>
      </c>
      <c r="AG168" s="7">
        <f t="shared" si="22"/>
        <v>0</v>
      </c>
      <c r="AK168" s="7" t="str">
        <f t="shared" si="23"/>
        <v>Edison Local SD</v>
      </c>
      <c r="AL168" s="7" t="str">
        <f>'St of Activities - GA Exp'!A168</f>
        <v>Edison Local SD</v>
      </c>
      <c r="AM168" s="7" t="b">
        <f t="shared" si="24"/>
        <v>1</v>
      </c>
      <c r="AN168" s="7" t="str">
        <f t="shared" si="19"/>
        <v>Jefferson</v>
      </c>
      <c r="AO168" s="7" t="b">
        <f>C168='St of Activities - GA Exp'!C168</f>
        <v>1</v>
      </c>
    </row>
    <row r="169" spans="1:41" hidden="1">
      <c r="A169" s="12" t="s">
        <v>847</v>
      </c>
      <c r="B169" s="12"/>
      <c r="C169" s="12" t="s">
        <v>570</v>
      </c>
      <c r="D169" s="12"/>
      <c r="E169" s="12">
        <v>50625</v>
      </c>
      <c r="K169" s="2">
        <f t="shared" si="25"/>
        <v>0</v>
      </c>
      <c r="O169" s="2">
        <f t="shared" si="20"/>
        <v>0</v>
      </c>
      <c r="AE169" s="13">
        <f t="shared" si="21"/>
        <v>0</v>
      </c>
      <c r="AG169" s="7">
        <f t="shared" si="22"/>
        <v>0</v>
      </c>
      <c r="AI169" s="7" t="s">
        <v>837</v>
      </c>
      <c r="AK169" s="7" t="str">
        <f t="shared" si="23"/>
        <v>Edon-Northwest Local SD (CASH)</v>
      </c>
      <c r="AL169" s="7" t="str">
        <f>'St of Activities - GA Exp'!A169</f>
        <v>Edon-Northwest Local SD (CASH)</v>
      </c>
      <c r="AM169" s="7" t="b">
        <f t="shared" si="24"/>
        <v>1</v>
      </c>
      <c r="AN169" s="7" t="str">
        <f t="shared" si="19"/>
        <v>Williams</v>
      </c>
      <c r="AO169" s="7" t="b">
        <f>C169='St of Activities - GA Exp'!C169</f>
        <v>1</v>
      </c>
    </row>
    <row r="170" spans="1:41" hidden="1">
      <c r="A170" s="12" t="s">
        <v>695</v>
      </c>
      <c r="B170" s="12"/>
      <c r="C170" s="12" t="s">
        <v>10</v>
      </c>
      <c r="D170" s="12"/>
      <c r="E170" s="12"/>
      <c r="K170" s="2">
        <f t="shared" si="25"/>
        <v>0</v>
      </c>
      <c r="O170" s="2">
        <f t="shared" si="20"/>
        <v>0</v>
      </c>
      <c r="AE170" s="13">
        <f t="shared" si="21"/>
        <v>0</v>
      </c>
      <c r="AG170" s="7">
        <f t="shared" si="22"/>
        <v>0</v>
      </c>
      <c r="AI170" s="7" t="s">
        <v>839</v>
      </c>
      <c r="AK170" s="7" t="str">
        <f t="shared" si="23"/>
        <v>Elida Local SD (CASH)</v>
      </c>
      <c r="AL170" s="7" t="str">
        <f>'St of Activities - GA Exp'!A170</f>
        <v>Elida Local SD (CASH)</v>
      </c>
      <c r="AM170" s="7" t="b">
        <f t="shared" si="24"/>
        <v>1</v>
      </c>
      <c r="AN170" s="7" t="str">
        <f t="shared" si="19"/>
        <v>Allen</v>
      </c>
      <c r="AO170" s="7" t="b">
        <f>C170='St of Activities - GA Exp'!C170</f>
        <v>1</v>
      </c>
    </row>
    <row r="171" spans="1:41">
      <c r="A171" s="12" t="s">
        <v>713</v>
      </c>
      <c r="B171" s="12"/>
      <c r="C171" s="12" t="s">
        <v>46</v>
      </c>
      <c r="D171" s="12"/>
      <c r="E171" s="12">
        <v>48413</v>
      </c>
      <c r="G171" s="7">
        <v>2445588</v>
      </c>
      <c r="I171" s="7">
        <v>212044</v>
      </c>
      <c r="K171" s="2">
        <f t="shared" si="25"/>
        <v>4041901</v>
      </c>
      <c r="M171" s="7">
        <v>6699533</v>
      </c>
      <c r="O171" s="2">
        <f t="shared" si="20"/>
        <v>1127341</v>
      </c>
      <c r="Q171" s="7">
        <v>2099705</v>
      </c>
      <c r="S171" s="7">
        <v>3227046</v>
      </c>
      <c r="U171" s="7">
        <v>69539</v>
      </c>
      <c r="W171" s="7">
        <v>212044</v>
      </c>
      <c r="Y171" s="7">
        <v>76925</v>
      </c>
      <c r="AA171" s="7">
        <v>154963</v>
      </c>
      <c r="AC171" s="7">
        <v>2959016</v>
      </c>
      <c r="AE171" s="13">
        <f t="shared" si="21"/>
        <v>3472487</v>
      </c>
      <c r="AG171" s="7">
        <f t="shared" si="22"/>
        <v>0</v>
      </c>
      <c r="AK171" s="7" t="str">
        <f t="shared" si="23"/>
        <v xml:space="preserve">Elgin Local SD </v>
      </c>
      <c r="AL171" s="7" t="str">
        <f>'St of Activities - GA Exp'!A171</f>
        <v xml:space="preserve">Elgin Local SD </v>
      </c>
      <c r="AM171" s="7" t="b">
        <f t="shared" si="24"/>
        <v>1</v>
      </c>
      <c r="AN171" s="7" t="str">
        <f t="shared" si="19"/>
        <v>Marion</v>
      </c>
      <c r="AO171" s="7" t="b">
        <f>C171='St of Activities - GA Exp'!C171</f>
        <v>1</v>
      </c>
    </row>
    <row r="172" spans="1:41" hidden="1">
      <c r="A172" s="12" t="s">
        <v>728</v>
      </c>
      <c r="B172" s="12"/>
      <c r="C172" s="12" t="s">
        <v>72</v>
      </c>
      <c r="D172" s="12"/>
      <c r="E172" s="12"/>
      <c r="K172" s="2">
        <f t="shared" si="25"/>
        <v>0</v>
      </c>
      <c r="O172" s="2">
        <f t="shared" si="20"/>
        <v>0</v>
      </c>
      <c r="AE172" s="13">
        <f t="shared" si="21"/>
        <v>0</v>
      </c>
      <c r="AG172" s="7">
        <f t="shared" si="22"/>
        <v>0</v>
      </c>
      <c r="AI172" s="7" t="s">
        <v>839</v>
      </c>
      <c r="AK172" s="7" t="str">
        <f t="shared" si="23"/>
        <v>Elmwood Local SD (CASH)</v>
      </c>
      <c r="AL172" s="7" t="str">
        <f>'St of Activities - GA Exp'!A172</f>
        <v>Elmwood Local SD (CASH)</v>
      </c>
      <c r="AM172" s="7" t="b">
        <f t="shared" si="24"/>
        <v>1</v>
      </c>
      <c r="AN172" s="7" t="str">
        <f t="shared" si="19"/>
        <v>Wood</v>
      </c>
      <c r="AO172" s="7" t="b">
        <f>C172='St of Activities - GA Exp'!C172</f>
        <v>1</v>
      </c>
    </row>
    <row r="173" spans="1:41">
      <c r="A173" s="12" t="s">
        <v>396</v>
      </c>
      <c r="B173" s="12"/>
      <c r="C173" s="12" t="s">
        <v>44</v>
      </c>
      <c r="D173" s="12"/>
      <c r="E173" s="12">
        <v>43943</v>
      </c>
      <c r="G173" s="7">
        <f>5297400</f>
        <v>5297400</v>
      </c>
      <c r="I173" s="7">
        <v>687692</v>
      </c>
      <c r="K173" s="2">
        <f t="shared" si="25"/>
        <v>35646364</v>
      </c>
      <c r="M173" s="7">
        <v>41631456</v>
      </c>
      <c r="O173" s="2">
        <f t="shared" si="20"/>
        <v>8672709</v>
      </c>
      <c r="Q173" s="7">
        <v>29299617</v>
      </c>
      <c r="S173" s="7">
        <v>37972326</v>
      </c>
      <c r="U173" s="7">
        <v>5391</v>
      </c>
      <c r="W173" s="7">
        <v>687692</v>
      </c>
      <c r="Y173" s="7">
        <v>0</v>
      </c>
      <c r="AA173" s="7">
        <v>1651309</v>
      </c>
      <c r="AC173" s="7">
        <v>1314738</v>
      </c>
      <c r="AE173" s="13">
        <f t="shared" si="21"/>
        <v>3659130</v>
      </c>
      <c r="AG173" s="7">
        <f t="shared" si="22"/>
        <v>0</v>
      </c>
      <c r="AK173" s="7" t="str">
        <f t="shared" si="23"/>
        <v>Elyria City SD</v>
      </c>
      <c r="AL173" s="7" t="str">
        <f>'St of Activities - GA Exp'!A173</f>
        <v>Elyria City SD</v>
      </c>
      <c r="AM173" s="7" t="b">
        <f t="shared" si="24"/>
        <v>1</v>
      </c>
      <c r="AN173" s="7" t="str">
        <f t="shared" si="19"/>
        <v>Lorain</v>
      </c>
      <c r="AO173" s="7" t="b">
        <f>C173='St of Activities - GA Exp'!C173</f>
        <v>1</v>
      </c>
    </row>
    <row r="174" spans="1:41">
      <c r="A174" s="12" t="s">
        <v>273</v>
      </c>
      <c r="B174" s="12"/>
      <c r="C174" s="12" t="s">
        <v>20</v>
      </c>
      <c r="D174" s="12"/>
      <c r="E174" s="12">
        <v>43950</v>
      </c>
      <c r="G174" s="7">
        <v>4104919</v>
      </c>
      <c r="I174" s="7">
        <v>1276135</v>
      </c>
      <c r="K174" s="2">
        <f t="shared" si="25"/>
        <v>40944336</v>
      </c>
      <c r="M174" s="7">
        <v>46325390</v>
      </c>
      <c r="O174" s="2">
        <f t="shared" si="20"/>
        <v>7975061</v>
      </c>
      <c r="Q174" s="7">
        <v>34237440</v>
      </c>
      <c r="S174" s="7">
        <v>42212501</v>
      </c>
      <c r="U174" s="7">
        <v>201638</v>
      </c>
      <c r="W174" s="7">
        <v>0</v>
      </c>
      <c r="Y174" s="7">
        <v>213035</v>
      </c>
      <c r="AA174" s="7">
        <v>1554510</v>
      </c>
      <c r="AC174" s="7">
        <v>2143706</v>
      </c>
      <c r="AE174" s="13">
        <f t="shared" si="21"/>
        <v>4112889</v>
      </c>
      <c r="AG174" s="7">
        <f t="shared" si="22"/>
        <v>0</v>
      </c>
      <c r="AK174" s="7" t="str">
        <f t="shared" si="23"/>
        <v>Euclid City SD</v>
      </c>
      <c r="AL174" s="7" t="str">
        <f>'St of Activities - GA Exp'!A174</f>
        <v>Euclid City SD</v>
      </c>
      <c r="AM174" s="7" t="b">
        <f t="shared" si="24"/>
        <v>1</v>
      </c>
      <c r="AN174" s="7" t="str">
        <f t="shared" si="19"/>
        <v>Cuyahoga</v>
      </c>
      <c r="AO174" s="7" t="b">
        <f>C174='St of Activities - GA Exp'!C174</f>
        <v>1</v>
      </c>
    </row>
    <row r="175" spans="1:41" hidden="1">
      <c r="A175" s="12" t="s">
        <v>646</v>
      </c>
      <c r="B175" s="12"/>
      <c r="C175" s="12" t="s">
        <v>28</v>
      </c>
      <c r="D175" s="12"/>
      <c r="E175" s="12">
        <v>47050</v>
      </c>
      <c r="K175" s="2">
        <f t="shared" si="25"/>
        <v>0</v>
      </c>
      <c r="O175" s="2">
        <f t="shared" si="20"/>
        <v>0</v>
      </c>
      <c r="AE175" s="13">
        <f t="shared" si="21"/>
        <v>0</v>
      </c>
      <c r="AG175" s="7">
        <f t="shared" si="22"/>
        <v>0</v>
      </c>
      <c r="AI175" s="7" t="s">
        <v>839</v>
      </c>
      <c r="AK175" s="7" t="str">
        <f t="shared" si="23"/>
        <v>Evergreen Local SD (CASH)</v>
      </c>
      <c r="AL175" s="7" t="str">
        <f>'St of Activities - GA Exp'!A175</f>
        <v>Evergreen Local SD (CASH)</v>
      </c>
      <c r="AM175" s="7" t="b">
        <f t="shared" si="24"/>
        <v>1</v>
      </c>
      <c r="AN175" s="7" t="str">
        <f t="shared" si="19"/>
        <v>Fulton</v>
      </c>
      <c r="AO175" s="7" t="b">
        <f>C175='St of Activities - GA Exp'!C175</f>
        <v>1</v>
      </c>
    </row>
    <row r="176" spans="1:41">
      <c r="A176" s="12" t="s">
        <v>555</v>
      </c>
      <c r="B176" s="12"/>
      <c r="C176" s="12" t="s">
        <v>66</v>
      </c>
      <c r="D176" s="12"/>
      <c r="E176" s="12">
        <v>50328</v>
      </c>
      <c r="G176" s="7">
        <v>1922476</v>
      </c>
      <c r="I176" s="7">
        <v>0</v>
      </c>
      <c r="K176" s="2">
        <f t="shared" si="25"/>
        <v>5510233</v>
      </c>
      <c r="M176" s="7">
        <v>7432709</v>
      </c>
      <c r="O176" s="2">
        <f t="shared" si="20"/>
        <v>1105775</v>
      </c>
      <c r="Q176" s="7">
        <f>242646+4170160</f>
        <v>4412806</v>
      </c>
      <c r="S176" s="7">
        <v>5518581</v>
      </c>
      <c r="U176" s="7">
        <v>18672</v>
      </c>
      <c r="W176" s="7">
        <v>0</v>
      </c>
      <c r="Y176" s="7">
        <v>0</v>
      </c>
      <c r="AA176" s="7">
        <f>8332+41746+18515</f>
        <v>68593</v>
      </c>
      <c r="AC176" s="7">
        <v>1826863</v>
      </c>
      <c r="AE176" s="13">
        <f t="shared" si="21"/>
        <v>1914128</v>
      </c>
      <c r="AG176" s="7">
        <f t="shared" si="22"/>
        <v>0</v>
      </c>
      <c r="AK176" s="7" t="str">
        <f t="shared" si="23"/>
        <v>Fairbanks Local SD</v>
      </c>
      <c r="AL176" s="7" t="str">
        <f>'St of Activities - GA Exp'!A176</f>
        <v>Fairbanks Local SD</v>
      </c>
      <c r="AM176" s="7" t="b">
        <f t="shared" si="24"/>
        <v>1</v>
      </c>
      <c r="AN176" s="7" t="str">
        <f t="shared" si="19"/>
        <v>Union</v>
      </c>
      <c r="AO176" s="7" t="b">
        <f>C176='St of Activities - GA Exp'!C176</f>
        <v>1</v>
      </c>
    </row>
    <row r="177" spans="1:41">
      <c r="A177" s="12" t="s">
        <v>653</v>
      </c>
      <c r="B177" s="12"/>
      <c r="C177" s="12" t="s">
        <v>114</v>
      </c>
      <c r="D177" s="12"/>
      <c r="E177" s="12">
        <v>46102</v>
      </c>
      <c r="G177" s="7">
        <v>3848109</v>
      </c>
      <c r="I177" s="7">
        <v>1109875</v>
      </c>
      <c r="K177" s="2">
        <f t="shared" si="25"/>
        <v>17775320</v>
      </c>
      <c r="M177" s="7">
        <v>22733304</v>
      </c>
      <c r="O177" s="2">
        <f t="shared" si="20"/>
        <v>5118303</v>
      </c>
      <c r="Q177" s="7">
        <v>15013759</v>
      </c>
      <c r="S177" s="7">
        <v>20132062</v>
      </c>
      <c r="U177" s="7">
        <v>0</v>
      </c>
      <c r="W177" s="7">
        <v>1109875</v>
      </c>
      <c r="Y177" s="7">
        <v>0</v>
      </c>
      <c r="AA177" s="7">
        <v>208250</v>
      </c>
      <c r="AC177" s="7">
        <v>1283117</v>
      </c>
      <c r="AE177" s="13">
        <f t="shared" si="21"/>
        <v>2601242</v>
      </c>
      <c r="AG177" s="7">
        <f t="shared" si="22"/>
        <v>0</v>
      </c>
      <c r="AK177" s="7" t="str">
        <f t="shared" si="23"/>
        <v>Fairborn City SD</v>
      </c>
      <c r="AL177" s="7" t="str">
        <f>'St of Activities - GA Exp'!A177</f>
        <v>Fairborn City SD</v>
      </c>
      <c r="AM177" s="7" t="b">
        <f t="shared" si="24"/>
        <v>1</v>
      </c>
      <c r="AN177" s="7" t="str">
        <f t="shared" si="19"/>
        <v>Greene</v>
      </c>
      <c r="AO177" s="7" t="b">
        <f>C177='St of Activities - GA Exp'!C177</f>
        <v>1</v>
      </c>
    </row>
    <row r="178" spans="1:41">
      <c r="A178" s="12" t="s">
        <v>224</v>
      </c>
      <c r="B178" s="12"/>
      <c r="C178" s="12" t="s">
        <v>223</v>
      </c>
      <c r="D178" s="12"/>
      <c r="E178" s="12">
        <v>46102</v>
      </c>
      <c r="G178" s="7">
        <v>11091562</v>
      </c>
      <c r="I178" s="7">
        <v>203843</v>
      </c>
      <c r="K178" s="2">
        <f t="shared" si="25"/>
        <v>45918192</v>
      </c>
      <c r="M178" s="7">
        <v>57213597</v>
      </c>
      <c r="O178" s="2">
        <f t="shared" si="20"/>
        <v>9663475</v>
      </c>
      <c r="Q178" s="7">
        <v>44388439</v>
      </c>
      <c r="S178" s="7">
        <v>54051914</v>
      </c>
      <c r="U178" s="7">
        <v>0</v>
      </c>
      <c r="W178" s="7">
        <v>0</v>
      </c>
      <c r="Y178" s="7">
        <v>0</v>
      </c>
      <c r="AA178" s="7">
        <v>629719</v>
      </c>
      <c r="AC178" s="7">
        <v>2531964</v>
      </c>
      <c r="AE178" s="13">
        <f t="shared" si="21"/>
        <v>3161683</v>
      </c>
      <c r="AG178" s="7">
        <f t="shared" si="22"/>
        <v>0</v>
      </c>
      <c r="AK178" s="7" t="str">
        <f t="shared" si="23"/>
        <v>Fairfield City SD</v>
      </c>
      <c r="AL178" s="7" t="str">
        <f>'St of Activities - GA Exp'!A178</f>
        <v>Fairfield City SD</v>
      </c>
      <c r="AM178" s="7" t="b">
        <f t="shared" si="24"/>
        <v>1</v>
      </c>
      <c r="AN178" s="7" t="str">
        <f t="shared" si="19"/>
        <v>Butler</v>
      </c>
      <c r="AO178" s="7" t="b">
        <f>C178='St of Activities - GA Exp'!C178</f>
        <v>1</v>
      </c>
    </row>
    <row r="179" spans="1:41">
      <c r="A179" s="12" t="s">
        <v>359</v>
      </c>
      <c r="B179" s="12"/>
      <c r="C179" s="12" t="s">
        <v>358</v>
      </c>
      <c r="D179" s="12"/>
      <c r="E179" s="12">
        <v>47621</v>
      </c>
      <c r="G179" s="7">
        <v>1907971</v>
      </c>
      <c r="I179" s="7">
        <v>0</v>
      </c>
      <c r="K179" s="2">
        <f t="shared" si="25"/>
        <v>1067055</v>
      </c>
      <c r="M179" s="7">
        <v>2975026</v>
      </c>
      <c r="O179" s="2">
        <f t="shared" si="20"/>
        <v>780250</v>
      </c>
      <c r="Q179" s="7">
        <v>968566</v>
      </c>
      <c r="S179" s="7">
        <v>1748816</v>
      </c>
      <c r="U179" s="7">
        <v>22000</v>
      </c>
      <c r="W179" s="7">
        <v>0</v>
      </c>
      <c r="Y179" s="7">
        <v>0</v>
      </c>
      <c r="AA179" s="7">
        <v>54591</v>
      </c>
      <c r="AC179" s="7">
        <v>1149619</v>
      </c>
      <c r="AE179" s="13">
        <f t="shared" si="21"/>
        <v>1226210</v>
      </c>
      <c r="AG179" s="7">
        <f t="shared" si="22"/>
        <v>0</v>
      </c>
      <c r="AK179" s="7" t="str">
        <f t="shared" si="23"/>
        <v>Fairfield Local SD</v>
      </c>
      <c r="AL179" s="7" t="str">
        <f>'St of Activities - GA Exp'!A179</f>
        <v>Fairfield Local SD</v>
      </c>
      <c r="AM179" s="7" t="b">
        <f t="shared" si="24"/>
        <v>1</v>
      </c>
      <c r="AN179" s="7" t="str">
        <f t="shared" si="19"/>
        <v>Highland</v>
      </c>
      <c r="AO179" s="7" t="b">
        <f>C179='St of Activities - GA Exp'!C179</f>
        <v>1</v>
      </c>
    </row>
    <row r="180" spans="1:41">
      <c r="A180" s="12" t="s">
        <v>300</v>
      </c>
      <c r="B180" s="12"/>
      <c r="C180" s="12" t="s">
        <v>25</v>
      </c>
      <c r="D180" s="12"/>
      <c r="E180" s="12">
        <v>46870</v>
      </c>
      <c r="G180" s="7">
        <v>4505833</v>
      </c>
      <c r="I180" s="7">
        <v>0</v>
      </c>
      <c r="K180" s="2">
        <f t="shared" si="25"/>
        <v>6210391</v>
      </c>
      <c r="M180" s="7">
        <v>10716224</v>
      </c>
      <c r="O180" s="2">
        <f t="shared" si="20"/>
        <v>2087330</v>
      </c>
      <c r="Q180" s="7">
        <f>3508260+475056</f>
        <v>3983316</v>
      </c>
      <c r="S180" s="7">
        <v>6070646</v>
      </c>
      <c r="U180" s="7">
        <v>90050</v>
      </c>
      <c r="W180" s="7">
        <v>0</v>
      </c>
      <c r="Y180" s="7">
        <v>14981</v>
      </c>
      <c r="AA180" s="7">
        <f>22935+162473+1010</f>
        <v>186418</v>
      </c>
      <c r="AC180" s="7">
        <v>4354129</v>
      </c>
      <c r="AE180" s="13">
        <f t="shared" si="21"/>
        <v>4645578</v>
      </c>
      <c r="AG180" s="7">
        <f t="shared" si="22"/>
        <v>0</v>
      </c>
      <c r="AK180" s="7" t="str">
        <f t="shared" si="23"/>
        <v>Fairfield Union Local SD</v>
      </c>
      <c r="AL180" s="7" t="str">
        <f>'St of Activities - GA Exp'!A180</f>
        <v>Fairfield Union Local SD</v>
      </c>
      <c r="AM180" s="7" t="b">
        <f t="shared" si="24"/>
        <v>1</v>
      </c>
      <c r="AN180" s="7" t="str">
        <f t="shared" si="19"/>
        <v>Fairfield</v>
      </c>
      <c r="AO180" s="7" t="b">
        <f>C180='St of Activities - GA Exp'!C180</f>
        <v>1</v>
      </c>
    </row>
    <row r="181" spans="1:41" s="32" customFormat="1">
      <c r="A181" s="31" t="s">
        <v>379</v>
      </c>
      <c r="B181" s="31"/>
      <c r="C181" s="31" t="s">
        <v>377</v>
      </c>
      <c r="D181" s="31"/>
      <c r="E181" s="31">
        <v>47936</v>
      </c>
      <c r="G181" s="32">
        <v>4803840</v>
      </c>
      <c r="I181" s="32">
        <v>320775</v>
      </c>
      <c r="K181" s="34">
        <f t="shared" si="25"/>
        <v>3243540</v>
      </c>
      <c r="M181" s="32">
        <v>8368155</v>
      </c>
      <c r="O181" s="34">
        <f t="shared" si="20"/>
        <v>1767157</v>
      </c>
      <c r="Q181" s="32">
        <v>2942531</v>
      </c>
      <c r="S181" s="32">
        <v>4709688</v>
      </c>
      <c r="U181" s="32">
        <v>0</v>
      </c>
      <c r="W181" s="32">
        <v>277315</v>
      </c>
      <c r="Y181" s="32">
        <v>49341</v>
      </c>
      <c r="AA181" s="32">
        <f>28497+115017</f>
        <v>143514</v>
      </c>
      <c r="AC181" s="32">
        <v>3188297</v>
      </c>
      <c r="AE181" s="45">
        <f t="shared" si="21"/>
        <v>3658467</v>
      </c>
      <c r="AG181" s="32">
        <f t="shared" si="22"/>
        <v>0</v>
      </c>
      <c r="AK181" s="32" t="str">
        <f t="shared" si="23"/>
        <v>Fairland Local SD</v>
      </c>
      <c r="AL181" s="32" t="str">
        <f>'St of Activities - GA Exp'!A181</f>
        <v>Fairland Local SD</v>
      </c>
      <c r="AM181" s="32" t="b">
        <f t="shared" si="24"/>
        <v>1</v>
      </c>
      <c r="AN181" s="32" t="str">
        <f t="shared" si="19"/>
        <v>Lawrence</v>
      </c>
      <c r="AO181" s="32" t="b">
        <f>C181='St of Activities - GA Exp'!C181</f>
        <v>1</v>
      </c>
    </row>
    <row r="182" spans="1:41" hidden="1">
      <c r="A182" s="12" t="s">
        <v>647</v>
      </c>
      <c r="B182" s="12"/>
      <c r="C182" s="12" t="s">
        <v>61</v>
      </c>
      <c r="D182" s="12"/>
      <c r="E182" s="12">
        <v>49775</v>
      </c>
      <c r="K182" s="2">
        <f t="shared" si="25"/>
        <v>0</v>
      </c>
      <c r="O182" s="2">
        <f t="shared" si="20"/>
        <v>0</v>
      </c>
      <c r="AE182" s="13">
        <f t="shared" si="21"/>
        <v>0</v>
      </c>
      <c r="AG182" s="7">
        <f t="shared" si="22"/>
        <v>0</v>
      </c>
      <c r="AI182" s="7" t="s">
        <v>839</v>
      </c>
      <c r="AK182" s="7" t="str">
        <f t="shared" si="23"/>
        <v>Fairlawn Local SD (CASH)</v>
      </c>
      <c r="AL182" s="7" t="str">
        <f>'St of Activities - GA Exp'!A182</f>
        <v>Fairlawn Local SD (CASH)</v>
      </c>
      <c r="AM182" s="7" t="b">
        <f t="shared" si="24"/>
        <v>1</v>
      </c>
      <c r="AN182" s="7" t="str">
        <f t="shared" si="19"/>
        <v>Shelby</v>
      </c>
      <c r="AO182" s="7" t="b">
        <f>C182='St of Activities - GA Exp'!C182</f>
        <v>1</v>
      </c>
    </row>
    <row r="183" spans="1:41">
      <c r="A183" s="12" t="s">
        <v>511</v>
      </c>
      <c r="B183" s="12"/>
      <c r="C183" s="12" t="s">
        <v>62</v>
      </c>
      <c r="D183" s="12"/>
      <c r="E183" s="12">
        <v>49841</v>
      </c>
      <c r="G183" s="7">
        <v>3667722</v>
      </c>
      <c r="I183" s="7">
        <v>120642</v>
      </c>
      <c r="K183" s="2">
        <f t="shared" si="25"/>
        <v>5293102</v>
      </c>
      <c r="M183" s="7">
        <v>9081466</v>
      </c>
      <c r="O183" s="2">
        <f t="shared" si="20"/>
        <v>1827063</v>
      </c>
      <c r="Q183" s="7">
        <f>4154446+292440</f>
        <v>4446886</v>
      </c>
      <c r="S183" s="7">
        <v>6273949</v>
      </c>
      <c r="U183" s="7">
        <v>8438</v>
      </c>
      <c r="W183" s="7">
        <v>120642</v>
      </c>
      <c r="Y183" s="7">
        <v>0</v>
      </c>
      <c r="AA183" s="7">
        <f>173568+82813</f>
        <v>256381</v>
      </c>
      <c r="AC183" s="7">
        <v>2422056</v>
      </c>
      <c r="AE183" s="13">
        <f t="shared" si="21"/>
        <v>2807517</v>
      </c>
      <c r="AG183" s="7">
        <f t="shared" si="22"/>
        <v>0</v>
      </c>
      <c r="AK183" s="7" t="str">
        <f t="shared" si="23"/>
        <v>Fairless Local SD</v>
      </c>
      <c r="AL183" s="7" t="str">
        <f>'St of Activities - GA Exp'!A183</f>
        <v>Fairless Local SD</v>
      </c>
      <c r="AM183" s="7" t="b">
        <f t="shared" si="24"/>
        <v>1</v>
      </c>
      <c r="AN183" s="7" t="str">
        <f t="shared" si="19"/>
        <v>Stark</v>
      </c>
      <c r="AO183" s="7" t="b">
        <f>C183='St of Activities - GA Exp'!C183</f>
        <v>1</v>
      </c>
    </row>
    <row r="184" spans="1:41" hidden="1">
      <c r="A184" s="12" t="s">
        <v>711</v>
      </c>
      <c r="B184" s="12"/>
      <c r="C184" s="12" t="s">
        <v>41</v>
      </c>
      <c r="D184" s="12"/>
      <c r="E184" s="12">
        <v>45369</v>
      </c>
      <c r="K184" s="2">
        <f t="shared" si="25"/>
        <v>0</v>
      </c>
      <c r="O184" s="2">
        <f t="shared" si="20"/>
        <v>0</v>
      </c>
      <c r="AE184" s="13">
        <f t="shared" si="21"/>
        <v>0</v>
      </c>
      <c r="AG184" s="7">
        <f t="shared" si="22"/>
        <v>0</v>
      </c>
      <c r="AI184" s="7" t="s">
        <v>848</v>
      </c>
      <c r="AK184" s="7" t="str">
        <f t="shared" si="23"/>
        <v>Fairport Harbor Ex Vill SD - Two Year Audit</v>
      </c>
      <c r="AL184" s="7" t="str">
        <f>'St of Activities - GA Exp'!A184</f>
        <v>Fairport Harbor Ex Vill SD - Two Year Audit</v>
      </c>
      <c r="AM184" s="7" t="b">
        <f t="shared" si="24"/>
        <v>1</v>
      </c>
      <c r="AN184" s="7" t="str">
        <f t="shared" si="19"/>
        <v>Lake</v>
      </c>
      <c r="AO184" s="7" t="b">
        <f>C184='St of Activities - GA Exp'!C184</f>
        <v>1</v>
      </c>
    </row>
    <row r="185" spans="1:41">
      <c r="A185" s="12" t="s">
        <v>274</v>
      </c>
      <c r="B185" s="12"/>
      <c r="C185" s="12" t="s">
        <v>20</v>
      </c>
      <c r="D185" s="12"/>
      <c r="E185" s="12">
        <v>43976</v>
      </c>
      <c r="G185" s="7">
        <v>12664908</v>
      </c>
      <c r="I185" s="7">
        <v>0</v>
      </c>
      <c r="K185" s="2">
        <f t="shared" si="25"/>
        <v>16418197</v>
      </c>
      <c r="M185" s="7">
        <v>29083105</v>
      </c>
      <c r="O185" s="2">
        <f t="shared" si="20"/>
        <v>2276610</v>
      </c>
      <c r="Q185" s="7">
        <f>13708106+80787</f>
        <v>13788893</v>
      </c>
      <c r="S185" s="7">
        <v>16065503</v>
      </c>
      <c r="U185" s="7">
        <v>0</v>
      </c>
      <c r="W185" s="7">
        <v>0</v>
      </c>
      <c r="Y185" s="7">
        <v>178302</v>
      </c>
      <c r="AA185" s="7">
        <f>107162+117030+47120+47149+7989</f>
        <v>326450</v>
      </c>
      <c r="AC185" s="7">
        <v>12512850</v>
      </c>
      <c r="AE185" s="13">
        <f t="shared" si="21"/>
        <v>13017602</v>
      </c>
      <c r="AG185" s="7">
        <f t="shared" si="22"/>
        <v>0</v>
      </c>
      <c r="AK185" s="7" t="str">
        <f t="shared" si="23"/>
        <v>Fairview Park City SD</v>
      </c>
      <c r="AL185" s="7" t="str">
        <f>'St of Activities - GA Exp'!A185</f>
        <v>Fairview Park City SD</v>
      </c>
      <c r="AM185" s="7" t="b">
        <f t="shared" si="24"/>
        <v>1</v>
      </c>
      <c r="AN185" s="7" t="str">
        <f t="shared" si="19"/>
        <v>Cuyahoga</v>
      </c>
      <c r="AO185" s="7" t="b">
        <f>C185='St of Activities - GA Exp'!C185</f>
        <v>1</v>
      </c>
    </row>
    <row r="186" spans="1:41" hidden="1">
      <c r="A186" s="12" t="s">
        <v>849</v>
      </c>
      <c r="B186" s="12"/>
      <c r="C186" s="12" t="s">
        <v>28</v>
      </c>
      <c r="D186" s="12"/>
      <c r="E186" s="12">
        <v>47068</v>
      </c>
      <c r="K186" s="2">
        <f t="shared" si="25"/>
        <v>0</v>
      </c>
      <c r="O186" s="2">
        <f t="shared" si="20"/>
        <v>0</v>
      </c>
      <c r="AE186" s="13">
        <f t="shared" si="21"/>
        <v>0</v>
      </c>
      <c r="AG186" s="7">
        <f t="shared" si="22"/>
        <v>0</v>
      </c>
      <c r="AI186" s="7" t="s">
        <v>837</v>
      </c>
      <c r="AK186" s="7" t="str">
        <f t="shared" si="23"/>
        <v>Fayette Local SD (CASH)</v>
      </c>
      <c r="AL186" s="7" t="str">
        <f>'St of Activities - GA Exp'!A186</f>
        <v>Fayette Local SD (CASH)</v>
      </c>
      <c r="AM186" s="7" t="b">
        <f t="shared" si="24"/>
        <v>1</v>
      </c>
      <c r="AN186" s="7" t="str">
        <f t="shared" si="19"/>
        <v>Fulton</v>
      </c>
      <c r="AO186" s="7" t="b">
        <f>C186='St of Activities - GA Exp'!C186</f>
        <v>1</v>
      </c>
    </row>
    <row r="187" spans="1:41">
      <c r="A187" s="12" t="s">
        <v>221</v>
      </c>
      <c r="B187" s="12"/>
      <c r="C187" s="12" t="s">
        <v>77</v>
      </c>
      <c r="D187" s="12"/>
      <c r="E187" s="12">
        <v>46045</v>
      </c>
      <c r="G187" s="7">
        <v>1145212</v>
      </c>
      <c r="I187" s="7">
        <v>0</v>
      </c>
      <c r="K187" s="2">
        <f t="shared" si="25"/>
        <v>1822661</v>
      </c>
      <c r="M187" s="7">
        <v>2967873</v>
      </c>
      <c r="O187" s="2">
        <f t="shared" si="20"/>
        <v>797574</v>
      </c>
      <c r="Q187" s="7">
        <v>1334762</v>
      </c>
      <c r="S187" s="7">
        <v>2132336</v>
      </c>
      <c r="U187" s="7">
        <v>0</v>
      </c>
      <c r="W187" s="7">
        <v>0</v>
      </c>
      <c r="Y187" s="7">
        <v>0</v>
      </c>
      <c r="AA187" s="7">
        <v>149963</v>
      </c>
      <c r="AC187" s="7">
        <v>685574</v>
      </c>
      <c r="AE187" s="13">
        <f t="shared" si="21"/>
        <v>835537</v>
      </c>
      <c r="AG187" s="7">
        <f t="shared" si="22"/>
        <v>0</v>
      </c>
      <c r="AI187" s="7" t="s">
        <v>850</v>
      </c>
      <c r="AK187" s="7" t="str">
        <f t="shared" si="23"/>
        <v>Fayetteville-Perry Local SD</v>
      </c>
      <c r="AL187" s="7" t="str">
        <f>'St of Activities - GA Exp'!A187</f>
        <v>Fayetteville-Perry Local SD</v>
      </c>
      <c r="AM187" s="7" t="b">
        <f t="shared" si="24"/>
        <v>1</v>
      </c>
      <c r="AN187" s="7" t="str">
        <f t="shared" si="19"/>
        <v>Brown</v>
      </c>
      <c r="AO187" s="7" t="b">
        <f>C187='St of Activities - GA Exp'!C187</f>
        <v>1</v>
      </c>
    </row>
    <row r="188" spans="1:41">
      <c r="A188" s="12" t="s">
        <v>841</v>
      </c>
      <c r="B188" s="12"/>
      <c r="C188" s="12" t="s">
        <v>13</v>
      </c>
      <c r="D188" s="12"/>
      <c r="E188" s="12"/>
      <c r="G188" s="7">
        <v>2761884</v>
      </c>
      <c r="I188" s="7">
        <v>923</v>
      </c>
      <c r="K188" s="2">
        <f t="shared" si="25"/>
        <v>2855502</v>
      </c>
      <c r="M188" s="7">
        <v>5618309</v>
      </c>
      <c r="O188" s="2">
        <f t="shared" si="20"/>
        <v>1162318</v>
      </c>
      <c r="Q188" s="7">
        <v>2458725</v>
      </c>
      <c r="S188" s="7">
        <v>3621043</v>
      </c>
      <c r="U188" s="7">
        <v>27338</v>
      </c>
      <c r="W188" s="7">
        <v>923</v>
      </c>
      <c r="Y188" s="7">
        <v>27310</v>
      </c>
      <c r="AA188" s="7">
        <v>165679</v>
      </c>
      <c r="AC188" s="7">
        <v>1776016</v>
      </c>
      <c r="AE188" s="13">
        <f t="shared" si="21"/>
        <v>1997266</v>
      </c>
      <c r="AG188" s="7">
        <f t="shared" si="22"/>
        <v>0</v>
      </c>
      <c r="AK188" s="7" t="str">
        <f t="shared" si="23"/>
        <v>Federal Hocking Local SD</v>
      </c>
      <c r="AL188" s="7" t="str">
        <f>'St of Activities - GA Exp'!A188</f>
        <v>Federal Hocking Local SD</v>
      </c>
      <c r="AM188" s="7" t="b">
        <f t="shared" si="24"/>
        <v>1</v>
      </c>
      <c r="AN188" s="7" t="str">
        <f t="shared" si="19"/>
        <v>Athens</v>
      </c>
      <c r="AO188" s="7" t="b">
        <f>C188='St of Activities - GA Exp'!C188</f>
        <v>1</v>
      </c>
    </row>
    <row r="189" spans="1:41">
      <c r="A189" s="12" t="s">
        <v>244</v>
      </c>
      <c r="B189" s="12"/>
      <c r="C189" s="12" t="s">
        <v>113</v>
      </c>
      <c r="D189" s="12"/>
      <c r="E189" s="12">
        <v>46334</v>
      </c>
      <c r="G189" s="7">
        <v>1010395</v>
      </c>
      <c r="I189" s="7">
        <v>356754</v>
      </c>
      <c r="K189" s="2">
        <f t="shared" si="25"/>
        <v>1779989</v>
      </c>
      <c r="M189" s="7">
        <v>3147138</v>
      </c>
      <c r="O189" s="2">
        <f t="shared" si="20"/>
        <v>869937</v>
      </c>
      <c r="Q189" s="7">
        <v>1464588</v>
      </c>
      <c r="S189" s="7">
        <v>2334525</v>
      </c>
      <c r="U189" s="7">
        <v>26578</v>
      </c>
      <c r="W189" s="7">
        <v>0</v>
      </c>
      <c r="Y189" s="7">
        <v>0</v>
      </c>
      <c r="AA189" s="7">
        <v>786035</v>
      </c>
      <c r="AC189" s="7">
        <v>0</v>
      </c>
      <c r="AE189" s="13">
        <f t="shared" si="21"/>
        <v>812613</v>
      </c>
      <c r="AG189" s="7">
        <f t="shared" si="22"/>
        <v>0</v>
      </c>
      <c r="AK189" s="7" t="str">
        <f t="shared" si="23"/>
        <v>Felicity-Franklin Local SD</v>
      </c>
      <c r="AL189" s="7" t="str">
        <f>'St of Activities - GA Exp'!A189</f>
        <v>Felicity-Franklin Local SD</v>
      </c>
      <c r="AM189" s="7" t="b">
        <f t="shared" si="24"/>
        <v>1</v>
      </c>
      <c r="AN189" s="7" t="str">
        <f t="shared" si="19"/>
        <v>Clermont</v>
      </c>
      <c r="AO189" s="7" t="b">
        <f>C189='St of Activities - GA Exp'!C189</f>
        <v>1</v>
      </c>
    </row>
    <row r="190" spans="1:41">
      <c r="A190" s="12" t="s">
        <v>760</v>
      </c>
      <c r="B190" s="12"/>
      <c r="C190" s="12" t="s">
        <v>56</v>
      </c>
      <c r="D190" s="12"/>
      <c r="E190" s="12">
        <v>49197</v>
      </c>
      <c r="G190" s="7">
        <v>399387</v>
      </c>
      <c r="I190" s="7">
        <v>538018</v>
      </c>
      <c r="K190" s="2">
        <f t="shared" si="25"/>
        <v>9285982</v>
      </c>
      <c r="M190" s="7">
        <v>10223387</v>
      </c>
      <c r="O190" s="2">
        <f t="shared" si="20"/>
        <v>1836785</v>
      </c>
      <c r="Q190" s="7">
        <v>8189618</v>
      </c>
      <c r="S190" s="7">
        <v>10026403</v>
      </c>
      <c r="U190" s="7">
        <v>0</v>
      </c>
      <c r="W190" s="7">
        <v>538018</v>
      </c>
      <c r="Y190" s="7">
        <v>11000</v>
      </c>
      <c r="AA190" s="7">
        <v>-352034</v>
      </c>
      <c r="AC190" s="7">
        <v>0</v>
      </c>
      <c r="AE190" s="13">
        <f t="shared" si="21"/>
        <v>196984</v>
      </c>
      <c r="AG190" s="7">
        <f t="shared" si="22"/>
        <v>0</v>
      </c>
      <c r="AI190" s="7" t="s">
        <v>850</v>
      </c>
      <c r="AK190" s="7" t="str">
        <f t="shared" si="23"/>
        <v xml:space="preserve">Field Local SD </v>
      </c>
      <c r="AL190" s="7" t="str">
        <f>'St of Activities - GA Exp'!A190</f>
        <v xml:space="preserve">Field Local SD </v>
      </c>
      <c r="AM190" s="7" t="b">
        <f t="shared" si="24"/>
        <v>1</v>
      </c>
      <c r="AN190" s="7" t="str">
        <f t="shared" si="19"/>
        <v>Portage</v>
      </c>
      <c r="AO190" s="7" t="b">
        <f>C190='St of Activities - GA Exp'!C190</f>
        <v>1</v>
      </c>
    </row>
    <row r="191" spans="1:41">
      <c r="A191" s="12" t="s">
        <v>346</v>
      </c>
      <c r="B191" s="12"/>
      <c r="C191" s="12" t="s">
        <v>33</v>
      </c>
      <c r="D191" s="12"/>
      <c r="E191" s="12">
        <v>43984</v>
      </c>
      <c r="G191" s="7">
        <v>11483816</v>
      </c>
      <c r="I191" s="7">
        <v>0</v>
      </c>
      <c r="K191" s="2">
        <f t="shared" si="25"/>
        <v>26085263</v>
      </c>
      <c r="M191" s="7">
        <v>37569079</v>
      </c>
      <c r="O191" s="2">
        <f t="shared" si="20"/>
        <v>6584796</v>
      </c>
      <c r="Q191" s="7">
        <f>1396163+22347340</f>
        <v>23743503</v>
      </c>
      <c r="S191" s="7">
        <v>30328299</v>
      </c>
      <c r="U191" s="7">
        <f>40678+112946</f>
        <v>153624</v>
      </c>
      <c r="W191" s="7">
        <v>0</v>
      </c>
      <c r="Y191" s="7">
        <v>0</v>
      </c>
      <c r="AA191" s="7">
        <f>559853+776472+1313+17406+266459+343226</f>
        <v>1964729</v>
      </c>
      <c r="AC191" s="7">
        <v>5122427</v>
      </c>
      <c r="AE191" s="13">
        <f t="shared" si="21"/>
        <v>7240780</v>
      </c>
      <c r="AG191" s="7">
        <f t="shared" si="22"/>
        <v>0</v>
      </c>
      <c r="AK191" s="7" t="str">
        <f t="shared" si="23"/>
        <v>Findlay City SD</v>
      </c>
      <c r="AL191" s="7" t="str">
        <f>'St of Activities - GA Exp'!A191</f>
        <v>Findlay City SD</v>
      </c>
      <c r="AM191" s="7" t="b">
        <f t="shared" si="24"/>
        <v>1</v>
      </c>
      <c r="AN191" s="7" t="str">
        <f t="shared" si="19"/>
        <v>Hancock</v>
      </c>
      <c r="AO191" s="7" t="b">
        <f>C191='St of Activities - GA Exp'!C191</f>
        <v>1</v>
      </c>
    </row>
    <row r="192" spans="1:41">
      <c r="A192" s="12" t="s">
        <v>330</v>
      </c>
      <c r="B192" s="12"/>
      <c r="C192" s="12" t="s">
        <v>32</v>
      </c>
      <c r="D192" s="12"/>
      <c r="E192" s="12">
        <v>47332</v>
      </c>
      <c r="G192" s="7">
        <v>2044628</v>
      </c>
      <c r="I192" s="7">
        <v>0</v>
      </c>
      <c r="K192" s="2">
        <f t="shared" si="25"/>
        <v>11034017</v>
      </c>
      <c r="M192" s="7">
        <v>13078645</v>
      </c>
      <c r="O192" s="2">
        <f t="shared" si="20"/>
        <v>2901125</v>
      </c>
      <c r="Q192" s="7">
        <v>6938017</v>
      </c>
      <c r="S192" s="7">
        <v>9839142</v>
      </c>
      <c r="U192" s="7">
        <v>0</v>
      </c>
      <c r="W192" s="7">
        <v>0</v>
      </c>
      <c r="Y192" s="7">
        <v>0</v>
      </c>
      <c r="AA192" s="7">
        <v>0</v>
      </c>
      <c r="AC192" s="7">
        <v>3239503</v>
      </c>
      <c r="AE192" s="13">
        <f t="shared" si="21"/>
        <v>3239503</v>
      </c>
      <c r="AG192" s="7">
        <f t="shared" si="22"/>
        <v>0</v>
      </c>
      <c r="AI192" s="7" t="s">
        <v>850</v>
      </c>
      <c r="AK192" s="7" t="str">
        <f t="shared" si="23"/>
        <v>Finneytown Local SD</v>
      </c>
      <c r="AL192" s="7" t="str">
        <f>'St of Activities - GA Exp'!A192</f>
        <v>Finneytown Local SD</v>
      </c>
      <c r="AM192" s="7" t="b">
        <f t="shared" si="24"/>
        <v>1</v>
      </c>
      <c r="AN192" s="7" t="str">
        <f t="shared" si="19"/>
        <v>Hamilton</v>
      </c>
      <c r="AO192" s="7" t="b">
        <f>C192='St of Activities - GA Exp'!C192</f>
        <v>1</v>
      </c>
    </row>
    <row r="193" spans="1:41">
      <c r="A193" s="12" t="s">
        <v>397</v>
      </c>
      <c r="B193" s="12"/>
      <c r="C193" s="12" t="s">
        <v>44</v>
      </c>
      <c r="D193" s="12"/>
      <c r="E193" s="12">
        <v>48157</v>
      </c>
      <c r="G193" s="7">
        <v>2145280</v>
      </c>
      <c r="I193" s="7">
        <v>0</v>
      </c>
      <c r="K193" s="2">
        <f t="shared" si="25"/>
        <v>7395799</v>
      </c>
      <c r="M193" s="7">
        <v>9541079</v>
      </c>
      <c r="O193" s="2">
        <f t="shared" si="20"/>
        <v>2369829</v>
      </c>
      <c r="Q193" s="7">
        <f>161437+6420299</f>
        <v>6581736</v>
      </c>
      <c r="S193" s="7">
        <v>8951565</v>
      </c>
      <c r="U193" s="7">
        <v>21663</v>
      </c>
      <c r="W193" s="7">
        <v>0</v>
      </c>
      <c r="Y193" s="7">
        <v>119205</v>
      </c>
      <c r="AA193" s="7">
        <f>32602+75890+29</f>
        <v>108521</v>
      </c>
      <c r="AC193" s="7">
        <v>340125</v>
      </c>
      <c r="AE193" s="13">
        <f t="shared" si="21"/>
        <v>589514</v>
      </c>
      <c r="AG193" s="7">
        <f t="shared" si="22"/>
        <v>0</v>
      </c>
      <c r="AK193" s="7" t="str">
        <f t="shared" si="23"/>
        <v>Firelands Local SD</v>
      </c>
      <c r="AL193" s="7" t="str">
        <f>'St of Activities - GA Exp'!A193</f>
        <v>Firelands Local SD</v>
      </c>
      <c r="AM193" s="7" t="b">
        <f t="shared" si="24"/>
        <v>1</v>
      </c>
      <c r="AN193" s="7" t="str">
        <f t="shared" si="19"/>
        <v>Lorain</v>
      </c>
      <c r="AO193" s="7" t="b">
        <f>C193='St of Activities - GA Exp'!C193</f>
        <v>1</v>
      </c>
    </row>
    <row r="194" spans="1:41">
      <c r="A194" s="12" t="s">
        <v>331</v>
      </c>
      <c r="B194" s="12"/>
      <c r="C194" s="12" t="s">
        <v>32</v>
      </c>
      <c r="D194" s="12"/>
      <c r="E194" s="12">
        <v>47340</v>
      </c>
      <c r="G194" s="7">
        <v>12165365</v>
      </c>
      <c r="I194" s="7">
        <v>250638</v>
      </c>
      <c r="K194" s="2">
        <f t="shared" si="25"/>
        <v>45058347</v>
      </c>
      <c r="M194" s="7">
        <v>57474350</v>
      </c>
      <c r="O194" s="2">
        <f t="shared" si="20"/>
        <v>9425660</v>
      </c>
      <c r="Q194" s="7">
        <v>29425422</v>
      </c>
      <c r="S194" s="7">
        <v>38851082</v>
      </c>
      <c r="U194" s="7">
        <v>240333</v>
      </c>
      <c r="W194" s="7">
        <v>250638</v>
      </c>
      <c r="Y194" s="7">
        <v>11000</v>
      </c>
      <c r="AA194" s="7">
        <v>445650</v>
      </c>
      <c r="AC194" s="7">
        <v>17675647</v>
      </c>
      <c r="AE194" s="13">
        <f t="shared" si="21"/>
        <v>18623268</v>
      </c>
      <c r="AG194" s="7">
        <f t="shared" si="22"/>
        <v>0</v>
      </c>
      <c r="AI194" s="7" t="s">
        <v>852</v>
      </c>
      <c r="AK194" s="7" t="str">
        <f t="shared" si="23"/>
        <v>Forest Hills Local SD</v>
      </c>
      <c r="AL194" s="7" t="str">
        <f>'St of Activities - GA Exp'!A194</f>
        <v>Forest Hills Local SD</v>
      </c>
      <c r="AM194" s="7" t="b">
        <f t="shared" si="24"/>
        <v>1</v>
      </c>
      <c r="AN194" s="7" t="str">
        <f t="shared" si="19"/>
        <v>Hamilton</v>
      </c>
      <c r="AO194" s="7" t="b">
        <f>C194='St of Activities - GA Exp'!C194</f>
        <v>1</v>
      </c>
    </row>
    <row r="195" spans="1:41" hidden="1">
      <c r="A195" s="12" t="s">
        <v>642</v>
      </c>
      <c r="B195" s="12"/>
      <c r="C195" s="12" t="s">
        <v>70</v>
      </c>
      <c r="D195" s="12"/>
      <c r="E195" s="12">
        <v>50484</v>
      </c>
      <c r="K195" s="2">
        <f t="shared" si="25"/>
        <v>0</v>
      </c>
      <c r="O195" s="2">
        <f t="shared" si="20"/>
        <v>0</v>
      </c>
      <c r="AE195" s="13">
        <f t="shared" si="21"/>
        <v>0</v>
      </c>
      <c r="AG195" s="7">
        <f t="shared" si="22"/>
        <v>0</v>
      </c>
      <c r="AI195" s="7" t="s">
        <v>839</v>
      </c>
      <c r="AK195" s="7" t="str">
        <f t="shared" si="23"/>
        <v>Fort Frye Local SD (CASH)</v>
      </c>
      <c r="AL195" s="7" t="str">
        <f>'St of Activities - GA Exp'!A195</f>
        <v>Fort Frye Local SD (CASH)</v>
      </c>
      <c r="AM195" s="7" t="b">
        <f t="shared" si="24"/>
        <v>1</v>
      </c>
      <c r="AN195" s="7" t="str">
        <f t="shared" si="19"/>
        <v>Washington</v>
      </c>
      <c r="AO195" s="7" t="b">
        <f>C195='St of Activities - GA Exp'!C195</f>
        <v>1</v>
      </c>
    </row>
    <row r="196" spans="1:41">
      <c r="A196" s="12" t="s">
        <v>505</v>
      </c>
      <c r="B196" s="12"/>
      <c r="C196" s="12" t="s">
        <v>61</v>
      </c>
      <c r="D196" s="12"/>
      <c r="E196" s="12">
        <v>49783</v>
      </c>
      <c r="G196" s="7">
        <v>2704685</v>
      </c>
      <c r="I196" s="7">
        <v>0</v>
      </c>
      <c r="K196" s="2">
        <f t="shared" si="25"/>
        <v>2121676</v>
      </c>
      <c r="M196" s="7">
        <v>4826361</v>
      </c>
      <c r="O196" s="2">
        <f t="shared" si="20"/>
        <v>821674</v>
      </c>
      <c r="Q196" s="7">
        <v>1416362</v>
      </c>
      <c r="S196" s="7">
        <v>2238036</v>
      </c>
      <c r="U196" s="7">
        <v>36099</v>
      </c>
      <c r="W196" s="7">
        <v>0</v>
      </c>
      <c r="Y196" s="7">
        <v>0</v>
      </c>
      <c r="AA196" s="7">
        <v>58278</v>
      </c>
      <c r="AC196" s="7">
        <v>2493948</v>
      </c>
      <c r="AE196" s="13">
        <f t="shared" si="21"/>
        <v>2588325</v>
      </c>
      <c r="AG196" s="7">
        <f t="shared" si="22"/>
        <v>0</v>
      </c>
      <c r="AI196" s="7" t="s">
        <v>853</v>
      </c>
      <c r="AK196" s="7" t="str">
        <f t="shared" si="23"/>
        <v>Fort Loramie Local SD</v>
      </c>
      <c r="AL196" s="7" t="str">
        <f>'St of Activities - GA Exp'!A196</f>
        <v>Fort Loramie Local SD</v>
      </c>
      <c r="AM196" s="7" t="b">
        <f t="shared" si="24"/>
        <v>1</v>
      </c>
      <c r="AN196" s="7" t="str">
        <f t="shared" si="19"/>
        <v>Shelby</v>
      </c>
      <c r="AO196" s="7" t="b">
        <f>C196='St of Activities - GA Exp'!C196</f>
        <v>1</v>
      </c>
    </row>
    <row r="197" spans="1:41" hidden="1">
      <c r="A197" s="12" t="s">
        <v>873</v>
      </c>
      <c r="B197" s="12"/>
      <c r="C197" s="12" t="s">
        <v>435</v>
      </c>
      <c r="D197" s="12"/>
      <c r="E197" s="12"/>
      <c r="K197" s="2">
        <f t="shared" si="25"/>
        <v>0</v>
      </c>
      <c r="O197" s="2">
        <f t="shared" si="20"/>
        <v>0</v>
      </c>
      <c r="AE197" s="13">
        <f t="shared" si="21"/>
        <v>0</v>
      </c>
      <c r="AG197" s="7">
        <f t="shared" si="22"/>
        <v>0</v>
      </c>
      <c r="AI197" s="7" t="s">
        <v>839</v>
      </c>
      <c r="AK197" s="7" t="str">
        <f t="shared" si="23"/>
        <v>Fort Recovery Local SD (CASH)</v>
      </c>
      <c r="AL197" s="7" t="str">
        <f>'St of Activities - GA Exp'!A197</f>
        <v>Fort Recovery Local SD (CASH)</v>
      </c>
      <c r="AM197" s="7" t="b">
        <f t="shared" si="24"/>
        <v>1</v>
      </c>
      <c r="AN197" s="7" t="str">
        <f t="shared" si="19"/>
        <v>Mercer</v>
      </c>
      <c r="AO197" s="7" t="b">
        <f>C197='St of Activities - GA Exp'!C197</f>
        <v>1</v>
      </c>
    </row>
    <row r="198" spans="1:41" hidden="1">
      <c r="A198" s="12" t="s">
        <v>854</v>
      </c>
      <c r="B198" s="12"/>
      <c r="C198" s="12" t="s">
        <v>60</v>
      </c>
      <c r="D198" s="12"/>
      <c r="E198" s="12">
        <v>43992</v>
      </c>
      <c r="K198" s="2">
        <f t="shared" si="25"/>
        <v>0</v>
      </c>
      <c r="O198" s="2">
        <f t="shared" si="20"/>
        <v>0</v>
      </c>
      <c r="AE198" s="13">
        <f t="shared" si="21"/>
        <v>0</v>
      </c>
      <c r="AG198" s="7">
        <f t="shared" si="22"/>
        <v>0</v>
      </c>
      <c r="AI198" s="7" t="s">
        <v>855</v>
      </c>
      <c r="AK198" s="7" t="str">
        <f t="shared" si="23"/>
        <v>Fostoria City SD (CASH)</v>
      </c>
      <c r="AL198" s="7" t="str">
        <f>'St of Activities - GA Exp'!A198</f>
        <v>Fostoria City SD (CASH)</v>
      </c>
      <c r="AM198" s="7" t="b">
        <f t="shared" si="24"/>
        <v>1</v>
      </c>
      <c r="AN198" s="7" t="str">
        <f t="shared" si="19"/>
        <v>Seneca</v>
      </c>
      <c r="AO198" s="7" t="b">
        <f>C198='St of Activities - GA Exp'!C198</f>
        <v>1</v>
      </c>
    </row>
    <row r="199" spans="1:41">
      <c r="A199" s="12" t="s">
        <v>561</v>
      </c>
      <c r="B199" s="12"/>
      <c r="C199" s="12" t="s">
        <v>69</v>
      </c>
      <c r="D199" s="12"/>
      <c r="E199" s="12">
        <v>44008</v>
      </c>
      <c r="G199" s="7">
        <v>5595180</v>
      </c>
      <c r="I199" s="7">
        <v>0</v>
      </c>
      <c r="K199" s="2">
        <f t="shared" si="25"/>
        <v>15987514</v>
      </c>
      <c r="M199" s="7">
        <v>21582694</v>
      </c>
      <c r="O199" s="2">
        <f t="shared" si="20"/>
        <v>3232986</v>
      </c>
      <c r="Q199" s="7">
        <v>14900882</v>
      </c>
      <c r="S199" s="7">
        <v>18133868</v>
      </c>
      <c r="U199" s="7">
        <v>0</v>
      </c>
      <c r="W199" s="7">
        <v>0</v>
      </c>
      <c r="Y199" s="7">
        <v>0</v>
      </c>
      <c r="AA199" s="7">
        <v>2565523</v>
      </c>
      <c r="AC199" s="7">
        <v>883303</v>
      </c>
      <c r="AE199" s="13">
        <f t="shared" si="21"/>
        <v>3448826</v>
      </c>
      <c r="AG199" s="7">
        <f t="shared" si="22"/>
        <v>0</v>
      </c>
      <c r="AK199" s="7" t="str">
        <f t="shared" si="23"/>
        <v>Franklin City SD</v>
      </c>
      <c r="AL199" s="7" t="str">
        <f>'St of Activities - GA Exp'!A199</f>
        <v>Franklin City SD</v>
      </c>
      <c r="AM199" s="7" t="b">
        <f t="shared" si="24"/>
        <v>1</v>
      </c>
      <c r="AN199" s="7" t="str">
        <f t="shared" si="19"/>
        <v>Warren</v>
      </c>
      <c r="AO199" s="7" t="b">
        <f>C199='St of Activities - GA Exp'!C199</f>
        <v>1</v>
      </c>
    </row>
    <row r="200" spans="1:41">
      <c r="A200" s="12" t="s">
        <v>457</v>
      </c>
      <c r="B200" s="12"/>
      <c r="C200" s="12" t="s">
        <v>51</v>
      </c>
      <c r="D200" s="12"/>
      <c r="E200" s="12">
        <v>48843</v>
      </c>
      <c r="G200" s="7">
        <v>6105183</v>
      </c>
      <c r="I200" s="7">
        <v>1143</v>
      </c>
      <c r="K200" s="2">
        <f t="shared" si="25"/>
        <v>6125080</v>
      </c>
      <c r="M200" s="7">
        <v>12231406</v>
      </c>
      <c r="O200" s="2">
        <f t="shared" si="20"/>
        <v>3031750</v>
      </c>
      <c r="Q200" s="7">
        <v>5750590</v>
      </c>
      <c r="S200" s="7">
        <v>8782340</v>
      </c>
      <c r="U200" s="7">
        <v>91657</v>
      </c>
      <c r="W200" s="7">
        <v>1143</v>
      </c>
      <c r="Y200" s="7">
        <v>250000</v>
      </c>
      <c r="AA200" s="7">
        <v>255816</v>
      </c>
      <c r="AC200" s="7">
        <v>2850450</v>
      </c>
      <c r="AE200" s="13">
        <f t="shared" si="21"/>
        <v>3449066</v>
      </c>
      <c r="AG200" s="7">
        <f t="shared" si="22"/>
        <v>0</v>
      </c>
      <c r="AK200" s="7" t="str">
        <f t="shared" si="23"/>
        <v>Franklin Local SD</v>
      </c>
      <c r="AL200" s="7" t="str">
        <f>'St of Activities - GA Exp'!A200</f>
        <v>Franklin Local SD</v>
      </c>
      <c r="AM200" s="7" t="b">
        <f t="shared" si="24"/>
        <v>1</v>
      </c>
      <c r="AN200" s="7" t="str">
        <f t="shared" si="19"/>
        <v>Muskingum</v>
      </c>
      <c r="AO200" s="7" t="b">
        <f>C200='St of Activities - GA Exp'!C200</f>
        <v>1</v>
      </c>
    </row>
    <row r="201" spans="1:41" hidden="1">
      <c r="A201" s="12" t="s">
        <v>641</v>
      </c>
      <c r="B201" s="12"/>
      <c r="C201" s="12" t="s">
        <v>21</v>
      </c>
      <c r="D201" s="12"/>
      <c r="E201" s="12">
        <v>46649</v>
      </c>
      <c r="K201" s="2">
        <f t="shared" si="25"/>
        <v>0</v>
      </c>
      <c r="O201" s="2">
        <f t="shared" si="20"/>
        <v>0</v>
      </c>
      <c r="AE201" s="13">
        <f t="shared" si="21"/>
        <v>0</v>
      </c>
      <c r="AG201" s="7">
        <f t="shared" si="22"/>
        <v>0</v>
      </c>
      <c r="AI201" s="7" t="s">
        <v>839</v>
      </c>
      <c r="AK201" s="7" t="str">
        <f t="shared" si="23"/>
        <v>Franklin Monroe Local SD (CASH)</v>
      </c>
      <c r="AL201" s="7" t="str">
        <f>'St of Activities - GA Exp'!A201</f>
        <v>Franklin Monroe Local SD (CASH)</v>
      </c>
      <c r="AM201" s="7" t="b">
        <f t="shared" si="24"/>
        <v>1</v>
      </c>
      <c r="AN201" s="7" t="str">
        <f t="shared" si="19"/>
        <v>Darke</v>
      </c>
      <c r="AO201" s="7" t="b">
        <f>C201='St of Activities - GA Exp'!C201</f>
        <v>1</v>
      </c>
    </row>
    <row r="202" spans="1:41" hidden="1">
      <c r="A202" s="12" t="s">
        <v>696</v>
      </c>
      <c r="B202" s="12"/>
      <c r="C202" s="12" t="s">
        <v>40</v>
      </c>
      <c r="D202" s="12"/>
      <c r="E202" s="12">
        <v>47852</v>
      </c>
      <c r="K202" s="2">
        <f t="shared" si="25"/>
        <v>0</v>
      </c>
      <c r="O202" s="2">
        <f t="shared" si="20"/>
        <v>0</v>
      </c>
      <c r="AE202" s="13">
        <f t="shared" si="21"/>
        <v>0</v>
      </c>
      <c r="AG202" s="7">
        <f t="shared" si="22"/>
        <v>0</v>
      </c>
      <c r="AI202" s="7" t="s">
        <v>839</v>
      </c>
      <c r="AK202" s="7" t="str">
        <f t="shared" si="23"/>
        <v>Fredericktown Local SD (CASH)</v>
      </c>
      <c r="AL202" s="7" t="str">
        <f>'St of Activities - GA Exp'!A202</f>
        <v>Fredericktown Local SD (CASH)</v>
      </c>
      <c r="AM202" s="7" t="b">
        <f t="shared" si="24"/>
        <v>1</v>
      </c>
      <c r="AN202" s="7" t="str">
        <f t="shared" si="19"/>
        <v>Knox</v>
      </c>
      <c r="AO202" s="7" t="b">
        <f>C202='St of Activities - GA Exp'!C202</f>
        <v>1</v>
      </c>
    </row>
    <row r="203" spans="1:41">
      <c r="A203" s="12" t="s">
        <v>673</v>
      </c>
      <c r="B203" s="12"/>
      <c r="C203" s="12" t="s">
        <v>79</v>
      </c>
      <c r="D203" s="12"/>
      <c r="E203" s="12">
        <v>44016</v>
      </c>
      <c r="G203" s="7">
        <v>6271379</v>
      </c>
      <c r="I203" s="7">
        <v>0</v>
      </c>
      <c r="K203" s="2">
        <f t="shared" si="25"/>
        <v>13639914</v>
      </c>
      <c r="M203" s="7">
        <v>19911293</v>
      </c>
      <c r="O203" s="2">
        <f t="shared" si="20"/>
        <v>3450207</v>
      </c>
      <c r="Q203" s="7">
        <v>9586222</v>
      </c>
      <c r="S203" s="7">
        <v>13036429</v>
      </c>
      <c r="U203" s="7">
        <v>0</v>
      </c>
      <c r="W203" s="7">
        <v>0</v>
      </c>
      <c r="Y203" s="7">
        <v>0</v>
      </c>
      <c r="AA203" s="7">
        <v>2874588</v>
      </c>
      <c r="AC203" s="7">
        <v>4000276</v>
      </c>
      <c r="AE203" s="13">
        <f t="shared" si="21"/>
        <v>6874864</v>
      </c>
      <c r="AG203" s="7">
        <f t="shared" si="22"/>
        <v>0</v>
      </c>
      <c r="AK203" s="7" t="str">
        <f t="shared" si="23"/>
        <v xml:space="preserve">Fremont City SD </v>
      </c>
      <c r="AL203" s="7" t="str">
        <f>'St of Activities - GA Exp'!A203</f>
        <v xml:space="preserve">Fremont City SD </v>
      </c>
      <c r="AM203" s="7" t="b">
        <f t="shared" si="24"/>
        <v>1</v>
      </c>
      <c r="AN203" s="7" t="str">
        <f t="shared" si="19"/>
        <v>Sandusky</v>
      </c>
      <c r="AO203" s="7" t="b">
        <f>C203='St of Activities - GA Exp'!C203</f>
        <v>1</v>
      </c>
    </row>
    <row r="204" spans="1:41">
      <c r="A204" s="12" t="s">
        <v>565</v>
      </c>
      <c r="B204" s="12"/>
      <c r="C204" s="12" t="s">
        <v>70</v>
      </c>
      <c r="D204" s="12"/>
      <c r="E204" s="12">
        <v>50492</v>
      </c>
      <c r="G204" s="7">
        <v>1716745</v>
      </c>
      <c r="I204" s="7">
        <v>139293</v>
      </c>
      <c r="K204" s="2">
        <f t="shared" si="25"/>
        <v>1375565</v>
      </c>
      <c r="M204" s="7">
        <v>3231603</v>
      </c>
      <c r="O204" s="2">
        <f t="shared" si="20"/>
        <v>689765</v>
      </c>
      <c r="Q204" s="7">
        <f>76356+1293968</f>
        <v>1370324</v>
      </c>
      <c r="S204" s="7">
        <v>2060089</v>
      </c>
      <c r="U204" s="7">
        <v>0</v>
      </c>
      <c r="W204" s="7">
        <v>139293</v>
      </c>
      <c r="Y204" s="7">
        <v>0</v>
      </c>
      <c r="AA204" s="7">
        <f>403+73445+4335+7</f>
        <v>78190</v>
      </c>
      <c r="AC204" s="7">
        <v>954031</v>
      </c>
      <c r="AE204" s="13">
        <f t="shared" si="21"/>
        <v>1171514</v>
      </c>
      <c r="AG204" s="7">
        <f t="shared" si="22"/>
        <v>0</v>
      </c>
      <c r="AK204" s="7" t="str">
        <f t="shared" si="23"/>
        <v>Frontier Local SD</v>
      </c>
      <c r="AL204" s="7" t="str">
        <f>'St of Activities - GA Exp'!A204</f>
        <v>Frontier Local SD</v>
      </c>
      <c r="AM204" s="7" t="b">
        <f t="shared" si="24"/>
        <v>1</v>
      </c>
      <c r="AN204" s="7" t="str">
        <f t="shared" ref="AN204:AN267" si="26">C204</f>
        <v>Washington</v>
      </c>
      <c r="AO204" s="7" t="b">
        <f>C204='St of Activities - GA Exp'!C204</f>
        <v>1</v>
      </c>
    </row>
    <row r="205" spans="1:41">
      <c r="A205" s="12" t="s">
        <v>670</v>
      </c>
      <c r="B205" s="12"/>
      <c r="C205" s="12" t="s">
        <v>27</v>
      </c>
      <c r="D205" s="12"/>
      <c r="E205" s="12">
        <v>46961</v>
      </c>
      <c r="G205" s="7">
        <v>8540720</v>
      </c>
      <c r="I205" s="7">
        <v>1021342</v>
      </c>
      <c r="K205" s="2">
        <f t="shared" si="25"/>
        <v>83574262</v>
      </c>
      <c r="M205" s="7">
        <v>93136324</v>
      </c>
      <c r="O205" s="2">
        <f t="shared" ref="O205:O268" si="27">+S205-Q205</f>
        <v>10215219</v>
      </c>
      <c r="Q205" s="7">
        <v>63682328</v>
      </c>
      <c r="S205" s="7">
        <v>73897547</v>
      </c>
      <c r="U205" s="7">
        <v>80294</v>
      </c>
      <c r="W205" s="7">
        <v>21039</v>
      </c>
      <c r="Y205" s="7">
        <v>0</v>
      </c>
      <c r="AA205" s="7">
        <f>117355+2660032+14543679</f>
        <v>17321066</v>
      </c>
      <c r="AC205" s="7">
        <v>1816378</v>
      </c>
      <c r="AE205" s="13">
        <f t="shared" ref="AE205:AE268" si="28">+Y205+W205++U205+AA205+AC205</f>
        <v>19238777</v>
      </c>
      <c r="AG205" s="7">
        <f t="shared" ref="AG205:AG268" si="29">+G205+I205+K205-O205-Q205-Y205-W205-U205-AA205-AC205</f>
        <v>0</v>
      </c>
      <c r="AK205" s="7" t="str">
        <f t="shared" ref="AK205:AK268" si="30">A205</f>
        <v xml:space="preserve">Gahanna-Jefferson City SD </v>
      </c>
      <c r="AL205" s="7" t="str">
        <f>'St of Activities - GA Exp'!A205</f>
        <v xml:space="preserve">Gahanna-Jefferson City SD </v>
      </c>
      <c r="AM205" s="7" t="b">
        <f t="shared" ref="AM205:AM268" si="31">AK205=AL205</f>
        <v>1</v>
      </c>
      <c r="AN205" s="7" t="str">
        <f t="shared" si="26"/>
        <v>Franklin</v>
      </c>
      <c r="AO205" s="7" t="b">
        <f>C205='St of Activities - GA Exp'!C205</f>
        <v>1</v>
      </c>
    </row>
    <row r="206" spans="1:41">
      <c r="A206" s="12" t="s">
        <v>265</v>
      </c>
      <c r="B206" s="12"/>
      <c r="C206" s="12" t="s">
        <v>111</v>
      </c>
      <c r="D206" s="12"/>
      <c r="E206" s="12">
        <v>44024</v>
      </c>
      <c r="G206" s="7">
        <v>1722717</v>
      </c>
      <c r="I206" s="7">
        <v>0</v>
      </c>
      <c r="K206" s="2">
        <f t="shared" si="25"/>
        <v>4914360</v>
      </c>
      <c r="M206" s="7">
        <v>6637077</v>
      </c>
      <c r="O206" s="2">
        <f t="shared" si="27"/>
        <v>2048007</v>
      </c>
      <c r="Q206" s="7">
        <v>3085341</v>
      </c>
      <c r="S206" s="7">
        <v>5133348</v>
      </c>
      <c r="U206" s="7">
        <v>830</v>
      </c>
      <c r="W206" s="7">
        <v>0</v>
      </c>
      <c r="Y206" s="7">
        <v>0</v>
      </c>
      <c r="AA206" s="7">
        <v>143779</v>
      </c>
      <c r="AC206" s="7">
        <v>1359120</v>
      </c>
      <c r="AE206" s="13">
        <f t="shared" si="28"/>
        <v>1503729</v>
      </c>
      <c r="AG206" s="7">
        <f t="shared" si="29"/>
        <v>0</v>
      </c>
      <c r="AK206" s="7" t="str">
        <f t="shared" si="30"/>
        <v>Galion City SD</v>
      </c>
      <c r="AL206" s="7" t="str">
        <f>'St of Activities - GA Exp'!A206</f>
        <v>Galion City SD</v>
      </c>
      <c r="AM206" s="7" t="b">
        <f t="shared" si="31"/>
        <v>1</v>
      </c>
      <c r="AN206" s="7" t="str">
        <f t="shared" si="26"/>
        <v>Crawford</v>
      </c>
      <c r="AO206" s="7" t="b">
        <f>C206='St of Activities - GA Exp'!C206</f>
        <v>1</v>
      </c>
    </row>
    <row r="207" spans="1:41" hidden="1">
      <c r="A207" s="12" t="s">
        <v>671</v>
      </c>
      <c r="B207" s="12"/>
      <c r="C207" s="12" t="s">
        <v>29</v>
      </c>
      <c r="D207" s="12"/>
      <c r="E207" s="12">
        <v>65680</v>
      </c>
      <c r="K207" s="2">
        <f t="shared" ref="K207:K270" si="32">+M207-I207-G207</f>
        <v>0</v>
      </c>
      <c r="O207" s="2">
        <f t="shared" si="27"/>
        <v>0</v>
      </c>
      <c r="AE207" s="13">
        <f t="shared" si="28"/>
        <v>0</v>
      </c>
      <c r="AG207" s="7">
        <f t="shared" si="29"/>
        <v>0</v>
      </c>
      <c r="AI207" s="7" t="s">
        <v>856</v>
      </c>
      <c r="AK207" s="7" t="str">
        <f t="shared" si="30"/>
        <v xml:space="preserve">Gallia County Local SD </v>
      </c>
      <c r="AL207" s="7" t="str">
        <f>'St of Activities - GA Exp'!A207</f>
        <v xml:space="preserve">Gallia County Local SD </v>
      </c>
      <c r="AM207" s="7" t="b">
        <f t="shared" si="31"/>
        <v>1</v>
      </c>
      <c r="AN207" s="7" t="str">
        <f t="shared" si="26"/>
        <v>Gallia</v>
      </c>
      <c r="AO207" s="7" t="b">
        <f>C207='St of Activities - GA Exp'!C207</f>
        <v>1</v>
      </c>
    </row>
    <row r="208" spans="1:41">
      <c r="A208" s="12" t="s">
        <v>320</v>
      </c>
      <c r="B208" s="12"/>
      <c r="C208" s="12" t="s">
        <v>29</v>
      </c>
      <c r="D208" s="12"/>
      <c r="E208" s="12">
        <v>44032</v>
      </c>
      <c r="G208" s="7">
        <v>668977</v>
      </c>
      <c r="I208" s="7">
        <v>246688</v>
      </c>
      <c r="K208" s="2">
        <f t="shared" si="32"/>
        <v>6146936</v>
      </c>
      <c r="M208" s="7">
        <v>7062601</v>
      </c>
      <c r="O208" s="2">
        <f t="shared" si="27"/>
        <v>1856340</v>
      </c>
      <c r="Q208" s="7">
        <f>408353+5226041</f>
        <v>5634394</v>
      </c>
      <c r="S208" s="7">
        <v>7490734</v>
      </c>
      <c r="U208" s="7">
        <f>94756+44669</f>
        <v>139425</v>
      </c>
      <c r="W208" s="7">
        <v>246688</v>
      </c>
      <c r="Y208" s="7">
        <v>50932</v>
      </c>
      <c r="AA208" s="7">
        <f>36697+105477+15959+20057</f>
        <v>178190</v>
      </c>
      <c r="AC208" s="7">
        <v>-1043368</v>
      </c>
      <c r="AE208" s="13">
        <f t="shared" si="28"/>
        <v>-428133</v>
      </c>
      <c r="AG208" s="7">
        <f t="shared" si="29"/>
        <v>0</v>
      </c>
      <c r="AK208" s="7" t="str">
        <f t="shared" si="30"/>
        <v>Gallipolis City SD</v>
      </c>
      <c r="AL208" s="7" t="str">
        <f>'St of Activities - GA Exp'!A208</f>
        <v>Gallipolis City SD</v>
      </c>
      <c r="AM208" s="7" t="b">
        <f t="shared" si="31"/>
        <v>1</v>
      </c>
      <c r="AN208" s="7" t="str">
        <f t="shared" si="26"/>
        <v>Gallia</v>
      </c>
      <c r="AO208" s="7" t="b">
        <f>C208='St of Activities - GA Exp'!C208</f>
        <v>1</v>
      </c>
    </row>
    <row r="209" spans="1:41">
      <c r="A209" s="12" t="s">
        <v>551</v>
      </c>
      <c r="B209" s="12"/>
      <c r="C209" s="12" t="s">
        <v>65</v>
      </c>
      <c r="D209" s="12"/>
      <c r="E209" s="12">
        <v>50278</v>
      </c>
      <c r="G209" s="7">
        <v>3334389</v>
      </c>
      <c r="I209" s="7">
        <v>0</v>
      </c>
      <c r="K209" s="2">
        <f t="shared" si="32"/>
        <v>5231962</v>
      </c>
      <c r="M209" s="7">
        <v>8566351</v>
      </c>
      <c r="O209" s="2">
        <f t="shared" si="27"/>
        <v>1470808</v>
      </c>
      <c r="Q209" s="7">
        <f>4464606+288018</f>
        <v>4752624</v>
      </c>
      <c r="S209" s="7">
        <v>6223432</v>
      </c>
      <c r="U209" s="7">
        <v>1461</v>
      </c>
      <c r="W209" s="7">
        <v>0</v>
      </c>
      <c r="Y209" s="7">
        <v>0</v>
      </c>
      <c r="AA209" s="7">
        <f>35000+29662</f>
        <v>64662</v>
      </c>
      <c r="AC209" s="7">
        <v>2276796</v>
      </c>
      <c r="AE209" s="13">
        <f t="shared" si="28"/>
        <v>2342919</v>
      </c>
      <c r="AG209" s="7">
        <f t="shared" si="29"/>
        <v>0</v>
      </c>
      <c r="AK209" s="7" t="str">
        <f t="shared" si="30"/>
        <v>Garaway Local SD</v>
      </c>
      <c r="AL209" s="7" t="str">
        <f>'St of Activities - GA Exp'!A209</f>
        <v>Garaway Local SD</v>
      </c>
      <c r="AM209" s="7" t="b">
        <f t="shared" si="31"/>
        <v>1</v>
      </c>
      <c r="AN209" s="7" t="str">
        <f t="shared" si="26"/>
        <v>Tuscarawas</v>
      </c>
      <c r="AO209" s="7" t="b">
        <f>C209='St of Activities - GA Exp'!C209</f>
        <v>1</v>
      </c>
    </row>
    <row r="210" spans="1:41">
      <c r="A210" s="12" t="s">
        <v>714</v>
      </c>
      <c r="B210" s="12"/>
      <c r="C210" s="12" t="s">
        <v>20</v>
      </c>
      <c r="D210" s="12"/>
      <c r="E210" s="12">
        <v>44040</v>
      </c>
      <c r="G210" s="7">
        <f>3339437+767298</f>
        <v>4106735</v>
      </c>
      <c r="I210" s="7">
        <v>0</v>
      </c>
      <c r="K210" s="2">
        <f t="shared" si="32"/>
        <v>16748439</v>
      </c>
      <c r="M210" s="7">
        <v>20855174</v>
      </c>
      <c r="O210" s="2">
        <f t="shared" si="27"/>
        <v>4775055</v>
      </c>
      <c r="Q210" s="7">
        <v>13695177</v>
      </c>
      <c r="S210" s="7">
        <v>18470232</v>
      </c>
      <c r="U210" s="7">
        <v>0</v>
      </c>
      <c r="W210" s="7">
        <v>503318</v>
      </c>
      <c r="Y210" s="7">
        <v>0</v>
      </c>
      <c r="AA210" s="7">
        <v>544787</v>
      </c>
      <c r="AC210" s="7">
        <v>1336837</v>
      </c>
      <c r="AE210" s="13">
        <f t="shared" si="28"/>
        <v>2384942</v>
      </c>
      <c r="AG210" s="7">
        <f t="shared" si="29"/>
        <v>0</v>
      </c>
      <c r="AI210" s="7" t="s">
        <v>850</v>
      </c>
      <c r="AK210" s="7" t="str">
        <f t="shared" si="30"/>
        <v xml:space="preserve">Garfield Heights City SD </v>
      </c>
      <c r="AL210" s="7" t="str">
        <f>'St of Activities - GA Exp'!A210</f>
        <v xml:space="preserve">Garfield Heights City SD </v>
      </c>
      <c r="AM210" s="7" t="b">
        <f t="shared" si="31"/>
        <v>1</v>
      </c>
      <c r="AN210" s="7" t="str">
        <f t="shared" si="26"/>
        <v>Cuyahoga</v>
      </c>
      <c r="AO210" s="7" t="b">
        <f>C210='St of Activities - GA Exp'!C210</f>
        <v>1</v>
      </c>
    </row>
    <row r="211" spans="1:41">
      <c r="A211" s="12" t="s">
        <v>672</v>
      </c>
      <c r="B211" s="12"/>
      <c r="C211" s="12" t="s">
        <v>12</v>
      </c>
      <c r="D211" s="12"/>
      <c r="E211" s="12">
        <v>44057</v>
      </c>
      <c r="G211" s="7">
        <v>1097982</v>
      </c>
      <c r="I211" s="7">
        <v>358077</v>
      </c>
      <c r="K211" s="2">
        <f t="shared" si="32"/>
        <v>7234399</v>
      </c>
      <c r="M211" s="7">
        <v>8690458</v>
      </c>
      <c r="O211" s="2">
        <f t="shared" si="27"/>
        <v>2646969</v>
      </c>
      <c r="Q211" s="7">
        <v>4219125</v>
      </c>
      <c r="S211" s="7">
        <v>6866094</v>
      </c>
      <c r="U211" s="7">
        <v>72104</v>
      </c>
      <c r="W211" s="7">
        <v>0</v>
      </c>
      <c r="Y211" s="7">
        <v>0</v>
      </c>
      <c r="AA211" s="7">
        <v>65130</v>
      </c>
      <c r="AC211" s="7">
        <v>1687130</v>
      </c>
      <c r="AE211" s="13">
        <f t="shared" si="28"/>
        <v>1824364</v>
      </c>
      <c r="AG211" s="7">
        <f t="shared" si="29"/>
        <v>0</v>
      </c>
      <c r="AK211" s="7" t="str">
        <f t="shared" si="30"/>
        <v>Geneva Area City SD</v>
      </c>
      <c r="AL211" s="7" t="str">
        <f>'St of Activities - GA Exp'!A211</f>
        <v>Geneva Area City SD</v>
      </c>
      <c r="AM211" s="7" t="b">
        <f t="shared" si="31"/>
        <v>1</v>
      </c>
      <c r="AN211" s="7" t="str">
        <f t="shared" si="26"/>
        <v>Ashtabula</v>
      </c>
      <c r="AO211" s="7" t="b">
        <f>C211='St of Activities - GA Exp'!C211</f>
        <v>1</v>
      </c>
    </row>
    <row r="212" spans="1:41" hidden="1">
      <c r="A212" s="12" t="s">
        <v>983</v>
      </c>
      <c r="B212" s="12"/>
      <c r="C212" s="12" t="s">
        <v>53</v>
      </c>
      <c r="D212" s="12"/>
      <c r="E212" s="12">
        <v>48942</v>
      </c>
      <c r="K212" s="2">
        <f t="shared" si="32"/>
        <v>0</v>
      </c>
      <c r="O212" s="2">
        <f t="shared" si="27"/>
        <v>0</v>
      </c>
      <c r="AE212" s="13">
        <f t="shared" si="28"/>
        <v>0</v>
      </c>
      <c r="AG212" s="7">
        <f t="shared" si="29"/>
        <v>0</v>
      </c>
      <c r="AI212" s="7" t="s">
        <v>984</v>
      </c>
      <c r="AK212" s="7" t="str">
        <f t="shared" si="30"/>
        <v>Genoa Area Local SD (CASH)</v>
      </c>
      <c r="AL212" s="7" t="str">
        <f>'St of Activities - GA Exp'!A212</f>
        <v>Genoa Area Local SD (CASH)</v>
      </c>
      <c r="AM212" s="7" t="b">
        <f t="shared" si="31"/>
        <v>1</v>
      </c>
      <c r="AN212" s="7" t="str">
        <f t="shared" si="26"/>
        <v>Ottawa</v>
      </c>
      <c r="AO212" s="7" t="b">
        <f>C212='St of Activities - GA Exp'!C212</f>
        <v>1</v>
      </c>
    </row>
    <row r="213" spans="1:41" hidden="1">
      <c r="A213" s="12" t="s">
        <v>697</v>
      </c>
      <c r="B213" s="12"/>
      <c r="C213" s="12" t="s">
        <v>77</v>
      </c>
      <c r="D213" s="12"/>
      <c r="E213" s="12">
        <v>45377</v>
      </c>
      <c r="K213" s="2">
        <f t="shared" si="32"/>
        <v>0</v>
      </c>
      <c r="O213" s="2">
        <f t="shared" si="27"/>
        <v>0</v>
      </c>
      <c r="AE213" s="13">
        <f t="shared" si="28"/>
        <v>0</v>
      </c>
      <c r="AG213" s="7">
        <f t="shared" si="29"/>
        <v>0</v>
      </c>
      <c r="AI213" s="7" t="s">
        <v>839</v>
      </c>
      <c r="AK213" s="7" t="str">
        <f t="shared" si="30"/>
        <v>Georgetown Exempted Village SD (CASH)</v>
      </c>
      <c r="AL213" s="7" t="str">
        <f>'St of Activities - GA Exp'!A213</f>
        <v>Georgetown Exempted Village SD (CASH)</v>
      </c>
      <c r="AM213" s="7" t="b">
        <f t="shared" si="31"/>
        <v>1</v>
      </c>
      <c r="AN213" s="7" t="str">
        <f t="shared" si="26"/>
        <v>Brown</v>
      </c>
      <c r="AO213" s="7" t="b">
        <f>C213='St of Activities - GA Exp'!C213</f>
        <v>1</v>
      </c>
    </row>
    <row r="214" spans="1:41">
      <c r="A214" s="12" t="s">
        <v>857</v>
      </c>
      <c r="B214" s="12"/>
      <c r="C214" s="12" t="s">
        <v>79</v>
      </c>
      <c r="D214" s="12"/>
      <c r="E214" s="12">
        <v>45385</v>
      </c>
      <c r="G214" s="7">
        <v>2562650</v>
      </c>
      <c r="I214" s="7">
        <v>52124</v>
      </c>
      <c r="K214" s="2">
        <f t="shared" si="32"/>
        <v>2249917</v>
      </c>
      <c r="M214" s="7">
        <v>4864691</v>
      </c>
      <c r="O214" s="2">
        <f t="shared" si="27"/>
        <v>1113438</v>
      </c>
      <c r="Q214" s="7">
        <f>151416+1688015</f>
        <v>1839431</v>
      </c>
      <c r="S214" s="7">
        <v>2952869</v>
      </c>
      <c r="U214" s="7">
        <v>14314</v>
      </c>
      <c r="W214" s="7">
        <v>52124</v>
      </c>
      <c r="Y214" s="7">
        <v>0</v>
      </c>
      <c r="AA214" s="7">
        <f>2506+64091+302+165</f>
        <v>67064</v>
      </c>
      <c r="AC214" s="7">
        <v>1778320</v>
      </c>
      <c r="AE214" s="13">
        <f t="shared" si="28"/>
        <v>1911822</v>
      </c>
      <c r="AG214" s="7">
        <f t="shared" si="29"/>
        <v>0</v>
      </c>
      <c r="AK214" s="7" t="str">
        <f t="shared" si="30"/>
        <v>Gibsonburg Exempted Village SD</v>
      </c>
      <c r="AL214" s="7" t="str">
        <f>'St of Activities - GA Exp'!A214</f>
        <v>Gibsonburg Exempted Village SD</v>
      </c>
      <c r="AM214" s="7" t="b">
        <f t="shared" si="31"/>
        <v>1</v>
      </c>
      <c r="AN214" s="7" t="str">
        <f t="shared" si="26"/>
        <v>Sandusky</v>
      </c>
      <c r="AO214" s="7" t="b">
        <f>C214='St of Activities - GA Exp'!C214</f>
        <v>1</v>
      </c>
    </row>
    <row r="215" spans="1:41">
      <c r="A215" s="12" t="s">
        <v>537</v>
      </c>
      <c r="B215" s="12"/>
      <c r="C215" s="12" t="s">
        <v>64</v>
      </c>
      <c r="D215" s="12"/>
      <c r="E215" s="12">
        <v>44065</v>
      </c>
      <c r="G215" s="7">
        <v>6938600</v>
      </c>
      <c r="I215" s="7">
        <v>0</v>
      </c>
      <c r="K215" s="2">
        <f t="shared" si="32"/>
        <v>4668401</v>
      </c>
      <c r="M215" s="7">
        <v>11607001</v>
      </c>
      <c r="O215" s="2">
        <f t="shared" si="27"/>
        <v>1268744</v>
      </c>
      <c r="Q215" s="7">
        <f>682032+3902309</f>
        <v>4584341</v>
      </c>
      <c r="S215" s="7">
        <v>5853085</v>
      </c>
      <c r="U215" s="7">
        <v>19162</v>
      </c>
      <c r="W215" s="7">
        <v>0</v>
      </c>
      <c r="Y215" s="7">
        <v>0</v>
      </c>
      <c r="AA215" s="7">
        <f>30433+141400+2890</f>
        <v>174723</v>
      </c>
      <c r="AC215" s="7">
        <v>5560031</v>
      </c>
      <c r="AE215" s="13">
        <f t="shared" si="28"/>
        <v>5753916</v>
      </c>
      <c r="AG215" s="7">
        <f t="shared" si="29"/>
        <v>0</v>
      </c>
      <c r="AK215" s="7" t="str">
        <f t="shared" si="30"/>
        <v>Girard City SD</v>
      </c>
      <c r="AL215" s="7" t="str">
        <f>'St of Activities - GA Exp'!A215</f>
        <v>Girard City SD</v>
      </c>
      <c r="AM215" s="7" t="b">
        <f t="shared" si="31"/>
        <v>1</v>
      </c>
      <c r="AN215" s="7" t="str">
        <f t="shared" si="26"/>
        <v>Trumbull</v>
      </c>
      <c r="AO215" s="7" t="b">
        <f>C215='St of Activities - GA Exp'!C215</f>
        <v>1</v>
      </c>
    </row>
    <row r="216" spans="1:41" hidden="1">
      <c r="A216" s="12" t="s">
        <v>735</v>
      </c>
      <c r="B216" s="12"/>
      <c r="C216" s="12" t="s">
        <v>28</v>
      </c>
      <c r="D216" s="12"/>
      <c r="E216" s="12">
        <v>47068</v>
      </c>
      <c r="K216" s="2">
        <f t="shared" si="32"/>
        <v>0</v>
      </c>
      <c r="O216" s="2">
        <f t="shared" si="27"/>
        <v>0</v>
      </c>
      <c r="AE216" s="13">
        <f t="shared" si="28"/>
        <v>0</v>
      </c>
      <c r="AG216" s="7">
        <f t="shared" si="29"/>
        <v>0</v>
      </c>
      <c r="AI216" s="14" t="s">
        <v>787</v>
      </c>
      <c r="AK216" s="7" t="str">
        <f t="shared" si="30"/>
        <v>Gorham Fayette Local SD - name changed to Fayette Local.  See below</v>
      </c>
      <c r="AL216" s="7" t="str">
        <f>'St of Activities - GA Exp'!A216</f>
        <v>Gorham Fayette Local SD - name changed to Fayette Local.  See below</v>
      </c>
      <c r="AM216" s="7" t="b">
        <f t="shared" si="31"/>
        <v>1</v>
      </c>
      <c r="AN216" s="7" t="str">
        <f t="shared" si="26"/>
        <v>Fulton</v>
      </c>
      <c r="AO216" s="7" t="b">
        <f>C216='St of Activities - GA Exp'!C216</f>
        <v>1</v>
      </c>
    </row>
    <row r="217" spans="1:41">
      <c r="A217" s="12" t="s">
        <v>245</v>
      </c>
      <c r="B217" s="12"/>
      <c r="C217" s="12" t="s">
        <v>113</v>
      </c>
      <c r="D217" s="12"/>
      <c r="E217" s="12">
        <v>46342</v>
      </c>
      <c r="G217" s="7">
        <v>3362855</v>
      </c>
      <c r="I217" s="7">
        <v>2132</v>
      </c>
      <c r="K217" s="2">
        <f t="shared" si="32"/>
        <v>6479264</v>
      </c>
      <c r="M217" s="7">
        <v>9844251</v>
      </c>
      <c r="O217" s="2">
        <f t="shared" si="27"/>
        <v>3001987</v>
      </c>
      <c r="Q217" s="7">
        <v>4168244</v>
      </c>
      <c r="S217" s="7">
        <v>7170231</v>
      </c>
      <c r="U217" s="7">
        <v>0</v>
      </c>
      <c r="W217" s="7">
        <v>2132</v>
      </c>
      <c r="Y217" s="7">
        <v>11000</v>
      </c>
      <c r="AA217" s="7">
        <v>128051</v>
      </c>
      <c r="AC217" s="7">
        <v>2532837</v>
      </c>
      <c r="AE217" s="13">
        <f t="shared" si="28"/>
        <v>2674020</v>
      </c>
      <c r="AG217" s="7">
        <f t="shared" si="29"/>
        <v>0</v>
      </c>
      <c r="AK217" s="7" t="str">
        <f t="shared" si="30"/>
        <v>Goshen Local SD</v>
      </c>
      <c r="AL217" s="7" t="str">
        <f>'St of Activities - GA Exp'!A217</f>
        <v>Goshen Local SD</v>
      </c>
      <c r="AM217" s="7" t="b">
        <f t="shared" si="31"/>
        <v>1</v>
      </c>
      <c r="AN217" s="7" t="str">
        <f t="shared" si="26"/>
        <v>Clermont</v>
      </c>
      <c r="AO217" s="7" t="b">
        <f>C217='St of Activities - GA Exp'!C217</f>
        <v>1</v>
      </c>
    </row>
    <row r="218" spans="1:41" hidden="1">
      <c r="A218" s="12" t="s">
        <v>902</v>
      </c>
      <c r="B218" s="12"/>
      <c r="C218" s="12" t="s">
        <v>232</v>
      </c>
      <c r="D218" s="12"/>
      <c r="E218" s="12">
        <v>46193</v>
      </c>
      <c r="K218" s="2">
        <f t="shared" si="32"/>
        <v>0</v>
      </c>
      <c r="O218" s="2">
        <f t="shared" si="27"/>
        <v>0</v>
      </c>
      <c r="AE218" s="13">
        <f t="shared" si="28"/>
        <v>0</v>
      </c>
      <c r="AG218" s="7">
        <f t="shared" si="29"/>
        <v>0</v>
      </c>
      <c r="AI218" s="7" t="s">
        <v>901</v>
      </c>
      <c r="AK218" s="7" t="str">
        <f t="shared" si="30"/>
        <v>Graham Local SD (CASH)</v>
      </c>
      <c r="AL218" s="7" t="str">
        <f>'St of Activities - GA Exp'!A218</f>
        <v>Graham Local SD (CASH)</v>
      </c>
      <c r="AM218" s="7" t="b">
        <f t="shared" si="31"/>
        <v>1</v>
      </c>
      <c r="AN218" s="7" t="str">
        <f t="shared" si="26"/>
        <v>Champaign</v>
      </c>
      <c r="AO218" s="7" t="b">
        <f>C218='St of Activities - GA Exp'!C218</f>
        <v>1</v>
      </c>
    </row>
    <row r="219" spans="1:41">
      <c r="A219" s="12" t="s">
        <v>209</v>
      </c>
      <c r="B219" s="12"/>
      <c r="C219" s="12" t="s">
        <v>12</v>
      </c>
      <c r="D219" s="12"/>
      <c r="E219" s="12">
        <v>45864</v>
      </c>
      <c r="G219" s="7">
        <v>1165837</v>
      </c>
      <c r="I219" s="7">
        <v>0</v>
      </c>
      <c r="K219" s="2">
        <f t="shared" si="32"/>
        <v>4041448</v>
      </c>
      <c r="M219" s="7">
        <v>5207285</v>
      </c>
      <c r="O219" s="2">
        <f t="shared" si="27"/>
        <v>1293224</v>
      </c>
      <c r="Q219" s="7">
        <v>2563791</v>
      </c>
      <c r="S219" s="7">
        <v>3857015</v>
      </c>
      <c r="U219" s="7">
        <v>60372</v>
      </c>
      <c r="W219" s="7">
        <v>0</v>
      </c>
      <c r="Y219" s="7">
        <v>37074</v>
      </c>
      <c r="AA219" s="7">
        <v>121499</v>
      </c>
      <c r="AC219" s="7">
        <v>1131325</v>
      </c>
      <c r="AE219" s="13">
        <f t="shared" si="28"/>
        <v>1350270</v>
      </c>
      <c r="AG219" s="7">
        <f t="shared" si="29"/>
        <v>0</v>
      </c>
      <c r="AK219" s="7" t="str">
        <f t="shared" si="30"/>
        <v>Grand Valley Local SD</v>
      </c>
      <c r="AL219" s="7" t="str">
        <f>'St of Activities - GA Exp'!A219</f>
        <v>Grand Valley Local SD</v>
      </c>
      <c r="AM219" s="7" t="b">
        <f t="shared" si="31"/>
        <v>1</v>
      </c>
      <c r="AN219" s="7" t="str">
        <f t="shared" si="26"/>
        <v>Ashtabula</v>
      </c>
      <c r="AO219" s="7" t="b">
        <f>C219='St of Activities - GA Exp'!C219</f>
        <v>1</v>
      </c>
    </row>
    <row r="220" spans="1:41">
      <c r="A220" s="12" t="s">
        <v>309</v>
      </c>
      <c r="B220" s="12"/>
      <c r="C220" s="12" t="s">
        <v>27</v>
      </c>
      <c r="D220" s="12"/>
      <c r="E220" s="12">
        <v>44073</v>
      </c>
      <c r="G220" s="7">
        <v>7649072</v>
      </c>
      <c r="I220" s="7">
        <v>68902</v>
      </c>
      <c r="K220" s="2">
        <f t="shared" si="32"/>
        <v>9668048</v>
      </c>
      <c r="M220" s="7">
        <v>17386022</v>
      </c>
      <c r="O220" s="2">
        <f t="shared" si="27"/>
        <v>2075943</v>
      </c>
      <c r="Q220" s="7">
        <v>7547101</v>
      </c>
      <c r="S220" s="7">
        <v>9623044</v>
      </c>
      <c r="U220" s="7">
        <v>75388</v>
      </c>
      <c r="W220" s="7">
        <v>68902</v>
      </c>
      <c r="Y220" s="7">
        <v>750000</v>
      </c>
      <c r="AA220" s="7">
        <v>1022311</v>
      </c>
      <c r="AC220" s="7">
        <v>5846377</v>
      </c>
      <c r="AE220" s="13">
        <f t="shared" si="28"/>
        <v>7762978</v>
      </c>
      <c r="AG220" s="7">
        <f t="shared" si="29"/>
        <v>0</v>
      </c>
      <c r="AK220" s="7" t="str">
        <f t="shared" si="30"/>
        <v>Grandview Heights City SD</v>
      </c>
      <c r="AL220" s="7" t="str">
        <f>'St of Activities - GA Exp'!A220</f>
        <v>Grandview Heights City SD</v>
      </c>
      <c r="AM220" s="7" t="b">
        <f t="shared" si="31"/>
        <v>1</v>
      </c>
      <c r="AN220" s="7" t="str">
        <f t="shared" si="26"/>
        <v>Franklin</v>
      </c>
      <c r="AO220" s="7" t="b">
        <f>C220='St of Activities - GA Exp'!C220</f>
        <v>1</v>
      </c>
    </row>
    <row r="221" spans="1:41">
      <c r="A221" s="12" t="s">
        <v>698</v>
      </c>
      <c r="B221" s="12"/>
      <c r="C221" s="12" t="s">
        <v>42</v>
      </c>
      <c r="D221" s="12"/>
      <c r="E221" s="12">
        <v>45393</v>
      </c>
      <c r="G221" s="7">
        <v>3913831</v>
      </c>
      <c r="I221" s="7">
        <v>0</v>
      </c>
      <c r="K221" s="2">
        <f t="shared" si="32"/>
        <v>16384538</v>
      </c>
      <c r="M221" s="7">
        <v>20298369</v>
      </c>
      <c r="O221" s="2">
        <f t="shared" si="27"/>
        <v>2936062</v>
      </c>
      <c r="Q221" s="7">
        <v>14238567</v>
      </c>
      <c r="S221" s="7">
        <v>17174629</v>
      </c>
      <c r="U221" s="7">
        <v>700000</v>
      </c>
      <c r="W221" s="7">
        <v>0</v>
      </c>
      <c r="Y221" s="7">
        <v>0</v>
      </c>
      <c r="AA221" s="7">
        <f>71953+133601</f>
        <v>205554</v>
      </c>
      <c r="AC221" s="7">
        <v>2218186</v>
      </c>
      <c r="AE221" s="13">
        <f t="shared" si="28"/>
        <v>3123740</v>
      </c>
      <c r="AG221" s="7">
        <f t="shared" si="29"/>
        <v>0</v>
      </c>
      <c r="AK221" s="7" t="str">
        <f t="shared" si="30"/>
        <v>Granville Exempted Village SD</v>
      </c>
      <c r="AL221" s="7" t="str">
        <f>'St of Activities - GA Exp'!A221</f>
        <v>Granville Exempted Village SD</v>
      </c>
      <c r="AM221" s="7" t="b">
        <f t="shared" si="31"/>
        <v>1</v>
      </c>
      <c r="AN221" s="7" t="str">
        <f t="shared" si="26"/>
        <v>Licking</v>
      </c>
      <c r="AO221" s="7" t="b">
        <f>C221='St of Activities - GA Exp'!C221</f>
        <v>1</v>
      </c>
    </row>
    <row r="222" spans="1:41">
      <c r="A222" s="12" t="s">
        <v>496</v>
      </c>
      <c r="B222" s="12"/>
      <c r="C222" s="12" t="s">
        <v>59</v>
      </c>
      <c r="D222" s="12"/>
      <c r="E222" s="12">
        <v>49619</v>
      </c>
      <c r="G222" s="7">
        <v>809708</v>
      </c>
      <c r="I222" s="7">
        <v>251637</v>
      </c>
      <c r="K222" s="2">
        <f t="shared" si="32"/>
        <v>1508200</v>
      </c>
      <c r="M222" s="7">
        <v>2569545</v>
      </c>
      <c r="O222" s="2">
        <f t="shared" si="27"/>
        <v>532825</v>
      </c>
      <c r="Q222" s="7">
        <v>1386185</v>
      </c>
      <c r="S222" s="7">
        <v>1919010</v>
      </c>
      <c r="U222" s="7">
        <v>0</v>
      </c>
      <c r="W222" s="7">
        <v>251637</v>
      </c>
      <c r="Y222" s="7">
        <v>137960</v>
      </c>
      <c r="AA222" s="7">
        <v>7838</v>
      </c>
      <c r="AC222" s="7">
        <v>253100</v>
      </c>
      <c r="AE222" s="13">
        <f t="shared" si="28"/>
        <v>650535</v>
      </c>
      <c r="AG222" s="7">
        <f t="shared" si="29"/>
        <v>0</v>
      </c>
      <c r="AK222" s="7" t="str">
        <f t="shared" si="30"/>
        <v>Green Local SD</v>
      </c>
      <c r="AL222" s="7" t="str">
        <f>'St of Activities - GA Exp'!A222</f>
        <v>Green Local SD</v>
      </c>
      <c r="AM222" s="7" t="b">
        <f t="shared" si="31"/>
        <v>1</v>
      </c>
      <c r="AN222" s="7" t="str">
        <f t="shared" si="26"/>
        <v>Scioto</v>
      </c>
      <c r="AO222" s="7" t="b">
        <f>C222='St of Activities - GA Exp'!C222</f>
        <v>1</v>
      </c>
    </row>
    <row r="223" spans="1:41">
      <c r="A223" s="12" t="s">
        <v>496</v>
      </c>
      <c r="B223" s="12"/>
      <c r="C223" s="12" t="s">
        <v>63</v>
      </c>
      <c r="D223" s="12"/>
      <c r="E223" s="12">
        <v>50013</v>
      </c>
      <c r="G223" s="7">
        <v>3425274</v>
      </c>
      <c r="I223" s="7">
        <v>0</v>
      </c>
      <c r="K223" s="2">
        <f t="shared" si="32"/>
        <v>19706143</v>
      </c>
      <c r="M223" s="7">
        <v>23131417</v>
      </c>
      <c r="O223" s="2">
        <f t="shared" si="27"/>
        <v>8914928</v>
      </c>
      <c r="Q223" s="7">
        <v>17360507</v>
      </c>
      <c r="S223" s="7">
        <v>26275435</v>
      </c>
      <c r="U223" s="7">
        <v>0</v>
      </c>
      <c r="W223" s="7">
        <v>0</v>
      </c>
      <c r="Y223" s="7">
        <v>0</v>
      </c>
      <c r="AA223" s="7">
        <v>0</v>
      </c>
      <c r="AC223" s="7">
        <v>-3144018</v>
      </c>
      <c r="AE223" s="13">
        <f t="shared" si="28"/>
        <v>-3144018</v>
      </c>
      <c r="AG223" s="7">
        <f t="shared" si="29"/>
        <v>0</v>
      </c>
      <c r="AK223" s="7" t="str">
        <f t="shared" si="30"/>
        <v>Green Local SD</v>
      </c>
      <c r="AL223" s="7" t="str">
        <f>'St of Activities - GA Exp'!A223</f>
        <v>Green Local SD</v>
      </c>
      <c r="AM223" s="7" t="b">
        <f t="shared" si="31"/>
        <v>1</v>
      </c>
      <c r="AN223" s="7" t="str">
        <f t="shared" si="26"/>
        <v>Summit</v>
      </c>
      <c r="AO223" s="7" t="b">
        <f>C223='St of Activities - GA Exp'!C223</f>
        <v>1</v>
      </c>
    </row>
    <row r="224" spans="1:41" hidden="1">
      <c r="A224" s="12" t="s">
        <v>496</v>
      </c>
      <c r="B224" s="12"/>
      <c r="C224" s="12" t="s">
        <v>71</v>
      </c>
      <c r="D224" s="12"/>
      <c r="E224" s="12">
        <v>50559</v>
      </c>
      <c r="K224" s="2">
        <f t="shared" si="32"/>
        <v>0</v>
      </c>
      <c r="O224" s="2">
        <f t="shared" si="27"/>
        <v>0</v>
      </c>
      <c r="AE224" s="13">
        <f t="shared" si="28"/>
        <v>0</v>
      </c>
      <c r="AG224" s="7">
        <f t="shared" si="29"/>
        <v>0</v>
      </c>
      <c r="AI224" s="7" t="s">
        <v>839</v>
      </c>
      <c r="AK224" s="7" t="str">
        <f t="shared" si="30"/>
        <v>Green Local SD</v>
      </c>
      <c r="AL224" s="7" t="str">
        <f>'St of Activities - GA Exp'!A224</f>
        <v>Green Local SD</v>
      </c>
      <c r="AM224" s="7" t="b">
        <f t="shared" si="31"/>
        <v>1</v>
      </c>
      <c r="AN224" s="7" t="str">
        <f t="shared" si="26"/>
        <v>Wayne</v>
      </c>
      <c r="AO224" s="7" t="b">
        <f>C224='St of Activities - GA Exp'!C224</f>
        <v>1</v>
      </c>
    </row>
    <row r="225" spans="1:41">
      <c r="A225" s="12" t="s">
        <v>326</v>
      </c>
      <c r="B225" s="12"/>
      <c r="C225" s="12" t="s">
        <v>114</v>
      </c>
      <c r="D225" s="12"/>
      <c r="E225" s="12">
        <v>47266</v>
      </c>
      <c r="G225" s="7">
        <v>6158606</v>
      </c>
      <c r="I225" s="7">
        <v>76238</v>
      </c>
      <c r="K225" s="2">
        <f t="shared" si="32"/>
        <v>4009398</v>
      </c>
      <c r="M225" s="7">
        <v>10244242</v>
      </c>
      <c r="O225" s="2">
        <f t="shared" si="27"/>
        <v>1202087</v>
      </c>
      <c r="Q225" s="7">
        <v>2994010</v>
      </c>
      <c r="S225" s="7">
        <v>4196097</v>
      </c>
      <c r="U225" s="7">
        <v>0</v>
      </c>
      <c r="W225" s="7">
        <v>0</v>
      </c>
      <c r="Y225" s="7">
        <v>0</v>
      </c>
      <c r="AA225" s="7">
        <v>157939</v>
      </c>
      <c r="AC225" s="7">
        <v>5890206</v>
      </c>
      <c r="AE225" s="13">
        <f t="shared" si="28"/>
        <v>6048145</v>
      </c>
      <c r="AG225" s="7">
        <f t="shared" si="29"/>
        <v>0</v>
      </c>
      <c r="AK225" s="7" t="str">
        <f t="shared" si="30"/>
        <v>Greeneview Local SD</v>
      </c>
      <c r="AL225" s="7" t="str">
        <f>'St of Activities - GA Exp'!A225</f>
        <v>Greeneview Local SD</v>
      </c>
      <c r="AM225" s="7" t="b">
        <f t="shared" si="31"/>
        <v>1</v>
      </c>
      <c r="AN225" s="7" t="str">
        <f t="shared" si="26"/>
        <v>Greene</v>
      </c>
      <c r="AO225" s="7" t="b">
        <f>C225='St of Activities - GA Exp'!C225</f>
        <v>1</v>
      </c>
    </row>
    <row r="226" spans="1:41">
      <c r="A226" s="12" t="s">
        <v>869</v>
      </c>
      <c r="B226" s="12"/>
      <c r="C226" s="12" t="s">
        <v>358</v>
      </c>
      <c r="D226" s="12"/>
      <c r="E226" s="12">
        <v>45401</v>
      </c>
      <c r="G226" s="7">
        <v>4563120</v>
      </c>
      <c r="I226" s="7">
        <v>0</v>
      </c>
      <c r="K226" s="2">
        <f t="shared" si="32"/>
        <v>7256892</v>
      </c>
      <c r="M226" s="7">
        <v>11820012</v>
      </c>
      <c r="O226" s="2">
        <f t="shared" si="27"/>
        <v>1903503</v>
      </c>
      <c r="Q226" s="7">
        <v>2923321</v>
      </c>
      <c r="S226" s="7">
        <v>4826824</v>
      </c>
      <c r="U226" s="7">
        <v>0</v>
      </c>
      <c r="W226" s="7">
        <v>0</v>
      </c>
      <c r="Y226" s="7">
        <v>259378</v>
      </c>
      <c r="AA226" s="7">
        <v>697684</v>
      </c>
      <c r="AC226" s="7">
        <v>6036126</v>
      </c>
      <c r="AE226" s="13">
        <f t="shared" si="28"/>
        <v>6993188</v>
      </c>
      <c r="AG226" s="7">
        <f t="shared" si="29"/>
        <v>0</v>
      </c>
      <c r="AK226" s="7" t="str">
        <f t="shared" si="30"/>
        <v>Greenfield Exempted Village SD</v>
      </c>
      <c r="AL226" s="7" t="str">
        <f>'St of Activities - GA Exp'!A226</f>
        <v>Greenfield Exempted Village SD</v>
      </c>
      <c r="AM226" s="7" t="b">
        <f t="shared" si="31"/>
        <v>1</v>
      </c>
      <c r="AN226" s="7" t="str">
        <f t="shared" si="26"/>
        <v>Highland</v>
      </c>
      <c r="AO226" s="7" t="b">
        <f>C226='St of Activities - GA Exp'!C226</f>
        <v>1</v>
      </c>
    </row>
    <row r="227" spans="1:41">
      <c r="A227" s="12" t="s">
        <v>237</v>
      </c>
      <c r="B227" s="12"/>
      <c r="C227" s="12" t="s">
        <v>17</v>
      </c>
      <c r="D227" s="12"/>
      <c r="E227" s="12">
        <v>46235</v>
      </c>
      <c r="G227" s="7">
        <v>3352733</v>
      </c>
      <c r="I227" s="7">
        <v>32397</v>
      </c>
      <c r="K227" s="2">
        <f t="shared" si="32"/>
        <v>6326125</v>
      </c>
      <c r="M227" s="7">
        <v>9711255</v>
      </c>
      <c r="O227" s="2">
        <f t="shared" si="27"/>
        <v>1686875</v>
      </c>
      <c r="Q227" s="7">
        <v>5880443</v>
      </c>
      <c r="S227" s="7">
        <v>7567318</v>
      </c>
      <c r="U227" s="7">
        <v>0</v>
      </c>
      <c r="W227" s="7">
        <v>0</v>
      </c>
      <c r="Y227" s="7">
        <v>11000</v>
      </c>
      <c r="AA227" s="7">
        <v>55651</v>
      </c>
      <c r="AC227" s="7">
        <v>2077286</v>
      </c>
      <c r="AE227" s="13">
        <f t="shared" si="28"/>
        <v>2143937</v>
      </c>
      <c r="AG227" s="7">
        <f t="shared" si="29"/>
        <v>0</v>
      </c>
      <c r="AI227" s="14"/>
      <c r="AK227" s="7" t="str">
        <f t="shared" si="30"/>
        <v>Greenon Local SD</v>
      </c>
      <c r="AL227" s="7" t="str">
        <f>'St of Activities - GA Exp'!A227</f>
        <v>Greenon Local SD</v>
      </c>
      <c r="AM227" s="7" t="b">
        <f t="shared" si="31"/>
        <v>1</v>
      </c>
      <c r="AN227" s="7" t="str">
        <f t="shared" si="26"/>
        <v>Clark</v>
      </c>
      <c r="AO227" s="7" t="b">
        <f>C227='St of Activities - GA Exp'!C227</f>
        <v>1</v>
      </c>
    </row>
    <row r="228" spans="1:41">
      <c r="A228" s="12" t="s">
        <v>288</v>
      </c>
      <c r="B228" s="12"/>
      <c r="C228" s="12" t="s">
        <v>21</v>
      </c>
      <c r="D228" s="12"/>
      <c r="E228" s="12">
        <v>44099</v>
      </c>
      <c r="G228" s="7">
        <v>8154026</v>
      </c>
      <c r="I228" s="7">
        <v>8607</v>
      </c>
      <c r="K228" s="2">
        <f t="shared" si="32"/>
        <v>11278559</v>
      </c>
      <c r="M228" s="7">
        <v>19441192</v>
      </c>
      <c r="O228" s="2">
        <f t="shared" si="27"/>
        <v>2852259</v>
      </c>
      <c r="Q228" s="7">
        <v>8611227</v>
      </c>
      <c r="S228" s="7">
        <v>11463486</v>
      </c>
      <c r="U228" s="7">
        <v>57164</v>
      </c>
      <c r="W228" s="7">
        <v>0</v>
      </c>
      <c r="Y228" s="7">
        <v>407469</v>
      </c>
      <c r="AA228" s="7">
        <v>2537982</v>
      </c>
      <c r="AC228" s="7">
        <v>4975091</v>
      </c>
      <c r="AE228" s="13">
        <f t="shared" si="28"/>
        <v>7977706</v>
      </c>
      <c r="AG228" s="7">
        <f t="shared" si="29"/>
        <v>0</v>
      </c>
      <c r="AK228" s="7" t="str">
        <f t="shared" si="30"/>
        <v>Greenville City SD</v>
      </c>
      <c r="AL228" s="7" t="str">
        <f>'St of Activities - GA Exp'!A228</f>
        <v>Greenville City SD</v>
      </c>
      <c r="AM228" s="7" t="b">
        <f t="shared" si="31"/>
        <v>1</v>
      </c>
      <c r="AN228" s="7" t="str">
        <f t="shared" si="26"/>
        <v>Darke</v>
      </c>
      <c r="AO228" s="7" t="b">
        <f>C228='St of Activities - GA Exp'!C228</f>
        <v>1</v>
      </c>
    </row>
    <row r="229" spans="1:41">
      <c r="A229" s="12" t="s">
        <v>310</v>
      </c>
      <c r="B229" s="12"/>
      <c r="C229" s="12" t="s">
        <v>27</v>
      </c>
      <c r="D229" s="12"/>
      <c r="E229" s="12">
        <v>46979</v>
      </c>
      <c r="G229" s="7">
        <v>3253305</v>
      </c>
      <c r="I229" s="7">
        <v>2383889</v>
      </c>
      <c r="K229" s="2">
        <f t="shared" si="32"/>
        <v>21304626</v>
      </c>
      <c r="M229" s="7">
        <v>26941820</v>
      </c>
      <c r="O229" s="2">
        <f t="shared" si="27"/>
        <v>5965126</v>
      </c>
      <c r="Q229" s="7">
        <v>15272200</v>
      </c>
      <c r="S229" s="7">
        <v>21237326</v>
      </c>
      <c r="U229" s="7">
        <v>0</v>
      </c>
      <c r="W229" s="7">
        <v>2383889</v>
      </c>
      <c r="Y229" s="7">
        <v>0</v>
      </c>
      <c r="AA229" s="7">
        <f>74949+26860</f>
        <v>101809</v>
      </c>
      <c r="AC229" s="7">
        <v>3218796</v>
      </c>
      <c r="AE229" s="13">
        <f t="shared" si="28"/>
        <v>5704494</v>
      </c>
      <c r="AG229" s="7">
        <f t="shared" si="29"/>
        <v>0</v>
      </c>
      <c r="AI229" s="14"/>
      <c r="AK229" s="7" t="str">
        <f t="shared" si="30"/>
        <v>Groveport Madison Local SD</v>
      </c>
      <c r="AL229" s="7" t="str">
        <f>'St of Activities - GA Exp'!A229</f>
        <v>Groveport Madison Local SD</v>
      </c>
      <c r="AM229" s="7" t="b">
        <f t="shared" si="31"/>
        <v>1</v>
      </c>
      <c r="AN229" s="7" t="str">
        <f t="shared" si="26"/>
        <v>Franklin</v>
      </c>
      <c r="AO229" s="7" t="b">
        <f>C229='St of Activities - GA Exp'!C229</f>
        <v>1</v>
      </c>
    </row>
    <row r="230" spans="1:41" hidden="1">
      <c r="A230" s="12" t="s">
        <v>225</v>
      </c>
      <c r="B230" s="12"/>
      <c r="C230" s="12" t="s">
        <v>223</v>
      </c>
      <c r="D230" s="12"/>
      <c r="E230" s="12">
        <v>44107</v>
      </c>
      <c r="K230" s="2">
        <f t="shared" si="32"/>
        <v>0</v>
      </c>
      <c r="O230" s="2">
        <f t="shared" si="27"/>
        <v>0</v>
      </c>
      <c r="AE230" s="13">
        <f t="shared" si="28"/>
        <v>0</v>
      </c>
      <c r="AG230" s="7">
        <f t="shared" si="29"/>
        <v>0</v>
      </c>
      <c r="AI230" s="7" t="s">
        <v>903</v>
      </c>
      <c r="AK230" s="7" t="str">
        <f t="shared" si="30"/>
        <v>Hamilton City SD</v>
      </c>
      <c r="AL230" s="7" t="str">
        <f>'St of Activities - GA Exp'!A230</f>
        <v>Hamilton City SD</v>
      </c>
      <c r="AM230" s="7" t="b">
        <f t="shared" si="31"/>
        <v>1</v>
      </c>
      <c r="AN230" s="7" t="str">
        <f t="shared" si="26"/>
        <v>Butler</v>
      </c>
      <c r="AO230" s="7" t="b">
        <f>C230='St of Activities - GA Exp'!C230</f>
        <v>1</v>
      </c>
    </row>
    <row r="231" spans="1:41">
      <c r="A231" s="12" t="s">
        <v>925</v>
      </c>
      <c r="B231" s="12"/>
      <c r="C231" s="12" t="s">
        <v>27</v>
      </c>
      <c r="D231" s="12"/>
      <c r="E231" s="12">
        <v>46953</v>
      </c>
      <c r="G231" s="7">
        <v>7062868</v>
      </c>
      <c r="I231" s="7">
        <v>647977</v>
      </c>
      <c r="K231" s="2">
        <f t="shared" si="32"/>
        <v>5711019</v>
      </c>
      <c r="M231" s="7">
        <v>13421864</v>
      </c>
      <c r="O231" s="2">
        <f t="shared" si="27"/>
        <v>3041303</v>
      </c>
      <c r="Q231" s="7">
        <v>3791515</v>
      </c>
      <c r="S231" s="7">
        <v>6832818</v>
      </c>
      <c r="U231" s="7">
        <v>0</v>
      </c>
      <c r="W231" s="7">
        <v>647977</v>
      </c>
      <c r="Y231" s="7">
        <v>0</v>
      </c>
      <c r="AA231" s="7">
        <f>34992+14776</f>
        <v>49768</v>
      </c>
      <c r="AC231" s="7">
        <v>5891301</v>
      </c>
      <c r="AE231" s="13">
        <f t="shared" si="28"/>
        <v>6589046</v>
      </c>
      <c r="AG231" s="7">
        <f t="shared" si="29"/>
        <v>0</v>
      </c>
      <c r="AK231" s="7" t="str">
        <f t="shared" si="30"/>
        <v>Hamilton Local SD</v>
      </c>
      <c r="AL231" s="7" t="str">
        <f>'St of Activities - GA Exp'!A231</f>
        <v>Hamilton Local SD</v>
      </c>
      <c r="AM231" s="7" t="b">
        <f t="shared" si="31"/>
        <v>1</v>
      </c>
      <c r="AN231" s="7" t="str">
        <f t="shared" si="26"/>
        <v>Franklin</v>
      </c>
      <c r="AO231" s="7" t="b">
        <f>C231='St of Activities - GA Exp'!C231</f>
        <v>1</v>
      </c>
    </row>
    <row r="232" spans="1:41">
      <c r="A232" s="12" t="s">
        <v>349</v>
      </c>
      <c r="B232" s="12"/>
      <c r="C232" s="12" t="s">
        <v>348</v>
      </c>
      <c r="D232" s="12"/>
      <c r="E232" s="12">
        <v>47498</v>
      </c>
      <c r="G232" s="7">
        <v>2227984</v>
      </c>
      <c r="I232" s="7">
        <v>174589</v>
      </c>
      <c r="K232" s="2">
        <f t="shared" si="32"/>
        <v>1357059</v>
      </c>
      <c r="M232" s="7">
        <v>3759632</v>
      </c>
      <c r="O232" s="2">
        <f t="shared" si="27"/>
        <v>385086</v>
      </c>
      <c r="Q232" s="7">
        <v>880304</v>
      </c>
      <c r="S232" s="7">
        <v>1265390</v>
      </c>
      <c r="U232" s="7">
        <v>42621</v>
      </c>
      <c r="W232" s="7">
        <v>317215</v>
      </c>
      <c r="Y232" s="7">
        <v>0</v>
      </c>
      <c r="AA232" s="7">
        <v>51576</v>
      </c>
      <c r="AC232" s="7">
        <v>2082830</v>
      </c>
      <c r="AE232" s="13">
        <f t="shared" si="28"/>
        <v>2494242</v>
      </c>
      <c r="AG232" s="7">
        <f t="shared" si="29"/>
        <v>0</v>
      </c>
      <c r="AI232" s="14"/>
      <c r="AK232" s="7" t="str">
        <f t="shared" si="30"/>
        <v>Hardin Northern Local SD</v>
      </c>
      <c r="AL232" s="7" t="str">
        <f>'St of Activities - GA Exp'!A232</f>
        <v>Hardin Northern Local SD</v>
      </c>
      <c r="AM232" s="7" t="b">
        <f t="shared" si="31"/>
        <v>1</v>
      </c>
      <c r="AN232" s="7" t="str">
        <f t="shared" si="26"/>
        <v>Hardin</v>
      </c>
      <c r="AO232" s="7" t="b">
        <f>C232='St of Activities - GA Exp'!C232</f>
        <v>1</v>
      </c>
    </row>
    <row r="233" spans="1:41">
      <c r="A233" s="12" t="s">
        <v>506</v>
      </c>
      <c r="B233" s="12"/>
      <c r="C233" s="12" t="s">
        <v>61</v>
      </c>
      <c r="D233" s="12"/>
      <c r="E233" s="12">
        <v>49791</v>
      </c>
      <c r="G233" s="7">
        <v>1302090</v>
      </c>
      <c r="I233" s="7">
        <v>64358</v>
      </c>
      <c r="K233" s="2">
        <f t="shared" si="32"/>
        <v>1693316</v>
      </c>
      <c r="M233" s="7">
        <v>3059764</v>
      </c>
      <c r="O233" s="2">
        <f t="shared" si="27"/>
        <v>613820</v>
      </c>
      <c r="Q233" s="7">
        <v>1387540</v>
      </c>
      <c r="S233" s="7">
        <v>2001360</v>
      </c>
      <c r="U233" s="7">
        <v>0</v>
      </c>
      <c r="W233" s="7">
        <v>64358</v>
      </c>
      <c r="Y233" s="7">
        <v>0</v>
      </c>
      <c r="AA233" s="7">
        <v>280605</v>
      </c>
      <c r="AC233" s="7">
        <v>713441</v>
      </c>
      <c r="AE233" s="13">
        <f t="shared" si="28"/>
        <v>1058404</v>
      </c>
      <c r="AG233" s="7">
        <f t="shared" si="29"/>
        <v>0</v>
      </c>
      <c r="AK233" s="7" t="str">
        <f t="shared" si="30"/>
        <v>Hardin-Houston Local SD</v>
      </c>
      <c r="AL233" s="7" t="str">
        <f>'St of Activities - GA Exp'!A233</f>
        <v>Hardin-Houston Local SD</v>
      </c>
      <c r="AM233" s="7" t="b">
        <f t="shared" si="31"/>
        <v>1</v>
      </c>
      <c r="AN233" s="7" t="str">
        <f t="shared" si="26"/>
        <v>Shelby</v>
      </c>
      <c r="AO233" s="7" t="b">
        <f>C233='St of Activities - GA Exp'!C233</f>
        <v>1</v>
      </c>
    </row>
    <row r="234" spans="1:41" hidden="1">
      <c r="A234" s="12" t="s">
        <v>353</v>
      </c>
      <c r="B234" s="12"/>
      <c r="C234" s="12" t="s">
        <v>352</v>
      </c>
      <c r="D234" s="12"/>
      <c r="E234" s="12">
        <v>45245</v>
      </c>
      <c r="K234" s="2">
        <f t="shared" si="32"/>
        <v>0</v>
      </c>
      <c r="O234" s="2">
        <f t="shared" si="27"/>
        <v>0</v>
      </c>
      <c r="AE234" s="13">
        <f t="shared" si="28"/>
        <v>0</v>
      </c>
      <c r="AG234" s="7">
        <f t="shared" si="29"/>
        <v>0</v>
      </c>
      <c r="AI234" s="7" t="s">
        <v>903</v>
      </c>
      <c r="AK234" s="7" t="str">
        <f t="shared" si="30"/>
        <v>Harrison Hills City SD</v>
      </c>
      <c r="AL234" s="7" t="str">
        <f>'St of Activities - GA Exp'!A234</f>
        <v>Harrison Hills City SD</v>
      </c>
      <c r="AM234" s="7" t="b">
        <f t="shared" si="31"/>
        <v>1</v>
      </c>
      <c r="AN234" s="7" t="str">
        <f t="shared" si="26"/>
        <v>Harrison</v>
      </c>
      <c r="AO234" s="7" t="b">
        <f>C234='St of Activities - GA Exp'!C234</f>
        <v>1</v>
      </c>
    </row>
    <row r="235" spans="1:41">
      <c r="A235" s="12" t="s">
        <v>384</v>
      </c>
      <c r="B235" s="12"/>
      <c r="C235" s="12" t="s">
        <v>42</v>
      </c>
      <c r="D235" s="12"/>
      <c r="E235" s="12">
        <v>44115</v>
      </c>
      <c r="G235" s="7">
        <f>1291969+1292668</f>
        <v>2584637</v>
      </c>
      <c r="I235" s="7">
        <v>1053151</v>
      </c>
      <c r="K235" s="2">
        <f t="shared" si="32"/>
        <v>8152757</v>
      </c>
      <c r="M235" s="7">
        <v>11790545</v>
      </c>
      <c r="O235" s="2">
        <f t="shared" si="27"/>
        <v>1707534</v>
      </c>
      <c r="Q235" s="7">
        <f>7409999+628</f>
        <v>7410627</v>
      </c>
      <c r="S235" s="7">
        <v>9118161</v>
      </c>
      <c r="U235" s="7">
        <v>183217</v>
      </c>
      <c r="W235" s="7">
        <v>1071779</v>
      </c>
      <c r="Y235" s="7">
        <v>0</v>
      </c>
      <c r="AA235" s="7">
        <v>240210</v>
      </c>
      <c r="AC235" s="7">
        <v>1177178</v>
      </c>
      <c r="AE235" s="13">
        <f t="shared" si="28"/>
        <v>2672384</v>
      </c>
      <c r="AG235" s="7">
        <f t="shared" si="29"/>
        <v>0</v>
      </c>
      <c r="AK235" s="7" t="str">
        <f t="shared" si="30"/>
        <v>Heath City SD</v>
      </c>
      <c r="AL235" s="7" t="str">
        <f>'St of Activities - GA Exp'!A235</f>
        <v>Heath City SD</v>
      </c>
      <c r="AM235" s="7" t="b">
        <f t="shared" si="31"/>
        <v>1</v>
      </c>
      <c r="AN235" s="7" t="str">
        <f t="shared" si="26"/>
        <v>Licking</v>
      </c>
      <c r="AO235" s="7" t="b">
        <f>C235='St of Activities - GA Exp'!C235</f>
        <v>1</v>
      </c>
    </row>
    <row r="236" spans="1:41" hidden="1">
      <c r="A236" s="12" t="s">
        <v>699</v>
      </c>
      <c r="B236" s="12"/>
      <c r="C236" s="12" t="s">
        <v>22</v>
      </c>
      <c r="D236" s="12"/>
      <c r="E236" s="12">
        <v>45419</v>
      </c>
      <c r="K236" s="2">
        <f t="shared" si="32"/>
        <v>0</v>
      </c>
      <c r="O236" s="2">
        <f t="shared" si="27"/>
        <v>0</v>
      </c>
      <c r="AE236" s="13">
        <f t="shared" si="28"/>
        <v>0</v>
      </c>
      <c r="AG236" s="7">
        <f t="shared" si="29"/>
        <v>0</v>
      </c>
      <c r="AI236" s="7" t="s">
        <v>904</v>
      </c>
      <c r="AK236" s="7" t="str">
        <f t="shared" si="30"/>
        <v>Hicksville Ex Vill SD  (CASH)</v>
      </c>
      <c r="AL236" s="7" t="str">
        <f>'St of Activities - GA Exp'!A236</f>
        <v>Hicksville Ex Vill SD  (CASH)</v>
      </c>
      <c r="AM236" s="7" t="b">
        <f t="shared" si="31"/>
        <v>1</v>
      </c>
      <c r="AN236" s="7" t="str">
        <f t="shared" si="26"/>
        <v>Defiance</v>
      </c>
      <c r="AO236" s="7" t="b">
        <f>C236='St of Activities - GA Exp'!C236</f>
        <v>1</v>
      </c>
    </row>
    <row r="237" spans="1:41">
      <c r="A237" s="12" t="s">
        <v>430</v>
      </c>
      <c r="B237" s="12"/>
      <c r="C237" s="12" t="s">
        <v>47</v>
      </c>
      <c r="D237" s="12"/>
      <c r="E237" s="12">
        <v>48496</v>
      </c>
      <c r="G237" s="7">
        <v>6107508</v>
      </c>
      <c r="I237" s="7">
        <v>83514</v>
      </c>
      <c r="K237" s="2">
        <f t="shared" si="32"/>
        <v>15769294</v>
      </c>
      <c r="M237" s="7">
        <v>21960316</v>
      </c>
      <c r="O237" s="2">
        <f t="shared" si="27"/>
        <v>3086596</v>
      </c>
      <c r="Q237" s="7">
        <v>14454151</v>
      </c>
      <c r="S237" s="7">
        <v>17540747</v>
      </c>
      <c r="U237" s="7">
        <v>24504</v>
      </c>
      <c r="W237" s="7">
        <v>83514</v>
      </c>
      <c r="Y237" s="7">
        <v>11000</v>
      </c>
      <c r="AA237" s="7">
        <v>3614371</v>
      </c>
      <c r="AC237" s="7">
        <v>686180</v>
      </c>
      <c r="AE237" s="13">
        <f t="shared" si="28"/>
        <v>4419569</v>
      </c>
      <c r="AG237" s="7">
        <f t="shared" si="29"/>
        <v>0</v>
      </c>
      <c r="AK237" s="7" t="str">
        <f t="shared" si="30"/>
        <v>Highland Local SD</v>
      </c>
      <c r="AL237" s="7" t="str">
        <f>'St of Activities - GA Exp'!A237</f>
        <v>Highland Local SD</v>
      </c>
      <c r="AM237" s="7" t="b">
        <f t="shared" si="31"/>
        <v>1</v>
      </c>
      <c r="AN237" s="7" t="str">
        <f t="shared" si="26"/>
        <v>Medina</v>
      </c>
      <c r="AO237" s="7" t="b">
        <f>C237='St of Activities - GA Exp'!C237</f>
        <v>1</v>
      </c>
    </row>
    <row r="238" spans="1:41">
      <c r="A238" s="12" t="s">
        <v>430</v>
      </c>
      <c r="B238" s="12"/>
      <c r="C238" s="12" t="s">
        <v>78</v>
      </c>
      <c r="D238" s="12"/>
      <c r="E238" s="12">
        <v>48801</v>
      </c>
      <c r="G238" s="7">
        <v>2068652</v>
      </c>
      <c r="I238" s="7">
        <v>1044607</v>
      </c>
      <c r="K238" s="2">
        <f t="shared" si="32"/>
        <v>4130676</v>
      </c>
      <c r="M238" s="7">
        <v>7243935</v>
      </c>
      <c r="O238" s="2">
        <f t="shared" si="27"/>
        <v>1952853</v>
      </c>
      <c r="Q238" s="7">
        <v>2946561</v>
      </c>
      <c r="S238" s="7">
        <v>4899414</v>
      </c>
      <c r="U238" s="7">
        <v>63837</v>
      </c>
      <c r="W238" s="7">
        <v>1044607</v>
      </c>
      <c r="Y238" s="7">
        <v>0</v>
      </c>
      <c r="AA238" s="7">
        <v>53633</v>
      </c>
      <c r="AC238" s="7">
        <v>1182444</v>
      </c>
      <c r="AE238" s="13">
        <f t="shared" si="28"/>
        <v>2344521</v>
      </c>
      <c r="AG238" s="7">
        <f t="shared" si="29"/>
        <v>0</v>
      </c>
      <c r="AK238" s="7" t="str">
        <f t="shared" si="30"/>
        <v>Highland Local SD</v>
      </c>
      <c r="AL238" s="7" t="str">
        <f>'St of Activities - GA Exp'!A238</f>
        <v>Highland Local SD</v>
      </c>
      <c r="AM238" s="7" t="b">
        <f t="shared" si="31"/>
        <v>1</v>
      </c>
      <c r="AN238" s="7" t="str">
        <f t="shared" si="26"/>
        <v>Morrow</v>
      </c>
      <c r="AO238" s="7" t="b">
        <f>C238='St of Activities - GA Exp'!C238</f>
        <v>1</v>
      </c>
    </row>
    <row r="239" spans="1:41">
      <c r="A239" s="12" t="s">
        <v>311</v>
      </c>
      <c r="B239" s="12"/>
      <c r="C239" s="12" t="s">
        <v>27</v>
      </c>
      <c r="D239" s="12"/>
      <c r="E239" s="12">
        <v>47019</v>
      </c>
      <c r="G239" s="7">
        <f>5996649+9510555</f>
        <v>15507204</v>
      </c>
      <c r="I239" s="7">
        <v>0</v>
      </c>
      <c r="K239" s="2">
        <f t="shared" si="32"/>
        <v>101412863</v>
      </c>
      <c r="M239" s="7">
        <v>116920067</v>
      </c>
      <c r="O239" s="2">
        <f t="shared" si="27"/>
        <v>19352432</v>
      </c>
      <c r="Q239" s="7">
        <v>61890441</v>
      </c>
      <c r="S239" s="7">
        <v>81242873</v>
      </c>
      <c r="U239" s="7">
        <v>0</v>
      </c>
      <c r="W239" s="7">
        <v>0</v>
      </c>
      <c r="Y239" s="7">
        <v>0</v>
      </c>
      <c r="AA239" s="7">
        <v>1036373</v>
      </c>
      <c r="AC239" s="7">
        <v>34640821</v>
      </c>
      <c r="AE239" s="13">
        <f t="shared" si="28"/>
        <v>35677194</v>
      </c>
      <c r="AG239" s="7">
        <f t="shared" si="29"/>
        <v>0</v>
      </c>
      <c r="AK239" s="7" t="str">
        <f t="shared" si="30"/>
        <v>Hilliard City SD</v>
      </c>
      <c r="AL239" s="7" t="str">
        <f>'St of Activities - GA Exp'!A239</f>
        <v>Hilliard City SD</v>
      </c>
      <c r="AM239" s="7" t="b">
        <f t="shared" si="31"/>
        <v>1</v>
      </c>
      <c r="AN239" s="7" t="str">
        <f t="shared" si="26"/>
        <v>Franklin</v>
      </c>
      <c r="AO239" s="7" t="b">
        <f>C239='St of Activities - GA Exp'!C239</f>
        <v>1</v>
      </c>
    </row>
    <row r="240" spans="1:41">
      <c r="A240" s="12" t="s">
        <v>360</v>
      </c>
      <c r="B240" s="12"/>
      <c r="C240" s="12" t="s">
        <v>358</v>
      </c>
      <c r="D240" s="12"/>
      <c r="E240" s="12">
        <v>44123</v>
      </c>
      <c r="G240" s="7">
        <v>4988749</v>
      </c>
      <c r="I240" s="7">
        <v>75952</v>
      </c>
      <c r="K240" s="2">
        <f t="shared" si="32"/>
        <v>6514920</v>
      </c>
      <c r="M240" s="7">
        <v>11579621</v>
      </c>
      <c r="O240" s="2">
        <f t="shared" si="27"/>
        <v>2020638</v>
      </c>
      <c r="Q240" s="7">
        <v>5437962</v>
      </c>
      <c r="S240" s="7">
        <v>7458600</v>
      </c>
      <c r="U240" s="7">
        <v>15000</v>
      </c>
      <c r="W240" s="7">
        <v>75952</v>
      </c>
      <c r="Y240" s="7">
        <v>464505</v>
      </c>
      <c r="AA240" s="7">
        <v>145054</v>
      </c>
      <c r="AC240" s="7">
        <v>3420510</v>
      </c>
      <c r="AE240" s="13">
        <f t="shared" si="28"/>
        <v>4121021</v>
      </c>
      <c r="AG240" s="7">
        <f t="shared" si="29"/>
        <v>0</v>
      </c>
      <c r="AK240" s="7" t="str">
        <f t="shared" si="30"/>
        <v>Hillsboro City SD</v>
      </c>
      <c r="AL240" s="7" t="str">
        <f>'St of Activities - GA Exp'!A240</f>
        <v>Hillsboro City SD</v>
      </c>
      <c r="AM240" s="7" t="b">
        <f t="shared" si="31"/>
        <v>1</v>
      </c>
      <c r="AN240" s="7" t="str">
        <f t="shared" si="26"/>
        <v>Highland</v>
      </c>
      <c r="AO240" s="7" t="b">
        <f>C240='St of Activities - GA Exp'!C240</f>
        <v>1</v>
      </c>
    </row>
    <row r="241" spans="1:41">
      <c r="A241" s="12" t="s">
        <v>205</v>
      </c>
      <c r="B241" s="12"/>
      <c r="C241" s="12" t="s">
        <v>11</v>
      </c>
      <c r="D241" s="12"/>
      <c r="E241" s="12">
        <v>45823</v>
      </c>
      <c r="G241" s="7">
        <v>1578940</v>
      </c>
      <c r="I241" s="7">
        <v>0</v>
      </c>
      <c r="K241" s="2">
        <f t="shared" si="32"/>
        <v>3846939</v>
      </c>
      <c r="M241" s="7">
        <v>5425879</v>
      </c>
      <c r="O241" s="2">
        <f t="shared" si="27"/>
        <v>1350143</v>
      </c>
      <c r="Q241" s="7">
        <f>225411+2315796</f>
        <v>2541207</v>
      </c>
      <c r="S241" s="7">
        <v>3891350</v>
      </c>
      <c r="U241" s="7">
        <f>21905+115905</f>
        <v>137810</v>
      </c>
      <c r="W241" s="7">
        <v>0</v>
      </c>
      <c r="Y241" s="7">
        <v>0</v>
      </c>
      <c r="AA241" s="7">
        <f>9553+37042+14</f>
        <v>46609</v>
      </c>
      <c r="AC241" s="7">
        <v>1350110</v>
      </c>
      <c r="AE241" s="13">
        <f t="shared" si="28"/>
        <v>1534529</v>
      </c>
      <c r="AG241" s="7">
        <f t="shared" si="29"/>
        <v>0</v>
      </c>
      <c r="AK241" s="7" t="str">
        <f t="shared" si="30"/>
        <v>Hillsdale Local SD</v>
      </c>
      <c r="AL241" s="7" t="str">
        <f>'St of Activities - GA Exp'!A241</f>
        <v>Hillsdale Local SD</v>
      </c>
      <c r="AM241" s="7" t="b">
        <f t="shared" si="31"/>
        <v>1</v>
      </c>
      <c r="AN241" s="7" t="str">
        <f t="shared" si="26"/>
        <v>Ashland</v>
      </c>
      <c r="AO241" s="7" t="b">
        <f>C241='St of Activities - GA Exp'!C241</f>
        <v>1</v>
      </c>
    </row>
    <row r="242" spans="1:41">
      <c r="A242" s="12" t="s">
        <v>354</v>
      </c>
      <c r="B242" s="12"/>
      <c r="C242" s="12" t="s">
        <v>34</v>
      </c>
      <c r="D242" s="12"/>
      <c r="E242" s="12">
        <v>47571</v>
      </c>
      <c r="G242" s="7">
        <v>2050995</v>
      </c>
      <c r="I242" s="7">
        <v>33532</v>
      </c>
      <c r="K242" s="2">
        <f t="shared" si="32"/>
        <v>1177097</v>
      </c>
      <c r="M242" s="7">
        <v>3261624</v>
      </c>
      <c r="O242" s="2">
        <f t="shared" si="27"/>
        <v>466344</v>
      </c>
      <c r="Q242" s="7">
        <v>892962</v>
      </c>
      <c r="S242" s="7">
        <v>1359306</v>
      </c>
      <c r="U242" s="7">
        <v>8458</v>
      </c>
      <c r="W242" s="7">
        <v>33532</v>
      </c>
      <c r="Y242" s="7">
        <v>0</v>
      </c>
      <c r="AA242" s="7">
        <v>23915</v>
      </c>
      <c r="AC242" s="7">
        <v>1836413</v>
      </c>
      <c r="AE242" s="13">
        <f t="shared" si="28"/>
        <v>1902318</v>
      </c>
      <c r="AG242" s="7">
        <f t="shared" si="29"/>
        <v>0</v>
      </c>
      <c r="AK242" s="7" t="str">
        <f t="shared" si="30"/>
        <v>Holgate Local SD</v>
      </c>
      <c r="AL242" s="7" t="str">
        <f>'St of Activities - GA Exp'!A242</f>
        <v>Holgate Local SD</v>
      </c>
      <c r="AM242" s="7" t="b">
        <f t="shared" si="31"/>
        <v>1</v>
      </c>
      <c r="AN242" s="7" t="str">
        <f t="shared" si="26"/>
        <v>Henry</v>
      </c>
      <c r="AO242" s="7" t="b">
        <f>C242='St of Activities - GA Exp'!C242</f>
        <v>1</v>
      </c>
    </row>
    <row r="243" spans="1:41">
      <c r="A243" s="12" t="s">
        <v>538</v>
      </c>
      <c r="B243" s="12"/>
      <c r="C243" s="12" t="s">
        <v>64</v>
      </c>
      <c r="D243" s="12"/>
      <c r="E243" s="12">
        <v>50161</v>
      </c>
      <c r="G243" s="7">
        <v>1360277</v>
      </c>
      <c r="I243" s="7">
        <v>0</v>
      </c>
      <c r="K243" s="2">
        <f t="shared" si="32"/>
        <v>19241817</v>
      </c>
      <c r="M243" s="7">
        <v>20602094</v>
      </c>
      <c r="O243" s="2">
        <f t="shared" si="27"/>
        <v>3830757</v>
      </c>
      <c r="Q243" s="7">
        <f>2409191+16566677</f>
        <v>18975868</v>
      </c>
      <c r="S243" s="7">
        <v>22806625</v>
      </c>
      <c r="U243" s="7">
        <f>98730+33896</f>
        <v>132626</v>
      </c>
      <c r="W243" s="7">
        <v>0</v>
      </c>
      <c r="Y243" s="7">
        <v>0</v>
      </c>
      <c r="AA243" s="7">
        <f>4173+7733+52080+1099741+14172</f>
        <v>1177899</v>
      </c>
      <c r="AC243" s="7">
        <v>-3515056</v>
      </c>
      <c r="AE243" s="13">
        <f t="shared" si="28"/>
        <v>-2204531</v>
      </c>
      <c r="AG243" s="7">
        <f t="shared" si="29"/>
        <v>0</v>
      </c>
      <c r="AK243" s="7" t="str">
        <f t="shared" si="30"/>
        <v>Howland Local SD</v>
      </c>
      <c r="AL243" s="7" t="str">
        <f>'St of Activities - GA Exp'!A243</f>
        <v>Howland Local SD</v>
      </c>
      <c r="AM243" s="7" t="b">
        <f t="shared" si="31"/>
        <v>1</v>
      </c>
      <c r="AN243" s="7" t="str">
        <f t="shared" si="26"/>
        <v>Trumbull</v>
      </c>
      <c r="AO243" s="7" t="b">
        <f>C243='St of Activities - GA Exp'!C243</f>
        <v>1</v>
      </c>
    </row>
    <row r="244" spans="1:41">
      <c r="A244" s="12" t="s">
        <v>870</v>
      </c>
      <c r="B244" s="12"/>
      <c r="C244" s="12" t="s">
        <v>64</v>
      </c>
      <c r="D244" s="12"/>
      <c r="E244" s="12">
        <v>45427</v>
      </c>
      <c r="G244" s="7">
        <v>4000808</v>
      </c>
      <c r="I244" s="7">
        <v>742490</v>
      </c>
      <c r="K244" s="2">
        <f t="shared" si="32"/>
        <v>8196092</v>
      </c>
      <c r="M244" s="7">
        <v>12939390</v>
      </c>
      <c r="O244" s="2">
        <f t="shared" si="27"/>
        <v>2036500</v>
      </c>
      <c r="Q244" s="7">
        <v>7900528</v>
      </c>
      <c r="S244" s="7">
        <v>9937028</v>
      </c>
      <c r="U244" s="7">
        <v>33792</v>
      </c>
      <c r="W244" s="7">
        <v>675595</v>
      </c>
      <c r="Y244" s="7">
        <v>66895</v>
      </c>
      <c r="AA244" s="7">
        <v>106270</v>
      </c>
      <c r="AC244" s="7">
        <v>2119810</v>
      </c>
      <c r="AE244" s="13">
        <f t="shared" si="28"/>
        <v>3002362</v>
      </c>
      <c r="AG244" s="7">
        <f t="shared" si="29"/>
        <v>0</v>
      </c>
      <c r="AK244" s="7" t="str">
        <f t="shared" si="30"/>
        <v>Hubbard Exempted Village SD</v>
      </c>
      <c r="AL244" s="7" t="str">
        <f>'St of Activities - GA Exp'!A244</f>
        <v>Hubbard Exempted Village SD</v>
      </c>
      <c r="AM244" s="7" t="b">
        <f t="shared" si="31"/>
        <v>1</v>
      </c>
      <c r="AN244" s="7" t="str">
        <f t="shared" si="26"/>
        <v>Trumbull</v>
      </c>
      <c r="AO244" s="7" t="b">
        <f>C244='St of Activities - GA Exp'!C244</f>
        <v>1</v>
      </c>
    </row>
    <row r="245" spans="1:41">
      <c r="A245" s="12" t="s">
        <v>443</v>
      </c>
      <c r="B245" s="12"/>
      <c r="C245" s="12" t="s">
        <v>50</v>
      </c>
      <c r="D245" s="12"/>
      <c r="E245" s="12">
        <v>48751</v>
      </c>
      <c r="G245" s="7">
        <f>8979310+8668812</f>
        <v>17648122</v>
      </c>
      <c r="I245" s="7">
        <v>900371</v>
      </c>
      <c r="K245" s="2">
        <f t="shared" si="32"/>
        <v>25974699</v>
      </c>
      <c r="M245" s="7">
        <v>44523192</v>
      </c>
      <c r="O245" s="2">
        <f t="shared" si="27"/>
        <v>8142040</v>
      </c>
      <c r="Q245" s="7">
        <v>24055787</v>
      </c>
      <c r="S245" s="7">
        <v>32197827</v>
      </c>
      <c r="U245" s="7">
        <v>396753</v>
      </c>
      <c r="W245" s="7">
        <v>900371</v>
      </c>
      <c r="Y245" s="7">
        <v>11000</v>
      </c>
      <c r="AA245" s="7">
        <v>4104021</v>
      </c>
      <c r="AC245" s="7">
        <v>6913220</v>
      </c>
      <c r="AE245" s="13">
        <f t="shared" si="28"/>
        <v>12325365</v>
      </c>
      <c r="AG245" s="7">
        <f t="shared" si="29"/>
        <v>0</v>
      </c>
      <c r="AK245" s="7" t="str">
        <f t="shared" si="30"/>
        <v>Huber Heights City SD</v>
      </c>
      <c r="AL245" s="7" t="str">
        <f>'St of Activities - GA Exp'!A245</f>
        <v>Huber Heights City SD</v>
      </c>
      <c r="AM245" s="7" t="b">
        <f t="shared" si="31"/>
        <v>1</v>
      </c>
      <c r="AN245" s="7" t="str">
        <f t="shared" si="26"/>
        <v>Montgomery</v>
      </c>
      <c r="AO245" s="7" t="b">
        <f>C245='St of Activities - GA Exp'!C245</f>
        <v>1</v>
      </c>
    </row>
    <row r="246" spans="1:41">
      <c r="A246" s="12" t="s">
        <v>525</v>
      </c>
      <c r="B246" s="12"/>
      <c r="C246" s="12" t="s">
        <v>63</v>
      </c>
      <c r="D246" s="12"/>
      <c r="E246" s="12">
        <v>50021</v>
      </c>
      <c r="G246" s="7">
        <v>10791463</v>
      </c>
      <c r="I246" s="7">
        <v>0</v>
      </c>
      <c r="K246" s="2">
        <f t="shared" si="32"/>
        <v>41736332</v>
      </c>
      <c r="M246" s="7">
        <v>52527795</v>
      </c>
      <c r="O246" s="2">
        <f t="shared" si="27"/>
        <v>7816302</v>
      </c>
      <c r="Q246" s="7">
        <f>34734956+2684847</f>
        <v>37419803</v>
      </c>
      <c r="S246" s="7">
        <v>45236105</v>
      </c>
      <c r="U246" s="7">
        <v>34833</v>
      </c>
      <c r="W246" s="7">
        <v>0</v>
      </c>
      <c r="Y246" s="7">
        <v>0</v>
      </c>
      <c r="AA246" s="7">
        <f>207052+660467+5490+326718+20677</f>
        <v>1220404</v>
      </c>
      <c r="AC246" s="7">
        <v>6036453</v>
      </c>
      <c r="AE246" s="13">
        <f t="shared" si="28"/>
        <v>7291690</v>
      </c>
      <c r="AG246" s="7">
        <f t="shared" si="29"/>
        <v>0</v>
      </c>
      <c r="AK246" s="7" t="str">
        <f t="shared" si="30"/>
        <v>Hudson City SD</v>
      </c>
      <c r="AL246" s="7" t="str">
        <f>'St of Activities - GA Exp'!A246</f>
        <v>Hudson City SD</v>
      </c>
      <c r="AM246" s="7" t="b">
        <f t="shared" si="31"/>
        <v>1</v>
      </c>
      <c r="AN246" s="7" t="str">
        <f t="shared" si="26"/>
        <v>Summit</v>
      </c>
      <c r="AO246" s="7" t="b">
        <f>C246='St of Activities - GA Exp'!C246</f>
        <v>1</v>
      </c>
    </row>
    <row r="247" spans="1:41">
      <c r="A247" s="12" t="s">
        <v>489</v>
      </c>
      <c r="B247" s="12"/>
      <c r="C247" s="12" t="s">
        <v>58</v>
      </c>
      <c r="D247" s="12"/>
      <c r="E247" s="12">
        <v>49502</v>
      </c>
      <c r="G247" s="7">
        <v>4060063</v>
      </c>
      <c r="I247" s="7">
        <v>793908</v>
      </c>
      <c r="K247" s="2">
        <f t="shared" si="32"/>
        <v>1397556</v>
      </c>
      <c r="M247" s="7">
        <v>6251527</v>
      </c>
      <c r="O247" s="2">
        <f t="shared" si="27"/>
        <v>1401260</v>
      </c>
      <c r="Q247" s="7">
        <v>1071061</v>
      </c>
      <c r="S247" s="7">
        <v>2472321</v>
      </c>
      <c r="U247" s="7">
        <v>61643</v>
      </c>
      <c r="W247" s="7">
        <v>793908</v>
      </c>
      <c r="Y247" s="7">
        <v>0</v>
      </c>
      <c r="AA247" s="7">
        <v>32990</v>
      </c>
      <c r="AC247" s="7">
        <v>2890665</v>
      </c>
      <c r="AE247" s="13">
        <f t="shared" si="28"/>
        <v>3779206</v>
      </c>
      <c r="AG247" s="7">
        <f t="shared" si="29"/>
        <v>0</v>
      </c>
      <c r="AK247" s="7" t="str">
        <f t="shared" si="30"/>
        <v>Huntington Local SD</v>
      </c>
      <c r="AL247" s="7" t="str">
        <f>'St of Activities - GA Exp'!A247</f>
        <v>Huntington Local SD</v>
      </c>
      <c r="AM247" s="7" t="b">
        <f t="shared" si="31"/>
        <v>1</v>
      </c>
      <c r="AN247" s="7" t="str">
        <f t="shared" si="26"/>
        <v>Ross</v>
      </c>
      <c r="AO247" s="7" t="b">
        <f>C247='St of Activities - GA Exp'!C247</f>
        <v>1</v>
      </c>
    </row>
    <row r="248" spans="1:41">
      <c r="A248" s="12" t="s">
        <v>292</v>
      </c>
      <c r="B248" s="12"/>
      <c r="C248" s="12" t="s">
        <v>24</v>
      </c>
      <c r="D248" s="12"/>
      <c r="E248" s="12">
        <v>44131</v>
      </c>
      <c r="G248" s="7">
        <f>7855610+17028</f>
        <v>7872638</v>
      </c>
      <c r="I248" s="7">
        <v>26629</v>
      </c>
      <c r="K248" s="2">
        <f t="shared" si="32"/>
        <v>10386707</v>
      </c>
      <c r="M248" s="7">
        <v>18285974</v>
      </c>
      <c r="O248" s="2">
        <f t="shared" si="27"/>
        <v>1939755</v>
      </c>
      <c r="Q248" s="7">
        <f>7811628+797734</f>
        <v>8609362</v>
      </c>
      <c r="S248" s="7">
        <v>10549117</v>
      </c>
      <c r="U248" s="7">
        <v>10792</v>
      </c>
      <c r="W248" s="7">
        <v>26629</v>
      </c>
      <c r="Y248" s="7">
        <v>0</v>
      </c>
      <c r="AA248" s="7">
        <f>229659+99087+2865+33515+72365</f>
        <v>437491</v>
      </c>
      <c r="AC248" s="7">
        <v>7261945</v>
      </c>
      <c r="AE248" s="13">
        <f t="shared" si="28"/>
        <v>7736857</v>
      </c>
      <c r="AG248" s="7">
        <f t="shared" si="29"/>
        <v>0</v>
      </c>
      <c r="AK248" s="7" t="str">
        <f t="shared" si="30"/>
        <v>Huron City SD</v>
      </c>
      <c r="AL248" s="7" t="str">
        <f>'St of Activities - GA Exp'!A248</f>
        <v>Huron City SD</v>
      </c>
      <c r="AM248" s="7" t="b">
        <f t="shared" si="31"/>
        <v>1</v>
      </c>
      <c r="AN248" s="7" t="str">
        <f t="shared" si="26"/>
        <v>Erie</v>
      </c>
      <c r="AO248" s="7" t="b">
        <f>C248='St of Activities - GA Exp'!C248</f>
        <v>1</v>
      </c>
    </row>
    <row r="249" spans="1:41">
      <c r="A249" s="12" t="s">
        <v>275</v>
      </c>
      <c r="B249" s="12"/>
      <c r="C249" s="12" t="s">
        <v>20</v>
      </c>
      <c r="D249" s="12"/>
      <c r="E249" s="12">
        <v>46565</v>
      </c>
      <c r="G249" s="7">
        <v>2265442</v>
      </c>
      <c r="I249" s="7">
        <v>0</v>
      </c>
      <c r="K249" s="2">
        <f t="shared" si="32"/>
        <v>15561972</v>
      </c>
      <c r="M249" s="7">
        <v>17827414</v>
      </c>
      <c r="O249" s="2">
        <f t="shared" si="27"/>
        <v>1558156</v>
      </c>
      <c r="Q249" s="7">
        <v>14205285</v>
      </c>
      <c r="S249" s="7">
        <v>15763441</v>
      </c>
      <c r="U249" s="7">
        <v>0</v>
      </c>
      <c r="W249" s="7">
        <v>0</v>
      </c>
      <c r="Y249" s="7">
        <v>0</v>
      </c>
      <c r="AA249" s="7">
        <v>38237</v>
      </c>
      <c r="AC249" s="7">
        <v>2025736</v>
      </c>
      <c r="AE249" s="13">
        <f t="shared" si="28"/>
        <v>2063973</v>
      </c>
      <c r="AG249" s="7">
        <f t="shared" si="29"/>
        <v>0</v>
      </c>
      <c r="AK249" s="7" t="str">
        <f t="shared" si="30"/>
        <v>Independence Local SD</v>
      </c>
      <c r="AL249" s="7" t="str">
        <f>'St of Activities - GA Exp'!A249</f>
        <v>Independence Local SD</v>
      </c>
      <c r="AM249" s="7" t="b">
        <f t="shared" si="31"/>
        <v>1</v>
      </c>
      <c r="AN249" s="7" t="str">
        <f t="shared" si="26"/>
        <v>Cuyahoga</v>
      </c>
      <c r="AO249" s="7" t="b">
        <f>C249='St of Activities - GA Exp'!C249</f>
        <v>1</v>
      </c>
    </row>
    <row r="250" spans="1:41">
      <c r="A250" s="12" t="s">
        <v>373</v>
      </c>
      <c r="B250" s="12"/>
      <c r="C250" s="12" t="s">
        <v>39</v>
      </c>
      <c r="D250" s="12"/>
      <c r="E250" s="12">
        <v>47803</v>
      </c>
      <c r="G250" s="7">
        <v>573919</v>
      </c>
      <c r="I250" s="7">
        <v>0</v>
      </c>
      <c r="K250" s="2">
        <f t="shared" si="32"/>
        <v>8755493</v>
      </c>
      <c r="M250" s="7">
        <v>9329412</v>
      </c>
      <c r="O250" s="2">
        <f t="shared" si="27"/>
        <v>2932804</v>
      </c>
      <c r="Q250" s="7">
        <v>7878172</v>
      </c>
      <c r="S250" s="7">
        <v>10810976</v>
      </c>
      <c r="U250" s="7">
        <v>68085</v>
      </c>
      <c r="W250" s="7">
        <v>0</v>
      </c>
      <c r="Y250" s="7">
        <v>25000</v>
      </c>
      <c r="AA250" s="7">
        <v>291164</v>
      </c>
      <c r="AC250" s="7">
        <v>-1865813</v>
      </c>
      <c r="AE250" s="13">
        <f t="shared" si="28"/>
        <v>-1481564</v>
      </c>
      <c r="AG250" s="7">
        <f t="shared" si="29"/>
        <v>0</v>
      </c>
      <c r="AK250" s="7" t="str">
        <f t="shared" si="30"/>
        <v>Indian Creek Local SD</v>
      </c>
      <c r="AL250" s="7" t="str">
        <f>'St of Activities - GA Exp'!A250</f>
        <v>Indian Creek Local SD</v>
      </c>
      <c r="AM250" s="7" t="b">
        <f t="shared" si="31"/>
        <v>1</v>
      </c>
      <c r="AN250" s="7" t="str">
        <f t="shared" si="26"/>
        <v>Jefferson</v>
      </c>
      <c r="AO250" s="7" t="b">
        <f>C250='St of Activities - GA Exp'!C250</f>
        <v>1</v>
      </c>
    </row>
    <row r="251" spans="1:41">
      <c r="A251" s="12" t="s">
        <v>871</v>
      </c>
      <c r="B251" s="12"/>
      <c r="C251" s="12" t="s">
        <v>32</v>
      </c>
      <c r="D251" s="12"/>
      <c r="E251" s="12">
        <v>45435</v>
      </c>
      <c r="G251" s="7">
        <v>28131109</v>
      </c>
      <c r="I251" s="7">
        <v>0</v>
      </c>
      <c r="K251" s="2">
        <f t="shared" si="32"/>
        <v>27399785</v>
      </c>
      <c r="M251" s="7">
        <v>55530894</v>
      </c>
      <c r="O251" s="2">
        <f t="shared" si="27"/>
        <v>3435321</v>
      </c>
      <c r="Q251" s="7">
        <f>943377+16692829</f>
        <v>17636206</v>
      </c>
      <c r="S251" s="7">
        <v>21071527</v>
      </c>
      <c r="U251" s="7">
        <v>0</v>
      </c>
      <c r="W251" s="7">
        <v>0</v>
      </c>
      <c r="Y251" s="7">
        <v>0</v>
      </c>
      <c r="AA251" s="7">
        <f>10422+33842+737</f>
        <v>45001</v>
      </c>
      <c r="AC251" s="7">
        <v>34414366</v>
      </c>
      <c r="AE251" s="13">
        <f t="shared" si="28"/>
        <v>34459367</v>
      </c>
      <c r="AG251" s="7">
        <f t="shared" si="29"/>
        <v>0</v>
      </c>
      <c r="AK251" s="7" t="str">
        <f t="shared" si="30"/>
        <v>Indian Hill Exempted Village SD</v>
      </c>
      <c r="AL251" s="7" t="str">
        <f>'St of Activities - GA Exp'!A251</f>
        <v>Indian Hill Exempted Village SD</v>
      </c>
      <c r="AM251" s="7" t="b">
        <f t="shared" si="31"/>
        <v>1</v>
      </c>
      <c r="AN251" s="7" t="str">
        <f t="shared" si="26"/>
        <v>Hamilton</v>
      </c>
      <c r="AO251" s="7" t="b">
        <f>C251='St of Activities - GA Exp'!C251</f>
        <v>1</v>
      </c>
    </row>
    <row r="252" spans="1:41" hidden="1">
      <c r="A252" s="12" t="s">
        <v>909</v>
      </c>
      <c r="B252" s="12"/>
      <c r="C252" s="12" t="s">
        <v>43</v>
      </c>
      <c r="D252" s="12"/>
      <c r="E252" s="12"/>
      <c r="K252" s="2">
        <f t="shared" si="32"/>
        <v>0</v>
      </c>
      <c r="O252" s="2">
        <f t="shared" si="27"/>
        <v>0</v>
      </c>
      <c r="AE252" s="13">
        <f t="shared" si="28"/>
        <v>0</v>
      </c>
      <c r="AG252" s="7">
        <f t="shared" si="29"/>
        <v>0</v>
      </c>
      <c r="AI252" s="7" t="s">
        <v>904</v>
      </c>
      <c r="AK252" s="7" t="str">
        <f t="shared" si="30"/>
        <v>Indian Lake Local SD (CASH)</v>
      </c>
      <c r="AL252" s="7" t="str">
        <f>'St of Activities - GA Exp'!A252</f>
        <v>Indian Lake Local SD (CASH)</v>
      </c>
      <c r="AM252" s="7" t="b">
        <f t="shared" si="31"/>
        <v>1</v>
      </c>
      <c r="AN252" s="7" t="str">
        <f t="shared" si="26"/>
        <v>Logan</v>
      </c>
      <c r="AO252" s="7" t="b">
        <f>C252='St of Activities - GA Exp'!C252</f>
        <v>1</v>
      </c>
    </row>
    <row r="253" spans="1:41">
      <c r="A253" s="12" t="s">
        <v>552</v>
      </c>
      <c r="B253" s="12"/>
      <c r="C253" s="12" t="s">
        <v>65</v>
      </c>
      <c r="D253" s="12"/>
      <c r="E253" s="12">
        <v>50286</v>
      </c>
      <c r="G253" s="7">
        <v>3530196</v>
      </c>
      <c r="I253" s="7">
        <v>0</v>
      </c>
      <c r="K253" s="2">
        <f t="shared" si="32"/>
        <v>4081083</v>
      </c>
      <c r="M253" s="7">
        <v>7611279</v>
      </c>
      <c r="O253" s="2">
        <f t="shared" si="27"/>
        <v>2033424</v>
      </c>
      <c r="Q253" s="7">
        <v>3722406</v>
      </c>
      <c r="S253" s="7">
        <v>5755830</v>
      </c>
      <c r="U253" s="7">
        <v>0</v>
      </c>
      <c r="W253" s="7">
        <v>0</v>
      </c>
      <c r="Y253" s="7">
        <v>0</v>
      </c>
      <c r="AA253" s="7">
        <v>48321</v>
      </c>
      <c r="AC253" s="7">
        <v>1807128</v>
      </c>
      <c r="AE253" s="13">
        <f t="shared" si="28"/>
        <v>1855449</v>
      </c>
      <c r="AG253" s="7">
        <f t="shared" si="29"/>
        <v>0</v>
      </c>
      <c r="AI253" s="14"/>
      <c r="AK253" s="7" t="str">
        <f t="shared" si="30"/>
        <v>Indian Valley Local SD</v>
      </c>
      <c r="AL253" s="7" t="str">
        <f>'St of Activities - GA Exp'!A253</f>
        <v>Indian Valley Local SD</v>
      </c>
      <c r="AM253" s="7" t="b">
        <f t="shared" si="31"/>
        <v>1</v>
      </c>
      <c r="AN253" s="7" t="str">
        <f t="shared" si="26"/>
        <v>Tuscarawas</v>
      </c>
      <c r="AO253" s="7" t="b">
        <f>C253='St of Activities - GA Exp'!C253</f>
        <v>1</v>
      </c>
    </row>
    <row r="254" spans="1:41">
      <c r="A254" s="12" t="s">
        <v>380</v>
      </c>
      <c r="B254" s="12"/>
      <c r="C254" s="12" t="s">
        <v>377</v>
      </c>
      <c r="D254" s="12"/>
      <c r="E254" s="12">
        <v>44149</v>
      </c>
      <c r="G254" s="7">
        <v>1491130</v>
      </c>
      <c r="I254" s="7">
        <v>690250</v>
      </c>
      <c r="K254" s="2">
        <f t="shared" si="32"/>
        <v>2688856</v>
      </c>
      <c r="M254" s="7">
        <v>4870236</v>
      </c>
      <c r="O254" s="2">
        <f t="shared" si="27"/>
        <v>1283741</v>
      </c>
      <c r="Q254" s="7">
        <v>2428021</v>
      </c>
      <c r="S254" s="7">
        <v>3711762</v>
      </c>
      <c r="U254" s="7">
        <v>17551</v>
      </c>
      <c r="W254" s="7">
        <v>672699</v>
      </c>
      <c r="Y254" s="7">
        <v>99969</v>
      </c>
      <c r="AA254" s="7">
        <v>777560</v>
      </c>
      <c r="AC254" s="7">
        <v>-409305</v>
      </c>
      <c r="AE254" s="13">
        <f t="shared" si="28"/>
        <v>1158474</v>
      </c>
      <c r="AG254" s="7">
        <f t="shared" si="29"/>
        <v>0</v>
      </c>
      <c r="AK254" s="7" t="str">
        <f t="shared" si="30"/>
        <v>Ironton City SD</v>
      </c>
      <c r="AL254" s="7" t="str">
        <f>'St of Activities - GA Exp'!A254</f>
        <v>Ironton City SD</v>
      </c>
      <c r="AM254" s="7" t="b">
        <f t="shared" si="31"/>
        <v>1</v>
      </c>
      <c r="AN254" s="7" t="str">
        <f t="shared" si="26"/>
        <v>Lawrence</v>
      </c>
      <c r="AO254" s="7" t="b">
        <f>C254='St of Activities - GA Exp'!C254</f>
        <v>1</v>
      </c>
    </row>
    <row r="255" spans="1:41" hidden="1">
      <c r="A255" s="12" t="s">
        <v>700</v>
      </c>
      <c r="B255" s="12"/>
      <c r="C255" s="12" t="s">
        <v>61</v>
      </c>
      <c r="D255" s="12"/>
      <c r="E255" s="12">
        <v>49809</v>
      </c>
      <c r="K255" s="2">
        <f t="shared" si="32"/>
        <v>0</v>
      </c>
      <c r="O255" s="2">
        <f t="shared" si="27"/>
        <v>0</v>
      </c>
      <c r="AE255" s="13">
        <f t="shared" si="28"/>
        <v>0</v>
      </c>
      <c r="AG255" s="7">
        <f t="shared" si="29"/>
        <v>0</v>
      </c>
      <c r="AI255" s="7" t="s">
        <v>904</v>
      </c>
      <c r="AK255" s="7" t="str">
        <f t="shared" si="30"/>
        <v>Jackson Center Local SD (CASH)</v>
      </c>
      <c r="AL255" s="7" t="str">
        <f>'St of Activities - GA Exp'!A255</f>
        <v>Jackson Center Local SD (CASH)</v>
      </c>
      <c r="AM255" s="7" t="b">
        <f t="shared" si="31"/>
        <v>1</v>
      </c>
      <c r="AN255" s="7" t="str">
        <f t="shared" si="26"/>
        <v>Shelby</v>
      </c>
      <c r="AO255" s="7" t="b">
        <f>C255='St of Activities - GA Exp'!C255</f>
        <v>1</v>
      </c>
    </row>
    <row r="256" spans="1:41" hidden="1">
      <c r="A256" s="12" t="s">
        <v>715</v>
      </c>
      <c r="B256" s="12"/>
      <c r="C256" s="12" t="s">
        <v>38</v>
      </c>
      <c r="D256" s="12"/>
      <c r="E256" s="12"/>
      <c r="K256" s="2">
        <f t="shared" si="32"/>
        <v>0</v>
      </c>
      <c r="O256" s="2">
        <f t="shared" si="27"/>
        <v>0</v>
      </c>
      <c r="AE256" s="13">
        <f t="shared" si="28"/>
        <v>0</v>
      </c>
      <c r="AG256" s="7">
        <f t="shared" si="29"/>
        <v>0</v>
      </c>
      <c r="AI256" s="7" t="s">
        <v>904</v>
      </c>
      <c r="AK256" s="7" t="str">
        <f t="shared" si="30"/>
        <v>Jackson City SD (CASH)</v>
      </c>
      <c r="AL256" s="7" t="str">
        <f>'St of Activities - GA Exp'!A256</f>
        <v>Jackson City SD (CASH)</v>
      </c>
      <c r="AM256" s="7" t="b">
        <f t="shared" si="31"/>
        <v>1</v>
      </c>
      <c r="AN256" s="7" t="str">
        <f t="shared" si="26"/>
        <v>Jackson</v>
      </c>
      <c r="AO256" s="7" t="b">
        <f>C256='St of Activities - GA Exp'!C256</f>
        <v>1</v>
      </c>
    </row>
    <row r="257" spans="1:41">
      <c r="A257" s="12" t="s">
        <v>512</v>
      </c>
      <c r="B257" s="12"/>
      <c r="C257" s="12" t="s">
        <v>62</v>
      </c>
      <c r="D257" s="12"/>
      <c r="E257" s="12">
        <v>49858</v>
      </c>
      <c r="G257" s="7">
        <v>15852690</v>
      </c>
      <c r="I257" s="7">
        <v>0</v>
      </c>
      <c r="K257" s="2">
        <f t="shared" si="32"/>
        <v>42471855</v>
      </c>
      <c r="M257" s="7">
        <v>58324545</v>
      </c>
      <c r="O257" s="2">
        <f t="shared" si="27"/>
        <v>6571852</v>
      </c>
      <c r="Q257" s="7">
        <f>36586852+1050812</f>
        <v>37637664</v>
      </c>
      <c r="S257" s="7">
        <v>44209516</v>
      </c>
      <c r="U257" s="7">
        <f>189189+34068+16366</f>
        <v>239623</v>
      </c>
      <c r="W257" s="7">
        <v>0</v>
      </c>
      <c r="Y257" s="7">
        <v>0</v>
      </c>
      <c r="AA257" s="7">
        <f>76067+389477+3939+3552+1156+46705+65872</f>
        <v>586768</v>
      </c>
      <c r="AC257" s="7">
        <v>13288638</v>
      </c>
      <c r="AE257" s="13">
        <f t="shared" si="28"/>
        <v>14115029</v>
      </c>
      <c r="AG257" s="7">
        <f t="shared" si="29"/>
        <v>0</v>
      </c>
      <c r="AK257" s="7" t="str">
        <f t="shared" si="30"/>
        <v>Jackson Local SD</v>
      </c>
      <c r="AL257" s="7" t="str">
        <f>'St of Activities - GA Exp'!A257</f>
        <v>Jackson Local SD</v>
      </c>
      <c r="AM257" s="7" t="b">
        <f t="shared" si="31"/>
        <v>1</v>
      </c>
      <c r="AN257" s="7" t="str">
        <f t="shared" si="26"/>
        <v>Stark</v>
      </c>
      <c r="AO257" s="7" t="b">
        <f>C257='St of Activities - GA Exp'!C257</f>
        <v>1</v>
      </c>
    </row>
    <row r="258" spans="1:41">
      <c r="A258" s="12" t="s">
        <v>417</v>
      </c>
      <c r="B258" s="12"/>
      <c r="C258" s="12" t="s">
        <v>45</v>
      </c>
      <c r="D258" s="12"/>
      <c r="E258" s="12">
        <v>48322</v>
      </c>
      <c r="G258" s="7">
        <v>2894795</v>
      </c>
      <c r="I258" s="7">
        <v>0</v>
      </c>
      <c r="K258" s="2">
        <f t="shared" si="32"/>
        <v>3670645</v>
      </c>
      <c r="M258" s="7">
        <v>6565440</v>
      </c>
      <c r="O258" s="2">
        <f t="shared" si="27"/>
        <v>1074291</v>
      </c>
      <c r="Q258" s="7">
        <f>320215+3328156</f>
        <v>3648371</v>
      </c>
      <c r="S258" s="7">
        <v>4722662</v>
      </c>
      <c r="U258" s="7">
        <v>13425</v>
      </c>
      <c r="W258" s="7">
        <v>0</v>
      </c>
      <c r="Y258" s="7">
        <v>374892</v>
      </c>
      <c r="AA258" s="7">
        <f>829+23925+22035</f>
        <v>46789</v>
      </c>
      <c r="AC258" s="7">
        <v>1407672</v>
      </c>
      <c r="AE258" s="13">
        <f t="shared" si="28"/>
        <v>1842778</v>
      </c>
      <c r="AG258" s="7">
        <f t="shared" si="29"/>
        <v>0</v>
      </c>
      <c r="AK258" s="7" t="str">
        <f t="shared" si="30"/>
        <v>Jackson-Milton Local SD</v>
      </c>
      <c r="AL258" s="7" t="str">
        <f>'St of Activities - GA Exp'!A258</f>
        <v>Jackson-Milton Local SD</v>
      </c>
      <c r="AM258" s="7" t="b">
        <f t="shared" si="31"/>
        <v>1</v>
      </c>
      <c r="AN258" s="7" t="str">
        <f t="shared" si="26"/>
        <v>Mahoning</v>
      </c>
      <c r="AO258" s="7" t="b">
        <f>C258='St of Activities - GA Exp'!C258</f>
        <v>1</v>
      </c>
    </row>
    <row r="259" spans="1:41">
      <c r="A259" s="12" t="s">
        <v>475</v>
      </c>
      <c r="B259" s="12"/>
      <c r="C259" s="12" t="s">
        <v>56</v>
      </c>
      <c r="D259" s="12"/>
      <c r="E259" s="12">
        <v>49205</v>
      </c>
      <c r="G259" s="7">
        <v>3243807</v>
      </c>
      <c r="I259" s="7">
        <v>50662</v>
      </c>
      <c r="K259" s="2">
        <f t="shared" si="32"/>
        <v>4524264</v>
      </c>
      <c r="M259" s="7">
        <v>7818733</v>
      </c>
      <c r="O259" s="2">
        <f t="shared" si="27"/>
        <v>1636925</v>
      </c>
      <c r="Q259" s="7">
        <f>382777+3628666</f>
        <v>4011443</v>
      </c>
      <c r="S259" s="7">
        <v>5648368</v>
      </c>
      <c r="U259" s="7">
        <f>27491+22380</f>
        <v>49871</v>
      </c>
      <c r="W259" s="7">
        <f>50662+482</f>
        <v>51144</v>
      </c>
      <c r="Y259" s="7">
        <f>6633+44054</f>
        <v>50687</v>
      </c>
      <c r="AA259" s="7">
        <f>9988+64803+19374+11000+102316</f>
        <v>207481</v>
      </c>
      <c r="AC259" s="7">
        <v>1811182</v>
      </c>
      <c r="AE259" s="13">
        <f t="shared" si="28"/>
        <v>2170365</v>
      </c>
      <c r="AG259" s="7">
        <f t="shared" si="29"/>
        <v>0</v>
      </c>
      <c r="AK259" s="7" t="str">
        <f t="shared" si="30"/>
        <v>James A Garfield Local SD</v>
      </c>
      <c r="AL259" s="7" t="str">
        <f>'St of Activities - GA Exp'!A259</f>
        <v>James A Garfield Local SD</v>
      </c>
      <c r="AM259" s="7" t="b">
        <f t="shared" si="31"/>
        <v>1</v>
      </c>
      <c r="AN259" s="7" t="str">
        <f t="shared" si="26"/>
        <v>Portage</v>
      </c>
      <c r="AO259" s="7" t="b">
        <f>C259='St of Activities - GA Exp'!C259</f>
        <v>1</v>
      </c>
    </row>
    <row r="260" spans="1:41">
      <c r="A260" s="12" t="s">
        <v>210</v>
      </c>
      <c r="B260" s="12"/>
      <c r="C260" s="12" t="s">
        <v>12</v>
      </c>
      <c r="D260" s="12"/>
      <c r="E260" s="12">
        <v>45872</v>
      </c>
      <c r="G260" s="7">
        <v>886112</v>
      </c>
      <c r="I260" s="7">
        <v>1661406</v>
      </c>
      <c r="K260" s="2">
        <f t="shared" si="32"/>
        <v>6170772</v>
      </c>
      <c r="M260" s="7">
        <v>8718290</v>
      </c>
      <c r="O260" s="2">
        <f t="shared" si="27"/>
        <v>2140665</v>
      </c>
      <c r="Q260" s="7">
        <v>3505475</v>
      </c>
      <c r="S260" s="7">
        <v>5646140</v>
      </c>
      <c r="U260" s="7">
        <v>32210</v>
      </c>
      <c r="W260" s="7">
        <v>1659484</v>
      </c>
      <c r="Y260" s="7">
        <v>1922</v>
      </c>
      <c r="AA260" s="7">
        <v>254998</v>
      </c>
      <c r="AC260" s="7">
        <v>1123536</v>
      </c>
      <c r="AE260" s="13">
        <f t="shared" si="28"/>
        <v>3072150</v>
      </c>
      <c r="AG260" s="7">
        <f t="shared" si="29"/>
        <v>0</v>
      </c>
      <c r="AK260" s="7" t="str">
        <f t="shared" si="30"/>
        <v>Jefferson Area Local SD</v>
      </c>
      <c r="AL260" s="7" t="str">
        <f>'St of Activities - GA Exp'!A260</f>
        <v>Jefferson Area Local SD</v>
      </c>
      <c r="AM260" s="7" t="b">
        <f t="shared" si="31"/>
        <v>1</v>
      </c>
      <c r="AN260" s="7" t="str">
        <f t="shared" si="26"/>
        <v>Ashtabula</v>
      </c>
      <c r="AO260" s="7" t="b">
        <f>C260='St of Activities - GA Exp'!C260</f>
        <v>1</v>
      </c>
    </row>
    <row r="261" spans="1:41">
      <c r="A261" s="12" t="s">
        <v>410</v>
      </c>
      <c r="B261" s="12"/>
      <c r="C261" s="12" t="s">
        <v>411</v>
      </c>
      <c r="D261" s="12"/>
      <c r="E261" s="12">
        <v>48256</v>
      </c>
      <c r="G261" s="7">
        <v>5328709</v>
      </c>
      <c r="I261" s="7">
        <v>3882</v>
      </c>
      <c r="K261" s="2">
        <f t="shared" si="32"/>
        <v>5023257</v>
      </c>
      <c r="M261" s="7">
        <v>10355848</v>
      </c>
      <c r="O261" s="2">
        <f t="shared" si="27"/>
        <v>1360359</v>
      </c>
      <c r="Q261" s="7">
        <f>188637+2571093</f>
        <v>2759730</v>
      </c>
      <c r="S261" s="7">
        <v>4120089</v>
      </c>
      <c r="U261" s="7">
        <v>50986</v>
      </c>
      <c r="W261" s="7">
        <v>3882</v>
      </c>
      <c r="Y261" s="7">
        <v>2436</v>
      </c>
      <c r="AA261" s="7">
        <f>7950+103712+5255+34464</f>
        <v>151381</v>
      </c>
      <c r="AC261" s="7">
        <v>6027074</v>
      </c>
      <c r="AE261" s="13">
        <f t="shared" si="28"/>
        <v>6235759</v>
      </c>
      <c r="AG261" s="7">
        <f t="shared" si="29"/>
        <v>0</v>
      </c>
      <c r="AK261" s="7" t="str">
        <f t="shared" si="30"/>
        <v>Jefferson Local SD</v>
      </c>
      <c r="AL261" s="7" t="str">
        <f>'St of Activities - GA Exp'!A261</f>
        <v>Jefferson Local SD</v>
      </c>
      <c r="AM261" s="7" t="b">
        <f t="shared" si="31"/>
        <v>1</v>
      </c>
      <c r="AN261" s="7" t="str">
        <f t="shared" si="26"/>
        <v>Madison</v>
      </c>
      <c r="AO261" s="7" t="b">
        <f>C261='St of Activities - GA Exp'!C261</f>
        <v>1</v>
      </c>
    </row>
    <row r="262" spans="1:41">
      <c r="A262" s="12" t="s">
        <v>716</v>
      </c>
      <c r="B262" s="12"/>
      <c r="C262" s="12" t="s">
        <v>50</v>
      </c>
      <c r="D262" s="12"/>
      <c r="E262" s="12">
        <v>48686</v>
      </c>
      <c r="G262" s="7">
        <v>1931054</v>
      </c>
      <c r="I262" s="2">
        <v>5450</v>
      </c>
      <c r="K262" s="2">
        <f t="shared" si="32"/>
        <v>3560859</v>
      </c>
      <c r="M262" s="7">
        <v>5497363</v>
      </c>
      <c r="O262" s="2">
        <f t="shared" si="27"/>
        <v>546248</v>
      </c>
      <c r="Q262" s="7">
        <f>786605+2401997</f>
        <v>3188602</v>
      </c>
      <c r="S262" s="7">
        <v>3734850</v>
      </c>
      <c r="U262" s="7">
        <f>37663+9792+35952</f>
        <v>83407</v>
      </c>
      <c r="W262" s="7">
        <v>5450</v>
      </c>
      <c r="Y262" s="7">
        <f>1605+11000</f>
        <v>12605</v>
      </c>
      <c r="AA262" s="7">
        <f>32744+27238+1250+21942+3053</f>
        <v>86227</v>
      </c>
      <c r="AC262" s="7">
        <v>1574824</v>
      </c>
      <c r="AE262" s="13">
        <f t="shared" si="28"/>
        <v>1762513</v>
      </c>
      <c r="AG262" s="7">
        <f t="shared" si="29"/>
        <v>0</v>
      </c>
      <c r="AK262" s="7" t="str">
        <f t="shared" si="30"/>
        <v xml:space="preserve">Jefferson Township Local SD </v>
      </c>
      <c r="AL262" s="7" t="str">
        <f>'St of Activities - GA Exp'!A262</f>
        <v xml:space="preserve">Jefferson Township Local SD </v>
      </c>
      <c r="AM262" s="7" t="b">
        <f t="shared" si="31"/>
        <v>1</v>
      </c>
      <c r="AN262" s="7" t="str">
        <f t="shared" si="26"/>
        <v>Montgomery</v>
      </c>
      <c r="AO262" s="7" t="b">
        <f>C262='St of Activities - GA Exp'!C262</f>
        <v>1</v>
      </c>
    </row>
    <row r="263" spans="1:41" hidden="1">
      <c r="A263" s="12" t="s">
        <v>910</v>
      </c>
      <c r="B263" s="12"/>
      <c r="C263" s="12" t="s">
        <v>482</v>
      </c>
      <c r="D263" s="12"/>
      <c r="E263" s="12"/>
      <c r="I263" s="2"/>
      <c r="K263" s="2">
        <f t="shared" si="32"/>
        <v>0</v>
      </c>
      <c r="O263" s="2">
        <f t="shared" si="27"/>
        <v>0</v>
      </c>
      <c r="AE263" s="13">
        <f t="shared" si="28"/>
        <v>0</v>
      </c>
      <c r="AG263" s="7">
        <f t="shared" si="29"/>
        <v>0</v>
      </c>
      <c r="AI263" s="7" t="s">
        <v>904</v>
      </c>
      <c r="AK263" s="7" t="str">
        <f t="shared" si="30"/>
        <v xml:space="preserve">Jennings Local SD (CASH) </v>
      </c>
      <c r="AL263" s="7" t="str">
        <f>'St of Activities - GA Exp'!A263</f>
        <v xml:space="preserve">Jennings Local SD (CASH) </v>
      </c>
      <c r="AM263" s="7" t="b">
        <f t="shared" si="31"/>
        <v>1</v>
      </c>
      <c r="AN263" s="7" t="str">
        <f t="shared" si="26"/>
        <v>Putnam</v>
      </c>
      <c r="AO263" s="7" t="b">
        <f>C263='St of Activities - GA Exp'!C263</f>
        <v>1</v>
      </c>
    </row>
    <row r="264" spans="1:41">
      <c r="A264" s="12" t="s">
        <v>385</v>
      </c>
      <c r="B264" s="12"/>
      <c r="C264" s="12" t="s">
        <v>42</v>
      </c>
      <c r="D264" s="12"/>
      <c r="E264" s="12">
        <v>47985</v>
      </c>
      <c r="G264" s="7">
        <v>9117755</v>
      </c>
      <c r="I264" s="7">
        <v>87453</v>
      </c>
      <c r="K264" s="2">
        <f t="shared" si="32"/>
        <v>7645691</v>
      </c>
      <c r="M264" s="7">
        <v>16850899</v>
      </c>
      <c r="O264" s="2">
        <f t="shared" si="27"/>
        <v>1145439</v>
      </c>
      <c r="Q264" s="7">
        <f>466753+5879538</f>
        <v>6346291</v>
      </c>
      <c r="S264" s="7">
        <v>7491730</v>
      </c>
      <c r="U264" s="7">
        <f>8997+35300</f>
        <v>44297</v>
      </c>
      <c r="W264" s="7">
        <v>87453</v>
      </c>
      <c r="Y264" s="7">
        <v>0</v>
      </c>
      <c r="AA264" s="7">
        <f>53083+286490+5356+345</f>
        <v>345274</v>
      </c>
      <c r="AC264" s="7">
        <v>8882145</v>
      </c>
      <c r="AE264" s="13">
        <f t="shared" si="28"/>
        <v>9359169</v>
      </c>
      <c r="AG264" s="7">
        <f t="shared" si="29"/>
        <v>0</v>
      </c>
      <c r="AK264" s="7" t="str">
        <f t="shared" si="30"/>
        <v>Johnstown-Monroe Local SD</v>
      </c>
      <c r="AL264" s="7" t="str">
        <f>'St of Activities - GA Exp'!A264</f>
        <v>Johnstown-Monroe Local SD</v>
      </c>
      <c r="AM264" s="7" t="b">
        <f t="shared" si="31"/>
        <v>1</v>
      </c>
      <c r="AN264" s="7" t="str">
        <f t="shared" si="26"/>
        <v>Licking</v>
      </c>
      <c r="AO264" s="7" t="b">
        <f>C264='St of Activities - GA Exp'!C264</f>
        <v>1</v>
      </c>
    </row>
    <row r="265" spans="1:41">
      <c r="A265" s="12" t="s">
        <v>412</v>
      </c>
      <c r="B265" s="12"/>
      <c r="C265" s="12" t="s">
        <v>411</v>
      </c>
      <c r="D265" s="12"/>
      <c r="E265" s="12">
        <v>48264</v>
      </c>
      <c r="G265" s="7">
        <v>1690594</v>
      </c>
      <c r="I265" s="7">
        <v>44888</v>
      </c>
      <c r="K265" s="2">
        <f t="shared" si="32"/>
        <v>5761046</v>
      </c>
      <c r="M265" s="7">
        <v>7496528</v>
      </c>
      <c r="O265" s="2">
        <f t="shared" si="27"/>
        <v>2213484</v>
      </c>
      <c r="Q265" s="7">
        <f>271670+3447624</f>
        <v>3719294</v>
      </c>
      <c r="S265" s="7">
        <v>5932778</v>
      </c>
      <c r="U265" s="7">
        <v>0</v>
      </c>
      <c r="W265" s="7">
        <v>44888</v>
      </c>
      <c r="Y265" s="7">
        <v>11000</v>
      </c>
      <c r="AA265" s="7">
        <f>29787+53902+82526</f>
        <v>166215</v>
      </c>
      <c r="AC265" s="7">
        <v>1341647</v>
      </c>
      <c r="AE265" s="13">
        <f t="shared" si="28"/>
        <v>1563750</v>
      </c>
      <c r="AG265" s="7">
        <f t="shared" si="29"/>
        <v>0</v>
      </c>
      <c r="AK265" s="7" t="str">
        <f t="shared" si="30"/>
        <v>Jonathan Alder Local SD</v>
      </c>
      <c r="AL265" s="7" t="str">
        <f>'St of Activities - GA Exp'!A265</f>
        <v>Jonathan Alder Local SD</v>
      </c>
      <c r="AM265" s="7" t="b">
        <f t="shared" si="31"/>
        <v>1</v>
      </c>
      <c r="AN265" s="7" t="str">
        <f t="shared" si="26"/>
        <v>Madison</v>
      </c>
      <c r="AO265" s="7" t="b">
        <f>C265='St of Activities - GA Exp'!C265</f>
        <v>1</v>
      </c>
    </row>
    <row r="266" spans="1:41">
      <c r="A266" s="12" t="s">
        <v>539</v>
      </c>
      <c r="B266" s="12"/>
      <c r="C266" s="12" t="s">
        <v>64</v>
      </c>
      <c r="D266" s="12"/>
      <c r="E266" s="12">
        <v>50179</v>
      </c>
      <c r="G266" s="7">
        <v>2144791</v>
      </c>
      <c r="I266" s="7">
        <v>222404</v>
      </c>
      <c r="K266" s="2">
        <f t="shared" si="32"/>
        <v>3449118</v>
      </c>
      <c r="M266" s="7">
        <v>5816313</v>
      </c>
      <c r="O266" s="2">
        <f t="shared" si="27"/>
        <v>826084</v>
      </c>
      <c r="Q266" s="7">
        <v>3345113</v>
      </c>
      <c r="S266" s="7">
        <v>4171197</v>
      </c>
      <c r="U266" s="7">
        <v>0</v>
      </c>
      <c r="W266" s="7">
        <v>222404</v>
      </c>
      <c r="Y266" s="7">
        <v>0</v>
      </c>
      <c r="AA266" s="7">
        <v>22463</v>
      </c>
      <c r="AC266" s="7">
        <v>1400249</v>
      </c>
      <c r="AE266" s="13">
        <f t="shared" si="28"/>
        <v>1645116</v>
      </c>
      <c r="AG266" s="7">
        <f t="shared" si="29"/>
        <v>0</v>
      </c>
      <c r="AK266" s="7" t="str">
        <f t="shared" si="30"/>
        <v>Joseph Badger Local SD</v>
      </c>
      <c r="AL266" s="7" t="str">
        <f>'St of Activities - GA Exp'!A266</f>
        <v>Joseph Badger Local SD</v>
      </c>
      <c r="AM266" s="7" t="b">
        <f t="shared" si="31"/>
        <v>1</v>
      </c>
      <c r="AN266" s="7" t="str">
        <f t="shared" si="26"/>
        <v>Trumbull</v>
      </c>
      <c r="AO266" s="7" t="b">
        <f>C266='St of Activities - GA Exp'!C266</f>
        <v>1</v>
      </c>
    </row>
    <row r="267" spans="1:41">
      <c r="A267" s="12" t="s">
        <v>293</v>
      </c>
      <c r="B267" s="12"/>
      <c r="C267" s="12" t="s">
        <v>24</v>
      </c>
      <c r="D267" s="12"/>
      <c r="E267" s="12">
        <v>46797</v>
      </c>
      <c r="G267" s="7">
        <v>894739</v>
      </c>
      <c r="I267" s="7">
        <v>0</v>
      </c>
      <c r="K267" s="2">
        <f t="shared" si="32"/>
        <v>823338</v>
      </c>
      <c r="M267" s="7">
        <v>1718077</v>
      </c>
      <c r="O267" s="2">
        <f t="shared" si="27"/>
        <v>80944</v>
      </c>
      <c r="Q267" s="7">
        <f>32958+653655</f>
        <v>686613</v>
      </c>
      <c r="S267" s="7">
        <v>767557</v>
      </c>
      <c r="U267" s="7">
        <v>0</v>
      </c>
      <c r="W267" s="7">
        <v>0</v>
      </c>
      <c r="Y267" s="7">
        <v>0</v>
      </c>
      <c r="AA267" s="7">
        <f>3623+5630</f>
        <v>9253</v>
      </c>
      <c r="AC267" s="7">
        <v>941267</v>
      </c>
      <c r="AE267" s="13">
        <f t="shared" si="28"/>
        <v>950520</v>
      </c>
      <c r="AG267" s="7">
        <f t="shared" si="29"/>
        <v>0</v>
      </c>
      <c r="AK267" s="7" t="str">
        <f t="shared" si="30"/>
        <v>Kelleys Island Local SD</v>
      </c>
      <c r="AL267" s="7" t="str">
        <f>'St of Activities - GA Exp'!A267</f>
        <v>Kelleys Island Local SD</v>
      </c>
      <c r="AM267" s="7" t="b">
        <f t="shared" si="31"/>
        <v>1</v>
      </c>
      <c r="AN267" s="7" t="str">
        <f t="shared" si="26"/>
        <v>Erie</v>
      </c>
      <c r="AO267" s="7" t="b">
        <f>C267='St of Activities - GA Exp'!C267</f>
        <v>1</v>
      </c>
    </row>
    <row r="268" spans="1:41">
      <c r="A268" s="12" t="s">
        <v>321</v>
      </c>
      <c r="B268" s="12"/>
      <c r="C268" s="12" t="s">
        <v>30</v>
      </c>
      <c r="D268" s="12"/>
      <c r="E268" s="12">
        <v>47191</v>
      </c>
      <c r="G268" s="7">
        <f>10369435+367883</f>
        <v>10737318</v>
      </c>
      <c r="I268" s="7">
        <v>0</v>
      </c>
      <c r="K268" s="2">
        <f t="shared" si="32"/>
        <v>25762651</v>
      </c>
      <c r="M268" s="7">
        <v>36499969</v>
      </c>
      <c r="O268" s="2">
        <f t="shared" si="27"/>
        <v>4186740</v>
      </c>
      <c r="Q268" s="7">
        <v>22141844</v>
      </c>
      <c r="S268" s="7">
        <v>26328584</v>
      </c>
      <c r="U268" s="7">
        <v>81761</v>
      </c>
      <c r="W268" s="7">
        <v>0</v>
      </c>
      <c r="Y268" s="7">
        <v>0</v>
      </c>
      <c r="AA268" s="7">
        <v>3679132</v>
      </c>
      <c r="AC268" s="7">
        <v>6410492</v>
      </c>
      <c r="AE268" s="13">
        <f t="shared" si="28"/>
        <v>10171385</v>
      </c>
      <c r="AG268" s="7">
        <f t="shared" si="29"/>
        <v>0</v>
      </c>
      <c r="AK268" s="7" t="str">
        <f t="shared" si="30"/>
        <v>Kenston Local SD</v>
      </c>
      <c r="AL268" s="7" t="str">
        <f>'St of Activities - GA Exp'!A268</f>
        <v>Kenston Local SD</v>
      </c>
      <c r="AM268" s="7" t="b">
        <f t="shared" si="31"/>
        <v>1</v>
      </c>
      <c r="AN268" s="7" t="str">
        <f t="shared" ref="AN268:AN332" si="33">C268</f>
        <v>Geauga</v>
      </c>
      <c r="AO268" s="7" t="b">
        <f>C268='St of Activities - GA Exp'!C268</f>
        <v>1</v>
      </c>
    </row>
    <row r="269" spans="1:41">
      <c r="A269" s="12" t="s">
        <v>476</v>
      </c>
      <c r="B269" s="12"/>
      <c r="C269" s="12" t="s">
        <v>56</v>
      </c>
      <c r="D269" s="12"/>
      <c r="E269" s="12">
        <v>44164</v>
      </c>
      <c r="G269" s="7">
        <v>19079760</v>
      </c>
      <c r="I269" s="7">
        <v>0</v>
      </c>
      <c r="K269" s="2">
        <f t="shared" si="32"/>
        <v>22091261</v>
      </c>
      <c r="M269" s="7">
        <v>41171021</v>
      </c>
      <c r="O269" s="2">
        <f t="shared" ref="O269:O334" si="34">+S269-Q269</f>
        <v>4835248</v>
      </c>
      <c r="Q269" s="7">
        <v>20120908</v>
      </c>
      <c r="S269" s="7">
        <v>24956156</v>
      </c>
      <c r="U269" s="7">
        <v>126963</v>
      </c>
      <c r="W269" s="7">
        <v>0</v>
      </c>
      <c r="Y269" s="7">
        <v>0</v>
      </c>
      <c r="AA269" s="7">
        <v>4706717</v>
      </c>
      <c r="AC269" s="7">
        <v>11381185</v>
      </c>
      <c r="AE269" s="13">
        <f t="shared" ref="AE269:AE334" si="35">+Y269+W269++U269+AA269+AC269</f>
        <v>16214865</v>
      </c>
      <c r="AG269" s="7">
        <f t="shared" ref="AG269:AG334" si="36">+G269+I269+K269-O269-Q269-Y269-W269-U269-AA269-AC269</f>
        <v>0</v>
      </c>
      <c r="AK269" s="7" t="str">
        <f t="shared" ref="AK269:AK334" si="37">A269</f>
        <v>Kent City SD</v>
      </c>
      <c r="AL269" s="7" t="str">
        <f>'St of Activities - GA Exp'!A269</f>
        <v>Kent City SD</v>
      </c>
      <c r="AM269" s="7" t="b">
        <f t="shared" ref="AM269:AM334" si="38">AK269=AL269</f>
        <v>1</v>
      </c>
      <c r="AN269" s="7" t="str">
        <f t="shared" si="33"/>
        <v>Portage</v>
      </c>
      <c r="AO269" s="7" t="b">
        <f>C269='St of Activities - GA Exp'!C269</f>
        <v>1</v>
      </c>
    </row>
    <row r="270" spans="1:41">
      <c r="A270" s="12" t="s">
        <v>350</v>
      </c>
      <c r="B270" s="12"/>
      <c r="C270" s="12" t="s">
        <v>348</v>
      </c>
      <c r="D270" s="12"/>
      <c r="E270" s="12">
        <v>44172</v>
      </c>
      <c r="G270" s="7">
        <v>2293338</v>
      </c>
      <c r="I270" s="7">
        <v>15038</v>
      </c>
      <c r="K270" s="2">
        <f t="shared" si="32"/>
        <v>4770145</v>
      </c>
      <c r="M270" s="7">
        <v>7078521</v>
      </c>
      <c r="O270" s="2">
        <f t="shared" si="34"/>
        <v>1892357</v>
      </c>
      <c r="Q270" s="7">
        <v>3412422</v>
      </c>
      <c r="S270" s="7">
        <v>5304779</v>
      </c>
      <c r="U270" s="7">
        <v>55655</v>
      </c>
      <c r="W270" s="7">
        <v>15038</v>
      </c>
      <c r="Y270" s="7">
        <v>0</v>
      </c>
      <c r="AA270" s="7">
        <v>110847</v>
      </c>
      <c r="AC270" s="7">
        <v>1592202</v>
      </c>
      <c r="AE270" s="13">
        <f t="shared" si="35"/>
        <v>1773742</v>
      </c>
      <c r="AG270" s="7">
        <f t="shared" si="36"/>
        <v>0</v>
      </c>
      <c r="AK270" s="7" t="str">
        <f t="shared" si="37"/>
        <v>Kenton City SD</v>
      </c>
      <c r="AL270" s="7" t="str">
        <f>'St of Activities - GA Exp'!A270</f>
        <v>Kenton City SD</v>
      </c>
      <c r="AM270" s="7" t="b">
        <f t="shared" si="38"/>
        <v>1</v>
      </c>
      <c r="AN270" s="7" t="str">
        <f t="shared" si="33"/>
        <v>Hardin</v>
      </c>
      <c r="AO270" s="7" t="b">
        <f>C270='St of Activities - GA Exp'!C270</f>
        <v>1</v>
      </c>
    </row>
    <row r="271" spans="1:41" s="32" customFormat="1">
      <c r="A271" s="31" t="s">
        <v>444</v>
      </c>
      <c r="B271" s="31"/>
      <c r="C271" s="31" t="s">
        <v>50</v>
      </c>
      <c r="D271" s="31"/>
      <c r="E271" s="31">
        <v>44180</v>
      </c>
      <c r="G271" s="32">
        <f>3771127+9201207</f>
        <v>12972334</v>
      </c>
      <c r="I271" s="32">
        <v>0</v>
      </c>
      <c r="K271" s="34">
        <f t="shared" ref="K271:K336" si="39">+M271-I271-G271</f>
        <v>53510065</v>
      </c>
      <c r="M271" s="32">
        <v>66482399</v>
      </c>
      <c r="O271" s="34">
        <f t="shared" si="34"/>
        <v>10557105</v>
      </c>
      <c r="Q271" s="32">
        <v>49769068</v>
      </c>
      <c r="S271" s="32">
        <v>60326173</v>
      </c>
      <c r="U271" s="32">
        <v>254318</v>
      </c>
      <c r="W271" s="32">
        <v>0</v>
      </c>
      <c r="Y271" s="32">
        <v>0</v>
      </c>
      <c r="AA271" s="32">
        <v>655959</v>
      </c>
      <c r="AC271" s="32">
        <v>5245949</v>
      </c>
      <c r="AE271" s="45">
        <f t="shared" si="35"/>
        <v>6156226</v>
      </c>
      <c r="AG271" s="32">
        <f t="shared" si="36"/>
        <v>0</v>
      </c>
      <c r="AK271" s="32" t="str">
        <f t="shared" si="37"/>
        <v>Kettering City SD</v>
      </c>
      <c r="AL271" s="32" t="str">
        <f>'St of Activities - GA Exp'!A271</f>
        <v>Kettering City SD</v>
      </c>
      <c r="AM271" s="32" t="b">
        <f t="shared" si="38"/>
        <v>1</v>
      </c>
      <c r="AN271" s="32" t="str">
        <f t="shared" si="33"/>
        <v>Montgomery</v>
      </c>
      <c r="AO271" s="32" t="b">
        <f>C271='St of Activities - GA Exp'!C271</f>
        <v>1</v>
      </c>
    </row>
    <row r="272" spans="1:41">
      <c r="A272" s="12" t="s">
        <v>666</v>
      </c>
      <c r="B272" s="12"/>
      <c r="C272" s="12" t="s">
        <v>44</v>
      </c>
      <c r="D272" s="12"/>
      <c r="E272" s="12">
        <v>48165</v>
      </c>
      <c r="G272" s="7">
        <v>5552929</v>
      </c>
      <c r="I272" s="7">
        <v>0</v>
      </c>
      <c r="K272" s="2">
        <f t="shared" si="39"/>
        <v>5206950</v>
      </c>
      <c r="M272" s="7">
        <v>10759879</v>
      </c>
      <c r="O272" s="2">
        <f t="shared" si="34"/>
        <v>1662141</v>
      </c>
      <c r="Q272" s="7">
        <f>98090+4553066</f>
        <v>4651156</v>
      </c>
      <c r="S272" s="7">
        <v>6313297</v>
      </c>
      <c r="U272" s="7">
        <v>14186</v>
      </c>
      <c r="W272" s="7">
        <v>0</v>
      </c>
      <c r="Y272" s="7">
        <v>20000</v>
      </c>
      <c r="AA272" s="7">
        <f>2050+33186+13816+24472+782129</f>
        <v>855653</v>
      </c>
      <c r="AC272" s="7">
        <v>3556743</v>
      </c>
      <c r="AE272" s="13">
        <f t="shared" si="35"/>
        <v>4446582</v>
      </c>
      <c r="AG272" s="7">
        <f t="shared" si="36"/>
        <v>0</v>
      </c>
      <c r="AK272" s="7" t="str">
        <f t="shared" si="37"/>
        <v xml:space="preserve">Keystone Local SD </v>
      </c>
      <c r="AL272" s="7" t="str">
        <f>'St of Activities - GA Exp'!A272</f>
        <v xml:space="preserve">Keystone Local SD </v>
      </c>
      <c r="AM272" s="7" t="b">
        <f t="shared" si="38"/>
        <v>1</v>
      </c>
      <c r="AN272" s="7" t="str">
        <f t="shared" si="33"/>
        <v>Lorain</v>
      </c>
      <c r="AO272" s="7" t="b">
        <f>C272='St of Activities - GA Exp'!C272</f>
        <v>1</v>
      </c>
    </row>
    <row r="273" spans="1:41">
      <c r="A273" s="12" t="s">
        <v>761</v>
      </c>
      <c r="B273" s="12"/>
      <c r="C273" s="12" t="s">
        <v>69</v>
      </c>
      <c r="D273" s="12"/>
      <c r="E273" s="12">
        <v>50435</v>
      </c>
      <c r="G273" s="7">
        <v>8282056</v>
      </c>
      <c r="I273" s="7">
        <v>0</v>
      </c>
      <c r="K273" s="2">
        <f t="shared" si="39"/>
        <v>25805044</v>
      </c>
      <c r="M273" s="7">
        <v>34087100</v>
      </c>
      <c r="O273" s="2">
        <f t="shared" si="34"/>
        <v>3561364</v>
      </c>
      <c r="Q273" s="7">
        <v>23158621</v>
      </c>
      <c r="S273" s="7">
        <v>26719985</v>
      </c>
      <c r="U273" s="7">
        <v>0</v>
      </c>
      <c r="W273" s="7">
        <v>0</v>
      </c>
      <c r="Y273" s="7">
        <v>11000</v>
      </c>
      <c r="AA273" s="7">
        <v>543070</v>
      </c>
      <c r="AC273" s="7">
        <v>6813045</v>
      </c>
      <c r="AE273" s="13">
        <f t="shared" si="35"/>
        <v>7367115</v>
      </c>
      <c r="AG273" s="7">
        <f t="shared" si="36"/>
        <v>0</v>
      </c>
      <c r="AI273" s="14"/>
      <c r="AK273" s="7" t="str">
        <f t="shared" si="37"/>
        <v xml:space="preserve">Kings Local SD  </v>
      </c>
      <c r="AL273" s="7" t="str">
        <f>'St of Activities - GA Exp'!A273</f>
        <v xml:space="preserve">Kings Local SD  </v>
      </c>
      <c r="AM273" s="7" t="b">
        <f t="shared" si="38"/>
        <v>1</v>
      </c>
      <c r="AN273" s="7" t="str">
        <f t="shared" si="33"/>
        <v>Warren</v>
      </c>
      <c r="AO273" s="7" t="b">
        <f>C273='St of Activities - GA Exp'!C273</f>
        <v>1</v>
      </c>
    </row>
    <row r="274" spans="1:41" hidden="1">
      <c r="A274" s="12" t="s">
        <v>729</v>
      </c>
      <c r="B274" s="12"/>
      <c r="C274" s="12" t="s">
        <v>41</v>
      </c>
      <c r="D274" s="12"/>
      <c r="E274" s="12">
        <v>47878</v>
      </c>
      <c r="K274" s="2">
        <f t="shared" si="39"/>
        <v>0</v>
      </c>
      <c r="O274" s="2">
        <f t="shared" si="34"/>
        <v>0</v>
      </c>
      <c r="AE274" s="13">
        <f t="shared" si="35"/>
        <v>0</v>
      </c>
      <c r="AG274" s="7">
        <f t="shared" si="36"/>
        <v>0</v>
      </c>
      <c r="AI274" s="7" t="s">
        <v>911</v>
      </c>
      <c r="AK274" s="7" t="str">
        <f t="shared" si="37"/>
        <v>Kirtland Local SD (CASH)</v>
      </c>
      <c r="AL274" s="7" t="str">
        <f>'St of Activities - GA Exp'!A274</f>
        <v>Kirtland Local SD (CASH)</v>
      </c>
      <c r="AM274" s="7" t="b">
        <f t="shared" si="38"/>
        <v>1</v>
      </c>
      <c r="AN274" s="7" t="str">
        <f t="shared" si="33"/>
        <v>Lake</v>
      </c>
      <c r="AO274" s="7" t="b">
        <f>C274='St of Activities - GA Exp'!C274</f>
        <v>1</v>
      </c>
    </row>
    <row r="275" spans="1:41">
      <c r="A275" s="12" t="s">
        <v>540</v>
      </c>
      <c r="B275" s="12"/>
      <c r="C275" s="12" t="s">
        <v>64</v>
      </c>
      <c r="D275" s="12"/>
      <c r="E275" s="12">
        <v>50245</v>
      </c>
      <c r="G275" s="7">
        <v>3494469</v>
      </c>
      <c r="I275" s="7">
        <v>46436</v>
      </c>
      <c r="K275" s="2">
        <f t="shared" si="39"/>
        <v>4025996</v>
      </c>
      <c r="M275" s="7">
        <v>7566901</v>
      </c>
      <c r="O275" s="2">
        <f t="shared" si="34"/>
        <v>1435804</v>
      </c>
      <c r="Q275" s="7">
        <f>566045+3325901</f>
        <v>3891946</v>
      </c>
      <c r="S275" s="7">
        <v>5327750</v>
      </c>
      <c r="U275" s="7">
        <f>8319+28371</f>
        <v>36690</v>
      </c>
      <c r="W275" s="7">
        <v>46436</v>
      </c>
      <c r="Y275" s="7">
        <v>0</v>
      </c>
      <c r="AA275" s="7">
        <f>6513+45177+1974+185440</f>
        <v>239104</v>
      </c>
      <c r="AC275" s="7">
        <v>1916921</v>
      </c>
      <c r="AE275" s="13">
        <f t="shared" si="35"/>
        <v>2239151</v>
      </c>
      <c r="AG275" s="7">
        <f t="shared" si="36"/>
        <v>0</v>
      </c>
      <c r="AK275" s="7" t="str">
        <f t="shared" si="37"/>
        <v>LaBrae Local SD</v>
      </c>
      <c r="AL275" s="7" t="str">
        <f>'St of Activities - GA Exp'!A275</f>
        <v>LaBrae Local SD</v>
      </c>
      <c r="AM275" s="7" t="b">
        <f t="shared" si="38"/>
        <v>1</v>
      </c>
      <c r="AN275" s="7" t="str">
        <f t="shared" si="33"/>
        <v>Trumbull</v>
      </c>
      <c r="AO275" s="7" t="b">
        <f>C275='St of Activities - GA Exp'!C275</f>
        <v>1</v>
      </c>
    </row>
    <row r="276" spans="1:41">
      <c r="A276" s="12" t="s">
        <v>513</v>
      </c>
      <c r="B276" s="12"/>
      <c r="C276" s="12" t="s">
        <v>62</v>
      </c>
      <c r="D276" s="12"/>
      <c r="E276" s="12">
        <v>49866</v>
      </c>
      <c r="G276" s="7">
        <v>6267370</v>
      </c>
      <c r="I276" s="7">
        <v>95898</v>
      </c>
      <c r="K276" s="2">
        <f t="shared" si="39"/>
        <v>13326951</v>
      </c>
      <c r="M276" s="7">
        <v>19690219</v>
      </c>
      <c r="O276" s="2">
        <f t="shared" si="34"/>
        <v>4204930</v>
      </c>
      <c r="Q276" s="7">
        <v>11444856</v>
      </c>
      <c r="S276" s="7">
        <v>15649786</v>
      </c>
      <c r="U276" s="7">
        <v>0</v>
      </c>
      <c r="W276" s="7">
        <v>98496</v>
      </c>
      <c r="Y276" s="7">
        <v>0</v>
      </c>
      <c r="AA276" s="7">
        <v>409036</v>
      </c>
      <c r="AC276" s="7">
        <v>3532901</v>
      </c>
      <c r="AE276" s="13">
        <f t="shared" si="35"/>
        <v>4040433</v>
      </c>
      <c r="AG276" s="7">
        <f t="shared" si="36"/>
        <v>0</v>
      </c>
      <c r="AK276" s="7" t="str">
        <f t="shared" si="37"/>
        <v>Lake Local SD</v>
      </c>
      <c r="AL276" s="7" t="str">
        <f>'St of Activities - GA Exp'!A276</f>
        <v>Lake Local SD</v>
      </c>
      <c r="AM276" s="7" t="b">
        <f t="shared" si="38"/>
        <v>1</v>
      </c>
      <c r="AN276" s="7" t="str">
        <f t="shared" si="33"/>
        <v>Stark</v>
      </c>
      <c r="AO276" s="7" t="b">
        <f>C276='St of Activities - GA Exp'!C276</f>
        <v>1</v>
      </c>
    </row>
    <row r="277" spans="1:41" hidden="1">
      <c r="A277" s="12" t="s">
        <v>913</v>
      </c>
      <c r="B277" s="12"/>
      <c r="C277" s="12" t="s">
        <v>72</v>
      </c>
      <c r="D277" s="12"/>
      <c r="E277" s="12">
        <v>50690</v>
      </c>
      <c r="K277" s="2">
        <f t="shared" si="39"/>
        <v>0</v>
      </c>
      <c r="O277" s="2">
        <f t="shared" si="34"/>
        <v>0</v>
      </c>
      <c r="AE277" s="13">
        <f t="shared" si="35"/>
        <v>0</v>
      </c>
      <c r="AG277" s="7">
        <f t="shared" si="36"/>
        <v>0</v>
      </c>
      <c r="AI277" s="7" t="s">
        <v>912</v>
      </c>
      <c r="AK277" s="7" t="str">
        <f t="shared" si="37"/>
        <v>Lake Local SD (CASH)</v>
      </c>
      <c r="AL277" s="7" t="str">
        <f>'St of Activities - GA Exp'!A277</f>
        <v>Lake Local SD (CASH)</v>
      </c>
      <c r="AM277" s="7" t="b">
        <f t="shared" si="38"/>
        <v>1</v>
      </c>
      <c r="AN277" s="7" t="str">
        <f t="shared" si="33"/>
        <v>Wood</v>
      </c>
      <c r="AO277" s="7" t="b">
        <f>C277='St of Activities - GA Exp'!C277</f>
        <v>1</v>
      </c>
    </row>
    <row r="278" spans="1:41">
      <c r="A278" s="12" t="s">
        <v>541</v>
      </c>
      <c r="B278" s="12"/>
      <c r="C278" s="12" t="s">
        <v>64</v>
      </c>
      <c r="D278" s="12"/>
      <c r="E278" s="12">
        <v>50187</v>
      </c>
      <c r="G278" s="7">
        <v>1167455</v>
      </c>
      <c r="I278" s="7">
        <v>298392</v>
      </c>
      <c r="K278" s="2">
        <f t="shared" si="39"/>
        <v>8058490</v>
      </c>
      <c r="M278" s="7">
        <v>9524337</v>
      </c>
      <c r="O278" s="2">
        <f t="shared" si="34"/>
        <v>1583902</v>
      </c>
      <c r="Q278" s="7">
        <v>7964615</v>
      </c>
      <c r="S278" s="7">
        <v>9548517</v>
      </c>
      <c r="U278" s="7">
        <v>84936</v>
      </c>
      <c r="W278" s="7">
        <v>298392</v>
      </c>
      <c r="Y278" s="7">
        <v>0</v>
      </c>
      <c r="AA278" s="7">
        <v>104626</v>
      </c>
      <c r="AC278" s="7">
        <v>-512134</v>
      </c>
      <c r="AE278" s="13">
        <f t="shared" si="35"/>
        <v>-24180</v>
      </c>
      <c r="AG278" s="7">
        <f t="shared" si="36"/>
        <v>0</v>
      </c>
      <c r="AK278" s="7" t="str">
        <f t="shared" si="37"/>
        <v>Lakeview Local SD</v>
      </c>
      <c r="AL278" s="7" t="str">
        <f>'St of Activities - GA Exp'!A278</f>
        <v>Lakeview Local SD</v>
      </c>
      <c r="AM278" s="7" t="b">
        <f t="shared" si="38"/>
        <v>1</v>
      </c>
      <c r="AN278" s="7" t="str">
        <f t="shared" si="33"/>
        <v>Trumbull</v>
      </c>
      <c r="AO278" s="7" t="b">
        <f>C278='St of Activities - GA Exp'!C278</f>
        <v>1</v>
      </c>
    </row>
    <row r="279" spans="1:41">
      <c r="A279" s="12" t="s">
        <v>276</v>
      </c>
      <c r="B279" s="12"/>
      <c r="C279" s="12" t="s">
        <v>20</v>
      </c>
      <c r="D279" s="12"/>
      <c r="E279" s="12">
        <v>44198</v>
      </c>
      <c r="G279" s="7">
        <v>15603692</v>
      </c>
      <c r="I279" s="7">
        <v>0</v>
      </c>
      <c r="K279" s="2">
        <f t="shared" si="39"/>
        <v>42863918</v>
      </c>
      <c r="M279" s="7">
        <v>58467610</v>
      </c>
      <c r="O279" s="2">
        <f t="shared" si="34"/>
        <v>41438562</v>
      </c>
      <c r="Q279" s="7">
        <v>3271837</v>
      </c>
      <c r="S279" s="7">
        <v>44710399</v>
      </c>
      <c r="U279" s="7">
        <v>0</v>
      </c>
      <c r="W279" s="7">
        <v>0</v>
      </c>
      <c r="Y279" s="7">
        <v>0</v>
      </c>
      <c r="AA279" s="7">
        <f>197380+474872+11039+69871</f>
        <v>753162</v>
      </c>
      <c r="AC279" s="7">
        <v>13004049</v>
      </c>
      <c r="AE279" s="13">
        <f t="shared" si="35"/>
        <v>13757211</v>
      </c>
      <c r="AG279" s="7">
        <f t="shared" si="36"/>
        <v>0</v>
      </c>
      <c r="AI279" s="7" t="s">
        <v>914</v>
      </c>
      <c r="AK279" s="7" t="str">
        <f t="shared" si="37"/>
        <v>Lakewood City SD</v>
      </c>
      <c r="AL279" s="7" t="str">
        <f>'St of Activities - GA Exp'!A279</f>
        <v>Lakewood City SD</v>
      </c>
      <c r="AM279" s="7" t="b">
        <f t="shared" si="38"/>
        <v>1</v>
      </c>
      <c r="AN279" s="7" t="str">
        <f t="shared" si="33"/>
        <v>Cuyahoga</v>
      </c>
      <c r="AO279" s="7" t="b">
        <f>C279='St of Activities - GA Exp'!C279</f>
        <v>1</v>
      </c>
    </row>
    <row r="280" spans="1:41">
      <c r="A280" s="12" t="s">
        <v>657</v>
      </c>
      <c r="B280" s="12"/>
      <c r="C280" s="12" t="s">
        <v>42</v>
      </c>
      <c r="D280" s="12"/>
      <c r="E280" s="12">
        <v>47993</v>
      </c>
      <c r="G280" s="7">
        <f>856235+4651023</f>
        <v>5507258</v>
      </c>
      <c r="I280" s="7">
        <v>0</v>
      </c>
      <c r="K280" s="2">
        <f t="shared" si="39"/>
        <v>14044453</v>
      </c>
      <c r="M280" s="7">
        <v>19551711</v>
      </c>
      <c r="O280" s="2">
        <f t="shared" si="34"/>
        <v>2144841</v>
      </c>
      <c r="Q280" s="7">
        <f>12883544+6525</f>
        <v>12890069</v>
      </c>
      <c r="S280" s="7">
        <v>15034910</v>
      </c>
      <c r="U280" s="7">
        <v>261229</v>
      </c>
      <c r="W280" s="7">
        <v>14083</v>
      </c>
      <c r="Y280" s="7">
        <v>204164</v>
      </c>
      <c r="AA280" s="7">
        <v>198049</v>
      </c>
      <c r="AC280" s="7">
        <v>3839276</v>
      </c>
      <c r="AE280" s="13">
        <f t="shared" si="35"/>
        <v>4516801</v>
      </c>
      <c r="AG280" s="7">
        <f t="shared" si="36"/>
        <v>0</v>
      </c>
      <c r="AK280" s="7" t="str">
        <f t="shared" si="37"/>
        <v>Lakewood Local  SD</v>
      </c>
      <c r="AL280" s="7" t="str">
        <f>'St of Activities - GA Exp'!A280</f>
        <v>Lakewood Local  SD</v>
      </c>
      <c r="AM280" s="7" t="b">
        <f t="shared" si="38"/>
        <v>1</v>
      </c>
      <c r="AN280" s="7" t="str">
        <f t="shared" si="33"/>
        <v>Licking</v>
      </c>
      <c r="AO280" s="7" t="b">
        <f>C280='St of Activities - GA Exp'!C280</f>
        <v>1</v>
      </c>
    </row>
    <row r="281" spans="1:41">
      <c r="A281" s="12" t="s">
        <v>226</v>
      </c>
      <c r="B281" s="12"/>
      <c r="C281" s="12" t="s">
        <v>223</v>
      </c>
      <c r="D281" s="12"/>
      <c r="E281" s="12">
        <v>46110</v>
      </c>
      <c r="G281" s="7">
        <v>30251389</v>
      </c>
      <c r="I281" s="7">
        <v>1976054</v>
      </c>
      <c r="K281" s="2">
        <f t="shared" si="39"/>
        <v>86648539</v>
      </c>
      <c r="M281" s="7">
        <v>118875982</v>
      </c>
      <c r="O281" s="2">
        <f t="shared" si="34"/>
        <v>21379375</v>
      </c>
      <c r="Q281" s="7">
        <v>84392775</v>
      </c>
      <c r="S281" s="7">
        <v>105772150</v>
      </c>
      <c r="U281" s="7">
        <v>0</v>
      </c>
      <c r="W281" s="7">
        <v>1976054</v>
      </c>
      <c r="Y281" s="7">
        <v>0</v>
      </c>
      <c r="AA281" s="7">
        <v>1340988</v>
      </c>
      <c r="AC281" s="7">
        <v>9786790</v>
      </c>
      <c r="AE281" s="13">
        <f t="shared" si="35"/>
        <v>13103832</v>
      </c>
      <c r="AG281" s="7">
        <f t="shared" si="36"/>
        <v>0</v>
      </c>
      <c r="AK281" s="7" t="str">
        <f t="shared" si="37"/>
        <v>Lakota Local SD</v>
      </c>
      <c r="AL281" s="7" t="str">
        <f>'St of Activities - GA Exp'!A281</f>
        <v>Lakota Local SD</v>
      </c>
      <c r="AM281" s="7" t="b">
        <f t="shared" si="38"/>
        <v>1</v>
      </c>
      <c r="AN281" s="7" t="str">
        <f t="shared" si="33"/>
        <v>Butler</v>
      </c>
      <c r="AO281" s="7" t="b">
        <f>C281='St of Activities - GA Exp'!C281</f>
        <v>1</v>
      </c>
    </row>
    <row r="282" spans="1:41" hidden="1">
      <c r="A282" s="12" t="s">
        <v>915</v>
      </c>
      <c r="B282" s="12"/>
      <c r="C282" s="12" t="s">
        <v>79</v>
      </c>
      <c r="D282" s="12"/>
      <c r="E282" s="12">
        <v>49569</v>
      </c>
      <c r="K282" s="2">
        <f t="shared" si="39"/>
        <v>0</v>
      </c>
      <c r="O282" s="2">
        <f t="shared" si="34"/>
        <v>0</v>
      </c>
      <c r="AE282" s="13">
        <f t="shared" si="35"/>
        <v>0</v>
      </c>
      <c r="AG282" s="7">
        <f t="shared" si="36"/>
        <v>0</v>
      </c>
      <c r="AI282" s="7" t="s">
        <v>903</v>
      </c>
      <c r="AK282" s="7" t="str">
        <f t="shared" si="37"/>
        <v>Lakota Local SD (CASH)</v>
      </c>
      <c r="AL282" s="7" t="str">
        <f>'St of Activities - GA Exp'!A282</f>
        <v>Lakota Local SD (CASH)</v>
      </c>
      <c r="AM282" s="7" t="b">
        <f t="shared" si="38"/>
        <v>1</v>
      </c>
      <c r="AN282" s="7" t="str">
        <f t="shared" si="33"/>
        <v>Sandusky</v>
      </c>
      <c r="AO282" s="7" t="b">
        <f>C282='St of Activities - GA Exp'!C282</f>
        <v>1</v>
      </c>
    </row>
    <row r="283" spans="1:41">
      <c r="A283" s="12" t="s">
        <v>301</v>
      </c>
      <c r="B283" s="12"/>
      <c r="C283" s="12" t="s">
        <v>25</v>
      </c>
      <c r="D283" s="12"/>
      <c r="E283" s="12">
        <v>44206</v>
      </c>
      <c r="G283" s="7">
        <v>27251574</v>
      </c>
      <c r="I283" s="7">
        <v>0</v>
      </c>
      <c r="K283" s="2">
        <f t="shared" si="39"/>
        <v>26252804</v>
      </c>
      <c r="M283" s="7">
        <v>53504378</v>
      </c>
      <c r="O283" s="2">
        <f t="shared" si="34"/>
        <v>6922584</v>
      </c>
      <c r="Q283" s="7">
        <v>20916210</v>
      </c>
      <c r="S283" s="7">
        <v>27838794</v>
      </c>
      <c r="U283" s="7">
        <v>149498</v>
      </c>
      <c r="W283" s="7">
        <v>0</v>
      </c>
      <c r="Y283" s="7">
        <v>1084681</v>
      </c>
      <c r="AA283" s="7">
        <v>2055469</v>
      </c>
      <c r="AC283" s="7">
        <v>22375936</v>
      </c>
      <c r="AE283" s="13">
        <f t="shared" si="35"/>
        <v>25665584</v>
      </c>
      <c r="AG283" s="7">
        <f t="shared" si="36"/>
        <v>0</v>
      </c>
      <c r="AK283" s="7" t="str">
        <f t="shared" si="37"/>
        <v>Lancaster City SD</v>
      </c>
      <c r="AL283" s="7" t="str">
        <f>'St of Activities - GA Exp'!A283</f>
        <v>Lancaster City SD</v>
      </c>
      <c r="AM283" s="7" t="b">
        <f t="shared" si="38"/>
        <v>1</v>
      </c>
      <c r="AN283" s="7" t="str">
        <f t="shared" si="33"/>
        <v>Fairfield</v>
      </c>
      <c r="AO283" s="7" t="b">
        <f>C283='St of Activities - GA Exp'!C283</f>
        <v>1</v>
      </c>
    </row>
    <row r="284" spans="1:41" hidden="1">
      <c r="A284" s="12" t="s">
        <v>771</v>
      </c>
      <c r="B284" s="12"/>
      <c r="C284" s="12" t="s">
        <v>69</v>
      </c>
      <c r="D284" s="12"/>
      <c r="E284" s="12">
        <v>44214</v>
      </c>
      <c r="K284" s="2">
        <f t="shared" si="39"/>
        <v>0</v>
      </c>
      <c r="O284" s="2">
        <f t="shared" si="34"/>
        <v>0</v>
      </c>
      <c r="AE284" s="13">
        <f t="shared" si="35"/>
        <v>0</v>
      </c>
      <c r="AG284" s="7">
        <f t="shared" si="36"/>
        <v>0</v>
      </c>
      <c r="AI284" s="7" t="s">
        <v>839</v>
      </c>
      <c r="AK284" s="7" t="str">
        <f t="shared" si="37"/>
        <v xml:space="preserve">Lebanon City SD (CASH) </v>
      </c>
      <c r="AL284" s="7" t="str">
        <f>'St of Activities - GA Exp'!A284</f>
        <v xml:space="preserve">Lebanon City SD (CASH) </v>
      </c>
      <c r="AM284" s="7" t="b">
        <f t="shared" si="38"/>
        <v>1</v>
      </c>
      <c r="AN284" s="7" t="str">
        <f t="shared" si="33"/>
        <v>Warren</v>
      </c>
      <c r="AO284" s="7" t="b">
        <f>C284='St of Activities - GA Exp'!C284</f>
        <v>1</v>
      </c>
    </row>
    <row r="285" spans="1:41">
      <c r="A285" s="12" t="s">
        <v>322</v>
      </c>
      <c r="B285" s="12"/>
      <c r="C285" s="12" t="s">
        <v>30</v>
      </c>
      <c r="D285" s="12"/>
      <c r="E285" s="12">
        <v>47209</v>
      </c>
      <c r="G285" s="7">
        <v>181319</v>
      </c>
      <c r="I285" s="7">
        <v>519033</v>
      </c>
      <c r="K285" s="2">
        <f t="shared" si="39"/>
        <v>2240765</v>
      </c>
      <c r="M285" s="7">
        <v>2941117</v>
      </c>
      <c r="O285" s="2">
        <f t="shared" si="34"/>
        <v>2851523</v>
      </c>
      <c r="Q285" s="7">
        <v>1870757</v>
      </c>
      <c r="S285" s="7">
        <v>4722280</v>
      </c>
      <c r="U285" s="7">
        <v>26098</v>
      </c>
      <c r="W285" s="7">
        <v>519033</v>
      </c>
      <c r="Y285" s="7">
        <v>10741</v>
      </c>
      <c r="AA285" s="7">
        <v>287864</v>
      </c>
      <c r="AC285" s="7">
        <v>-2624899</v>
      </c>
      <c r="AE285" s="13">
        <f t="shared" si="35"/>
        <v>-1781163</v>
      </c>
      <c r="AG285" s="7">
        <f t="shared" si="36"/>
        <v>0</v>
      </c>
      <c r="AK285" s="7" t="str">
        <f t="shared" si="37"/>
        <v>Ledgemont Local SD</v>
      </c>
      <c r="AL285" s="7" t="str">
        <f>'St of Activities - GA Exp'!A285</f>
        <v>Ledgemont Local SD</v>
      </c>
      <c r="AM285" s="7" t="b">
        <f t="shared" si="38"/>
        <v>1</v>
      </c>
      <c r="AN285" s="7" t="str">
        <f t="shared" si="33"/>
        <v>Geauga</v>
      </c>
      <c r="AO285" s="7" t="b">
        <f>C285='St of Activities - GA Exp'!C285</f>
        <v>1</v>
      </c>
    </row>
    <row r="286" spans="1:41" hidden="1">
      <c r="A286" s="12" t="s">
        <v>872</v>
      </c>
      <c r="B286" s="12"/>
      <c r="C286" s="12" t="s">
        <v>112</v>
      </c>
      <c r="D286" s="12"/>
      <c r="E286" s="12"/>
      <c r="K286" s="2"/>
      <c r="O286" s="2"/>
      <c r="AE286" s="13"/>
      <c r="AI286" s="7" t="s">
        <v>917</v>
      </c>
      <c r="AK286" s="7" t="str">
        <f t="shared" ref="AK286" si="40">A286</f>
        <v>Leetonia Exempted Village SD (CASH)</v>
      </c>
      <c r="AL286" s="7" t="str">
        <f>'St of Activities - GA Exp'!A286</f>
        <v>Leetonia Exempted Village SD (CASH)</v>
      </c>
      <c r="AM286" s="7" t="b">
        <f t="shared" ref="AM286" si="41">AK286=AL286</f>
        <v>1</v>
      </c>
      <c r="AN286" s="7" t="str">
        <f t="shared" si="33"/>
        <v>Columbiana</v>
      </c>
      <c r="AO286" s="7" t="b">
        <f>C286='St of Activities - GA Exp'!C286</f>
        <v>1</v>
      </c>
    </row>
    <row r="287" spans="1:41" hidden="1">
      <c r="A287" s="12" t="s">
        <v>717</v>
      </c>
      <c r="B287" s="12"/>
      <c r="C287" s="12" t="s">
        <v>482</v>
      </c>
      <c r="D287" s="12"/>
      <c r="E287" s="12">
        <v>49353</v>
      </c>
      <c r="K287" s="2">
        <f t="shared" si="39"/>
        <v>0</v>
      </c>
      <c r="O287" s="2">
        <f t="shared" si="34"/>
        <v>0</v>
      </c>
      <c r="AE287" s="13">
        <f t="shared" si="35"/>
        <v>0</v>
      </c>
      <c r="AG287" s="7">
        <f t="shared" si="36"/>
        <v>0</v>
      </c>
      <c r="AI287" s="7" t="s">
        <v>839</v>
      </c>
      <c r="AK287" s="7" t="str">
        <f t="shared" si="37"/>
        <v>Leipsic Local SD (CASH)</v>
      </c>
      <c r="AL287" s="7" t="str">
        <f>'St of Activities - GA Exp'!A287</f>
        <v>Leipsic Local SD (CASH)</v>
      </c>
      <c r="AM287" s="7" t="b">
        <f t="shared" si="38"/>
        <v>1</v>
      </c>
      <c r="AN287" s="7" t="str">
        <f t="shared" si="33"/>
        <v>Putnam</v>
      </c>
      <c r="AO287" s="7" t="b">
        <f>C287='St of Activities - GA Exp'!C287</f>
        <v>1</v>
      </c>
    </row>
    <row r="288" spans="1:41" hidden="1">
      <c r="A288" s="12" t="s">
        <v>918</v>
      </c>
      <c r="B288" s="12"/>
      <c r="C288" s="12" t="s">
        <v>110</v>
      </c>
      <c r="D288" s="12"/>
      <c r="E288" s="12">
        <v>49437</v>
      </c>
      <c r="K288" s="2">
        <f t="shared" si="39"/>
        <v>0</v>
      </c>
      <c r="O288" s="2">
        <f t="shared" si="34"/>
        <v>0</v>
      </c>
      <c r="AE288" s="13">
        <f t="shared" si="35"/>
        <v>0</v>
      </c>
      <c r="AG288" s="7">
        <f t="shared" si="36"/>
        <v>0</v>
      </c>
      <c r="AI288" s="7" t="s">
        <v>912</v>
      </c>
      <c r="AK288" s="7" t="str">
        <f t="shared" si="37"/>
        <v>Lexington Local SD (CASH)</v>
      </c>
      <c r="AL288" s="7" t="str">
        <f>'St of Activities - GA Exp'!A288</f>
        <v>Lexington Local SD (CASH)</v>
      </c>
      <c r="AM288" s="7" t="b">
        <f t="shared" si="38"/>
        <v>1</v>
      </c>
      <c r="AN288" s="7" t="str">
        <f t="shared" si="33"/>
        <v>Richland</v>
      </c>
      <c r="AO288" s="7" t="b">
        <f>C288='St of Activities - GA Exp'!C288</f>
        <v>1</v>
      </c>
    </row>
    <row r="289" spans="1:41">
      <c r="A289" s="12" t="s">
        <v>920</v>
      </c>
      <c r="B289" s="12"/>
      <c r="C289" s="12" t="s">
        <v>33</v>
      </c>
      <c r="D289" s="12"/>
      <c r="E289" s="12">
        <v>47449</v>
      </c>
      <c r="G289" s="7">
        <v>5199380</v>
      </c>
      <c r="I289" s="7">
        <v>44256</v>
      </c>
      <c r="K289" s="2">
        <f>+M289-I289-G289</f>
        <v>4760560</v>
      </c>
      <c r="M289" s="7">
        <v>10004196</v>
      </c>
      <c r="O289" s="2">
        <f>+S289-Q289</f>
        <v>1294935</v>
      </c>
      <c r="Q289" s="7">
        <v>3987602</v>
      </c>
      <c r="S289" s="7">
        <v>5282537</v>
      </c>
      <c r="U289" s="7">
        <v>8606</v>
      </c>
      <c r="W289" s="7">
        <v>44256</v>
      </c>
      <c r="Y289" s="7">
        <v>191985</v>
      </c>
      <c r="AA289" s="7">
        <v>198095</v>
      </c>
      <c r="AC289" s="7">
        <v>4278717</v>
      </c>
      <c r="AE289" s="13">
        <f>+Y289+W289++U289+AA289+AC289</f>
        <v>4721659</v>
      </c>
      <c r="AG289" s="7">
        <f>+G289+I289+K289-O289-Q289-Y289-W289-U289-AA289-AC289</f>
        <v>0</v>
      </c>
      <c r="AK289" s="7" t="str">
        <f>A289</f>
        <v>Liberty Benton Local SD</v>
      </c>
      <c r="AL289" s="7" t="str">
        <f>'St of Activities - GA Exp'!A289</f>
        <v>Liberty Benton Local SD</v>
      </c>
      <c r="AM289" s="7" t="b">
        <f>AK289=AL289</f>
        <v>1</v>
      </c>
      <c r="AN289" s="7" t="str">
        <f>C289</f>
        <v>Hancock</v>
      </c>
      <c r="AO289" s="7" t="b">
        <f>C289='St of Activities - GA Exp'!C289</f>
        <v>1</v>
      </c>
    </row>
    <row r="290" spans="1:41">
      <c r="A290" s="12" t="s">
        <v>355</v>
      </c>
      <c r="B290" s="12"/>
      <c r="C290" s="12" t="s">
        <v>34</v>
      </c>
      <c r="D290" s="12"/>
      <c r="E290" s="12">
        <v>47589</v>
      </c>
      <c r="G290" s="7">
        <v>4694360</v>
      </c>
      <c r="I290" s="7">
        <v>0</v>
      </c>
      <c r="K290" s="2">
        <f t="shared" si="39"/>
        <v>5220487</v>
      </c>
      <c r="M290" s="7">
        <v>9914847</v>
      </c>
      <c r="O290" s="2">
        <f t="shared" si="34"/>
        <v>1171007</v>
      </c>
      <c r="Q290" s="7">
        <v>4089286</v>
      </c>
      <c r="S290" s="7">
        <v>5260293</v>
      </c>
      <c r="U290" s="7">
        <f>236176+295550</f>
        <v>531726</v>
      </c>
      <c r="W290" s="7">
        <v>0</v>
      </c>
      <c r="Y290" s="7">
        <v>0</v>
      </c>
      <c r="AA290" s="7">
        <v>0</v>
      </c>
      <c r="AC290" s="7">
        <v>4122828</v>
      </c>
      <c r="AE290" s="13">
        <f t="shared" si="35"/>
        <v>4654554</v>
      </c>
      <c r="AG290" s="7">
        <f t="shared" si="36"/>
        <v>0</v>
      </c>
      <c r="AI290" s="7" t="s">
        <v>919</v>
      </c>
      <c r="AK290" s="7" t="str">
        <f t="shared" si="37"/>
        <v>Liberty Center Local SD</v>
      </c>
      <c r="AL290" s="7" t="str">
        <f>'St of Activities - GA Exp'!A290</f>
        <v>Liberty Center Local SD</v>
      </c>
      <c r="AM290" s="7" t="b">
        <f t="shared" si="38"/>
        <v>1</v>
      </c>
      <c r="AN290" s="7" t="str">
        <f t="shared" si="33"/>
        <v>Henry</v>
      </c>
      <c r="AO290" s="7" t="b">
        <f>C290='St of Activities - GA Exp'!C290</f>
        <v>1</v>
      </c>
    </row>
    <row r="291" spans="1:41">
      <c r="A291" s="12" t="s">
        <v>542</v>
      </c>
      <c r="B291" s="12"/>
      <c r="C291" s="12" t="s">
        <v>64</v>
      </c>
      <c r="D291" s="12"/>
      <c r="E291" s="12">
        <v>50195</v>
      </c>
      <c r="G291" s="7">
        <v>10447</v>
      </c>
      <c r="I291" s="7">
        <v>5177</v>
      </c>
      <c r="K291" s="2">
        <f t="shared" si="39"/>
        <v>9346786</v>
      </c>
      <c r="M291" s="7">
        <v>9362410</v>
      </c>
      <c r="O291" s="2">
        <f t="shared" si="34"/>
        <v>11898229</v>
      </c>
      <c r="Q291" s="7">
        <v>1233494</v>
      </c>
      <c r="S291" s="7">
        <v>13131723</v>
      </c>
      <c r="U291" s="7">
        <v>7137</v>
      </c>
      <c r="W291" s="7">
        <f>639056+39581</f>
        <v>678637</v>
      </c>
      <c r="Y291" s="7">
        <v>0</v>
      </c>
      <c r="AA291" s="7">
        <f>4366+33137+15762</f>
        <v>53265</v>
      </c>
      <c r="AC291" s="7">
        <v>-4508352</v>
      </c>
      <c r="AE291" s="13">
        <f t="shared" si="35"/>
        <v>-3769313</v>
      </c>
      <c r="AG291" s="7">
        <f t="shared" si="36"/>
        <v>0</v>
      </c>
      <c r="AK291" s="7" t="str">
        <f t="shared" si="37"/>
        <v>Liberty Local SD</v>
      </c>
      <c r="AL291" s="7" t="str">
        <f>'St of Activities - GA Exp'!A291</f>
        <v>Liberty Local SD</v>
      </c>
      <c r="AM291" s="7" t="b">
        <f t="shared" si="38"/>
        <v>1</v>
      </c>
      <c r="AN291" s="7" t="str">
        <f t="shared" si="33"/>
        <v>Trumbull</v>
      </c>
      <c r="AO291" s="7" t="b">
        <f>C291='St of Activities - GA Exp'!C291</f>
        <v>1</v>
      </c>
    </row>
    <row r="292" spans="1:41">
      <c r="A292" s="12" t="s">
        <v>842</v>
      </c>
      <c r="B292" s="12"/>
      <c r="C292" s="12" t="s">
        <v>25</v>
      </c>
      <c r="D292" s="12"/>
      <c r="E292" s="12">
        <v>46888</v>
      </c>
      <c r="G292" s="7">
        <v>4997182</v>
      </c>
      <c r="I292" s="7">
        <v>0</v>
      </c>
      <c r="K292" s="2">
        <f t="shared" si="39"/>
        <v>4029255</v>
      </c>
      <c r="M292" s="7">
        <v>9026437</v>
      </c>
      <c r="O292" s="2">
        <f t="shared" si="34"/>
        <v>1579345</v>
      </c>
      <c r="Q292" s="7">
        <v>2925603</v>
      </c>
      <c r="S292" s="7">
        <v>4504948</v>
      </c>
      <c r="U292" s="7">
        <v>0</v>
      </c>
      <c r="W292" s="7">
        <v>0</v>
      </c>
      <c r="Y292" s="7">
        <v>0</v>
      </c>
      <c r="AA292" s="7">
        <v>107696</v>
      </c>
      <c r="AC292" s="7">
        <v>4413793</v>
      </c>
      <c r="AE292" s="13">
        <f t="shared" si="35"/>
        <v>4521489</v>
      </c>
      <c r="AG292" s="7">
        <f t="shared" si="36"/>
        <v>0</v>
      </c>
      <c r="AK292" s="7" t="str">
        <f t="shared" si="37"/>
        <v>Liberty Union-Thurston Local SD</v>
      </c>
      <c r="AL292" s="7" t="str">
        <f>'St of Activities - GA Exp'!A292</f>
        <v>Liberty Union-Thurston Local SD</v>
      </c>
      <c r="AM292" s="7" t="b">
        <f t="shared" si="38"/>
        <v>1</v>
      </c>
      <c r="AN292" s="7" t="str">
        <f t="shared" si="33"/>
        <v>Fairfield</v>
      </c>
      <c r="AO292" s="7" t="b">
        <f>C292='St of Activities - GA Exp'!C292</f>
        <v>1</v>
      </c>
    </row>
    <row r="293" spans="1:41">
      <c r="A293" s="12" t="s">
        <v>386</v>
      </c>
      <c r="B293" s="12"/>
      <c r="C293" s="12" t="s">
        <v>42</v>
      </c>
      <c r="D293" s="12"/>
      <c r="E293" s="12">
        <v>48009</v>
      </c>
      <c r="G293" s="7">
        <v>1517931</v>
      </c>
      <c r="I293" s="7">
        <v>0</v>
      </c>
      <c r="K293" s="2">
        <f t="shared" si="39"/>
        <v>16449308</v>
      </c>
      <c r="M293" s="7">
        <v>17967239</v>
      </c>
      <c r="O293" s="2">
        <f t="shared" si="34"/>
        <v>3198995</v>
      </c>
      <c r="Q293" s="7">
        <v>12795537</v>
      </c>
      <c r="S293" s="7">
        <v>15994532</v>
      </c>
      <c r="U293" s="7">
        <v>0</v>
      </c>
      <c r="W293" s="7">
        <v>0</v>
      </c>
      <c r="Y293" s="7">
        <v>0</v>
      </c>
      <c r="AA293" s="7">
        <f>79803+1879442+11872</f>
        <v>1971117</v>
      </c>
      <c r="AC293" s="7">
        <v>1590</v>
      </c>
      <c r="AE293" s="13">
        <f t="shared" si="35"/>
        <v>1972707</v>
      </c>
      <c r="AG293" s="7">
        <f t="shared" si="36"/>
        <v>0</v>
      </c>
      <c r="AK293" s="7" t="str">
        <f t="shared" si="37"/>
        <v>Licking Heights Local SD</v>
      </c>
      <c r="AL293" s="7" t="str">
        <f>'St of Activities - GA Exp'!A293</f>
        <v>Licking Heights Local SD</v>
      </c>
      <c r="AM293" s="7" t="b">
        <f t="shared" si="38"/>
        <v>1</v>
      </c>
      <c r="AN293" s="7" t="str">
        <f t="shared" si="33"/>
        <v>Licking</v>
      </c>
      <c r="AO293" s="7" t="b">
        <f>C293='St of Activities - GA Exp'!C293</f>
        <v>1</v>
      </c>
    </row>
    <row r="294" spans="1:41">
      <c r="A294" s="12" t="s">
        <v>387</v>
      </c>
      <c r="B294" s="12"/>
      <c r="C294" s="12" t="s">
        <v>42</v>
      </c>
      <c r="D294" s="12"/>
      <c r="E294" s="12">
        <v>48017</v>
      </c>
      <c r="G294" s="7">
        <v>6656264</v>
      </c>
      <c r="I294" s="7">
        <v>8694</v>
      </c>
      <c r="K294" s="2">
        <f t="shared" si="39"/>
        <v>5027518</v>
      </c>
      <c r="M294" s="7">
        <v>11692476</v>
      </c>
      <c r="O294" s="2">
        <f t="shared" si="34"/>
        <v>1830099</v>
      </c>
      <c r="Q294" s="7">
        <v>3938132</v>
      </c>
      <c r="S294" s="7">
        <v>5768231</v>
      </c>
      <c r="U294" s="7">
        <v>261344</v>
      </c>
      <c r="W294" s="7">
        <v>8694</v>
      </c>
      <c r="Y294" s="7">
        <v>0</v>
      </c>
      <c r="AA294" s="7">
        <f>33013+132578</f>
        <v>165591</v>
      </c>
      <c r="AC294" s="7">
        <v>5488616</v>
      </c>
      <c r="AE294" s="13">
        <f t="shared" si="35"/>
        <v>5924245</v>
      </c>
      <c r="AG294" s="7">
        <f t="shared" si="36"/>
        <v>0</v>
      </c>
      <c r="AI294" s="83"/>
      <c r="AK294" s="7" t="str">
        <f t="shared" si="37"/>
        <v>Licking Valley Local SD</v>
      </c>
      <c r="AL294" s="7" t="str">
        <f>'St of Activities - GA Exp'!A294</f>
        <v>Licking Valley Local SD</v>
      </c>
      <c r="AM294" s="7" t="b">
        <f t="shared" si="38"/>
        <v>1</v>
      </c>
      <c r="AN294" s="7" t="str">
        <f t="shared" si="33"/>
        <v>Licking</v>
      </c>
      <c r="AO294" s="7" t="b">
        <f>C294='St of Activities - GA Exp'!C294</f>
        <v>1</v>
      </c>
    </row>
    <row r="295" spans="1:41" hidden="1">
      <c r="A295" s="12" t="s">
        <v>718</v>
      </c>
      <c r="B295" s="12"/>
      <c r="C295" s="12" t="s">
        <v>10</v>
      </c>
      <c r="D295" s="12"/>
      <c r="E295" s="12"/>
      <c r="K295" s="2">
        <f t="shared" si="39"/>
        <v>0</v>
      </c>
      <c r="O295" s="2">
        <f t="shared" si="34"/>
        <v>0</v>
      </c>
      <c r="AE295" s="13">
        <f t="shared" si="35"/>
        <v>0</v>
      </c>
      <c r="AG295" s="7">
        <f t="shared" si="36"/>
        <v>0</v>
      </c>
      <c r="AI295" s="7" t="s">
        <v>921</v>
      </c>
      <c r="AK295" s="7" t="str">
        <f t="shared" si="37"/>
        <v>Lima City School District (CASH)</v>
      </c>
      <c r="AL295" s="7" t="str">
        <f>'St of Activities - GA Exp'!A295</f>
        <v>Lima City School District (CASH)</v>
      </c>
      <c r="AM295" s="7" t="b">
        <f t="shared" si="38"/>
        <v>1</v>
      </c>
      <c r="AN295" s="7" t="str">
        <f t="shared" si="33"/>
        <v>Allen</v>
      </c>
      <c r="AO295" s="7" t="b">
        <f>C295='St of Activities - GA Exp'!C295</f>
        <v>1</v>
      </c>
    </row>
    <row r="296" spans="1:41">
      <c r="A296" s="12" t="s">
        <v>557</v>
      </c>
      <c r="B296" s="12"/>
      <c r="C296" s="12" t="s">
        <v>67</v>
      </c>
      <c r="D296" s="12"/>
      <c r="E296" s="12">
        <v>50369</v>
      </c>
      <c r="G296" s="7">
        <v>10156154</v>
      </c>
      <c r="I296" s="7">
        <v>0</v>
      </c>
      <c r="K296" s="2">
        <f t="shared" si="39"/>
        <v>2146744</v>
      </c>
      <c r="M296" s="7">
        <v>12302898</v>
      </c>
      <c r="O296" s="2">
        <f t="shared" si="34"/>
        <v>758272</v>
      </c>
      <c r="Q296" s="7">
        <f>118447+1784836</f>
        <v>1903283</v>
      </c>
      <c r="S296" s="7">
        <v>2661555</v>
      </c>
      <c r="U296" s="7">
        <v>8241</v>
      </c>
      <c r="W296" s="7">
        <v>0</v>
      </c>
      <c r="Y296" s="7">
        <v>0</v>
      </c>
      <c r="AA296" s="7">
        <f>34941+288</f>
        <v>35229</v>
      </c>
      <c r="AC296" s="7">
        <v>9597873</v>
      </c>
      <c r="AE296" s="13">
        <f t="shared" si="35"/>
        <v>9641343</v>
      </c>
      <c r="AG296" s="7">
        <f t="shared" si="36"/>
        <v>0</v>
      </c>
      <c r="AK296" s="7" t="str">
        <f t="shared" si="37"/>
        <v>Lincolnview Local SD</v>
      </c>
      <c r="AL296" s="7" t="str">
        <f>'St of Activities - GA Exp'!A296</f>
        <v>Lincolnview Local SD</v>
      </c>
      <c r="AM296" s="7" t="b">
        <f t="shared" si="38"/>
        <v>1</v>
      </c>
      <c r="AN296" s="7" t="str">
        <f t="shared" si="33"/>
        <v>Van Wert</v>
      </c>
      <c r="AO296" s="7" t="b">
        <f>C296='St of Activities - GA Exp'!C296</f>
        <v>1</v>
      </c>
    </row>
    <row r="297" spans="1:41">
      <c r="A297" s="12" t="s">
        <v>875</v>
      </c>
      <c r="B297" s="12"/>
      <c r="C297" s="12" t="s">
        <v>112</v>
      </c>
      <c r="D297" s="12"/>
      <c r="E297" s="12">
        <v>45450</v>
      </c>
      <c r="G297" s="7">
        <f>3967601+16194</f>
        <v>3983795</v>
      </c>
      <c r="I297" s="7">
        <v>0</v>
      </c>
      <c r="K297" s="2">
        <f t="shared" si="39"/>
        <v>1679473</v>
      </c>
      <c r="M297" s="7">
        <v>5663268</v>
      </c>
      <c r="O297" s="2">
        <f t="shared" si="34"/>
        <v>811425</v>
      </c>
      <c r="Q297" s="7">
        <v>1539248</v>
      </c>
      <c r="S297" s="7">
        <v>2350673</v>
      </c>
      <c r="U297" s="7">
        <v>14581</v>
      </c>
      <c r="W297" s="7">
        <v>0</v>
      </c>
      <c r="Y297" s="7">
        <v>47615</v>
      </c>
      <c r="AA297" s="7">
        <v>83751</v>
      </c>
      <c r="AC297" s="7">
        <v>3166648</v>
      </c>
      <c r="AE297" s="13">
        <f t="shared" si="35"/>
        <v>3312595</v>
      </c>
      <c r="AG297" s="7">
        <f t="shared" si="36"/>
        <v>0</v>
      </c>
      <c r="AK297" s="7" t="str">
        <f t="shared" si="37"/>
        <v>Lisbon Exempted Village SD</v>
      </c>
      <c r="AL297" s="7" t="str">
        <f>'St of Activities - GA Exp'!A297</f>
        <v>Lisbon Exempted Village SD</v>
      </c>
      <c r="AM297" s="7" t="b">
        <f t="shared" si="38"/>
        <v>1</v>
      </c>
      <c r="AN297" s="7" t="str">
        <f t="shared" si="33"/>
        <v>Columbiana</v>
      </c>
      <c r="AO297" s="7" t="b">
        <f>C297='St of Activities - GA Exp'!C297</f>
        <v>1</v>
      </c>
    </row>
    <row r="298" spans="1:41">
      <c r="A298" s="12" t="s">
        <v>562</v>
      </c>
      <c r="B298" s="12"/>
      <c r="C298" s="12" t="s">
        <v>69</v>
      </c>
      <c r="D298" s="12"/>
      <c r="E298" s="12">
        <v>50443</v>
      </c>
      <c r="G298" s="7">
        <v>1548527</v>
      </c>
      <c r="I298" s="7">
        <v>0</v>
      </c>
      <c r="K298" s="2">
        <f t="shared" si="39"/>
        <v>17919481</v>
      </c>
      <c r="M298" s="7">
        <v>19468008</v>
      </c>
      <c r="O298" s="2">
        <f t="shared" si="34"/>
        <v>8674407</v>
      </c>
      <c r="Q298" s="7">
        <v>16313299</v>
      </c>
      <c r="S298" s="7">
        <v>24987706</v>
      </c>
      <c r="U298" s="7">
        <v>0</v>
      </c>
      <c r="W298" s="7">
        <v>0</v>
      </c>
      <c r="Y298" s="7">
        <v>0</v>
      </c>
      <c r="AA298" s="7">
        <v>477807</v>
      </c>
      <c r="AC298" s="7">
        <v>-5997505</v>
      </c>
      <c r="AE298" s="13">
        <f t="shared" si="35"/>
        <v>-5519698</v>
      </c>
      <c r="AG298" s="7">
        <f t="shared" si="36"/>
        <v>0</v>
      </c>
      <c r="AI298" s="83"/>
      <c r="AK298" s="7" t="str">
        <f t="shared" si="37"/>
        <v>Little Miami Local SD</v>
      </c>
      <c r="AL298" s="7" t="str">
        <f>'St of Activities - GA Exp'!A298</f>
        <v>Little Miami Local SD</v>
      </c>
      <c r="AM298" s="7" t="b">
        <f t="shared" si="38"/>
        <v>1</v>
      </c>
      <c r="AN298" s="7" t="str">
        <f t="shared" si="33"/>
        <v>Warren</v>
      </c>
      <c r="AO298" s="7" t="b">
        <f>C298='St of Activities - GA Exp'!C298</f>
        <v>1</v>
      </c>
    </row>
    <row r="299" spans="1:41" hidden="1">
      <c r="A299" s="12" t="s">
        <v>922</v>
      </c>
      <c r="B299" s="12"/>
      <c r="C299" s="12" t="s">
        <v>32</v>
      </c>
      <c r="D299" s="12"/>
      <c r="E299" s="12">
        <v>44230</v>
      </c>
      <c r="K299" s="2">
        <f t="shared" si="39"/>
        <v>0</v>
      </c>
      <c r="O299" s="2">
        <f t="shared" si="34"/>
        <v>0</v>
      </c>
      <c r="AE299" s="13">
        <f t="shared" si="35"/>
        <v>0</v>
      </c>
      <c r="AG299" s="7">
        <f t="shared" si="36"/>
        <v>0</v>
      </c>
      <c r="AI299" s="7" t="s">
        <v>839</v>
      </c>
      <c r="AK299" s="7" t="str">
        <f t="shared" si="37"/>
        <v>Lockland Local SD (CASH)</v>
      </c>
      <c r="AL299" s="7" t="str">
        <f>'St of Activities - GA Exp'!A299</f>
        <v>Lockland Local SD (CASH)</v>
      </c>
      <c r="AM299" s="7" t="b">
        <f t="shared" si="38"/>
        <v>1</v>
      </c>
      <c r="AN299" s="7" t="str">
        <f t="shared" si="33"/>
        <v>Hamilton</v>
      </c>
      <c r="AO299" s="7" t="b">
        <f>C299='St of Activities - GA Exp'!C299</f>
        <v>1</v>
      </c>
    </row>
    <row r="300" spans="1:41">
      <c r="A300" s="12" t="s">
        <v>468</v>
      </c>
      <c r="B300" s="12"/>
      <c r="C300" s="12" t="s">
        <v>54</v>
      </c>
      <c r="D300" s="12"/>
      <c r="E300" s="12">
        <v>49080</v>
      </c>
      <c r="G300" s="7">
        <v>5665874</v>
      </c>
      <c r="I300" s="7">
        <v>0</v>
      </c>
      <c r="K300" s="2">
        <f t="shared" si="39"/>
        <v>7382789</v>
      </c>
      <c r="M300" s="7">
        <v>13048663</v>
      </c>
      <c r="O300" s="2">
        <f t="shared" si="34"/>
        <v>2256203</v>
      </c>
      <c r="Q300" s="7">
        <f>358344+4483214</f>
        <v>4841558</v>
      </c>
      <c r="S300" s="7">
        <v>7097761</v>
      </c>
      <c r="U300" s="7">
        <v>0</v>
      </c>
      <c r="W300" s="7">
        <v>0</v>
      </c>
      <c r="Y300" s="7">
        <v>0</v>
      </c>
      <c r="AA300" s="7">
        <f>16616+24474</f>
        <v>41090</v>
      </c>
      <c r="AC300" s="7">
        <v>5909812</v>
      </c>
      <c r="AE300" s="13">
        <f t="shared" si="35"/>
        <v>5950902</v>
      </c>
      <c r="AG300" s="7">
        <f t="shared" si="36"/>
        <v>0</v>
      </c>
      <c r="AK300" s="7" t="str">
        <f t="shared" si="37"/>
        <v>Logan Elm Local SD</v>
      </c>
      <c r="AL300" s="7" t="str">
        <f>'St of Activities - GA Exp'!A300</f>
        <v>Logan Elm Local SD</v>
      </c>
      <c r="AM300" s="7" t="b">
        <f t="shared" si="38"/>
        <v>1</v>
      </c>
      <c r="AN300" s="7" t="str">
        <f t="shared" si="33"/>
        <v>Pickaway</v>
      </c>
      <c r="AO300" s="7" t="b">
        <f>C300='St of Activities - GA Exp'!C300</f>
        <v>1</v>
      </c>
    </row>
    <row r="301" spans="1:41">
      <c r="A301" s="12" t="s">
        <v>362</v>
      </c>
      <c r="B301" s="12"/>
      <c r="C301" s="12" t="s">
        <v>35</v>
      </c>
      <c r="D301" s="12"/>
      <c r="E301" s="12">
        <v>44248</v>
      </c>
      <c r="G301" s="7">
        <v>7563681</v>
      </c>
      <c r="I301" s="7">
        <v>748936</v>
      </c>
      <c r="K301" s="2">
        <f t="shared" si="39"/>
        <v>10543080</v>
      </c>
      <c r="M301" s="7">
        <v>18855697</v>
      </c>
      <c r="O301" s="2">
        <f t="shared" si="34"/>
        <v>4132350</v>
      </c>
      <c r="Q301" s="7">
        <v>8029705</v>
      </c>
      <c r="S301" s="7">
        <v>12162055</v>
      </c>
      <c r="U301" s="7">
        <v>180327</v>
      </c>
      <c r="W301" s="7">
        <v>748936</v>
      </c>
      <c r="Y301" s="7">
        <v>0</v>
      </c>
      <c r="AA301" s="7">
        <v>326047</v>
      </c>
      <c r="AC301" s="7">
        <v>5438332</v>
      </c>
      <c r="AE301" s="13">
        <f t="shared" si="35"/>
        <v>6693642</v>
      </c>
      <c r="AG301" s="7">
        <f t="shared" si="36"/>
        <v>0</v>
      </c>
      <c r="AK301" s="7" t="str">
        <f t="shared" si="37"/>
        <v>Logan-Hocking Local SD</v>
      </c>
      <c r="AL301" s="7" t="str">
        <f>'St of Activities - GA Exp'!A301</f>
        <v>Logan-Hocking Local SD</v>
      </c>
      <c r="AM301" s="7" t="b">
        <f t="shared" si="38"/>
        <v>1</v>
      </c>
      <c r="AN301" s="7" t="str">
        <f t="shared" si="33"/>
        <v>Hocking</v>
      </c>
      <c r="AO301" s="7" t="b">
        <f>C301='St of Activities - GA Exp'!C301</f>
        <v>1</v>
      </c>
    </row>
    <row r="302" spans="1:41">
      <c r="A302" s="12" t="s">
        <v>413</v>
      </c>
      <c r="B302" s="12"/>
      <c r="C302" s="12" t="s">
        <v>411</v>
      </c>
      <c r="D302" s="12"/>
      <c r="E302" s="12">
        <v>44255</v>
      </c>
      <c r="G302" s="7">
        <v>2151325</v>
      </c>
      <c r="I302" s="7">
        <v>0</v>
      </c>
      <c r="K302" s="2">
        <f t="shared" si="39"/>
        <v>7623075</v>
      </c>
      <c r="M302" s="7">
        <v>9774400</v>
      </c>
      <c r="O302" s="2">
        <f t="shared" si="34"/>
        <v>2570375</v>
      </c>
      <c r="Q302" s="7">
        <v>4916322</v>
      </c>
      <c r="S302" s="7">
        <v>7486697</v>
      </c>
      <c r="U302" s="7">
        <v>0</v>
      </c>
      <c r="W302" s="7">
        <v>0</v>
      </c>
      <c r="Y302" s="7">
        <v>79944</v>
      </c>
      <c r="AA302" s="7">
        <v>2207759</v>
      </c>
      <c r="AC302" s="7">
        <v>0</v>
      </c>
      <c r="AE302" s="13">
        <f t="shared" si="35"/>
        <v>2287703</v>
      </c>
      <c r="AG302" s="7">
        <f t="shared" si="36"/>
        <v>0</v>
      </c>
      <c r="AK302" s="7" t="str">
        <f t="shared" si="37"/>
        <v>London City SD</v>
      </c>
      <c r="AL302" s="7" t="str">
        <f>'St of Activities - GA Exp'!A302</f>
        <v>London City SD</v>
      </c>
      <c r="AM302" s="7" t="b">
        <f t="shared" si="38"/>
        <v>1</v>
      </c>
      <c r="AN302" s="7" t="str">
        <f t="shared" si="33"/>
        <v>Madison</v>
      </c>
      <c r="AO302" s="7" t="b">
        <f>C302='St of Activities - GA Exp'!C302</f>
        <v>1</v>
      </c>
    </row>
    <row r="303" spans="1:41">
      <c r="A303" s="12" t="s">
        <v>398</v>
      </c>
      <c r="B303" s="12"/>
      <c r="C303" s="12" t="s">
        <v>44</v>
      </c>
      <c r="D303" s="12"/>
      <c r="E303" s="12">
        <v>44263</v>
      </c>
      <c r="G303" s="7">
        <f>6798476+4301220</f>
        <v>11099696</v>
      </c>
      <c r="I303" s="7">
        <v>0</v>
      </c>
      <c r="K303" s="2">
        <f t="shared" si="39"/>
        <v>21863644</v>
      </c>
      <c r="M303" s="7">
        <v>32963340</v>
      </c>
      <c r="O303" s="2">
        <f t="shared" si="34"/>
        <v>15240891</v>
      </c>
      <c r="Q303" s="7">
        <v>18049268</v>
      </c>
      <c r="S303" s="7">
        <v>33290159</v>
      </c>
      <c r="U303" s="7">
        <v>0</v>
      </c>
      <c r="W303" s="7">
        <v>0</v>
      </c>
      <c r="Y303" s="7">
        <v>0</v>
      </c>
      <c r="AA303" s="7">
        <v>0</v>
      </c>
      <c r="AC303" s="7">
        <v>-326819</v>
      </c>
      <c r="AE303" s="13">
        <f t="shared" si="35"/>
        <v>-326819</v>
      </c>
      <c r="AG303" s="7">
        <f t="shared" si="36"/>
        <v>0</v>
      </c>
      <c r="AI303" s="83"/>
      <c r="AK303" s="7" t="str">
        <f t="shared" si="37"/>
        <v>Lorain City SD</v>
      </c>
      <c r="AL303" s="7" t="str">
        <f>'St of Activities - GA Exp'!A303</f>
        <v>Lorain City SD</v>
      </c>
      <c r="AM303" s="7" t="b">
        <f t="shared" si="38"/>
        <v>1</v>
      </c>
      <c r="AN303" s="7" t="str">
        <f t="shared" si="33"/>
        <v>Lorain</v>
      </c>
      <c r="AO303" s="7" t="b">
        <f>C303='St of Activities - GA Exp'!C303</f>
        <v>1</v>
      </c>
    </row>
    <row r="304" spans="1:41">
      <c r="A304" s="12" t="s">
        <v>543</v>
      </c>
      <c r="B304" s="12"/>
      <c r="C304" s="12" t="s">
        <v>64</v>
      </c>
      <c r="D304" s="12"/>
      <c r="E304" s="12">
        <v>50203</v>
      </c>
      <c r="G304" s="7">
        <v>589444</v>
      </c>
      <c r="I304" s="7">
        <v>50873</v>
      </c>
      <c r="K304" s="2">
        <f t="shared" si="39"/>
        <v>4615245</v>
      </c>
      <c r="M304" s="7">
        <v>5255562</v>
      </c>
      <c r="O304" s="2">
        <f t="shared" si="34"/>
        <v>678829</v>
      </c>
      <c r="Q304" s="7">
        <f>3553098+1022770</f>
        <v>4575868</v>
      </c>
      <c r="S304" s="7">
        <v>5254697</v>
      </c>
      <c r="U304" s="7">
        <f>30254+2221</f>
        <v>32475</v>
      </c>
      <c r="W304" s="7">
        <v>50873</v>
      </c>
      <c r="Y304" s="7">
        <v>6160</v>
      </c>
      <c r="AA304" s="7">
        <f>8892+56735+21308+27497+9959+682</f>
        <v>125073</v>
      </c>
      <c r="AC304" s="7">
        <v>-213716</v>
      </c>
      <c r="AE304" s="13">
        <f t="shared" si="35"/>
        <v>865</v>
      </c>
      <c r="AG304" s="7">
        <f t="shared" si="36"/>
        <v>0</v>
      </c>
      <c r="AK304" s="7" t="str">
        <f t="shared" si="37"/>
        <v>Lordstown Local SD</v>
      </c>
      <c r="AL304" s="7" t="str">
        <f>'St of Activities - GA Exp'!A304</f>
        <v>Lordstown Local SD</v>
      </c>
      <c r="AM304" s="7" t="b">
        <f t="shared" si="38"/>
        <v>1</v>
      </c>
      <c r="AN304" s="7" t="str">
        <f t="shared" si="33"/>
        <v>Trumbull</v>
      </c>
      <c r="AO304" s="7" t="b">
        <f>C304='St of Activities - GA Exp'!C304</f>
        <v>1</v>
      </c>
    </row>
    <row r="305" spans="1:41">
      <c r="A305" s="12" t="s">
        <v>719</v>
      </c>
      <c r="B305" s="12"/>
      <c r="C305" s="12" t="s">
        <v>11</v>
      </c>
      <c r="D305" s="12"/>
      <c r="E305" s="12">
        <v>45468</v>
      </c>
      <c r="G305" s="7">
        <v>3398289</v>
      </c>
      <c r="I305" s="7">
        <v>0</v>
      </c>
      <c r="K305" s="2">
        <f t="shared" si="39"/>
        <v>4979525</v>
      </c>
      <c r="M305" s="7">
        <v>8377814</v>
      </c>
      <c r="O305" s="2">
        <f t="shared" si="34"/>
        <v>1511563</v>
      </c>
      <c r="Q305" s="7">
        <f>196120+2978847</f>
        <v>3174967</v>
      </c>
      <c r="S305" s="7">
        <v>4686530</v>
      </c>
      <c r="U305" s="7">
        <v>40050</v>
      </c>
      <c r="W305" s="7">
        <v>897</v>
      </c>
      <c r="Y305" s="7">
        <f>20820+2684+11000</f>
        <v>34504</v>
      </c>
      <c r="AA305" s="7">
        <f>35914+1843</f>
        <v>37757</v>
      </c>
      <c r="AC305" s="7">
        <v>3578076</v>
      </c>
      <c r="AE305" s="13">
        <f t="shared" si="35"/>
        <v>3691284</v>
      </c>
      <c r="AG305" s="7">
        <f t="shared" si="36"/>
        <v>0</v>
      </c>
      <c r="AI305" s="7" t="s">
        <v>914</v>
      </c>
      <c r="AK305" s="7" t="str">
        <f t="shared" si="37"/>
        <v>Loudonville-Perrysville Exempted Village SD</v>
      </c>
      <c r="AL305" s="7" t="str">
        <f>'St of Activities - GA Exp'!A305</f>
        <v>Loudonville-Perrysville Exempted Village SD</v>
      </c>
      <c r="AM305" s="7" t="b">
        <f t="shared" si="38"/>
        <v>1</v>
      </c>
      <c r="AN305" s="7" t="str">
        <f t="shared" si="33"/>
        <v>Ashland</v>
      </c>
      <c r="AO305" s="7" t="b">
        <f>C305='St of Activities - GA Exp'!C305</f>
        <v>1</v>
      </c>
    </row>
    <row r="306" spans="1:41">
      <c r="A306" s="12" t="s">
        <v>514</v>
      </c>
      <c r="B306" s="12"/>
      <c r="C306" s="12" t="s">
        <v>62</v>
      </c>
      <c r="D306" s="12"/>
      <c r="E306" s="12">
        <v>49874</v>
      </c>
      <c r="G306" s="7">
        <v>4297028</v>
      </c>
      <c r="I306" s="7">
        <v>172004</v>
      </c>
      <c r="K306" s="2">
        <f t="shared" si="39"/>
        <v>6716525</v>
      </c>
      <c r="M306" s="7">
        <v>11185557</v>
      </c>
      <c r="O306" s="2">
        <f t="shared" si="34"/>
        <v>3310762</v>
      </c>
      <c r="Q306" s="7">
        <v>5703710</v>
      </c>
      <c r="S306" s="7">
        <v>9014472</v>
      </c>
      <c r="U306" s="7">
        <v>44736</v>
      </c>
      <c r="W306" s="7">
        <v>168663</v>
      </c>
      <c r="Y306" s="7">
        <v>0</v>
      </c>
      <c r="AA306" s="7">
        <v>1957686</v>
      </c>
      <c r="AC306" s="7">
        <v>0</v>
      </c>
      <c r="AE306" s="13">
        <f t="shared" si="35"/>
        <v>2171085</v>
      </c>
      <c r="AG306" s="7">
        <f t="shared" si="36"/>
        <v>0</v>
      </c>
      <c r="AI306" s="7" t="s">
        <v>923</v>
      </c>
      <c r="AK306" s="7" t="str">
        <f t="shared" si="37"/>
        <v>Louisville City SD</v>
      </c>
      <c r="AL306" s="7" t="str">
        <f>'St of Activities - GA Exp'!A306</f>
        <v>Louisville City SD</v>
      </c>
      <c r="AM306" s="7" t="b">
        <f t="shared" si="38"/>
        <v>1</v>
      </c>
      <c r="AN306" s="7" t="str">
        <f t="shared" si="33"/>
        <v>Stark</v>
      </c>
      <c r="AO306" s="7" t="b">
        <f>C306='St of Activities - GA Exp'!C306</f>
        <v>1</v>
      </c>
    </row>
    <row r="307" spans="1:41">
      <c r="A307" s="12" t="s">
        <v>332</v>
      </c>
      <c r="B307" s="12"/>
      <c r="C307" s="12" t="s">
        <v>32</v>
      </c>
      <c r="D307" s="12"/>
      <c r="E307" s="12">
        <v>44271</v>
      </c>
      <c r="G307" s="7">
        <v>6592513</v>
      </c>
      <c r="I307" s="7">
        <v>0</v>
      </c>
      <c r="K307" s="2">
        <f t="shared" si="39"/>
        <v>23929922</v>
      </c>
      <c r="M307" s="7">
        <v>30522435</v>
      </c>
      <c r="O307" s="2">
        <f t="shared" si="34"/>
        <v>5166321</v>
      </c>
      <c r="Q307" s="7">
        <v>16088509</v>
      </c>
      <c r="S307" s="7">
        <v>21254830</v>
      </c>
      <c r="U307" s="7">
        <v>0</v>
      </c>
      <c r="W307" s="7">
        <v>0</v>
      </c>
      <c r="Y307" s="7">
        <v>0</v>
      </c>
      <c r="AA307" s="7">
        <v>77364</v>
      </c>
      <c r="AC307" s="7">
        <v>9190241</v>
      </c>
      <c r="AE307" s="13">
        <f t="shared" si="35"/>
        <v>9267605</v>
      </c>
      <c r="AG307" s="7">
        <f t="shared" si="36"/>
        <v>0</v>
      </c>
      <c r="AK307" s="7" t="str">
        <f t="shared" si="37"/>
        <v>Loveland City SD</v>
      </c>
      <c r="AL307" s="7" t="str">
        <f>'St of Activities - GA Exp'!A307</f>
        <v>Loveland City SD</v>
      </c>
      <c r="AM307" s="7" t="b">
        <f t="shared" si="38"/>
        <v>1</v>
      </c>
      <c r="AN307" s="7" t="str">
        <f t="shared" si="33"/>
        <v>Hamilton</v>
      </c>
      <c r="AO307" s="7" t="b">
        <f>C307='St of Activities - GA Exp'!C307</f>
        <v>1</v>
      </c>
    </row>
    <row r="308" spans="1:41">
      <c r="A308" s="12" t="s">
        <v>720</v>
      </c>
      <c r="B308" s="12"/>
      <c r="C308" s="12" t="s">
        <v>45</v>
      </c>
      <c r="D308" s="12"/>
      <c r="E308" s="12">
        <v>48330</v>
      </c>
      <c r="G308" s="7">
        <v>2054891</v>
      </c>
      <c r="I308" s="7">
        <v>157777</v>
      </c>
      <c r="K308" s="2">
        <f t="shared" si="39"/>
        <v>1640601</v>
      </c>
      <c r="M308" s="7">
        <v>3853269</v>
      </c>
      <c r="O308" s="2">
        <f t="shared" si="34"/>
        <v>550040</v>
      </c>
      <c r="Q308" s="7">
        <f>103211+812000</f>
        <v>915211</v>
      </c>
      <c r="S308" s="7">
        <v>1465251</v>
      </c>
      <c r="U308" s="7">
        <f>1993+716957</f>
        <v>718950</v>
      </c>
      <c r="W308" s="7">
        <f>51454+106323</f>
        <v>157777</v>
      </c>
      <c r="Y308" s="7">
        <v>167336</v>
      </c>
      <c r="AA308" s="7">
        <f>5553+381+112395</f>
        <v>118329</v>
      </c>
      <c r="AC308" s="7">
        <v>1225626</v>
      </c>
      <c r="AE308" s="13">
        <f t="shared" si="35"/>
        <v>2388018</v>
      </c>
      <c r="AG308" s="7">
        <f t="shared" si="36"/>
        <v>0</v>
      </c>
      <c r="AK308" s="7" t="str">
        <f t="shared" si="37"/>
        <v xml:space="preserve">Lowellville Local SD </v>
      </c>
      <c r="AL308" s="7" t="str">
        <f>'St of Activities - GA Exp'!A308</f>
        <v xml:space="preserve">Lowellville Local SD </v>
      </c>
      <c r="AM308" s="7" t="b">
        <f t="shared" si="38"/>
        <v>1</v>
      </c>
      <c r="AN308" s="7" t="str">
        <f t="shared" si="33"/>
        <v>Mahoning</v>
      </c>
      <c r="AO308" s="7" t="b">
        <f>C308='St of Activities - GA Exp'!C308</f>
        <v>1</v>
      </c>
    </row>
    <row r="309" spans="1:41">
      <c r="A309" s="12" t="s">
        <v>924</v>
      </c>
      <c r="B309" s="12"/>
      <c r="C309" s="12" t="s">
        <v>110</v>
      </c>
      <c r="D309" s="12"/>
      <c r="E309" s="12">
        <v>49445</v>
      </c>
      <c r="G309" s="7">
        <v>3091180</v>
      </c>
      <c r="I309" s="7">
        <v>386921</v>
      </c>
      <c r="K309" s="2">
        <f t="shared" si="39"/>
        <v>2452095</v>
      </c>
      <c r="M309" s="7">
        <v>5930196</v>
      </c>
      <c r="O309" s="2">
        <f t="shared" si="34"/>
        <v>542353</v>
      </c>
      <c r="Q309" s="7">
        <f>101257+1693362</f>
        <v>1794619</v>
      </c>
      <c r="S309" s="7">
        <v>2336972</v>
      </c>
      <c r="U309" s="7">
        <v>1741</v>
      </c>
      <c r="W309" s="7">
        <v>386921</v>
      </c>
      <c r="Y309" s="7">
        <v>0</v>
      </c>
      <c r="AA309" s="7">
        <f>43801+210205+218+34</f>
        <v>254258</v>
      </c>
      <c r="AC309" s="7">
        <v>2950304</v>
      </c>
      <c r="AE309" s="13">
        <f t="shared" si="35"/>
        <v>3593224</v>
      </c>
      <c r="AG309" s="7">
        <f t="shared" si="36"/>
        <v>0</v>
      </c>
      <c r="AK309" s="7" t="str">
        <f t="shared" si="37"/>
        <v>Lucas Local SD</v>
      </c>
      <c r="AL309" s="7" t="str">
        <f>'St of Activities - GA Exp'!A309</f>
        <v>Lucas Local SD</v>
      </c>
      <c r="AM309" s="7" t="b">
        <f t="shared" si="38"/>
        <v>1</v>
      </c>
      <c r="AN309" s="7" t="str">
        <f t="shared" si="33"/>
        <v>Richland</v>
      </c>
      <c r="AO309" s="7" t="b">
        <f>C309='St of Activities - GA Exp'!C309</f>
        <v>1</v>
      </c>
    </row>
    <row r="310" spans="1:41">
      <c r="A310" s="12" t="s">
        <v>361</v>
      </c>
      <c r="B310" s="12"/>
      <c r="C310" s="12" t="s">
        <v>358</v>
      </c>
      <c r="D310" s="12"/>
      <c r="E310" s="12">
        <v>47639</v>
      </c>
      <c r="G310" s="7">
        <v>7445945</v>
      </c>
      <c r="I310" s="7">
        <v>30409</v>
      </c>
      <c r="K310" s="2">
        <f t="shared" si="39"/>
        <v>1920862</v>
      </c>
      <c r="M310" s="7">
        <v>9397216</v>
      </c>
      <c r="O310" s="2">
        <f t="shared" si="34"/>
        <v>1243903</v>
      </c>
      <c r="Q310" s="7">
        <v>1761384</v>
      </c>
      <c r="S310" s="7">
        <v>3005287</v>
      </c>
      <c r="U310" s="7">
        <v>0</v>
      </c>
      <c r="W310" s="7">
        <v>0</v>
      </c>
      <c r="Y310" s="7">
        <v>11000</v>
      </c>
      <c r="AA310" s="7">
        <v>209334</v>
      </c>
      <c r="AC310" s="7">
        <v>6171595</v>
      </c>
      <c r="AE310" s="13">
        <f t="shared" si="35"/>
        <v>6391929</v>
      </c>
      <c r="AG310" s="7">
        <f t="shared" si="36"/>
        <v>0</v>
      </c>
      <c r="AI310" s="7" t="s">
        <v>927</v>
      </c>
      <c r="AK310" s="7" t="str">
        <f t="shared" si="37"/>
        <v>Lynchburg-Clay Local SD</v>
      </c>
      <c r="AL310" s="7" t="str">
        <f>'St of Activities - GA Exp'!A310</f>
        <v>Lynchburg-Clay Local SD</v>
      </c>
      <c r="AM310" s="7" t="b">
        <f t="shared" si="38"/>
        <v>1</v>
      </c>
      <c r="AN310" s="7" t="str">
        <f t="shared" si="33"/>
        <v>Highland</v>
      </c>
      <c r="AO310" s="7" t="b">
        <f>C310='St of Activities - GA Exp'!C310</f>
        <v>1</v>
      </c>
    </row>
    <row r="311" spans="1:41">
      <c r="A311" s="12" t="s">
        <v>750</v>
      </c>
      <c r="B311" s="12"/>
      <c r="C311" s="12" t="s">
        <v>50</v>
      </c>
      <c r="D311" s="12"/>
      <c r="E311" s="12">
        <v>48702</v>
      </c>
      <c r="G311" s="7">
        <v>11405447</v>
      </c>
      <c r="I311" s="7">
        <v>0</v>
      </c>
      <c r="K311" s="2">
        <f t="shared" si="39"/>
        <v>8661574</v>
      </c>
      <c r="M311" s="7">
        <v>20067021</v>
      </c>
      <c r="O311" s="2">
        <f t="shared" si="34"/>
        <v>4753367</v>
      </c>
      <c r="Q311" s="7">
        <v>7704390</v>
      </c>
      <c r="S311" s="7">
        <v>12457757</v>
      </c>
      <c r="U311" s="7">
        <v>0</v>
      </c>
      <c r="W311" s="7">
        <v>0</v>
      </c>
      <c r="Y311" s="7">
        <v>0</v>
      </c>
      <c r="AA311" s="7">
        <v>460256</v>
      </c>
      <c r="AC311" s="7">
        <v>7149008</v>
      </c>
      <c r="AE311" s="13">
        <f t="shared" si="35"/>
        <v>7609264</v>
      </c>
      <c r="AG311" s="7">
        <f t="shared" si="36"/>
        <v>0</v>
      </c>
      <c r="AK311" s="7" t="str">
        <f t="shared" si="37"/>
        <v xml:space="preserve">Mad River Local SD </v>
      </c>
      <c r="AL311" s="7" t="str">
        <f>'St of Activities - GA Exp'!A311</f>
        <v xml:space="preserve">Mad River Local SD </v>
      </c>
      <c r="AM311" s="7" t="b">
        <f t="shared" si="38"/>
        <v>1</v>
      </c>
      <c r="AN311" s="7" t="str">
        <f t="shared" si="33"/>
        <v>Montgomery</v>
      </c>
      <c r="AO311" s="7" t="b">
        <f>C311='St of Activities - GA Exp'!C311</f>
        <v>1</v>
      </c>
    </row>
    <row r="312" spans="1:41">
      <c r="A312" s="12" t="s">
        <v>333</v>
      </c>
      <c r="B312" s="12"/>
      <c r="C312" s="12" t="s">
        <v>32</v>
      </c>
      <c r="D312" s="12"/>
      <c r="E312" s="12">
        <v>44289</v>
      </c>
      <c r="G312" s="7">
        <v>5597971</v>
      </c>
      <c r="I312" s="7">
        <v>293796</v>
      </c>
      <c r="K312" s="2">
        <f t="shared" si="39"/>
        <v>11382381</v>
      </c>
      <c r="M312" s="7">
        <v>17274148</v>
      </c>
      <c r="O312" s="2">
        <f t="shared" si="34"/>
        <v>2438253</v>
      </c>
      <c r="Q312" s="7">
        <v>6930363</v>
      </c>
      <c r="S312" s="7">
        <v>9368616</v>
      </c>
      <c r="W312" s="7">
        <v>269283</v>
      </c>
      <c r="Y312" s="7">
        <v>0</v>
      </c>
      <c r="AA312" s="7">
        <v>0</v>
      </c>
      <c r="AC312" s="7">
        <v>7636249</v>
      </c>
      <c r="AE312" s="13">
        <f t="shared" si="35"/>
        <v>7905532</v>
      </c>
      <c r="AG312" s="7">
        <f t="shared" si="36"/>
        <v>0</v>
      </c>
      <c r="AK312" s="7" t="str">
        <f t="shared" si="37"/>
        <v>Madeira City SD</v>
      </c>
      <c r="AL312" s="7" t="str">
        <f>'St of Activities - GA Exp'!A312</f>
        <v>Madeira City SD</v>
      </c>
      <c r="AM312" s="7" t="b">
        <f t="shared" si="38"/>
        <v>1</v>
      </c>
      <c r="AN312" s="7" t="str">
        <f t="shared" si="33"/>
        <v>Hamilton</v>
      </c>
      <c r="AO312" s="7" t="b">
        <f>C312='St of Activities - GA Exp'!C312</f>
        <v>1</v>
      </c>
    </row>
    <row r="313" spans="1:41">
      <c r="A313" s="12" t="s">
        <v>227</v>
      </c>
      <c r="B313" s="12"/>
      <c r="C313" s="12" t="s">
        <v>223</v>
      </c>
      <c r="D313" s="12"/>
      <c r="E313" s="12">
        <v>46128</v>
      </c>
      <c r="G313" s="7">
        <v>2084579</v>
      </c>
      <c r="I313" s="7">
        <v>0</v>
      </c>
      <c r="K313" s="2">
        <f t="shared" si="39"/>
        <v>5045061</v>
      </c>
      <c r="M313" s="7">
        <v>7129640</v>
      </c>
      <c r="O313" s="2">
        <f t="shared" si="34"/>
        <v>1042691</v>
      </c>
      <c r="Q313" s="7">
        <v>4556192</v>
      </c>
      <c r="S313" s="7">
        <v>5598883</v>
      </c>
      <c r="U313" s="7">
        <v>0</v>
      </c>
      <c r="W313" s="7">
        <v>0</v>
      </c>
      <c r="Y313" s="7">
        <v>0</v>
      </c>
      <c r="AA313" s="7">
        <v>209270</v>
      </c>
      <c r="AC313" s="7">
        <v>1321487</v>
      </c>
      <c r="AE313" s="13">
        <f t="shared" si="35"/>
        <v>1530757</v>
      </c>
      <c r="AG313" s="7">
        <f t="shared" si="36"/>
        <v>0</v>
      </c>
      <c r="AK313" s="7" t="str">
        <f t="shared" si="37"/>
        <v>Madison Local SD</v>
      </c>
      <c r="AL313" s="7" t="str">
        <f>'St of Activities - GA Exp'!A313</f>
        <v>Madison Local SD</v>
      </c>
      <c r="AM313" s="7" t="b">
        <f t="shared" si="38"/>
        <v>1</v>
      </c>
      <c r="AN313" s="7" t="str">
        <f t="shared" si="33"/>
        <v>Butler</v>
      </c>
      <c r="AO313" s="7" t="b">
        <f>C313='St of Activities - GA Exp'!C313</f>
        <v>1</v>
      </c>
    </row>
    <row r="314" spans="1:41" hidden="1">
      <c r="A314" s="12" t="s">
        <v>772</v>
      </c>
      <c r="B314" s="12"/>
      <c r="C314" s="12" t="s">
        <v>41</v>
      </c>
      <c r="D314" s="12"/>
      <c r="E314" s="12"/>
      <c r="K314" s="2">
        <f t="shared" si="39"/>
        <v>0</v>
      </c>
      <c r="O314" s="2">
        <f t="shared" si="34"/>
        <v>0</v>
      </c>
      <c r="AE314" s="13">
        <f t="shared" si="35"/>
        <v>0</v>
      </c>
      <c r="AG314" s="7">
        <f t="shared" si="36"/>
        <v>0</v>
      </c>
      <c r="AI314" s="7" t="s">
        <v>839</v>
      </c>
      <c r="AK314" s="7" t="str">
        <f t="shared" si="37"/>
        <v xml:space="preserve">Madison Local SD (CASH)  </v>
      </c>
      <c r="AL314" s="7" t="str">
        <f>'St of Activities - GA Exp'!A314</f>
        <v xml:space="preserve">Madison Local SD (CASH)  </v>
      </c>
      <c r="AM314" s="7" t="b">
        <f t="shared" si="38"/>
        <v>1</v>
      </c>
      <c r="AN314" s="7" t="str">
        <f t="shared" si="33"/>
        <v>Lake</v>
      </c>
      <c r="AO314" s="7" t="b">
        <f>C314='St of Activities - GA Exp'!C314</f>
        <v>1</v>
      </c>
    </row>
    <row r="315" spans="1:41">
      <c r="A315" s="12" t="s">
        <v>227</v>
      </c>
      <c r="B315" s="12"/>
      <c r="C315" s="12" t="s">
        <v>110</v>
      </c>
      <c r="D315" s="12"/>
      <c r="E315" s="12">
        <v>49452</v>
      </c>
      <c r="G315" s="7">
        <v>6946527</v>
      </c>
      <c r="I315" s="7">
        <v>0</v>
      </c>
      <c r="K315" s="2">
        <f t="shared" si="39"/>
        <v>10183166</v>
      </c>
      <c r="M315" s="7">
        <v>17129693</v>
      </c>
      <c r="O315" s="2">
        <f t="shared" si="34"/>
        <v>3451617</v>
      </c>
      <c r="Q315" s="7">
        <f>1335300+7005341</f>
        <v>8340641</v>
      </c>
      <c r="S315" s="7">
        <v>11792258</v>
      </c>
      <c r="U315" s="7">
        <v>0</v>
      </c>
      <c r="W315" s="7">
        <v>0</v>
      </c>
      <c r="Y315" s="7">
        <v>0</v>
      </c>
      <c r="AA315" s="7">
        <f>70497+3000+50271+68209</f>
        <v>191977</v>
      </c>
      <c r="AC315" s="7">
        <v>5145458</v>
      </c>
      <c r="AE315" s="13">
        <f t="shared" si="35"/>
        <v>5337435</v>
      </c>
      <c r="AG315" s="7">
        <f t="shared" si="36"/>
        <v>0</v>
      </c>
      <c r="AK315" s="7" t="str">
        <f t="shared" si="37"/>
        <v>Madison Local SD</v>
      </c>
      <c r="AL315" s="7" t="str">
        <f>'St of Activities - GA Exp'!A315</f>
        <v>Madison Local SD</v>
      </c>
      <c r="AM315" s="7" t="b">
        <f t="shared" si="38"/>
        <v>1</v>
      </c>
      <c r="AN315" s="7" t="str">
        <f t="shared" si="33"/>
        <v>Richland</v>
      </c>
      <c r="AO315" s="7" t="b">
        <f>C315='St of Activities - GA Exp'!C315</f>
        <v>1</v>
      </c>
    </row>
    <row r="316" spans="1:41">
      <c r="A316" s="12" t="s">
        <v>730</v>
      </c>
      <c r="B316" s="12"/>
      <c r="C316" s="12" t="s">
        <v>411</v>
      </c>
      <c r="D316" s="12"/>
      <c r="E316" s="12"/>
      <c r="G316" s="7">
        <v>9296214</v>
      </c>
      <c r="I316" s="7">
        <v>283251</v>
      </c>
      <c r="K316" s="2">
        <f t="shared" si="39"/>
        <v>5962075</v>
      </c>
      <c r="M316" s="7">
        <v>15541540</v>
      </c>
      <c r="O316" s="2">
        <f t="shared" si="34"/>
        <v>1406086</v>
      </c>
      <c r="Q316" s="7">
        <v>3401226</v>
      </c>
      <c r="S316" s="7">
        <v>4807312</v>
      </c>
      <c r="U316" s="7">
        <v>0</v>
      </c>
      <c r="W316" s="7">
        <v>283251</v>
      </c>
      <c r="Y316" s="7">
        <v>970</v>
      </c>
      <c r="AA316" s="7">
        <v>164054</v>
      </c>
      <c r="AC316" s="7">
        <v>10285953</v>
      </c>
      <c r="AE316" s="13">
        <f t="shared" si="35"/>
        <v>10734228</v>
      </c>
      <c r="AG316" s="7">
        <f t="shared" si="36"/>
        <v>0</v>
      </c>
      <c r="AK316" s="7" t="str">
        <f t="shared" si="37"/>
        <v xml:space="preserve">Madison Plains Local SD </v>
      </c>
      <c r="AL316" s="7" t="str">
        <f>'St of Activities - GA Exp'!A316</f>
        <v xml:space="preserve">Madison Plains Local SD </v>
      </c>
      <c r="AM316" s="7" t="b">
        <f t="shared" si="38"/>
        <v>1</v>
      </c>
      <c r="AN316" s="7" t="str">
        <f t="shared" si="33"/>
        <v>Madison</v>
      </c>
      <c r="AO316" s="7" t="b">
        <f>C316='St of Activities - GA Exp'!C316</f>
        <v>1</v>
      </c>
    </row>
    <row r="317" spans="1:41">
      <c r="A317" s="12" t="s">
        <v>630</v>
      </c>
      <c r="B317" s="12"/>
      <c r="C317" s="12" t="s">
        <v>201</v>
      </c>
      <c r="D317" s="12"/>
      <c r="E317" s="12"/>
      <c r="G317" s="7">
        <v>3745229</v>
      </c>
      <c r="I317" s="7">
        <v>0</v>
      </c>
      <c r="K317" s="2">
        <f t="shared" si="39"/>
        <v>6152668</v>
      </c>
      <c r="M317" s="7">
        <v>9897897</v>
      </c>
      <c r="O317" s="2">
        <f t="shared" si="34"/>
        <v>897624</v>
      </c>
      <c r="Q317" s="7">
        <v>5914872</v>
      </c>
      <c r="S317" s="7">
        <v>6812496</v>
      </c>
      <c r="U317" s="7">
        <v>52993</v>
      </c>
      <c r="W317" s="7">
        <v>0</v>
      </c>
      <c r="Y317" s="7">
        <v>235614</v>
      </c>
      <c r="AA317" s="7">
        <v>0</v>
      </c>
      <c r="AC317" s="7">
        <v>2796794</v>
      </c>
      <c r="AE317" s="13">
        <f t="shared" si="35"/>
        <v>3085401</v>
      </c>
      <c r="AG317" s="7">
        <f t="shared" si="36"/>
        <v>0</v>
      </c>
      <c r="AK317" s="7" t="str">
        <f t="shared" si="37"/>
        <v>Manchester Local SD</v>
      </c>
      <c r="AL317" s="7" t="str">
        <f>'St of Activities - GA Exp'!A317</f>
        <v>Manchester Local SD</v>
      </c>
      <c r="AM317" s="7" t="b">
        <f t="shared" si="38"/>
        <v>1</v>
      </c>
      <c r="AN317" s="7" t="str">
        <f t="shared" si="33"/>
        <v>Adams</v>
      </c>
      <c r="AO317" s="7" t="b">
        <f>C317='St of Activities - GA Exp'!C317</f>
        <v>1</v>
      </c>
    </row>
    <row r="318" spans="1:41" hidden="1">
      <c r="A318" s="12" t="s">
        <v>930</v>
      </c>
      <c r="B318" s="12"/>
      <c r="C318" s="12" t="s">
        <v>63</v>
      </c>
      <c r="D318" s="12"/>
      <c r="E318" s="12"/>
      <c r="K318" s="2">
        <f t="shared" ref="K318" si="42">+M318-I318-G318</f>
        <v>0</v>
      </c>
      <c r="O318" s="2">
        <f t="shared" ref="O318" si="43">+S318-Q318</f>
        <v>0</v>
      </c>
      <c r="AE318" s="13">
        <f t="shared" ref="AE318" si="44">+Y318+W318++U318+AA318+AC318</f>
        <v>0</v>
      </c>
      <c r="AG318" s="7">
        <f t="shared" ref="AG318" si="45">+G318+I318+K318-O318-Q318-Y318-W318-U318-AA318-AC318</f>
        <v>0</v>
      </c>
      <c r="AI318" s="7" t="s">
        <v>931</v>
      </c>
      <c r="AK318" s="7" t="str">
        <f t="shared" ref="AK318" si="46">A318</f>
        <v>Manchester Local SD (CASH)</v>
      </c>
      <c r="AL318" s="7" t="str">
        <f>'St of Activities - GA Exp'!A318</f>
        <v>Manchester Local SD (CASH)</v>
      </c>
      <c r="AM318" s="7" t="b">
        <f t="shared" ref="AM318" si="47">AK318=AL318</f>
        <v>1</v>
      </c>
      <c r="AN318" s="7" t="str">
        <f t="shared" ref="AN318" si="48">C318</f>
        <v>Summit</v>
      </c>
      <c r="AO318" s="7" t="b">
        <f>C318='St of Activities - GA Exp'!C318</f>
        <v>1</v>
      </c>
    </row>
    <row r="319" spans="1:41">
      <c r="A319" s="12" t="s">
        <v>484</v>
      </c>
      <c r="B319" s="12"/>
      <c r="C319" s="12" t="s">
        <v>110</v>
      </c>
      <c r="D319" s="12"/>
      <c r="E319" s="12">
        <v>44297</v>
      </c>
      <c r="G319" s="7">
        <v>2495842</v>
      </c>
      <c r="I319" s="7">
        <v>4982</v>
      </c>
      <c r="K319" s="2">
        <f t="shared" si="39"/>
        <v>21148295</v>
      </c>
      <c r="M319" s="7">
        <v>23649119</v>
      </c>
      <c r="O319" s="2">
        <f t="shared" si="34"/>
        <v>5179400</v>
      </c>
      <c r="Q319" s="7">
        <f>13051157+4924178</f>
        <v>17975335</v>
      </c>
      <c r="S319" s="7">
        <v>23154735</v>
      </c>
      <c r="U319" s="7">
        <f>190310+22873</f>
        <v>213183</v>
      </c>
      <c r="W319" s="7">
        <v>4982</v>
      </c>
      <c r="Y319" s="7">
        <v>0</v>
      </c>
      <c r="AA319" s="7">
        <f>94197+293122+111348+332370+106058</f>
        <v>937095</v>
      </c>
      <c r="AC319" s="7">
        <v>-660876</v>
      </c>
      <c r="AE319" s="13">
        <f t="shared" si="35"/>
        <v>494384</v>
      </c>
      <c r="AG319" s="7">
        <f t="shared" si="36"/>
        <v>0</v>
      </c>
      <c r="AK319" s="7" t="str">
        <f t="shared" si="37"/>
        <v>Mansfield City SD</v>
      </c>
      <c r="AL319" s="7" t="str">
        <f>'St of Activities - GA Exp'!A319</f>
        <v>Mansfield City SD</v>
      </c>
      <c r="AM319" s="7" t="b">
        <f t="shared" si="38"/>
        <v>1</v>
      </c>
      <c r="AN319" s="7" t="str">
        <f t="shared" si="33"/>
        <v>Richland</v>
      </c>
      <c r="AO319" s="7" t="b">
        <f>C319='St of Activities - GA Exp'!C319</f>
        <v>1</v>
      </c>
    </row>
    <row r="320" spans="1:41">
      <c r="A320" s="12" t="s">
        <v>762</v>
      </c>
      <c r="B320" s="12"/>
      <c r="C320" s="12" t="s">
        <v>20</v>
      </c>
      <c r="D320" s="12"/>
      <c r="E320" s="12">
        <v>44305</v>
      </c>
      <c r="G320" s="7">
        <v>539278</v>
      </c>
      <c r="I320" s="7">
        <v>0</v>
      </c>
      <c r="K320" s="2">
        <f t="shared" si="39"/>
        <v>16183716</v>
      </c>
      <c r="M320" s="7">
        <v>16722994</v>
      </c>
      <c r="O320" s="2">
        <f t="shared" si="34"/>
        <v>4463788</v>
      </c>
      <c r="Q320" s="7">
        <v>13470778</v>
      </c>
      <c r="S320" s="7">
        <v>17934566</v>
      </c>
      <c r="U320" s="7">
        <v>0</v>
      </c>
      <c r="W320" s="7">
        <v>0</v>
      </c>
      <c r="Y320" s="7">
        <v>0</v>
      </c>
      <c r="AA320" s="7">
        <v>724316</v>
      </c>
      <c r="AC320" s="7">
        <v>-1935888</v>
      </c>
      <c r="AE320" s="13">
        <f t="shared" si="35"/>
        <v>-1211572</v>
      </c>
      <c r="AG320" s="7">
        <f t="shared" si="36"/>
        <v>0</v>
      </c>
      <c r="AK320" s="7" t="str">
        <f t="shared" si="37"/>
        <v xml:space="preserve">Maple Heights City SD </v>
      </c>
      <c r="AL320" s="7" t="str">
        <f>'St of Activities - GA Exp'!A320</f>
        <v xml:space="preserve">Maple Heights City SD </v>
      </c>
      <c r="AM320" s="7" t="b">
        <f t="shared" si="38"/>
        <v>1</v>
      </c>
      <c r="AN320" s="7" t="str">
        <f t="shared" si="33"/>
        <v>Cuyahoga</v>
      </c>
      <c r="AO320" s="7" t="b">
        <f>C320='St of Activities - GA Exp'!C320</f>
        <v>1</v>
      </c>
    </row>
    <row r="321" spans="1:41">
      <c r="A321" s="12" t="s">
        <v>206</v>
      </c>
      <c r="B321" s="12"/>
      <c r="C321" s="12" t="s">
        <v>11</v>
      </c>
      <c r="D321" s="12"/>
      <c r="E321" s="12">
        <v>45831</v>
      </c>
      <c r="G321" s="7">
        <f>1799966+5149</f>
        <v>1805115</v>
      </c>
      <c r="I321" s="7">
        <v>0</v>
      </c>
      <c r="K321" s="2">
        <f t="shared" si="39"/>
        <v>2371014</v>
      </c>
      <c r="M321" s="7">
        <v>4176129</v>
      </c>
      <c r="O321" s="2">
        <f t="shared" si="34"/>
        <v>816215</v>
      </c>
      <c r="Q321" s="7">
        <f>1487754+155031</f>
        <v>1642785</v>
      </c>
      <c r="S321" s="7">
        <v>2459000</v>
      </c>
      <c r="U321" s="7">
        <v>73541</v>
      </c>
      <c r="W321" s="7">
        <v>0</v>
      </c>
      <c r="Y321" s="7">
        <v>25604</v>
      </c>
      <c r="AA321" s="7">
        <f>850+5303+6633+8890</f>
        <v>21676</v>
      </c>
      <c r="AC321" s="7">
        <v>1596308</v>
      </c>
      <c r="AE321" s="13">
        <f t="shared" si="35"/>
        <v>1717129</v>
      </c>
      <c r="AG321" s="7">
        <f t="shared" si="36"/>
        <v>0</v>
      </c>
      <c r="AK321" s="7" t="str">
        <f t="shared" si="37"/>
        <v>Mapleton Local SD</v>
      </c>
      <c r="AL321" s="7" t="str">
        <f>'St of Activities - GA Exp'!A321</f>
        <v>Mapleton Local SD</v>
      </c>
      <c r="AM321" s="7" t="b">
        <f t="shared" si="38"/>
        <v>1</v>
      </c>
      <c r="AN321" s="7" t="str">
        <f t="shared" si="33"/>
        <v>Ashland</v>
      </c>
      <c r="AO321" s="7" t="b">
        <f>C321='St of Activities - GA Exp'!C321</f>
        <v>1</v>
      </c>
    </row>
    <row r="322" spans="1:41">
      <c r="A322" s="12" t="s">
        <v>544</v>
      </c>
      <c r="B322" s="12"/>
      <c r="C322" s="12" t="s">
        <v>64</v>
      </c>
      <c r="D322" s="12"/>
      <c r="E322" s="12">
        <v>50211</v>
      </c>
      <c r="G322" s="7">
        <v>2742151</v>
      </c>
      <c r="I322" s="7">
        <v>553461</v>
      </c>
      <c r="K322" s="2">
        <f t="shared" si="39"/>
        <v>2461887</v>
      </c>
      <c r="M322" s="7">
        <v>5757499</v>
      </c>
      <c r="O322" s="2">
        <f t="shared" si="34"/>
        <v>948808</v>
      </c>
      <c r="Q322" s="7">
        <v>2442180</v>
      </c>
      <c r="S322" s="7">
        <v>3390988</v>
      </c>
      <c r="U322" s="7">
        <v>2228</v>
      </c>
      <c r="W322" s="7">
        <v>553461</v>
      </c>
      <c r="Y322" s="7">
        <v>0</v>
      </c>
      <c r="AA322" s="7">
        <v>61829</v>
      </c>
      <c r="AC322" s="7">
        <v>1748993</v>
      </c>
      <c r="AE322" s="13">
        <f t="shared" si="35"/>
        <v>2366511</v>
      </c>
      <c r="AG322" s="7">
        <f t="shared" si="36"/>
        <v>0</v>
      </c>
      <c r="AK322" s="7" t="str">
        <f t="shared" si="37"/>
        <v>Maplewood Local SD</v>
      </c>
      <c r="AL322" s="7" t="str">
        <f>'St of Activities - GA Exp'!A322</f>
        <v>Maplewood Local SD</v>
      </c>
      <c r="AM322" s="7" t="b">
        <f t="shared" si="38"/>
        <v>1</v>
      </c>
      <c r="AN322" s="7" t="str">
        <f t="shared" si="33"/>
        <v>Trumbull</v>
      </c>
      <c r="AO322" s="7" t="b">
        <f>C322='St of Activities - GA Exp'!C322</f>
        <v>1</v>
      </c>
    </row>
    <row r="323" spans="1:41">
      <c r="A323" s="12" t="s">
        <v>294</v>
      </c>
      <c r="B323" s="12"/>
      <c r="C323" s="12" t="s">
        <v>24</v>
      </c>
      <c r="D323" s="12"/>
      <c r="E323" s="12">
        <v>46805</v>
      </c>
      <c r="G323" s="7">
        <v>532987</v>
      </c>
      <c r="I323" s="7">
        <v>0</v>
      </c>
      <c r="K323" s="2">
        <f t="shared" si="39"/>
        <v>5910971</v>
      </c>
      <c r="M323" s="7">
        <v>6443958</v>
      </c>
      <c r="O323" s="2">
        <f t="shared" si="34"/>
        <v>1407701</v>
      </c>
      <c r="Q323" s="7">
        <f>4309824+413215</f>
        <v>4723039</v>
      </c>
      <c r="S323" s="7">
        <v>6130740</v>
      </c>
      <c r="U323" s="7">
        <v>50000</v>
      </c>
      <c r="W323" s="7">
        <v>0</v>
      </c>
      <c r="Y323" s="7">
        <v>39115</v>
      </c>
      <c r="AA323" s="7">
        <f>12761+66647</f>
        <v>79408</v>
      </c>
      <c r="AC323" s="7">
        <v>144695</v>
      </c>
      <c r="AE323" s="13">
        <f t="shared" si="35"/>
        <v>313218</v>
      </c>
      <c r="AG323" s="7">
        <f t="shared" si="36"/>
        <v>0</v>
      </c>
      <c r="AK323" s="7" t="str">
        <f t="shared" si="37"/>
        <v>Margaretta Local SD</v>
      </c>
      <c r="AL323" s="7" t="str">
        <f>'St of Activities - GA Exp'!A323</f>
        <v>Margaretta Local SD</v>
      </c>
      <c r="AM323" s="7" t="b">
        <f t="shared" si="38"/>
        <v>1</v>
      </c>
      <c r="AN323" s="7" t="str">
        <f t="shared" si="33"/>
        <v>Erie</v>
      </c>
      <c r="AO323" s="7" t="b">
        <f>C323='St of Activities - GA Exp'!C323</f>
        <v>1</v>
      </c>
    </row>
    <row r="324" spans="1:41">
      <c r="A324" s="12" t="s">
        <v>334</v>
      </c>
      <c r="B324" s="12"/>
      <c r="C324" s="12" t="s">
        <v>32</v>
      </c>
      <c r="D324" s="12"/>
      <c r="E324" s="12">
        <v>44313</v>
      </c>
      <c r="G324" s="7">
        <v>6462710</v>
      </c>
      <c r="I324" s="7">
        <v>140000</v>
      </c>
      <c r="K324" s="2">
        <f t="shared" si="39"/>
        <v>14993288</v>
      </c>
      <c r="M324" s="7">
        <v>21595998</v>
      </c>
      <c r="O324" s="2">
        <f t="shared" si="34"/>
        <v>2401547</v>
      </c>
      <c r="Q324" s="7">
        <v>8631159</v>
      </c>
      <c r="S324" s="7">
        <v>11032706</v>
      </c>
      <c r="U324" s="7">
        <v>0</v>
      </c>
      <c r="W324" s="7">
        <v>140000</v>
      </c>
      <c r="Y324" s="7">
        <v>0</v>
      </c>
      <c r="AA324" s="7">
        <v>0</v>
      </c>
      <c r="AC324" s="7">
        <v>10423292</v>
      </c>
      <c r="AE324" s="13">
        <f t="shared" si="35"/>
        <v>10563292</v>
      </c>
      <c r="AG324" s="7">
        <f t="shared" si="36"/>
        <v>0</v>
      </c>
      <c r="AI324" s="7" t="s">
        <v>914</v>
      </c>
      <c r="AK324" s="7" t="str">
        <f t="shared" si="37"/>
        <v>Mariemont City SD</v>
      </c>
      <c r="AL324" s="7" t="str">
        <f>'St of Activities - GA Exp'!A324</f>
        <v>Mariemont City SD</v>
      </c>
      <c r="AM324" s="7" t="b">
        <f t="shared" si="38"/>
        <v>1</v>
      </c>
      <c r="AN324" s="7" t="str">
        <f t="shared" si="33"/>
        <v>Hamilton</v>
      </c>
      <c r="AO324" s="7" t="b">
        <f>C324='St of Activities - GA Exp'!C324</f>
        <v>1</v>
      </c>
    </row>
    <row r="325" spans="1:41" hidden="1">
      <c r="A325" s="12" t="s">
        <v>638</v>
      </c>
      <c r="B325" s="12"/>
      <c r="C325" s="12" t="s">
        <v>70</v>
      </c>
      <c r="D325" s="12"/>
      <c r="E325" s="12">
        <v>44321</v>
      </c>
      <c r="K325" s="2">
        <f t="shared" si="39"/>
        <v>0</v>
      </c>
      <c r="O325" s="2">
        <f t="shared" si="34"/>
        <v>0</v>
      </c>
      <c r="AE325" s="13">
        <f t="shared" si="35"/>
        <v>0</v>
      </c>
      <c r="AG325" s="7">
        <f t="shared" si="36"/>
        <v>0</v>
      </c>
      <c r="AI325" s="7" t="s">
        <v>839</v>
      </c>
      <c r="AK325" s="7" t="str">
        <f t="shared" si="37"/>
        <v>Marietta City SD (CASH)</v>
      </c>
      <c r="AL325" s="7" t="str">
        <f>'St of Activities - GA Exp'!A325</f>
        <v>Marietta City SD (CASH)</v>
      </c>
      <c r="AM325" s="7" t="b">
        <f t="shared" si="38"/>
        <v>1</v>
      </c>
      <c r="AN325" s="7" t="str">
        <f t="shared" si="33"/>
        <v>Washington</v>
      </c>
      <c r="AO325" s="7" t="b">
        <f>C325='St of Activities - GA Exp'!C325</f>
        <v>1</v>
      </c>
    </row>
    <row r="326" spans="1:41">
      <c r="A326" s="12" t="s">
        <v>423</v>
      </c>
      <c r="B326" s="12"/>
      <c r="C326" s="12" t="s">
        <v>46</v>
      </c>
      <c r="D326" s="12"/>
      <c r="E326" s="12">
        <v>44339</v>
      </c>
      <c r="G326" s="7">
        <v>14226598</v>
      </c>
      <c r="I326" s="7">
        <v>1443411</v>
      </c>
      <c r="K326" s="2">
        <f t="shared" si="39"/>
        <v>11295815</v>
      </c>
      <c r="M326" s="7">
        <v>26965824</v>
      </c>
      <c r="O326" s="2">
        <f t="shared" si="34"/>
        <v>5318082</v>
      </c>
      <c r="Q326" s="7">
        <v>8075053</v>
      </c>
      <c r="S326" s="7">
        <v>13393135</v>
      </c>
      <c r="U326" s="7">
        <v>156083</v>
      </c>
      <c r="W326" s="7">
        <v>1443411</v>
      </c>
      <c r="Y326" s="7">
        <v>0</v>
      </c>
      <c r="AA326" s="7">
        <v>512343</v>
      </c>
      <c r="AC326" s="7">
        <v>11460852</v>
      </c>
      <c r="AE326" s="13">
        <f t="shared" si="35"/>
        <v>13572689</v>
      </c>
      <c r="AG326" s="7">
        <f t="shared" si="36"/>
        <v>0</v>
      </c>
      <c r="AK326" s="7" t="str">
        <f t="shared" si="37"/>
        <v>Marion City SD</v>
      </c>
      <c r="AL326" s="7" t="str">
        <f>'St of Activities - GA Exp'!A326</f>
        <v>Marion City SD</v>
      </c>
      <c r="AM326" s="7" t="b">
        <f t="shared" si="38"/>
        <v>1</v>
      </c>
      <c r="AN326" s="7" t="str">
        <f t="shared" si="33"/>
        <v>Marion</v>
      </c>
      <c r="AO326" s="7" t="b">
        <f>C326='St of Activities - GA Exp'!C326</f>
        <v>1</v>
      </c>
    </row>
    <row r="327" spans="1:41" hidden="1">
      <c r="A327" s="12" t="s">
        <v>721</v>
      </c>
      <c r="B327" s="12"/>
      <c r="C327" s="12" t="s">
        <v>435</v>
      </c>
      <c r="D327" s="12"/>
      <c r="E327" s="12"/>
      <c r="K327" s="2">
        <f t="shared" si="39"/>
        <v>0</v>
      </c>
      <c r="O327" s="2">
        <f t="shared" si="34"/>
        <v>0</v>
      </c>
      <c r="AE327" s="13">
        <f t="shared" si="35"/>
        <v>0</v>
      </c>
      <c r="AG327" s="7">
        <f t="shared" si="36"/>
        <v>0</v>
      </c>
      <c r="AI327" s="7" t="s">
        <v>839</v>
      </c>
      <c r="AK327" s="7" t="str">
        <f t="shared" si="37"/>
        <v>Marion Local SD (CASH)</v>
      </c>
      <c r="AL327" s="7" t="str">
        <f>'St of Activities - GA Exp'!A327</f>
        <v>Marion Local SD (CASH)</v>
      </c>
      <c r="AM327" s="7" t="b">
        <f t="shared" si="38"/>
        <v>1</v>
      </c>
      <c r="AN327" s="7" t="str">
        <f t="shared" si="33"/>
        <v>Mercer</v>
      </c>
      <c r="AO327" s="7" t="b">
        <f>C327='St of Activities - GA Exp'!C327</f>
        <v>1</v>
      </c>
    </row>
    <row r="328" spans="1:41">
      <c r="A328" s="12" t="s">
        <v>515</v>
      </c>
      <c r="B328" s="12"/>
      <c r="C328" s="12" t="s">
        <v>62</v>
      </c>
      <c r="D328" s="12"/>
      <c r="E328" s="12">
        <v>49882</v>
      </c>
      <c r="G328" s="7">
        <v>9421404</v>
      </c>
      <c r="I328" s="7">
        <v>293485</v>
      </c>
      <c r="K328" s="2">
        <f t="shared" si="39"/>
        <v>8465665</v>
      </c>
      <c r="M328" s="7">
        <v>18180554</v>
      </c>
      <c r="O328" s="2">
        <f t="shared" si="34"/>
        <v>3163472</v>
      </c>
      <c r="Q328" s="7">
        <f>6758887+431252</f>
        <v>7190139</v>
      </c>
      <c r="S328" s="7">
        <v>10353611</v>
      </c>
      <c r="U328" s="7">
        <f>137305+20263</f>
        <v>157568</v>
      </c>
      <c r="W328" s="7">
        <v>293485</v>
      </c>
      <c r="Y328" s="7">
        <f>336127+10000+476349</f>
        <v>822476</v>
      </c>
      <c r="AA328" s="7">
        <f>376654+389027+172+4439</f>
        <v>770292</v>
      </c>
      <c r="AC328" s="7">
        <v>5783122</v>
      </c>
      <c r="AE328" s="13">
        <f t="shared" si="35"/>
        <v>7826943</v>
      </c>
      <c r="AG328" s="7">
        <f t="shared" si="36"/>
        <v>0</v>
      </c>
      <c r="AK328" s="7" t="str">
        <f t="shared" si="37"/>
        <v>Marlington Local SD</v>
      </c>
      <c r="AL328" s="7" t="str">
        <f>'St of Activities - GA Exp'!A328</f>
        <v>Marlington Local SD</v>
      </c>
      <c r="AM328" s="7" t="b">
        <f t="shared" si="38"/>
        <v>1</v>
      </c>
      <c r="AN328" s="7" t="str">
        <f t="shared" si="33"/>
        <v>Stark</v>
      </c>
      <c r="AO328" s="7" t="b">
        <f>C328='St of Activities - GA Exp'!C328</f>
        <v>1</v>
      </c>
    </row>
    <row r="329" spans="1:41">
      <c r="A329" s="12" t="s">
        <v>217</v>
      </c>
      <c r="B329" s="12"/>
      <c r="C329" s="12" t="s">
        <v>15</v>
      </c>
      <c r="D329" s="12"/>
      <c r="E329" s="12">
        <v>44347</v>
      </c>
      <c r="G329" s="7">
        <v>0</v>
      </c>
      <c r="I329" s="7">
        <v>11000</v>
      </c>
      <c r="K329" s="2">
        <f t="shared" si="39"/>
        <v>2378945</v>
      </c>
      <c r="M329" s="7">
        <v>2389945</v>
      </c>
      <c r="O329" s="2">
        <f t="shared" si="34"/>
        <v>2208573</v>
      </c>
      <c r="Q329" s="7">
        <v>2198886</v>
      </c>
      <c r="S329" s="7">
        <v>4407459</v>
      </c>
      <c r="U329" s="7">
        <f>800+6354</f>
        <v>7154</v>
      </c>
      <c r="W329" s="7">
        <v>11000</v>
      </c>
      <c r="Y329" s="7">
        <v>0</v>
      </c>
      <c r="AA329" s="7">
        <v>0</v>
      </c>
      <c r="AC329" s="7">
        <v>-2035668</v>
      </c>
      <c r="AE329" s="13">
        <f t="shared" si="35"/>
        <v>-2017514</v>
      </c>
      <c r="AG329" s="7">
        <f t="shared" si="36"/>
        <v>0</v>
      </c>
      <c r="AK329" s="7" t="str">
        <f t="shared" si="37"/>
        <v>Martins Ferry City SD</v>
      </c>
      <c r="AL329" s="7" t="str">
        <f>'St of Activities - GA Exp'!A329</f>
        <v>Martins Ferry City SD</v>
      </c>
      <c r="AM329" s="7" t="b">
        <f t="shared" si="38"/>
        <v>1</v>
      </c>
      <c r="AN329" s="7" t="str">
        <f t="shared" si="33"/>
        <v>Belmont</v>
      </c>
      <c r="AO329" s="7" t="b">
        <f>C329='St of Activities - GA Exp'!C329</f>
        <v>1</v>
      </c>
    </row>
    <row r="330" spans="1:41">
      <c r="A330" s="12" t="s">
        <v>876</v>
      </c>
      <c r="B330" s="12"/>
      <c r="C330" s="12" t="s">
        <v>66</v>
      </c>
      <c r="D330" s="12"/>
      <c r="E330" s="12">
        <v>45476</v>
      </c>
      <c r="G330" s="7">
        <v>4371299</v>
      </c>
      <c r="I330" s="7">
        <v>0</v>
      </c>
      <c r="K330" s="2">
        <f t="shared" si="39"/>
        <v>21602269</v>
      </c>
      <c r="M330" s="7">
        <v>25973568</v>
      </c>
      <c r="O330" s="2">
        <f t="shared" si="34"/>
        <v>7845097</v>
      </c>
      <c r="Q330" s="7">
        <f>953919+18397937</f>
        <v>19351856</v>
      </c>
      <c r="S330" s="7">
        <v>27196953</v>
      </c>
      <c r="U330" s="7">
        <v>11792</v>
      </c>
      <c r="W330" s="7">
        <v>0</v>
      </c>
      <c r="Y330" s="7">
        <v>0</v>
      </c>
      <c r="AA330" s="7">
        <f>14437+304156</f>
        <v>318593</v>
      </c>
      <c r="AC330" s="7">
        <v>-1553770</v>
      </c>
      <c r="AE330" s="13">
        <f t="shared" si="35"/>
        <v>-1223385</v>
      </c>
      <c r="AG330" s="7">
        <f t="shared" si="36"/>
        <v>0</v>
      </c>
      <c r="AK330" s="7" t="str">
        <f t="shared" si="37"/>
        <v>Marysville Exempted Village SD</v>
      </c>
      <c r="AL330" s="7" t="str">
        <f>'St of Activities - GA Exp'!A330</f>
        <v>Marysville Exempted Village SD</v>
      </c>
      <c r="AM330" s="7" t="b">
        <f t="shared" si="38"/>
        <v>1</v>
      </c>
      <c r="AN330" s="7" t="str">
        <f t="shared" si="33"/>
        <v>Union</v>
      </c>
      <c r="AO330" s="7" t="b">
        <f>C330='St of Activities - GA Exp'!C330</f>
        <v>1</v>
      </c>
    </row>
    <row r="331" spans="1:41">
      <c r="A331" s="12" t="s">
        <v>563</v>
      </c>
      <c r="B331" s="12"/>
      <c r="C331" s="12" t="s">
        <v>69</v>
      </c>
      <c r="D331" s="12"/>
      <c r="E331" s="12">
        <v>50450</v>
      </c>
      <c r="G331" s="7">
        <v>51507363</v>
      </c>
      <c r="I331" s="7">
        <v>85593</v>
      </c>
      <c r="K331" s="2">
        <f t="shared" si="39"/>
        <v>57127915</v>
      </c>
      <c r="M331" s="7">
        <v>108720871</v>
      </c>
      <c r="O331" s="2">
        <f t="shared" si="34"/>
        <v>16850029</v>
      </c>
      <c r="Q331" s="7">
        <v>52610992</v>
      </c>
      <c r="S331" s="7">
        <v>69461021</v>
      </c>
      <c r="U331" s="7">
        <v>0</v>
      </c>
      <c r="W331" s="7">
        <v>0</v>
      </c>
      <c r="Y331" s="7">
        <v>0</v>
      </c>
      <c r="AA331" s="7">
        <v>915078</v>
      </c>
      <c r="AC331" s="7">
        <v>38344772</v>
      </c>
      <c r="AE331" s="13">
        <f t="shared" si="35"/>
        <v>39259850</v>
      </c>
      <c r="AG331" s="7">
        <f t="shared" si="36"/>
        <v>0</v>
      </c>
      <c r="AK331" s="7" t="str">
        <f t="shared" si="37"/>
        <v>Mason City SD</v>
      </c>
      <c r="AL331" s="7" t="str">
        <f>'St of Activities - GA Exp'!A331</f>
        <v>Mason City SD</v>
      </c>
      <c r="AM331" s="7" t="b">
        <f t="shared" si="38"/>
        <v>1</v>
      </c>
      <c r="AN331" s="7" t="str">
        <f t="shared" si="33"/>
        <v>Warren</v>
      </c>
      <c r="AO331" s="7" t="b">
        <f>C331='St of Activities - GA Exp'!C331</f>
        <v>1</v>
      </c>
    </row>
    <row r="332" spans="1:41">
      <c r="A332" s="12" t="s">
        <v>516</v>
      </c>
      <c r="B332" s="12"/>
      <c r="C332" s="12" t="s">
        <v>62</v>
      </c>
      <c r="D332" s="12"/>
      <c r="E332" s="12">
        <v>44354</v>
      </c>
      <c r="G332" s="7">
        <v>5046189</v>
      </c>
      <c r="I332" s="7">
        <v>0</v>
      </c>
      <c r="K332" s="2">
        <f t="shared" si="39"/>
        <v>13961568</v>
      </c>
      <c r="M332" s="7">
        <v>19007757</v>
      </c>
      <c r="O332" s="2">
        <f t="shared" si="34"/>
        <v>4340961</v>
      </c>
      <c r="Q332" s="7">
        <v>11742406</v>
      </c>
      <c r="S332" s="7">
        <v>16083367</v>
      </c>
      <c r="U332" s="7">
        <v>0</v>
      </c>
      <c r="W332" s="7">
        <v>0</v>
      </c>
      <c r="Y332" s="7">
        <v>0</v>
      </c>
      <c r="AA332" s="7">
        <v>1117577</v>
      </c>
      <c r="AC332" s="7">
        <v>1806813</v>
      </c>
      <c r="AE332" s="13">
        <f t="shared" si="35"/>
        <v>2924390</v>
      </c>
      <c r="AG332" s="7">
        <f t="shared" si="36"/>
        <v>0</v>
      </c>
      <c r="AK332" s="7" t="str">
        <f t="shared" si="37"/>
        <v>Massillon City SD</v>
      </c>
      <c r="AL332" s="7" t="str">
        <f>'St of Activities - GA Exp'!A332</f>
        <v>Massillon City SD</v>
      </c>
      <c r="AM332" s="7" t="b">
        <f t="shared" si="38"/>
        <v>1</v>
      </c>
      <c r="AN332" s="7" t="str">
        <f t="shared" si="33"/>
        <v>Stark</v>
      </c>
      <c r="AO332" s="7" t="b">
        <f>C332='St of Activities - GA Exp'!C332</f>
        <v>1</v>
      </c>
    </row>
    <row r="333" spans="1:41">
      <c r="A333" s="12" t="s">
        <v>545</v>
      </c>
      <c r="B333" s="12"/>
      <c r="C333" s="12" t="s">
        <v>64</v>
      </c>
      <c r="D333" s="12"/>
      <c r="E333" s="12">
        <v>50153</v>
      </c>
      <c r="G333" s="7">
        <v>1479732</v>
      </c>
      <c r="I333" s="7">
        <v>8740</v>
      </c>
      <c r="K333" s="2">
        <f t="shared" si="39"/>
        <v>4630382</v>
      </c>
      <c r="M333" s="7">
        <v>6118854</v>
      </c>
      <c r="O333" s="2">
        <f t="shared" si="34"/>
        <v>1122219</v>
      </c>
      <c r="Q333" s="7">
        <f>535794+3988283</f>
        <v>4524077</v>
      </c>
      <c r="S333" s="7">
        <v>5646296</v>
      </c>
      <c r="U333" s="7">
        <f>43934+28598</f>
        <v>72532</v>
      </c>
      <c r="W333" s="7">
        <v>8740</v>
      </c>
      <c r="Y333" s="7">
        <v>109831</v>
      </c>
      <c r="AA333" s="7">
        <f>14813+56717</f>
        <v>71530</v>
      </c>
      <c r="AC333" s="7">
        <v>209925</v>
      </c>
      <c r="AE333" s="13">
        <f t="shared" si="35"/>
        <v>472558</v>
      </c>
      <c r="AG333" s="7">
        <f t="shared" si="36"/>
        <v>0</v>
      </c>
      <c r="AK333" s="7" t="str">
        <f t="shared" si="37"/>
        <v>Mathews Local SD</v>
      </c>
      <c r="AL333" s="7" t="str">
        <f>'St of Activities - GA Exp'!A333</f>
        <v>Mathews Local SD</v>
      </c>
      <c r="AM333" s="7" t="b">
        <f t="shared" si="38"/>
        <v>1</v>
      </c>
      <c r="AN333" s="7" t="str">
        <f t="shared" ref="AN333:AN397" si="49">C333</f>
        <v>Trumbull</v>
      </c>
      <c r="AO333" s="7" t="b">
        <f>C333='St of Activities - GA Exp'!C333</f>
        <v>1</v>
      </c>
    </row>
    <row r="334" spans="1:41">
      <c r="A334" s="12" t="s">
        <v>403</v>
      </c>
      <c r="B334" s="12"/>
      <c r="C334" s="12" t="s">
        <v>115</v>
      </c>
      <c r="D334" s="12"/>
      <c r="E334" s="12">
        <v>44362</v>
      </c>
      <c r="G334" s="7">
        <v>2830781</v>
      </c>
      <c r="I334" s="7">
        <v>0</v>
      </c>
      <c r="K334" s="2">
        <f t="shared" si="39"/>
        <v>18016899</v>
      </c>
      <c r="M334" s="7">
        <v>20847680</v>
      </c>
      <c r="O334" s="2">
        <f t="shared" si="34"/>
        <v>4373857</v>
      </c>
      <c r="Q334" s="7">
        <f>1333227+15543429</f>
        <v>16876656</v>
      </c>
      <c r="S334" s="7">
        <v>21250513</v>
      </c>
      <c r="U334" s="7">
        <v>21797</v>
      </c>
      <c r="W334" s="7">
        <v>0</v>
      </c>
      <c r="Y334" s="7">
        <f>3383+11000</f>
        <v>14383</v>
      </c>
      <c r="AA334" s="7">
        <f>9201+264879+19205+32430+23156</f>
        <v>348871</v>
      </c>
      <c r="AC334" s="7">
        <v>-787884</v>
      </c>
      <c r="AE334" s="13">
        <f t="shared" si="35"/>
        <v>-402833</v>
      </c>
      <c r="AG334" s="7">
        <f t="shared" si="36"/>
        <v>0</v>
      </c>
      <c r="AK334" s="7" t="str">
        <f t="shared" si="37"/>
        <v>Maumee City SD</v>
      </c>
      <c r="AL334" s="7" t="str">
        <f>'St of Activities - GA Exp'!A334</f>
        <v>Maumee City SD</v>
      </c>
      <c r="AM334" s="7" t="b">
        <f t="shared" si="38"/>
        <v>1</v>
      </c>
      <c r="AN334" s="7" t="str">
        <f t="shared" si="49"/>
        <v>Lucas</v>
      </c>
      <c r="AO334" s="7" t="b">
        <f>C334='St of Activities - GA Exp'!C334</f>
        <v>1</v>
      </c>
    </row>
    <row r="335" spans="1:41">
      <c r="A335" s="12" t="s">
        <v>763</v>
      </c>
      <c r="B335" s="12"/>
      <c r="C335" s="12" t="s">
        <v>20</v>
      </c>
      <c r="D335" s="12"/>
      <c r="E335" s="12">
        <v>44370</v>
      </c>
      <c r="G335" s="7">
        <v>25278596</v>
      </c>
      <c r="I335" s="7">
        <v>0</v>
      </c>
      <c r="K335" s="2">
        <f t="shared" si="39"/>
        <v>46843379</v>
      </c>
      <c r="M335" s="7">
        <v>72121975</v>
      </c>
      <c r="O335" s="2">
        <f t="shared" ref="O335:O401" si="50">+S335-Q335</f>
        <v>6178016</v>
      </c>
      <c r="Q335" s="7">
        <v>39958370</v>
      </c>
      <c r="S335" s="7">
        <v>46136386</v>
      </c>
      <c r="U335" s="7">
        <v>176876</v>
      </c>
      <c r="W335" s="7">
        <v>0</v>
      </c>
      <c r="Y335" s="7">
        <v>1012936</v>
      </c>
      <c r="AA335" s="7">
        <v>3868581</v>
      </c>
      <c r="AC335" s="7">
        <v>20927196</v>
      </c>
      <c r="AE335" s="13">
        <f t="shared" ref="AE335:AE401" si="51">+Y335+W335++U335+AA335+AC335</f>
        <v>25985589</v>
      </c>
      <c r="AG335" s="7">
        <f t="shared" ref="AG335:AG401" si="52">+G335+I335+K335-O335-Q335-Y335-W335-U335-AA335-AC335</f>
        <v>0</v>
      </c>
      <c r="AK335" s="7" t="str">
        <f t="shared" ref="AK335:AK401" si="53">A335</f>
        <v xml:space="preserve">Mayfield City SD </v>
      </c>
      <c r="AL335" s="7" t="str">
        <f>'St of Activities - GA Exp'!A335</f>
        <v xml:space="preserve">Mayfield City SD </v>
      </c>
      <c r="AM335" s="7" t="b">
        <f t="shared" ref="AM335:AM401" si="54">AK335=AL335</f>
        <v>1</v>
      </c>
      <c r="AN335" s="7" t="str">
        <f t="shared" si="49"/>
        <v>Cuyahoga</v>
      </c>
      <c r="AO335" s="7" t="b">
        <f>C335='St of Activities - GA Exp'!C335</f>
        <v>1</v>
      </c>
    </row>
    <row r="336" spans="1:41">
      <c r="A336" s="12" t="s">
        <v>458</v>
      </c>
      <c r="B336" s="12"/>
      <c r="C336" s="12" t="s">
        <v>51</v>
      </c>
      <c r="D336" s="12"/>
      <c r="E336" s="12">
        <v>48850</v>
      </c>
      <c r="G336" s="7">
        <v>2287379</v>
      </c>
      <c r="I336" s="7">
        <v>0</v>
      </c>
      <c r="K336" s="2">
        <f t="shared" si="39"/>
        <v>3810678</v>
      </c>
      <c r="M336" s="7">
        <v>6098057</v>
      </c>
      <c r="O336" s="2">
        <f t="shared" si="50"/>
        <v>2701332</v>
      </c>
      <c r="Q336" s="7">
        <v>3469614</v>
      </c>
      <c r="S336" s="7">
        <v>6170946</v>
      </c>
      <c r="U336" s="7">
        <v>9911</v>
      </c>
      <c r="W336" s="7">
        <v>0</v>
      </c>
      <c r="Y336" s="7">
        <v>7440</v>
      </c>
      <c r="AA336" s="7">
        <v>22886</v>
      </c>
      <c r="AC336" s="7">
        <v>-113126</v>
      </c>
      <c r="AE336" s="13">
        <f t="shared" si="51"/>
        <v>-72889</v>
      </c>
      <c r="AG336" s="7">
        <f t="shared" si="52"/>
        <v>0</v>
      </c>
      <c r="AK336" s="7" t="str">
        <f t="shared" si="53"/>
        <v>Maysville Local SD</v>
      </c>
      <c r="AL336" s="7" t="str">
        <f>'St of Activities - GA Exp'!A336</f>
        <v>Maysville Local SD</v>
      </c>
      <c r="AM336" s="7" t="b">
        <f t="shared" si="54"/>
        <v>1</v>
      </c>
      <c r="AN336" s="7" t="str">
        <f t="shared" si="49"/>
        <v>Muskingum</v>
      </c>
      <c r="AO336" s="7" t="b">
        <f>C336='St of Activities - GA Exp'!C336</f>
        <v>1</v>
      </c>
    </row>
    <row r="337" spans="1:41" hidden="1">
      <c r="A337" s="12" t="s">
        <v>932</v>
      </c>
      <c r="B337" s="12"/>
      <c r="C337" s="12" t="s">
        <v>33</v>
      </c>
      <c r="D337" s="12"/>
      <c r="E337" s="12">
        <v>47456</v>
      </c>
      <c r="K337" s="2">
        <f t="shared" ref="K337:K403" si="55">+M337-I337-G337</f>
        <v>0</v>
      </c>
      <c r="O337" s="2">
        <f t="shared" si="50"/>
        <v>0</v>
      </c>
      <c r="AE337" s="13">
        <f t="shared" si="51"/>
        <v>0</v>
      </c>
      <c r="AG337" s="7">
        <f t="shared" si="52"/>
        <v>0</v>
      </c>
      <c r="AI337" s="7" t="s">
        <v>839</v>
      </c>
      <c r="AK337" s="7" t="str">
        <f t="shared" si="53"/>
        <v>McComb Local SD (CASH)</v>
      </c>
      <c r="AL337" s="7" t="str">
        <f>'St of Activities - GA Exp'!A337</f>
        <v>McComb Local SD (CASH)</v>
      </c>
      <c r="AM337" s="7" t="b">
        <f t="shared" si="54"/>
        <v>1</v>
      </c>
      <c r="AN337" s="7" t="str">
        <f t="shared" si="49"/>
        <v>Hancock</v>
      </c>
      <c r="AO337" s="7" t="b">
        <f>C337='St of Activities - GA Exp'!C337</f>
        <v>1</v>
      </c>
    </row>
    <row r="338" spans="1:41">
      <c r="A338" s="12" t="s">
        <v>667</v>
      </c>
      <c r="B338" s="12"/>
      <c r="C338" s="12" t="s">
        <v>64</v>
      </c>
      <c r="D338" s="12"/>
      <c r="E338" s="12">
        <v>50229</v>
      </c>
      <c r="G338" s="7">
        <v>694535</v>
      </c>
      <c r="I338" s="7">
        <v>0</v>
      </c>
      <c r="K338" s="2">
        <f t="shared" si="55"/>
        <v>1869290</v>
      </c>
      <c r="M338" s="7">
        <v>2563825</v>
      </c>
      <c r="O338" s="2">
        <f t="shared" si="50"/>
        <v>1577819</v>
      </c>
      <c r="Q338" s="7">
        <v>1837846</v>
      </c>
      <c r="S338" s="7">
        <v>3415665</v>
      </c>
      <c r="U338" s="7">
        <v>0</v>
      </c>
      <c r="W338" s="7">
        <v>0</v>
      </c>
      <c r="Y338" s="7">
        <v>4201</v>
      </c>
      <c r="AA338" s="7">
        <v>4905</v>
      </c>
      <c r="AC338" s="7">
        <v>-860946</v>
      </c>
      <c r="AE338" s="13">
        <f t="shared" si="51"/>
        <v>-851840</v>
      </c>
      <c r="AG338" s="7">
        <f t="shared" si="52"/>
        <v>0</v>
      </c>
      <c r="AK338" s="7" t="str">
        <f t="shared" si="53"/>
        <v>McDonald Local SD</v>
      </c>
      <c r="AL338" s="7" t="str">
        <f>'St of Activities - GA Exp'!A338</f>
        <v>McDonald Local SD</v>
      </c>
      <c r="AM338" s="7" t="b">
        <f t="shared" si="54"/>
        <v>1</v>
      </c>
      <c r="AN338" s="7" t="str">
        <f t="shared" si="49"/>
        <v>Trumbull</v>
      </c>
      <c r="AO338" s="7" t="b">
        <f>C338='St of Activities - GA Exp'!C338</f>
        <v>1</v>
      </c>
    </row>
    <row r="339" spans="1:41">
      <c r="A339" s="12" t="s">
        <v>877</v>
      </c>
      <c r="B339" s="12"/>
      <c r="C339" s="12" t="s">
        <v>232</v>
      </c>
      <c r="D339" s="12"/>
      <c r="E339" s="12">
        <v>45484</v>
      </c>
      <c r="G339" s="7">
        <v>1418961</v>
      </c>
      <c r="I339" s="7">
        <v>0</v>
      </c>
      <c r="K339" s="2">
        <f t="shared" si="55"/>
        <v>2463389</v>
      </c>
      <c r="M339" s="7">
        <v>3882350</v>
      </c>
      <c r="O339" s="2">
        <f t="shared" si="50"/>
        <v>1217359</v>
      </c>
      <c r="Q339" s="7">
        <f>136646+1566760</f>
        <v>1703406</v>
      </c>
      <c r="S339" s="7">
        <v>2920765</v>
      </c>
      <c r="U339" s="7">
        <f>2484+37000</f>
        <v>39484</v>
      </c>
      <c r="W339" s="7">
        <v>0</v>
      </c>
      <c r="Y339" s="7">
        <v>0</v>
      </c>
      <c r="AA339" s="7">
        <f>2716+65915+784773+26709+27870+14118</f>
        <v>922101</v>
      </c>
      <c r="AC339" s="7">
        <v>0</v>
      </c>
      <c r="AE339" s="13">
        <f t="shared" si="51"/>
        <v>961585</v>
      </c>
      <c r="AG339" s="7">
        <f t="shared" si="52"/>
        <v>0</v>
      </c>
      <c r="AK339" s="7" t="str">
        <f t="shared" si="53"/>
        <v>Mechanicsburg Exempted Village SD</v>
      </c>
      <c r="AL339" s="7" t="str">
        <f>'St of Activities - GA Exp'!A339</f>
        <v>Mechanicsburg Exempted Village SD</v>
      </c>
      <c r="AM339" s="7" t="b">
        <f t="shared" si="54"/>
        <v>1</v>
      </c>
      <c r="AN339" s="7" t="str">
        <f t="shared" si="49"/>
        <v>Champaign</v>
      </c>
      <c r="AO339" s="7" t="b">
        <f>C339='St of Activities - GA Exp'!C339</f>
        <v>1</v>
      </c>
    </row>
    <row r="340" spans="1:41">
      <c r="A340" s="12" t="s">
        <v>431</v>
      </c>
      <c r="B340" s="12"/>
      <c r="C340" s="12" t="s">
        <v>47</v>
      </c>
      <c r="D340" s="12"/>
      <c r="E340" s="12">
        <v>44388</v>
      </c>
      <c r="G340" s="7">
        <v>15876333</v>
      </c>
      <c r="I340" s="7">
        <v>0</v>
      </c>
      <c r="K340" s="2">
        <f t="shared" si="55"/>
        <v>43191374</v>
      </c>
      <c r="M340" s="7">
        <v>59067707</v>
      </c>
      <c r="O340" s="2">
        <f t="shared" si="50"/>
        <v>8183501</v>
      </c>
      <c r="Q340" s="7">
        <v>39913275</v>
      </c>
      <c r="S340" s="7">
        <v>48096776</v>
      </c>
      <c r="U340" s="7">
        <v>76318</v>
      </c>
      <c r="W340" s="7">
        <v>0</v>
      </c>
      <c r="Y340" s="7">
        <v>766980</v>
      </c>
      <c r="AA340" s="7">
        <v>2311673</v>
      </c>
      <c r="AC340" s="7">
        <v>7815960</v>
      </c>
      <c r="AE340" s="13">
        <f t="shared" si="51"/>
        <v>10970931</v>
      </c>
      <c r="AG340" s="7">
        <f t="shared" si="52"/>
        <v>0</v>
      </c>
      <c r="AK340" s="7" t="str">
        <f t="shared" si="53"/>
        <v>Medina City SD</v>
      </c>
      <c r="AL340" s="7" t="str">
        <f>'St of Activities - GA Exp'!A340</f>
        <v>Medina City SD</v>
      </c>
      <c r="AM340" s="7" t="b">
        <f t="shared" si="54"/>
        <v>1</v>
      </c>
      <c r="AN340" s="7" t="str">
        <f t="shared" si="49"/>
        <v>Medina</v>
      </c>
      <c r="AO340" s="7" t="b">
        <f>C340='St of Activities - GA Exp'!C340</f>
        <v>1</v>
      </c>
    </row>
    <row r="341" spans="1:41">
      <c r="A341" s="12" t="s">
        <v>434</v>
      </c>
      <c r="B341" s="12"/>
      <c r="C341" s="12" t="s">
        <v>433</v>
      </c>
      <c r="D341" s="12"/>
      <c r="E341" s="12">
        <v>48520</v>
      </c>
      <c r="G341" s="7">
        <v>732142</v>
      </c>
      <c r="I341" s="7">
        <v>68154</v>
      </c>
      <c r="K341" s="2">
        <f t="shared" si="55"/>
        <v>3861626</v>
      </c>
      <c r="M341" s="7">
        <v>4661922</v>
      </c>
      <c r="O341" s="2">
        <f t="shared" si="50"/>
        <v>1954724</v>
      </c>
      <c r="Q341" s="7">
        <v>3511056</v>
      </c>
      <c r="S341" s="7">
        <v>5465780</v>
      </c>
      <c r="U341" s="7">
        <v>57885</v>
      </c>
      <c r="W341" s="7">
        <v>0</v>
      </c>
      <c r="Y341" s="7">
        <v>0</v>
      </c>
      <c r="AA341" s="7">
        <v>200009</v>
      </c>
      <c r="AC341" s="7">
        <v>-1061752</v>
      </c>
      <c r="AE341" s="13">
        <f t="shared" si="51"/>
        <v>-803858</v>
      </c>
      <c r="AG341" s="7">
        <f t="shared" si="52"/>
        <v>0</v>
      </c>
      <c r="AI341" s="7" t="s">
        <v>933</v>
      </c>
      <c r="AK341" s="7" t="str">
        <f t="shared" si="53"/>
        <v>Meigs Local SD</v>
      </c>
      <c r="AL341" s="7" t="str">
        <f>'St of Activities - GA Exp'!A341</f>
        <v>Meigs Local SD</v>
      </c>
      <c r="AM341" s="7" t="b">
        <f t="shared" si="54"/>
        <v>1</v>
      </c>
      <c r="AN341" s="7" t="str">
        <f t="shared" si="49"/>
        <v>Meigs</v>
      </c>
      <c r="AO341" s="7" t="b">
        <f>C341='St of Activities - GA Exp'!C341</f>
        <v>1</v>
      </c>
    </row>
    <row r="342" spans="1:41">
      <c r="A342" s="12" t="s">
        <v>878</v>
      </c>
      <c r="B342" s="12"/>
      <c r="C342" s="12" t="s">
        <v>41</v>
      </c>
      <c r="D342" s="12"/>
      <c r="E342" s="12">
        <v>45492</v>
      </c>
      <c r="G342" s="7">
        <v>57276116</v>
      </c>
      <c r="I342" s="7">
        <v>0</v>
      </c>
      <c r="K342" s="2">
        <f t="shared" si="55"/>
        <v>65922910</v>
      </c>
      <c r="M342" s="7">
        <v>123199026</v>
      </c>
      <c r="O342" s="2">
        <f t="shared" si="50"/>
        <v>12191246</v>
      </c>
      <c r="Q342" s="7">
        <v>57492685</v>
      </c>
      <c r="S342" s="7">
        <v>69683931</v>
      </c>
      <c r="U342" s="7">
        <v>85245</v>
      </c>
      <c r="W342" s="7">
        <v>0</v>
      </c>
      <c r="Y342" s="7">
        <v>0</v>
      </c>
      <c r="AA342" s="7">
        <v>6443876</v>
      </c>
      <c r="AC342" s="7">
        <v>46985974</v>
      </c>
      <c r="AE342" s="13">
        <f t="shared" si="51"/>
        <v>53515095</v>
      </c>
      <c r="AG342" s="7">
        <f t="shared" si="52"/>
        <v>0</v>
      </c>
      <c r="AK342" s="7" t="str">
        <f t="shared" si="53"/>
        <v>Mentor Exempted Village SD</v>
      </c>
      <c r="AL342" s="7" t="str">
        <f>'St of Activities - GA Exp'!A342</f>
        <v>Mentor Exempted Village SD</v>
      </c>
      <c r="AM342" s="7" t="b">
        <f t="shared" si="54"/>
        <v>1</v>
      </c>
      <c r="AN342" s="7" t="str">
        <f t="shared" si="49"/>
        <v>Lake</v>
      </c>
      <c r="AO342" s="7" t="b">
        <f>C342='St of Activities - GA Exp'!C342</f>
        <v>1</v>
      </c>
    </row>
    <row r="343" spans="1:41">
      <c r="A343" s="12" t="s">
        <v>437</v>
      </c>
      <c r="B343" s="12"/>
      <c r="C343" s="12" t="s">
        <v>48</v>
      </c>
      <c r="D343" s="12"/>
      <c r="E343" s="12">
        <v>48629</v>
      </c>
      <c r="G343" s="7">
        <v>0</v>
      </c>
      <c r="I343" s="7">
        <v>238036</v>
      </c>
      <c r="K343" s="2">
        <f t="shared" si="55"/>
        <v>4362768</v>
      </c>
      <c r="M343" s="7">
        <v>4600804</v>
      </c>
      <c r="O343" s="2">
        <f t="shared" si="50"/>
        <v>1259382</v>
      </c>
      <c r="Q343" s="7">
        <v>2961078</v>
      </c>
      <c r="S343" s="7">
        <v>4220460</v>
      </c>
      <c r="U343" s="7">
        <v>47944</v>
      </c>
      <c r="W343" s="7">
        <v>254606</v>
      </c>
      <c r="Y343" s="7">
        <v>1746</v>
      </c>
      <c r="AA343" s="7">
        <v>76048</v>
      </c>
      <c r="AC343" s="7">
        <v>0</v>
      </c>
      <c r="AE343" s="13">
        <f t="shared" si="51"/>
        <v>380344</v>
      </c>
      <c r="AG343" s="7">
        <f t="shared" si="52"/>
        <v>0</v>
      </c>
      <c r="AK343" s="7" t="str">
        <f t="shared" si="53"/>
        <v>Miami East Local SD</v>
      </c>
      <c r="AL343" s="7" t="str">
        <f>'St of Activities - GA Exp'!A343</f>
        <v>Miami East Local SD</v>
      </c>
      <c r="AM343" s="7" t="b">
        <f t="shared" si="54"/>
        <v>1</v>
      </c>
      <c r="AN343" s="7" t="str">
        <f t="shared" si="49"/>
        <v>Miami</v>
      </c>
      <c r="AO343" s="7" t="b">
        <f>C343='St of Activities - GA Exp'!C343</f>
        <v>1</v>
      </c>
    </row>
    <row r="344" spans="1:41">
      <c r="A344" s="12" t="s">
        <v>303</v>
      </c>
      <c r="B344" s="12"/>
      <c r="C344" s="12" t="s">
        <v>26</v>
      </c>
      <c r="D344" s="12"/>
      <c r="E344" s="12">
        <v>46920</v>
      </c>
      <c r="G344" s="7">
        <v>5323154</v>
      </c>
      <c r="I344" s="7">
        <v>435341</v>
      </c>
      <c r="K344" s="2">
        <f t="shared" si="55"/>
        <v>13713673</v>
      </c>
      <c r="M344" s="7">
        <v>19472168</v>
      </c>
      <c r="O344" s="2">
        <f t="shared" si="50"/>
        <v>2651495</v>
      </c>
      <c r="Q344" s="7">
        <v>6029405</v>
      </c>
      <c r="S344" s="7">
        <v>8680900</v>
      </c>
      <c r="U344" s="7">
        <v>0</v>
      </c>
      <c r="W344" s="7">
        <v>4524266</v>
      </c>
      <c r="Y344" s="7">
        <v>435341</v>
      </c>
      <c r="AA344" s="7">
        <v>612540</v>
      </c>
      <c r="AC344" s="7">
        <v>5219121</v>
      </c>
      <c r="AE344" s="13">
        <f t="shared" si="51"/>
        <v>10791268</v>
      </c>
      <c r="AG344" s="7">
        <f t="shared" si="52"/>
        <v>0</v>
      </c>
      <c r="AK344" s="7" t="str">
        <f t="shared" si="53"/>
        <v>Miami Trace Local SD</v>
      </c>
      <c r="AL344" s="7" t="str">
        <f>'St of Activities - GA Exp'!A344</f>
        <v>Miami Trace Local SD</v>
      </c>
      <c r="AM344" s="7" t="b">
        <f t="shared" si="54"/>
        <v>1</v>
      </c>
      <c r="AN344" s="7" t="str">
        <f t="shared" si="49"/>
        <v>Fayette</v>
      </c>
      <c r="AO344" s="7" t="b">
        <f>C344='St of Activities - GA Exp'!C344</f>
        <v>1</v>
      </c>
    </row>
    <row r="345" spans="1:41">
      <c r="A345" s="12" t="s">
        <v>445</v>
      </c>
      <c r="B345" s="12"/>
      <c r="C345" s="12" t="s">
        <v>50</v>
      </c>
      <c r="D345" s="12"/>
      <c r="E345" s="12">
        <v>44396</v>
      </c>
      <c r="G345" s="7">
        <v>5406237</v>
      </c>
      <c r="I345" s="7">
        <v>0</v>
      </c>
      <c r="K345" s="2">
        <f>+M345-I345-G345</f>
        <v>28268957</v>
      </c>
      <c r="M345" s="7">
        <v>33675194</v>
      </c>
      <c r="O345" s="2">
        <f t="shared" si="50"/>
        <v>8244311</v>
      </c>
      <c r="Q345" s="7">
        <v>26183180</v>
      </c>
      <c r="S345" s="7">
        <v>34427491</v>
      </c>
      <c r="U345" s="7">
        <v>0</v>
      </c>
      <c r="W345" s="7">
        <v>0</v>
      </c>
      <c r="Y345" s="7">
        <v>11000</v>
      </c>
      <c r="AA345" s="7">
        <v>0</v>
      </c>
      <c r="AC345" s="7">
        <v>-763297</v>
      </c>
      <c r="AE345" s="13">
        <f t="shared" si="51"/>
        <v>-752297</v>
      </c>
      <c r="AG345" s="7">
        <f>+G345+I345+K345-O345-Q345-Y345-W345-U345-AA345-AC345</f>
        <v>0</v>
      </c>
      <c r="AK345" s="7" t="str">
        <f t="shared" si="53"/>
        <v>Miamisburg City SD</v>
      </c>
      <c r="AL345" s="7" t="str">
        <f>'St of Activities - GA Exp'!A345</f>
        <v>Miamisburg City SD</v>
      </c>
      <c r="AM345" s="7" t="b">
        <f t="shared" si="54"/>
        <v>1</v>
      </c>
      <c r="AN345" s="7" t="str">
        <f t="shared" si="49"/>
        <v>Montgomery</v>
      </c>
      <c r="AO345" s="7" t="b">
        <f>C345='St of Activities - GA Exp'!C345</f>
        <v>1</v>
      </c>
    </row>
    <row r="346" spans="1:41" hidden="1">
      <c r="A346" s="12" t="s">
        <v>942</v>
      </c>
      <c r="B346" s="12"/>
      <c r="C346" s="12" t="s">
        <v>53</v>
      </c>
      <c r="D346" s="12"/>
      <c r="E346" s="12"/>
      <c r="K346" s="2">
        <f>+M346-I346-G346</f>
        <v>0</v>
      </c>
      <c r="O346" s="2">
        <f t="shared" si="50"/>
        <v>0</v>
      </c>
      <c r="AE346" s="13">
        <f t="shared" si="51"/>
        <v>0</v>
      </c>
      <c r="AG346" s="7">
        <f>+G346+I346+K346-O346-Q346-Y346-W346-U346-AA346-AC346</f>
        <v>0</v>
      </c>
      <c r="AI346" s="7" t="s">
        <v>931</v>
      </c>
      <c r="AK346" s="7" t="str">
        <f t="shared" ref="AK346" si="56">A346</f>
        <v>Middle Bass Local SD (Two year Audit - CASH)</v>
      </c>
      <c r="AL346" s="7" t="str">
        <f>'St of Activities - GA Exp'!A346</f>
        <v>Middle Bass Local SD (Two year Audit - CASH)</v>
      </c>
      <c r="AM346" s="7" t="b">
        <f t="shared" ref="AM346" si="57">AK346=AL346</f>
        <v>1</v>
      </c>
      <c r="AN346" s="7" t="str">
        <f t="shared" ref="AN346" si="58">C346</f>
        <v>Ottawa</v>
      </c>
      <c r="AO346" s="7" t="b">
        <f>C346='St of Activities - GA Exp'!C346</f>
        <v>1</v>
      </c>
    </row>
    <row r="347" spans="1:41">
      <c r="A347" s="12" t="s">
        <v>228</v>
      </c>
      <c r="B347" s="12"/>
      <c r="C347" s="12" t="s">
        <v>223</v>
      </c>
      <c r="D347" s="12"/>
      <c r="E347" s="12">
        <v>44404</v>
      </c>
      <c r="G347" s="7">
        <v>3871875</v>
      </c>
      <c r="I347" s="7">
        <v>186444</v>
      </c>
      <c r="K347" s="2">
        <f t="shared" si="55"/>
        <v>30995547</v>
      </c>
      <c r="M347" s="7">
        <v>35053866</v>
      </c>
      <c r="O347" s="2">
        <f t="shared" si="50"/>
        <v>8616353</v>
      </c>
      <c r="Q347" s="7">
        <f>25666445+3562686</f>
        <v>29229131</v>
      </c>
      <c r="S347" s="7">
        <v>37845484</v>
      </c>
      <c r="U347" s="7">
        <v>0</v>
      </c>
      <c r="W347" s="7">
        <f>161534+24910</f>
        <v>186444</v>
      </c>
      <c r="Y347" s="7">
        <v>0</v>
      </c>
      <c r="AA347" s="7">
        <f>285513+347614+108+49740+33469+17836+5358</f>
        <v>739638</v>
      </c>
      <c r="AC347" s="7">
        <v>-3717700</v>
      </c>
      <c r="AE347" s="13">
        <f t="shared" si="51"/>
        <v>-2791618</v>
      </c>
      <c r="AG347" s="7">
        <f t="shared" si="52"/>
        <v>0</v>
      </c>
      <c r="AK347" s="7" t="str">
        <f t="shared" si="53"/>
        <v>Middletown City SD</v>
      </c>
      <c r="AL347" s="7" t="str">
        <f>'St of Activities - GA Exp'!A347</f>
        <v>Middletown City SD</v>
      </c>
      <c r="AM347" s="7" t="b">
        <f t="shared" si="54"/>
        <v>1</v>
      </c>
      <c r="AN347" s="7" t="str">
        <f t="shared" si="49"/>
        <v>Butler</v>
      </c>
      <c r="AO347" s="7" t="b">
        <f>C347='St of Activities - GA Exp'!C347</f>
        <v>1</v>
      </c>
    </row>
    <row r="348" spans="1:41">
      <c r="A348" s="12" t="s">
        <v>399</v>
      </c>
      <c r="B348" s="12"/>
      <c r="C348" s="12" t="s">
        <v>44</v>
      </c>
      <c r="D348" s="12"/>
      <c r="E348" s="12">
        <v>48173</v>
      </c>
      <c r="G348" s="7">
        <v>5892404</v>
      </c>
      <c r="I348" s="7">
        <v>191796</v>
      </c>
      <c r="K348" s="2">
        <f t="shared" si="55"/>
        <v>11437445</v>
      </c>
      <c r="M348" s="7">
        <v>17521645</v>
      </c>
      <c r="O348" s="2">
        <f t="shared" si="50"/>
        <v>3584835</v>
      </c>
      <c r="Q348" s="7">
        <v>10318594</v>
      </c>
      <c r="S348" s="7">
        <v>13903429</v>
      </c>
      <c r="U348" s="7">
        <v>170335</v>
      </c>
      <c r="W348" s="7">
        <v>285349</v>
      </c>
      <c r="Y348" s="7">
        <v>37961</v>
      </c>
      <c r="AA348" s="7">
        <v>383842</v>
      </c>
      <c r="AC348" s="7">
        <v>2740729</v>
      </c>
      <c r="AE348" s="13">
        <f t="shared" si="51"/>
        <v>3618216</v>
      </c>
      <c r="AG348" s="7">
        <f t="shared" si="52"/>
        <v>0</v>
      </c>
      <c r="AI348" s="7" t="s">
        <v>933</v>
      </c>
      <c r="AK348" s="7" t="str">
        <f t="shared" si="53"/>
        <v>Midview Local SD</v>
      </c>
      <c r="AL348" s="7" t="str">
        <f>'St of Activities - GA Exp'!A348</f>
        <v>Midview Local SD</v>
      </c>
      <c r="AM348" s="7" t="b">
        <f t="shared" si="54"/>
        <v>1</v>
      </c>
      <c r="AN348" s="7" t="str">
        <f t="shared" si="49"/>
        <v>Lorain</v>
      </c>
      <c r="AO348" s="7" t="b">
        <f>C348='St of Activities - GA Exp'!C348</f>
        <v>1</v>
      </c>
    </row>
    <row r="349" spans="1:41">
      <c r="A349" s="12" t="s">
        <v>879</v>
      </c>
      <c r="B349" s="12"/>
      <c r="C349" s="12" t="s">
        <v>113</v>
      </c>
      <c r="D349" s="12"/>
      <c r="E349" s="12">
        <v>45500</v>
      </c>
      <c r="G349" s="7">
        <v>13309091</v>
      </c>
      <c r="I349" s="7">
        <v>0</v>
      </c>
      <c r="K349" s="2">
        <f t="shared" si="55"/>
        <v>36920540</v>
      </c>
      <c r="M349" s="7">
        <v>50229631</v>
      </c>
      <c r="O349" s="2">
        <f t="shared" si="50"/>
        <v>6166924</v>
      </c>
      <c r="Q349" s="7">
        <v>32755543</v>
      </c>
      <c r="S349" s="7">
        <v>38922467</v>
      </c>
      <c r="U349" s="7">
        <v>80705</v>
      </c>
      <c r="W349" s="7">
        <v>0</v>
      </c>
      <c r="Y349" s="7">
        <v>0</v>
      </c>
      <c r="AA349" s="7">
        <v>343007</v>
      </c>
      <c r="AC349" s="7">
        <v>10883452</v>
      </c>
      <c r="AE349" s="13">
        <f t="shared" si="51"/>
        <v>11307164</v>
      </c>
      <c r="AG349" s="7">
        <f t="shared" si="52"/>
        <v>0</v>
      </c>
      <c r="AK349" s="7" t="str">
        <f t="shared" si="53"/>
        <v>Milford Exempted Village SD</v>
      </c>
      <c r="AL349" s="7" t="str">
        <f>'St of Activities - GA Exp'!A349</f>
        <v>Milford Exempted Village SD</v>
      </c>
      <c r="AM349" s="7" t="b">
        <f t="shared" si="54"/>
        <v>1</v>
      </c>
      <c r="AN349" s="7" t="str">
        <f t="shared" si="49"/>
        <v>Clermont</v>
      </c>
      <c r="AO349" s="7" t="b">
        <f>C349='St of Activities - GA Exp'!C349</f>
        <v>1</v>
      </c>
    </row>
    <row r="350" spans="1:41" hidden="1">
      <c r="A350" s="12" t="s">
        <v>639</v>
      </c>
      <c r="B350" s="12"/>
      <c r="C350" s="12" t="s">
        <v>570</v>
      </c>
      <c r="D350" s="12"/>
      <c r="E350" s="12">
        <v>50633</v>
      </c>
      <c r="K350" s="2">
        <f t="shared" si="55"/>
        <v>0</v>
      </c>
      <c r="O350" s="2">
        <f t="shared" si="50"/>
        <v>0</v>
      </c>
      <c r="AE350" s="13">
        <f t="shared" si="51"/>
        <v>0</v>
      </c>
      <c r="AG350" s="7">
        <f t="shared" si="52"/>
        <v>0</v>
      </c>
      <c r="AI350" s="7" t="s">
        <v>839</v>
      </c>
      <c r="AK350" s="7" t="str">
        <f t="shared" si="53"/>
        <v>Millcreek-West Unity Local SD (CASH)</v>
      </c>
      <c r="AL350" s="7" t="str">
        <f>'St of Activities - GA Exp'!A350</f>
        <v>Millcreek-West Unity Local SD (CASH)</v>
      </c>
      <c r="AM350" s="7" t="b">
        <f t="shared" si="54"/>
        <v>1</v>
      </c>
      <c r="AN350" s="7" t="str">
        <f t="shared" si="49"/>
        <v>Williams</v>
      </c>
      <c r="AO350" s="7" t="b">
        <f>C350='St of Activities - GA Exp'!C350</f>
        <v>1</v>
      </c>
    </row>
    <row r="351" spans="1:41" hidden="1">
      <c r="A351" s="12" t="s">
        <v>934</v>
      </c>
      <c r="B351" s="12"/>
      <c r="C351" s="12" t="s">
        <v>482</v>
      </c>
      <c r="D351" s="12"/>
      <c r="E351" s="12">
        <v>49361</v>
      </c>
      <c r="K351" s="2">
        <f t="shared" si="55"/>
        <v>0</v>
      </c>
      <c r="O351" s="2">
        <f t="shared" si="50"/>
        <v>0</v>
      </c>
      <c r="AE351" s="13">
        <f t="shared" si="51"/>
        <v>0</v>
      </c>
      <c r="AG351" s="7">
        <f t="shared" si="52"/>
        <v>0</v>
      </c>
      <c r="AI351" s="7" t="s">
        <v>839</v>
      </c>
      <c r="AK351" s="7" t="str">
        <f t="shared" si="53"/>
        <v>Miller City-New Cleveland Local (Two year Audit - CASH)</v>
      </c>
      <c r="AL351" s="7" t="str">
        <f>'St of Activities - GA Exp'!A351</f>
        <v>Miller City-New Cleveland Local (Two year Audit - CASH)</v>
      </c>
      <c r="AM351" s="7" t="b">
        <f t="shared" si="54"/>
        <v>1</v>
      </c>
      <c r="AN351" s="7" t="str">
        <f t="shared" si="49"/>
        <v>Putnam</v>
      </c>
      <c r="AO351" s="7" t="b">
        <f>C351='St of Activities - GA Exp'!C351</f>
        <v>1</v>
      </c>
    </row>
    <row r="352" spans="1:41" hidden="1">
      <c r="A352" s="12" t="s">
        <v>935</v>
      </c>
      <c r="B352" s="12"/>
      <c r="C352" s="12" t="s">
        <v>48</v>
      </c>
      <c r="D352" s="12"/>
      <c r="E352" s="12">
        <v>45518</v>
      </c>
      <c r="K352" s="2">
        <f t="shared" si="55"/>
        <v>0</v>
      </c>
      <c r="O352" s="2">
        <f t="shared" si="50"/>
        <v>0</v>
      </c>
      <c r="AE352" s="13">
        <f t="shared" si="51"/>
        <v>0</v>
      </c>
      <c r="AG352" s="7">
        <f t="shared" si="52"/>
        <v>0</v>
      </c>
      <c r="AI352" s="7" t="s">
        <v>903</v>
      </c>
      <c r="AK352" s="7" t="str">
        <f t="shared" si="53"/>
        <v>Milton-Union Exempted Village SD (CASH)</v>
      </c>
      <c r="AL352" s="7" t="str">
        <f>'St of Activities - GA Exp'!A352</f>
        <v>Milton-Union Exempted Village SD (CASH)</v>
      </c>
      <c r="AM352" s="7" t="b">
        <f t="shared" si="54"/>
        <v>1</v>
      </c>
      <c r="AN352" s="7" t="str">
        <f t="shared" si="49"/>
        <v>Miami</v>
      </c>
      <c r="AO352" s="7" t="b">
        <f>C352='St of Activities - GA Exp'!C352</f>
        <v>1</v>
      </c>
    </row>
    <row r="353" spans="1:41">
      <c r="A353" s="12" t="s">
        <v>517</v>
      </c>
      <c r="B353" s="12"/>
      <c r="C353" s="12" t="s">
        <v>62</v>
      </c>
      <c r="D353" s="12"/>
      <c r="E353" s="12">
        <v>49890</v>
      </c>
      <c r="G353" s="7">
        <v>524200</v>
      </c>
      <c r="I353" s="7">
        <v>121620</v>
      </c>
      <c r="K353" s="2">
        <f t="shared" si="55"/>
        <v>5725718</v>
      </c>
      <c r="M353" s="7">
        <v>6371538</v>
      </c>
      <c r="O353" s="2">
        <f t="shared" si="50"/>
        <v>1752520</v>
      </c>
      <c r="Q353" s="7">
        <v>4570570</v>
      </c>
      <c r="S353" s="7">
        <v>6323090</v>
      </c>
      <c r="U353" s="7">
        <v>255044</v>
      </c>
      <c r="W353" s="7">
        <v>121620</v>
      </c>
      <c r="Y353" s="7">
        <v>0</v>
      </c>
      <c r="AA353" s="7">
        <v>400</v>
      </c>
      <c r="AC353" s="7">
        <v>-328616</v>
      </c>
      <c r="AE353" s="13">
        <f t="shared" si="51"/>
        <v>48448</v>
      </c>
      <c r="AG353" s="7">
        <f t="shared" si="52"/>
        <v>0</v>
      </c>
      <c r="AK353" s="7" t="str">
        <f t="shared" si="53"/>
        <v>Minerva Local SD</v>
      </c>
      <c r="AL353" s="7" t="str">
        <f>'St of Activities - GA Exp'!A353</f>
        <v>Minerva Local SD</v>
      </c>
      <c r="AM353" s="7" t="b">
        <f t="shared" si="54"/>
        <v>1</v>
      </c>
      <c r="AN353" s="7" t="str">
        <f t="shared" si="49"/>
        <v>Stark</v>
      </c>
      <c r="AO353" s="7" t="b">
        <f>C353='St of Activities - GA Exp'!C353</f>
        <v>1</v>
      </c>
    </row>
    <row r="354" spans="1:41">
      <c r="A354" s="12" t="s">
        <v>497</v>
      </c>
      <c r="B354" s="12"/>
      <c r="C354" s="12" t="s">
        <v>59</v>
      </c>
      <c r="D354" s="12"/>
      <c r="E354" s="12">
        <v>49627</v>
      </c>
      <c r="G354" s="7">
        <v>757539</v>
      </c>
      <c r="I354" s="7">
        <v>281145</v>
      </c>
      <c r="K354" s="2">
        <f t="shared" si="55"/>
        <v>1979435</v>
      </c>
      <c r="M354" s="7">
        <v>3018119</v>
      </c>
      <c r="O354" s="2">
        <f t="shared" si="50"/>
        <v>1145050</v>
      </c>
      <c r="Q354" s="7">
        <v>1801828</v>
      </c>
      <c r="S354" s="7">
        <v>2946878</v>
      </c>
      <c r="U354" s="7">
        <v>0</v>
      </c>
      <c r="W354" s="7">
        <v>302744</v>
      </c>
      <c r="Y354" s="7">
        <v>52155</v>
      </c>
      <c r="AA354" s="7">
        <v>295290</v>
      </c>
      <c r="AC354" s="7">
        <v>-578948</v>
      </c>
      <c r="AE354" s="13">
        <f t="shared" si="51"/>
        <v>71241</v>
      </c>
      <c r="AG354" s="7">
        <f t="shared" si="52"/>
        <v>0</v>
      </c>
      <c r="AK354" s="7" t="str">
        <f t="shared" si="53"/>
        <v>Minford Local SD</v>
      </c>
      <c r="AL354" s="7" t="str">
        <f>'St of Activities - GA Exp'!A354</f>
        <v>Minford Local SD</v>
      </c>
      <c r="AM354" s="7" t="b">
        <f t="shared" si="54"/>
        <v>1</v>
      </c>
      <c r="AN354" s="7" t="str">
        <f t="shared" si="49"/>
        <v>Scioto</v>
      </c>
      <c r="AO354" s="7" t="b">
        <f>C354='St of Activities - GA Exp'!C354</f>
        <v>1</v>
      </c>
    </row>
    <row r="355" spans="1:41">
      <c r="A355" s="12" t="s">
        <v>214</v>
      </c>
      <c r="B355" s="12"/>
      <c r="C355" s="12" t="s">
        <v>14</v>
      </c>
      <c r="D355" s="12"/>
      <c r="E355" s="12">
        <v>45948</v>
      </c>
      <c r="G355" s="7">
        <v>473245</v>
      </c>
      <c r="I355" s="7">
        <v>10076</v>
      </c>
      <c r="K355" s="2">
        <f t="shared" si="55"/>
        <v>3499175</v>
      </c>
      <c r="M355" s="7">
        <v>3982496</v>
      </c>
      <c r="O355" s="2">
        <f t="shared" si="50"/>
        <v>1081760</v>
      </c>
      <c r="Q355" s="7">
        <v>2664222</v>
      </c>
      <c r="S355" s="7">
        <v>3745982</v>
      </c>
      <c r="U355" s="7">
        <v>37500</v>
      </c>
      <c r="W355" s="7">
        <v>10076</v>
      </c>
      <c r="Y355" s="7">
        <v>0</v>
      </c>
      <c r="AA355" s="7">
        <v>14481</v>
      </c>
      <c r="AC355" s="7">
        <v>174457</v>
      </c>
      <c r="AE355" s="13">
        <f t="shared" si="51"/>
        <v>236514</v>
      </c>
      <c r="AG355" s="7">
        <f t="shared" si="52"/>
        <v>0</v>
      </c>
      <c r="AK355" s="7" t="str">
        <f t="shared" si="53"/>
        <v>Minster Local SD</v>
      </c>
      <c r="AL355" s="7" t="str">
        <f>'St of Activities - GA Exp'!A355</f>
        <v>Minster Local SD</v>
      </c>
      <c r="AM355" s="7" t="b">
        <f t="shared" si="54"/>
        <v>1</v>
      </c>
      <c r="AN355" s="7" t="str">
        <f t="shared" si="49"/>
        <v>Auglaize</v>
      </c>
      <c r="AO355" s="7" t="b">
        <f>C355='St of Activities - GA Exp'!C355</f>
        <v>1</v>
      </c>
    </row>
    <row r="356" spans="1:41" hidden="1">
      <c r="A356" s="12" t="s">
        <v>669</v>
      </c>
      <c r="B356" s="12"/>
      <c r="C356" s="12" t="s">
        <v>21</v>
      </c>
      <c r="D356" s="12"/>
      <c r="E356" s="12">
        <v>46672</v>
      </c>
      <c r="K356" s="2">
        <f t="shared" si="55"/>
        <v>0</v>
      </c>
      <c r="O356" s="2">
        <f t="shared" si="50"/>
        <v>0</v>
      </c>
      <c r="AE356" s="13">
        <f t="shared" si="51"/>
        <v>0</v>
      </c>
      <c r="AG356" s="7">
        <f t="shared" si="52"/>
        <v>0</v>
      </c>
      <c r="AI356" s="7" t="s">
        <v>839</v>
      </c>
      <c r="AK356" s="7" t="str">
        <f t="shared" si="53"/>
        <v>Mississinawa Valley Local SD  (CASH)</v>
      </c>
      <c r="AL356" s="7" t="str">
        <f>'St of Activities - GA Exp'!A356</f>
        <v>Mississinawa Valley Local SD  (CASH)</v>
      </c>
      <c r="AM356" s="7" t="b">
        <f t="shared" si="54"/>
        <v>1</v>
      </c>
      <c r="AN356" s="7" t="str">
        <f t="shared" si="49"/>
        <v>Darke</v>
      </c>
      <c r="AO356" s="7" t="b">
        <f>C356='St of Activities - GA Exp'!C356</f>
        <v>1</v>
      </c>
    </row>
    <row r="357" spans="1:41">
      <c r="A357" s="12" t="s">
        <v>526</v>
      </c>
      <c r="B357" s="12"/>
      <c r="C357" s="12" t="s">
        <v>63</v>
      </c>
      <c r="D357" s="12"/>
      <c r="E357" s="12">
        <v>50039</v>
      </c>
      <c r="G357" s="7">
        <v>3259829</v>
      </c>
      <c r="I357" s="7">
        <v>156268</v>
      </c>
      <c r="K357" s="2">
        <f t="shared" si="55"/>
        <v>2767395</v>
      </c>
      <c r="M357" s="7">
        <v>6183492</v>
      </c>
      <c r="O357" s="2">
        <f t="shared" si="50"/>
        <v>978546</v>
      </c>
      <c r="Q357" s="7">
        <v>2382460</v>
      </c>
      <c r="S357" s="7">
        <v>3361006</v>
      </c>
      <c r="U357" s="7">
        <v>0</v>
      </c>
      <c r="W357" s="7">
        <v>124500</v>
      </c>
      <c r="Y357" s="7">
        <v>0</v>
      </c>
      <c r="AA357" s="7">
        <v>201671</v>
      </c>
      <c r="AC357" s="7">
        <v>2496315</v>
      </c>
      <c r="AE357" s="13">
        <f t="shared" si="51"/>
        <v>2822486</v>
      </c>
      <c r="AG357" s="7">
        <f t="shared" si="52"/>
        <v>0</v>
      </c>
      <c r="AK357" s="7" t="str">
        <f t="shared" si="53"/>
        <v>Mogadore Local SD</v>
      </c>
      <c r="AL357" s="7" t="str">
        <f>'St of Activities - GA Exp'!A357</f>
        <v>Mogadore Local SD</v>
      </c>
      <c r="AM357" s="7" t="b">
        <f t="shared" si="54"/>
        <v>1</v>
      </c>
      <c r="AN357" s="7" t="str">
        <f t="shared" si="49"/>
        <v>Summit</v>
      </c>
      <c r="AO357" s="7" t="b">
        <f>C357='St of Activities - GA Exp'!C357</f>
        <v>1</v>
      </c>
    </row>
    <row r="358" spans="1:41" hidden="1">
      <c r="A358" s="12" t="s">
        <v>648</v>
      </c>
      <c r="B358" s="12"/>
      <c r="C358" s="12" t="s">
        <v>577</v>
      </c>
      <c r="D358" s="12"/>
      <c r="E358" s="12">
        <v>50740</v>
      </c>
      <c r="K358" s="2">
        <f t="shared" si="55"/>
        <v>0</v>
      </c>
      <c r="O358" s="2">
        <f t="shared" si="50"/>
        <v>0</v>
      </c>
      <c r="AE358" s="13">
        <f t="shared" si="51"/>
        <v>0</v>
      </c>
      <c r="AG358" s="7">
        <f t="shared" si="52"/>
        <v>0</v>
      </c>
      <c r="AI358" s="7" t="s">
        <v>839</v>
      </c>
      <c r="AK358" s="7" t="str">
        <f t="shared" si="53"/>
        <v>Mohawk Local SD (CASH)</v>
      </c>
      <c r="AL358" s="7" t="str">
        <f>'St of Activities - GA Exp'!A358</f>
        <v>Mohawk Local SD (CASH)</v>
      </c>
      <c r="AM358" s="7" t="b">
        <f t="shared" si="54"/>
        <v>1</v>
      </c>
      <c r="AN358" s="7" t="str">
        <f t="shared" si="49"/>
        <v>Wyandot</v>
      </c>
      <c r="AO358" s="7" t="b">
        <f>C358='St of Activities - GA Exp'!C358</f>
        <v>1</v>
      </c>
    </row>
    <row r="359" spans="1:41">
      <c r="A359" s="12" t="s">
        <v>229</v>
      </c>
      <c r="B359" s="12"/>
      <c r="C359" s="12" t="s">
        <v>223</v>
      </c>
      <c r="D359" s="12"/>
      <c r="E359" s="12">
        <v>139303</v>
      </c>
      <c r="G359" s="7">
        <v>0</v>
      </c>
      <c r="I359" s="7">
        <v>292237</v>
      </c>
      <c r="K359" s="2">
        <f t="shared" si="55"/>
        <v>11572265</v>
      </c>
      <c r="M359" s="7">
        <v>11864502</v>
      </c>
      <c r="O359" s="2">
        <f t="shared" si="50"/>
        <v>6380664</v>
      </c>
      <c r="Q359" s="7">
        <v>11284102</v>
      </c>
      <c r="S359" s="7">
        <v>17664766</v>
      </c>
      <c r="U359" s="7">
        <v>0</v>
      </c>
      <c r="W359" s="7">
        <v>292237</v>
      </c>
      <c r="Y359" s="7">
        <v>24651</v>
      </c>
      <c r="AA359" s="7">
        <v>232357</v>
      </c>
      <c r="AC359" s="7">
        <v>-6349509</v>
      </c>
      <c r="AE359" s="13">
        <f t="shared" si="51"/>
        <v>-5800264</v>
      </c>
      <c r="AG359" s="7">
        <f t="shared" si="52"/>
        <v>0</v>
      </c>
      <c r="AI359" s="7" t="s">
        <v>936</v>
      </c>
      <c r="AK359" s="7" t="str">
        <f t="shared" si="53"/>
        <v>Monroe Local SD</v>
      </c>
      <c r="AL359" s="7" t="str">
        <f>'St of Activities - GA Exp'!A359</f>
        <v>Monroe Local SD</v>
      </c>
      <c r="AM359" s="7" t="b">
        <f t="shared" si="54"/>
        <v>1</v>
      </c>
      <c r="AN359" s="7" t="str">
        <f t="shared" si="49"/>
        <v>Butler</v>
      </c>
      <c r="AO359" s="7" t="b">
        <f>C359='St of Activities - GA Exp'!C359</f>
        <v>1</v>
      </c>
    </row>
    <row r="360" spans="1:41" s="32" customFormat="1">
      <c r="A360" s="31" t="s">
        <v>366</v>
      </c>
      <c r="B360" s="31"/>
      <c r="C360" s="31" t="s">
        <v>37</v>
      </c>
      <c r="D360" s="31"/>
      <c r="E360" s="31">
        <v>47712</v>
      </c>
      <c r="G360" s="32">
        <v>725402</v>
      </c>
      <c r="I360" s="32">
        <v>122118</v>
      </c>
      <c r="K360" s="34">
        <f t="shared" si="55"/>
        <v>2627604</v>
      </c>
      <c r="M360" s="32">
        <v>3475124</v>
      </c>
      <c r="O360" s="34">
        <f t="shared" si="50"/>
        <v>801087</v>
      </c>
      <c r="Q360" s="32">
        <f>122729+1813121</f>
        <v>1935850</v>
      </c>
      <c r="S360" s="32">
        <v>2736937</v>
      </c>
      <c r="U360" s="32">
        <v>2219</v>
      </c>
      <c r="W360" s="32">
        <v>122766</v>
      </c>
      <c r="Y360" s="32">
        <v>0</v>
      </c>
      <c r="AA360" s="32">
        <v>23074</v>
      </c>
      <c r="AC360" s="32">
        <v>590128</v>
      </c>
      <c r="AE360" s="45">
        <f t="shared" si="51"/>
        <v>738187</v>
      </c>
      <c r="AG360" s="32">
        <f t="shared" si="52"/>
        <v>0</v>
      </c>
      <c r="AK360" s="32" t="str">
        <f t="shared" si="53"/>
        <v>Monroeville Local SD</v>
      </c>
      <c r="AL360" s="32" t="str">
        <f>'St of Activities - GA Exp'!A360</f>
        <v>Monroeville Local SD</v>
      </c>
      <c r="AM360" s="32" t="b">
        <f t="shared" si="54"/>
        <v>1</v>
      </c>
      <c r="AN360" s="32" t="str">
        <f t="shared" si="49"/>
        <v>Huron</v>
      </c>
      <c r="AO360" s="32" t="b">
        <f>C360='St of Activities - GA Exp'!C360</f>
        <v>1</v>
      </c>
    </row>
    <row r="361" spans="1:41" hidden="1">
      <c r="A361" s="12" t="s">
        <v>937</v>
      </c>
      <c r="B361" s="12"/>
      <c r="C361" s="12" t="s">
        <v>570</v>
      </c>
      <c r="D361" s="12"/>
      <c r="E361" s="12">
        <v>45526</v>
      </c>
      <c r="K361" s="2">
        <f t="shared" si="55"/>
        <v>0</v>
      </c>
      <c r="O361" s="2">
        <f t="shared" si="50"/>
        <v>0</v>
      </c>
      <c r="AE361" s="13">
        <f t="shared" si="51"/>
        <v>0</v>
      </c>
      <c r="AG361" s="7">
        <f t="shared" si="52"/>
        <v>0</v>
      </c>
      <c r="AI361" s="7" t="s">
        <v>912</v>
      </c>
      <c r="AK361" s="7" t="str">
        <f t="shared" si="53"/>
        <v>Montpelier Exempted Village SD (CASH)</v>
      </c>
      <c r="AL361" s="7" t="str">
        <f>'St of Activities - GA Exp'!A361</f>
        <v>Montpelier Exempted Village SD (CASH)</v>
      </c>
      <c r="AM361" s="7" t="b">
        <f t="shared" si="54"/>
        <v>1</v>
      </c>
      <c r="AN361" s="7" t="str">
        <f t="shared" si="49"/>
        <v>Williams</v>
      </c>
      <c r="AO361" s="7" t="b">
        <f>C361='St of Activities - GA Exp'!C361</f>
        <v>1</v>
      </c>
    </row>
    <row r="362" spans="1:41">
      <c r="A362" s="12" t="s">
        <v>452</v>
      </c>
      <c r="B362" s="12"/>
      <c r="C362" s="12" t="s">
        <v>453</v>
      </c>
      <c r="D362" s="12"/>
      <c r="E362" s="12">
        <v>48777</v>
      </c>
      <c r="G362" s="7">
        <v>6244318</v>
      </c>
      <c r="I362" s="7">
        <v>253075</v>
      </c>
      <c r="K362" s="2">
        <f t="shared" si="55"/>
        <v>4719412</v>
      </c>
      <c r="M362" s="7">
        <v>11216805</v>
      </c>
      <c r="O362" s="2">
        <f t="shared" si="50"/>
        <v>1904723</v>
      </c>
      <c r="Q362" s="7">
        <v>4373012</v>
      </c>
      <c r="S362" s="7">
        <v>6277735</v>
      </c>
      <c r="U362" s="7">
        <v>49209</v>
      </c>
      <c r="W362" s="7">
        <v>253075</v>
      </c>
      <c r="Y362" s="7">
        <v>0</v>
      </c>
      <c r="AA362" s="7">
        <v>522552</v>
      </c>
      <c r="AC362" s="7">
        <v>4114234</v>
      </c>
      <c r="AE362" s="13">
        <f t="shared" si="51"/>
        <v>4939070</v>
      </c>
      <c r="AG362" s="7">
        <f t="shared" si="52"/>
        <v>0</v>
      </c>
      <c r="AK362" s="7" t="str">
        <f t="shared" si="53"/>
        <v>Morgan Local SD</v>
      </c>
      <c r="AL362" s="7" t="str">
        <f>'St of Activities - GA Exp'!A362</f>
        <v>Morgan Local SD</v>
      </c>
      <c r="AM362" s="7" t="b">
        <f t="shared" si="54"/>
        <v>1</v>
      </c>
      <c r="AN362" s="7" t="str">
        <f t="shared" si="49"/>
        <v>Morgan</v>
      </c>
      <c r="AO362" s="7" t="b">
        <f>C362='St of Activities - GA Exp'!C362</f>
        <v>1</v>
      </c>
    </row>
    <row r="363" spans="1:41">
      <c r="A363" s="12" t="s">
        <v>880</v>
      </c>
      <c r="B363" s="12"/>
      <c r="C363" s="12" t="s">
        <v>78</v>
      </c>
      <c r="D363" s="12"/>
      <c r="E363" s="12">
        <v>45534</v>
      </c>
      <c r="G363" s="7">
        <v>2948848</v>
      </c>
      <c r="I363" s="7">
        <v>0</v>
      </c>
      <c r="K363" s="2">
        <f t="shared" si="55"/>
        <v>5022250</v>
      </c>
      <c r="M363" s="7">
        <v>7971098</v>
      </c>
      <c r="O363" s="2">
        <f t="shared" si="50"/>
        <v>1139199</v>
      </c>
      <c r="Q363" s="7">
        <v>3915772</v>
      </c>
      <c r="S363" s="7">
        <v>5054971</v>
      </c>
      <c r="U363" s="7">
        <v>0</v>
      </c>
      <c r="W363" s="7">
        <v>0</v>
      </c>
      <c r="Y363" s="7">
        <v>0</v>
      </c>
      <c r="AA363" s="7">
        <v>58012</v>
      </c>
      <c r="AC363" s="7">
        <v>2858115</v>
      </c>
      <c r="AE363" s="13">
        <f t="shared" si="51"/>
        <v>2916127</v>
      </c>
      <c r="AG363" s="7">
        <f t="shared" si="52"/>
        <v>0</v>
      </c>
      <c r="AK363" s="7" t="str">
        <f t="shared" si="53"/>
        <v>Mount Gilead Exempted Village SD</v>
      </c>
      <c r="AL363" s="7" t="str">
        <f>'St of Activities - GA Exp'!A363</f>
        <v>Mount Gilead Exempted Village SD</v>
      </c>
      <c r="AM363" s="7" t="b">
        <f t="shared" si="54"/>
        <v>1</v>
      </c>
      <c r="AN363" s="7" t="str">
        <f t="shared" si="49"/>
        <v>Morrow</v>
      </c>
      <c r="AO363" s="7" t="b">
        <f>C363='St of Activities - GA Exp'!C363</f>
        <v>1</v>
      </c>
    </row>
    <row r="364" spans="1:41">
      <c r="A364" s="12" t="s">
        <v>375</v>
      </c>
      <c r="B364" s="12"/>
      <c r="C364" s="12" t="s">
        <v>40</v>
      </c>
      <c r="D364" s="12"/>
      <c r="E364" s="12">
        <v>44420</v>
      </c>
      <c r="G364" s="7">
        <v>2207406</v>
      </c>
      <c r="I364" s="7">
        <v>879471</v>
      </c>
      <c r="K364" s="2">
        <f t="shared" si="55"/>
        <v>12928022</v>
      </c>
      <c r="M364" s="7">
        <v>16014899</v>
      </c>
      <c r="O364" s="2">
        <f t="shared" si="50"/>
        <v>4197411</v>
      </c>
      <c r="Q364" s="7">
        <f>89566+7517225</f>
        <v>7606791</v>
      </c>
      <c r="S364" s="7">
        <v>11804202</v>
      </c>
      <c r="U364" s="7">
        <f>1279+2252</f>
        <v>3531</v>
      </c>
      <c r="W364" s="7">
        <v>879471</v>
      </c>
      <c r="Y364" s="7">
        <v>0</v>
      </c>
      <c r="AA364" s="7">
        <f>28192+218508+59311+4583</f>
        <v>310594</v>
      </c>
      <c r="AC364" s="7">
        <v>3017101</v>
      </c>
      <c r="AE364" s="13">
        <f t="shared" si="51"/>
        <v>4210697</v>
      </c>
      <c r="AG364" s="7">
        <f t="shared" si="52"/>
        <v>0</v>
      </c>
      <c r="AK364" s="7" t="str">
        <f t="shared" si="53"/>
        <v>Mount Vernon City SD</v>
      </c>
      <c r="AL364" s="7" t="str">
        <f>'St of Activities - GA Exp'!A364</f>
        <v>Mount Vernon City SD</v>
      </c>
      <c r="AM364" s="7" t="b">
        <f t="shared" si="54"/>
        <v>1</v>
      </c>
      <c r="AN364" s="7" t="str">
        <f t="shared" si="49"/>
        <v>Knox</v>
      </c>
      <c r="AO364" s="7" t="b">
        <f>C364='St of Activities - GA Exp'!C364</f>
        <v>1</v>
      </c>
    </row>
    <row r="365" spans="1:41">
      <c r="A365" s="12" t="s">
        <v>751</v>
      </c>
      <c r="B365" s="12"/>
      <c r="C365" s="12" t="s">
        <v>32</v>
      </c>
      <c r="D365" s="12"/>
      <c r="E365" s="12">
        <v>44412</v>
      </c>
      <c r="G365" s="7">
        <v>948955</v>
      </c>
      <c r="I365" s="7">
        <v>948824</v>
      </c>
      <c r="K365" s="2">
        <f t="shared" si="55"/>
        <v>12703045</v>
      </c>
      <c r="M365" s="7">
        <v>14600824</v>
      </c>
      <c r="O365" s="2">
        <f t="shared" si="50"/>
        <v>4146507</v>
      </c>
      <c r="Q365" s="7">
        <v>7716243</v>
      </c>
      <c r="S365" s="7">
        <v>11862750</v>
      </c>
      <c r="U365" s="7">
        <v>0</v>
      </c>
      <c r="W365" s="7">
        <v>779937</v>
      </c>
      <c r="Y365" s="7">
        <v>0</v>
      </c>
      <c r="AA365" s="7">
        <v>606106</v>
      </c>
      <c r="AC365" s="7">
        <v>1352031</v>
      </c>
      <c r="AE365" s="13">
        <f t="shared" si="51"/>
        <v>2738074</v>
      </c>
      <c r="AG365" s="7">
        <f t="shared" si="52"/>
        <v>0</v>
      </c>
      <c r="AK365" s="7" t="str">
        <f t="shared" si="53"/>
        <v xml:space="preserve">Mt. Healthy City SD </v>
      </c>
      <c r="AL365" s="7" t="str">
        <f>'St of Activities - GA Exp'!A365</f>
        <v xml:space="preserve">Mt. Healthy City SD </v>
      </c>
      <c r="AM365" s="7" t="b">
        <f t="shared" si="54"/>
        <v>1</v>
      </c>
      <c r="AN365" s="7" t="str">
        <f t="shared" si="49"/>
        <v>Hamilton</v>
      </c>
      <c r="AO365" s="7" t="b">
        <f>C365='St of Activities - GA Exp'!C365</f>
        <v>1</v>
      </c>
    </row>
    <row r="366" spans="1:41">
      <c r="A366" s="12" t="s">
        <v>356</v>
      </c>
      <c r="B366" s="12"/>
      <c r="C366" s="12" t="s">
        <v>34</v>
      </c>
      <c r="D366" s="12"/>
      <c r="E366" s="12">
        <v>44438</v>
      </c>
      <c r="G366" s="7">
        <v>9473469</v>
      </c>
      <c r="I366" s="7">
        <v>51337</v>
      </c>
      <c r="K366" s="2">
        <f t="shared" si="55"/>
        <v>10757891</v>
      </c>
      <c r="M366" s="7">
        <v>20282697</v>
      </c>
      <c r="O366" s="2">
        <f t="shared" si="50"/>
        <v>2605929</v>
      </c>
      <c r="Q366" s="7">
        <v>9644821</v>
      </c>
      <c r="S366" s="7">
        <v>12250750</v>
      </c>
      <c r="U366" s="7">
        <v>153742</v>
      </c>
      <c r="W366" s="7">
        <v>0</v>
      </c>
      <c r="Y366" s="7">
        <v>0</v>
      </c>
      <c r="AA366" s="7">
        <v>534131</v>
      </c>
      <c r="AC366" s="7">
        <v>7344074</v>
      </c>
      <c r="AE366" s="13">
        <f t="shared" si="51"/>
        <v>8031947</v>
      </c>
      <c r="AG366" s="7">
        <f t="shared" si="52"/>
        <v>0</v>
      </c>
      <c r="AK366" s="7" t="str">
        <f t="shared" si="53"/>
        <v>Napoleon Area City SD</v>
      </c>
      <c r="AL366" s="7" t="str">
        <f>'St of Activities - GA Exp'!A366</f>
        <v>Napoleon Area City SD</v>
      </c>
      <c r="AM366" s="7" t="b">
        <f t="shared" si="54"/>
        <v>1</v>
      </c>
      <c r="AN366" s="7" t="str">
        <f t="shared" si="49"/>
        <v>Henry</v>
      </c>
      <c r="AO366" s="7" t="b">
        <f>C366='St of Activities - GA Exp'!C366</f>
        <v>1</v>
      </c>
    </row>
    <row r="367" spans="1:41" hidden="1">
      <c r="A367" s="12" t="s">
        <v>874</v>
      </c>
      <c r="B367" s="12"/>
      <c r="C367" s="12" t="s">
        <v>57</v>
      </c>
      <c r="D367" s="12"/>
      <c r="E367" s="12"/>
      <c r="K367" s="2"/>
      <c r="O367" s="2"/>
      <c r="AE367" s="13"/>
      <c r="AI367" s="7" t="s">
        <v>938</v>
      </c>
      <c r="AK367" s="7" t="str">
        <f t="shared" ref="AK367" si="59">A367</f>
        <v>National Trail Local SD (CASH)</v>
      </c>
      <c r="AL367" s="7" t="str">
        <f>'St of Activities - GA Exp'!A367</f>
        <v>National Trail Local SD (CASH)</v>
      </c>
      <c r="AM367" s="7" t="b">
        <f t="shared" ref="AM367" si="60">AK367=AL367</f>
        <v>1</v>
      </c>
      <c r="AN367" s="7" t="str">
        <f t="shared" si="49"/>
        <v>Preble</v>
      </c>
      <c r="AO367" s="7" t="b">
        <f>C367='St of Activities - GA Exp'!C367</f>
        <v>1</v>
      </c>
    </row>
    <row r="368" spans="1:41">
      <c r="A368" s="12" t="s">
        <v>212</v>
      </c>
      <c r="B368" s="12"/>
      <c r="C368" s="12" t="s">
        <v>13</v>
      </c>
      <c r="D368" s="12"/>
      <c r="E368" s="12">
        <v>44446</v>
      </c>
      <c r="G368" s="7">
        <v>2576997</v>
      </c>
      <c r="I368" s="7">
        <v>165990</v>
      </c>
      <c r="K368" s="2">
        <f t="shared" si="55"/>
        <v>2161213</v>
      </c>
      <c r="M368" s="7">
        <v>4904200</v>
      </c>
      <c r="O368" s="2">
        <f t="shared" si="50"/>
        <v>1282089</v>
      </c>
      <c r="Q368" s="7">
        <v>1935153</v>
      </c>
      <c r="S368" s="7">
        <v>3217242</v>
      </c>
      <c r="U368" s="7">
        <v>2355</v>
      </c>
      <c r="W368" s="7">
        <v>165269</v>
      </c>
      <c r="Y368" s="7">
        <v>721</v>
      </c>
      <c r="AA368" s="7">
        <v>72466</v>
      </c>
      <c r="AC368" s="7">
        <v>1446147</v>
      </c>
      <c r="AE368" s="13">
        <f t="shared" si="51"/>
        <v>1686958</v>
      </c>
      <c r="AG368" s="7">
        <f t="shared" si="52"/>
        <v>0</v>
      </c>
      <c r="AK368" s="7" t="str">
        <f t="shared" si="53"/>
        <v>Nelsonville-York City SD</v>
      </c>
      <c r="AL368" s="7" t="str">
        <f>'St of Activities - GA Exp'!A368</f>
        <v>Nelsonville-York City SD</v>
      </c>
      <c r="AM368" s="7" t="b">
        <f t="shared" si="54"/>
        <v>1</v>
      </c>
      <c r="AN368" s="7" t="str">
        <f t="shared" si="49"/>
        <v>Athens</v>
      </c>
      <c r="AO368" s="7" t="b">
        <f>C368='St of Activities - GA Exp'!C368</f>
        <v>1</v>
      </c>
    </row>
    <row r="369" spans="1:41">
      <c r="A369" s="12" t="s">
        <v>633</v>
      </c>
      <c r="B369" s="12"/>
      <c r="C369" s="12" t="s">
        <v>27</v>
      </c>
      <c r="D369" s="12"/>
      <c r="E369" s="12">
        <v>44461</v>
      </c>
      <c r="G369" s="7">
        <v>19316746</v>
      </c>
      <c r="I369" s="7">
        <v>0</v>
      </c>
      <c r="K369" s="2">
        <f t="shared" si="55"/>
        <v>40805940</v>
      </c>
      <c r="M369" s="7">
        <v>60122686</v>
      </c>
      <c r="O369" s="2">
        <f t="shared" si="50"/>
        <v>6876247</v>
      </c>
      <c r="Q369" s="7">
        <v>25875500</v>
      </c>
      <c r="S369" s="7">
        <v>32751747</v>
      </c>
      <c r="U369" s="7">
        <v>0</v>
      </c>
      <c r="W369" s="7">
        <v>0</v>
      </c>
      <c r="Y369" s="7">
        <v>0</v>
      </c>
      <c r="AA369" s="7">
        <v>664139</v>
      </c>
      <c r="AC369" s="7">
        <v>26706800</v>
      </c>
      <c r="AE369" s="13">
        <f t="shared" si="51"/>
        <v>27370939</v>
      </c>
      <c r="AG369" s="7">
        <f t="shared" si="52"/>
        <v>0</v>
      </c>
      <c r="AK369" s="7" t="str">
        <f t="shared" si="53"/>
        <v>New Albany-Plain Local SD</v>
      </c>
      <c r="AL369" s="7" t="str">
        <f>'St of Activities - GA Exp'!A369</f>
        <v>New Albany-Plain Local SD</v>
      </c>
      <c r="AM369" s="7" t="b">
        <f t="shared" si="54"/>
        <v>1</v>
      </c>
      <c r="AN369" s="7" t="str">
        <f t="shared" si="49"/>
        <v>Franklin</v>
      </c>
      <c r="AO369" s="7" t="b">
        <f>C369='St of Activities - GA Exp'!C369</f>
        <v>1</v>
      </c>
    </row>
    <row r="370" spans="1:41">
      <c r="A370" s="12" t="s">
        <v>498</v>
      </c>
      <c r="B370" s="12"/>
      <c r="C370" s="12" t="s">
        <v>59</v>
      </c>
      <c r="D370" s="12"/>
      <c r="E370" s="12">
        <v>44461</v>
      </c>
      <c r="G370" s="7">
        <v>1700678</v>
      </c>
      <c r="I370" s="7">
        <v>0</v>
      </c>
      <c r="K370" s="2">
        <f t="shared" si="55"/>
        <v>1680854</v>
      </c>
      <c r="M370" s="7">
        <v>3381532</v>
      </c>
      <c r="O370" s="2">
        <f t="shared" si="50"/>
        <v>415243</v>
      </c>
      <c r="Q370" s="7">
        <v>1519630</v>
      </c>
      <c r="S370" s="7">
        <v>1934873</v>
      </c>
      <c r="U370" s="7">
        <v>23882</v>
      </c>
      <c r="W370" s="7">
        <v>0</v>
      </c>
      <c r="Y370" s="7">
        <v>0</v>
      </c>
      <c r="AA370" s="7">
        <v>19914</v>
      </c>
      <c r="AC370" s="7">
        <v>1402863</v>
      </c>
      <c r="AE370" s="13">
        <f t="shared" si="51"/>
        <v>1446659</v>
      </c>
      <c r="AG370" s="7">
        <f t="shared" si="52"/>
        <v>0</v>
      </c>
      <c r="AK370" s="7" t="str">
        <f t="shared" si="53"/>
        <v>New Boston Local SD</v>
      </c>
      <c r="AL370" s="7" t="str">
        <f>'St of Activities - GA Exp'!A370</f>
        <v>New Boston Local SD</v>
      </c>
      <c r="AM370" s="7" t="b">
        <f t="shared" si="54"/>
        <v>1</v>
      </c>
      <c r="AN370" s="7" t="str">
        <f t="shared" si="49"/>
        <v>Scioto</v>
      </c>
      <c r="AO370" s="7" t="b">
        <f>C370='St of Activities - GA Exp'!C370</f>
        <v>1</v>
      </c>
    </row>
    <row r="371" spans="1:41">
      <c r="A371" s="12" t="s">
        <v>215</v>
      </c>
      <c r="B371" s="12"/>
      <c r="C371" s="12" t="s">
        <v>14</v>
      </c>
      <c r="D371" s="12"/>
      <c r="E371" s="12">
        <v>45955</v>
      </c>
      <c r="G371" s="7">
        <v>5874210</v>
      </c>
      <c r="I371" s="7">
        <v>24206</v>
      </c>
      <c r="K371" s="2">
        <f t="shared" si="55"/>
        <v>2858806</v>
      </c>
      <c r="M371" s="7">
        <v>8757222</v>
      </c>
      <c r="O371" s="2">
        <f t="shared" si="50"/>
        <v>1097220</v>
      </c>
      <c r="Q371" s="7">
        <v>1896577</v>
      </c>
      <c r="S371" s="7">
        <v>2993797</v>
      </c>
      <c r="U371" s="7">
        <v>16752</v>
      </c>
      <c r="W371" s="7">
        <v>24206</v>
      </c>
      <c r="Y371" s="7">
        <v>0</v>
      </c>
      <c r="AA371" s="7">
        <v>13879</v>
      </c>
      <c r="AC371" s="7">
        <v>5708588</v>
      </c>
      <c r="AE371" s="13">
        <f t="shared" si="51"/>
        <v>5763425</v>
      </c>
      <c r="AG371" s="7">
        <f t="shared" si="52"/>
        <v>0</v>
      </c>
      <c r="AK371" s="7" t="str">
        <f t="shared" si="53"/>
        <v>New Bremen Local SD</v>
      </c>
      <c r="AL371" s="7" t="str">
        <f>'St of Activities - GA Exp'!A371</f>
        <v>New Bremen Local SD</v>
      </c>
      <c r="AM371" s="7" t="b">
        <f t="shared" si="54"/>
        <v>1</v>
      </c>
      <c r="AN371" s="7" t="str">
        <f t="shared" si="49"/>
        <v>Auglaize</v>
      </c>
      <c r="AO371" s="7" t="b">
        <f>C371='St of Activities - GA Exp'!C371</f>
        <v>1</v>
      </c>
    </row>
    <row r="372" spans="1:41" hidden="1">
      <c r="A372" s="12" t="s">
        <v>745</v>
      </c>
      <c r="B372" s="12"/>
      <c r="C372" s="12" t="s">
        <v>14</v>
      </c>
      <c r="D372" s="12"/>
      <c r="E372" s="12">
        <v>45963</v>
      </c>
      <c r="K372" s="2">
        <f t="shared" si="55"/>
        <v>0</v>
      </c>
      <c r="O372" s="2">
        <f t="shared" si="50"/>
        <v>0</v>
      </c>
      <c r="AE372" s="13">
        <f t="shared" si="51"/>
        <v>0</v>
      </c>
      <c r="AG372" s="7">
        <f t="shared" si="52"/>
        <v>0</v>
      </c>
      <c r="AI372" s="7" t="s">
        <v>839</v>
      </c>
      <c r="AK372" s="7" t="str">
        <f t="shared" si="53"/>
        <v>New Knoxville Local SD (CASH)</v>
      </c>
      <c r="AL372" s="7" t="str">
        <f>'St of Activities - GA Exp'!A372</f>
        <v>New Knoxville Local SD (CASH)</v>
      </c>
      <c r="AM372" s="7" t="b">
        <f t="shared" si="54"/>
        <v>1</v>
      </c>
      <c r="AN372" s="7" t="str">
        <f t="shared" si="49"/>
        <v>Auglaize</v>
      </c>
      <c r="AO372" s="7" t="b">
        <f>C372='St of Activities - GA Exp'!C372</f>
        <v>1</v>
      </c>
    </row>
    <row r="373" spans="1:41">
      <c r="A373" s="12" t="s">
        <v>446</v>
      </c>
      <c r="B373" s="12"/>
      <c r="C373" s="12" t="s">
        <v>50</v>
      </c>
      <c r="D373" s="12"/>
      <c r="E373" s="12">
        <v>48710</v>
      </c>
      <c r="G373" s="7">
        <v>4907985</v>
      </c>
      <c r="I373" s="7">
        <v>113154</v>
      </c>
      <c r="K373" s="2">
        <f t="shared" si="55"/>
        <v>2848907</v>
      </c>
      <c r="M373" s="7">
        <v>7870046</v>
      </c>
      <c r="O373" s="2">
        <f t="shared" si="50"/>
        <v>1470940</v>
      </c>
      <c r="Q373" s="7">
        <f>152793+1985599</f>
        <v>2138392</v>
      </c>
      <c r="S373" s="7">
        <v>3609332</v>
      </c>
      <c r="U373" s="7">
        <v>10204</v>
      </c>
      <c r="W373" s="7">
        <v>113154</v>
      </c>
      <c r="Y373" s="7">
        <v>0</v>
      </c>
      <c r="AA373" s="7">
        <f>6526+167342</f>
        <v>173868</v>
      </c>
      <c r="AC373" s="7">
        <v>3963488</v>
      </c>
      <c r="AE373" s="13">
        <f t="shared" si="51"/>
        <v>4260714</v>
      </c>
      <c r="AG373" s="7">
        <f t="shared" si="52"/>
        <v>0</v>
      </c>
      <c r="AK373" s="7" t="str">
        <f t="shared" si="53"/>
        <v>New Lebanon Local SD</v>
      </c>
      <c r="AL373" s="7" t="str">
        <f>'St of Activities - GA Exp'!A373</f>
        <v>New Lebanon Local SD</v>
      </c>
      <c r="AM373" s="7" t="b">
        <f t="shared" si="54"/>
        <v>1</v>
      </c>
      <c r="AN373" s="7" t="str">
        <f t="shared" si="49"/>
        <v>Montgomery</v>
      </c>
      <c r="AO373" s="7" t="b">
        <f>C373='St of Activities - GA Exp'!C373</f>
        <v>1</v>
      </c>
    </row>
    <row r="374" spans="1:41" hidden="1">
      <c r="A374" s="12" t="s">
        <v>939</v>
      </c>
      <c r="B374" s="12"/>
      <c r="C374" s="12" t="s">
        <v>466</v>
      </c>
      <c r="D374" s="12"/>
      <c r="E374" s="12">
        <v>44479</v>
      </c>
      <c r="K374" s="2">
        <f t="shared" si="55"/>
        <v>0</v>
      </c>
      <c r="O374" s="2">
        <f t="shared" si="50"/>
        <v>0</v>
      </c>
      <c r="AE374" s="13">
        <f t="shared" si="51"/>
        <v>0</v>
      </c>
      <c r="AG374" s="7">
        <f t="shared" si="52"/>
        <v>0</v>
      </c>
      <c r="AI374" s="7" t="s">
        <v>839</v>
      </c>
      <c r="AK374" s="7" t="str">
        <f t="shared" si="53"/>
        <v>New Lexington City SD (CASH)</v>
      </c>
      <c r="AL374" s="7" t="str">
        <f>'St of Activities - GA Exp'!A374</f>
        <v>New Lexington City SD (CASH)</v>
      </c>
      <c r="AM374" s="7" t="b">
        <f t="shared" si="54"/>
        <v>1</v>
      </c>
      <c r="AN374" s="7" t="str">
        <f t="shared" si="49"/>
        <v>Perry</v>
      </c>
      <c r="AO374" s="7" t="b">
        <f>C374='St of Activities - GA Exp'!C374</f>
        <v>1</v>
      </c>
    </row>
    <row r="375" spans="1:41">
      <c r="A375" s="12" t="s">
        <v>367</v>
      </c>
      <c r="B375" s="12"/>
      <c r="C375" s="12" t="s">
        <v>37</v>
      </c>
      <c r="D375" s="12"/>
      <c r="E375" s="12">
        <v>47720</v>
      </c>
      <c r="G375" s="7">
        <v>2252590</v>
      </c>
      <c r="I375" s="7">
        <v>0</v>
      </c>
      <c r="K375" s="2">
        <f t="shared" si="55"/>
        <v>2534327</v>
      </c>
      <c r="M375" s="7">
        <v>4786917</v>
      </c>
      <c r="O375" s="2">
        <f t="shared" si="50"/>
        <v>1139194</v>
      </c>
      <c r="Q375" s="7">
        <f>1604692+272188</f>
        <v>1876880</v>
      </c>
      <c r="S375" s="7">
        <v>3016074</v>
      </c>
      <c r="U375" s="7">
        <v>0</v>
      </c>
      <c r="W375" s="7">
        <v>0</v>
      </c>
      <c r="Y375" s="7">
        <v>0</v>
      </c>
      <c r="AA375" s="7">
        <f>24512+88240+133+311</f>
        <v>113196</v>
      </c>
      <c r="AC375" s="7">
        <v>1657647</v>
      </c>
      <c r="AE375" s="13">
        <f t="shared" si="51"/>
        <v>1770843</v>
      </c>
      <c r="AG375" s="7">
        <f t="shared" si="52"/>
        <v>0</v>
      </c>
      <c r="AK375" s="7" t="str">
        <f t="shared" si="53"/>
        <v>New London Local SD</v>
      </c>
      <c r="AL375" s="7" t="str">
        <f>'St of Activities - GA Exp'!A375</f>
        <v>New London Local SD</v>
      </c>
      <c r="AM375" s="7" t="b">
        <f t="shared" si="54"/>
        <v>1</v>
      </c>
      <c r="AN375" s="7" t="str">
        <f t="shared" si="49"/>
        <v>Huron</v>
      </c>
      <c r="AO375" s="7" t="b">
        <f>C375='St of Activities - GA Exp'!C375</f>
        <v>1</v>
      </c>
    </row>
    <row r="376" spans="1:41">
      <c r="A376" s="12" t="s">
        <v>230</v>
      </c>
      <c r="B376" s="12"/>
      <c r="C376" s="12" t="s">
        <v>223</v>
      </c>
      <c r="D376" s="12"/>
      <c r="E376" s="12">
        <v>46136</v>
      </c>
      <c r="G376" s="7">
        <v>3220253</v>
      </c>
      <c r="I376" s="7">
        <v>0</v>
      </c>
      <c r="K376" s="2">
        <f t="shared" si="55"/>
        <v>1359049</v>
      </c>
      <c r="M376" s="7">
        <v>4579302</v>
      </c>
      <c r="O376" s="2">
        <f t="shared" si="50"/>
        <v>597108</v>
      </c>
      <c r="Q376" s="7">
        <v>1107000</v>
      </c>
      <c r="S376" s="7">
        <v>1704108</v>
      </c>
      <c r="U376" s="7">
        <v>1317</v>
      </c>
      <c r="W376" s="7">
        <v>0</v>
      </c>
      <c r="Y376" s="7">
        <v>0</v>
      </c>
      <c r="AA376" s="7">
        <v>2873877</v>
      </c>
      <c r="AC376" s="7">
        <v>0</v>
      </c>
      <c r="AE376" s="13">
        <f t="shared" si="51"/>
        <v>2875194</v>
      </c>
      <c r="AG376" s="7">
        <f t="shared" si="52"/>
        <v>0</v>
      </c>
      <c r="AK376" s="7" t="str">
        <f t="shared" si="53"/>
        <v>New Miami Local SD</v>
      </c>
      <c r="AL376" s="7" t="str">
        <f>'St of Activities - GA Exp'!A376</f>
        <v>New Miami Local SD</v>
      </c>
      <c r="AM376" s="7" t="b">
        <f t="shared" si="54"/>
        <v>1</v>
      </c>
      <c r="AN376" s="7" t="str">
        <f t="shared" si="49"/>
        <v>Butler</v>
      </c>
      <c r="AO376" s="7" t="b">
        <f>C376='St of Activities - GA Exp'!C376</f>
        <v>1</v>
      </c>
    </row>
    <row r="377" spans="1:41">
      <c r="A377" s="12" t="s">
        <v>553</v>
      </c>
      <c r="B377" s="12"/>
      <c r="C377" s="12" t="s">
        <v>65</v>
      </c>
      <c r="D377" s="12"/>
      <c r="E377" s="12">
        <v>44487</v>
      </c>
      <c r="G377" s="7">
        <v>9112253</v>
      </c>
      <c r="I377" s="7">
        <v>0</v>
      </c>
      <c r="K377" s="2">
        <f t="shared" si="55"/>
        <v>11921497</v>
      </c>
      <c r="M377" s="7">
        <v>21033750</v>
      </c>
      <c r="O377" s="2">
        <f t="shared" si="50"/>
        <v>3153576</v>
      </c>
      <c r="Q377" s="7">
        <v>10806430</v>
      </c>
      <c r="S377" s="7">
        <v>13960006</v>
      </c>
      <c r="U377" s="7">
        <f>41774+19279</f>
        <v>61053</v>
      </c>
      <c r="W377" s="7">
        <v>0</v>
      </c>
      <c r="Y377" s="7">
        <v>0</v>
      </c>
      <c r="AA377" s="7">
        <v>221976</v>
      </c>
      <c r="AC377" s="7">
        <v>6790715</v>
      </c>
      <c r="AE377" s="13">
        <f t="shared" si="51"/>
        <v>7073744</v>
      </c>
      <c r="AG377" s="7">
        <f t="shared" si="52"/>
        <v>0</v>
      </c>
      <c r="AK377" s="7" t="str">
        <f t="shared" si="53"/>
        <v>New Philadelphia City SD</v>
      </c>
      <c r="AL377" s="7" t="str">
        <f>'St of Activities - GA Exp'!A377</f>
        <v>New Philadelphia City SD</v>
      </c>
      <c r="AM377" s="7" t="b">
        <f t="shared" si="54"/>
        <v>1</v>
      </c>
      <c r="AN377" s="7" t="str">
        <f t="shared" si="49"/>
        <v>Tuscarawas</v>
      </c>
      <c r="AO377" s="7" t="b">
        <f>C377='St of Activities - GA Exp'!C377</f>
        <v>1</v>
      </c>
    </row>
    <row r="378" spans="1:41">
      <c r="A378" s="12" t="s">
        <v>881</v>
      </c>
      <c r="B378" s="12"/>
      <c r="C378" s="12" t="s">
        <v>113</v>
      </c>
      <c r="D378" s="12"/>
      <c r="E378" s="12">
        <v>45559</v>
      </c>
      <c r="G378" s="7">
        <v>18744681</v>
      </c>
      <c r="I378" s="7">
        <v>102255</v>
      </c>
      <c r="K378" s="2">
        <f t="shared" si="55"/>
        <v>14238668</v>
      </c>
      <c r="M378" s="7">
        <v>33085604</v>
      </c>
      <c r="O378" s="2">
        <f t="shared" si="50"/>
        <v>2553894</v>
      </c>
      <c r="Q378" s="7">
        <v>11656271</v>
      </c>
      <c r="S378" s="7">
        <v>14210165</v>
      </c>
      <c r="U378" s="7">
        <v>0</v>
      </c>
      <c r="W378" s="7">
        <v>0</v>
      </c>
      <c r="Y378" s="7">
        <v>11505</v>
      </c>
      <c r="AA378" s="7">
        <v>802219</v>
      </c>
      <c r="AC378" s="7">
        <v>18061715</v>
      </c>
      <c r="AE378" s="13">
        <f t="shared" si="51"/>
        <v>18875439</v>
      </c>
      <c r="AG378" s="7">
        <f t="shared" si="52"/>
        <v>0</v>
      </c>
      <c r="AK378" s="7" t="str">
        <f t="shared" si="53"/>
        <v>New Richmond Exempted Village SD</v>
      </c>
      <c r="AL378" s="7" t="str">
        <f>'St of Activities - GA Exp'!A378</f>
        <v>New Richmond Exempted Village SD</v>
      </c>
      <c r="AM378" s="7" t="b">
        <f t="shared" si="54"/>
        <v>1</v>
      </c>
      <c r="AN378" s="7" t="str">
        <f t="shared" si="49"/>
        <v>Clermont</v>
      </c>
      <c r="AO378" s="7" t="b">
        <f>C378='St of Activities - GA Exp'!C378</f>
        <v>1</v>
      </c>
    </row>
    <row r="379" spans="1:41" hidden="1">
      <c r="A379" s="12" t="s">
        <v>940</v>
      </c>
      <c r="B379" s="12"/>
      <c r="C379" s="12" t="s">
        <v>60</v>
      </c>
      <c r="D379" s="12"/>
      <c r="E379" s="12">
        <v>49718</v>
      </c>
      <c r="K379" s="2">
        <f t="shared" si="55"/>
        <v>0</v>
      </c>
      <c r="O379" s="2">
        <f t="shared" si="50"/>
        <v>0</v>
      </c>
      <c r="AE379" s="13">
        <f t="shared" si="51"/>
        <v>0</v>
      </c>
      <c r="AG379" s="7">
        <f t="shared" si="52"/>
        <v>0</v>
      </c>
      <c r="AI379" s="7" t="s">
        <v>839</v>
      </c>
      <c r="AK379" s="7" t="str">
        <f t="shared" si="53"/>
        <v>New Riegel Local SD (CASH)</v>
      </c>
      <c r="AL379" s="7" t="str">
        <f>'St of Activities - GA Exp'!A379</f>
        <v>New Riegel Local SD (CASH)</v>
      </c>
      <c r="AM379" s="7" t="b">
        <f t="shared" si="54"/>
        <v>1</v>
      </c>
      <c r="AN379" s="7" t="str">
        <f t="shared" si="49"/>
        <v>Seneca</v>
      </c>
      <c r="AO379" s="7" t="b">
        <f>C379='St of Activities - GA Exp'!C379</f>
        <v>1</v>
      </c>
    </row>
    <row r="380" spans="1:41">
      <c r="A380" s="12" t="s">
        <v>388</v>
      </c>
      <c r="B380" s="12"/>
      <c r="C380" s="12" t="s">
        <v>42</v>
      </c>
      <c r="D380" s="12"/>
      <c r="E380" s="12">
        <v>44453</v>
      </c>
      <c r="G380" s="7">
        <v>14211955</v>
      </c>
      <c r="I380" s="7">
        <v>0</v>
      </c>
      <c r="K380" s="2">
        <f t="shared" si="55"/>
        <v>25441057</v>
      </c>
      <c r="M380" s="7">
        <v>39653012</v>
      </c>
      <c r="O380" s="2">
        <f t="shared" si="50"/>
        <v>8073231</v>
      </c>
      <c r="Q380" s="7">
        <f>2531791+18101368</f>
        <v>20633159</v>
      </c>
      <c r="S380" s="7">
        <v>28706390</v>
      </c>
      <c r="U380" s="7">
        <v>56208</v>
      </c>
      <c r="W380" s="7">
        <v>0</v>
      </c>
      <c r="Y380" s="7">
        <f>189878+763383</f>
        <v>953261</v>
      </c>
      <c r="AA380" s="7">
        <f>99155+1881082+712+16844</f>
        <v>1997793</v>
      </c>
      <c r="AC380" s="7">
        <v>7939360</v>
      </c>
      <c r="AE380" s="13">
        <f t="shared" si="51"/>
        <v>10946622</v>
      </c>
      <c r="AG380" s="7">
        <f t="shared" si="52"/>
        <v>0</v>
      </c>
      <c r="AK380" s="7" t="str">
        <f t="shared" si="53"/>
        <v>Newark City SD</v>
      </c>
      <c r="AL380" s="7" t="str">
        <f>'St of Activities - GA Exp'!A380</f>
        <v>Newark City SD</v>
      </c>
      <c r="AM380" s="7" t="b">
        <f t="shared" si="54"/>
        <v>1</v>
      </c>
      <c r="AN380" s="7" t="str">
        <f t="shared" si="49"/>
        <v>Licking</v>
      </c>
      <c r="AO380" s="7" t="b">
        <f>C380='St of Activities - GA Exp'!C380</f>
        <v>1</v>
      </c>
    </row>
    <row r="381" spans="1:41">
      <c r="A381" s="12" t="s">
        <v>323</v>
      </c>
      <c r="B381" s="12"/>
      <c r="C381" s="12" t="s">
        <v>30</v>
      </c>
      <c r="D381" s="12"/>
      <c r="E381" s="12">
        <v>47217</v>
      </c>
      <c r="G381" s="7">
        <v>1123535</v>
      </c>
      <c r="I381" s="7">
        <v>31149</v>
      </c>
      <c r="K381" s="2">
        <f t="shared" si="55"/>
        <v>5723720</v>
      </c>
      <c r="M381" s="7">
        <v>6878404</v>
      </c>
      <c r="O381" s="2">
        <f t="shared" si="50"/>
        <v>773680</v>
      </c>
      <c r="Q381" s="7">
        <f>5119225+2050</f>
        <v>5121275</v>
      </c>
      <c r="S381" s="7">
        <v>5894955</v>
      </c>
      <c r="U381" s="7">
        <v>28150</v>
      </c>
      <c r="W381" s="7">
        <v>0</v>
      </c>
      <c r="Y381" s="7">
        <v>0</v>
      </c>
      <c r="AA381" s="7">
        <v>0</v>
      </c>
      <c r="AC381" s="7">
        <v>955299</v>
      </c>
      <c r="AE381" s="13">
        <f t="shared" si="51"/>
        <v>983449</v>
      </c>
      <c r="AG381" s="7">
        <f t="shared" si="52"/>
        <v>0</v>
      </c>
      <c r="AI381" s="83"/>
      <c r="AK381" s="7" t="str">
        <f t="shared" si="53"/>
        <v>Newbury Local SD</v>
      </c>
      <c r="AL381" s="7" t="str">
        <f>'St of Activities - GA Exp'!A381</f>
        <v>Newbury Local SD</v>
      </c>
      <c r="AM381" s="7" t="b">
        <f t="shared" si="54"/>
        <v>1</v>
      </c>
      <c r="AN381" s="7" t="str">
        <f t="shared" si="49"/>
        <v>Geauga</v>
      </c>
      <c r="AO381" s="7" t="b">
        <f>C381='St of Activities - GA Exp'!C381</f>
        <v>1</v>
      </c>
    </row>
    <row r="382" spans="1:41">
      <c r="A382" s="12" t="s">
        <v>882</v>
      </c>
      <c r="B382" s="12"/>
      <c r="C382" s="12" t="s">
        <v>65</v>
      </c>
      <c r="D382" s="12"/>
      <c r="E382" s="12">
        <v>45542</v>
      </c>
      <c r="G382" s="7">
        <v>500420</v>
      </c>
      <c r="I382" s="7">
        <v>93679</v>
      </c>
      <c r="K382" s="2">
        <f t="shared" si="55"/>
        <v>3197207</v>
      </c>
      <c r="M382" s="7">
        <v>3791306</v>
      </c>
      <c r="O382" s="2">
        <f t="shared" si="50"/>
        <v>1143519</v>
      </c>
      <c r="Q382" s="7">
        <f>314124+2242158</f>
        <v>2556282</v>
      </c>
      <c r="S382" s="7">
        <v>3699801</v>
      </c>
      <c r="U382" s="7">
        <v>0</v>
      </c>
      <c r="W382" s="7">
        <v>93679</v>
      </c>
      <c r="Y382" s="7">
        <f>4186+65000</f>
        <v>69186</v>
      </c>
      <c r="AA382" s="7">
        <f>72414+58806+862+11962+5250+20744</f>
        <v>170038</v>
      </c>
      <c r="AC382" s="7">
        <v>-241398</v>
      </c>
      <c r="AE382" s="13">
        <f t="shared" si="51"/>
        <v>91505</v>
      </c>
      <c r="AG382" s="7">
        <f t="shared" si="52"/>
        <v>0</v>
      </c>
      <c r="AK382" s="7" t="str">
        <f t="shared" si="53"/>
        <v>Newcomerstown Exempted Village SD</v>
      </c>
      <c r="AL382" s="7" t="str">
        <f>'St of Activities - GA Exp'!A382</f>
        <v>Newcomerstown Exempted Village SD</v>
      </c>
      <c r="AM382" s="7" t="b">
        <f t="shared" si="54"/>
        <v>1</v>
      </c>
      <c r="AN382" s="7" t="str">
        <f t="shared" si="49"/>
        <v>Tuscarawas</v>
      </c>
      <c r="AO382" s="7" t="b">
        <f>C382='St of Activities - GA Exp'!C382</f>
        <v>1</v>
      </c>
    </row>
    <row r="383" spans="1:41">
      <c r="A383" s="12" t="s">
        <v>883</v>
      </c>
      <c r="B383" s="12"/>
      <c r="C383" s="12" t="s">
        <v>64</v>
      </c>
      <c r="D383" s="12"/>
      <c r="E383" s="12">
        <v>45567</v>
      </c>
      <c r="G383" s="7">
        <v>1300087</v>
      </c>
      <c r="I383" s="7">
        <v>357325</v>
      </c>
      <c r="K383" s="2">
        <f t="shared" si="55"/>
        <v>3674959</v>
      </c>
      <c r="M383" s="7">
        <v>5332371</v>
      </c>
      <c r="O383" s="2">
        <f t="shared" si="50"/>
        <v>1289982</v>
      </c>
      <c r="Q383" s="7">
        <v>3657231</v>
      </c>
      <c r="S383" s="7">
        <v>4947213</v>
      </c>
      <c r="U383" s="7">
        <v>0</v>
      </c>
      <c r="W383" s="7">
        <v>364545</v>
      </c>
      <c r="Y383" s="7">
        <v>24230</v>
      </c>
      <c r="AA383" s="7">
        <v>332158</v>
      </c>
      <c r="AC383" s="7">
        <v>-335775</v>
      </c>
      <c r="AE383" s="13">
        <f t="shared" si="51"/>
        <v>385158</v>
      </c>
      <c r="AG383" s="7">
        <f t="shared" si="52"/>
        <v>0</v>
      </c>
      <c r="AK383" s="7" t="str">
        <f t="shared" si="53"/>
        <v>Newton Falls Exempted Village SD</v>
      </c>
      <c r="AL383" s="7" t="str">
        <f>'St of Activities - GA Exp'!A383</f>
        <v>Newton Falls Exempted Village SD</v>
      </c>
      <c r="AM383" s="7" t="b">
        <f t="shared" si="54"/>
        <v>1</v>
      </c>
      <c r="AN383" s="7" t="str">
        <f t="shared" si="49"/>
        <v>Trumbull</v>
      </c>
      <c r="AO383" s="7" t="b">
        <f>C383='St of Activities - GA Exp'!C383</f>
        <v>1</v>
      </c>
    </row>
    <row r="384" spans="1:41" hidden="1">
      <c r="A384" s="12" t="s">
        <v>941</v>
      </c>
      <c r="B384" s="12"/>
      <c r="C384" s="12" t="s">
        <v>48</v>
      </c>
      <c r="D384" s="12"/>
      <c r="E384" s="12">
        <v>48637</v>
      </c>
      <c r="K384" s="2">
        <f t="shared" si="55"/>
        <v>0</v>
      </c>
      <c r="O384" s="2">
        <f t="shared" si="50"/>
        <v>0</v>
      </c>
      <c r="AE384" s="13">
        <f t="shared" si="51"/>
        <v>0</v>
      </c>
      <c r="AG384" s="7">
        <f t="shared" si="52"/>
        <v>0</v>
      </c>
      <c r="AI384" s="7" t="s">
        <v>912</v>
      </c>
      <c r="AK384" s="7" t="str">
        <f t="shared" si="53"/>
        <v>Newton Local SD (CASH)</v>
      </c>
      <c r="AL384" s="7" t="str">
        <f>'St of Activities - GA Exp'!A384</f>
        <v>Newton Local SD (CASH)</v>
      </c>
      <c r="AM384" s="7" t="b">
        <f t="shared" si="54"/>
        <v>1</v>
      </c>
      <c r="AN384" s="7" t="str">
        <f t="shared" si="49"/>
        <v>Miami</v>
      </c>
      <c r="AO384" s="7" t="b">
        <f>C384='St of Activities - GA Exp'!C384</f>
        <v>1</v>
      </c>
    </row>
    <row r="385" spans="1:41">
      <c r="A385" s="12" t="s">
        <v>631</v>
      </c>
      <c r="B385" s="12"/>
      <c r="C385" s="12" t="s">
        <v>64</v>
      </c>
      <c r="D385" s="12"/>
      <c r="E385" s="12"/>
      <c r="G385" s="7">
        <v>372429</v>
      </c>
      <c r="I385" s="7">
        <v>135352</v>
      </c>
      <c r="K385" s="2">
        <f t="shared" si="55"/>
        <v>8495353</v>
      </c>
      <c r="M385" s="7">
        <v>9003134</v>
      </c>
      <c r="O385" s="2">
        <f t="shared" si="50"/>
        <v>3118053</v>
      </c>
      <c r="Q385" s="7">
        <f>7101364+1200491</f>
        <v>8301855</v>
      </c>
      <c r="S385" s="7">
        <v>11419908</v>
      </c>
      <c r="U385" s="7">
        <v>0</v>
      </c>
      <c r="W385" s="7">
        <f>165470+1449794</f>
        <v>1615264</v>
      </c>
      <c r="Y385" s="7">
        <v>0</v>
      </c>
      <c r="AA385" s="7">
        <v>23675</v>
      </c>
      <c r="AC385" s="7">
        <v>-4055713</v>
      </c>
      <c r="AE385" s="13">
        <f t="shared" si="51"/>
        <v>-2416774</v>
      </c>
      <c r="AG385" s="7">
        <f t="shared" si="52"/>
        <v>0</v>
      </c>
      <c r="AK385" s="7" t="str">
        <f t="shared" si="53"/>
        <v>Niles City SD</v>
      </c>
      <c r="AL385" s="7" t="str">
        <f>'St of Activities - GA Exp'!A385</f>
        <v>Niles City SD</v>
      </c>
      <c r="AM385" s="7" t="b">
        <f t="shared" si="54"/>
        <v>1</v>
      </c>
      <c r="AN385" s="7" t="str">
        <f t="shared" si="49"/>
        <v>Trumbull</v>
      </c>
      <c r="AO385" s="7" t="b">
        <f>C385='St of Activities - GA Exp'!C385</f>
        <v>1</v>
      </c>
    </row>
    <row r="386" spans="1:41">
      <c r="A386" s="12" t="s">
        <v>462</v>
      </c>
      <c r="B386" s="12"/>
      <c r="C386" s="12" t="s">
        <v>52</v>
      </c>
      <c r="D386" s="12"/>
      <c r="E386" s="12">
        <v>48900</v>
      </c>
      <c r="G386" s="7">
        <v>2031211</v>
      </c>
      <c r="I386" s="7">
        <v>67963</v>
      </c>
      <c r="K386" s="2">
        <f t="shared" si="55"/>
        <v>3247453</v>
      </c>
      <c r="M386" s="7">
        <v>5346627</v>
      </c>
      <c r="O386" s="2">
        <f t="shared" si="50"/>
        <v>1169580</v>
      </c>
      <c r="Q386" s="7">
        <v>2852133</v>
      </c>
      <c r="S386" s="7">
        <v>4021713</v>
      </c>
      <c r="U386" s="7">
        <v>128544</v>
      </c>
      <c r="W386" s="7">
        <v>0</v>
      </c>
      <c r="Y386" s="7">
        <v>0</v>
      </c>
      <c r="AA386" s="7">
        <v>72083</v>
      </c>
      <c r="AC386" s="7">
        <v>1124287</v>
      </c>
      <c r="AE386" s="13">
        <f t="shared" si="51"/>
        <v>1324914</v>
      </c>
      <c r="AG386" s="7">
        <f t="shared" si="52"/>
        <v>0</v>
      </c>
      <c r="AK386" s="7" t="str">
        <f t="shared" si="53"/>
        <v>Noble Local SD</v>
      </c>
      <c r="AL386" s="7" t="str">
        <f>'St of Activities - GA Exp'!A386</f>
        <v>Noble Local SD</v>
      </c>
      <c r="AM386" s="7" t="b">
        <f t="shared" si="54"/>
        <v>1</v>
      </c>
      <c r="AN386" s="7" t="str">
        <f t="shared" si="49"/>
        <v>Noble</v>
      </c>
      <c r="AO386" s="7" t="b">
        <f>C386='St of Activities - GA Exp'!C386</f>
        <v>1</v>
      </c>
    </row>
    <row r="387" spans="1:41">
      <c r="A387" s="12" t="s">
        <v>527</v>
      </c>
      <c r="B387" s="12"/>
      <c r="C387" s="12" t="s">
        <v>63</v>
      </c>
      <c r="D387" s="12"/>
      <c r="E387" s="12">
        <v>50047</v>
      </c>
      <c r="G387" s="7">
        <v>5098751</v>
      </c>
      <c r="I387" s="7">
        <v>269950</v>
      </c>
      <c r="K387" s="2">
        <f t="shared" si="55"/>
        <v>26684412</v>
      </c>
      <c r="M387" s="7">
        <v>32053113</v>
      </c>
      <c r="O387" s="2">
        <f t="shared" si="50"/>
        <v>4406212</v>
      </c>
      <c r="Q387" s="7">
        <v>22235298</v>
      </c>
      <c r="S387" s="7">
        <v>26641510</v>
      </c>
      <c r="U387" s="7">
        <v>109783</v>
      </c>
      <c r="W387" s="7">
        <v>0</v>
      </c>
      <c r="Y387" s="7">
        <v>0</v>
      </c>
      <c r="AA387" s="7">
        <v>1344008</v>
      </c>
      <c r="AC387" s="7">
        <v>3957812</v>
      </c>
      <c r="AE387" s="13">
        <f t="shared" si="51"/>
        <v>5411603</v>
      </c>
      <c r="AG387" s="7">
        <f t="shared" si="52"/>
        <v>0</v>
      </c>
      <c r="AK387" s="7" t="str">
        <f t="shared" si="53"/>
        <v>Nordonia Hills City SD</v>
      </c>
      <c r="AL387" s="7" t="str">
        <f>'St of Activities - GA Exp'!A387</f>
        <v>Nordonia Hills City SD</v>
      </c>
      <c r="AM387" s="7" t="b">
        <f t="shared" si="54"/>
        <v>1</v>
      </c>
      <c r="AN387" s="7" t="str">
        <f t="shared" si="49"/>
        <v>Summit</v>
      </c>
      <c r="AO387" s="7" t="b">
        <f>C387='St of Activities - GA Exp'!C387</f>
        <v>1</v>
      </c>
    </row>
    <row r="388" spans="1:41">
      <c r="A388" s="12" t="s">
        <v>574</v>
      </c>
      <c r="B388" s="12"/>
      <c r="C388" s="12" t="s">
        <v>72</v>
      </c>
      <c r="D388" s="12"/>
      <c r="E388" s="12">
        <v>50708</v>
      </c>
      <c r="G388" s="7">
        <v>2213043</v>
      </c>
      <c r="I388" s="7">
        <v>0</v>
      </c>
      <c r="K388" s="2">
        <f t="shared" si="55"/>
        <v>3757736</v>
      </c>
      <c r="M388" s="7">
        <v>5970779</v>
      </c>
      <c r="O388" s="2">
        <f t="shared" si="50"/>
        <v>764856</v>
      </c>
      <c r="Q388" s="7">
        <v>3000465</v>
      </c>
      <c r="S388" s="7">
        <v>3765321</v>
      </c>
      <c r="U388" s="7">
        <v>0</v>
      </c>
      <c r="W388" s="7">
        <v>0</v>
      </c>
      <c r="Y388" s="7">
        <v>0</v>
      </c>
      <c r="AA388" s="7">
        <v>93738</v>
      </c>
      <c r="AC388" s="7">
        <v>2111720</v>
      </c>
      <c r="AE388" s="13">
        <f t="shared" si="51"/>
        <v>2205458</v>
      </c>
      <c r="AG388" s="7">
        <f t="shared" si="52"/>
        <v>0</v>
      </c>
      <c r="AK388" s="7" t="str">
        <f t="shared" si="53"/>
        <v>North Baltimore Local SD</v>
      </c>
      <c r="AL388" s="7" t="str">
        <f>'St of Activities - GA Exp'!A388</f>
        <v>North Baltimore Local SD</v>
      </c>
      <c r="AM388" s="7" t="b">
        <f t="shared" si="54"/>
        <v>1</v>
      </c>
      <c r="AN388" s="7" t="str">
        <f t="shared" si="49"/>
        <v>Wood</v>
      </c>
      <c r="AO388" s="7" t="b">
        <f>C388='St of Activities - GA Exp'!C388</f>
        <v>1</v>
      </c>
    </row>
    <row r="389" spans="1:41" hidden="1">
      <c r="A389" s="12" t="s">
        <v>943</v>
      </c>
      <c r="B389" s="12"/>
      <c r="C389" s="12" t="s">
        <v>53</v>
      </c>
      <c r="D389" s="12"/>
      <c r="E389" s="12">
        <v>48967</v>
      </c>
      <c r="K389" s="2">
        <f t="shared" si="55"/>
        <v>0</v>
      </c>
      <c r="O389" s="2">
        <f t="shared" si="50"/>
        <v>0</v>
      </c>
      <c r="AE389" s="13">
        <f t="shared" si="51"/>
        <v>0</v>
      </c>
      <c r="AG389" s="7">
        <f t="shared" si="52"/>
        <v>0</v>
      </c>
      <c r="AI389" s="7" t="s">
        <v>839</v>
      </c>
      <c r="AK389" s="7" t="str">
        <f t="shared" si="53"/>
        <v>North Bass Local SD (Two year Audit - CASH)</v>
      </c>
      <c r="AL389" s="7" t="str">
        <f>'St of Activities - GA Exp'!A389</f>
        <v>North Bass Local SD (Two year Audit - CASH)</v>
      </c>
      <c r="AM389" s="7" t="b">
        <f t="shared" si="54"/>
        <v>1</v>
      </c>
      <c r="AN389" s="7" t="str">
        <f t="shared" si="49"/>
        <v>Ottawa</v>
      </c>
      <c r="AO389" s="7" t="b">
        <f>C389='St of Activities - GA Exp'!C389</f>
        <v>1</v>
      </c>
    </row>
    <row r="390" spans="1:41">
      <c r="A390" s="12" t="s">
        <v>518</v>
      </c>
      <c r="B390" s="12"/>
      <c r="C390" s="12" t="s">
        <v>62</v>
      </c>
      <c r="D390" s="12"/>
      <c r="E390" s="12">
        <v>44503</v>
      </c>
      <c r="G390" s="7">
        <v>3830588</v>
      </c>
      <c r="I390" s="7">
        <v>522056</v>
      </c>
      <c r="K390" s="2">
        <f t="shared" si="55"/>
        <v>23122838</v>
      </c>
      <c r="M390" s="7">
        <v>27475482</v>
      </c>
      <c r="O390" s="2">
        <f t="shared" si="50"/>
        <v>5409697</v>
      </c>
      <c r="Q390" s="7">
        <f>19419145+401461</f>
        <v>19820606</v>
      </c>
      <c r="S390" s="7">
        <v>25230303</v>
      </c>
      <c r="U390" s="7">
        <v>115873</v>
      </c>
      <c r="W390" s="7">
        <f>519514+2542</f>
        <v>522056</v>
      </c>
      <c r="Y390" s="7">
        <v>147660</v>
      </c>
      <c r="AA390" s="7">
        <f>15410+604978+280+47265+25716</f>
        <v>693649</v>
      </c>
      <c r="AC390" s="7">
        <v>765941</v>
      </c>
      <c r="AE390" s="13">
        <f t="shared" si="51"/>
        <v>2245179</v>
      </c>
      <c r="AG390" s="7">
        <f t="shared" si="52"/>
        <v>0</v>
      </c>
      <c r="AK390" s="7" t="str">
        <f t="shared" si="53"/>
        <v>North Canton City SD</v>
      </c>
      <c r="AL390" s="7" t="str">
        <f>'St of Activities - GA Exp'!A390</f>
        <v>North Canton City SD</v>
      </c>
      <c r="AM390" s="7" t="b">
        <f t="shared" si="54"/>
        <v>1</v>
      </c>
      <c r="AN390" s="7" t="str">
        <f t="shared" si="49"/>
        <v>Stark</v>
      </c>
      <c r="AO390" s="7" t="b">
        <f>C390='St of Activities - GA Exp'!C390</f>
        <v>1</v>
      </c>
    </row>
    <row r="391" spans="1:41" hidden="1">
      <c r="A391" s="12" t="s">
        <v>944</v>
      </c>
      <c r="B391" s="12"/>
      <c r="C391" s="12" t="s">
        <v>570</v>
      </c>
      <c r="D391" s="12"/>
      <c r="E391" s="12">
        <v>50641</v>
      </c>
      <c r="K391" s="2">
        <f t="shared" si="55"/>
        <v>0</v>
      </c>
      <c r="O391" s="2">
        <f t="shared" si="50"/>
        <v>0</v>
      </c>
      <c r="AE391" s="13">
        <f t="shared" si="51"/>
        <v>0</v>
      </c>
      <c r="AG391" s="7">
        <f t="shared" si="52"/>
        <v>0</v>
      </c>
      <c r="AI391" s="7" t="s">
        <v>839</v>
      </c>
      <c r="AK391" s="7" t="str">
        <f t="shared" si="53"/>
        <v>North Central Local SD (CASH)</v>
      </c>
      <c r="AL391" s="7" t="str">
        <f>'St of Activities - GA Exp'!A391</f>
        <v>North Central Local SD (CASH)</v>
      </c>
      <c r="AM391" s="7" t="b">
        <f t="shared" si="54"/>
        <v>1</v>
      </c>
      <c r="AN391" s="7" t="str">
        <f t="shared" si="49"/>
        <v>Williams</v>
      </c>
      <c r="AO391" s="7" t="b">
        <f>C391='St of Activities - GA Exp'!C391</f>
        <v>1</v>
      </c>
    </row>
    <row r="392" spans="1:41">
      <c r="A392" s="12" t="s">
        <v>748</v>
      </c>
      <c r="B392" s="12"/>
      <c r="C392" s="12" t="s">
        <v>32</v>
      </c>
      <c r="D392" s="12"/>
      <c r="E392" s="12">
        <v>44511</v>
      </c>
      <c r="G392" s="7">
        <v>0</v>
      </c>
      <c r="I392" s="7">
        <v>48428</v>
      </c>
      <c r="K392" s="2">
        <f t="shared" si="55"/>
        <v>4165950</v>
      </c>
      <c r="M392" s="7">
        <v>4214378</v>
      </c>
      <c r="O392" s="2">
        <f t="shared" si="50"/>
        <v>1563845</v>
      </c>
      <c r="Q392" s="7">
        <v>2657742</v>
      </c>
      <c r="S392" s="7">
        <v>4221587</v>
      </c>
      <c r="U392" s="7">
        <v>2302</v>
      </c>
      <c r="W392" s="7">
        <v>761002</v>
      </c>
      <c r="Y392" s="7">
        <v>22270</v>
      </c>
      <c r="AA392" s="7">
        <v>4956</v>
      </c>
      <c r="AC392" s="7">
        <v>-797739</v>
      </c>
      <c r="AE392" s="13">
        <f t="shared" si="51"/>
        <v>-7209</v>
      </c>
      <c r="AG392" s="7">
        <f t="shared" si="52"/>
        <v>0</v>
      </c>
      <c r="AI392" s="7" t="s">
        <v>945</v>
      </c>
      <c r="AK392" s="7" t="str">
        <f t="shared" si="53"/>
        <v xml:space="preserve">North College Hill City SD </v>
      </c>
      <c r="AL392" s="7" t="str">
        <f>'St of Activities - GA Exp'!A392</f>
        <v xml:space="preserve">North College Hill City SD </v>
      </c>
      <c r="AM392" s="7" t="b">
        <f t="shared" si="54"/>
        <v>1</v>
      </c>
      <c r="AN392" s="7" t="str">
        <f t="shared" si="49"/>
        <v>Hamilton</v>
      </c>
      <c r="AO392" s="7" t="b">
        <f>C392='St of Activities - GA Exp'!C392</f>
        <v>1</v>
      </c>
    </row>
    <row r="393" spans="1:41">
      <c r="A393" s="12" t="s">
        <v>389</v>
      </c>
      <c r="B393" s="12"/>
      <c r="C393" s="12" t="s">
        <v>42</v>
      </c>
      <c r="D393" s="12"/>
      <c r="E393" s="12">
        <v>48025</v>
      </c>
      <c r="G393" s="7">
        <v>570597</v>
      </c>
      <c r="I393" s="7">
        <v>321995</v>
      </c>
      <c r="K393" s="2">
        <f t="shared" si="55"/>
        <v>4789503</v>
      </c>
      <c r="M393" s="7">
        <v>5682095</v>
      </c>
      <c r="O393" s="2">
        <f t="shared" si="50"/>
        <v>1819209</v>
      </c>
      <c r="Q393" s="7">
        <f>275952+3763938</f>
        <v>4039890</v>
      </c>
      <c r="S393" s="7">
        <v>5859099</v>
      </c>
      <c r="U393" s="7">
        <v>0</v>
      </c>
      <c r="W393" s="7">
        <f>294237+27758</f>
        <v>321995</v>
      </c>
      <c r="Y393" s="7">
        <v>11000</v>
      </c>
      <c r="AA393" s="7">
        <f>1309+31510+1460+4355</f>
        <v>38634</v>
      </c>
      <c r="AC393" s="7">
        <v>-548633</v>
      </c>
      <c r="AE393" s="13">
        <f t="shared" si="51"/>
        <v>-177004</v>
      </c>
      <c r="AG393" s="7">
        <f t="shared" si="52"/>
        <v>0</v>
      </c>
      <c r="AK393" s="7" t="str">
        <f t="shared" si="53"/>
        <v>North Fork Local SD</v>
      </c>
      <c r="AL393" s="7" t="str">
        <f>'St of Activities - GA Exp'!A393</f>
        <v>North Fork Local SD</v>
      </c>
      <c r="AM393" s="7" t="b">
        <f t="shared" si="54"/>
        <v>1</v>
      </c>
      <c r="AN393" s="7" t="str">
        <f t="shared" si="49"/>
        <v>Licking</v>
      </c>
      <c r="AO393" s="7" t="b">
        <f>C393='St of Activities - GA Exp'!C393</f>
        <v>1</v>
      </c>
    </row>
    <row r="394" spans="1:41">
      <c r="A394" s="12" t="s">
        <v>277</v>
      </c>
      <c r="B394" s="12"/>
      <c r="C394" s="12" t="s">
        <v>20</v>
      </c>
      <c r="D394" s="12"/>
      <c r="E394" s="12">
        <v>44529</v>
      </c>
      <c r="G394" s="7">
        <v>13414639</v>
      </c>
      <c r="I394" s="7">
        <v>223073</v>
      </c>
      <c r="K394" s="2">
        <f t="shared" si="55"/>
        <v>41151198</v>
      </c>
      <c r="M394" s="7">
        <v>54788910</v>
      </c>
      <c r="O394" s="2">
        <f t="shared" si="50"/>
        <v>7901644</v>
      </c>
      <c r="Q394" s="7">
        <f>33579774+55927</f>
        <v>33635701</v>
      </c>
      <c r="S394" s="7">
        <v>41537345</v>
      </c>
      <c r="U394" s="7">
        <v>0</v>
      </c>
      <c r="W394" s="7">
        <v>0</v>
      </c>
      <c r="Y394" s="7">
        <v>1923073</v>
      </c>
      <c r="AA394" s="7">
        <v>1432293</v>
      </c>
      <c r="AC394" s="7">
        <v>9896199</v>
      </c>
      <c r="AE394" s="13">
        <f t="shared" si="51"/>
        <v>13251565</v>
      </c>
      <c r="AG394" s="7">
        <f t="shared" si="52"/>
        <v>0</v>
      </c>
      <c r="AK394" s="7" t="str">
        <f t="shared" si="53"/>
        <v>North Olmsted City SD</v>
      </c>
      <c r="AL394" s="7" t="str">
        <f>'St of Activities - GA Exp'!A394</f>
        <v>North Olmsted City SD</v>
      </c>
      <c r="AM394" s="7" t="b">
        <f t="shared" si="54"/>
        <v>1</v>
      </c>
      <c r="AN394" s="7" t="str">
        <f t="shared" si="49"/>
        <v>Cuyahoga</v>
      </c>
      <c r="AO394" s="7" t="b">
        <f>C394='St of Activities - GA Exp'!C394</f>
        <v>1</v>
      </c>
    </row>
    <row r="395" spans="1:41">
      <c r="A395" s="12" t="s">
        <v>400</v>
      </c>
      <c r="B395" s="12"/>
      <c r="C395" s="12" t="s">
        <v>44</v>
      </c>
      <c r="D395" s="12"/>
      <c r="E395" s="12">
        <v>44537</v>
      </c>
      <c r="G395" s="7">
        <v>1564389</v>
      </c>
      <c r="I395" s="7">
        <v>0</v>
      </c>
      <c r="K395" s="2">
        <f t="shared" si="55"/>
        <v>22373076</v>
      </c>
      <c r="M395" s="7">
        <v>23937465</v>
      </c>
      <c r="O395" s="2">
        <f t="shared" si="50"/>
        <v>4640860</v>
      </c>
      <c r="Q395" s="7">
        <v>19044823</v>
      </c>
      <c r="S395" s="7">
        <v>23685683</v>
      </c>
      <c r="U395" s="7">
        <v>0</v>
      </c>
      <c r="W395" s="7">
        <v>0</v>
      </c>
      <c r="Y395" s="7">
        <v>0</v>
      </c>
      <c r="AA395" s="7">
        <v>382694</v>
      </c>
      <c r="AC395" s="7">
        <v>-130912</v>
      </c>
      <c r="AE395" s="13">
        <f t="shared" si="51"/>
        <v>251782</v>
      </c>
      <c r="AG395" s="7">
        <f t="shared" si="52"/>
        <v>0</v>
      </c>
      <c r="AK395" s="7" t="str">
        <f t="shared" si="53"/>
        <v>North Ridgeville City SD</v>
      </c>
      <c r="AL395" s="7" t="str">
        <f>'St of Activities - GA Exp'!A395</f>
        <v>North Ridgeville City SD</v>
      </c>
      <c r="AM395" s="7" t="b">
        <f t="shared" si="54"/>
        <v>1</v>
      </c>
      <c r="AN395" s="7" t="str">
        <f t="shared" si="49"/>
        <v>Lorain</v>
      </c>
      <c r="AO395" s="7" t="b">
        <f>C395='St of Activities - GA Exp'!C395</f>
        <v>1</v>
      </c>
    </row>
    <row r="396" spans="1:41">
      <c r="A396" s="12" t="s">
        <v>278</v>
      </c>
      <c r="B396" s="12"/>
      <c r="C396" s="12" t="s">
        <v>20</v>
      </c>
      <c r="D396" s="12"/>
      <c r="E396" s="12">
        <v>44545</v>
      </c>
      <c r="G396" s="7">
        <v>11179012</v>
      </c>
      <c r="I396" s="7">
        <v>0</v>
      </c>
      <c r="K396" s="2">
        <f t="shared" si="55"/>
        <v>35286866</v>
      </c>
      <c r="M396" s="7">
        <v>46465878</v>
      </c>
      <c r="O396" s="2">
        <f t="shared" si="50"/>
        <v>6157613</v>
      </c>
      <c r="Q396" s="7">
        <v>30117128</v>
      </c>
      <c r="S396" s="7">
        <v>36274741</v>
      </c>
      <c r="U396" s="7">
        <v>78249</v>
      </c>
      <c r="W396" s="7">
        <v>0</v>
      </c>
      <c r="Y396" s="7">
        <v>0</v>
      </c>
      <c r="AA396" s="7">
        <v>256044</v>
      </c>
      <c r="AC396" s="7">
        <v>9856844</v>
      </c>
      <c r="AE396" s="13">
        <f t="shared" si="51"/>
        <v>10191137</v>
      </c>
      <c r="AG396" s="7">
        <f t="shared" si="52"/>
        <v>0</v>
      </c>
      <c r="AK396" s="7" t="str">
        <f t="shared" si="53"/>
        <v>North Royalton City SD</v>
      </c>
      <c r="AL396" s="7" t="str">
        <f>'St of Activities - GA Exp'!A396</f>
        <v>North Royalton City SD</v>
      </c>
      <c r="AM396" s="7" t="b">
        <f t="shared" si="54"/>
        <v>1</v>
      </c>
      <c r="AN396" s="7" t="str">
        <f t="shared" si="49"/>
        <v>Cuyahoga</v>
      </c>
      <c r="AO396" s="7" t="b">
        <f>C396='St of Activities - GA Exp'!C396</f>
        <v>1</v>
      </c>
    </row>
    <row r="397" spans="1:41">
      <c r="A397" s="12" t="s">
        <v>556</v>
      </c>
      <c r="B397" s="12"/>
      <c r="C397" s="12" t="s">
        <v>66</v>
      </c>
      <c r="D397" s="12"/>
      <c r="E397" s="12">
        <v>50336</v>
      </c>
      <c r="G397" s="7">
        <v>10829035</v>
      </c>
      <c r="I397" s="7">
        <v>0</v>
      </c>
      <c r="K397" s="2">
        <f t="shared" si="55"/>
        <v>4483936</v>
      </c>
      <c r="M397" s="7">
        <v>15312971</v>
      </c>
      <c r="O397" s="2">
        <f t="shared" si="50"/>
        <v>1523854</v>
      </c>
      <c r="Q397" s="7">
        <v>3553159</v>
      </c>
      <c r="S397" s="7">
        <v>5077013</v>
      </c>
      <c r="U397" s="7">
        <v>673</v>
      </c>
      <c r="W397" s="7">
        <v>0</v>
      </c>
      <c r="Y397" s="7">
        <v>0</v>
      </c>
      <c r="AA397" s="7">
        <v>748970</v>
      </c>
      <c r="AC397" s="7">
        <v>9486315</v>
      </c>
      <c r="AE397" s="13">
        <f t="shared" si="51"/>
        <v>10235958</v>
      </c>
      <c r="AG397" s="7">
        <f t="shared" si="52"/>
        <v>0</v>
      </c>
      <c r="AK397" s="7" t="str">
        <f t="shared" si="53"/>
        <v>North Union Local SD</v>
      </c>
      <c r="AL397" s="7" t="str">
        <f>'St of Activities - GA Exp'!A397</f>
        <v>North Union Local SD</v>
      </c>
      <c r="AM397" s="7" t="b">
        <f t="shared" si="54"/>
        <v>1</v>
      </c>
      <c r="AN397" s="7" t="str">
        <f t="shared" si="49"/>
        <v>Union</v>
      </c>
      <c r="AO397" s="7" t="b">
        <f>C397='St of Activities - GA Exp'!C397</f>
        <v>1</v>
      </c>
    </row>
    <row r="398" spans="1:41">
      <c r="A398" s="12" t="s">
        <v>238</v>
      </c>
      <c r="B398" s="12"/>
      <c r="C398" s="12" t="s">
        <v>17</v>
      </c>
      <c r="D398" s="12"/>
      <c r="E398" s="12">
        <v>46250</v>
      </c>
      <c r="G398" s="7">
        <f>6131556+9582</f>
        <v>6141138</v>
      </c>
      <c r="I398" s="7">
        <v>0</v>
      </c>
      <c r="K398" s="2">
        <f t="shared" si="55"/>
        <v>11120473</v>
      </c>
      <c r="M398" s="7">
        <v>17261611</v>
      </c>
      <c r="O398" s="2">
        <f t="shared" si="50"/>
        <v>3512602</v>
      </c>
      <c r="Q398" s="7">
        <v>7145187</v>
      </c>
      <c r="S398" s="7">
        <v>10657789</v>
      </c>
      <c r="U398" s="7">
        <v>86718</v>
      </c>
      <c r="W398" s="7">
        <v>11000</v>
      </c>
      <c r="Y398" s="7">
        <v>0</v>
      </c>
      <c r="AA398" s="7">
        <v>203930</v>
      </c>
      <c r="AC398" s="7">
        <v>6302174</v>
      </c>
      <c r="AE398" s="13">
        <f t="shared" si="51"/>
        <v>6603822</v>
      </c>
      <c r="AG398" s="7">
        <f t="shared" si="52"/>
        <v>0</v>
      </c>
      <c r="AK398" s="7" t="str">
        <f t="shared" si="53"/>
        <v>Northeastern Local SD</v>
      </c>
      <c r="AL398" s="7" t="str">
        <f>'St of Activities - GA Exp'!A398</f>
        <v>Northeastern Local SD</v>
      </c>
      <c r="AM398" s="7" t="b">
        <f t="shared" si="54"/>
        <v>1</v>
      </c>
      <c r="AN398" s="7" t="str">
        <f t="shared" ref="AN398:AN463" si="61">C398</f>
        <v>Clark</v>
      </c>
      <c r="AO398" s="7" t="b">
        <f>C398='St of Activities - GA Exp'!C398</f>
        <v>1</v>
      </c>
    </row>
    <row r="399" spans="1:41" hidden="1">
      <c r="A399" s="12" t="s">
        <v>946</v>
      </c>
      <c r="B399" s="12"/>
      <c r="C399" s="12" t="s">
        <v>22</v>
      </c>
      <c r="D399" s="12"/>
      <c r="E399" s="12">
        <v>46722</v>
      </c>
      <c r="K399" s="2">
        <f t="shared" si="55"/>
        <v>0</v>
      </c>
      <c r="O399" s="2">
        <f t="shared" si="50"/>
        <v>0</v>
      </c>
      <c r="AE399" s="13">
        <f t="shared" si="51"/>
        <v>0</v>
      </c>
      <c r="AG399" s="7">
        <f t="shared" si="52"/>
        <v>0</v>
      </c>
      <c r="AI399" s="7" t="s">
        <v>839</v>
      </c>
      <c r="AK399" s="7" t="str">
        <f t="shared" si="53"/>
        <v>Northeastern Local SD (CASH)</v>
      </c>
      <c r="AL399" s="7" t="str">
        <f>'St of Activities - GA Exp'!A399</f>
        <v>Northeastern Local SD (CASH)</v>
      </c>
      <c r="AM399" s="7" t="b">
        <f t="shared" si="54"/>
        <v>1</v>
      </c>
      <c r="AN399" s="7" t="str">
        <f t="shared" si="61"/>
        <v>Defiance</v>
      </c>
      <c r="AO399" s="7" t="b">
        <f>C399='St of Activities - GA Exp'!C399</f>
        <v>1</v>
      </c>
    </row>
    <row r="400" spans="1:41" hidden="1">
      <c r="A400" s="12" t="s">
        <v>947</v>
      </c>
      <c r="B400" s="12"/>
      <c r="C400" s="12" t="s">
        <v>466</v>
      </c>
      <c r="D400" s="12"/>
      <c r="E400" s="12"/>
      <c r="K400" s="2">
        <f t="shared" si="55"/>
        <v>0</v>
      </c>
      <c r="O400" s="2">
        <f t="shared" si="50"/>
        <v>0</v>
      </c>
      <c r="AE400" s="13">
        <f t="shared" si="51"/>
        <v>0</v>
      </c>
      <c r="AI400" s="7" t="s">
        <v>931</v>
      </c>
      <c r="AK400" s="7" t="str">
        <f t="shared" ref="AK400" si="62">A400</f>
        <v>Northern Local SD (CASH)</v>
      </c>
      <c r="AL400" s="7" t="str">
        <f>'St of Activities - GA Exp'!A400</f>
        <v>Northern Local SD (CASH)</v>
      </c>
      <c r="AM400" s="7" t="b">
        <f t="shared" ref="AM400" si="63">AK400=AL400</f>
        <v>1</v>
      </c>
      <c r="AN400" s="7" t="str">
        <f t="shared" ref="AN400" si="64">C400</f>
        <v>Perry</v>
      </c>
      <c r="AO400" s="7" t="b">
        <f>C400='St of Activities - GA Exp'!C400</f>
        <v>1</v>
      </c>
    </row>
    <row r="401" spans="1:41">
      <c r="A401" s="12" t="s">
        <v>447</v>
      </c>
      <c r="B401" s="12"/>
      <c r="C401" s="12" t="s">
        <v>50</v>
      </c>
      <c r="D401" s="12"/>
      <c r="E401" s="12">
        <v>48728</v>
      </c>
      <c r="G401" s="7">
        <v>10020208</v>
      </c>
      <c r="I401" s="7">
        <v>0</v>
      </c>
      <c r="K401" s="2">
        <f t="shared" si="55"/>
        <v>24575068</v>
      </c>
      <c r="M401" s="7">
        <v>34595276</v>
      </c>
      <c r="O401" s="2">
        <f t="shared" si="50"/>
        <v>6921142</v>
      </c>
      <c r="Q401" s="7">
        <v>22722865</v>
      </c>
      <c r="S401" s="7">
        <v>29644007</v>
      </c>
      <c r="U401" s="7">
        <v>0</v>
      </c>
      <c r="W401" s="7">
        <v>0</v>
      </c>
      <c r="Y401" s="7">
        <v>0</v>
      </c>
      <c r="AA401" s="7">
        <v>0</v>
      </c>
      <c r="AC401" s="7">
        <v>4951269</v>
      </c>
      <c r="AE401" s="13">
        <f t="shared" si="51"/>
        <v>4951269</v>
      </c>
      <c r="AG401" s="7">
        <f t="shared" si="52"/>
        <v>0</v>
      </c>
      <c r="AK401" s="7" t="str">
        <f t="shared" si="53"/>
        <v>Northmont City SD</v>
      </c>
      <c r="AL401" s="7" t="str">
        <f>'St of Activities - GA Exp'!A401</f>
        <v>Northmont City SD</v>
      </c>
      <c r="AM401" s="7" t="b">
        <f t="shared" si="54"/>
        <v>1</v>
      </c>
      <c r="AN401" s="7" t="str">
        <f t="shared" si="61"/>
        <v>Montgomery</v>
      </c>
      <c r="AO401" s="7" t="b">
        <f>C401='St of Activities - GA Exp'!C401</f>
        <v>1</v>
      </c>
    </row>
    <row r="402" spans="1:41">
      <c r="A402" s="12" t="s">
        <v>455</v>
      </c>
      <c r="B402" s="12"/>
      <c r="C402" s="12" t="s">
        <v>78</v>
      </c>
      <c r="D402" s="12"/>
      <c r="E402" s="12">
        <v>48819</v>
      </c>
      <c r="G402" s="7">
        <v>52232</v>
      </c>
      <c r="I402" s="7">
        <v>75567</v>
      </c>
      <c r="K402" s="2">
        <f t="shared" si="55"/>
        <v>3818717</v>
      </c>
      <c r="M402" s="7">
        <v>3946516</v>
      </c>
      <c r="O402" s="2">
        <f t="shared" ref="O402:O468" si="65">+S402-Q402</f>
        <v>1294648</v>
      </c>
      <c r="Q402" s="7">
        <f>2205962+404355</f>
        <v>2610317</v>
      </c>
      <c r="S402" s="7">
        <v>3904965</v>
      </c>
      <c r="U402" s="7">
        <f>3963+52017</f>
        <v>55980</v>
      </c>
      <c r="W402" s="7">
        <v>284337</v>
      </c>
      <c r="Y402" s="7">
        <v>43112</v>
      </c>
      <c r="AA402" s="7">
        <f>4699+3875+26364</f>
        <v>34938</v>
      </c>
      <c r="AC402" s="7">
        <v>-376816</v>
      </c>
      <c r="AE402" s="13">
        <f t="shared" ref="AE402:AE468" si="66">+Y402+W402++U402+AA402+AC402</f>
        <v>41551</v>
      </c>
      <c r="AG402" s="7">
        <f t="shared" ref="AG402:AG468" si="67">+G402+I402+K402-O402-Q402-Y402-W402-U402-AA402-AC402</f>
        <v>0</v>
      </c>
      <c r="AK402" s="7" t="str">
        <f t="shared" ref="AK402:AK468" si="68">A402</f>
        <v>Northmor Local SD</v>
      </c>
      <c r="AL402" s="7" t="str">
        <f>'St of Activities - GA Exp'!A402</f>
        <v>Northmor Local SD</v>
      </c>
      <c r="AM402" s="7" t="b">
        <f t="shared" ref="AM402:AM468" si="69">AK402=AL402</f>
        <v>1</v>
      </c>
      <c r="AN402" s="7" t="str">
        <f t="shared" si="61"/>
        <v>Morrow</v>
      </c>
      <c r="AO402" s="7" t="b">
        <f>C402='St of Activities - GA Exp'!C402</f>
        <v>1</v>
      </c>
    </row>
    <row r="403" spans="1:41">
      <c r="A403" s="12" t="s">
        <v>390</v>
      </c>
      <c r="B403" s="12"/>
      <c r="C403" s="12" t="s">
        <v>42</v>
      </c>
      <c r="D403" s="12"/>
      <c r="E403" s="12">
        <v>48033</v>
      </c>
      <c r="G403" s="7">
        <v>5196354</v>
      </c>
      <c r="I403" s="7">
        <v>0</v>
      </c>
      <c r="K403" s="2">
        <f t="shared" si="55"/>
        <v>6583070</v>
      </c>
      <c r="M403" s="7">
        <v>11779424</v>
      </c>
      <c r="O403" s="2">
        <f t="shared" si="65"/>
        <v>1187577</v>
      </c>
      <c r="Q403" s="7">
        <v>5783290</v>
      </c>
      <c r="S403" s="7">
        <v>6970867</v>
      </c>
      <c r="U403" s="7">
        <v>11895</v>
      </c>
      <c r="Y403" s="7">
        <v>2885</v>
      </c>
      <c r="AA403" s="7">
        <v>339837</v>
      </c>
      <c r="AC403" s="7">
        <v>4453940</v>
      </c>
      <c r="AE403" s="13">
        <f t="shared" si="66"/>
        <v>4808557</v>
      </c>
      <c r="AG403" s="7">
        <f t="shared" si="67"/>
        <v>0</v>
      </c>
      <c r="AI403" s="7" t="s">
        <v>948</v>
      </c>
      <c r="AK403" s="7" t="str">
        <f t="shared" si="68"/>
        <v>Northridge Local SD</v>
      </c>
      <c r="AL403" s="7" t="str">
        <f>'St of Activities - GA Exp'!A403</f>
        <v>Northridge Local SD</v>
      </c>
      <c r="AM403" s="7" t="b">
        <f t="shared" si="69"/>
        <v>1</v>
      </c>
      <c r="AN403" s="7" t="str">
        <f t="shared" si="61"/>
        <v>Licking</v>
      </c>
      <c r="AO403" s="7" t="b">
        <f>C403='St of Activities - GA Exp'!C403</f>
        <v>1</v>
      </c>
    </row>
    <row r="404" spans="1:41">
      <c r="A404" s="12" t="s">
        <v>390</v>
      </c>
      <c r="B404" s="12"/>
      <c r="C404" s="12" t="s">
        <v>50</v>
      </c>
      <c r="D404" s="12"/>
      <c r="E404" s="12">
        <v>48736</v>
      </c>
      <c r="G404" s="7">
        <v>6004435</v>
      </c>
      <c r="I404" s="7">
        <f>1866689+52637</f>
        <v>1919326</v>
      </c>
      <c r="K404" s="2">
        <f t="shared" ref="K404:K470" si="70">+M404-I404-G404</f>
        <v>7785322</v>
      </c>
      <c r="M404" s="7">
        <v>15709083</v>
      </c>
      <c r="O404" s="2">
        <f t="shared" si="65"/>
        <v>1790317</v>
      </c>
      <c r="Q404" s="7">
        <v>7129022</v>
      </c>
      <c r="S404" s="7">
        <v>8919339</v>
      </c>
      <c r="U404" s="7">
        <v>7745</v>
      </c>
      <c r="W404" s="7">
        <v>1921326</v>
      </c>
      <c r="Y404" s="7">
        <v>0</v>
      </c>
      <c r="AA404" s="7">
        <v>394999</v>
      </c>
      <c r="AC404" s="7">
        <v>4465674</v>
      </c>
      <c r="AE404" s="13">
        <f t="shared" si="66"/>
        <v>6789744</v>
      </c>
      <c r="AG404" s="7">
        <f t="shared" si="67"/>
        <v>0</v>
      </c>
      <c r="AK404" s="7" t="str">
        <f t="shared" si="68"/>
        <v>Northridge Local SD</v>
      </c>
      <c r="AL404" s="7" t="str">
        <f>'St of Activities - GA Exp'!A404</f>
        <v>Northridge Local SD</v>
      </c>
      <c r="AM404" s="7" t="b">
        <f t="shared" si="69"/>
        <v>1</v>
      </c>
      <c r="AN404" s="7" t="str">
        <f t="shared" si="61"/>
        <v>Montgomery</v>
      </c>
      <c r="AO404" s="7" t="b">
        <f>C404='St of Activities - GA Exp'!C404</f>
        <v>1</v>
      </c>
    </row>
    <row r="405" spans="1:41">
      <c r="A405" s="12" t="s">
        <v>335</v>
      </c>
      <c r="B405" s="12"/>
      <c r="C405" s="12" t="s">
        <v>32</v>
      </c>
      <c r="D405" s="12"/>
      <c r="E405" s="12">
        <v>47365</v>
      </c>
      <c r="G405" s="7">
        <v>17814231</v>
      </c>
      <c r="I405" s="7">
        <v>0</v>
      </c>
      <c r="K405" s="2">
        <f t="shared" si="70"/>
        <v>43788162</v>
      </c>
      <c r="M405" s="7">
        <v>61602393</v>
      </c>
      <c r="O405" s="2">
        <f t="shared" si="65"/>
        <v>9727717</v>
      </c>
      <c r="Q405" s="7">
        <v>26419042</v>
      </c>
      <c r="S405" s="7">
        <v>36146759</v>
      </c>
      <c r="U405" s="7">
        <v>0</v>
      </c>
      <c r="W405" s="7">
        <v>0</v>
      </c>
      <c r="Y405" s="7">
        <v>71046</v>
      </c>
      <c r="AA405" s="7">
        <v>737234</v>
      </c>
      <c r="AC405" s="7">
        <v>24647354</v>
      </c>
      <c r="AE405" s="13">
        <f t="shared" si="66"/>
        <v>25455634</v>
      </c>
      <c r="AG405" s="7">
        <f t="shared" si="67"/>
        <v>0</v>
      </c>
      <c r="AK405" s="7" t="str">
        <f t="shared" si="68"/>
        <v>Northwest Local SD</v>
      </c>
      <c r="AL405" s="7" t="str">
        <f>'St of Activities - GA Exp'!A405</f>
        <v>Northwest Local SD</v>
      </c>
      <c r="AM405" s="7" t="b">
        <f t="shared" si="69"/>
        <v>1</v>
      </c>
      <c r="AN405" s="7" t="str">
        <f t="shared" si="61"/>
        <v>Hamilton</v>
      </c>
      <c r="AO405" s="7" t="b">
        <f>C405='St of Activities - GA Exp'!C405</f>
        <v>1</v>
      </c>
    </row>
    <row r="406" spans="1:41" ht="12" customHeight="1">
      <c r="A406" s="12" t="s">
        <v>621</v>
      </c>
      <c r="B406" s="12"/>
      <c r="C406" s="12" t="s">
        <v>59</v>
      </c>
      <c r="D406" s="12"/>
      <c r="E406" s="12">
        <v>49635</v>
      </c>
      <c r="G406" s="7">
        <v>1398252</v>
      </c>
      <c r="I406" s="7">
        <v>87229</v>
      </c>
      <c r="K406" s="2">
        <f t="shared" si="70"/>
        <v>2282612</v>
      </c>
      <c r="M406" s="7">
        <v>3768093</v>
      </c>
      <c r="O406" s="2">
        <f t="shared" si="65"/>
        <v>2001184</v>
      </c>
      <c r="Q406" s="7">
        <v>1998868</v>
      </c>
      <c r="S406" s="7">
        <v>4000052</v>
      </c>
      <c r="U406" s="7">
        <v>0</v>
      </c>
      <c r="W406" s="7">
        <v>0</v>
      </c>
      <c r="Y406" s="7">
        <f>10636+80244</f>
        <v>90880</v>
      </c>
      <c r="AA406" s="7">
        <v>0</v>
      </c>
      <c r="AC406" s="7">
        <v>-322839</v>
      </c>
      <c r="AE406" s="13">
        <f t="shared" si="66"/>
        <v>-231959</v>
      </c>
      <c r="AG406" s="7">
        <f t="shared" si="67"/>
        <v>0</v>
      </c>
      <c r="AK406" s="7" t="str">
        <f t="shared" si="68"/>
        <v xml:space="preserve">Northwest Local SD    </v>
      </c>
      <c r="AL406" s="7" t="str">
        <f>'St of Activities - GA Exp'!A406</f>
        <v xml:space="preserve">Northwest Local SD    </v>
      </c>
      <c r="AM406" s="7" t="b">
        <f t="shared" si="69"/>
        <v>1</v>
      </c>
      <c r="AN406" s="7" t="str">
        <f t="shared" si="61"/>
        <v>Scioto</v>
      </c>
      <c r="AO406" s="7" t="b">
        <f>C406='St of Activities - GA Exp'!C406</f>
        <v>1</v>
      </c>
    </row>
    <row r="407" spans="1:41">
      <c r="A407" s="12" t="s">
        <v>335</v>
      </c>
      <c r="B407" s="12"/>
      <c r="C407" s="12" t="s">
        <v>62</v>
      </c>
      <c r="D407" s="12"/>
      <c r="E407" s="12">
        <v>49908</v>
      </c>
      <c r="G407" s="7">
        <v>911631</v>
      </c>
      <c r="I407" s="7">
        <v>0</v>
      </c>
      <c r="K407" s="2">
        <f t="shared" si="70"/>
        <v>7313747</v>
      </c>
      <c r="M407" s="7">
        <v>8225378</v>
      </c>
      <c r="O407" s="2">
        <f t="shared" si="65"/>
        <v>3337851</v>
      </c>
      <c r="Q407" s="7">
        <f>339524+5403883</f>
        <v>5743407</v>
      </c>
      <c r="S407" s="7">
        <v>9081258</v>
      </c>
      <c r="U407" s="7">
        <f>42456+12594</f>
        <v>55050</v>
      </c>
      <c r="W407" s="7">
        <v>0</v>
      </c>
      <c r="Y407" s="7">
        <v>0</v>
      </c>
      <c r="AA407" s="7">
        <f>41158+129176+162</f>
        <v>170496</v>
      </c>
      <c r="AC407" s="7">
        <v>-1081426</v>
      </c>
      <c r="AE407" s="13">
        <f t="shared" si="66"/>
        <v>-855880</v>
      </c>
      <c r="AG407" s="7">
        <f t="shared" si="67"/>
        <v>0</v>
      </c>
      <c r="AK407" s="7" t="str">
        <f t="shared" si="68"/>
        <v>Northwest Local SD</v>
      </c>
      <c r="AL407" s="7" t="str">
        <f>'St of Activities - GA Exp'!A407</f>
        <v>Northwest Local SD</v>
      </c>
      <c r="AM407" s="7" t="b">
        <f t="shared" si="69"/>
        <v>1</v>
      </c>
      <c r="AN407" s="7" t="str">
        <f t="shared" si="61"/>
        <v>Stark</v>
      </c>
      <c r="AO407" s="7" t="b">
        <f>C407='St of Activities - GA Exp'!C407</f>
        <v>1</v>
      </c>
    </row>
    <row r="408" spans="1:41">
      <c r="A408" s="12" t="s">
        <v>239</v>
      </c>
      <c r="B408" s="12"/>
      <c r="C408" s="12" t="s">
        <v>17</v>
      </c>
      <c r="D408" s="12"/>
      <c r="E408" s="12">
        <v>46268</v>
      </c>
      <c r="G408" s="7">
        <v>4027502</v>
      </c>
      <c r="I408" s="7">
        <v>39318</v>
      </c>
      <c r="K408" s="2">
        <f t="shared" si="70"/>
        <v>6042143</v>
      </c>
      <c r="M408" s="7">
        <v>10108963</v>
      </c>
      <c r="O408" s="2">
        <f t="shared" si="65"/>
        <v>1690798</v>
      </c>
      <c r="Q408" s="7">
        <v>5084434</v>
      </c>
      <c r="S408" s="7">
        <v>6775232</v>
      </c>
      <c r="U408" s="7">
        <v>35616</v>
      </c>
      <c r="W408" s="7">
        <v>0</v>
      </c>
      <c r="Y408" s="7">
        <v>0</v>
      </c>
      <c r="AA408" s="7">
        <v>194988</v>
      </c>
      <c r="AC408" s="7">
        <v>3103127</v>
      </c>
      <c r="AE408" s="13">
        <f t="shared" si="66"/>
        <v>3333731</v>
      </c>
      <c r="AG408" s="7">
        <f t="shared" si="67"/>
        <v>0</v>
      </c>
      <c r="AK408" s="7" t="str">
        <f t="shared" si="68"/>
        <v>Northwestern Local SD</v>
      </c>
      <c r="AL408" s="7" t="str">
        <f>'St of Activities - GA Exp'!A408</f>
        <v>Northwestern Local SD</v>
      </c>
      <c r="AM408" s="7" t="b">
        <f t="shared" si="69"/>
        <v>1</v>
      </c>
      <c r="AN408" s="7" t="str">
        <f t="shared" si="61"/>
        <v>Clark</v>
      </c>
      <c r="AO408" s="7" t="b">
        <f>C408='St of Activities - GA Exp'!C408</f>
        <v>1</v>
      </c>
    </row>
    <row r="409" spans="1:41" hidden="1">
      <c r="A409" s="12" t="s">
        <v>801</v>
      </c>
      <c r="B409" s="12"/>
      <c r="C409" s="12" t="s">
        <v>71</v>
      </c>
      <c r="D409" s="12"/>
      <c r="E409" s="12"/>
      <c r="K409" s="2"/>
      <c r="O409" s="2"/>
      <c r="AE409" s="13"/>
      <c r="AI409" s="7" t="s">
        <v>938</v>
      </c>
      <c r="AK409" s="7" t="str">
        <f t="shared" ref="AK409" si="71">A409</f>
        <v>Northwestern Local SD (CASH)</v>
      </c>
      <c r="AL409" s="7" t="str">
        <f>'St of Activities - GA Exp'!A409</f>
        <v>Northwestern Local SD (CASH)</v>
      </c>
      <c r="AM409" s="7" t="b">
        <f t="shared" ref="AM409" si="72">AK409=AL409</f>
        <v>1</v>
      </c>
      <c r="AN409" s="7" t="str">
        <f t="shared" si="61"/>
        <v>Wayne</v>
      </c>
      <c r="AO409" s="7" t="b">
        <f>C409='St of Activities - GA Exp'!C409</f>
        <v>1</v>
      </c>
    </row>
    <row r="410" spans="1:41">
      <c r="A410" s="12" t="s">
        <v>575</v>
      </c>
      <c r="B410" s="12"/>
      <c r="C410" s="12" t="s">
        <v>72</v>
      </c>
      <c r="D410" s="12"/>
      <c r="E410" s="12">
        <v>50716</v>
      </c>
      <c r="G410" s="7">
        <v>3007630</v>
      </c>
      <c r="I410" s="7">
        <v>1291</v>
      </c>
      <c r="K410" s="2">
        <f t="shared" si="70"/>
        <v>5835790</v>
      </c>
      <c r="M410" s="7">
        <v>8844711</v>
      </c>
      <c r="O410" s="2">
        <f t="shared" si="65"/>
        <v>957976</v>
      </c>
      <c r="Q410" s="7">
        <v>4465588</v>
      </c>
      <c r="S410" s="7">
        <v>5423564</v>
      </c>
      <c r="U410" s="7">
        <v>0</v>
      </c>
      <c r="W410" s="7">
        <v>1291</v>
      </c>
      <c r="Y410" s="7">
        <v>350000</v>
      </c>
      <c r="AA410" s="7">
        <v>177267</v>
      </c>
      <c r="AC410" s="7">
        <v>2892589</v>
      </c>
      <c r="AE410" s="13">
        <f t="shared" si="66"/>
        <v>3421147</v>
      </c>
      <c r="AG410" s="7">
        <f t="shared" si="67"/>
        <v>0</v>
      </c>
      <c r="AK410" s="7" t="str">
        <f t="shared" si="68"/>
        <v>Northwood Local SD</v>
      </c>
      <c r="AL410" s="7" t="str">
        <f>'St of Activities - GA Exp'!A410</f>
        <v>Northwood Local SD</v>
      </c>
      <c r="AM410" s="7" t="b">
        <f t="shared" si="69"/>
        <v>1</v>
      </c>
      <c r="AN410" s="7" t="str">
        <f t="shared" si="61"/>
        <v>Wood</v>
      </c>
      <c r="AO410" s="7" t="b">
        <f>C410='St of Activities - GA Exp'!C410</f>
        <v>1</v>
      </c>
    </row>
    <row r="411" spans="1:41">
      <c r="A411" s="12" t="s">
        <v>528</v>
      </c>
      <c r="B411" s="12"/>
      <c r="C411" s="12" t="s">
        <v>63</v>
      </c>
      <c r="D411" s="12"/>
      <c r="E411" s="12">
        <v>44552</v>
      </c>
      <c r="G411" s="7">
        <v>4413936</v>
      </c>
      <c r="I411" s="7">
        <v>15427</v>
      </c>
      <c r="K411" s="2">
        <f t="shared" si="70"/>
        <v>8589342</v>
      </c>
      <c r="M411" s="7">
        <v>13018705</v>
      </c>
      <c r="O411" s="2">
        <f t="shared" si="65"/>
        <v>2176198</v>
      </c>
      <c r="Q411" s="7">
        <v>7335820</v>
      </c>
      <c r="S411" s="7">
        <v>9512018</v>
      </c>
      <c r="U411" s="7">
        <v>47940</v>
      </c>
      <c r="W411" s="7">
        <v>0</v>
      </c>
      <c r="Y411" s="7">
        <v>11000</v>
      </c>
      <c r="AA411" s="7">
        <v>3447747</v>
      </c>
      <c r="AC411" s="7">
        <v>0</v>
      </c>
      <c r="AE411" s="13">
        <f t="shared" si="66"/>
        <v>3506687</v>
      </c>
      <c r="AG411" s="7">
        <f t="shared" si="67"/>
        <v>0</v>
      </c>
      <c r="AI411" s="7" t="s">
        <v>949</v>
      </c>
      <c r="AK411" s="7" t="str">
        <f t="shared" si="68"/>
        <v>Norton City SD</v>
      </c>
      <c r="AL411" s="7" t="str">
        <f>'St of Activities - GA Exp'!A411</f>
        <v>Norton City SD</v>
      </c>
      <c r="AM411" s="7" t="b">
        <f t="shared" si="69"/>
        <v>1</v>
      </c>
      <c r="AN411" s="7" t="str">
        <f t="shared" si="61"/>
        <v>Summit</v>
      </c>
      <c r="AO411" s="7" t="b">
        <f>C411='St of Activities - GA Exp'!C411</f>
        <v>1</v>
      </c>
    </row>
    <row r="412" spans="1:41">
      <c r="A412" s="12" t="s">
        <v>368</v>
      </c>
      <c r="B412" s="12"/>
      <c r="C412" s="12" t="s">
        <v>37</v>
      </c>
      <c r="D412" s="12"/>
      <c r="E412" s="12">
        <v>44560</v>
      </c>
      <c r="G412" s="7">
        <v>7862711</v>
      </c>
      <c r="I412" s="7">
        <v>2285419</v>
      </c>
      <c r="K412" s="2">
        <f t="shared" si="70"/>
        <v>7099626</v>
      </c>
      <c r="M412" s="7">
        <v>17247756</v>
      </c>
      <c r="O412" s="2">
        <f t="shared" si="65"/>
        <v>2583202</v>
      </c>
      <c r="Q412" s="7">
        <v>5424790</v>
      </c>
      <c r="S412" s="7">
        <v>8007992</v>
      </c>
      <c r="U412" s="7">
        <v>0</v>
      </c>
      <c r="W412" s="7">
        <v>2285419</v>
      </c>
      <c r="Y412" s="7">
        <v>0</v>
      </c>
      <c r="AA412" s="7">
        <v>230015</v>
      </c>
      <c r="AC412" s="7">
        <v>6724330</v>
      </c>
      <c r="AE412" s="13">
        <f t="shared" si="66"/>
        <v>9239764</v>
      </c>
      <c r="AG412" s="7">
        <f t="shared" si="67"/>
        <v>0</v>
      </c>
      <c r="AK412" s="7" t="str">
        <f t="shared" si="68"/>
        <v>Norwalk City SD</v>
      </c>
      <c r="AL412" s="7" t="str">
        <f>'St of Activities - GA Exp'!A412</f>
        <v>Norwalk City SD</v>
      </c>
      <c r="AM412" s="7" t="b">
        <f t="shared" si="69"/>
        <v>1</v>
      </c>
      <c r="AN412" s="7" t="str">
        <f t="shared" si="61"/>
        <v>Huron</v>
      </c>
      <c r="AO412" s="7" t="b">
        <f>C412='St of Activities - GA Exp'!C412</f>
        <v>1</v>
      </c>
    </row>
    <row r="413" spans="1:41" hidden="1">
      <c r="A413" s="12" t="s">
        <v>950</v>
      </c>
      <c r="B413" s="12"/>
      <c r="C413" s="12" t="s">
        <v>71</v>
      </c>
      <c r="D413" s="12"/>
      <c r="E413" s="12"/>
      <c r="K413" s="2">
        <f t="shared" ref="K413" si="73">+M413-I413-G413</f>
        <v>0</v>
      </c>
      <c r="O413" s="2">
        <f t="shared" ref="O413" si="74">+S413-Q413</f>
        <v>0</v>
      </c>
      <c r="AE413" s="13">
        <f t="shared" ref="AE413" si="75">+Y413+W413++U413+AA413+AC413</f>
        <v>0</v>
      </c>
      <c r="AG413" s="7">
        <f t="shared" ref="AG413" si="76">+G413+I413+K413-O413-Q413-Y413-W413-U413-AA413-AC413</f>
        <v>0</v>
      </c>
      <c r="AI413" s="7" t="s">
        <v>931</v>
      </c>
      <c r="AK413" s="7" t="str">
        <f t="shared" ref="AK413" si="77">A413</f>
        <v>Norwayne Local SD (CASH)</v>
      </c>
      <c r="AL413" s="7" t="str">
        <f>'St of Activities - GA Exp'!A413</f>
        <v>Norwayne Local SD (CASH)</v>
      </c>
      <c r="AM413" s="7" t="b">
        <f t="shared" ref="AM413" si="78">AK413=AL413</f>
        <v>1</v>
      </c>
      <c r="AN413" s="7" t="str">
        <f t="shared" ref="AN413" si="79">C413</f>
        <v>Wayne</v>
      </c>
      <c r="AO413" s="7" t="b">
        <f>C413='St of Activities - GA Exp'!C413</f>
        <v>1</v>
      </c>
    </row>
    <row r="414" spans="1:41">
      <c r="A414" s="12" t="s">
        <v>658</v>
      </c>
      <c r="B414" s="12"/>
      <c r="C414" s="12" t="s">
        <v>32</v>
      </c>
      <c r="D414" s="12"/>
      <c r="E414" s="12">
        <v>44578</v>
      </c>
      <c r="G414" s="7">
        <v>2498892</v>
      </c>
      <c r="I414" s="7">
        <v>20592</v>
      </c>
      <c r="K414" s="2">
        <f t="shared" si="70"/>
        <v>14257980</v>
      </c>
      <c r="M414" s="7">
        <v>16777464</v>
      </c>
      <c r="O414" s="2">
        <f t="shared" si="65"/>
        <v>2557595</v>
      </c>
      <c r="Q414" s="7">
        <v>8674409</v>
      </c>
      <c r="S414" s="7">
        <v>11232004</v>
      </c>
      <c r="U414" s="7">
        <v>12313</v>
      </c>
      <c r="W414" s="7">
        <v>20592</v>
      </c>
      <c r="Y414" s="7">
        <v>0</v>
      </c>
      <c r="AA414" s="7">
        <v>2639003</v>
      </c>
      <c r="AC414" s="7">
        <v>2873552</v>
      </c>
      <c r="AE414" s="13">
        <f t="shared" si="66"/>
        <v>5545460</v>
      </c>
      <c r="AG414" s="7">
        <f t="shared" si="67"/>
        <v>0</v>
      </c>
      <c r="AK414" s="7" t="str">
        <f t="shared" si="68"/>
        <v>Norwood City SD</v>
      </c>
      <c r="AL414" s="7" t="str">
        <f>'St of Activities - GA Exp'!A414</f>
        <v>Norwood City SD</v>
      </c>
      <c r="AM414" s="7" t="b">
        <f t="shared" si="69"/>
        <v>1</v>
      </c>
      <c r="AN414" s="7" t="str">
        <f t="shared" si="61"/>
        <v>Hamilton</v>
      </c>
      <c r="AO414" s="7" t="b">
        <f>C414='St of Activities - GA Exp'!C414</f>
        <v>1</v>
      </c>
    </row>
    <row r="415" spans="1:41" hidden="1">
      <c r="A415" s="12" t="s">
        <v>799</v>
      </c>
      <c r="B415" s="12"/>
      <c r="C415" s="12" t="s">
        <v>38</v>
      </c>
      <c r="D415" s="12"/>
      <c r="E415" s="12"/>
      <c r="K415" s="2"/>
      <c r="O415" s="2"/>
      <c r="AE415" s="13"/>
      <c r="AI415" s="7" t="s">
        <v>938</v>
      </c>
      <c r="AK415" s="7" t="str">
        <f t="shared" ref="AK415" si="80">A415</f>
        <v>Oak Hill Union Local SD (CASH)</v>
      </c>
      <c r="AL415" s="7" t="str">
        <f>'St of Activities - GA Exp'!A415</f>
        <v>Oak Hill Union Local SD (CASH)</v>
      </c>
      <c r="AM415" s="7" t="b">
        <f t="shared" ref="AM415" si="81">AK415=AL415</f>
        <v>1</v>
      </c>
      <c r="AN415" s="7" t="str">
        <f t="shared" si="61"/>
        <v>Jackson</v>
      </c>
      <c r="AO415" s="7" t="b">
        <f>C415='St of Activities - GA Exp'!C415</f>
        <v>1</v>
      </c>
    </row>
    <row r="416" spans="1:41">
      <c r="A416" s="12" t="s">
        <v>336</v>
      </c>
      <c r="B416" s="12"/>
      <c r="C416" s="12" t="s">
        <v>32</v>
      </c>
      <c r="D416" s="12"/>
      <c r="E416" s="12">
        <v>47373</v>
      </c>
      <c r="G416" s="7">
        <v>19997847</v>
      </c>
      <c r="I416" s="7">
        <v>380716</v>
      </c>
      <c r="K416" s="2">
        <f t="shared" si="70"/>
        <v>31509493</v>
      </c>
      <c r="M416" s="7">
        <v>51888056</v>
      </c>
      <c r="O416" s="2">
        <f t="shared" si="65"/>
        <v>8450540</v>
      </c>
      <c r="Q416" s="7">
        <v>22654053</v>
      </c>
      <c r="S416" s="7">
        <v>31104593</v>
      </c>
      <c r="U416" s="7">
        <v>0</v>
      </c>
      <c r="W416" s="7">
        <v>0</v>
      </c>
      <c r="Y416" s="7">
        <v>0</v>
      </c>
      <c r="AA416" s="7">
        <v>99794</v>
      </c>
      <c r="AC416" s="7">
        <v>20683669</v>
      </c>
      <c r="AE416" s="13">
        <f t="shared" si="66"/>
        <v>20783463</v>
      </c>
      <c r="AG416" s="7">
        <f t="shared" si="67"/>
        <v>0</v>
      </c>
      <c r="AK416" s="7" t="str">
        <f t="shared" si="68"/>
        <v>Oak Hills Local SD</v>
      </c>
      <c r="AL416" s="7" t="str">
        <f>'St of Activities - GA Exp'!A416</f>
        <v>Oak Hills Local SD</v>
      </c>
      <c r="AM416" s="7" t="b">
        <f t="shared" si="69"/>
        <v>1</v>
      </c>
      <c r="AN416" s="7" t="str">
        <f t="shared" si="61"/>
        <v>Hamilton</v>
      </c>
      <c r="AO416" s="7" t="b">
        <f>C416='St of Activities - GA Exp'!C416</f>
        <v>1</v>
      </c>
    </row>
    <row r="417" spans="1:41">
      <c r="A417" s="12" t="s">
        <v>448</v>
      </c>
      <c r="B417" s="12"/>
      <c r="C417" s="12" t="s">
        <v>50</v>
      </c>
      <c r="D417" s="12"/>
      <c r="E417" s="12">
        <v>44586</v>
      </c>
      <c r="G417" s="7">
        <f>2260235+2468</f>
        <v>2262703</v>
      </c>
      <c r="I417" s="7">
        <v>0</v>
      </c>
      <c r="K417" s="2">
        <f t="shared" si="70"/>
        <v>15436439</v>
      </c>
      <c r="M417" s="7">
        <v>17699142</v>
      </c>
      <c r="O417" s="2">
        <f t="shared" si="65"/>
        <v>2617583</v>
      </c>
      <c r="Q417" s="7">
        <v>13644501</v>
      </c>
      <c r="S417" s="7">
        <v>16262084</v>
      </c>
      <c r="U417" s="7">
        <v>6140</v>
      </c>
      <c r="W417" s="7">
        <v>0</v>
      </c>
      <c r="Y417" s="7">
        <v>0</v>
      </c>
      <c r="AA417" s="7">
        <v>1199080</v>
      </c>
      <c r="AC417" s="7">
        <v>231838</v>
      </c>
      <c r="AE417" s="13">
        <f t="shared" si="66"/>
        <v>1437058</v>
      </c>
      <c r="AG417" s="7">
        <f t="shared" si="67"/>
        <v>0</v>
      </c>
      <c r="AK417" s="7" t="str">
        <f t="shared" si="68"/>
        <v>Oakwood City SD</v>
      </c>
      <c r="AL417" s="7" t="str">
        <f>'St of Activities - GA Exp'!A417</f>
        <v>Oakwood City SD</v>
      </c>
      <c r="AM417" s="7" t="b">
        <f t="shared" si="69"/>
        <v>1</v>
      </c>
      <c r="AN417" s="7" t="str">
        <f t="shared" si="61"/>
        <v>Montgomery</v>
      </c>
      <c r="AO417" s="7" t="b">
        <f>C417='St of Activities - GA Exp'!C417</f>
        <v>1</v>
      </c>
    </row>
    <row r="418" spans="1:41">
      <c r="A418" s="12" t="s">
        <v>401</v>
      </c>
      <c r="B418" s="12"/>
      <c r="C418" s="12" t="s">
        <v>44</v>
      </c>
      <c r="D418" s="12"/>
      <c r="E418" s="12">
        <v>44594</v>
      </c>
      <c r="G418" s="7">
        <v>85357</v>
      </c>
      <c r="I418" s="7">
        <v>0</v>
      </c>
      <c r="K418" s="2">
        <f t="shared" si="70"/>
        <v>5176738</v>
      </c>
      <c r="M418" s="7">
        <v>5262095</v>
      </c>
      <c r="O418" s="2">
        <f t="shared" si="65"/>
        <v>1567676</v>
      </c>
      <c r="Q418" s="7">
        <v>3400355</v>
      </c>
      <c r="S418" s="7">
        <v>4968031</v>
      </c>
      <c r="U418" s="7">
        <v>0</v>
      </c>
      <c r="W418" s="7">
        <v>0</v>
      </c>
      <c r="Y418" s="7">
        <v>0</v>
      </c>
      <c r="AA418" s="7">
        <v>79278</v>
      </c>
      <c r="AC418" s="7">
        <v>214786</v>
      </c>
      <c r="AE418" s="13">
        <f t="shared" si="66"/>
        <v>294064</v>
      </c>
      <c r="AG418" s="7">
        <f t="shared" si="67"/>
        <v>0</v>
      </c>
      <c r="AK418" s="7" t="str">
        <f t="shared" si="68"/>
        <v>Oberlin City SD</v>
      </c>
      <c r="AL418" s="7" t="str">
        <f>'St of Activities - GA Exp'!A418</f>
        <v>Oberlin City SD</v>
      </c>
      <c r="AM418" s="7" t="b">
        <f t="shared" si="69"/>
        <v>1</v>
      </c>
      <c r="AN418" s="7" t="str">
        <f t="shared" si="61"/>
        <v>Lorain</v>
      </c>
      <c r="AO418" s="7" t="b">
        <f>C418='St of Activities - GA Exp'!C418</f>
        <v>1</v>
      </c>
    </row>
    <row r="419" spans="1:41" hidden="1">
      <c r="A419" s="12" t="s">
        <v>640</v>
      </c>
      <c r="B419" s="12"/>
      <c r="C419" s="12" t="s">
        <v>60</v>
      </c>
      <c r="D419" s="12"/>
      <c r="E419" s="12">
        <v>49726</v>
      </c>
      <c r="K419" s="2">
        <f t="shared" si="70"/>
        <v>0</v>
      </c>
      <c r="O419" s="2">
        <f t="shared" si="65"/>
        <v>0</v>
      </c>
      <c r="AE419" s="13">
        <f t="shared" si="66"/>
        <v>0</v>
      </c>
      <c r="AG419" s="7">
        <f t="shared" si="67"/>
        <v>0</v>
      </c>
      <c r="AI419" s="7" t="s">
        <v>839</v>
      </c>
      <c r="AK419" s="7" t="str">
        <f t="shared" si="68"/>
        <v>Old Fort Local SD (CASH)</v>
      </c>
      <c r="AL419" s="7" t="str">
        <f>'St of Activities - GA Exp'!A419</f>
        <v>Old Fort Local SD (CASH)</v>
      </c>
      <c r="AM419" s="7" t="b">
        <f t="shared" si="69"/>
        <v>1</v>
      </c>
      <c r="AN419" s="7" t="str">
        <f t="shared" si="61"/>
        <v>Seneca</v>
      </c>
      <c r="AO419" s="7" t="b">
        <f>C419='St of Activities - GA Exp'!C419</f>
        <v>1</v>
      </c>
    </row>
    <row r="420" spans="1:41">
      <c r="A420" s="12" t="s">
        <v>290</v>
      </c>
      <c r="B420" s="12"/>
      <c r="C420" s="12" t="s">
        <v>23</v>
      </c>
      <c r="D420" s="12"/>
      <c r="E420" s="12">
        <v>46763</v>
      </c>
      <c r="G420" s="7">
        <v>24886125</v>
      </c>
      <c r="I420" s="7">
        <v>0</v>
      </c>
      <c r="K420" s="2">
        <f t="shared" si="70"/>
        <v>131510657</v>
      </c>
      <c r="M420" s="7">
        <v>156396782</v>
      </c>
      <c r="O420" s="2">
        <f t="shared" si="65"/>
        <v>19049478</v>
      </c>
      <c r="Q420" s="7">
        <v>108419125</v>
      </c>
      <c r="S420" s="7">
        <v>127468603</v>
      </c>
      <c r="U420" s="7">
        <v>319796</v>
      </c>
      <c r="W420" s="7">
        <v>0</v>
      </c>
      <c r="Y420" s="7">
        <v>0</v>
      </c>
      <c r="AA420" s="7">
        <v>16244978</v>
      </c>
      <c r="AC420" s="7">
        <v>12363405</v>
      </c>
      <c r="AE420" s="13">
        <f t="shared" si="66"/>
        <v>28928179</v>
      </c>
      <c r="AG420" s="7">
        <f t="shared" si="67"/>
        <v>0</v>
      </c>
      <c r="AK420" s="7" t="str">
        <f t="shared" si="68"/>
        <v>Olentangy Local SD</v>
      </c>
      <c r="AL420" s="7" t="str">
        <f>'St of Activities - GA Exp'!A420</f>
        <v>Olentangy Local SD</v>
      </c>
      <c r="AM420" s="7" t="b">
        <f t="shared" si="69"/>
        <v>1</v>
      </c>
      <c r="AN420" s="7" t="str">
        <f t="shared" si="61"/>
        <v>Delaware</v>
      </c>
      <c r="AO420" s="7" t="b">
        <f>C420='St of Activities - GA Exp'!C420</f>
        <v>1</v>
      </c>
    </row>
    <row r="421" spans="1:41">
      <c r="A421" s="12" t="s">
        <v>279</v>
      </c>
      <c r="B421" s="12"/>
      <c r="C421" s="12" t="s">
        <v>20</v>
      </c>
      <c r="D421" s="12"/>
      <c r="E421" s="12">
        <v>46573</v>
      </c>
      <c r="G421" s="7">
        <v>6533829</v>
      </c>
      <c r="I421" s="7">
        <v>0</v>
      </c>
      <c r="K421" s="2">
        <f t="shared" si="70"/>
        <v>25186946</v>
      </c>
      <c r="M421" s="7">
        <v>31720775</v>
      </c>
      <c r="O421" s="2">
        <f t="shared" si="65"/>
        <v>6111679</v>
      </c>
      <c r="Q421" s="7">
        <v>21838059</v>
      </c>
      <c r="S421" s="7">
        <v>27949738</v>
      </c>
      <c r="U421" s="7">
        <v>152257</v>
      </c>
      <c r="W421" s="7">
        <v>0</v>
      </c>
      <c r="Y421" s="7">
        <v>211158</v>
      </c>
      <c r="AA421" s="7">
        <v>1094243</v>
      </c>
      <c r="AC421" s="7">
        <v>2313379</v>
      </c>
      <c r="AE421" s="13">
        <f t="shared" si="66"/>
        <v>3771037</v>
      </c>
      <c r="AG421" s="7">
        <f t="shared" si="67"/>
        <v>0</v>
      </c>
      <c r="AK421" s="7" t="str">
        <f t="shared" si="68"/>
        <v>Olmsted Falls City SD</v>
      </c>
      <c r="AL421" s="7" t="str">
        <f>'St of Activities - GA Exp'!A421</f>
        <v>Olmsted Falls City SD</v>
      </c>
      <c r="AM421" s="7" t="b">
        <f t="shared" si="69"/>
        <v>1</v>
      </c>
      <c r="AN421" s="7" t="str">
        <f t="shared" si="61"/>
        <v>Cuyahoga</v>
      </c>
      <c r="AO421" s="7" t="b">
        <f>C421='St of Activities - GA Exp'!C421</f>
        <v>1</v>
      </c>
    </row>
    <row r="422" spans="1:41">
      <c r="A422" s="12" t="s">
        <v>485</v>
      </c>
      <c r="B422" s="12"/>
      <c r="C422" s="12" t="s">
        <v>110</v>
      </c>
      <c r="D422" s="12"/>
      <c r="E422" s="12">
        <v>49478</v>
      </c>
      <c r="G422" s="7">
        <v>5379916</v>
      </c>
      <c r="I422" s="7">
        <v>0</v>
      </c>
      <c r="K422" s="2">
        <f t="shared" si="70"/>
        <v>8991760</v>
      </c>
      <c r="M422" s="7">
        <v>14371676</v>
      </c>
      <c r="O422" s="2">
        <f t="shared" si="65"/>
        <v>2090297</v>
      </c>
      <c r="Q422" s="7">
        <f>6366816+456940</f>
        <v>6823756</v>
      </c>
      <c r="S422" s="7">
        <v>8914053</v>
      </c>
      <c r="U422" s="7">
        <f>227986+2563</f>
        <v>230549</v>
      </c>
      <c r="W422" s="7">
        <v>0</v>
      </c>
      <c r="Y422" s="7">
        <v>0</v>
      </c>
      <c r="AA422" s="7">
        <v>76819</v>
      </c>
      <c r="AC422" s="7">
        <v>5150255</v>
      </c>
      <c r="AE422" s="13">
        <f t="shared" si="66"/>
        <v>5457623</v>
      </c>
      <c r="AG422" s="7">
        <f t="shared" si="67"/>
        <v>0</v>
      </c>
      <c r="AK422" s="7" t="str">
        <f t="shared" si="68"/>
        <v>Ontario Local SD</v>
      </c>
      <c r="AL422" s="7" t="str">
        <f>'St of Activities - GA Exp'!A422</f>
        <v>Ontario Local SD</v>
      </c>
      <c r="AM422" s="7" t="b">
        <f t="shared" si="69"/>
        <v>1</v>
      </c>
      <c r="AN422" s="7" t="str">
        <f t="shared" si="61"/>
        <v>Richland</v>
      </c>
      <c r="AO422" s="7" t="b">
        <f>C422='St of Activities - GA Exp'!C422</f>
        <v>1</v>
      </c>
    </row>
    <row r="423" spans="1:41">
      <c r="A423" s="12" t="s">
        <v>280</v>
      </c>
      <c r="B423" s="12"/>
      <c r="C423" s="12" t="s">
        <v>20</v>
      </c>
      <c r="D423" s="12"/>
      <c r="E423" s="12">
        <v>46581</v>
      </c>
      <c r="G423" s="7">
        <v>29337217</v>
      </c>
      <c r="I423" s="7">
        <v>0</v>
      </c>
      <c r="K423" s="2">
        <f t="shared" si="70"/>
        <v>37695748</v>
      </c>
      <c r="M423" s="7">
        <v>67032965</v>
      </c>
      <c r="O423" s="2">
        <f t="shared" si="65"/>
        <v>6551513</v>
      </c>
      <c r="Q423" s="7">
        <f>29154661+3623490</f>
        <v>32778151</v>
      </c>
      <c r="S423" s="7">
        <v>39329664</v>
      </c>
      <c r="U423" s="7">
        <f>183975+21038+21440</f>
        <v>226453</v>
      </c>
      <c r="W423" s="7">
        <v>0</v>
      </c>
      <c r="Y423" s="7">
        <v>0</v>
      </c>
      <c r="AA423" s="7">
        <f>3434+74438+74620</f>
        <v>152492</v>
      </c>
      <c r="AC423" s="7">
        <v>27324356</v>
      </c>
      <c r="AE423" s="13">
        <f t="shared" si="66"/>
        <v>27703301</v>
      </c>
      <c r="AG423" s="7">
        <f t="shared" si="67"/>
        <v>0</v>
      </c>
      <c r="AK423" s="7" t="str">
        <f t="shared" si="68"/>
        <v>Orange City SD</v>
      </c>
      <c r="AL423" s="7" t="str">
        <f>'St of Activities - GA Exp'!A423</f>
        <v>Orange City SD</v>
      </c>
      <c r="AM423" s="7" t="b">
        <f t="shared" si="69"/>
        <v>1</v>
      </c>
      <c r="AN423" s="7" t="str">
        <f t="shared" si="61"/>
        <v>Cuyahoga</v>
      </c>
      <c r="AO423" s="7" t="b">
        <f>C423='St of Activities - GA Exp'!C423</f>
        <v>1</v>
      </c>
    </row>
    <row r="424" spans="1:41">
      <c r="A424" s="12" t="s">
        <v>404</v>
      </c>
      <c r="B424" s="12"/>
      <c r="C424" s="12" t="s">
        <v>115</v>
      </c>
      <c r="D424" s="12"/>
      <c r="E424" s="12">
        <v>44602</v>
      </c>
      <c r="G424" s="7">
        <v>8437402</v>
      </c>
      <c r="I424" s="7">
        <v>0</v>
      </c>
      <c r="K424" s="2">
        <f t="shared" si="70"/>
        <v>23701026</v>
      </c>
      <c r="M424" s="7">
        <v>32138428</v>
      </c>
      <c r="O424" s="2">
        <f t="shared" si="65"/>
        <v>5194220</v>
      </c>
      <c r="Q424" s="7">
        <f>2890294+18737354</f>
        <v>21627648</v>
      </c>
      <c r="S424" s="7">
        <v>26821868</v>
      </c>
      <c r="U424" s="7">
        <v>140682</v>
      </c>
      <c r="W424" s="7">
        <v>0</v>
      </c>
      <c r="Y424" s="7">
        <v>731414</v>
      </c>
      <c r="AA424" s="7">
        <f>85055+299887+342761+17962</f>
        <v>745665</v>
      </c>
      <c r="AC424" s="7">
        <v>3698799</v>
      </c>
      <c r="AE424" s="13">
        <f t="shared" si="66"/>
        <v>5316560</v>
      </c>
      <c r="AG424" s="7">
        <f t="shared" si="67"/>
        <v>0</v>
      </c>
      <c r="AI424" s="7" t="s">
        <v>951</v>
      </c>
      <c r="AK424" s="7" t="str">
        <f t="shared" si="68"/>
        <v>Oregon City SD</v>
      </c>
      <c r="AL424" s="7" t="str">
        <f>'St of Activities - GA Exp'!A424</f>
        <v>Oregon City SD</v>
      </c>
      <c r="AM424" s="7" t="b">
        <f t="shared" si="69"/>
        <v>1</v>
      </c>
      <c r="AN424" s="7" t="str">
        <f t="shared" si="61"/>
        <v>Lucas</v>
      </c>
      <c r="AO424" s="7" t="b">
        <f>C424='St of Activities - GA Exp'!C424</f>
        <v>1</v>
      </c>
    </row>
    <row r="425" spans="1:41" hidden="1">
      <c r="A425" s="12" t="s">
        <v>952</v>
      </c>
      <c r="B425" s="12"/>
      <c r="C425" s="12" t="s">
        <v>71</v>
      </c>
      <c r="D425" s="12"/>
      <c r="E425" s="12">
        <v>44610</v>
      </c>
      <c r="K425" s="2">
        <f t="shared" si="70"/>
        <v>0</v>
      </c>
      <c r="O425" s="2">
        <f t="shared" si="65"/>
        <v>0</v>
      </c>
      <c r="AE425" s="13">
        <f t="shared" si="66"/>
        <v>0</v>
      </c>
      <c r="AG425" s="7">
        <f t="shared" si="67"/>
        <v>0</v>
      </c>
      <c r="AI425" s="7" t="s">
        <v>903</v>
      </c>
      <c r="AK425" s="7" t="str">
        <f t="shared" si="68"/>
        <v>Orrville City SD (CASH)</v>
      </c>
      <c r="AL425" s="7" t="str">
        <f>'St of Activities - GA Exp'!A425</f>
        <v>Orrville City SD (CASH)</v>
      </c>
      <c r="AM425" s="7" t="b">
        <f t="shared" si="69"/>
        <v>1</v>
      </c>
      <c r="AN425" s="7" t="str">
        <f t="shared" si="61"/>
        <v>Wayne</v>
      </c>
      <c r="AO425" s="7" t="b">
        <f>C425='St of Activities - GA Exp'!C425</f>
        <v>1</v>
      </c>
    </row>
    <row r="426" spans="1:41">
      <c r="A426" s="12" t="s">
        <v>519</v>
      </c>
      <c r="B426" s="12"/>
      <c r="C426" s="12" t="s">
        <v>62</v>
      </c>
      <c r="D426" s="12"/>
      <c r="E426" s="12">
        <v>49916</v>
      </c>
      <c r="G426" s="7">
        <v>2416486</v>
      </c>
      <c r="I426" s="7">
        <v>1153</v>
      </c>
      <c r="K426" s="2">
        <f t="shared" si="70"/>
        <v>2909061</v>
      </c>
      <c r="M426" s="7">
        <v>5326700</v>
      </c>
      <c r="O426" s="2">
        <f t="shared" si="65"/>
        <v>1012378</v>
      </c>
      <c r="Q426" s="7">
        <f>348096+2186852</f>
        <v>2534948</v>
      </c>
      <c r="S426" s="7">
        <v>3547326</v>
      </c>
      <c r="U426" s="7">
        <v>7509</v>
      </c>
      <c r="W426" s="7">
        <v>1153</v>
      </c>
      <c r="Y426" s="7">
        <v>0</v>
      </c>
      <c r="AA426" s="7">
        <f>58744+66278+1+1983</f>
        <v>127006</v>
      </c>
      <c r="AC426" s="7">
        <v>1643706</v>
      </c>
      <c r="AE426" s="13">
        <f t="shared" si="66"/>
        <v>1779374</v>
      </c>
      <c r="AG426" s="7">
        <f t="shared" si="67"/>
        <v>0</v>
      </c>
      <c r="AK426" s="7" t="str">
        <f t="shared" si="68"/>
        <v>Osnaburg Local SD</v>
      </c>
      <c r="AL426" s="7" t="str">
        <f>'St of Activities - GA Exp'!A426</f>
        <v>Osnaburg Local SD</v>
      </c>
      <c r="AM426" s="7" t="b">
        <f t="shared" si="69"/>
        <v>1</v>
      </c>
      <c r="AN426" s="7" t="str">
        <f t="shared" si="61"/>
        <v>Stark</v>
      </c>
      <c r="AO426" s="7" t="b">
        <f>C426='St of Activities - GA Exp'!C426</f>
        <v>1</v>
      </c>
    </row>
    <row r="427" spans="1:41">
      <c r="A427" s="12" t="s">
        <v>576</v>
      </c>
      <c r="B427" s="12"/>
      <c r="C427" s="12" t="s">
        <v>72</v>
      </c>
      <c r="D427" s="12"/>
      <c r="E427" s="12">
        <v>50724</v>
      </c>
      <c r="G427" s="7">
        <v>1452672</v>
      </c>
      <c r="I427" s="7">
        <v>73905</v>
      </c>
      <c r="K427" s="2">
        <f t="shared" si="70"/>
        <v>5155005</v>
      </c>
      <c r="M427" s="7">
        <v>6681582</v>
      </c>
      <c r="O427" s="2">
        <f t="shared" si="65"/>
        <v>1452749</v>
      </c>
      <c r="Q427" s="7">
        <v>3411918</v>
      </c>
      <c r="S427" s="7">
        <v>4864667</v>
      </c>
      <c r="U427" s="7">
        <v>33794</v>
      </c>
      <c r="W427" s="7">
        <v>135986</v>
      </c>
      <c r="Y427" s="7">
        <v>0</v>
      </c>
      <c r="AA427" s="7">
        <v>155157</v>
      </c>
      <c r="AC427" s="7">
        <v>1491978</v>
      </c>
      <c r="AE427" s="13">
        <f t="shared" si="66"/>
        <v>1816915</v>
      </c>
      <c r="AG427" s="7">
        <f t="shared" si="67"/>
        <v>0</v>
      </c>
      <c r="AK427" s="7" t="str">
        <f t="shared" si="68"/>
        <v>Otsego Local SD</v>
      </c>
      <c r="AL427" s="7" t="str">
        <f>'St of Activities - GA Exp'!A427</f>
        <v>Otsego Local SD</v>
      </c>
      <c r="AM427" s="7" t="b">
        <f t="shared" si="69"/>
        <v>1</v>
      </c>
      <c r="AN427" s="7" t="str">
        <f t="shared" si="61"/>
        <v>Wood</v>
      </c>
      <c r="AO427" s="7" t="b">
        <f>C427='St of Activities - GA Exp'!C427</f>
        <v>1</v>
      </c>
    </row>
    <row r="428" spans="1:41">
      <c r="A428" s="12" t="s">
        <v>405</v>
      </c>
      <c r="B428" s="12"/>
      <c r="C428" s="12" t="s">
        <v>115</v>
      </c>
      <c r="D428" s="12"/>
      <c r="E428" s="12">
        <v>48215</v>
      </c>
      <c r="F428" s="7" t="s">
        <v>654</v>
      </c>
      <c r="G428" s="7">
        <f>942133+3135185</f>
        <v>4077318</v>
      </c>
      <c r="I428" s="7">
        <v>218413</v>
      </c>
      <c r="K428" s="2">
        <f t="shared" si="70"/>
        <v>10212483</v>
      </c>
      <c r="M428" s="7">
        <v>14508214</v>
      </c>
      <c r="O428" s="2">
        <f t="shared" si="65"/>
        <v>1204449</v>
      </c>
      <c r="Q428" s="7">
        <f>9766530+2469</f>
        <v>9768999</v>
      </c>
      <c r="S428" s="7">
        <v>10973448</v>
      </c>
      <c r="U428" s="7">
        <v>97736</v>
      </c>
      <c r="W428" s="7">
        <v>218413</v>
      </c>
      <c r="Y428" s="7">
        <v>0</v>
      </c>
      <c r="AA428" s="7">
        <v>119088</v>
      </c>
      <c r="AC428" s="7">
        <v>3099529</v>
      </c>
      <c r="AE428" s="13">
        <f t="shared" si="66"/>
        <v>3534766</v>
      </c>
      <c r="AG428" s="7">
        <f t="shared" si="67"/>
        <v>0</v>
      </c>
      <c r="AK428" s="7" t="str">
        <f t="shared" si="68"/>
        <v>Ottawa Hills Local SD</v>
      </c>
      <c r="AL428" s="7" t="str">
        <f>'St of Activities - GA Exp'!A428</f>
        <v>Ottawa Hills Local SD</v>
      </c>
      <c r="AM428" s="7" t="b">
        <f t="shared" si="69"/>
        <v>1</v>
      </c>
      <c r="AN428" s="7" t="str">
        <f t="shared" si="61"/>
        <v>Lucas</v>
      </c>
      <c r="AO428" s="7" t="b">
        <f>C428='St of Activities - GA Exp'!C428</f>
        <v>1</v>
      </c>
    </row>
    <row r="429" spans="1:41" hidden="1">
      <c r="A429" s="12" t="s">
        <v>749</v>
      </c>
      <c r="B429" s="12"/>
      <c r="C429" s="12" t="s">
        <v>482</v>
      </c>
      <c r="D429" s="12"/>
      <c r="E429" s="12">
        <v>49379</v>
      </c>
      <c r="K429" s="2">
        <f t="shared" si="70"/>
        <v>0</v>
      </c>
      <c r="O429" s="2">
        <f t="shared" si="65"/>
        <v>0</v>
      </c>
      <c r="AE429" s="13">
        <f t="shared" si="66"/>
        <v>0</v>
      </c>
      <c r="AG429" s="7">
        <f t="shared" si="67"/>
        <v>0</v>
      </c>
      <c r="AI429" s="7" t="s">
        <v>953</v>
      </c>
      <c r="AK429" s="7" t="str">
        <f t="shared" si="68"/>
        <v>Ottawa-Glandorf Local SD (CASH)</v>
      </c>
      <c r="AL429" s="7" t="str">
        <f>'St of Activities - GA Exp'!A429</f>
        <v>Ottawa-Glandorf Local SD (CASH)</v>
      </c>
      <c r="AM429" s="7" t="b">
        <f t="shared" si="69"/>
        <v>1</v>
      </c>
      <c r="AN429" s="7" t="str">
        <f t="shared" si="61"/>
        <v>Putnam</v>
      </c>
      <c r="AO429" s="7" t="b">
        <f>C429='St of Activities - GA Exp'!C429</f>
        <v>1</v>
      </c>
    </row>
    <row r="430" spans="1:41" hidden="1">
      <c r="A430" s="12" t="s">
        <v>955</v>
      </c>
      <c r="B430" s="12"/>
      <c r="C430" s="12" t="s">
        <v>482</v>
      </c>
      <c r="D430" s="12"/>
      <c r="E430" s="12">
        <v>49387</v>
      </c>
      <c r="K430" s="2">
        <f t="shared" si="70"/>
        <v>0</v>
      </c>
      <c r="O430" s="2">
        <f t="shared" si="65"/>
        <v>0</v>
      </c>
      <c r="AE430" s="13">
        <f t="shared" si="66"/>
        <v>0</v>
      </c>
      <c r="AG430" s="7">
        <f t="shared" si="67"/>
        <v>0</v>
      </c>
      <c r="AI430" s="7" t="s">
        <v>954</v>
      </c>
      <c r="AK430" s="7" t="str">
        <f t="shared" si="68"/>
        <v>Ottoville Local SD (NO REPORT) (Two year Audit)</v>
      </c>
      <c r="AL430" s="7" t="str">
        <f>'St of Activities - GA Exp'!A430</f>
        <v>Ottoville Local SD (NO REPORT) (Two year Audit)</v>
      </c>
      <c r="AM430" s="7" t="b">
        <f t="shared" si="69"/>
        <v>1</v>
      </c>
      <c r="AN430" s="7" t="str">
        <f t="shared" si="61"/>
        <v>Putnam</v>
      </c>
      <c r="AO430" s="7" t="b">
        <f>C430='St of Activities - GA Exp'!C430</f>
        <v>1</v>
      </c>
    </row>
    <row r="431" spans="1:41" hidden="1">
      <c r="A431" s="12" t="s">
        <v>956</v>
      </c>
      <c r="B431" s="12"/>
      <c r="C431" s="12" t="s">
        <v>41</v>
      </c>
      <c r="D431" s="12"/>
      <c r="E431" s="12">
        <v>44628</v>
      </c>
      <c r="K431" s="2">
        <f t="shared" si="70"/>
        <v>0</v>
      </c>
      <c r="O431" s="2">
        <f t="shared" si="65"/>
        <v>0</v>
      </c>
      <c r="AE431" s="13">
        <f t="shared" si="66"/>
        <v>0</v>
      </c>
      <c r="AG431" s="7">
        <f t="shared" si="67"/>
        <v>0</v>
      </c>
      <c r="AI431" s="7" t="s">
        <v>903</v>
      </c>
      <c r="AK431" s="7" t="str">
        <f t="shared" si="68"/>
        <v>Painesville City Local SD (CASH)</v>
      </c>
      <c r="AL431" s="7" t="str">
        <f>'St of Activities - GA Exp'!A431</f>
        <v>Painesville City Local SD (CASH)</v>
      </c>
      <c r="AM431" s="7" t="b">
        <f t="shared" si="69"/>
        <v>1</v>
      </c>
      <c r="AN431" s="7" t="str">
        <f t="shared" si="61"/>
        <v>Lake</v>
      </c>
      <c r="AO431" s="7" t="b">
        <f>C431='St of Activities - GA Exp'!C431</f>
        <v>1</v>
      </c>
    </row>
    <row r="432" spans="1:41" hidden="1">
      <c r="A432" s="12" t="s">
        <v>893</v>
      </c>
      <c r="B432" s="12"/>
      <c r="C432" s="12" t="s">
        <v>41</v>
      </c>
      <c r="D432" s="12"/>
      <c r="E432" s="12">
        <v>47894</v>
      </c>
      <c r="K432" s="2">
        <f t="shared" si="70"/>
        <v>0</v>
      </c>
      <c r="O432" s="2">
        <f t="shared" si="65"/>
        <v>0</v>
      </c>
      <c r="AE432" s="13">
        <f t="shared" si="66"/>
        <v>0</v>
      </c>
      <c r="AG432" s="7">
        <f t="shared" si="67"/>
        <v>0</v>
      </c>
      <c r="AI432" s="7" t="s">
        <v>790</v>
      </c>
      <c r="AK432" s="7" t="str">
        <f t="shared" si="68"/>
        <v>Painesville Township Local SD - now RIVERSIDE LOCAL SCHOOL DISTRICT since 2007</v>
      </c>
      <c r="AL432" s="7" t="str">
        <f>'St of Activities - GA Exp'!A432</f>
        <v>Painesville Township Local SD - now RIVERSIDE LOCAL SCHOOL DISTRICT since 2007</v>
      </c>
      <c r="AM432" s="7" t="b">
        <f t="shared" si="69"/>
        <v>1</v>
      </c>
      <c r="AN432" s="7" t="str">
        <f t="shared" si="61"/>
        <v>Lake</v>
      </c>
      <c r="AO432" s="7" t="b">
        <f>C432='St of Activities - GA Exp'!C432</f>
        <v>1</v>
      </c>
    </row>
    <row r="433" spans="1:41">
      <c r="A433" s="12" t="s">
        <v>490</v>
      </c>
      <c r="B433" s="12"/>
      <c r="C433" s="12" t="s">
        <v>58</v>
      </c>
      <c r="D433" s="12"/>
      <c r="E433" s="12">
        <v>49510</v>
      </c>
      <c r="G433" s="7">
        <v>3079105</v>
      </c>
      <c r="I433" s="7">
        <v>167492</v>
      </c>
      <c r="K433" s="2">
        <f t="shared" si="70"/>
        <v>1548120</v>
      </c>
      <c r="M433" s="7">
        <v>4794717</v>
      </c>
      <c r="O433" s="2">
        <f t="shared" si="65"/>
        <v>1044297</v>
      </c>
      <c r="Q433" s="7">
        <v>1206109</v>
      </c>
      <c r="S433" s="7">
        <v>2250406</v>
      </c>
      <c r="U433" s="7">
        <v>0</v>
      </c>
      <c r="W433" s="7">
        <v>167492</v>
      </c>
      <c r="Y433" s="7">
        <v>0</v>
      </c>
      <c r="AA433" s="7">
        <v>106481</v>
      </c>
      <c r="AC433" s="7">
        <v>2270338</v>
      </c>
      <c r="AE433" s="13">
        <f t="shared" si="66"/>
        <v>2544311</v>
      </c>
      <c r="AG433" s="7">
        <f t="shared" si="67"/>
        <v>0</v>
      </c>
      <c r="AK433" s="7" t="str">
        <f t="shared" si="68"/>
        <v>Paint Valley Local SD</v>
      </c>
      <c r="AL433" s="7" t="str">
        <f>'St of Activities - GA Exp'!A433</f>
        <v>Paint Valley Local SD</v>
      </c>
      <c r="AM433" s="7" t="b">
        <f t="shared" si="69"/>
        <v>1</v>
      </c>
      <c r="AN433" s="7" t="str">
        <f t="shared" si="61"/>
        <v>Ross</v>
      </c>
      <c r="AO433" s="7" t="b">
        <f>C433='St of Activities - GA Exp'!C433</f>
        <v>1</v>
      </c>
    </row>
    <row r="434" spans="1:41" hidden="1">
      <c r="A434" s="12" t="s">
        <v>722</v>
      </c>
      <c r="B434" s="12"/>
      <c r="C434" s="12" t="s">
        <v>482</v>
      </c>
      <c r="D434" s="12"/>
      <c r="E434" s="12">
        <v>49395</v>
      </c>
      <c r="K434" s="2">
        <f t="shared" si="70"/>
        <v>0</v>
      </c>
      <c r="O434" s="2">
        <f t="shared" si="65"/>
        <v>0</v>
      </c>
      <c r="AE434" s="13">
        <f t="shared" si="66"/>
        <v>0</v>
      </c>
      <c r="AG434" s="7">
        <f t="shared" si="67"/>
        <v>0</v>
      </c>
      <c r="AI434" s="7" t="s">
        <v>958</v>
      </c>
      <c r="AK434" s="7" t="str">
        <f t="shared" si="68"/>
        <v>Pandora-Gilboa Local SD (CASH)  (Two year Audit)</v>
      </c>
      <c r="AL434" s="7" t="str">
        <f>'St of Activities - GA Exp'!A434</f>
        <v>Pandora-Gilboa Local SD (CASH)  (Two year Audit)</v>
      </c>
      <c r="AM434" s="7" t="b">
        <f t="shared" si="69"/>
        <v>1</v>
      </c>
      <c r="AN434" s="7" t="str">
        <f t="shared" si="61"/>
        <v>Putnam</v>
      </c>
      <c r="AO434" s="7" t="b">
        <f>C434='St of Activities - GA Exp'!C434</f>
        <v>1</v>
      </c>
    </row>
    <row r="435" spans="1:41" hidden="1">
      <c r="A435" s="12" t="s">
        <v>723</v>
      </c>
      <c r="B435" s="12"/>
      <c r="C435" s="12" t="s">
        <v>435</v>
      </c>
      <c r="D435" s="12"/>
      <c r="E435" s="12">
        <v>48579</v>
      </c>
      <c r="K435" s="2">
        <f t="shared" si="70"/>
        <v>0</v>
      </c>
      <c r="O435" s="2">
        <f t="shared" si="65"/>
        <v>0</v>
      </c>
      <c r="AE435" s="13">
        <f t="shared" si="66"/>
        <v>0</v>
      </c>
      <c r="AG435" s="7">
        <f t="shared" si="67"/>
        <v>0</v>
      </c>
      <c r="AI435" s="7" t="s">
        <v>839</v>
      </c>
      <c r="AK435" s="7" t="str">
        <f t="shared" si="68"/>
        <v>Parkway Local SD (CASH) (Two year Audit)</v>
      </c>
      <c r="AL435" s="7" t="str">
        <f>'St of Activities - GA Exp'!A435</f>
        <v>Parkway Local SD (CASH) (Two year Audit)</v>
      </c>
      <c r="AM435" s="7" t="b">
        <f t="shared" si="69"/>
        <v>1</v>
      </c>
      <c r="AN435" s="7" t="str">
        <f t="shared" si="61"/>
        <v>Mercer</v>
      </c>
      <c r="AO435" s="7" t="b">
        <f>C435='St of Activities - GA Exp'!C435</f>
        <v>1</v>
      </c>
    </row>
    <row r="436" spans="1:41">
      <c r="A436" s="12" t="s">
        <v>281</v>
      </c>
      <c r="B436" s="12"/>
      <c r="C436" s="12" t="s">
        <v>20</v>
      </c>
      <c r="D436" s="12"/>
      <c r="E436" s="12">
        <v>44636</v>
      </c>
      <c r="G436" s="7">
        <v>10887584</v>
      </c>
      <c r="I436" s="7">
        <v>11751</v>
      </c>
      <c r="K436" s="2">
        <f t="shared" si="70"/>
        <v>93793945</v>
      </c>
      <c r="M436" s="7">
        <v>104693280</v>
      </c>
      <c r="O436" s="2">
        <f t="shared" si="65"/>
        <v>13651051</v>
      </c>
      <c r="Q436" s="7">
        <v>77834215</v>
      </c>
      <c r="S436" s="7">
        <v>91485266</v>
      </c>
      <c r="U436" s="7">
        <v>333354</v>
      </c>
      <c r="W436" s="7">
        <v>0</v>
      </c>
      <c r="Y436" s="7">
        <v>0</v>
      </c>
      <c r="AA436" s="7">
        <v>1915819</v>
      </c>
      <c r="AC436" s="7">
        <v>10958841</v>
      </c>
      <c r="AE436" s="13">
        <f t="shared" si="66"/>
        <v>13208014</v>
      </c>
      <c r="AG436" s="7">
        <f t="shared" si="67"/>
        <v>0</v>
      </c>
      <c r="AI436" s="7" t="s">
        <v>951</v>
      </c>
      <c r="AK436" s="7" t="str">
        <f t="shared" si="68"/>
        <v>Parma City SD</v>
      </c>
      <c r="AL436" s="7" t="str">
        <f>'St of Activities - GA Exp'!A436</f>
        <v>Parma City SD</v>
      </c>
      <c r="AM436" s="7" t="b">
        <f t="shared" si="69"/>
        <v>1</v>
      </c>
      <c r="AN436" s="7" t="str">
        <f t="shared" si="61"/>
        <v>Cuyahoga</v>
      </c>
      <c r="AO436" s="7" t="b">
        <f>C436='St of Activities - GA Exp'!C436</f>
        <v>1</v>
      </c>
    </row>
    <row r="437" spans="1:41">
      <c r="A437" s="12" t="s">
        <v>357</v>
      </c>
      <c r="B437" s="12"/>
      <c r="C437" s="12" t="s">
        <v>34</v>
      </c>
      <c r="D437" s="12"/>
      <c r="E437" s="12">
        <v>47597</v>
      </c>
      <c r="G437" s="7">
        <v>1099649</v>
      </c>
      <c r="I437" s="7">
        <v>23745</v>
      </c>
      <c r="K437" s="2">
        <f t="shared" si="70"/>
        <v>4947587</v>
      </c>
      <c r="M437" s="7">
        <v>6070981</v>
      </c>
      <c r="O437" s="2">
        <f t="shared" si="65"/>
        <v>1218893</v>
      </c>
      <c r="Q437" s="7">
        <v>4113665</v>
      </c>
      <c r="S437" s="7">
        <v>5332558</v>
      </c>
      <c r="U437" s="7">
        <v>0</v>
      </c>
      <c r="W437" s="7">
        <v>23745</v>
      </c>
      <c r="Y437" s="7">
        <v>0</v>
      </c>
      <c r="AA437" s="7">
        <v>279304</v>
      </c>
      <c r="AC437" s="7">
        <v>435374</v>
      </c>
      <c r="AE437" s="13">
        <f t="shared" si="66"/>
        <v>738423</v>
      </c>
      <c r="AG437" s="7">
        <f t="shared" si="67"/>
        <v>0</v>
      </c>
      <c r="AI437" s="7" t="s">
        <v>957</v>
      </c>
      <c r="AK437" s="7" t="str">
        <f t="shared" si="68"/>
        <v>Patrick Henry Local SD</v>
      </c>
      <c r="AL437" s="7" t="str">
        <f>'St of Activities - GA Exp'!A437</f>
        <v>Patrick Henry Local SD</v>
      </c>
      <c r="AM437" s="7" t="b">
        <f t="shared" si="69"/>
        <v>1</v>
      </c>
      <c r="AN437" s="7" t="str">
        <f t="shared" si="61"/>
        <v>Henry</v>
      </c>
      <c r="AO437" s="7" t="b">
        <f>C437='St of Activities - GA Exp'!C437</f>
        <v>1</v>
      </c>
    </row>
    <row r="438" spans="1:41" hidden="1">
      <c r="A438" s="12" t="s">
        <v>884</v>
      </c>
      <c r="B438" s="12"/>
      <c r="C438" s="12" t="s">
        <v>465</v>
      </c>
      <c r="D438" s="12"/>
      <c r="E438" s="12">
        <v>45575</v>
      </c>
      <c r="K438" s="2">
        <f t="shared" si="70"/>
        <v>0</v>
      </c>
      <c r="O438" s="2">
        <f t="shared" si="65"/>
        <v>0</v>
      </c>
      <c r="AE438" s="13">
        <f t="shared" si="66"/>
        <v>0</v>
      </c>
      <c r="AG438" s="7">
        <f t="shared" si="67"/>
        <v>0</v>
      </c>
      <c r="AI438" s="7" t="s">
        <v>839</v>
      </c>
      <c r="AK438" s="7" t="str">
        <f t="shared" si="68"/>
        <v>Paulding Exempted Village SD (CASH)</v>
      </c>
      <c r="AL438" s="7" t="str">
        <f>'St of Activities - GA Exp'!A438</f>
        <v>Paulding Exempted Village SD (CASH)</v>
      </c>
      <c r="AM438" s="7" t="b">
        <f t="shared" si="69"/>
        <v>1</v>
      </c>
      <c r="AN438" s="7" t="str">
        <f t="shared" si="61"/>
        <v>Paulding</v>
      </c>
      <c r="AO438" s="7" t="b">
        <f>C438='St of Activities - GA Exp'!C438</f>
        <v>1</v>
      </c>
    </row>
    <row r="439" spans="1:41">
      <c r="A439" s="12" t="s">
        <v>295</v>
      </c>
      <c r="B439" s="12"/>
      <c r="C439" s="12" t="s">
        <v>24</v>
      </c>
      <c r="D439" s="12"/>
      <c r="E439" s="12">
        <v>46813</v>
      </c>
      <c r="G439" s="7">
        <v>6279196</v>
      </c>
      <c r="I439" s="7">
        <v>0</v>
      </c>
      <c r="K439" s="2">
        <f t="shared" si="70"/>
        <v>14056337</v>
      </c>
      <c r="M439" s="7">
        <v>20335533</v>
      </c>
      <c r="O439" s="2">
        <f t="shared" si="65"/>
        <v>3005179</v>
      </c>
      <c r="Q439" s="7">
        <f>2581055+9606936</f>
        <v>12187991</v>
      </c>
      <c r="S439" s="7">
        <v>15193170</v>
      </c>
      <c r="U439" s="7">
        <f>66494+64820</f>
        <v>131314</v>
      </c>
      <c r="W439" s="7">
        <v>0</v>
      </c>
      <c r="Y439" s="7">
        <v>0</v>
      </c>
      <c r="AA439" s="7">
        <f>8794+220716+50+241442+91156</f>
        <v>562158</v>
      </c>
      <c r="AC439" s="7">
        <v>4448891</v>
      </c>
      <c r="AE439" s="13">
        <f t="shared" si="66"/>
        <v>5142363</v>
      </c>
      <c r="AG439" s="7">
        <f t="shared" si="67"/>
        <v>0</v>
      </c>
      <c r="AK439" s="7" t="str">
        <f t="shared" si="68"/>
        <v>Perkins Local SD</v>
      </c>
      <c r="AL439" s="7" t="str">
        <f>'St of Activities - GA Exp'!A439</f>
        <v>Perkins Local SD</v>
      </c>
      <c r="AM439" s="7" t="b">
        <f t="shared" si="69"/>
        <v>1</v>
      </c>
      <c r="AN439" s="7" t="str">
        <f t="shared" si="61"/>
        <v>Erie</v>
      </c>
      <c r="AO439" s="7" t="b">
        <f>C439='St of Activities - GA Exp'!C439</f>
        <v>1</v>
      </c>
    </row>
    <row r="440" spans="1:41" hidden="1">
      <c r="A440" s="12" t="s">
        <v>724</v>
      </c>
      <c r="B440" s="12"/>
      <c r="C440" s="12" t="s">
        <v>10</v>
      </c>
      <c r="D440" s="12"/>
      <c r="E440" s="12"/>
      <c r="K440" s="2">
        <f t="shared" si="70"/>
        <v>0</v>
      </c>
      <c r="O440" s="2">
        <f t="shared" si="65"/>
        <v>0</v>
      </c>
      <c r="AE440" s="13">
        <f t="shared" si="66"/>
        <v>0</v>
      </c>
      <c r="AG440" s="7">
        <f t="shared" si="67"/>
        <v>0</v>
      </c>
      <c r="AI440" s="7" t="s">
        <v>959</v>
      </c>
      <c r="AK440" s="7" t="str">
        <f t="shared" si="68"/>
        <v>Perry Local SD (CASH)</v>
      </c>
      <c r="AL440" s="7" t="str">
        <f>'St of Activities - GA Exp'!A440</f>
        <v>Perry Local SD (CASH)</v>
      </c>
      <c r="AM440" s="7" t="b">
        <f t="shared" si="69"/>
        <v>1</v>
      </c>
      <c r="AN440" s="7" t="str">
        <f t="shared" si="61"/>
        <v>Allen</v>
      </c>
      <c r="AO440" s="7" t="b">
        <f>C440='St of Activities - GA Exp'!C440</f>
        <v>1</v>
      </c>
    </row>
    <row r="441" spans="1:41">
      <c r="A441" s="12" t="s">
        <v>203</v>
      </c>
      <c r="B441" s="12"/>
      <c r="C441" s="12" t="s">
        <v>41</v>
      </c>
      <c r="D441" s="12"/>
      <c r="E441" s="12">
        <v>47902</v>
      </c>
      <c r="G441" s="7">
        <v>21879181</v>
      </c>
      <c r="I441" s="7">
        <v>58165</v>
      </c>
      <c r="K441" s="2">
        <f t="shared" si="70"/>
        <v>26213954</v>
      </c>
      <c r="M441" s="7">
        <v>48151300</v>
      </c>
      <c r="O441" s="2">
        <f t="shared" si="65"/>
        <v>2109602</v>
      </c>
      <c r="Q441" s="7">
        <v>25355799</v>
      </c>
      <c r="S441" s="7">
        <v>27465401</v>
      </c>
      <c r="U441" s="7">
        <v>0</v>
      </c>
      <c r="W441" s="7">
        <v>58165</v>
      </c>
      <c r="Y441" s="7">
        <v>502909</v>
      </c>
      <c r="AA441" s="7">
        <v>368715</v>
      </c>
      <c r="AC441" s="7">
        <v>19756110</v>
      </c>
      <c r="AE441" s="13">
        <f t="shared" si="66"/>
        <v>20685899</v>
      </c>
      <c r="AG441" s="7">
        <f t="shared" si="67"/>
        <v>0</v>
      </c>
      <c r="AK441" s="7" t="str">
        <f t="shared" si="68"/>
        <v>Perry Local SD</v>
      </c>
      <c r="AL441" s="7" t="str">
        <f>'St of Activities - GA Exp'!A441</f>
        <v>Perry Local SD</v>
      </c>
      <c r="AM441" s="7" t="b">
        <f t="shared" si="69"/>
        <v>1</v>
      </c>
      <c r="AN441" s="7" t="str">
        <f t="shared" si="61"/>
        <v>Lake</v>
      </c>
      <c r="AO441" s="7" t="b">
        <f>C441='St of Activities - GA Exp'!C441</f>
        <v>1</v>
      </c>
    </row>
    <row r="442" spans="1:41">
      <c r="A442" s="12" t="s">
        <v>203</v>
      </c>
      <c r="B442" s="12"/>
      <c r="C442" s="12" t="s">
        <v>62</v>
      </c>
      <c r="D442" s="12"/>
      <c r="E442" s="12">
        <v>49924</v>
      </c>
      <c r="G442" s="7">
        <v>24491062</v>
      </c>
      <c r="I442" s="7">
        <v>0</v>
      </c>
      <c r="K442" s="2">
        <f t="shared" si="70"/>
        <v>19464663</v>
      </c>
      <c r="M442" s="7">
        <v>43955725</v>
      </c>
      <c r="O442" s="2">
        <f t="shared" si="65"/>
        <v>5781151</v>
      </c>
      <c r="Q442" s="7">
        <v>16568072</v>
      </c>
      <c r="S442" s="7">
        <v>22349223</v>
      </c>
      <c r="U442" s="7">
        <v>117489</v>
      </c>
      <c r="W442" s="7">
        <v>0</v>
      </c>
      <c r="Y442" s="7">
        <v>0</v>
      </c>
      <c r="AA442" s="7">
        <v>937592</v>
      </c>
      <c r="AC442" s="7">
        <v>20551421</v>
      </c>
      <c r="AE442" s="13">
        <f t="shared" si="66"/>
        <v>21606502</v>
      </c>
      <c r="AG442" s="7">
        <f t="shared" si="67"/>
        <v>0</v>
      </c>
      <c r="AI442" s="7" t="s">
        <v>951</v>
      </c>
      <c r="AK442" s="7" t="str">
        <f t="shared" si="68"/>
        <v>Perry Local SD</v>
      </c>
      <c r="AL442" s="7" t="str">
        <f>'St of Activities - GA Exp'!A442</f>
        <v>Perry Local SD</v>
      </c>
      <c r="AM442" s="7" t="b">
        <f t="shared" si="69"/>
        <v>1</v>
      </c>
      <c r="AN442" s="7" t="str">
        <f t="shared" si="61"/>
        <v>Stark</v>
      </c>
      <c r="AO442" s="7" t="b">
        <f>C442='St of Activities - GA Exp'!C442</f>
        <v>1</v>
      </c>
    </row>
    <row r="443" spans="1:41">
      <c r="A443" s="12" t="s">
        <v>885</v>
      </c>
      <c r="B443" s="12"/>
      <c r="C443" s="12" t="s">
        <v>72</v>
      </c>
      <c r="D443" s="12"/>
      <c r="E443" s="12">
        <v>45583</v>
      </c>
      <c r="G443" s="7">
        <v>655905</v>
      </c>
      <c r="I443" s="7">
        <v>321917</v>
      </c>
      <c r="K443" s="2">
        <f t="shared" si="70"/>
        <v>23836107</v>
      </c>
      <c r="M443" s="7">
        <v>24813929</v>
      </c>
      <c r="O443" s="2">
        <f t="shared" si="65"/>
        <v>6012993</v>
      </c>
      <c r="Q443" s="7">
        <f>766571+14987175</f>
        <v>15753746</v>
      </c>
      <c r="S443" s="7">
        <v>21766739</v>
      </c>
      <c r="U443" s="7">
        <v>22309</v>
      </c>
      <c r="W443" s="7">
        <f>320647+1270</f>
        <v>321917</v>
      </c>
      <c r="Y443" s="7">
        <v>11000</v>
      </c>
      <c r="AA443" s="7">
        <f>56248+156413+106277+45270</f>
        <v>364208</v>
      </c>
      <c r="AC443" s="7">
        <v>2327756</v>
      </c>
      <c r="AE443" s="13">
        <f t="shared" si="66"/>
        <v>3047190</v>
      </c>
      <c r="AG443" s="7">
        <f t="shared" si="67"/>
        <v>0</v>
      </c>
      <c r="AK443" s="7" t="str">
        <f t="shared" si="68"/>
        <v>Perrysburg Exempted Village SD</v>
      </c>
      <c r="AL443" s="7" t="str">
        <f>'St of Activities - GA Exp'!A443</f>
        <v>Perrysburg Exempted Village SD</v>
      </c>
      <c r="AM443" s="7" t="b">
        <f t="shared" si="69"/>
        <v>1</v>
      </c>
      <c r="AN443" s="7" t="str">
        <f t="shared" si="61"/>
        <v>Wood</v>
      </c>
      <c r="AO443" s="7" t="b">
        <f>C443='St of Activities - GA Exp'!C443</f>
        <v>1</v>
      </c>
    </row>
    <row r="444" spans="1:41" hidden="1">
      <c r="A444" s="12" t="s">
        <v>894</v>
      </c>
      <c r="B444" s="12"/>
      <c r="C444" s="12" t="s">
        <v>28</v>
      </c>
      <c r="D444" s="12"/>
      <c r="E444" s="12">
        <v>47076</v>
      </c>
      <c r="K444" s="2">
        <f t="shared" si="70"/>
        <v>0</v>
      </c>
      <c r="O444" s="2">
        <f t="shared" si="65"/>
        <v>0</v>
      </c>
      <c r="AE444" s="13">
        <f t="shared" si="66"/>
        <v>0</v>
      </c>
      <c r="AG444" s="7">
        <f t="shared" si="67"/>
        <v>0</v>
      </c>
      <c r="AI444" s="7" t="s">
        <v>966</v>
      </c>
      <c r="AK444" s="7" t="str">
        <f t="shared" si="68"/>
        <v>Pettisville Local SD</v>
      </c>
      <c r="AL444" s="7" t="str">
        <f>'St of Activities - GA Exp'!A444</f>
        <v>Pettisville Local SD</v>
      </c>
      <c r="AM444" s="7" t="b">
        <f t="shared" si="69"/>
        <v>1</v>
      </c>
      <c r="AN444" s="7" t="str">
        <f t="shared" si="61"/>
        <v>Fulton</v>
      </c>
      <c r="AO444" s="7" t="b">
        <f>C444='St of Activities - GA Exp'!C444</f>
        <v>1</v>
      </c>
    </row>
    <row r="445" spans="1:41">
      <c r="A445" s="12" t="s">
        <v>302</v>
      </c>
      <c r="B445" s="12"/>
      <c r="C445" s="12" t="s">
        <v>25</v>
      </c>
      <c r="D445" s="12"/>
      <c r="E445" s="12">
        <v>46896</v>
      </c>
      <c r="G445" s="7">
        <v>6997061</v>
      </c>
      <c r="I445" s="7">
        <v>22684</v>
      </c>
      <c r="K445" s="2">
        <f t="shared" si="70"/>
        <v>35079167</v>
      </c>
      <c r="M445" s="7">
        <v>42098912</v>
      </c>
      <c r="O445" s="2">
        <f t="shared" si="65"/>
        <v>12456218</v>
      </c>
      <c r="Q445" s="7">
        <f>25578579+2143743</f>
        <v>27722322</v>
      </c>
      <c r="S445" s="7">
        <v>40178540</v>
      </c>
      <c r="U445" s="7">
        <v>108045</v>
      </c>
      <c r="W445" s="7">
        <v>22684</v>
      </c>
      <c r="Y445" s="7">
        <f>125073+364419+300000+100000</f>
        <v>889492</v>
      </c>
      <c r="AA445" s="7">
        <f>701842+2846+110073</f>
        <v>814761</v>
      </c>
      <c r="AC445" s="7">
        <v>85390</v>
      </c>
      <c r="AE445" s="13">
        <f t="shared" si="66"/>
        <v>1920372</v>
      </c>
      <c r="AG445" s="7">
        <f t="shared" si="67"/>
        <v>0</v>
      </c>
      <c r="AK445" s="7" t="str">
        <f t="shared" si="68"/>
        <v>Pickerington Local SD</v>
      </c>
      <c r="AL445" s="7" t="str">
        <f>'St of Activities - GA Exp'!A445</f>
        <v>Pickerington Local SD</v>
      </c>
      <c r="AM445" s="7" t="b">
        <f t="shared" si="69"/>
        <v>1</v>
      </c>
      <c r="AN445" s="7" t="str">
        <f t="shared" si="61"/>
        <v>Fairfield</v>
      </c>
      <c r="AO445" s="7" t="b">
        <f>C445='St of Activities - GA Exp'!C445</f>
        <v>1</v>
      </c>
    </row>
    <row r="446" spans="1:41" hidden="1">
      <c r="A446" s="12" t="s">
        <v>961</v>
      </c>
      <c r="B446" s="12"/>
      <c r="C446" s="12" t="s">
        <v>28</v>
      </c>
      <c r="D446" s="12"/>
      <c r="E446" s="12">
        <v>47084</v>
      </c>
      <c r="K446" s="2">
        <f t="shared" si="70"/>
        <v>0</v>
      </c>
      <c r="O446" s="2">
        <f t="shared" si="65"/>
        <v>0</v>
      </c>
      <c r="AE446" s="13">
        <f t="shared" si="66"/>
        <v>0</v>
      </c>
      <c r="AG446" s="7">
        <f t="shared" si="67"/>
        <v>0</v>
      </c>
      <c r="AI446" s="7" t="s">
        <v>960</v>
      </c>
      <c r="AK446" s="7" t="str">
        <f t="shared" si="68"/>
        <v>Pike-Delta-York Local SD (CASH)</v>
      </c>
      <c r="AL446" s="7" t="str">
        <f>'St of Activities - GA Exp'!A446</f>
        <v>Pike-Delta-York Local SD (CASH)</v>
      </c>
      <c r="AM446" s="7" t="b">
        <f t="shared" si="69"/>
        <v>1</v>
      </c>
      <c r="AN446" s="7" t="str">
        <f t="shared" si="61"/>
        <v>Fulton</v>
      </c>
      <c r="AO446" s="7" t="b">
        <f>C446='St of Activities - GA Exp'!C446</f>
        <v>1</v>
      </c>
    </row>
    <row r="447" spans="1:41">
      <c r="A447" s="12" t="s">
        <v>438</v>
      </c>
      <c r="B447" s="12"/>
      <c r="C447" s="12" t="s">
        <v>48</v>
      </c>
      <c r="D447" s="12"/>
      <c r="E447" s="12">
        <v>44644</v>
      </c>
      <c r="G447" s="7">
        <v>6230897</v>
      </c>
      <c r="I447" s="7">
        <v>834143</v>
      </c>
      <c r="K447" s="2">
        <f t="shared" si="70"/>
        <v>14112970</v>
      </c>
      <c r="M447" s="7">
        <v>21178010</v>
      </c>
      <c r="O447" s="2">
        <f t="shared" si="65"/>
        <v>3582813</v>
      </c>
      <c r="Q447" s="7">
        <v>10685253</v>
      </c>
      <c r="S447" s="7">
        <v>14268066</v>
      </c>
      <c r="U447" s="7">
        <v>16476</v>
      </c>
      <c r="W447" s="7">
        <v>834143</v>
      </c>
      <c r="Y447" s="7">
        <v>0</v>
      </c>
      <c r="AA447" s="7">
        <v>596081</v>
      </c>
      <c r="AC447" s="7">
        <v>5463244</v>
      </c>
      <c r="AE447" s="13">
        <f t="shared" si="66"/>
        <v>6909944</v>
      </c>
      <c r="AG447" s="7">
        <f t="shared" si="67"/>
        <v>0</v>
      </c>
      <c r="AK447" s="7" t="str">
        <f t="shared" si="68"/>
        <v>Piqua City SD</v>
      </c>
      <c r="AL447" s="7" t="str">
        <f>'St of Activities - GA Exp'!A447</f>
        <v>Piqua City SD</v>
      </c>
      <c r="AM447" s="7" t="b">
        <f t="shared" si="69"/>
        <v>1</v>
      </c>
      <c r="AN447" s="7" t="str">
        <f t="shared" si="61"/>
        <v>Miami</v>
      </c>
      <c r="AO447" s="7" t="b">
        <f>C447='St of Activities - GA Exp'!C447</f>
        <v>1</v>
      </c>
    </row>
    <row r="448" spans="1:41">
      <c r="A448" s="12" t="s">
        <v>312</v>
      </c>
      <c r="B448" s="12"/>
      <c r="C448" s="12" t="s">
        <v>62</v>
      </c>
      <c r="D448" s="12"/>
      <c r="E448" s="12">
        <v>49932</v>
      </c>
      <c r="G448" s="7">
        <v>12009890</v>
      </c>
      <c r="I448" s="7">
        <v>21387</v>
      </c>
      <c r="K448" s="2">
        <f t="shared" si="70"/>
        <v>28475422</v>
      </c>
      <c r="M448" s="7">
        <v>40506699</v>
      </c>
      <c r="O448" s="2">
        <f t="shared" si="65"/>
        <v>7159260</v>
      </c>
      <c r="Q448" s="7">
        <f>1402799+22857363</f>
        <v>24260162</v>
      </c>
      <c r="S448" s="7">
        <v>31419422</v>
      </c>
      <c r="U448" s="7">
        <f>67714+30256+355</f>
        <v>98325</v>
      </c>
      <c r="W448" s="7">
        <v>21387</v>
      </c>
      <c r="Y448" s="7">
        <v>0</v>
      </c>
      <c r="AA448" s="7">
        <f>1169397+802119</f>
        <v>1971516</v>
      </c>
      <c r="AC448" s="7">
        <v>6996049</v>
      </c>
      <c r="AE448" s="13">
        <f t="shared" si="66"/>
        <v>9087277</v>
      </c>
      <c r="AG448" s="7">
        <f t="shared" si="67"/>
        <v>0</v>
      </c>
      <c r="AK448" s="7" t="str">
        <f t="shared" si="68"/>
        <v>Plain Local SD</v>
      </c>
      <c r="AL448" s="7" t="str">
        <f>'St of Activities - GA Exp'!A448</f>
        <v>Plain Local SD</v>
      </c>
      <c r="AM448" s="7" t="b">
        <f t="shared" si="69"/>
        <v>1</v>
      </c>
      <c r="AN448" s="7" t="str">
        <f t="shared" si="61"/>
        <v>Stark</v>
      </c>
      <c r="AO448" s="7" t="b">
        <f>C448='St of Activities - GA Exp'!C448</f>
        <v>1</v>
      </c>
    </row>
    <row r="449" spans="1:41">
      <c r="A449" s="12" t="s">
        <v>424</v>
      </c>
      <c r="B449" s="12"/>
      <c r="C449" s="12" t="s">
        <v>46</v>
      </c>
      <c r="D449" s="12"/>
      <c r="E449" s="12">
        <v>48421</v>
      </c>
      <c r="G449" s="7">
        <v>2059793</v>
      </c>
      <c r="I449" s="7">
        <v>223753</v>
      </c>
      <c r="K449" s="2">
        <f t="shared" si="70"/>
        <v>4335902</v>
      </c>
      <c r="M449" s="7">
        <v>6619448</v>
      </c>
      <c r="O449" s="2">
        <f t="shared" si="65"/>
        <v>1137539</v>
      </c>
      <c r="Q449" s="7">
        <v>2292368</v>
      </c>
      <c r="S449" s="7">
        <v>3429907</v>
      </c>
      <c r="U449" s="7">
        <v>0</v>
      </c>
      <c r="W449" s="7">
        <v>223753</v>
      </c>
      <c r="Y449" s="7">
        <v>11000</v>
      </c>
      <c r="AA449" s="7">
        <v>45652</v>
      </c>
      <c r="AC449" s="7">
        <v>2909136</v>
      </c>
      <c r="AE449" s="13">
        <f t="shared" si="66"/>
        <v>3189541</v>
      </c>
      <c r="AG449" s="7">
        <f t="shared" si="67"/>
        <v>0</v>
      </c>
      <c r="AK449" s="7" t="str">
        <f t="shared" si="68"/>
        <v>Pleasant Local SD</v>
      </c>
      <c r="AL449" s="7" t="str">
        <f>'St of Activities - GA Exp'!A449</f>
        <v>Pleasant Local SD</v>
      </c>
      <c r="AM449" s="7" t="b">
        <f t="shared" si="69"/>
        <v>1</v>
      </c>
      <c r="AN449" s="7" t="str">
        <f t="shared" si="61"/>
        <v>Marion</v>
      </c>
      <c r="AO449" s="7" t="b">
        <f>C449='St of Activities - GA Exp'!C449</f>
        <v>1</v>
      </c>
    </row>
    <row r="450" spans="1:41">
      <c r="A450" s="12" t="s">
        <v>486</v>
      </c>
      <c r="B450" s="12"/>
      <c r="C450" s="12" t="s">
        <v>110</v>
      </c>
      <c r="D450" s="12"/>
      <c r="E450" s="12">
        <v>49460</v>
      </c>
      <c r="G450" s="7">
        <v>2859322</v>
      </c>
      <c r="I450" s="7">
        <v>25818</v>
      </c>
      <c r="K450" s="2">
        <f t="shared" si="70"/>
        <v>2121798</v>
      </c>
      <c r="M450" s="7">
        <v>5006938</v>
      </c>
      <c r="O450" s="2">
        <f t="shared" si="65"/>
        <v>939843</v>
      </c>
      <c r="Q450" s="7">
        <f>802948+693309</f>
        <v>1496257</v>
      </c>
      <c r="S450" s="7">
        <v>2436100</v>
      </c>
      <c r="U450" s="7">
        <f>30798+23596</f>
        <v>54394</v>
      </c>
      <c r="W450" s="7">
        <v>25818</v>
      </c>
      <c r="Y450" s="7">
        <f>83411+187610+5000</f>
        <v>276021</v>
      </c>
      <c r="AA450" s="7">
        <f>1807+33658+939+44775+2715</f>
        <v>83894</v>
      </c>
      <c r="AC450" s="7">
        <v>2130711</v>
      </c>
      <c r="AE450" s="13">
        <f t="shared" si="66"/>
        <v>2570838</v>
      </c>
      <c r="AG450" s="7">
        <f t="shared" si="67"/>
        <v>0</v>
      </c>
      <c r="AK450" s="7" t="str">
        <f t="shared" si="68"/>
        <v>Plymouth-Shiloh Local SD</v>
      </c>
      <c r="AL450" s="7" t="str">
        <f>'St of Activities - GA Exp'!A450</f>
        <v>Plymouth-Shiloh Local SD</v>
      </c>
      <c r="AM450" s="7" t="b">
        <f t="shared" si="69"/>
        <v>1</v>
      </c>
      <c r="AN450" s="7" t="str">
        <f t="shared" si="61"/>
        <v>Richland</v>
      </c>
      <c r="AO450" s="7" t="b">
        <f>C450='St of Activities - GA Exp'!C450</f>
        <v>1</v>
      </c>
    </row>
    <row r="451" spans="1:41">
      <c r="A451" s="12" t="s">
        <v>764</v>
      </c>
      <c r="B451" s="12"/>
      <c r="C451" s="12" t="s">
        <v>45</v>
      </c>
      <c r="D451" s="12"/>
      <c r="E451" s="12">
        <v>48348</v>
      </c>
      <c r="G451" s="7">
        <v>2988691</v>
      </c>
      <c r="I451" s="7">
        <v>77235</v>
      </c>
      <c r="K451" s="2">
        <f t="shared" si="70"/>
        <v>10488657</v>
      </c>
      <c r="M451" s="7">
        <v>13554583</v>
      </c>
      <c r="O451" s="2">
        <f t="shared" si="65"/>
        <v>2754563</v>
      </c>
      <c r="Q451" s="7">
        <v>10483732</v>
      </c>
      <c r="S451" s="7">
        <v>13238295</v>
      </c>
      <c r="U451" s="7">
        <v>0</v>
      </c>
      <c r="W451" s="7">
        <v>77235</v>
      </c>
      <c r="Y451" s="7">
        <v>247765</v>
      </c>
      <c r="AA451" s="7">
        <v>172584</v>
      </c>
      <c r="AC451" s="7">
        <v>-181296</v>
      </c>
      <c r="AE451" s="13">
        <f t="shared" si="66"/>
        <v>316288</v>
      </c>
      <c r="AG451" s="7">
        <f t="shared" si="67"/>
        <v>0</v>
      </c>
      <c r="AK451" s="7" t="str">
        <f t="shared" si="68"/>
        <v xml:space="preserve">Poland Local SD </v>
      </c>
      <c r="AL451" s="7" t="str">
        <f>'St of Activities - GA Exp'!A451</f>
        <v xml:space="preserve">Poland Local SD </v>
      </c>
      <c r="AM451" s="7" t="b">
        <f t="shared" si="69"/>
        <v>1</v>
      </c>
      <c r="AN451" s="7" t="str">
        <f t="shared" si="61"/>
        <v>Mahoning</v>
      </c>
      <c r="AO451" s="7" t="b">
        <f>C451='St of Activities - GA Exp'!C451</f>
        <v>1</v>
      </c>
    </row>
    <row r="452" spans="1:41" hidden="1">
      <c r="A452" s="12" t="s">
        <v>962</v>
      </c>
      <c r="B452" s="12"/>
      <c r="C452" s="12" t="s">
        <v>53</v>
      </c>
      <c r="D452" s="12"/>
      <c r="E452" s="12">
        <v>44651</v>
      </c>
      <c r="K452" s="2">
        <f t="shared" si="70"/>
        <v>0</v>
      </c>
      <c r="O452" s="2">
        <f t="shared" si="65"/>
        <v>0</v>
      </c>
      <c r="AE452" s="13">
        <f t="shared" si="66"/>
        <v>0</v>
      </c>
      <c r="AG452" s="7">
        <f t="shared" si="67"/>
        <v>0</v>
      </c>
      <c r="AI452" s="7" t="s">
        <v>903</v>
      </c>
      <c r="AK452" s="7" t="str">
        <f t="shared" si="68"/>
        <v>Port Clinton City SD (CASH)</v>
      </c>
      <c r="AL452" s="7" t="str">
        <f>'St of Activities - GA Exp'!A452</f>
        <v>Port Clinton City SD (CASH)</v>
      </c>
      <c r="AM452" s="7" t="b">
        <f t="shared" si="69"/>
        <v>1</v>
      </c>
      <c r="AN452" s="7" t="str">
        <f t="shared" si="61"/>
        <v>Ottawa</v>
      </c>
      <c r="AO452" s="7" t="b">
        <f>C452='St of Activities - GA Exp'!C452</f>
        <v>1</v>
      </c>
    </row>
    <row r="453" spans="1:41">
      <c r="A453" s="12" t="s">
        <v>499</v>
      </c>
      <c r="B453" s="12"/>
      <c r="C453" s="12" t="s">
        <v>59</v>
      </c>
      <c r="D453" s="12"/>
      <c r="E453" s="12">
        <v>44669</v>
      </c>
      <c r="G453" s="7">
        <v>3000385</v>
      </c>
      <c r="I453" s="7">
        <v>129059</v>
      </c>
      <c r="K453" s="2">
        <f t="shared" si="70"/>
        <v>5206865</v>
      </c>
      <c r="M453" s="7">
        <v>8336309</v>
      </c>
      <c r="O453" s="2">
        <f t="shared" si="65"/>
        <v>1909708</v>
      </c>
      <c r="Q453" s="7">
        <v>4822602</v>
      </c>
      <c r="S453" s="7">
        <v>6732310</v>
      </c>
      <c r="U453" s="7">
        <v>36535</v>
      </c>
      <c r="W453" s="7">
        <v>129059</v>
      </c>
      <c r="Y453" s="7">
        <v>617396</v>
      </c>
      <c r="AA453" s="7">
        <v>73334</v>
      </c>
      <c r="AC453" s="7">
        <v>747675</v>
      </c>
      <c r="AE453" s="13">
        <f t="shared" si="66"/>
        <v>1603999</v>
      </c>
      <c r="AG453" s="7">
        <f t="shared" si="67"/>
        <v>0</v>
      </c>
      <c r="AK453" s="7" t="str">
        <f t="shared" si="68"/>
        <v>Portsmouth City SD</v>
      </c>
      <c r="AL453" s="7" t="str">
        <f>'St of Activities - GA Exp'!A453</f>
        <v>Portsmouth City SD</v>
      </c>
      <c r="AM453" s="7" t="b">
        <f t="shared" si="69"/>
        <v>1</v>
      </c>
      <c r="AN453" s="7" t="str">
        <f t="shared" si="61"/>
        <v>Scioto</v>
      </c>
      <c r="AO453" s="7" t="b">
        <f>C453='St of Activities - GA Exp'!C453</f>
        <v>1</v>
      </c>
    </row>
    <row r="454" spans="1:41" hidden="1">
      <c r="A454" s="12" t="s">
        <v>725</v>
      </c>
      <c r="B454" s="12"/>
      <c r="C454" s="12" t="s">
        <v>57</v>
      </c>
      <c r="D454" s="12"/>
      <c r="E454" s="12">
        <v>49288</v>
      </c>
      <c r="K454" s="2">
        <f t="shared" si="70"/>
        <v>0</v>
      </c>
      <c r="O454" s="2">
        <f t="shared" si="65"/>
        <v>0</v>
      </c>
      <c r="AE454" s="13">
        <f t="shared" si="66"/>
        <v>0</v>
      </c>
      <c r="AG454" s="7">
        <f t="shared" si="67"/>
        <v>0</v>
      </c>
      <c r="AI454" s="7" t="s">
        <v>959</v>
      </c>
      <c r="AK454" s="7" t="str">
        <f t="shared" si="68"/>
        <v>Preble Shawnee Local SD (CASH)</v>
      </c>
      <c r="AL454" s="7" t="str">
        <f>'St of Activities - GA Exp'!A454</f>
        <v>Preble Shawnee Local SD (CASH)</v>
      </c>
      <c r="AM454" s="7" t="b">
        <f t="shared" si="69"/>
        <v>1</v>
      </c>
      <c r="AN454" s="7" t="str">
        <f t="shared" si="61"/>
        <v>Preble</v>
      </c>
      <c r="AO454" s="7" t="b">
        <f>C454='St of Activities - GA Exp'!C454</f>
        <v>1</v>
      </c>
    </row>
    <row r="455" spans="1:41">
      <c r="A455" s="12" t="s">
        <v>337</v>
      </c>
      <c r="B455" s="12"/>
      <c r="C455" s="12" t="s">
        <v>32</v>
      </c>
      <c r="D455" s="12"/>
      <c r="E455" s="12">
        <v>44677</v>
      </c>
      <c r="G455" s="7">
        <v>10018261</v>
      </c>
      <c r="I455" s="7">
        <v>212907</v>
      </c>
      <c r="K455" s="2">
        <f t="shared" si="70"/>
        <v>45570127</v>
      </c>
      <c r="M455" s="7">
        <v>55801295</v>
      </c>
      <c r="O455" s="2">
        <f t="shared" si="65"/>
        <v>7933797</v>
      </c>
      <c r="Q455" s="7">
        <v>28532076</v>
      </c>
      <c r="S455" s="7">
        <v>36465873</v>
      </c>
      <c r="U455" s="7">
        <v>70088</v>
      </c>
      <c r="W455" s="7">
        <v>212907</v>
      </c>
      <c r="Y455" s="7">
        <v>11000</v>
      </c>
      <c r="AA455" s="7">
        <v>1762134</v>
      </c>
      <c r="AC455" s="7">
        <v>17279293</v>
      </c>
      <c r="AE455" s="13">
        <f t="shared" si="66"/>
        <v>19335422</v>
      </c>
      <c r="AG455" s="7">
        <f t="shared" si="67"/>
        <v>0</v>
      </c>
      <c r="AK455" s="7" t="str">
        <f t="shared" si="68"/>
        <v>Princeton City SD</v>
      </c>
      <c r="AL455" s="7" t="str">
        <f>'St of Activities - GA Exp'!A455</f>
        <v>Princeton City SD</v>
      </c>
      <c r="AM455" s="7" t="b">
        <f t="shared" si="69"/>
        <v>1</v>
      </c>
      <c r="AN455" s="7" t="str">
        <f t="shared" si="61"/>
        <v>Hamilton</v>
      </c>
      <c r="AO455" s="7" t="b">
        <f>C455='St of Activities - GA Exp'!C455</f>
        <v>1</v>
      </c>
    </row>
    <row r="456" spans="1:41" hidden="1">
      <c r="A456" s="12" t="s">
        <v>963</v>
      </c>
      <c r="B456" s="12"/>
      <c r="C456" s="12" t="s">
        <v>53</v>
      </c>
      <c r="D456" s="12"/>
      <c r="E456" s="12"/>
      <c r="K456" s="2">
        <f t="shared" ref="K456" si="82">+M456-I456-G456</f>
        <v>0</v>
      </c>
      <c r="O456" s="2">
        <f t="shared" ref="O456" si="83">+S456-Q456</f>
        <v>0</v>
      </c>
      <c r="AE456" s="13">
        <f t="shared" ref="AE456" si="84">+Y456+W456++U456+AA456+AC456</f>
        <v>0</v>
      </c>
      <c r="AG456" s="7">
        <f t="shared" ref="AG456" si="85">+G456+I456+K456-O456-Q456-Y456-W456-U456-AA456-AC456</f>
        <v>0</v>
      </c>
      <c r="AI456" s="7" t="s">
        <v>964</v>
      </c>
      <c r="AK456" s="7" t="str">
        <f t="shared" ref="AK456" si="86">A456</f>
        <v>Put-in-Bay Local SD (CASH) (Two year Audit)</v>
      </c>
      <c r="AL456" s="7" t="str">
        <f>'St of Activities - GA Exp'!A456</f>
        <v>Put-in-Bay Local SD (CASH) (Two year Audit)</v>
      </c>
      <c r="AM456" s="7" t="b">
        <f t="shared" ref="AM456" si="87">AK456=AL456</f>
        <v>1</v>
      </c>
      <c r="AN456" s="7" t="str">
        <f t="shared" ref="AN456" si="88">C456</f>
        <v>Ottawa</v>
      </c>
      <c r="AO456" s="7" t="b">
        <f>C456='St of Activities - GA Exp'!C456</f>
        <v>1</v>
      </c>
    </row>
    <row r="457" spans="1:41" hidden="1">
      <c r="A457" s="12" t="s">
        <v>965</v>
      </c>
      <c r="B457" s="12"/>
      <c r="C457" s="12" t="s">
        <v>12</v>
      </c>
      <c r="D457" s="12"/>
      <c r="E457" s="12">
        <v>45880</v>
      </c>
      <c r="K457" s="2">
        <f t="shared" si="70"/>
        <v>0</v>
      </c>
      <c r="O457" s="2">
        <f t="shared" si="65"/>
        <v>0</v>
      </c>
      <c r="AE457" s="13">
        <f t="shared" si="66"/>
        <v>0</v>
      </c>
      <c r="AG457" s="7">
        <f t="shared" si="67"/>
        <v>0</v>
      </c>
      <c r="AI457" s="7" t="s">
        <v>903</v>
      </c>
      <c r="AK457" s="7" t="str">
        <f t="shared" si="68"/>
        <v>Pymatuning Valley Local SD (CASH)</v>
      </c>
      <c r="AL457" s="7" t="str">
        <f>'St of Activities - GA Exp'!A457</f>
        <v>Pymatuning Valley Local SD (CASH)</v>
      </c>
      <c r="AM457" s="7" t="b">
        <f t="shared" si="69"/>
        <v>1</v>
      </c>
      <c r="AN457" s="7" t="str">
        <f t="shared" si="61"/>
        <v>Ashtabula</v>
      </c>
      <c r="AO457" s="7" t="b">
        <f>C457='St of Activities - GA Exp'!C457</f>
        <v>1</v>
      </c>
    </row>
    <row r="458" spans="1:41" s="32" customFormat="1">
      <c r="A458" s="31" t="s">
        <v>659</v>
      </c>
      <c r="B458" s="31"/>
      <c r="C458" s="31" t="s">
        <v>56</v>
      </c>
      <c r="D458" s="31"/>
      <c r="E458" s="31"/>
      <c r="G458" s="32">
        <v>3789423</v>
      </c>
      <c r="I458" s="32">
        <v>180940</v>
      </c>
      <c r="K458" s="34">
        <f t="shared" si="70"/>
        <v>11769613</v>
      </c>
      <c r="M458" s="32">
        <v>15739976</v>
      </c>
      <c r="O458" s="34">
        <f t="shared" si="65"/>
        <v>3285185</v>
      </c>
      <c r="Q458" s="32">
        <v>10866386</v>
      </c>
      <c r="S458" s="32">
        <v>14151571</v>
      </c>
      <c r="U458" s="32">
        <v>0</v>
      </c>
      <c r="W458" s="32">
        <v>180940</v>
      </c>
      <c r="Y458" s="32">
        <v>0</v>
      </c>
      <c r="AA458" s="32">
        <v>154990</v>
      </c>
      <c r="AC458" s="32">
        <v>1252475</v>
      </c>
      <c r="AE458" s="45">
        <f t="shared" si="66"/>
        <v>1588405</v>
      </c>
      <c r="AG458" s="32">
        <f t="shared" si="67"/>
        <v>0</v>
      </c>
      <c r="AK458" s="32" t="str">
        <f t="shared" si="68"/>
        <v>Ravenna City SD</v>
      </c>
      <c r="AL458" s="32" t="str">
        <f>'St of Activities - GA Exp'!A458</f>
        <v>Ravenna City SD</v>
      </c>
      <c r="AM458" s="32" t="b">
        <f t="shared" si="69"/>
        <v>1</v>
      </c>
      <c r="AN458" s="32" t="str">
        <f t="shared" si="61"/>
        <v>Portage</v>
      </c>
      <c r="AO458" s="32" t="b">
        <f>C458='St of Activities - GA Exp'!C458</f>
        <v>1</v>
      </c>
    </row>
    <row r="459" spans="1:41">
      <c r="A459" s="12" t="s">
        <v>338</v>
      </c>
      <c r="B459" s="12"/>
      <c r="C459" s="12" t="s">
        <v>32</v>
      </c>
      <c r="D459" s="12"/>
      <c r="E459" s="12">
        <v>44693</v>
      </c>
      <c r="G459" s="7">
        <v>2188285</v>
      </c>
      <c r="I459" s="7">
        <v>0</v>
      </c>
      <c r="K459" s="2">
        <f t="shared" si="70"/>
        <v>7896545</v>
      </c>
      <c r="M459" s="7">
        <v>10084830</v>
      </c>
      <c r="O459" s="2">
        <f t="shared" si="65"/>
        <v>1203575</v>
      </c>
      <c r="Q459" s="7">
        <v>5060505</v>
      </c>
      <c r="S459" s="7">
        <v>6264080</v>
      </c>
      <c r="U459" s="7">
        <v>108564</v>
      </c>
      <c r="W459" s="7">
        <v>0</v>
      </c>
      <c r="Y459" s="7">
        <v>163590</v>
      </c>
      <c r="AA459" s="7">
        <f>34149+56677</f>
        <v>90826</v>
      </c>
      <c r="AC459" s="7">
        <v>3457770</v>
      </c>
      <c r="AE459" s="13">
        <f t="shared" si="66"/>
        <v>3820750</v>
      </c>
      <c r="AG459" s="7">
        <f t="shared" si="67"/>
        <v>0</v>
      </c>
      <c r="AI459" s="7" t="s">
        <v>967</v>
      </c>
      <c r="AK459" s="7" t="str">
        <f t="shared" si="68"/>
        <v>Reading Community City SD</v>
      </c>
      <c r="AL459" s="7" t="str">
        <f>'St of Activities - GA Exp'!A459</f>
        <v>Reading Community City SD</v>
      </c>
      <c r="AM459" s="7" t="b">
        <f t="shared" si="69"/>
        <v>1</v>
      </c>
      <c r="AN459" s="7" t="str">
        <f t="shared" si="61"/>
        <v>Hamilton</v>
      </c>
      <c r="AO459" s="7" t="b">
        <f>C459='St of Activities - GA Exp'!C459</f>
        <v>1</v>
      </c>
    </row>
    <row r="460" spans="1:41">
      <c r="A460" s="12" t="s">
        <v>529</v>
      </c>
      <c r="B460" s="12"/>
      <c r="C460" s="12" t="s">
        <v>63</v>
      </c>
      <c r="D460" s="12"/>
      <c r="E460" s="12">
        <v>50054</v>
      </c>
      <c r="G460" s="7">
        <v>14538424</v>
      </c>
      <c r="I460" s="7">
        <v>0</v>
      </c>
      <c r="K460" s="2">
        <f t="shared" si="70"/>
        <v>26022161</v>
      </c>
      <c r="M460" s="7">
        <v>40560585</v>
      </c>
      <c r="O460" s="2">
        <f t="shared" si="65"/>
        <v>4188681</v>
      </c>
      <c r="Q460" s="7">
        <v>23122082</v>
      </c>
      <c r="S460" s="7">
        <v>27310763</v>
      </c>
      <c r="U460" s="7">
        <v>0</v>
      </c>
      <c r="W460" s="7">
        <v>0</v>
      </c>
      <c r="Y460" s="7">
        <v>0</v>
      </c>
      <c r="AA460" s="7">
        <v>819897</v>
      </c>
      <c r="AC460" s="7">
        <v>12429925</v>
      </c>
      <c r="AE460" s="13">
        <f t="shared" si="66"/>
        <v>13249822</v>
      </c>
      <c r="AG460" s="7">
        <f t="shared" si="67"/>
        <v>0</v>
      </c>
      <c r="AK460" s="7" t="str">
        <f t="shared" si="68"/>
        <v>Revere Local SD</v>
      </c>
      <c r="AL460" s="7" t="str">
        <f>'St of Activities - GA Exp'!A460</f>
        <v>Revere Local SD</v>
      </c>
      <c r="AM460" s="7" t="b">
        <f t="shared" si="69"/>
        <v>1</v>
      </c>
      <c r="AN460" s="7" t="str">
        <f t="shared" si="61"/>
        <v>Summit</v>
      </c>
      <c r="AO460" s="7" t="b">
        <f>C460='St of Activities - GA Exp'!C460</f>
        <v>1</v>
      </c>
    </row>
    <row r="461" spans="1:41" hidden="1">
      <c r="A461" s="12" t="s">
        <v>968</v>
      </c>
      <c r="B461" s="12"/>
      <c r="C461" s="12" t="s">
        <v>27</v>
      </c>
      <c r="D461" s="12"/>
      <c r="E461" s="12">
        <v>47001</v>
      </c>
      <c r="K461" s="2">
        <f t="shared" si="70"/>
        <v>0</v>
      </c>
      <c r="O461" s="2">
        <f t="shared" si="65"/>
        <v>0</v>
      </c>
      <c r="AE461" s="13">
        <f t="shared" si="66"/>
        <v>0</v>
      </c>
      <c r="AG461" s="7">
        <f t="shared" si="67"/>
        <v>0</v>
      </c>
      <c r="AI461" s="7" t="s">
        <v>903</v>
      </c>
      <c r="AK461" s="7" t="str">
        <f t="shared" si="68"/>
        <v>Reynoldsburg City SD (CASH)</v>
      </c>
      <c r="AL461" s="7" t="str">
        <f>'St of Activities - GA Exp'!A461</f>
        <v>Reynoldsburg City SD (CASH)</v>
      </c>
      <c r="AM461" s="7" t="b">
        <f t="shared" si="69"/>
        <v>1</v>
      </c>
      <c r="AN461" s="7" t="str">
        <f t="shared" si="61"/>
        <v>Franklin</v>
      </c>
      <c r="AO461" s="7" t="b">
        <f>C461='St of Activities - GA Exp'!C461</f>
        <v>1</v>
      </c>
    </row>
    <row r="462" spans="1:41">
      <c r="A462" s="12" t="s">
        <v>282</v>
      </c>
      <c r="B462" s="12"/>
      <c r="C462" s="12" t="s">
        <v>20</v>
      </c>
      <c r="D462" s="12"/>
      <c r="E462" s="12">
        <v>46599</v>
      </c>
      <c r="G462" s="7">
        <v>40560</v>
      </c>
      <c r="I462" s="7">
        <v>188355</v>
      </c>
      <c r="K462" s="2">
        <f t="shared" si="70"/>
        <v>12020487</v>
      </c>
      <c r="M462" s="7">
        <v>12249402</v>
      </c>
      <c r="O462" s="2">
        <f t="shared" si="65"/>
        <v>1651420</v>
      </c>
      <c r="Q462" s="7">
        <v>8940842</v>
      </c>
      <c r="S462" s="7">
        <v>10592262</v>
      </c>
      <c r="U462" s="7">
        <v>0</v>
      </c>
      <c r="W462" s="7">
        <v>2520</v>
      </c>
      <c r="Y462" s="7">
        <v>7435</v>
      </c>
      <c r="AA462" s="7">
        <v>136417</v>
      </c>
      <c r="AC462" s="7">
        <v>1510768</v>
      </c>
      <c r="AE462" s="13">
        <f t="shared" si="66"/>
        <v>1657140</v>
      </c>
      <c r="AG462" s="7">
        <f t="shared" si="67"/>
        <v>0</v>
      </c>
      <c r="AK462" s="7" t="str">
        <f t="shared" si="68"/>
        <v>Richmond Heights Local SD</v>
      </c>
      <c r="AL462" s="7" t="str">
        <f>'St of Activities - GA Exp'!A462</f>
        <v>Richmond Heights Local SD</v>
      </c>
      <c r="AM462" s="7" t="b">
        <f t="shared" si="69"/>
        <v>1</v>
      </c>
      <c r="AN462" s="7" t="str">
        <f t="shared" si="61"/>
        <v>Cuyahoga</v>
      </c>
      <c r="AO462" s="7" t="b">
        <f>C462='St of Activities - GA Exp'!C462</f>
        <v>1</v>
      </c>
    </row>
    <row r="463" spans="1:41">
      <c r="A463" s="12" t="s">
        <v>425</v>
      </c>
      <c r="B463" s="12"/>
      <c r="C463" s="12" t="s">
        <v>46</v>
      </c>
      <c r="D463" s="12"/>
      <c r="E463" s="12">
        <v>48439</v>
      </c>
      <c r="G463" s="7">
        <v>2365451</v>
      </c>
      <c r="I463" s="7">
        <v>194730</v>
      </c>
      <c r="K463" s="2">
        <f t="shared" si="70"/>
        <v>3090544</v>
      </c>
      <c r="M463" s="7">
        <v>5650725</v>
      </c>
      <c r="O463" s="2">
        <f t="shared" si="65"/>
        <v>904934</v>
      </c>
      <c r="Q463" s="7">
        <v>2081868</v>
      </c>
      <c r="S463" s="7">
        <v>2986802</v>
      </c>
      <c r="U463" s="7">
        <v>0</v>
      </c>
      <c r="W463" s="7">
        <v>194730</v>
      </c>
      <c r="Y463" s="7">
        <v>0</v>
      </c>
      <c r="AA463" s="7">
        <v>4978</v>
      </c>
      <c r="AC463" s="7">
        <v>2464215</v>
      </c>
      <c r="AE463" s="13">
        <f t="shared" si="66"/>
        <v>2663923</v>
      </c>
      <c r="AG463" s="7">
        <f t="shared" si="67"/>
        <v>0</v>
      </c>
      <c r="AK463" s="7" t="str">
        <f t="shared" si="68"/>
        <v>Ridgedale Local SD</v>
      </c>
      <c r="AL463" s="7" t="str">
        <f>'St of Activities - GA Exp'!A463</f>
        <v>Ridgedale Local SD</v>
      </c>
      <c r="AM463" s="7" t="b">
        <f t="shared" si="69"/>
        <v>1</v>
      </c>
      <c r="AN463" s="7" t="str">
        <f t="shared" si="61"/>
        <v>Marion</v>
      </c>
      <c r="AO463" s="7" t="b">
        <f>C463='St of Activities - GA Exp'!C463</f>
        <v>1</v>
      </c>
    </row>
    <row r="464" spans="1:41">
      <c r="A464" s="12" t="s">
        <v>752</v>
      </c>
      <c r="B464" s="12"/>
      <c r="C464" s="12" t="s">
        <v>348</v>
      </c>
      <c r="D464" s="12"/>
      <c r="E464" s="12">
        <v>47506</v>
      </c>
      <c r="G464" s="7">
        <v>825202</v>
      </c>
      <c r="I464" s="7">
        <v>0</v>
      </c>
      <c r="K464" s="2">
        <f t="shared" si="70"/>
        <v>1083779</v>
      </c>
      <c r="M464" s="7">
        <v>1908981</v>
      </c>
      <c r="O464" s="2">
        <f t="shared" si="65"/>
        <v>527086</v>
      </c>
      <c r="Q464" s="7">
        <v>551717</v>
      </c>
      <c r="S464" s="7">
        <v>1078803</v>
      </c>
      <c r="U464" s="7">
        <v>48571</v>
      </c>
      <c r="W464" s="7">
        <v>82263</v>
      </c>
      <c r="Y464" s="7">
        <v>0</v>
      </c>
      <c r="AA464" s="7">
        <v>6121</v>
      </c>
      <c r="AC464" s="7">
        <v>693223</v>
      </c>
      <c r="AE464" s="13">
        <f t="shared" si="66"/>
        <v>830178</v>
      </c>
      <c r="AG464" s="7">
        <f t="shared" si="67"/>
        <v>0</v>
      </c>
      <c r="AI464" s="14"/>
      <c r="AK464" s="7" t="str">
        <f t="shared" si="68"/>
        <v xml:space="preserve">Ridgemont Local SD </v>
      </c>
      <c r="AL464" s="7" t="str">
        <f>'St of Activities - GA Exp'!A464</f>
        <v xml:space="preserve">Ridgemont Local SD </v>
      </c>
      <c r="AM464" s="7" t="b">
        <f t="shared" si="69"/>
        <v>1</v>
      </c>
      <c r="AN464" s="7" t="str">
        <f t="shared" ref="AN464:AN527" si="89">C464</f>
        <v>Hardin</v>
      </c>
      <c r="AO464" s="7" t="b">
        <f>C464='St of Activities - GA Exp'!C464</f>
        <v>1</v>
      </c>
    </row>
    <row r="465" spans="1:41">
      <c r="A465" s="12" t="s">
        <v>260</v>
      </c>
      <c r="B465" s="12"/>
      <c r="C465" s="12" t="s">
        <v>19</v>
      </c>
      <c r="D465" s="12"/>
      <c r="E465" s="12">
        <v>46474</v>
      </c>
      <c r="G465" s="7">
        <v>2958172</v>
      </c>
      <c r="I465" s="7">
        <v>42320</v>
      </c>
      <c r="K465" s="2">
        <f t="shared" si="70"/>
        <v>2471271</v>
      </c>
      <c r="M465" s="7">
        <v>5471763</v>
      </c>
      <c r="O465" s="2">
        <f t="shared" si="65"/>
        <v>1111373</v>
      </c>
      <c r="Q465" s="7">
        <f>293559+2006395</f>
        <v>2299954</v>
      </c>
      <c r="S465" s="7">
        <v>3411327</v>
      </c>
      <c r="U465" s="7">
        <v>20359</v>
      </c>
      <c r="W465" s="7">
        <v>42320</v>
      </c>
      <c r="Y465" s="7">
        <v>40607</v>
      </c>
      <c r="AA465" s="7">
        <f>5621+58615+2+56</f>
        <v>64294</v>
      </c>
      <c r="AC465" s="7">
        <v>1892856</v>
      </c>
      <c r="AE465" s="13">
        <f t="shared" si="66"/>
        <v>2060436</v>
      </c>
      <c r="AG465" s="7">
        <f t="shared" si="67"/>
        <v>0</v>
      </c>
      <c r="AK465" s="7" t="str">
        <f t="shared" si="68"/>
        <v>Ridgewood Local SD</v>
      </c>
      <c r="AL465" s="7" t="str">
        <f>'St of Activities - GA Exp'!A465</f>
        <v>Ridgewood Local SD</v>
      </c>
      <c r="AM465" s="7" t="b">
        <f t="shared" si="69"/>
        <v>1</v>
      </c>
      <c r="AN465" s="7" t="str">
        <f t="shared" si="89"/>
        <v>Coshocton</v>
      </c>
      <c r="AO465" s="7" t="b">
        <f>C465='St of Activities - GA Exp'!C465</f>
        <v>1</v>
      </c>
    </row>
    <row r="466" spans="1:41" hidden="1">
      <c r="A466" s="12" t="s">
        <v>969</v>
      </c>
      <c r="B466" s="12"/>
      <c r="C466" s="12" t="s">
        <v>77</v>
      </c>
      <c r="D466" s="12"/>
      <c r="E466" s="12">
        <v>46078</v>
      </c>
      <c r="K466" s="2">
        <f t="shared" si="70"/>
        <v>0</v>
      </c>
      <c r="O466" s="2">
        <f t="shared" si="65"/>
        <v>0</v>
      </c>
      <c r="AE466" s="13">
        <f t="shared" si="66"/>
        <v>0</v>
      </c>
      <c r="AG466" s="7">
        <f t="shared" si="67"/>
        <v>0</v>
      </c>
      <c r="AI466" s="7" t="s">
        <v>903</v>
      </c>
      <c r="AK466" s="7" t="str">
        <f t="shared" si="68"/>
        <v>Ripley Union Lewis Huntington Local SD (CASH)</v>
      </c>
      <c r="AL466" s="7" t="str">
        <f>'St of Activities - GA Exp'!A466</f>
        <v>Ripley Union Lewis Huntington Local SD (CASH)</v>
      </c>
      <c r="AM466" s="7" t="b">
        <f t="shared" si="69"/>
        <v>1</v>
      </c>
      <c r="AN466" s="7" t="str">
        <f t="shared" si="89"/>
        <v>Brown</v>
      </c>
      <c r="AO466" s="7" t="b">
        <f>C466='St of Activities - GA Exp'!C466</f>
        <v>1</v>
      </c>
    </row>
    <row r="467" spans="1:41" hidden="1">
      <c r="A467" s="12" t="s">
        <v>970</v>
      </c>
      <c r="B467" s="12"/>
      <c r="C467" s="12" t="s">
        <v>71</v>
      </c>
      <c r="D467" s="12"/>
      <c r="E467" s="12">
        <v>45591</v>
      </c>
      <c r="K467" s="2">
        <f t="shared" si="70"/>
        <v>0</v>
      </c>
      <c r="O467" s="2">
        <f t="shared" si="65"/>
        <v>0</v>
      </c>
      <c r="AE467" s="13">
        <f t="shared" si="66"/>
        <v>0</v>
      </c>
      <c r="AG467" s="7">
        <f t="shared" si="67"/>
        <v>0</v>
      </c>
      <c r="AI467" s="7" t="s">
        <v>903</v>
      </c>
      <c r="AK467" s="7" t="str">
        <f t="shared" si="68"/>
        <v>Rittman Exempted Village SD (CASH)</v>
      </c>
      <c r="AL467" s="7" t="str">
        <f>'St of Activities - GA Exp'!A467</f>
        <v>Rittman Exempted Village SD (CASH)</v>
      </c>
      <c r="AM467" s="7" t="b">
        <f t="shared" si="69"/>
        <v>1</v>
      </c>
      <c r="AN467" s="7" t="str">
        <f t="shared" si="89"/>
        <v>Wayne</v>
      </c>
      <c r="AO467" s="7" t="b">
        <f>C467='St of Activities - GA Exp'!C467</f>
        <v>1</v>
      </c>
    </row>
    <row r="468" spans="1:41">
      <c r="A468" s="12" t="s">
        <v>426</v>
      </c>
      <c r="B468" s="12"/>
      <c r="C468" s="12" t="s">
        <v>46</v>
      </c>
      <c r="D468" s="12"/>
      <c r="E468" s="12">
        <v>48447</v>
      </c>
      <c r="G468" s="7">
        <v>2107104</v>
      </c>
      <c r="I468" s="7">
        <v>33907</v>
      </c>
      <c r="K468" s="2">
        <f t="shared" si="70"/>
        <v>6088479</v>
      </c>
      <c r="M468" s="7">
        <v>8229490</v>
      </c>
      <c r="O468" s="2">
        <f t="shared" si="65"/>
        <v>2042829</v>
      </c>
      <c r="Q468" s="7">
        <v>3798715</v>
      </c>
      <c r="S468" s="7">
        <v>5841544</v>
      </c>
      <c r="U468" s="7">
        <v>50701</v>
      </c>
      <c r="W468" s="7">
        <v>35840</v>
      </c>
      <c r="Y468" s="7">
        <v>0</v>
      </c>
      <c r="AA468" s="7">
        <v>53283</v>
      </c>
      <c r="AC468" s="7">
        <v>2248122</v>
      </c>
      <c r="AE468" s="13">
        <f t="shared" si="66"/>
        <v>2387946</v>
      </c>
      <c r="AG468" s="7">
        <f t="shared" si="67"/>
        <v>0</v>
      </c>
      <c r="AK468" s="7" t="str">
        <f t="shared" si="68"/>
        <v>River Valley Local SD</v>
      </c>
      <c r="AL468" s="7" t="str">
        <f>'St of Activities - GA Exp'!A468</f>
        <v>River Valley Local SD</v>
      </c>
      <c r="AM468" s="7" t="b">
        <f t="shared" si="69"/>
        <v>1</v>
      </c>
      <c r="AN468" s="7" t="str">
        <f t="shared" si="89"/>
        <v>Marion</v>
      </c>
      <c r="AO468" s="7" t="b">
        <f>C468='St of Activities - GA Exp'!C468</f>
        <v>1</v>
      </c>
    </row>
    <row r="469" spans="1:41">
      <c r="A469" s="12" t="s">
        <v>261</v>
      </c>
      <c r="B469" s="12"/>
      <c r="C469" s="12" t="s">
        <v>19</v>
      </c>
      <c r="D469" s="12"/>
      <c r="E469" s="12">
        <v>46482</v>
      </c>
      <c r="G469" s="7">
        <v>5457483</v>
      </c>
      <c r="I469" s="7">
        <v>220543</v>
      </c>
      <c r="K469" s="2">
        <f t="shared" si="70"/>
        <v>8669531</v>
      </c>
      <c r="M469" s="7">
        <v>14347557</v>
      </c>
      <c r="O469" s="2">
        <f t="shared" ref="O469:O531" si="90">+S469-Q469</f>
        <v>2433118</v>
      </c>
      <c r="Q469" s="7">
        <v>8114508</v>
      </c>
      <c r="S469" s="7">
        <v>10547626</v>
      </c>
      <c r="U469" s="7">
        <v>176578</v>
      </c>
      <c r="W469" s="7">
        <v>220543</v>
      </c>
      <c r="Y469" s="7">
        <v>29206</v>
      </c>
      <c r="AA469" s="7">
        <v>304734</v>
      </c>
      <c r="AC469" s="7">
        <v>3068870</v>
      </c>
      <c r="AE469" s="13">
        <f t="shared" ref="AE469:AE531" si="91">+Y469+W469++U469+AA469+AC469</f>
        <v>3799931</v>
      </c>
      <c r="AG469" s="7">
        <f t="shared" ref="AG469:AG531" si="92">+G469+I469+K469-O469-Q469-Y469-W469-U469-AA469-AC469</f>
        <v>0</v>
      </c>
      <c r="AK469" s="7" t="str">
        <f t="shared" ref="AK469:AK531" si="93">A469</f>
        <v>River View Local SD</v>
      </c>
      <c r="AL469" s="7" t="str">
        <f>'St of Activities - GA Exp'!A469</f>
        <v>River View Local SD</v>
      </c>
      <c r="AM469" s="7" t="b">
        <f t="shared" ref="AM469:AM531" si="94">AK469=AL469</f>
        <v>1</v>
      </c>
      <c r="AN469" s="7" t="str">
        <f t="shared" si="89"/>
        <v>Coshocton</v>
      </c>
      <c r="AO469" s="7" t="b">
        <f>C469='St of Activities - GA Exp'!C469</f>
        <v>1</v>
      </c>
    </row>
    <row r="470" spans="1:41" hidden="1">
      <c r="A470" s="12" t="s">
        <v>971</v>
      </c>
      <c r="B470" s="12"/>
      <c r="C470" s="12" t="s">
        <v>348</v>
      </c>
      <c r="D470" s="12"/>
      <c r="E470" s="12">
        <v>47514</v>
      </c>
      <c r="K470" s="2">
        <f t="shared" si="70"/>
        <v>0</v>
      </c>
      <c r="O470" s="2">
        <f t="shared" si="90"/>
        <v>0</v>
      </c>
      <c r="AE470" s="13">
        <f t="shared" si="91"/>
        <v>0</v>
      </c>
      <c r="AG470" s="7">
        <f t="shared" si="92"/>
        <v>0</v>
      </c>
      <c r="AI470" s="7" t="s">
        <v>912</v>
      </c>
      <c r="AK470" s="7" t="str">
        <f t="shared" si="93"/>
        <v>Riverdale Local SD (CASH)</v>
      </c>
      <c r="AL470" s="7" t="str">
        <f>'St of Activities - GA Exp'!A470</f>
        <v>Riverdale Local SD (CASH)</v>
      </c>
      <c r="AM470" s="7" t="b">
        <f t="shared" si="94"/>
        <v>1</v>
      </c>
      <c r="AN470" s="7" t="str">
        <f t="shared" si="89"/>
        <v>Hardin</v>
      </c>
      <c r="AO470" s="7" t="b">
        <f>C470='St of Activities - GA Exp'!C470</f>
        <v>1</v>
      </c>
    </row>
    <row r="471" spans="1:41">
      <c r="A471" s="12" t="s">
        <v>391</v>
      </c>
      <c r="B471" s="12"/>
      <c r="C471" s="12" t="s">
        <v>41</v>
      </c>
      <c r="D471" s="12"/>
      <c r="E471" s="12"/>
      <c r="G471" s="7">
        <v>526945</v>
      </c>
      <c r="I471" s="7">
        <v>0</v>
      </c>
      <c r="K471" s="2">
        <f t="shared" ref="K471:K533" si="95">+M471-I471-G471</f>
        <v>24588467</v>
      </c>
      <c r="M471" s="7">
        <v>25115412</v>
      </c>
      <c r="O471" s="2">
        <f t="shared" si="90"/>
        <v>5367423</v>
      </c>
      <c r="Q471" s="7">
        <v>21205730</v>
      </c>
      <c r="S471" s="7">
        <v>26573153</v>
      </c>
      <c r="U471" s="7">
        <v>176220</v>
      </c>
      <c r="W471" s="7">
        <v>0</v>
      </c>
      <c r="Y471" s="7">
        <v>0</v>
      </c>
      <c r="AA471" s="7">
        <v>0</v>
      </c>
      <c r="AC471" s="7">
        <v>-1633961</v>
      </c>
      <c r="AE471" s="13">
        <f t="shared" si="91"/>
        <v>-1457741</v>
      </c>
      <c r="AG471" s="7">
        <f t="shared" si="92"/>
        <v>0</v>
      </c>
      <c r="AK471" s="7" t="str">
        <f t="shared" si="93"/>
        <v>Riverside Local SD</v>
      </c>
      <c r="AL471" s="7" t="str">
        <f>'St of Activities - GA Exp'!A471</f>
        <v>Riverside Local SD</v>
      </c>
      <c r="AM471" s="7" t="b">
        <f t="shared" si="94"/>
        <v>1</v>
      </c>
      <c r="AN471" s="7" t="str">
        <f t="shared" si="89"/>
        <v>Lake</v>
      </c>
      <c r="AO471" s="7" t="b">
        <f>C471='St of Activities - GA Exp'!C471</f>
        <v>1</v>
      </c>
    </row>
    <row r="472" spans="1:41">
      <c r="A472" s="12" t="s">
        <v>391</v>
      </c>
      <c r="B472" s="12"/>
      <c r="C472" s="12" t="s">
        <v>43</v>
      </c>
      <c r="D472" s="12"/>
      <c r="E472" s="12">
        <v>48090</v>
      </c>
      <c r="G472" s="7">
        <v>381572</v>
      </c>
      <c r="I472" s="7">
        <v>17111</v>
      </c>
      <c r="K472" s="2">
        <f t="shared" si="95"/>
        <v>1762801</v>
      </c>
      <c r="M472" s="7">
        <v>2161484</v>
      </c>
      <c r="O472" s="2">
        <f t="shared" si="90"/>
        <v>886398</v>
      </c>
      <c r="Q472" s="7">
        <f>147496+696998</f>
        <v>844494</v>
      </c>
      <c r="S472" s="7">
        <v>1730892</v>
      </c>
      <c r="U472" s="7">
        <v>0</v>
      </c>
      <c r="W472" s="7">
        <v>17111</v>
      </c>
      <c r="Y472" s="7">
        <v>0</v>
      </c>
      <c r="AA472" s="7">
        <f>639+16344+599+5667</f>
        <v>23249</v>
      </c>
      <c r="AC472" s="7">
        <v>390232</v>
      </c>
      <c r="AE472" s="13">
        <f t="shared" si="91"/>
        <v>430592</v>
      </c>
      <c r="AG472" s="7">
        <f t="shared" si="92"/>
        <v>0</v>
      </c>
      <c r="AK472" s="7" t="str">
        <f t="shared" si="93"/>
        <v>Riverside Local SD</v>
      </c>
      <c r="AL472" s="7" t="str">
        <f>'St of Activities - GA Exp'!A472</f>
        <v>Riverside Local SD</v>
      </c>
      <c r="AM472" s="7" t="b">
        <f t="shared" si="94"/>
        <v>1</v>
      </c>
      <c r="AN472" s="7" t="str">
        <f t="shared" si="89"/>
        <v>Logan</v>
      </c>
      <c r="AO472" s="7" t="b">
        <f>C472='St of Activities - GA Exp'!C472</f>
        <v>1</v>
      </c>
    </row>
    <row r="473" spans="1:41">
      <c r="A473" s="12" t="s">
        <v>381</v>
      </c>
      <c r="B473" s="12"/>
      <c r="C473" s="12" t="s">
        <v>377</v>
      </c>
      <c r="D473" s="12"/>
      <c r="E473" s="12">
        <v>47944</v>
      </c>
      <c r="G473" s="7">
        <v>1979746</v>
      </c>
      <c r="I473" s="7">
        <v>279156</v>
      </c>
      <c r="K473" s="2">
        <f t="shared" si="95"/>
        <v>2236514</v>
      </c>
      <c r="M473" s="7">
        <v>4495416</v>
      </c>
      <c r="O473" s="2">
        <f t="shared" si="90"/>
        <v>2223989</v>
      </c>
      <c r="Q473" s="7">
        <v>2090682</v>
      </c>
      <c r="S473" s="7">
        <v>4314671</v>
      </c>
      <c r="U473" s="7">
        <v>0</v>
      </c>
      <c r="W473" s="7">
        <v>279156</v>
      </c>
      <c r="Y473" s="7">
        <v>7761</v>
      </c>
      <c r="AA473" s="7">
        <v>467478</v>
      </c>
      <c r="AC473" s="7">
        <v>-573650</v>
      </c>
      <c r="AE473" s="13">
        <f t="shared" si="91"/>
        <v>180745</v>
      </c>
      <c r="AG473" s="7">
        <f t="shared" si="92"/>
        <v>0</v>
      </c>
      <c r="AK473" s="7" t="str">
        <f t="shared" si="93"/>
        <v>Rock Hill Local SD</v>
      </c>
      <c r="AL473" s="7" t="str">
        <f>'St of Activities - GA Exp'!A473</f>
        <v>Rock Hill Local SD</v>
      </c>
      <c r="AM473" s="7" t="b">
        <f t="shared" si="94"/>
        <v>1</v>
      </c>
      <c r="AN473" s="7" t="str">
        <f t="shared" si="89"/>
        <v>Lawrence</v>
      </c>
      <c r="AO473" s="7" t="b">
        <f>C473='St of Activities - GA Exp'!C473</f>
        <v>1</v>
      </c>
    </row>
    <row r="474" spans="1:41">
      <c r="A474" s="12" t="s">
        <v>753</v>
      </c>
      <c r="B474" s="12"/>
      <c r="C474" s="12" t="s">
        <v>20</v>
      </c>
      <c r="D474" s="12"/>
      <c r="E474" s="12">
        <v>44701</v>
      </c>
      <c r="G474" s="7">
        <v>2518071</v>
      </c>
      <c r="I474" s="7">
        <v>0</v>
      </c>
      <c r="K474" s="2">
        <f t="shared" si="95"/>
        <v>25692977</v>
      </c>
      <c r="M474" s="7">
        <v>28211048</v>
      </c>
      <c r="O474" s="2">
        <f t="shared" si="90"/>
        <v>4632538</v>
      </c>
      <c r="Q474" s="7">
        <f>1233914+20699514</f>
        <v>21933428</v>
      </c>
      <c r="S474" s="7">
        <v>26565966</v>
      </c>
      <c r="U474" s="7">
        <f>46873+6217+12327</f>
        <v>65417</v>
      </c>
      <c r="W474" s="7">
        <v>0</v>
      </c>
      <c r="Y474" s="7">
        <v>0</v>
      </c>
      <c r="AA474" s="7">
        <f>69569+453281+22881</f>
        <v>545731</v>
      </c>
      <c r="AC474" s="7">
        <v>1033934</v>
      </c>
      <c r="AE474" s="13">
        <f t="shared" si="91"/>
        <v>1645082</v>
      </c>
      <c r="AG474" s="7">
        <f t="shared" si="92"/>
        <v>0</v>
      </c>
      <c r="AK474" s="7" t="str">
        <f t="shared" si="93"/>
        <v xml:space="preserve">Rocky River City SD </v>
      </c>
      <c r="AL474" s="7" t="str">
        <f>'St of Activities - GA Exp'!A474</f>
        <v xml:space="preserve">Rocky River City SD </v>
      </c>
      <c r="AM474" s="7" t="b">
        <f t="shared" si="94"/>
        <v>1</v>
      </c>
      <c r="AN474" s="7" t="str">
        <f t="shared" si="89"/>
        <v>Cuyahoga</v>
      </c>
      <c r="AO474" s="7" t="b">
        <f>C474='St of Activities - GA Exp'!C474</f>
        <v>1</v>
      </c>
    </row>
    <row r="475" spans="1:41">
      <c r="A475" s="12" t="s">
        <v>329</v>
      </c>
      <c r="B475" s="12"/>
      <c r="C475" s="12" t="s">
        <v>31</v>
      </c>
      <c r="D475" s="12"/>
      <c r="E475" s="12">
        <v>47308</v>
      </c>
      <c r="G475" s="7">
        <v>2220706</v>
      </c>
      <c r="I475" s="7">
        <v>336468</v>
      </c>
      <c r="K475" s="2">
        <f t="shared" si="95"/>
        <v>7682319</v>
      </c>
      <c r="M475" s="7">
        <v>10239493</v>
      </c>
      <c r="O475" s="2">
        <f t="shared" si="90"/>
        <v>1951285</v>
      </c>
      <c r="Q475" s="7">
        <v>5738812</v>
      </c>
      <c r="S475" s="7">
        <v>7690097</v>
      </c>
      <c r="U475" s="7">
        <f>80709+35446+2084</f>
        <v>118239</v>
      </c>
      <c r="W475" s="7">
        <f>296928+37456</f>
        <v>334384</v>
      </c>
      <c r="Y475" s="7">
        <v>0</v>
      </c>
      <c r="AA475" s="7">
        <v>0</v>
      </c>
      <c r="AC475" s="7">
        <v>2096773</v>
      </c>
      <c r="AE475" s="13">
        <f t="shared" si="91"/>
        <v>2549396</v>
      </c>
      <c r="AG475" s="7">
        <f t="shared" si="92"/>
        <v>0</v>
      </c>
      <c r="AK475" s="7" t="str">
        <f t="shared" si="93"/>
        <v>Rolling Hills Local SD</v>
      </c>
      <c r="AL475" s="7" t="str">
        <f>'St of Activities - GA Exp'!A475</f>
        <v>Rolling Hills Local SD</v>
      </c>
      <c r="AM475" s="7" t="b">
        <f t="shared" si="94"/>
        <v>1</v>
      </c>
      <c r="AN475" s="7" t="str">
        <f t="shared" si="89"/>
        <v>Guernsey</v>
      </c>
      <c r="AO475" s="7" t="b">
        <f>C475='St of Activities - GA Exp'!C475</f>
        <v>1</v>
      </c>
    </row>
    <row r="476" spans="1:41">
      <c r="A476" s="12" t="s">
        <v>477</v>
      </c>
      <c r="B476" s="12"/>
      <c r="C476" s="12" t="s">
        <v>56</v>
      </c>
      <c r="D476" s="12"/>
      <c r="E476" s="12">
        <v>49213</v>
      </c>
      <c r="G476" s="7">
        <v>625057</v>
      </c>
      <c r="I476" s="7">
        <v>143208</v>
      </c>
      <c r="K476" s="2">
        <f t="shared" si="95"/>
        <v>5169374</v>
      </c>
      <c r="M476" s="7">
        <v>5937639</v>
      </c>
      <c r="O476" s="2">
        <f t="shared" si="90"/>
        <v>1169000</v>
      </c>
      <c r="Q476" s="7">
        <v>4742892</v>
      </c>
      <c r="S476" s="7">
        <v>5911892</v>
      </c>
      <c r="U476" s="7">
        <v>0</v>
      </c>
      <c r="W476" s="7">
        <v>143208</v>
      </c>
      <c r="Y476" s="7">
        <v>0</v>
      </c>
      <c r="AA476" s="7">
        <v>79410</v>
      </c>
      <c r="AC476" s="7">
        <v>-196871</v>
      </c>
      <c r="AE476" s="13">
        <f t="shared" si="91"/>
        <v>25747</v>
      </c>
      <c r="AG476" s="7">
        <f t="shared" si="92"/>
        <v>0</v>
      </c>
      <c r="AI476" s="7" t="s">
        <v>972</v>
      </c>
      <c r="AK476" s="7" t="str">
        <f t="shared" si="93"/>
        <v>Rootstown Local SD</v>
      </c>
      <c r="AL476" s="7" t="str">
        <f>'St of Activities - GA Exp'!A476</f>
        <v>Rootstown Local SD</v>
      </c>
      <c r="AM476" s="7" t="b">
        <f t="shared" si="94"/>
        <v>1</v>
      </c>
      <c r="AN476" s="7" t="str">
        <f t="shared" si="89"/>
        <v>Portage</v>
      </c>
      <c r="AO476" s="7" t="b">
        <f>C476='St of Activities - GA Exp'!C476</f>
        <v>1</v>
      </c>
    </row>
    <row r="477" spans="1:41">
      <c r="A477" s="12" t="s">
        <v>754</v>
      </c>
      <c r="B477" s="12"/>
      <c r="C477" s="12" t="s">
        <v>223</v>
      </c>
      <c r="D477" s="12"/>
      <c r="E477" s="12">
        <v>46144</v>
      </c>
      <c r="G477" s="7">
        <v>4074698</v>
      </c>
      <c r="I477" s="7">
        <v>392800</v>
      </c>
      <c r="K477" s="2">
        <f t="shared" si="95"/>
        <v>10980420</v>
      </c>
      <c r="M477" s="7">
        <v>15447918</v>
      </c>
      <c r="O477" s="2">
        <f t="shared" si="90"/>
        <v>2547278</v>
      </c>
      <c r="Q477" s="7">
        <v>9877215</v>
      </c>
      <c r="S477" s="7">
        <v>12424493</v>
      </c>
      <c r="U477" s="7">
        <v>3065</v>
      </c>
      <c r="W477" s="7">
        <v>285493</v>
      </c>
      <c r="Y477" s="7">
        <v>0</v>
      </c>
      <c r="AA477" s="7">
        <v>598604</v>
      </c>
      <c r="AC477" s="7">
        <v>2136263</v>
      </c>
      <c r="AE477" s="13">
        <f t="shared" si="91"/>
        <v>3023425</v>
      </c>
      <c r="AG477" s="7">
        <f t="shared" si="92"/>
        <v>0</v>
      </c>
      <c r="AI477" s="14"/>
      <c r="AK477" s="7" t="str">
        <f t="shared" si="93"/>
        <v xml:space="preserve">Ross Local SD </v>
      </c>
      <c r="AL477" s="7" t="str">
        <f>'St of Activities - GA Exp'!A477</f>
        <v xml:space="preserve">Ross Local SD </v>
      </c>
      <c r="AM477" s="7" t="b">
        <f t="shared" si="94"/>
        <v>1</v>
      </c>
      <c r="AN477" s="7" t="str">
        <f t="shared" si="89"/>
        <v>Butler</v>
      </c>
      <c r="AO477" s="7" t="b">
        <f>C477='St of Activities - GA Exp'!C477</f>
        <v>1</v>
      </c>
    </row>
    <row r="478" spans="1:41">
      <c r="A478" s="12" t="s">
        <v>886</v>
      </c>
      <c r="B478" s="12"/>
      <c r="C478" s="12" t="s">
        <v>72</v>
      </c>
      <c r="D478" s="12"/>
      <c r="E478" s="12">
        <v>45609</v>
      </c>
      <c r="G478" s="7">
        <v>9482707</v>
      </c>
      <c r="I478" s="7">
        <v>1446759</v>
      </c>
      <c r="K478" s="2">
        <f t="shared" si="95"/>
        <v>13190005</v>
      </c>
      <c r="M478" s="7">
        <v>24119471</v>
      </c>
      <c r="O478" s="2">
        <f t="shared" si="90"/>
        <v>3446398</v>
      </c>
      <c r="Q478" s="7">
        <v>10090494</v>
      </c>
      <c r="S478" s="7">
        <v>13536892</v>
      </c>
      <c r="U478" s="7">
        <v>49653</v>
      </c>
      <c r="W478" s="7">
        <v>1495049</v>
      </c>
      <c r="Y478" s="7">
        <v>0</v>
      </c>
      <c r="AA478" s="7">
        <v>1288492</v>
      </c>
      <c r="AC478" s="7">
        <v>7749385</v>
      </c>
      <c r="AE478" s="13">
        <f t="shared" si="91"/>
        <v>10582579</v>
      </c>
      <c r="AG478" s="7">
        <f t="shared" si="92"/>
        <v>0</v>
      </c>
      <c r="AK478" s="7" t="str">
        <f t="shared" si="93"/>
        <v>Rossford Exempted Village SD</v>
      </c>
      <c r="AL478" s="7" t="str">
        <f>'St of Activities - GA Exp'!A478</f>
        <v>Rossford Exempted Village SD</v>
      </c>
      <c r="AM478" s="7" t="b">
        <f t="shared" si="94"/>
        <v>1</v>
      </c>
      <c r="AN478" s="7" t="str">
        <f t="shared" si="89"/>
        <v>Wood</v>
      </c>
      <c r="AO478" s="7" t="b">
        <f>C478='St of Activities - GA Exp'!C478</f>
        <v>1</v>
      </c>
    </row>
    <row r="479" spans="1:41">
      <c r="A479" s="12" t="s">
        <v>507</v>
      </c>
      <c r="B479" s="12"/>
      <c r="C479" s="12" t="s">
        <v>61</v>
      </c>
      <c r="D479" s="12"/>
      <c r="E479" s="12">
        <v>49817</v>
      </c>
      <c r="G479" s="7">
        <v>1171676</v>
      </c>
      <c r="I479" s="7">
        <v>3342</v>
      </c>
      <c r="K479" s="2">
        <f t="shared" si="95"/>
        <v>1032147</v>
      </c>
      <c r="M479" s="7">
        <v>2207165</v>
      </c>
      <c r="O479" s="2">
        <f t="shared" si="90"/>
        <v>465468</v>
      </c>
      <c r="Q479" s="7">
        <v>850271</v>
      </c>
      <c r="S479" s="7">
        <v>1315739</v>
      </c>
      <c r="U479" s="7">
        <v>2517</v>
      </c>
      <c r="W479" s="7">
        <v>3342</v>
      </c>
      <c r="Y479" s="7">
        <v>0</v>
      </c>
      <c r="AA479" s="7">
        <v>885567</v>
      </c>
      <c r="AC479" s="7">
        <v>0</v>
      </c>
      <c r="AE479" s="13">
        <f t="shared" si="91"/>
        <v>891426</v>
      </c>
      <c r="AG479" s="7">
        <f t="shared" si="92"/>
        <v>0</v>
      </c>
      <c r="AK479" s="7" t="str">
        <f t="shared" si="93"/>
        <v>Russia Local SD</v>
      </c>
      <c r="AL479" s="7" t="str">
        <f>'St of Activities - GA Exp'!A479</f>
        <v>Russia Local SD</v>
      </c>
      <c r="AM479" s="7" t="b">
        <f t="shared" si="94"/>
        <v>1</v>
      </c>
      <c r="AN479" s="7" t="str">
        <f t="shared" si="89"/>
        <v>Shelby</v>
      </c>
      <c r="AO479" s="7" t="b">
        <f>C479='St of Activities - GA Exp'!C479</f>
        <v>1</v>
      </c>
    </row>
    <row r="480" spans="1:41">
      <c r="A480" s="12" t="s">
        <v>632</v>
      </c>
      <c r="B480" s="12"/>
      <c r="C480" s="12" t="s">
        <v>112</v>
      </c>
      <c r="D480" s="12"/>
      <c r="E480" s="12"/>
      <c r="G480" s="7">
        <v>2607614</v>
      </c>
      <c r="I480" s="7">
        <v>71338</v>
      </c>
      <c r="K480" s="2">
        <f t="shared" si="95"/>
        <v>8821687</v>
      </c>
      <c r="M480" s="7">
        <v>11500639</v>
      </c>
      <c r="O480" s="2">
        <f t="shared" si="90"/>
        <v>2376327</v>
      </c>
      <c r="Q480" s="7">
        <f>555289+8064178</f>
        <v>8619467</v>
      </c>
      <c r="S480" s="7">
        <v>10995794</v>
      </c>
      <c r="U480" s="7">
        <f>11207+3033</f>
        <v>14240</v>
      </c>
      <c r="W480" s="7">
        <v>71338</v>
      </c>
      <c r="Y480" s="7">
        <v>11000</v>
      </c>
      <c r="AA480" s="7">
        <f>32185+73303+379254+15499+534403+11168</f>
        <v>1045812</v>
      </c>
      <c r="AC480" s="7">
        <v>-637545</v>
      </c>
      <c r="AE480" s="13">
        <f t="shared" si="91"/>
        <v>504845</v>
      </c>
      <c r="AG480" s="7">
        <f t="shared" si="92"/>
        <v>0</v>
      </c>
      <c r="AK480" s="7" t="str">
        <f t="shared" si="93"/>
        <v>Salem City SD</v>
      </c>
      <c r="AL480" s="7" t="str">
        <f>'St of Activities - GA Exp'!A480</f>
        <v>Salem City SD</v>
      </c>
      <c r="AM480" s="7" t="b">
        <f t="shared" si="94"/>
        <v>1</v>
      </c>
      <c r="AN480" s="7" t="str">
        <f t="shared" si="89"/>
        <v>Columbiana</v>
      </c>
      <c r="AO480" s="7" t="b">
        <f>C480='St of Activities - GA Exp'!C480</f>
        <v>1</v>
      </c>
    </row>
    <row r="481" spans="1:41">
      <c r="A481" s="12" t="s">
        <v>296</v>
      </c>
      <c r="B481" s="12"/>
      <c r="C481" s="12" t="s">
        <v>24</v>
      </c>
      <c r="D481" s="12"/>
      <c r="E481" s="12">
        <v>44743</v>
      </c>
      <c r="G481" s="7">
        <v>3603077</v>
      </c>
      <c r="I481" s="7">
        <v>0</v>
      </c>
      <c r="K481" s="2">
        <f t="shared" si="95"/>
        <v>19024456</v>
      </c>
      <c r="M481" s="7">
        <v>22627533</v>
      </c>
      <c r="O481" s="2">
        <f t="shared" si="90"/>
        <v>5987178</v>
      </c>
      <c r="Q481" s="7">
        <v>16171824</v>
      </c>
      <c r="S481" s="7">
        <v>22159002</v>
      </c>
      <c r="U481" s="7">
        <v>81158</v>
      </c>
      <c r="W481" s="7">
        <v>0</v>
      </c>
      <c r="Y481" s="7">
        <v>0</v>
      </c>
      <c r="AA481" s="7">
        <v>106107</v>
      </c>
      <c r="AC481" s="7">
        <v>281266</v>
      </c>
      <c r="AE481" s="13">
        <f t="shared" si="91"/>
        <v>468531</v>
      </c>
      <c r="AG481" s="7">
        <f t="shared" si="92"/>
        <v>0</v>
      </c>
      <c r="AK481" s="7" t="str">
        <f t="shared" si="93"/>
        <v>Sandusky City SD</v>
      </c>
      <c r="AL481" s="7" t="str">
        <f>'St of Activities - GA Exp'!A481</f>
        <v>Sandusky City SD</v>
      </c>
      <c r="AM481" s="7" t="b">
        <f t="shared" si="94"/>
        <v>1</v>
      </c>
      <c r="AN481" s="7" t="str">
        <f t="shared" si="89"/>
        <v>Erie</v>
      </c>
      <c r="AO481" s="7" t="b">
        <f>C481='St of Activities - GA Exp'!C481</f>
        <v>1</v>
      </c>
    </row>
    <row r="482" spans="1:41">
      <c r="A482" s="12" t="s">
        <v>520</v>
      </c>
      <c r="B482" s="12"/>
      <c r="C482" s="12" t="s">
        <v>62</v>
      </c>
      <c r="D482" s="12"/>
      <c r="E482" s="12">
        <v>49940</v>
      </c>
      <c r="G482" s="7">
        <v>2189672</v>
      </c>
      <c r="I482" s="7">
        <v>0</v>
      </c>
      <c r="K482" s="2">
        <f t="shared" si="95"/>
        <v>3736700</v>
      </c>
      <c r="M482" s="7">
        <v>5926372</v>
      </c>
      <c r="O482" s="2">
        <f t="shared" si="90"/>
        <v>1760489</v>
      </c>
      <c r="Q482" s="7">
        <v>3001217</v>
      </c>
      <c r="S482" s="7">
        <v>4761706</v>
      </c>
      <c r="U482" s="7">
        <v>0</v>
      </c>
      <c r="W482" s="7">
        <v>0</v>
      </c>
      <c r="Y482" s="7">
        <v>0</v>
      </c>
      <c r="AA482" s="7">
        <v>0</v>
      </c>
      <c r="AC482" s="7">
        <v>1164666</v>
      </c>
      <c r="AE482" s="13">
        <f t="shared" si="91"/>
        <v>1164666</v>
      </c>
      <c r="AG482" s="7">
        <f t="shared" si="92"/>
        <v>0</v>
      </c>
      <c r="AI482" s="7" t="s">
        <v>788</v>
      </c>
      <c r="AK482" s="7" t="str">
        <f t="shared" si="93"/>
        <v>Sandy Valley Local SD</v>
      </c>
      <c r="AL482" s="7" t="str">
        <f>'St of Activities - GA Exp'!A482</f>
        <v>Sandy Valley Local SD</v>
      </c>
      <c r="AM482" s="7" t="b">
        <f t="shared" si="94"/>
        <v>1</v>
      </c>
      <c r="AN482" s="7" t="str">
        <f t="shared" si="89"/>
        <v>Stark</v>
      </c>
      <c r="AO482" s="7" t="b">
        <f>C482='St of Activities - GA Exp'!C482</f>
        <v>1</v>
      </c>
    </row>
    <row r="483" spans="1:41">
      <c r="A483" s="12" t="s">
        <v>471</v>
      </c>
      <c r="B483" s="12"/>
      <c r="C483" s="12" t="s">
        <v>55</v>
      </c>
      <c r="D483" s="12"/>
      <c r="E483" s="12"/>
      <c r="G483" s="7">
        <v>7015669</v>
      </c>
      <c r="I483" s="7">
        <v>60854</v>
      </c>
      <c r="K483" s="2">
        <f t="shared" si="95"/>
        <v>2699883</v>
      </c>
      <c r="M483" s="7">
        <v>9776406</v>
      </c>
      <c r="O483" s="2">
        <f t="shared" si="90"/>
        <v>1707407</v>
      </c>
      <c r="Q483" s="7">
        <v>2221313</v>
      </c>
      <c r="S483" s="7">
        <v>3928720</v>
      </c>
      <c r="U483" s="7">
        <v>0</v>
      </c>
      <c r="W483" s="7">
        <v>60854</v>
      </c>
      <c r="Y483" s="7">
        <v>0</v>
      </c>
      <c r="AA483" s="7">
        <v>150377</v>
      </c>
      <c r="AC483" s="7">
        <v>5636455</v>
      </c>
      <c r="AE483" s="13">
        <f t="shared" si="91"/>
        <v>5847686</v>
      </c>
      <c r="AG483" s="7">
        <f t="shared" si="92"/>
        <v>0</v>
      </c>
      <c r="AK483" s="7" t="str">
        <f t="shared" si="93"/>
        <v>Scioto Valley Local SD</v>
      </c>
      <c r="AL483" s="7" t="str">
        <f>'St of Activities - GA Exp'!A483</f>
        <v>Scioto Valley Local SD</v>
      </c>
      <c r="AM483" s="7" t="b">
        <f t="shared" si="94"/>
        <v>1</v>
      </c>
      <c r="AN483" s="7" t="str">
        <f t="shared" si="89"/>
        <v>Pike</v>
      </c>
      <c r="AO483" s="7" t="b">
        <f>C483='St of Activities - GA Exp'!C483</f>
        <v>1</v>
      </c>
    </row>
    <row r="484" spans="1:41">
      <c r="A484" s="12" t="s">
        <v>418</v>
      </c>
      <c r="B484" s="12"/>
      <c r="C484" s="12" t="s">
        <v>45</v>
      </c>
      <c r="D484" s="12"/>
      <c r="E484" s="12">
        <v>48355</v>
      </c>
      <c r="G484" s="7">
        <v>634387</v>
      </c>
      <c r="I484" s="7">
        <v>24007</v>
      </c>
      <c r="K484" s="2">
        <f t="shared" si="95"/>
        <v>1567844</v>
      </c>
      <c r="M484" s="7">
        <v>2226238</v>
      </c>
      <c r="O484" s="2">
        <f t="shared" si="90"/>
        <v>635208</v>
      </c>
      <c r="Q484" s="7">
        <v>1376627</v>
      </c>
      <c r="S484" s="7">
        <v>2011835</v>
      </c>
      <c r="U484" s="7">
        <v>21371</v>
      </c>
      <c r="W484" s="7">
        <v>0</v>
      </c>
      <c r="Y484" s="7">
        <v>24007</v>
      </c>
      <c r="AA484" s="7">
        <v>9199</v>
      </c>
      <c r="AC484" s="7">
        <v>159826</v>
      </c>
      <c r="AE484" s="13">
        <f t="shared" si="91"/>
        <v>214403</v>
      </c>
      <c r="AG484" s="7">
        <f t="shared" si="92"/>
        <v>0</v>
      </c>
      <c r="AK484" s="7" t="str">
        <f t="shared" si="93"/>
        <v>Sebring Local SD</v>
      </c>
      <c r="AL484" s="7" t="str">
        <f>'St of Activities - GA Exp'!A484</f>
        <v>Sebring Local SD</v>
      </c>
      <c r="AM484" s="7" t="b">
        <f t="shared" si="94"/>
        <v>1</v>
      </c>
      <c r="AN484" s="7" t="str">
        <f t="shared" si="89"/>
        <v>Mahoning</v>
      </c>
      <c r="AO484" s="7" t="b">
        <f>C484='St of Activities - GA Exp'!C484</f>
        <v>1</v>
      </c>
    </row>
    <row r="485" spans="1:41">
      <c r="A485" s="12" t="s">
        <v>502</v>
      </c>
      <c r="B485" s="12"/>
      <c r="C485" s="12" t="s">
        <v>60</v>
      </c>
      <c r="D485" s="12"/>
      <c r="E485" s="12">
        <v>49684</v>
      </c>
      <c r="G485" s="7">
        <v>1673286</v>
      </c>
      <c r="I485" s="7">
        <v>0</v>
      </c>
      <c r="K485" s="2">
        <f t="shared" si="95"/>
        <v>2394904</v>
      </c>
      <c r="M485" s="7">
        <v>4068190</v>
      </c>
      <c r="O485" s="2">
        <f t="shared" si="90"/>
        <v>899671</v>
      </c>
      <c r="Q485" s="7">
        <f>165699+981556</f>
        <v>1147255</v>
      </c>
      <c r="S485" s="7">
        <v>2046926</v>
      </c>
      <c r="U485" s="7">
        <f>1866+41605</f>
        <v>43471</v>
      </c>
      <c r="W485" s="7">
        <v>0</v>
      </c>
      <c r="Y485" s="7">
        <v>41701</v>
      </c>
      <c r="AA485" s="7">
        <f>17887+13185+4558+43540</f>
        <v>79170</v>
      </c>
      <c r="AC485" s="7">
        <v>1856922</v>
      </c>
      <c r="AE485" s="13">
        <f t="shared" si="91"/>
        <v>2021264</v>
      </c>
      <c r="AG485" s="7">
        <f t="shared" si="92"/>
        <v>0</v>
      </c>
      <c r="AK485" s="7" t="str">
        <f t="shared" si="93"/>
        <v>Seneca East Local SD</v>
      </c>
      <c r="AL485" s="7" t="str">
        <f>'St of Activities - GA Exp'!A485</f>
        <v>Seneca East Local SD</v>
      </c>
      <c r="AM485" s="7" t="b">
        <f t="shared" si="94"/>
        <v>1</v>
      </c>
      <c r="AN485" s="7" t="str">
        <f t="shared" si="89"/>
        <v>Seneca</v>
      </c>
      <c r="AO485" s="7" t="b">
        <f>C485='St of Activities - GA Exp'!C485</f>
        <v>1</v>
      </c>
    </row>
    <row r="486" spans="1:41">
      <c r="A486" s="12" t="s">
        <v>218</v>
      </c>
      <c r="B486" s="12"/>
      <c r="C486" s="12" t="s">
        <v>15</v>
      </c>
      <c r="D486" s="12"/>
      <c r="E486" s="12">
        <v>46003</v>
      </c>
      <c r="G486" s="7">
        <v>1915289</v>
      </c>
      <c r="I486" s="7">
        <v>2126</v>
      </c>
      <c r="K486" s="2">
        <f t="shared" si="95"/>
        <v>3413021</v>
      </c>
      <c r="M486" s="7">
        <v>5330436</v>
      </c>
      <c r="O486" s="2">
        <f t="shared" si="90"/>
        <v>771816</v>
      </c>
      <c r="Q486" s="7">
        <v>3299278</v>
      </c>
      <c r="S486" s="7">
        <v>4071094</v>
      </c>
      <c r="U486" s="7">
        <f>1338+25140</f>
        <v>26478</v>
      </c>
      <c r="W486" s="7">
        <v>2126</v>
      </c>
      <c r="Y486" s="7">
        <v>0</v>
      </c>
      <c r="AA486" s="7">
        <v>583036</v>
      </c>
      <c r="AC486" s="7">
        <v>647702</v>
      </c>
      <c r="AE486" s="13">
        <f t="shared" si="91"/>
        <v>1259342</v>
      </c>
      <c r="AG486" s="7">
        <f t="shared" si="92"/>
        <v>0</v>
      </c>
      <c r="AK486" s="7" t="str">
        <f t="shared" si="93"/>
        <v>Shadyside Local SD</v>
      </c>
      <c r="AL486" s="7" t="str">
        <f>'St of Activities - GA Exp'!A486</f>
        <v>Shadyside Local SD</v>
      </c>
      <c r="AM486" s="7" t="b">
        <f t="shared" si="94"/>
        <v>1</v>
      </c>
      <c r="AN486" s="7" t="str">
        <f t="shared" si="89"/>
        <v>Belmont</v>
      </c>
      <c r="AO486" s="7" t="b">
        <f>C486='St of Activities - GA Exp'!C486</f>
        <v>1</v>
      </c>
    </row>
    <row r="487" spans="1:41">
      <c r="A487" s="12" t="s">
        <v>755</v>
      </c>
      <c r="B487" s="12"/>
      <c r="C487" s="12" t="s">
        <v>20</v>
      </c>
      <c r="D487" s="12"/>
      <c r="E487" s="12">
        <v>44750</v>
      </c>
      <c r="G487" s="7">
        <v>23290717</v>
      </c>
      <c r="I487" s="7">
        <v>353070</v>
      </c>
      <c r="K487" s="2">
        <f t="shared" si="95"/>
        <v>71063528</v>
      </c>
      <c r="M487" s="7">
        <v>94707315</v>
      </c>
      <c r="O487" s="2">
        <f t="shared" si="90"/>
        <v>11833967</v>
      </c>
      <c r="Q487" s="7">
        <v>60859641</v>
      </c>
      <c r="S487" s="7">
        <v>72693608</v>
      </c>
      <c r="U487" s="7">
        <v>234085</v>
      </c>
      <c r="W487" s="7">
        <v>353070</v>
      </c>
      <c r="Y487" s="7">
        <v>0</v>
      </c>
      <c r="AA487" s="7">
        <v>4455388</v>
      </c>
      <c r="AC487" s="7">
        <v>16971164</v>
      </c>
      <c r="AE487" s="13">
        <f t="shared" si="91"/>
        <v>22013707</v>
      </c>
      <c r="AG487" s="7">
        <f t="shared" si="92"/>
        <v>0</v>
      </c>
      <c r="AK487" s="7" t="str">
        <f t="shared" si="93"/>
        <v xml:space="preserve">Shaker Heights City SD </v>
      </c>
      <c r="AL487" s="7" t="str">
        <f>'St of Activities - GA Exp'!A487</f>
        <v xml:space="preserve">Shaker Heights City SD </v>
      </c>
      <c r="AM487" s="7" t="b">
        <f t="shared" si="94"/>
        <v>1</v>
      </c>
      <c r="AN487" s="7" t="str">
        <f t="shared" si="89"/>
        <v>Cuyahoga</v>
      </c>
      <c r="AO487" s="7" t="b">
        <f>C487='St of Activities - GA Exp'!C487</f>
        <v>1</v>
      </c>
    </row>
    <row r="488" spans="1:41" hidden="1">
      <c r="A488" s="12" t="s">
        <v>738</v>
      </c>
      <c r="B488" s="12"/>
      <c r="C488" s="12" t="s">
        <v>10</v>
      </c>
      <c r="D488" s="12"/>
      <c r="E488" s="12"/>
      <c r="K488" s="2">
        <f t="shared" si="95"/>
        <v>0</v>
      </c>
      <c r="O488" s="2">
        <f t="shared" si="90"/>
        <v>0</v>
      </c>
      <c r="W488" s="14"/>
      <c r="AE488" s="13">
        <f t="shared" si="91"/>
        <v>0</v>
      </c>
      <c r="AG488" s="7">
        <f t="shared" si="92"/>
        <v>0</v>
      </c>
      <c r="AI488" s="7" t="s">
        <v>973</v>
      </c>
      <c r="AK488" s="7" t="str">
        <f t="shared" si="93"/>
        <v>Shawnee Local SD (CASH)</v>
      </c>
      <c r="AL488" s="7" t="str">
        <f>'St of Activities - GA Exp'!A488</f>
        <v>Shawnee Local SD (CASH)</v>
      </c>
      <c r="AM488" s="7" t="b">
        <f t="shared" si="94"/>
        <v>1</v>
      </c>
      <c r="AN488" s="7" t="str">
        <f t="shared" si="89"/>
        <v>Allen</v>
      </c>
      <c r="AO488" s="7" t="b">
        <f>C488='St of Activities - GA Exp'!C488</f>
        <v>1</v>
      </c>
    </row>
    <row r="489" spans="1:41">
      <c r="A489" s="12" t="s">
        <v>899</v>
      </c>
      <c r="B489" s="12"/>
      <c r="C489" s="12" t="s">
        <v>44</v>
      </c>
      <c r="D489" s="12"/>
      <c r="E489" s="12">
        <v>44768</v>
      </c>
      <c r="G489" s="7">
        <v>11488773</v>
      </c>
      <c r="I489" s="7">
        <v>0</v>
      </c>
      <c r="K489" s="2">
        <f t="shared" si="95"/>
        <v>12629447</v>
      </c>
      <c r="M489" s="7">
        <v>24118220</v>
      </c>
      <c r="O489" s="2">
        <f t="shared" si="90"/>
        <v>2271188</v>
      </c>
      <c r="Q489" s="7">
        <v>11202778</v>
      </c>
      <c r="S489" s="7">
        <v>13473966</v>
      </c>
      <c r="U489" s="7">
        <v>14041</v>
      </c>
      <c r="W489" s="7">
        <v>0</v>
      </c>
      <c r="Y489" s="7">
        <v>230553</v>
      </c>
      <c r="AA489" s="7">
        <v>87101</v>
      </c>
      <c r="AC489" s="7">
        <v>10312559</v>
      </c>
      <c r="AE489" s="13">
        <f t="shared" si="91"/>
        <v>10644254</v>
      </c>
      <c r="AG489" s="7">
        <f t="shared" si="92"/>
        <v>0</v>
      </c>
      <c r="AK489" s="7" t="str">
        <f t="shared" si="93"/>
        <v>Sheffield-Sheffield Lake City SD</v>
      </c>
      <c r="AL489" s="7" t="str">
        <f>'St of Activities - GA Exp'!A489</f>
        <v>Sheffield-Sheffield Lake City SD</v>
      </c>
      <c r="AM489" s="7" t="b">
        <f t="shared" si="94"/>
        <v>1</v>
      </c>
      <c r="AN489" s="7" t="str">
        <f t="shared" si="89"/>
        <v>Lorain</v>
      </c>
      <c r="AO489" s="7" t="b">
        <f>C489='St of Activities - GA Exp'!C489</f>
        <v>1</v>
      </c>
    </row>
    <row r="490" spans="1:41">
      <c r="A490" s="12" t="s">
        <v>487</v>
      </c>
      <c r="B490" s="12"/>
      <c r="C490" s="12" t="s">
        <v>110</v>
      </c>
      <c r="D490" s="12"/>
      <c r="E490" s="12">
        <v>44776</v>
      </c>
      <c r="G490" s="7">
        <f>5570208+11278</f>
        <v>5581486</v>
      </c>
      <c r="I490" s="7">
        <v>118855</v>
      </c>
      <c r="K490" s="2">
        <f t="shared" si="95"/>
        <v>5668512</v>
      </c>
      <c r="M490" s="7">
        <v>11368853</v>
      </c>
      <c r="O490" s="2">
        <f t="shared" si="90"/>
        <v>1906811</v>
      </c>
      <c r="Q490" s="7">
        <f>3520294+269847</f>
        <v>3790141</v>
      </c>
      <c r="S490" s="7">
        <v>5696952</v>
      </c>
      <c r="U490" s="7">
        <f>91885+44740</f>
        <v>136625</v>
      </c>
      <c r="W490" s="7">
        <f>106504+12351</f>
        <v>118855</v>
      </c>
      <c r="Y490" s="7">
        <v>0</v>
      </c>
      <c r="AA490" s="7">
        <f>21887+186604+770485+56352+511</f>
        <v>1035839</v>
      </c>
      <c r="AC490" s="7">
        <v>4380582</v>
      </c>
      <c r="AE490" s="13">
        <f t="shared" si="91"/>
        <v>5671901</v>
      </c>
      <c r="AG490" s="7">
        <f t="shared" si="92"/>
        <v>0</v>
      </c>
      <c r="AK490" s="7" t="str">
        <f t="shared" si="93"/>
        <v>Shelby City SD</v>
      </c>
      <c r="AL490" s="7" t="str">
        <f>'St of Activities - GA Exp'!A490</f>
        <v>Shelby City SD</v>
      </c>
      <c r="AM490" s="7" t="b">
        <f t="shared" si="94"/>
        <v>1</v>
      </c>
      <c r="AN490" s="7" t="str">
        <f t="shared" si="89"/>
        <v>Richland</v>
      </c>
      <c r="AO490" s="7" t="b">
        <f>C490='St of Activities - GA Exp'!C490</f>
        <v>1</v>
      </c>
    </row>
    <row r="491" spans="1:41" hidden="1">
      <c r="A491" s="12" t="s">
        <v>985</v>
      </c>
      <c r="B491" s="12"/>
      <c r="C491" s="12" t="s">
        <v>61</v>
      </c>
      <c r="D491" s="12"/>
      <c r="E491" s="12">
        <v>44784</v>
      </c>
      <c r="K491" s="2">
        <f t="shared" si="95"/>
        <v>0</v>
      </c>
      <c r="O491" s="2">
        <f t="shared" si="90"/>
        <v>0</v>
      </c>
      <c r="AE491" s="13">
        <f t="shared" si="91"/>
        <v>0</v>
      </c>
      <c r="AG491" s="7">
        <f t="shared" si="92"/>
        <v>0</v>
      </c>
      <c r="AI491" s="7" t="s">
        <v>974</v>
      </c>
      <c r="AK491" s="7" t="str">
        <f t="shared" si="93"/>
        <v>Sidney City SD (CASH)</v>
      </c>
      <c r="AL491" s="7" t="str">
        <f>'St of Activities - GA Exp'!A491</f>
        <v>Sidney City SD (CASH)</v>
      </c>
      <c r="AM491" s="7" t="b">
        <f t="shared" si="94"/>
        <v>1</v>
      </c>
      <c r="AN491" s="7" t="str">
        <f t="shared" si="89"/>
        <v>Shelby</v>
      </c>
      <c r="AO491" s="7" t="b">
        <f>C491='St of Activities - GA Exp'!C491</f>
        <v>1</v>
      </c>
    </row>
    <row r="492" spans="1:41">
      <c r="A492" s="12" t="s">
        <v>283</v>
      </c>
      <c r="B492" s="12"/>
      <c r="C492" s="12" t="s">
        <v>20</v>
      </c>
      <c r="D492" s="12"/>
      <c r="E492" s="12">
        <v>46607</v>
      </c>
      <c r="G492" s="7">
        <v>11945118</v>
      </c>
      <c r="I492" s="7">
        <v>0</v>
      </c>
      <c r="K492" s="2">
        <f t="shared" si="95"/>
        <v>52503577</v>
      </c>
      <c r="M492" s="7">
        <v>64448695</v>
      </c>
      <c r="O492" s="2">
        <f t="shared" si="90"/>
        <v>8503074</v>
      </c>
      <c r="Q492" s="7">
        <f>2805687+41868468</f>
        <v>44674155</v>
      </c>
      <c r="S492" s="7">
        <v>53177229</v>
      </c>
      <c r="U492" s="7">
        <f>76128+12906+32561</f>
        <v>121595</v>
      </c>
      <c r="W492" s="7">
        <v>0</v>
      </c>
      <c r="Y492" s="7">
        <v>0</v>
      </c>
      <c r="AA492" s="7">
        <f>425904+967106+24903+13310+40939+9672</f>
        <v>1481834</v>
      </c>
      <c r="AC492" s="7">
        <v>9668037</v>
      </c>
      <c r="AE492" s="13">
        <f t="shared" si="91"/>
        <v>11271466</v>
      </c>
      <c r="AG492" s="7">
        <f t="shared" si="92"/>
        <v>0</v>
      </c>
      <c r="AK492" s="7" t="str">
        <f t="shared" si="93"/>
        <v>Solon City SD</v>
      </c>
      <c r="AL492" s="7" t="str">
        <f>'St of Activities - GA Exp'!A492</f>
        <v>Solon City SD</v>
      </c>
      <c r="AM492" s="7" t="b">
        <f t="shared" si="94"/>
        <v>1</v>
      </c>
      <c r="AN492" s="7" t="str">
        <f t="shared" si="89"/>
        <v>Cuyahoga</v>
      </c>
      <c r="AO492" s="7" t="b">
        <f>C492='St of Activities - GA Exp'!C492</f>
        <v>1</v>
      </c>
    </row>
    <row r="493" spans="1:41">
      <c r="A493" s="12" t="s">
        <v>660</v>
      </c>
      <c r="B493" s="12"/>
      <c r="C493" s="12" t="s">
        <v>37</v>
      </c>
      <c r="D493" s="12"/>
      <c r="E493" s="12"/>
      <c r="G493" s="7">
        <v>2866096</v>
      </c>
      <c r="I493" s="7">
        <v>5001</v>
      </c>
      <c r="K493" s="2">
        <f t="shared" si="95"/>
        <v>1763491</v>
      </c>
      <c r="M493" s="7">
        <v>4634588</v>
      </c>
      <c r="O493" s="2">
        <f t="shared" si="90"/>
        <v>622896</v>
      </c>
      <c r="Q493" s="7">
        <f>131728+875160</f>
        <v>1006888</v>
      </c>
      <c r="S493" s="7">
        <v>1629784</v>
      </c>
      <c r="U493" s="7">
        <f>14856+25743+110321</f>
        <v>150920</v>
      </c>
      <c r="W493" s="7">
        <v>5001</v>
      </c>
      <c r="Y493" s="7">
        <v>0</v>
      </c>
      <c r="AA493" s="7">
        <f>25748+87376+12563+15907+385+39235</f>
        <v>181214</v>
      </c>
      <c r="AC493" s="7">
        <v>2667669</v>
      </c>
      <c r="AE493" s="13">
        <f t="shared" si="91"/>
        <v>3004804</v>
      </c>
      <c r="AG493" s="7">
        <f t="shared" si="92"/>
        <v>0</v>
      </c>
      <c r="AK493" s="7" t="str">
        <f t="shared" si="93"/>
        <v>South Central Local SD</v>
      </c>
      <c r="AL493" s="7" t="str">
        <f>'St of Activities - GA Exp'!A493</f>
        <v>South Central Local SD</v>
      </c>
      <c r="AM493" s="7" t="b">
        <f t="shared" si="94"/>
        <v>1</v>
      </c>
      <c r="AN493" s="7" t="str">
        <f t="shared" si="89"/>
        <v>Huron</v>
      </c>
      <c r="AO493" s="7" t="b">
        <f>C493='St of Activities - GA Exp'!C493</f>
        <v>1</v>
      </c>
    </row>
    <row r="494" spans="1:41">
      <c r="A494" s="12" t="s">
        <v>284</v>
      </c>
      <c r="B494" s="12"/>
      <c r="C494" s="12" t="s">
        <v>20</v>
      </c>
      <c r="D494" s="12"/>
      <c r="E494" s="12">
        <v>44792</v>
      </c>
      <c r="G494" s="7">
        <v>9408116</v>
      </c>
      <c r="I494" s="7">
        <v>42079</v>
      </c>
      <c r="K494" s="2">
        <f t="shared" si="95"/>
        <v>52022132</v>
      </c>
      <c r="M494" s="7">
        <v>61472327</v>
      </c>
      <c r="O494" s="2">
        <f t="shared" si="90"/>
        <v>7274594</v>
      </c>
      <c r="Q494" s="7">
        <v>45303974</v>
      </c>
      <c r="S494" s="7">
        <v>52578568</v>
      </c>
      <c r="U494" s="7">
        <v>580194</v>
      </c>
      <c r="W494" s="7">
        <v>0</v>
      </c>
      <c r="Y494" s="7">
        <v>0</v>
      </c>
      <c r="AA494" s="7">
        <v>700920</v>
      </c>
      <c r="AC494" s="7">
        <v>7612645</v>
      </c>
      <c r="AE494" s="13">
        <f t="shared" si="91"/>
        <v>8893759</v>
      </c>
      <c r="AG494" s="7">
        <f t="shared" si="92"/>
        <v>0</v>
      </c>
      <c r="AK494" s="7" t="str">
        <f t="shared" si="93"/>
        <v>South Euclid-Lyndhurst City SD</v>
      </c>
      <c r="AL494" s="7" t="str">
        <f>'St of Activities - GA Exp'!A494</f>
        <v>South Euclid-Lyndhurst City SD</v>
      </c>
      <c r="AM494" s="7" t="b">
        <f t="shared" si="94"/>
        <v>1</v>
      </c>
      <c r="AN494" s="7" t="str">
        <f t="shared" si="89"/>
        <v>Cuyahoga</v>
      </c>
      <c r="AO494" s="7" t="b">
        <f>C494='St of Activities - GA Exp'!C494</f>
        <v>1</v>
      </c>
    </row>
    <row r="495" spans="1:41">
      <c r="A495" s="12" t="s">
        <v>382</v>
      </c>
      <c r="B495" s="12"/>
      <c r="C495" s="12" t="s">
        <v>377</v>
      </c>
      <c r="D495" s="12"/>
      <c r="E495" s="12">
        <v>47951</v>
      </c>
      <c r="G495" s="7">
        <v>5803010</v>
      </c>
      <c r="I495" s="7">
        <v>438319</v>
      </c>
      <c r="K495" s="2">
        <f t="shared" si="95"/>
        <v>3461632</v>
      </c>
      <c r="M495" s="7">
        <v>9702961</v>
      </c>
      <c r="O495" s="2">
        <f t="shared" si="90"/>
        <v>2151149</v>
      </c>
      <c r="Q495" s="7">
        <v>3132768</v>
      </c>
      <c r="S495" s="7">
        <v>5283917</v>
      </c>
      <c r="U495" s="7">
        <v>62824</v>
      </c>
      <c r="W495" s="7">
        <v>399812</v>
      </c>
      <c r="Y495" s="7">
        <v>643351</v>
      </c>
      <c r="AA495" s="7">
        <v>221689</v>
      </c>
      <c r="AC495" s="7">
        <v>3091368</v>
      </c>
      <c r="AE495" s="13">
        <f t="shared" si="91"/>
        <v>4419044</v>
      </c>
      <c r="AG495" s="7">
        <f t="shared" si="92"/>
        <v>0</v>
      </c>
      <c r="AI495" s="7" t="s">
        <v>788</v>
      </c>
      <c r="AK495" s="7" t="str">
        <f t="shared" si="93"/>
        <v>South Point Local SD</v>
      </c>
      <c r="AL495" s="7" t="str">
        <f>'St of Activities - GA Exp'!A495</f>
        <v>South Point Local SD</v>
      </c>
      <c r="AM495" s="7" t="b">
        <f t="shared" si="94"/>
        <v>1</v>
      </c>
      <c r="AN495" s="7" t="str">
        <f t="shared" si="89"/>
        <v>Lawrence</v>
      </c>
      <c r="AO495" s="7" t="b">
        <f>C495='St of Activities - GA Exp'!C495</f>
        <v>1</v>
      </c>
    </row>
    <row r="496" spans="1:41">
      <c r="A496" s="12" t="s">
        <v>419</v>
      </c>
      <c r="B496" s="12"/>
      <c r="C496" s="12" t="s">
        <v>45</v>
      </c>
      <c r="D496" s="12"/>
      <c r="E496" s="12">
        <v>48363</v>
      </c>
      <c r="G496" s="7">
        <v>2591094</v>
      </c>
      <c r="I496" s="7">
        <v>121038</v>
      </c>
      <c r="K496" s="2">
        <f t="shared" si="95"/>
        <v>5631548</v>
      </c>
      <c r="M496" s="7">
        <v>8343680</v>
      </c>
      <c r="O496" s="2">
        <f t="shared" si="90"/>
        <v>1323304</v>
      </c>
      <c r="Q496" s="7">
        <f>578914+4873530</f>
        <v>5452444</v>
      </c>
      <c r="S496" s="7">
        <v>6775748</v>
      </c>
      <c r="U496" s="7">
        <v>5492</v>
      </c>
      <c r="W496" s="7">
        <v>121038</v>
      </c>
      <c r="Y496" s="7">
        <v>0</v>
      </c>
      <c r="AA496" s="7">
        <f>37959+35248+8879</f>
        <v>82086</v>
      </c>
      <c r="AC496" s="7">
        <v>1359316</v>
      </c>
      <c r="AE496" s="13">
        <f t="shared" si="91"/>
        <v>1567932</v>
      </c>
      <c r="AG496" s="7">
        <f t="shared" si="92"/>
        <v>0</v>
      </c>
      <c r="AI496" s="7" t="s">
        <v>788</v>
      </c>
      <c r="AK496" s="7" t="str">
        <f t="shared" si="93"/>
        <v>South Range Local SD</v>
      </c>
      <c r="AL496" s="7" t="str">
        <f>'St of Activities - GA Exp'!A496</f>
        <v>South Range Local SD</v>
      </c>
      <c r="AM496" s="7" t="b">
        <f t="shared" si="94"/>
        <v>1</v>
      </c>
      <c r="AN496" s="7" t="str">
        <f t="shared" si="89"/>
        <v>Mahoning</v>
      </c>
      <c r="AO496" s="7" t="b">
        <f>C496='St of Activities - GA Exp'!C496</f>
        <v>1</v>
      </c>
    </row>
    <row r="497" spans="1:41">
      <c r="A497" s="12" t="s">
        <v>478</v>
      </c>
      <c r="B497" s="12"/>
      <c r="C497" s="12" t="s">
        <v>56</v>
      </c>
      <c r="D497" s="12"/>
      <c r="E497" s="12">
        <v>49221</v>
      </c>
      <c r="G497" s="7">
        <v>8308231</v>
      </c>
      <c r="I497" s="7">
        <v>31016</v>
      </c>
      <c r="K497" s="2">
        <f t="shared" si="95"/>
        <v>6269606</v>
      </c>
      <c r="M497" s="7">
        <v>14608853</v>
      </c>
      <c r="O497" s="2">
        <f t="shared" si="90"/>
        <v>2034438</v>
      </c>
      <c r="Q497" s="7">
        <v>5779676</v>
      </c>
      <c r="S497" s="7">
        <v>7814114</v>
      </c>
      <c r="U497" s="7">
        <v>0</v>
      </c>
      <c r="W497" s="7">
        <v>327516</v>
      </c>
      <c r="Y497" s="7">
        <v>0</v>
      </c>
      <c r="AA497" s="7">
        <v>68123</v>
      </c>
      <c r="AC497" s="7">
        <v>6399100</v>
      </c>
      <c r="AE497" s="13">
        <f t="shared" si="91"/>
        <v>6794739</v>
      </c>
      <c r="AG497" s="7">
        <f t="shared" si="92"/>
        <v>0</v>
      </c>
      <c r="AK497" s="7" t="str">
        <f t="shared" si="93"/>
        <v>Southeast Local SD</v>
      </c>
      <c r="AL497" s="7" t="str">
        <f>'St of Activities - GA Exp'!A497</f>
        <v>Southeast Local SD</v>
      </c>
      <c r="AM497" s="7" t="b">
        <f t="shared" si="94"/>
        <v>1</v>
      </c>
      <c r="AN497" s="7" t="str">
        <f t="shared" si="89"/>
        <v>Portage</v>
      </c>
      <c r="AO497" s="7" t="b">
        <f>C497='St of Activities - GA Exp'!C497</f>
        <v>1</v>
      </c>
    </row>
    <row r="498" spans="1:41">
      <c r="A498" s="12" t="s">
        <v>478</v>
      </c>
      <c r="B498" s="12"/>
      <c r="C498" s="12" t="s">
        <v>71</v>
      </c>
      <c r="D498" s="12"/>
      <c r="E498" s="12">
        <v>50583</v>
      </c>
      <c r="G498" s="7">
        <v>1385814</v>
      </c>
      <c r="I498" s="7">
        <v>0</v>
      </c>
      <c r="K498" s="2">
        <f t="shared" si="95"/>
        <v>7561282</v>
      </c>
      <c r="M498" s="7">
        <v>8947096</v>
      </c>
      <c r="O498" s="2">
        <f t="shared" si="90"/>
        <v>2050816</v>
      </c>
      <c r="Q498" s="7">
        <v>6888088</v>
      </c>
      <c r="S498" s="7">
        <v>8938904</v>
      </c>
      <c r="U498" s="7">
        <v>175860</v>
      </c>
      <c r="W498" s="7">
        <v>0</v>
      </c>
      <c r="Y498" s="7">
        <v>0</v>
      </c>
      <c r="AA498" s="7">
        <v>0</v>
      </c>
      <c r="AC498" s="7">
        <v>-167668</v>
      </c>
      <c r="AE498" s="13">
        <f t="shared" si="91"/>
        <v>8192</v>
      </c>
      <c r="AG498" s="7">
        <f t="shared" si="92"/>
        <v>0</v>
      </c>
      <c r="AI498" s="7" t="s">
        <v>788</v>
      </c>
      <c r="AK498" s="7" t="str">
        <f t="shared" si="93"/>
        <v>Southeast Local SD</v>
      </c>
      <c r="AL498" s="7" t="str">
        <f>'St of Activities - GA Exp'!A498</f>
        <v>Southeast Local SD</v>
      </c>
      <c r="AM498" s="7" t="b">
        <f t="shared" si="94"/>
        <v>1</v>
      </c>
      <c r="AN498" s="7" t="str">
        <f t="shared" si="89"/>
        <v>Wayne</v>
      </c>
      <c r="AO498" s="7" t="b">
        <f>C498='St of Activities - GA Exp'!C498</f>
        <v>1</v>
      </c>
    </row>
    <row r="499" spans="1:41">
      <c r="A499" s="12" t="s">
        <v>240</v>
      </c>
      <c r="B499" s="12"/>
      <c r="C499" s="12" t="s">
        <v>17</v>
      </c>
      <c r="D499" s="12"/>
      <c r="E499" s="12">
        <v>46276</v>
      </c>
      <c r="G499" s="7">
        <v>5540510</v>
      </c>
      <c r="I499" s="7">
        <v>199052</v>
      </c>
      <c r="K499" s="2">
        <f t="shared" si="95"/>
        <v>2594385</v>
      </c>
      <c r="M499" s="7">
        <v>8333947</v>
      </c>
      <c r="O499" s="2">
        <f t="shared" si="90"/>
        <v>816297</v>
      </c>
      <c r="Q499" s="7">
        <v>1702524</v>
      </c>
      <c r="S499" s="7">
        <v>2518821</v>
      </c>
      <c r="U499" s="7">
        <v>18373</v>
      </c>
      <c r="W499" s="7">
        <v>199052</v>
      </c>
      <c r="Y499" s="7">
        <v>0</v>
      </c>
      <c r="AA499" s="7">
        <v>118134</v>
      </c>
      <c r="AC499" s="7">
        <v>5479567</v>
      </c>
      <c r="AE499" s="13">
        <f t="shared" si="91"/>
        <v>5815126</v>
      </c>
      <c r="AG499" s="7">
        <f t="shared" si="92"/>
        <v>0</v>
      </c>
      <c r="AK499" s="7" t="str">
        <f t="shared" si="93"/>
        <v>Southeastern Local SD</v>
      </c>
      <c r="AL499" s="7" t="str">
        <f>'St of Activities - GA Exp'!A499</f>
        <v>Southeastern Local SD</v>
      </c>
      <c r="AM499" s="7" t="b">
        <f t="shared" si="94"/>
        <v>1</v>
      </c>
      <c r="AN499" s="7" t="str">
        <f t="shared" si="89"/>
        <v>Clark</v>
      </c>
      <c r="AO499" s="7" t="b">
        <f>C499='St of Activities - GA Exp'!C499</f>
        <v>1</v>
      </c>
    </row>
    <row r="500" spans="1:41">
      <c r="A500" s="12" t="s">
        <v>240</v>
      </c>
      <c r="B500" s="12"/>
      <c r="C500" s="12" t="s">
        <v>58</v>
      </c>
      <c r="D500" s="12"/>
      <c r="E500" s="12">
        <v>49528</v>
      </c>
      <c r="G500" s="7">
        <v>7092743</v>
      </c>
      <c r="I500" s="7">
        <v>0</v>
      </c>
      <c r="K500" s="2">
        <f t="shared" si="95"/>
        <v>1782673</v>
      </c>
      <c r="M500" s="7">
        <v>8875416</v>
      </c>
      <c r="O500" s="2">
        <f t="shared" si="90"/>
        <v>1012061</v>
      </c>
      <c r="Q500" s="7">
        <v>1240176</v>
      </c>
      <c r="S500" s="7">
        <v>2252237</v>
      </c>
      <c r="U500" s="7">
        <v>0</v>
      </c>
      <c r="W500" s="7">
        <v>0</v>
      </c>
      <c r="Y500" s="7">
        <v>0</v>
      </c>
      <c r="AA500" s="7">
        <v>340340</v>
      </c>
      <c r="AC500" s="7">
        <v>6282839</v>
      </c>
      <c r="AE500" s="13">
        <f t="shared" si="91"/>
        <v>6623179</v>
      </c>
      <c r="AG500" s="7">
        <f t="shared" si="92"/>
        <v>0</v>
      </c>
      <c r="AK500" s="7" t="str">
        <f t="shared" si="93"/>
        <v>Southeastern Local SD</v>
      </c>
      <c r="AL500" s="7" t="str">
        <f>'St of Activities - GA Exp'!A500</f>
        <v>Southeastern Local SD</v>
      </c>
      <c r="AM500" s="7" t="b">
        <f t="shared" si="94"/>
        <v>1</v>
      </c>
      <c r="AN500" s="7" t="str">
        <f t="shared" si="89"/>
        <v>Ross</v>
      </c>
      <c r="AO500" s="7" t="b">
        <f>C500='St of Activities - GA Exp'!C500</f>
        <v>1</v>
      </c>
    </row>
    <row r="501" spans="1:41">
      <c r="A501" s="12" t="s">
        <v>674</v>
      </c>
      <c r="B501" s="12"/>
      <c r="C501" s="12" t="s">
        <v>112</v>
      </c>
      <c r="D501" s="12"/>
      <c r="E501" s="12">
        <v>46441</v>
      </c>
      <c r="G501" s="7">
        <v>684637</v>
      </c>
      <c r="I501" s="7">
        <v>0</v>
      </c>
      <c r="K501" s="2">
        <f t="shared" si="95"/>
        <v>1697659</v>
      </c>
      <c r="M501" s="7">
        <v>2382296</v>
      </c>
      <c r="O501" s="2">
        <f t="shared" si="90"/>
        <v>866232</v>
      </c>
      <c r="Q501" s="7">
        <f>228321+1406924</f>
        <v>1635245</v>
      </c>
      <c r="S501" s="7">
        <v>2501477</v>
      </c>
      <c r="U501" s="7">
        <v>201</v>
      </c>
      <c r="W501" s="7">
        <v>0</v>
      </c>
      <c r="Y501" s="7">
        <v>0</v>
      </c>
      <c r="AA501" s="7">
        <f>10929+742+8779</f>
        <v>20450</v>
      </c>
      <c r="AC501" s="7">
        <v>-139832</v>
      </c>
      <c r="AE501" s="13">
        <f t="shared" si="91"/>
        <v>-119181</v>
      </c>
      <c r="AG501" s="7">
        <f t="shared" si="92"/>
        <v>0</v>
      </c>
      <c r="AK501" s="7" t="str">
        <f t="shared" si="93"/>
        <v xml:space="preserve">Southern Local SD </v>
      </c>
      <c r="AL501" s="7" t="str">
        <f>'St of Activities - GA Exp'!A501</f>
        <v xml:space="preserve">Southern Local SD </v>
      </c>
      <c r="AM501" s="7" t="b">
        <f t="shared" si="94"/>
        <v>1</v>
      </c>
      <c r="AN501" s="7" t="str">
        <f t="shared" si="89"/>
        <v>Columbiana</v>
      </c>
      <c r="AO501" s="7" t="b">
        <f>C501='St of Activities - GA Exp'!C501</f>
        <v>1</v>
      </c>
    </row>
    <row r="502" spans="1:41">
      <c r="A502" s="12" t="s">
        <v>256</v>
      </c>
      <c r="B502" s="12"/>
      <c r="C502" s="12" t="s">
        <v>433</v>
      </c>
      <c r="D502" s="12"/>
      <c r="E502" s="12">
        <v>46441</v>
      </c>
      <c r="G502" s="7">
        <v>1770683</v>
      </c>
      <c r="I502" s="7">
        <v>411</v>
      </c>
      <c r="K502" s="2">
        <f t="shared" si="95"/>
        <v>2242623</v>
      </c>
      <c r="M502" s="7">
        <v>4013717</v>
      </c>
      <c r="O502" s="2">
        <f t="shared" si="90"/>
        <v>755263</v>
      </c>
      <c r="Q502" s="7">
        <v>1502192</v>
      </c>
      <c r="S502" s="7">
        <v>2257455</v>
      </c>
      <c r="U502" s="7">
        <v>5056</v>
      </c>
      <c r="W502" s="7">
        <v>0</v>
      </c>
      <c r="Y502" s="7">
        <v>0</v>
      </c>
      <c r="AA502" s="7">
        <v>19347</v>
      </c>
      <c r="AC502" s="7">
        <v>1731859</v>
      </c>
      <c r="AE502" s="13">
        <f t="shared" si="91"/>
        <v>1756262</v>
      </c>
      <c r="AG502" s="7">
        <f t="shared" si="92"/>
        <v>0</v>
      </c>
      <c r="AK502" s="7" t="str">
        <f t="shared" si="93"/>
        <v>Southern Local SD</v>
      </c>
      <c r="AL502" s="7" t="str">
        <f>'St of Activities - GA Exp'!A502</f>
        <v>Southern Local SD</v>
      </c>
      <c r="AM502" s="7" t="b">
        <f t="shared" si="94"/>
        <v>1</v>
      </c>
      <c r="AN502" s="7" t="str">
        <f t="shared" si="89"/>
        <v>Meigs</v>
      </c>
      <c r="AO502" s="7" t="b">
        <f>C502='St of Activities - GA Exp'!C502</f>
        <v>1</v>
      </c>
    </row>
    <row r="503" spans="1:41" hidden="1">
      <c r="A503" s="12" t="s">
        <v>739</v>
      </c>
      <c r="B503" s="12"/>
      <c r="C503" s="12" t="s">
        <v>466</v>
      </c>
      <c r="D503" s="12"/>
      <c r="E503" s="12"/>
      <c r="K503" s="2">
        <f t="shared" si="95"/>
        <v>0</v>
      </c>
      <c r="O503" s="2">
        <f t="shared" si="90"/>
        <v>0</v>
      </c>
      <c r="AE503" s="13">
        <f t="shared" si="91"/>
        <v>0</v>
      </c>
      <c r="AG503" s="7">
        <f t="shared" si="92"/>
        <v>0</v>
      </c>
      <c r="AI503" s="7" t="s">
        <v>789</v>
      </c>
      <c r="AK503" s="7" t="str">
        <f t="shared" si="93"/>
        <v>Southern Local SD (CASH)</v>
      </c>
      <c r="AL503" s="7" t="str">
        <f>'St of Activities - GA Exp'!A503</f>
        <v>Southern Local SD (CASH)</v>
      </c>
      <c r="AM503" s="7" t="b">
        <f t="shared" si="94"/>
        <v>1</v>
      </c>
      <c r="AN503" s="7" t="str">
        <f t="shared" si="89"/>
        <v>Perry</v>
      </c>
      <c r="AO503" s="7" t="b">
        <f>C503='St of Activities - GA Exp'!C503</f>
        <v>1</v>
      </c>
    </row>
    <row r="504" spans="1:41">
      <c r="A504" s="12" t="s">
        <v>546</v>
      </c>
      <c r="B504" s="12"/>
      <c r="C504" s="12" t="s">
        <v>64</v>
      </c>
      <c r="D504" s="12"/>
      <c r="E504" s="12">
        <v>50237</v>
      </c>
      <c r="G504" s="7">
        <v>1161517</v>
      </c>
      <c r="I504" s="7">
        <v>414496</v>
      </c>
      <c r="K504" s="2">
        <f t="shared" si="95"/>
        <v>1624927</v>
      </c>
      <c r="M504" s="7">
        <v>3200940</v>
      </c>
      <c r="O504" s="2">
        <f t="shared" si="90"/>
        <v>433753</v>
      </c>
      <c r="Q504" s="7">
        <v>1595100</v>
      </c>
      <c r="S504" s="7">
        <v>2028853</v>
      </c>
      <c r="U504" s="7">
        <v>59</v>
      </c>
      <c r="W504" s="7">
        <v>414437</v>
      </c>
      <c r="Y504" s="7">
        <v>368</v>
      </c>
      <c r="AA504" s="7">
        <v>1001867</v>
      </c>
      <c r="AC504" s="7">
        <v>-244644</v>
      </c>
      <c r="AE504" s="13">
        <f t="shared" si="91"/>
        <v>1172087</v>
      </c>
      <c r="AG504" s="7">
        <f t="shared" si="92"/>
        <v>0</v>
      </c>
      <c r="AK504" s="7" t="str">
        <f t="shared" si="93"/>
        <v>Southington Local SD</v>
      </c>
      <c r="AL504" s="7" t="str">
        <f>'St of Activities - GA Exp'!A504</f>
        <v>Southington Local SD</v>
      </c>
      <c r="AM504" s="7" t="b">
        <f t="shared" si="94"/>
        <v>1</v>
      </c>
      <c r="AN504" s="7" t="str">
        <f t="shared" si="89"/>
        <v>Trumbull</v>
      </c>
      <c r="AO504" s="7" t="b">
        <f>C504='St of Activities - GA Exp'!C504</f>
        <v>1</v>
      </c>
    </row>
    <row r="505" spans="1:41" hidden="1">
      <c r="A505" s="12" t="s">
        <v>976</v>
      </c>
      <c r="B505" s="12"/>
      <c r="C505" s="12" t="s">
        <v>42</v>
      </c>
      <c r="D505" s="12"/>
      <c r="E505" s="12">
        <v>48041</v>
      </c>
      <c r="K505" s="2">
        <f t="shared" si="95"/>
        <v>0</v>
      </c>
      <c r="O505" s="2">
        <f t="shared" si="90"/>
        <v>0</v>
      </c>
      <c r="AE505" s="13">
        <f t="shared" si="91"/>
        <v>0</v>
      </c>
      <c r="AG505" s="7">
        <f t="shared" si="92"/>
        <v>0</v>
      </c>
      <c r="AK505" s="7" t="str">
        <f t="shared" si="93"/>
        <v>Southwest Licking Local SD (CASH)</v>
      </c>
      <c r="AL505" s="7" t="str">
        <f>'St of Activities - GA Exp'!A505</f>
        <v>Southwest Licking Local SD (CASH)</v>
      </c>
      <c r="AM505" s="7" t="b">
        <f t="shared" si="94"/>
        <v>1</v>
      </c>
      <c r="AN505" s="7" t="str">
        <f t="shared" si="89"/>
        <v>Licking</v>
      </c>
      <c r="AO505" s="7" t="b">
        <f>C505='St of Activities - GA Exp'!C505</f>
        <v>1</v>
      </c>
    </row>
    <row r="506" spans="1:41">
      <c r="A506" s="12" t="s">
        <v>339</v>
      </c>
      <c r="B506" s="12"/>
      <c r="C506" s="12" t="s">
        <v>32</v>
      </c>
      <c r="D506" s="12"/>
      <c r="E506" s="12">
        <v>47381</v>
      </c>
      <c r="G506" s="7">
        <v>427442</v>
      </c>
      <c r="I506" s="7">
        <v>0</v>
      </c>
      <c r="K506" s="2">
        <f t="shared" si="95"/>
        <v>12850506</v>
      </c>
      <c r="M506" s="7">
        <v>13277948</v>
      </c>
      <c r="O506" s="2">
        <f t="shared" si="90"/>
        <v>4553346</v>
      </c>
      <c r="Q506" s="7">
        <v>7610600</v>
      </c>
      <c r="S506" s="7">
        <v>12163946</v>
      </c>
      <c r="U506" s="7">
        <v>0</v>
      </c>
      <c r="W506" s="7">
        <v>0</v>
      </c>
      <c r="Y506" s="7">
        <v>0</v>
      </c>
      <c r="AA506" s="7">
        <v>60208</v>
      </c>
      <c r="AC506" s="7">
        <v>1053794</v>
      </c>
      <c r="AE506" s="13">
        <f t="shared" si="91"/>
        <v>1114002</v>
      </c>
      <c r="AG506" s="7">
        <f t="shared" si="92"/>
        <v>0</v>
      </c>
      <c r="AK506" s="7" t="str">
        <f t="shared" si="93"/>
        <v>Southwest Local SD</v>
      </c>
      <c r="AL506" s="7" t="str">
        <f>'St of Activities - GA Exp'!A506</f>
        <v>Southwest Local SD</v>
      </c>
      <c r="AM506" s="7" t="b">
        <f t="shared" si="94"/>
        <v>1</v>
      </c>
      <c r="AN506" s="7" t="str">
        <f t="shared" si="89"/>
        <v>Hamilton</v>
      </c>
      <c r="AO506" s="7" t="b">
        <f>C506='St of Activities - GA Exp'!C506</f>
        <v>1</v>
      </c>
    </row>
    <row r="507" spans="1:41">
      <c r="A507" s="12" t="s">
        <v>313</v>
      </c>
      <c r="B507" s="12"/>
      <c r="C507" s="12" t="s">
        <v>27</v>
      </c>
      <c r="D507" s="12"/>
      <c r="E507" s="12">
        <v>44800</v>
      </c>
      <c r="G507" s="7">
        <v>56743676</v>
      </c>
      <c r="I507" s="7">
        <v>0</v>
      </c>
      <c r="K507" s="2">
        <f t="shared" si="95"/>
        <v>109498788</v>
      </c>
      <c r="M507" s="7">
        <v>166242464</v>
      </c>
      <c r="O507" s="2">
        <f t="shared" si="90"/>
        <v>19883372</v>
      </c>
      <c r="Q507" s="7">
        <v>66270261</v>
      </c>
      <c r="S507" s="7">
        <v>86153633</v>
      </c>
      <c r="U507" s="7">
        <v>321417</v>
      </c>
      <c r="W507" s="7">
        <v>0</v>
      </c>
      <c r="Y507" s="7">
        <v>0</v>
      </c>
      <c r="AA507" s="7">
        <v>1849870</v>
      </c>
      <c r="AC507" s="7">
        <v>77917544</v>
      </c>
      <c r="AE507" s="13">
        <f t="shared" si="91"/>
        <v>80088831</v>
      </c>
      <c r="AG507" s="7">
        <f t="shared" si="92"/>
        <v>0</v>
      </c>
      <c r="AK507" s="7" t="str">
        <f t="shared" si="93"/>
        <v>South-Western City SD</v>
      </c>
      <c r="AL507" s="7" t="str">
        <f>'St of Activities - GA Exp'!A507</f>
        <v>South-Western City SD</v>
      </c>
      <c r="AM507" s="7" t="b">
        <f t="shared" si="94"/>
        <v>1</v>
      </c>
      <c r="AN507" s="7" t="str">
        <f t="shared" si="89"/>
        <v>Franklin</v>
      </c>
      <c r="AO507" s="7" t="b">
        <f>C507='St of Activities - GA Exp'!C507</f>
        <v>1</v>
      </c>
    </row>
    <row r="508" spans="1:41" hidden="1">
      <c r="A508" s="12" t="s">
        <v>741</v>
      </c>
      <c r="B508" s="12"/>
      <c r="C508" s="12" t="s">
        <v>10</v>
      </c>
      <c r="D508" s="12"/>
      <c r="E508" s="12">
        <v>45807</v>
      </c>
      <c r="K508" s="2">
        <f t="shared" si="95"/>
        <v>0</v>
      </c>
      <c r="O508" s="2">
        <f t="shared" si="90"/>
        <v>0</v>
      </c>
      <c r="AE508" s="13">
        <f t="shared" si="91"/>
        <v>0</v>
      </c>
      <c r="AG508" s="7">
        <f t="shared" si="92"/>
        <v>0</v>
      </c>
      <c r="AI508" s="7" t="s">
        <v>789</v>
      </c>
      <c r="AK508" s="7" t="str">
        <f t="shared" si="93"/>
        <v>Spencerville Local SD (CASH)</v>
      </c>
      <c r="AL508" s="7" t="str">
        <f>'St of Activities - GA Exp'!A508</f>
        <v>Spencerville Local SD (CASH)</v>
      </c>
      <c r="AM508" s="7" t="b">
        <f t="shared" si="94"/>
        <v>1</v>
      </c>
      <c r="AN508" s="7" t="str">
        <f t="shared" si="89"/>
        <v>Allen</v>
      </c>
      <c r="AO508" s="7" t="b">
        <f>C508='St of Activities - GA Exp'!C508</f>
        <v>1</v>
      </c>
    </row>
    <row r="509" spans="1:41">
      <c r="A509" s="12" t="s">
        <v>977</v>
      </c>
      <c r="B509" s="12"/>
      <c r="C509" s="12" t="s">
        <v>69</v>
      </c>
      <c r="D509" s="12"/>
      <c r="E509" s="12">
        <v>50427</v>
      </c>
      <c r="G509" s="7">
        <v>8876806</v>
      </c>
      <c r="I509" s="7">
        <v>0</v>
      </c>
      <c r="K509" s="2">
        <f t="shared" si="95"/>
        <v>26951124</v>
      </c>
      <c r="M509" s="7">
        <v>35827930</v>
      </c>
      <c r="O509" s="2">
        <f t="shared" si="90"/>
        <v>6238456</v>
      </c>
      <c r="Q509" s="7">
        <v>24673336</v>
      </c>
      <c r="S509" s="7">
        <v>30911792</v>
      </c>
      <c r="U509" s="7">
        <v>0</v>
      </c>
      <c r="W509" s="7">
        <v>96355</v>
      </c>
      <c r="Y509" s="7">
        <v>0</v>
      </c>
      <c r="AA509" s="7">
        <v>783734</v>
      </c>
      <c r="AC509" s="7">
        <v>4036049</v>
      </c>
      <c r="AE509" s="13">
        <f t="shared" si="91"/>
        <v>4916138</v>
      </c>
      <c r="AG509" s="7">
        <f t="shared" si="92"/>
        <v>0</v>
      </c>
      <c r="AK509" s="7" t="str">
        <f t="shared" si="93"/>
        <v xml:space="preserve">Springboro Community City SD </v>
      </c>
      <c r="AL509" s="7" t="str">
        <f>'St of Activities - GA Exp'!A509</f>
        <v xml:space="preserve">Springboro Community City SD </v>
      </c>
      <c r="AM509" s="7" t="b">
        <f t="shared" si="94"/>
        <v>1</v>
      </c>
      <c r="AN509" s="7" t="str">
        <f t="shared" si="89"/>
        <v>Warren</v>
      </c>
      <c r="AO509" s="7" t="b">
        <f>C509='St of Activities - GA Exp'!C509</f>
        <v>1</v>
      </c>
    </row>
    <row r="510" spans="1:41">
      <c r="A510" s="12" t="s">
        <v>656</v>
      </c>
      <c r="B510" s="12"/>
      <c r="C510" s="12" t="s">
        <v>17</v>
      </c>
      <c r="D510" s="12"/>
      <c r="E510" s="12"/>
      <c r="G510" s="7">
        <v>27200082</v>
      </c>
      <c r="I510" s="7">
        <v>1245690</v>
      </c>
      <c r="K510" s="2">
        <f>+M510-I510-G510</f>
        <v>27299587</v>
      </c>
      <c r="M510" s="7">
        <v>55745359</v>
      </c>
      <c r="O510" s="2">
        <f t="shared" si="90"/>
        <v>9581118</v>
      </c>
      <c r="Q510" s="7">
        <v>21897075</v>
      </c>
      <c r="S510" s="7">
        <v>31478193</v>
      </c>
      <c r="U510" s="7">
        <v>0</v>
      </c>
      <c r="W510" s="7">
        <v>1249178</v>
      </c>
      <c r="Y510" s="7">
        <v>11000</v>
      </c>
      <c r="AA510" s="7">
        <v>1816872</v>
      </c>
      <c r="AC510" s="7">
        <v>21190116</v>
      </c>
      <c r="AE510" s="13">
        <f t="shared" si="91"/>
        <v>24267166</v>
      </c>
      <c r="AG510" s="7">
        <f t="shared" si="92"/>
        <v>0</v>
      </c>
      <c r="AK510" s="7" t="str">
        <f t="shared" si="93"/>
        <v>Springfield City SD</v>
      </c>
      <c r="AL510" s="7" t="str">
        <f>'St of Activities - GA Exp'!A510</f>
        <v>Springfield City SD</v>
      </c>
      <c r="AM510" s="7" t="b">
        <f t="shared" si="94"/>
        <v>1</v>
      </c>
      <c r="AN510" s="7" t="str">
        <f t="shared" si="89"/>
        <v>Clark</v>
      </c>
      <c r="AO510" s="7" t="b">
        <f>C510='St of Activities - GA Exp'!C510</f>
        <v>1</v>
      </c>
    </row>
    <row r="511" spans="1:41">
      <c r="A511" s="12" t="s">
        <v>756</v>
      </c>
      <c r="B511" s="12"/>
      <c r="C511" s="12" t="s">
        <v>115</v>
      </c>
      <c r="D511" s="12"/>
      <c r="E511" s="12">
        <v>48223</v>
      </c>
      <c r="G511" s="7">
        <v>2200897</v>
      </c>
      <c r="I511" s="7">
        <v>32581</v>
      </c>
      <c r="K511" s="2">
        <f t="shared" si="95"/>
        <v>25700778</v>
      </c>
      <c r="M511" s="7">
        <v>27934256</v>
      </c>
      <c r="O511" s="2">
        <f t="shared" si="90"/>
        <v>5127441</v>
      </c>
      <c r="Q511" s="7">
        <v>23814574</v>
      </c>
      <c r="S511" s="7">
        <v>28942015</v>
      </c>
      <c r="U511" s="7">
        <v>0</v>
      </c>
      <c r="W511" s="7">
        <v>32581</v>
      </c>
      <c r="Y511" s="7">
        <v>0</v>
      </c>
      <c r="AA511" s="7">
        <v>471086</v>
      </c>
      <c r="AC511" s="7">
        <v>-1511426</v>
      </c>
      <c r="AE511" s="13">
        <f t="shared" si="91"/>
        <v>-1007759</v>
      </c>
      <c r="AG511" s="7">
        <f t="shared" si="92"/>
        <v>0</v>
      </c>
      <c r="AK511" s="7" t="str">
        <f t="shared" si="93"/>
        <v xml:space="preserve">Springfield Local SD </v>
      </c>
      <c r="AL511" s="7" t="str">
        <f>'St of Activities - GA Exp'!A511</f>
        <v xml:space="preserve">Springfield Local SD </v>
      </c>
      <c r="AM511" s="7" t="b">
        <f t="shared" si="94"/>
        <v>1</v>
      </c>
      <c r="AN511" s="7" t="str">
        <f t="shared" si="89"/>
        <v>Lucas</v>
      </c>
      <c r="AO511" s="7" t="b">
        <f>C511='St of Activities - GA Exp'!C511</f>
        <v>1</v>
      </c>
    </row>
    <row r="512" spans="1:41">
      <c r="A512" s="12" t="s">
        <v>406</v>
      </c>
      <c r="B512" s="12"/>
      <c r="C512" s="12" t="s">
        <v>45</v>
      </c>
      <c r="D512" s="12"/>
      <c r="E512" s="12">
        <v>48371</v>
      </c>
      <c r="G512" s="7">
        <v>1440860</v>
      </c>
      <c r="I512" s="7">
        <v>0</v>
      </c>
      <c r="K512" s="2">
        <f t="shared" si="95"/>
        <v>3783459</v>
      </c>
      <c r="M512" s="7">
        <v>5224319</v>
      </c>
      <c r="O512" s="2">
        <f t="shared" si="90"/>
        <v>1127197</v>
      </c>
      <c r="Q512" s="7">
        <f>145155+2817173</f>
        <v>2962328</v>
      </c>
      <c r="S512" s="7">
        <v>4089525</v>
      </c>
      <c r="U512" s="7">
        <v>352</v>
      </c>
      <c r="W512" s="7">
        <v>0</v>
      </c>
      <c r="Y512" s="7">
        <v>35981</v>
      </c>
      <c r="AA512" s="7">
        <f>4098+47833+7360+2388</f>
        <v>61679</v>
      </c>
      <c r="AC512" s="7">
        <v>1036782</v>
      </c>
      <c r="AE512" s="13">
        <f t="shared" si="91"/>
        <v>1134794</v>
      </c>
      <c r="AG512" s="7">
        <f t="shared" si="92"/>
        <v>0</v>
      </c>
      <c r="AK512" s="7" t="str">
        <f t="shared" si="93"/>
        <v>Springfield Local SD</v>
      </c>
      <c r="AL512" s="7" t="str">
        <f>'St of Activities - GA Exp'!A512</f>
        <v>Springfield Local SD</v>
      </c>
      <c r="AM512" s="7" t="b">
        <f t="shared" si="94"/>
        <v>1</v>
      </c>
      <c r="AN512" s="7" t="str">
        <f t="shared" si="89"/>
        <v>Mahoning</v>
      </c>
      <c r="AO512" s="7" t="b">
        <f>C512='St of Activities - GA Exp'!C512</f>
        <v>1</v>
      </c>
    </row>
    <row r="513" spans="1:41">
      <c r="A513" s="12" t="s">
        <v>406</v>
      </c>
      <c r="B513" s="12"/>
      <c r="C513" s="12" t="s">
        <v>63</v>
      </c>
      <c r="D513" s="12"/>
      <c r="E513" s="12">
        <v>50062</v>
      </c>
      <c r="G513" s="7">
        <v>3675463</v>
      </c>
      <c r="I513" s="7">
        <v>0</v>
      </c>
      <c r="K513" s="2">
        <f t="shared" si="95"/>
        <v>11558782</v>
      </c>
      <c r="M513" s="7">
        <v>15234245</v>
      </c>
      <c r="O513" s="2">
        <f t="shared" si="90"/>
        <v>3351940</v>
      </c>
      <c r="Q513" s="7">
        <v>9969407</v>
      </c>
      <c r="S513" s="7">
        <v>13321347</v>
      </c>
      <c r="U513" s="7">
        <v>0</v>
      </c>
      <c r="W513" s="7">
        <v>0</v>
      </c>
      <c r="Y513" s="7">
        <v>0</v>
      </c>
      <c r="AA513" s="7">
        <v>214413</v>
      </c>
      <c r="AC513" s="7">
        <v>1698485</v>
      </c>
      <c r="AE513" s="13">
        <f t="shared" si="91"/>
        <v>1912898</v>
      </c>
      <c r="AG513" s="7">
        <f t="shared" si="92"/>
        <v>0</v>
      </c>
      <c r="AK513" s="7" t="str">
        <f t="shared" si="93"/>
        <v>Springfield Local SD</v>
      </c>
      <c r="AL513" s="7" t="str">
        <f>'St of Activities - GA Exp'!A513</f>
        <v>Springfield Local SD</v>
      </c>
      <c r="AM513" s="7" t="b">
        <f t="shared" si="94"/>
        <v>1</v>
      </c>
      <c r="AN513" s="7" t="str">
        <f t="shared" si="89"/>
        <v>Summit</v>
      </c>
      <c r="AO513" s="7" t="b">
        <f>C513='St of Activities - GA Exp'!C513</f>
        <v>1</v>
      </c>
    </row>
    <row r="514" spans="1:41">
      <c r="A514" s="12" t="s">
        <v>896</v>
      </c>
      <c r="B514" s="12"/>
      <c r="C514" s="12" t="s">
        <v>32</v>
      </c>
      <c r="D514" s="12"/>
      <c r="E514" s="12">
        <v>44719</v>
      </c>
      <c r="G514" s="7">
        <v>38000207</v>
      </c>
      <c r="I514" s="7">
        <v>0</v>
      </c>
      <c r="K514" s="2">
        <f t="shared" si="95"/>
        <v>-24018625</v>
      </c>
      <c r="M514" s="7">
        <v>13981582</v>
      </c>
      <c r="O514" s="2">
        <f t="shared" si="90"/>
        <v>848186</v>
      </c>
      <c r="Q514" s="7">
        <v>7565555</v>
      </c>
      <c r="S514" s="7">
        <v>8413741</v>
      </c>
      <c r="U514" s="7">
        <v>0</v>
      </c>
      <c r="W514" s="7">
        <v>0</v>
      </c>
      <c r="Y514" s="7">
        <v>0</v>
      </c>
      <c r="AA514" s="7">
        <v>77979</v>
      </c>
      <c r="AC514" s="7">
        <v>5489862</v>
      </c>
      <c r="AE514" s="13">
        <f t="shared" si="91"/>
        <v>5567841</v>
      </c>
      <c r="AG514" s="7">
        <f t="shared" si="92"/>
        <v>0</v>
      </c>
      <c r="AK514" s="7" t="str">
        <f t="shared" si="93"/>
        <v>St. Bernard-Elmwood Place City SD</v>
      </c>
      <c r="AL514" s="7" t="str">
        <f>'St of Activities - GA Exp'!A514</f>
        <v>St. Bernard-Elmwood Place City SD</v>
      </c>
      <c r="AM514" s="7" t="b">
        <f t="shared" si="94"/>
        <v>1</v>
      </c>
      <c r="AN514" s="7" t="str">
        <f t="shared" si="89"/>
        <v>Hamilton</v>
      </c>
      <c r="AO514" s="7" t="b">
        <f>C514='St of Activities - GA Exp'!C514</f>
        <v>1</v>
      </c>
    </row>
    <row r="515" spans="1:41">
      <c r="A515" s="12" t="s">
        <v>897</v>
      </c>
      <c r="B515" s="12"/>
      <c r="C515" s="12" t="s">
        <v>15</v>
      </c>
      <c r="D515" s="12"/>
      <c r="E515" s="12">
        <v>45997</v>
      </c>
      <c r="G515" s="7">
        <f>1855364+223105</f>
        <v>2078469</v>
      </c>
      <c r="I515" s="7">
        <v>178020</v>
      </c>
      <c r="K515" s="2">
        <f t="shared" si="95"/>
        <v>6933302</v>
      </c>
      <c r="M515" s="7">
        <v>9189791</v>
      </c>
      <c r="O515" s="2">
        <f t="shared" si="90"/>
        <v>1768434</v>
      </c>
      <c r="Q515" s="7">
        <v>6425197</v>
      </c>
      <c r="S515" s="7">
        <v>8193631</v>
      </c>
      <c r="U515" s="7">
        <f>46584+6861</f>
        <v>53445</v>
      </c>
      <c r="W515" s="7">
        <f>167020+11000</f>
        <v>178020</v>
      </c>
      <c r="Y515" s="7">
        <v>0</v>
      </c>
      <c r="AA515" s="7">
        <v>764695</v>
      </c>
      <c r="AC515" s="7">
        <v>0</v>
      </c>
      <c r="AE515" s="13">
        <f t="shared" si="91"/>
        <v>996160</v>
      </c>
      <c r="AG515" s="7">
        <f t="shared" si="92"/>
        <v>0</v>
      </c>
      <c r="AK515" s="7" t="str">
        <f t="shared" si="93"/>
        <v>St. Clairsville-Richland City SD</v>
      </c>
      <c r="AL515" s="7" t="str">
        <f>'St of Activities - GA Exp'!A515</f>
        <v>St. Clairsville-Richland City SD</v>
      </c>
      <c r="AM515" s="7" t="b">
        <f t="shared" si="94"/>
        <v>1</v>
      </c>
      <c r="AN515" s="7" t="str">
        <f t="shared" si="89"/>
        <v>Belmont</v>
      </c>
      <c r="AO515" s="7" t="b">
        <f>C515='St of Activities - GA Exp'!C515</f>
        <v>1</v>
      </c>
    </row>
    <row r="516" spans="1:41" hidden="1">
      <c r="A516" s="12" t="s">
        <v>742</v>
      </c>
      <c r="B516" s="12"/>
      <c r="C516" s="12" t="s">
        <v>435</v>
      </c>
      <c r="D516" s="12"/>
      <c r="E516" s="12">
        <v>48587</v>
      </c>
      <c r="K516" s="2">
        <f t="shared" si="95"/>
        <v>0</v>
      </c>
      <c r="O516" s="2">
        <f t="shared" si="90"/>
        <v>0</v>
      </c>
      <c r="AE516" s="13">
        <f t="shared" si="91"/>
        <v>0</v>
      </c>
      <c r="AG516" s="7">
        <f t="shared" si="92"/>
        <v>0</v>
      </c>
      <c r="AI516" s="7" t="s">
        <v>789</v>
      </c>
      <c r="AK516" s="7" t="str">
        <f t="shared" si="93"/>
        <v>St Henry Consolidated Local SD (CASH)</v>
      </c>
      <c r="AL516" s="7" t="str">
        <f>'St of Activities - GA Exp'!A516</f>
        <v>St Henry Consolidated Local SD (CASH)</v>
      </c>
      <c r="AM516" s="7" t="b">
        <f t="shared" si="94"/>
        <v>1</v>
      </c>
      <c r="AN516" s="7" t="str">
        <f t="shared" si="89"/>
        <v>Mercer</v>
      </c>
      <c r="AO516" s="7" t="b">
        <f>C516='St of Activities - GA Exp'!C516</f>
        <v>1</v>
      </c>
    </row>
    <row r="517" spans="1:41" hidden="1">
      <c r="A517" s="12" t="s">
        <v>743</v>
      </c>
      <c r="B517" s="12"/>
      <c r="C517" s="12" t="s">
        <v>14</v>
      </c>
      <c r="D517" s="12"/>
      <c r="E517" s="12">
        <v>44727</v>
      </c>
      <c r="K517" s="2">
        <f t="shared" si="95"/>
        <v>0</v>
      </c>
      <c r="O517" s="2">
        <f t="shared" si="90"/>
        <v>0</v>
      </c>
      <c r="AE517" s="13">
        <f t="shared" si="91"/>
        <v>0</v>
      </c>
      <c r="AG517" s="7">
        <f t="shared" si="92"/>
        <v>0</v>
      </c>
      <c r="AI517" s="7" t="s">
        <v>789</v>
      </c>
      <c r="AK517" s="7" t="str">
        <f t="shared" si="93"/>
        <v>St Marys City SD (CASH)</v>
      </c>
      <c r="AL517" s="7" t="str">
        <f>'St of Activities - GA Exp'!A517</f>
        <v>St Marys City SD (CASH)</v>
      </c>
      <c r="AM517" s="7" t="b">
        <f t="shared" si="94"/>
        <v>1</v>
      </c>
      <c r="AN517" s="7" t="str">
        <f t="shared" si="89"/>
        <v>Auglaize</v>
      </c>
      <c r="AO517" s="7" t="b">
        <f>C517='St of Activities - GA Exp'!C517</f>
        <v>1</v>
      </c>
    </row>
    <row r="518" spans="1:41">
      <c r="A518" s="12" t="s">
        <v>374</v>
      </c>
      <c r="B518" s="12"/>
      <c r="C518" s="12" t="s">
        <v>39</v>
      </c>
      <c r="D518" s="12"/>
      <c r="E518" s="12">
        <v>44826</v>
      </c>
      <c r="G518" s="7">
        <v>4134331</v>
      </c>
      <c r="I518" s="7">
        <v>85496</v>
      </c>
      <c r="K518" s="2">
        <f t="shared" si="95"/>
        <v>4909588</v>
      </c>
      <c r="M518" s="7">
        <v>9129415</v>
      </c>
      <c r="O518" s="2">
        <f t="shared" si="90"/>
        <v>2021886</v>
      </c>
      <c r="Q518" s="7">
        <v>4505329</v>
      </c>
      <c r="S518" s="7">
        <v>6527215</v>
      </c>
      <c r="U518" s="7">
        <v>6876</v>
      </c>
      <c r="W518" s="7">
        <v>85496</v>
      </c>
      <c r="Y518" s="7">
        <v>0</v>
      </c>
      <c r="AA518" s="7">
        <f>259332+470934+1469805</f>
        <v>2200071</v>
      </c>
      <c r="AC518" s="7">
        <v>309757</v>
      </c>
      <c r="AE518" s="13">
        <f t="shared" si="91"/>
        <v>2602200</v>
      </c>
      <c r="AG518" s="7">
        <f t="shared" si="92"/>
        <v>0</v>
      </c>
      <c r="AK518" s="7" t="str">
        <f t="shared" si="93"/>
        <v>Steubenville City SD</v>
      </c>
      <c r="AL518" s="7" t="str">
        <f>'St of Activities - GA Exp'!A518</f>
        <v>Steubenville City SD</v>
      </c>
      <c r="AM518" s="7" t="b">
        <f t="shared" si="94"/>
        <v>1</v>
      </c>
      <c r="AN518" s="7" t="str">
        <f t="shared" si="89"/>
        <v>Jefferson</v>
      </c>
      <c r="AO518" s="7" t="b">
        <f>C518='St of Activities - GA Exp'!C518</f>
        <v>1</v>
      </c>
    </row>
    <row r="519" spans="1:41">
      <c r="A519" s="12" t="s">
        <v>530</v>
      </c>
      <c r="B519" s="12"/>
      <c r="C519" s="12" t="s">
        <v>63</v>
      </c>
      <c r="D519" s="12"/>
      <c r="E519" s="12">
        <v>44834</v>
      </c>
      <c r="G519" s="7">
        <v>13168916</v>
      </c>
      <c r="I519" s="7">
        <v>248223</v>
      </c>
      <c r="K519" s="2">
        <f t="shared" si="95"/>
        <v>29974014</v>
      </c>
      <c r="M519" s="7">
        <v>43391153</v>
      </c>
      <c r="O519" s="2">
        <f t="shared" si="90"/>
        <v>5433633</v>
      </c>
      <c r="Q519" s="7">
        <f>878478+24804305</f>
        <v>25682783</v>
      </c>
      <c r="S519" s="7">
        <v>31116416</v>
      </c>
      <c r="U519" s="7">
        <f>80233+24486</f>
        <v>104719</v>
      </c>
      <c r="W519" s="7">
        <v>248223</v>
      </c>
      <c r="Y519" s="7">
        <v>161805</v>
      </c>
      <c r="AA519" s="7">
        <f>158506+494253+201+19913+95340+41475</f>
        <v>809688</v>
      </c>
      <c r="AC519" s="7">
        <v>10950302</v>
      </c>
      <c r="AE519" s="13">
        <f t="shared" si="91"/>
        <v>12274737</v>
      </c>
      <c r="AG519" s="7">
        <f t="shared" si="92"/>
        <v>0</v>
      </c>
      <c r="AK519" s="7" t="str">
        <f t="shared" si="93"/>
        <v>Stow-Munroe Falls City SD</v>
      </c>
      <c r="AL519" s="7" t="str">
        <f>'St of Activities - GA Exp'!A519</f>
        <v>Stow-Munroe Falls City SD</v>
      </c>
      <c r="AM519" s="7" t="b">
        <f t="shared" si="94"/>
        <v>1</v>
      </c>
      <c r="AN519" s="7" t="str">
        <f t="shared" si="89"/>
        <v>Summit</v>
      </c>
      <c r="AO519" s="7" t="b">
        <f>C519='St of Activities - GA Exp'!C519</f>
        <v>1</v>
      </c>
    </row>
    <row r="520" spans="1:41" hidden="1">
      <c r="A520" s="12" t="s">
        <v>744</v>
      </c>
      <c r="B520" s="12"/>
      <c r="C520" s="12" t="s">
        <v>65</v>
      </c>
      <c r="D520" s="12"/>
      <c r="E520" s="12">
        <v>50294</v>
      </c>
      <c r="K520" s="2">
        <f t="shared" si="95"/>
        <v>0</v>
      </c>
      <c r="O520" s="2">
        <f t="shared" si="90"/>
        <v>0</v>
      </c>
      <c r="AE520" s="13">
        <f t="shared" si="91"/>
        <v>0</v>
      </c>
      <c r="AG520" s="7">
        <f t="shared" si="92"/>
        <v>0</v>
      </c>
      <c r="AI520" s="7" t="s">
        <v>792</v>
      </c>
      <c r="AK520" s="7" t="str">
        <f t="shared" si="93"/>
        <v>Strasburg-Franklin Local SD (CASH)</v>
      </c>
      <c r="AL520" s="7" t="str">
        <f>'St of Activities - GA Exp'!A520</f>
        <v>Strasburg-Franklin Local SD (CASH)</v>
      </c>
      <c r="AM520" s="7" t="b">
        <f t="shared" si="94"/>
        <v>1</v>
      </c>
      <c r="AN520" s="7" t="str">
        <f t="shared" si="89"/>
        <v>Tuscarawas</v>
      </c>
      <c r="AO520" s="7" t="b">
        <f>C520='St of Activities - GA Exp'!C520</f>
        <v>1</v>
      </c>
    </row>
    <row r="521" spans="1:41">
      <c r="A521" s="12" t="s">
        <v>479</v>
      </c>
      <c r="B521" s="12"/>
      <c r="C521" s="12" t="s">
        <v>56</v>
      </c>
      <c r="D521" s="12"/>
      <c r="E521" s="12">
        <v>49239</v>
      </c>
      <c r="G521" s="7">
        <v>2374164</v>
      </c>
      <c r="I521" s="7">
        <v>0</v>
      </c>
      <c r="K521" s="2">
        <f t="shared" si="95"/>
        <v>13981365</v>
      </c>
      <c r="M521" s="7">
        <v>16355529</v>
      </c>
      <c r="O521" s="2">
        <f t="shared" si="90"/>
        <v>2345431</v>
      </c>
      <c r="Q521" s="7">
        <v>12494178</v>
      </c>
      <c r="S521" s="7">
        <v>14839609</v>
      </c>
      <c r="U521" s="7">
        <v>0</v>
      </c>
      <c r="W521" s="7">
        <v>0</v>
      </c>
      <c r="Y521" s="7">
        <v>20873</v>
      </c>
      <c r="AA521" s="7">
        <v>177735</v>
      </c>
      <c r="AC521" s="7">
        <v>1317312</v>
      </c>
      <c r="AE521" s="13">
        <f t="shared" si="91"/>
        <v>1515920</v>
      </c>
      <c r="AG521" s="7">
        <f t="shared" si="92"/>
        <v>0</v>
      </c>
      <c r="AK521" s="7" t="str">
        <f t="shared" si="93"/>
        <v>Streetsboro City SD</v>
      </c>
      <c r="AL521" s="7" t="str">
        <f>'St of Activities - GA Exp'!A521</f>
        <v>Streetsboro City SD</v>
      </c>
      <c r="AM521" s="7" t="b">
        <f t="shared" si="94"/>
        <v>1</v>
      </c>
      <c r="AN521" s="7" t="str">
        <f t="shared" si="89"/>
        <v>Portage</v>
      </c>
      <c r="AO521" s="7" t="b">
        <f>C521='St of Activities - GA Exp'!C521</f>
        <v>1</v>
      </c>
    </row>
    <row r="522" spans="1:41">
      <c r="A522" s="12" t="s">
        <v>285</v>
      </c>
      <c r="B522" s="12"/>
      <c r="C522" s="12" t="s">
        <v>20</v>
      </c>
      <c r="D522" s="12"/>
      <c r="E522" s="12">
        <v>44842</v>
      </c>
      <c r="G522" s="7">
        <v>474087</v>
      </c>
      <c r="I522" s="7">
        <v>541172</v>
      </c>
      <c r="K522" s="2">
        <f t="shared" si="95"/>
        <v>51299419</v>
      </c>
      <c r="M522" s="7">
        <v>52314678</v>
      </c>
      <c r="O522" s="2">
        <f t="shared" si="90"/>
        <v>10447761</v>
      </c>
      <c r="Q522" s="7">
        <v>45489197</v>
      </c>
      <c r="S522" s="7">
        <v>55936958</v>
      </c>
      <c r="U522" s="7">
        <v>0</v>
      </c>
      <c r="W522" s="7">
        <v>0</v>
      </c>
      <c r="Y522" s="7">
        <v>0</v>
      </c>
      <c r="AA522" s="7">
        <v>1071167</v>
      </c>
      <c r="AC522" s="7">
        <v>-4693447</v>
      </c>
      <c r="AE522" s="13">
        <f t="shared" si="91"/>
        <v>-3622280</v>
      </c>
      <c r="AG522" s="7">
        <f t="shared" si="92"/>
        <v>0</v>
      </c>
      <c r="AK522" s="7" t="str">
        <f t="shared" si="93"/>
        <v>Strongsville City SD</v>
      </c>
      <c r="AL522" s="7" t="str">
        <f>'St of Activities - GA Exp'!A522</f>
        <v>Strongsville City SD</v>
      </c>
      <c r="AM522" s="7" t="b">
        <f t="shared" si="94"/>
        <v>1</v>
      </c>
      <c r="AN522" s="7" t="str">
        <f t="shared" si="89"/>
        <v>Cuyahoga</v>
      </c>
      <c r="AO522" s="7" t="b">
        <f>C522='St of Activities - GA Exp'!C522</f>
        <v>1</v>
      </c>
    </row>
    <row r="523" spans="1:41">
      <c r="A523" s="12" t="s">
        <v>420</v>
      </c>
      <c r="B523" s="12"/>
      <c r="C523" s="12" t="s">
        <v>45</v>
      </c>
      <c r="D523" s="12"/>
      <c r="E523" s="12">
        <v>44859</v>
      </c>
      <c r="G523" s="7">
        <v>7064082</v>
      </c>
      <c r="I523" s="7">
        <v>22629</v>
      </c>
      <c r="K523" s="2">
        <f t="shared" si="95"/>
        <v>5368385</v>
      </c>
      <c r="M523" s="7">
        <v>12455096</v>
      </c>
      <c r="O523" s="2">
        <f t="shared" si="90"/>
        <v>2011870</v>
      </c>
      <c r="Q523" s="2">
        <v>4845320</v>
      </c>
      <c r="S523" s="7">
        <v>6857190</v>
      </c>
      <c r="U523" s="7">
        <v>0</v>
      </c>
      <c r="W523" s="7">
        <v>22629</v>
      </c>
      <c r="Y523" s="7">
        <v>0</v>
      </c>
      <c r="AA523" s="7">
        <v>523420</v>
      </c>
      <c r="AC523" s="7">
        <v>5051857</v>
      </c>
      <c r="AE523" s="13">
        <f t="shared" si="91"/>
        <v>5597906</v>
      </c>
      <c r="AG523" s="7">
        <f t="shared" si="92"/>
        <v>0</v>
      </c>
      <c r="AK523" s="7" t="str">
        <f t="shared" si="93"/>
        <v>Struthers City SD</v>
      </c>
      <c r="AL523" s="7" t="str">
        <f>'St of Activities - GA Exp'!A523</f>
        <v>Struthers City SD</v>
      </c>
      <c r="AM523" s="7" t="b">
        <f t="shared" si="94"/>
        <v>1</v>
      </c>
      <c r="AN523" s="7" t="str">
        <f t="shared" si="89"/>
        <v>Mahoning</v>
      </c>
      <c r="AO523" s="7" t="b">
        <f>C523='St of Activities - GA Exp'!C523</f>
        <v>1</v>
      </c>
    </row>
    <row r="524" spans="1:41">
      <c r="A524" s="12" t="s">
        <v>571</v>
      </c>
      <c r="B524" s="12"/>
      <c r="C524" s="12" t="s">
        <v>570</v>
      </c>
      <c r="D524" s="12"/>
      <c r="E524" s="12">
        <v>50658</v>
      </c>
      <c r="G524" s="7">
        <v>872617</v>
      </c>
      <c r="I524" s="7">
        <v>24970</v>
      </c>
      <c r="K524" s="2">
        <f t="shared" si="95"/>
        <v>1423116</v>
      </c>
      <c r="M524" s="7">
        <v>2320703</v>
      </c>
      <c r="O524" s="2">
        <f t="shared" si="90"/>
        <v>399092</v>
      </c>
      <c r="Q524" s="7">
        <v>1070608</v>
      </c>
      <c r="S524" s="7">
        <v>1469700</v>
      </c>
      <c r="U524" s="7">
        <v>1559</v>
      </c>
      <c r="W524" s="7">
        <v>24970</v>
      </c>
      <c r="Y524" s="7">
        <v>0</v>
      </c>
      <c r="AA524" s="7">
        <v>16212</v>
      </c>
      <c r="AC524" s="7">
        <v>808262</v>
      </c>
      <c r="AE524" s="13">
        <f t="shared" si="91"/>
        <v>851003</v>
      </c>
      <c r="AG524" s="7">
        <f t="shared" si="92"/>
        <v>0</v>
      </c>
      <c r="AK524" s="7" t="str">
        <f t="shared" si="93"/>
        <v>Stryker Local SD</v>
      </c>
      <c r="AL524" s="7" t="str">
        <f>'St of Activities - GA Exp'!A524</f>
        <v>Stryker Local SD</v>
      </c>
      <c r="AM524" s="7" t="b">
        <f t="shared" si="94"/>
        <v>1</v>
      </c>
      <c r="AN524" s="7" t="str">
        <f t="shared" si="89"/>
        <v>Williams</v>
      </c>
      <c r="AO524" s="7" t="b">
        <f>C524='St of Activities - GA Exp'!C524</f>
        <v>1</v>
      </c>
    </row>
    <row r="525" spans="1:41">
      <c r="A525" s="12" t="s">
        <v>319</v>
      </c>
      <c r="B525" s="12"/>
      <c r="C525" s="12" t="s">
        <v>28</v>
      </c>
      <c r="D525" s="12"/>
      <c r="E525" s="12">
        <v>47092</v>
      </c>
      <c r="G525" s="7">
        <v>7783829</v>
      </c>
      <c r="I525" s="7">
        <v>48089</v>
      </c>
      <c r="K525" s="2">
        <f t="shared" si="95"/>
        <v>7559553</v>
      </c>
      <c r="M525" s="7">
        <v>15391471</v>
      </c>
      <c r="O525" s="2">
        <f t="shared" si="90"/>
        <v>1455647</v>
      </c>
      <c r="Q525" s="7">
        <v>4826268</v>
      </c>
      <c r="S525" s="7">
        <v>6281915</v>
      </c>
      <c r="U525" s="7">
        <v>0</v>
      </c>
      <c r="W525" s="7">
        <v>48716</v>
      </c>
      <c r="Y525" s="7">
        <v>0</v>
      </c>
      <c r="AA525" s="7">
        <v>220384</v>
      </c>
      <c r="AC525" s="7">
        <v>8840456</v>
      </c>
      <c r="AE525" s="13">
        <f t="shared" si="91"/>
        <v>9109556</v>
      </c>
      <c r="AG525" s="7">
        <f t="shared" si="92"/>
        <v>0</v>
      </c>
      <c r="AK525" s="7" t="str">
        <f t="shared" si="93"/>
        <v>Swanton Local SD</v>
      </c>
      <c r="AL525" s="7" t="str">
        <f>'St of Activities - GA Exp'!A525</f>
        <v>Swanton Local SD</v>
      </c>
      <c r="AM525" s="7" t="b">
        <f t="shared" si="94"/>
        <v>1</v>
      </c>
      <c r="AN525" s="7" t="str">
        <f t="shared" si="89"/>
        <v>Fulton</v>
      </c>
      <c r="AO525" s="7" t="b">
        <f>C525='St of Activities - GA Exp'!C525</f>
        <v>1</v>
      </c>
    </row>
    <row r="526" spans="1:41">
      <c r="A526" s="12" t="s">
        <v>655</v>
      </c>
      <c r="B526" s="12"/>
      <c r="C526" s="12" t="s">
        <v>49</v>
      </c>
      <c r="D526" s="12"/>
      <c r="E526" s="12">
        <v>48652</v>
      </c>
      <c r="G526" s="7">
        <v>86698</v>
      </c>
      <c r="I526" s="7">
        <v>5666</v>
      </c>
      <c r="K526" s="2">
        <f t="shared" si="95"/>
        <v>9432991</v>
      </c>
      <c r="M526" s="7">
        <v>9525355</v>
      </c>
      <c r="O526" s="2">
        <f t="shared" si="90"/>
        <v>2869716</v>
      </c>
      <c r="Q526" s="7">
        <v>8097550</v>
      </c>
      <c r="S526" s="7">
        <v>10967266</v>
      </c>
      <c r="U526" s="7">
        <f>66485+5666</f>
        <v>72151</v>
      </c>
      <c r="W526" s="7">
        <v>0</v>
      </c>
      <c r="Y526" s="7">
        <v>0</v>
      </c>
      <c r="AA526" s="7">
        <v>29442</v>
      </c>
      <c r="AC526" s="7">
        <v>-1543504</v>
      </c>
      <c r="AE526" s="13">
        <f t="shared" si="91"/>
        <v>-1441911</v>
      </c>
      <c r="AG526" s="7">
        <f t="shared" si="92"/>
        <v>0</v>
      </c>
      <c r="AK526" s="7" t="str">
        <f t="shared" si="93"/>
        <v>Switzerland of Ohio Local SD</v>
      </c>
      <c r="AL526" s="7" t="str">
        <f>'St of Activities - GA Exp'!A526</f>
        <v>Switzerland of Ohio Local SD</v>
      </c>
      <c r="AM526" s="7" t="b">
        <f t="shared" si="94"/>
        <v>1</v>
      </c>
      <c r="AN526" s="7" t="str">
        <f t="shared" si="89"/>
        <v>Monroe</v>
      </c>
      <c r="AO526" s="7" t="b">
        <f>C526='St of Activities - GA Exp'!C526</f>
        <v>1</v>
      </c>
    </row>
    <row r="527" spans="1:41" hidden="1">
      <c r="A527" s="12" t="s">
        <v>340</v>
      </c>
      <c r="B527" s="12"/>
      <c r="C527" s="12" t="s">
        <v>32</v>
      </c>
      <c r="D527" s="12"/>
      <c r="E527" s="12">
        <v>44867</v>
      </c>
      <c r="K527" s="2">
        <f t="shared" si="95"/>
        <v>0</v>
      </c>
      <c r="O527" s="2">
        <f t="shared" si="90"/>
        <v>0</v>
      </c>
      <c r="AE527" s="13">
        <f t="shared" si="91"/>
        <v>0</v>
      </c>
      <c r="AG527" s="7">
        <f t="shared" si="92"/>
        <v>0</v>
      </c>
      <c r="AI527" s="7" t="s">
        <v>793</v>
      </c>
      <c r="AK527" s="7" t="str">
        <f t="shared" si="93"/>
        <v>Sycamore Community City SD</v>
      </c>
      <c r="AL527" s="7" t="str">
        <f>'St of Activities - GA Exp'!A527</f>
        <v>Sycamore Community City SD</v>
      </c>
      <c r="AM527" s="7" t="b">
        <f t="shared" si="94"/>
        <v>1</v>
      </c>
      <c r="AN527" s="7" t="str">
        <f t="shared" si="89"/>
        <v>Hamilton</v>
      </c>
      <c r="AO527" s="7" t="b">
        <f>C527='St of Activities - GA Exp'!C527</f>
        <v>1</v>
      </c>
    </row>
    <row r="528" spans="1:41">
      <c r="A528" s="12" t="s">
        <v>407</v>
      </c>
      <c r="B528" s="12"/>
      <c r="C528" s="12" t="s">
        <v>115</v>
      </c>
      <c r="D528" s="12"/>
      <c r="E528" s="12">
        <v>44875</v>
      </c>
      <c r="G528" s="7">
        <v>5132355</v>
      </c>
      <c r="I528" s="7">
        <v>0</v>
      </c>
      <c r="K528" s="2">
        <f t="shared" si="95"/>
        <v>54686662</v>
      </c>
      <c r="M528" s="7">
        <v>59819017</v>
      </c>
      <c r="O528" s="2">
        <f t="shared" si="90"/>
        <v>10480075</v>
      </c>
      <c r="Q528" s="7">
        <f>1653457+51080469</f>
        <v>52733926</v>
      </c>
      <c r="S528" s="7">
        <v>63214001</v>
      </c>
      <c r="U528" s="7">
        <v>0</v>
      </c>
      <c r="W528" s="7">
        <v>0</v>
      </c>
      <c r="Y528" s="7">
        <v>0</v>
      </c>
      <c r="AA528" s="7">
        <f>95814+874235+2000+15306+100138</f>
        <v>1087493</v>
      </c>
      <c r="AC528" s="7">
        <v>-4482477</v>
      </c>
      <c r="AE528" s="13">
        <f t="shared" si="91"/>
        <v>-3394984</v>
      </c>
      <c r="AG528" s="7">
        <f t="shared" si="92"/>
        <v>0</v>
      </c>
      <c r="AK528" s="7" t="str">
        <f t="shared" si="93"/>
        <v>Sylvania City SD</v>
      </c>
      <c r="AL528" s="7" t="str">
        <f>'St of Activities - GA Exp'!A528</f>
        <v>Sylvania City SD</v>
      </c>
      <c r="AM528" s="7" t="b">
        <f t="shared" si="94"/>
        <v>1</v>
      </c>
      <c r="AN528" s="7" t="str">
        <f t="shared" ref="AN528:AN591" si="96">C528</f>
        <v>Lucas</v>
      </c>
      <c r="AO528" s="7" t="b">
        <f>C528='St of Activities - GA Exp'!C528</f>
        <v>1</v>
      </c>
    </row>
    <row r="529" spans="1:41">
      <c r="A529" s="12" t="s">
        <v>383</v>
      </c>
      <c r="B529" s="12"/>
      <c r="C529" s="12" t="s">
        <v>377</v>
      </c>
      <c r="D529" s="12"/>
      <c r="E529" s="12">
        <v>47969</v>
      </c>
      <c r="G529" s="7">
        <v>3154883</v>
      </c>
      <c r="I529" s="7">
        <v>306460</v>
      </c>
      <c r="K529" s="2">
        <f t="shared" si="95"/>
        <v>1041139</v>
      </c>
      <c r="M529" s="7">
        <v>4502482</v>
      </c>
      <c r="O529" s="2">
        <f t="shared" si="90"/>
        <v>934701</v>
      </c>
      <c r="Q529" s="7">
        <v>971904</v>
      </c>
      <c r="S529" s="7">
        <v>1906605</v>
      </c>
      <c r="U529" s="7">
        <v>34807</v>
      </c>
      <c r="W529" s="7">
        <v>306460</v>
      </c>
      <c r="Y529" s="7">
        <v>37646</v>
      </c>
      <c r="AA529" s="7">
        <v>53683</v>
      </c>
      <c r="AC529" s="7">
        <v>2163281</v>
      </c>
      <c r="AE529" s="13">
        <f t="shared" si="91"/>
        <v>2595877</v>
      </c>
      <c r="AG529" s="7">
        <f t="shared" si="92"/>
        <v>0</v>
      </c>
      <c r="AK529" s="7" t="str">
        <f t="shared" si="93"/>
        <v>Symmes Valley Local SD</v>
      </c>
      <c r="AL529" s="7" t="str">
        <f>'St of Activities - GA Exp'!A529</f>
        <v>Symmes Valley Local SD</v>
      </c>
      <c r="AM529" s="7" t="b">
        <f t="shared" si="94"/>
        <v>1</v>
      </c>
      <c r="AN529" s="7" t="str">
        <f t="shared" si="96"/>
        <v>Lawrence</v>
      </c>
      <c r="AO529" s="7" t="b">
        <f>C529='St of Activities - GA Exp'!C529</f>
        <v>1</v>
      </c>
    </row>
    <row r="530" spans="1:41">
      <c r="A530" s="12" t="s">
        <v>757</v>
      </c>
      <c r="B530" s="12"/>
      <c r="C530" s="12" t="s">
        <v>223</v>
      </c>
      <c r="D530" s="12"/>
      <c r="E530" s="12">
        <v>46151</v>
      </c>
      <c r="G530" s="7">
        <v>18423744</v>
      </c>
      <c r="I530" s="7">
        <v>202876</v>
      </c>
      <c r="K530" s="2">
        <f t="shared" si="95"/>
        <v>15479757</v>
      </c>
      <c r="M530" s="7">
        <v>34106377</v>
      </c>
      <c r="O530" s="2">
        <f t="shared" si="90"/>
        <v>3838254</v>
      </c>
      <c r="Q530" s="7">
        <v>13081706</v>
      </c>
      <c r="S530" s="7">
        <v>16919960</v>
      </c>
      <c r="U530" s="7">
        <v>71106</v>
      </c>
      <c r="W530" s="7">
        <v>0</v>
      </c>
      <c r="Y530" s="7">
        <v>0</v>
      </c>
      <c r="AA530" s="7">
        <v>607034</v>
      </c>
      <c r="AC530" s="7">
        <v>16508277</v>
      </c>
      <c r="AE530" s="13">
        <f t="shared" si="91"/>
        <v>17186417</v>
      </c>
      <c r="AG530" s="7">
        <f t="shared" si="92"/>
        <v>0</v>
      </c>
      <c r="AK530" s="7" t="str">
        <f t="shared" si="93"/>
        <v xml:space="preserve">Talawanda City SD </v>
      </c>
      <c r="AL530" s="7" t="str">
        <f>'St of Activities - GA Exp'!A530</f>
        <v xml:space="preserve">Talawanda City SD </v>
      </c>
      <c r="AM530" s="7" t="b">
        <f t="shared" si="94"/>
        <v>1</v>
      </c>
      <c r="AN530" s="7" t="str">
        <f t="shared" si="96"/>
        <v>Butler</v>
      </c>
      <c r="AO530" s="7" t="b">
        <f>C530='St of Activities - GA Exp'!C530</f>
        <v>1</v>
      </c>
    </row>
    <row r="531" spans="1:41">
      <c r="A531" s="12" t="s">
        <v>531</v>
      </c>
      <c r="B531" s="12"/>
      <c r="C531" s="12" t="s">
        <v>63</v>
      </c>
      <c r="D531" s="12"/>
      <c r="E531" s="12">
        <v>44883</v>
      </c>
      <c r="G531" s="7">
        <v>4075024</v>
      </c>
      <c r="I531" s="7">
        <v>72479</v>
      </c>
      <c r="K531" s="2">
        <f t="shared" si="95"/>
        <v>16388554</v>
      </c>
      <c r="M531" s="7">
        <v>20536057</v>
      </c>
      <c r="O531" s="2">
        <f t="shared" si="90"/>
        <v>2752230</v>
      </c>
      <c r="Q531" s="7">
        <f>87167+15696654</f>
        <v>15783821</v>
      </c>
      <c r="S531" s="7">
        <v>18536051</v>
      </c>
      <c r="U531" s="7">
        <v>0</v>
      </c>
      <c r="W531" s="7">
        <v>72474</v>
      </c>
      <c r="Y531" s="7">
        <v>20779</v>
      </c>
      <c r="AA531" s="7">
        <v>646272</v>
      </c>
      <c r="AC531" s="7">
        <v>1260481</v>
      </c>
      <c r="AE531" s="13">
        <f t="shared" si="91"/>
        <v>2000006</v>
      </c>
      <c r="AG531" s="7">
        <f t="shared" si="92"/>
        <v>0</v>
      </c>
      <c r="AK531" s="7" t="str">
        <f t="shared" si="93"/>
        <v>Tallmadge City SD</v>
      </c>
      <c r="AL531" s="7" t="str">
        <f>'St of Activities - GA Exp'!A531</f>
        <v>Tallmadge City SD</v>
      </c>
      <c r="AM531" s="7" t="b">
        <f t="shared" si="94"/>
        <v>1</v>
      </c>
      <c r="AN531" s="7" t="str">
        <f t="shared" si="96"/>
        <v>Summit</v>
      </c>
      <c r="AO531" s="7" t="b">
        <f>C531='St of Activities - GA Exp'!C531</f>
        <v>1</v>
      </c>
    </row>
    <row r="532" spans="1:41">
      <c r="A532" s="12" t="s">
        <v>469</v>
      </c>
      <c r="B532" s="12"/>
      <c r="C532" s="12" t="s">
        <v>54</v>
      </c>
      <c r="D532" s="12"/>
      <c r="E532" s="12">
        <v>49098</v>
      </c>
      <c r="G532" s="7">
        <v>6167613</v>
      </c>
      <c r="I532" s="7">
        <v>0</v>
      </c>
      <c r="K532" s="2">
        <f t="shared" si="95"/>
        <v>9689681</v>
      </c>
      <c r="M532" s="7">
        <v>15857294</v>
      </c>
      <c r="O532" s="2">
        <f t="shared" ref="O532:O595" si="97">+S532-Q532</f>
        <v>4050325</v>
      </c>
      <c r="Q532" s="7">
        <f>5493534+418642</f>
        <v>5912176</v>
      </c>
      <c r="S532" s="7">
        <v>9962501</v>
      </c>
      <c r="U532" s="7">
        <f>105373+7633+3220</f>
        <v>116226</v>
      </c>
      <c r="W532" s="7">
        <v>0</v>
      </c>
      <c r="Y532" s="7">
        <v>11000</v>
      </c>
      <c r="AA532" s="7">
        <f>94132+304224+728</f>
        <v>399084</v>
      </c>
      <c r="AC532" s="7">
        <v>5368483</v>
      </c>
      <c r="AE532" s="13">
        <f t="shared" ref="AE532:AE595" si="98">+Y532+W532++U532+AA532+AC532</f>
        <v>5894793</v>
      </c>
      <c r="AG532" s="7">
        <f t="shared" ref="AG532:AG595" si="99">+G532+I532+K532-O532-Q532-Y532-W532-U532-AA532-AC532</f>
        <v>0</v>
      </c>
      <c r="AK532" s="7" t="str">
        <f t="shared" ref="AK532:AK595" si="100">A532</f>
        <v>Teays Valley Local SD</v>
      </c>
      <c r="AL532" s="7" t="str">
        <f>'St of Activities - GA Exp'!A532</f>
        <v>Teays Valley Local SD</v>
      </c>
      <c r="AM532" s="7" t="b">
        <f t="shared" ref="AM532:AM595" si="101">AK532=AL532</f>
        <v>1</v>
      </c>
      <c r="AN532" s="7" t="str">
        <f t="shared" si="96"/>
        <v>Pickaway</v>
      </c>
      <c r="AO532" s="7" t="b">
        <f>C532='St of Activities - GA Exp'!C532</f>
        <v>1</v>
      </c>
    </row>
    <row r="533" spans="1:41">
      <c r="A533" s="12" t="s">
        <v>241</v>
      </c>
      <c r="B533" s="12"/>
      <c r="C533" s="12" t="s">
        <v>17</v>
      </c>
      <c r="D533" s="12"/>
      <c r="E533" s="12">
        <v>46243</v>
      </c>
      <c r="G533" s="7">
        <v>2351625</v>
      </c>
      <c r="I533" s="7">
        <v>0</v>
      </c>
      <c r="K533" s="2">
        <f t="shared" si="95"/>
        <v>9727080</v>
      </c>
      <c r="M533" s="7">
        <v>12078705</v>
      </c>
      <c r="O533" s="2">
        <f t="shared" si="97"/>
        <v>2890018</v>
      </c>
      <c r="Q533" s="7">
        <v>6138722</v>
      </c>
      <c r="S533" s="7">
        <v>9028740</v>
      </c>
      <c r="U533" s="7">
        <v>138089</v>
      </c>
      <c r="W533" s="7">
        <v>0</v>
      </c>
      <c r="Y533" s="7">
        <v>0</v>
      </c>
      <c r="AA533" s="7">
        <v>2908667</v>
      </c>
      <c r="AC533" s="7">
        <v>3209</v>
      </c>
      <c r="AE533" s="13">
        <f t="shared" si="98"/>
        <v>3049965</v>
      </c>
      <c r="AG533" s="7">
        <f t="shared" si="99"/>
        <v>0</v>
      </c>
      <c r="AK533" s="7" t="str">
        <f t="shared" si="100"/>
        <v>Tecumseh Local SD</v>
      </c>
      <c r="AL533" s="7" t="str">
        <f>'St of Activities - GA Exp'!A533</f>
        <v>Tecumseh Local SD</v>
      </c>
      <c r="AM533" s="7" t="b">
        <f t="shared" si="101"/>
        <v>1</v>
      </c>
      <c r="AN533" s="7" t="str">
        <f t="shared" si="96"/>
        <v>Clark</v>
      </c>
      <c r="AO533" s="7" t="b">
        <f>C533='St of Activities - GA Exp'!C533</f>
        <v>1</v>
      </c>
    </row>
    <row r="534" spans="1:41">
      <c r="A534" s="12" t="s">
        <v>765</v>
      </c>
      <c r="B534" s="12"/>
      <c r="C534" s="12" t="s">
        <v>32</v>
      </c>
      <c r="D534" s="12"/>
      <c r="E534" s="12">
        <v>47399</v>
      </c>
      <c r="G534" s="7">
        <v>7781671</v>
      </c>
      <c r="I534" s="7">
        <v>182210</v>
      </c>
      <c r="K534" s="2">
        <f t="shared" ref="K534:K597" si="102">+M534-I534-G534</f>
        <v>13285775</v>
      </c>
      <c r="M534" s="7">
        <v>21249656</v>
      </c>
      <c r="O534" s="2">
        <f t="shared" si="97"/>
        <v>1802406</v>
      </c>
      <c r="Q534" s="7">
        <v>8687301</v>
      </c>
      <c r="S534" s="7">
        <v>10489707</v>
      </c>
      <c r="U534" s="7">
        <v>0</v>
      </c>
      <c r="W534" s="7">
        <v>182210</v>
      </c>
      <c r="Y534" s="7">
        <v>0</v>
      </c>
      <c r="AA534" s="7">
        <v>252035</v>
      </c>
      <c r="AC534" s="7">
        <v>10325704</v>
      </c>
      <c r="AE534" s="13">
        <f t="shared" si="98"/>
        <v>10759949</v>
      </c>
      <c r="AG534" s="7">
        <f t="shared" si="99"/>
        <v>0</v>
      </c>
      <c r="AK534" s="7" t="str">
        <f t="shared" si="100"/>
        <v xml:space="preserve">Three Rivers Local SD </v>
      </c>
      <c r="AL534" s="7" t="str">
        <f>'St of Activities - GA Exp'!A534</f>
        <v xml:space="preserve">Three Rivers Local SD </v>
      </c>
      <c r="AM534" s="7" t="b">
        <f t="shared" si="101"/>
        <v>1</v>
      </c>
      <c r="AN534" s="7" t="str">
        <f t="shared" si="96"/>
        <v>Hamilton</v>
      </c>
      <c r="AO534" s="7" t="b">
        <f>C534='St of Activities - GA Exp'!C534</f>
        <v>1</v>
      </c>
    </row>
    <row r="535" spans="1:41">
      <c r="A535" s="12" t="s">
        <v>503</v>
      </c>
      <c r="B535" s="12"/>
      <c r="C535" s="12" t="s">
        <v>60</v>
      </c>
      <c r="D535" s="12"/>
      <c r="E535" s="12">
        <v>44891</v>
      </c>
      <c r="G535" s="7">
        <f>2441998+170706</f>
        <v>2612704</v>
      </c>
      <c r="I535" s="7">
        <v>11116</v>
      </c>
      <c r="K535" s="2">
        <f t="shared" si="102"/>
        <v>10619515</v>
      </c>
      <c r="M535" s="7">
        <v>13243335</v>
      </c>
      <c r="O535" s="2">
        <f t="shared" si="97"/>
        <v>2518670</v>
      </c>
      <c r="Q535" s="7">
        <f>5611292+841824</f>
        <v>6453116</v>
      </c>
      <c r="S535" s="7">
        <v>8971786</v>
      </c>
      <c r="U535" s="7">
        <v>65375</v>
      </c>
      <c r="W535" s="7">
        <v>11116</v>
      </c>
      <c r="Y535" s="7">
        <v>0</v>
      </c>
      <c r="AA535" s="7">
        <f>3229+233896</f>
        <v>237125</v>
      </c>
      <c r="AC535" s="7">
        <v>3957933</v>
      </c>
      <c r="AE535" s="13">
        <f t="shared" si="98"/>
        <v>4271549</v>
      </c>
      <c r="AG535" s="7">
        <f t="shared" si="99"/>
        <v>0</v>
      </c>
      <c r="AK535" s="7" t="str">
        <f t="shared" si="100"/>
        <v>Tiffin City SD</v>
      </c>
      <c r="AL535" s="7" t="str">
        <f>'St of Activities - GA Exp'!A535</f>
        <v>Tiffin City SD</v>
      </c>
      <c r="AM535" s="7" t="b">
        <f t="shared" si="101"/>
        <v>1</v>
      </c>
      <c r="AN535" s="7" t="str">
        <f t="shared" si="96"/>
        <v>Seneca</v>
      </c>
      <c r="AO535" s="7" t="b">
        <f>C535='St of Activities - GA Exp'!C535</f>
        <v>1</v>
      </c>
    </row>
    <row r="536" spans="1:41">
      <c r="A536" s="12" t="s">
        <v>887</v>
      </c>
      <c r="B536" s="12"/>
      <c r="C536" s="12" t="s">
        <v>48</v>
      </c>
      <c r="D536" s="12"/>
      <c r="E536" s="12">
        <v>45617</v>
      </c>
      <c r="G536" s="7">
        <v>1455816</v>
      </c>
      <c r="I536" s="7">
        <v>0</v>
      </c>
      <c r="K536" s="2">
        <f t="shared" si="102"/>
        <v>10739202</v>
      </c>
      <c r="M536" s="7">
        <v>12195018</v>
      </c>
      <c r="O536" s="2">
        <f t="shared" si="97"/>
        <v>2551460</v>
      </c>
      <c r="Q536" s="7">
        <v>8960366</v>
      </c>
      <c r="S536" s="7">
        <v>11511826</v>
      </c>
      <c r="U536" s="7">
        <v>57237</v>
      </c>
      <c r="W536" s="7">
        <v>0</v>
      </c>
      <c r="Y536" s="7">
        <v>11000</v>
      </c>
      <c r="AA536" s="7">
        <v>123072</v>
      </c>
      <c r="AC536" s="7">
        <v>491883</v>
      </c>
      <c r="AE536" s="13">
        <f t="shared" si="98"/>
        <v>683192</v>
      </c>
      <c r="AG536" s="7">
        <f t="shared" si="99"/>
        <v>0</v>
      </c>
      <c r="AK536" s="7" t="str">
        <f t="shared" si="100"/>
        <v>Tipp City Exempted Village SD</v>
      </c>
      <c r="AL536" s="7" t="str">
        <f>'St of Activities - GA Exp'!A536</f>
        <v>Tipp City Exempted Village SD</v>
      </c>
      <c r="AM536" s="7" t="b">
        <f t="shared" si="101"/>
        <v>1</v>
      </c>
      <c r="AN536" s="7" t="str">
        <f t="shared" si="96"/>
        <v>Miami</v>
      </c>
      <c r="AO536" s="7" t="b">
        <f>C536='St of Activities - GA Exp'!C536</f>
        <v>1</v>
      </c>
    </row>
    <row r="537" spans="1:41">
      <c r="A537" s="12" t="s">
        <v>408</v>
      </c>
      <c r="B537" s="12"/>
      <c r="C537" s="12" t="s">
        <v>115</v>
      </c>
      <c r="D537" s="12"/>
      <c r="E537" s="12">
        <v>44909</v>
      </c>
      <c r="G537" s="7">
        <v>5821696</v>
      </c>
      <c r="I537" s="7">
        <v>0</v>
      </c>
      <c r="K537" s="2">
        <f t="shared" si="102"/>
        <v>98755697</v>
      </c>
      <c r="M537" s="7">
        <v>104577393</v>
      </c>
      <c r="O537" s="2">
        <f t="shared" si="97"/>
        <v>25400570</v>
      </c>
      <c r="Q537" s="7">
        <v>90332755</v>
      </c>
      <c r="S537" s="7">
        <v>115733325</v>
      </c>
      <c r="U537" s="7">
        <v>62902</v>
      </c>
      <c r="W537" s="7">
        <v>0</v>
      </c>
      <c r="Y537" s="7">
        <v>0</v>
      </c>
      <c r="AA537" s="7">
        <v>0</v>
      </c>
      <c r="AC537" s="7">
        <v>-11218834</v>
      </c>
      <c r="AE537" s="13">
        <f t="shared" si="98"/>
        <v>-11155932</v>
      </c>
      <c r="AG537" s="7">
        <f t="shared" si="99"/>
        <v>0</v>
      </c>
      <c r="AK537" s="7" t="str">
        <f t="shared" si="100"/>
        <v>Toledo City SD</v>
      </c>
      <c r="AL537" s="7" t="str">
        <f>'St of Activities - GA Exp'!A537</f>
        <v>Toledo City SD</v>
      </c>
      <c r="AM537" s="7" t="b">
        <f t="shared" si="101"/>
        <v>1</v>
      </c>
      <c r="AN537" s="7" t="str">
        <f t="shared" si="96"/>
        <v>Lucas</v>
      </c>
      <c r="AO537" s="7" t="b">
        <f>C537='St of Activities - GA Exp'!C537</f>
        <v>1</v>
      </c>
    </row>
    <row r="538" spans="1:41" hidden="1">
      <c r="A538" s="12" t="s">
        <v>731</v>
      </c>
      <c r="B538" s="12"/>
      <c r="C538" s="12" t="s">
        <v>115</v>
      </c>
      <c r="D538" s="12"/>
      <c r="E538" s="12"/>
      <c r="K538" s="2">
        <f t="shared" si="102"/>
        <v>0</v>
      </c>
      <c r="O538" s="2">
        <f t="shared" si="97"/>
        <v>0</v>
      </c>
      <c r="AE538" s="13">
        <f t="shared" si="98"/>
        <v>0</v>
      </c>
      <c r="AG538" s="7">
        <f t="shared" si="99"/>
        <v>0</v>
      </c>
      <c r="AI538" s="7" t="s">
        <v>794</v>
      </c>
      <c r="AK538" s="7" t="str">
        <f t="shared" si="100"/>
        <v>Toledo School for the Arts</v>
      </c>
      <c r="AL538" s="7" t="str">
        <f>'St of Activities - GA Exp'!A538</f>
        <v>Toledo School for the Arts</v>
      </c>
      <c r="AM538" s="7" t="b">
        <f t="shared" si="101"/>
        <v>1</v>
      </c>
      <c r="AN538" s="7" t="str">
        <f t="shared" si="96"/>
        <v>Lucas</v>
      </c>
      <c r="AO538" s="7" t="b">
        <f>C538='St of Activities - GA Exp'!C538</f>
        <v>1</v>
      </c>
    </row>
    <row r="539" spans="1:41">
      <c r="A539" s="12" t="s">
        <v>766</v>
      </c>
      <c r="B539" s="12"/>
      <c r="C539" s="12" t="s">
        <v>39</v>
      </c>
      <c r="D539" s="12"/>
      <c r="E539" s="12">
        <v>44917</v>
      </c>
      <c r="G539" s="7">
        <v>2210480</v>
      </c>
      <c r="I539" s="7">
        <v>0</v>
      </c>
      <c r="K539" s="2">
        <f t="shared" si="102"/>
        <v>1580833</v>
      </c>
      <c r="M539" s="7">
        <v>3791313</v>
      </c>
      <c r="O539" s="2">
        <f t="shared" si="97"/>
        <v>930227</v>
      </c>
      <c r="Q539" s="7">
        <v>1411844</v>
      </c>
      <c r="S539" s="7">
        <v>2342071</v>
      </c>
      <c r="U539" s="7">
        <v>6255</v>
      </c>
      <c r="W539" s="7">
        <v>0</v>
      </c>
      <c r="Y539" s="7">
        <v>0</v>
      </c>
      <c r="AA539" s="7">
        <v>131624</v>
      </c>
      <c r="AC539" s="7">
        <v>1311363</v>
      </c>
      <c r="AE539" s="13">
        <f t="shared" si="98"/>
        <v>1449242</v>
      </c>
      <c r="AG539" s="7">
        <f t="shared" si="99"/>
        <v>0</v>
      </c>
      <c r="AI539" s="7" t="s">
        <v>788</v>
      </c>
      <c r="AK539" s="7" t="str">
        <f t="shared" si="100"/>
        <v xml:space="preserve">Toronto City SD  </v>
      </c>
      <c r="AL539" s="7" t="str">
        <f>'St of Activities - GA Exp'!A539</f>
        <v xml:space="preserve">Toronto City SD  </v>
      </c>
      <c r="AM539" s="7" t="b">
        <f t="shared" si="101"/>
        <v>1</v>
      </c>
      <c r="AN539" s="7" t="str">
        <f t="shared" si="96"/>
        <v>Jefferson</v>
      </c>
      <c r="AO539" s="7" t="b">
        <f>C539='St of Activities - GA Exp'!C539</f>
        <v>1</v>
      </c>
    </row>
    <row r="540" spans="1:41">
      <c r="A540" s="12" t="s">
        <v>233</v>
      </c>
      <c r="B540" s="12"/>
      <c r="C540" s="12" t="s">
        <v>232</v>
      </c>
      <c r="D540" s="12"/>
      <c r="E540" s="12">
        <v>46201</v>
      </c>
      <c r="G540" s="7">
        <v>747947</v>
      </c>
      <c r="I540" s="7">
        <v>2500</v>
      </c>
      <c r="K540" s="2">
        <f>+M540-I540-G540</f>
        <v>2510953</v>
      </c>
      <c r="M540" s="7">
        <v>3261400</v>
      </c>
      <c r="O540" s="2">
        <f t="shared" si="97"/>
        <v>996393</v>
      </c>
      <c r="Q540" s="7">
        <f>1164422+149915</f>
        <v>1314337</v>
      </c>
      <c r="S540" s="7">
        <v>2310730</v>
      </c>
      <c r="U540" s="7">
        <v>48138</v>
      </c>
      <c r="W540" s="7">
        <v>2500</v>
      </c>
      <c r="Y540" s="7">
        <v>11000</v>
      </c>
      <c r="AA540" s="7">
        <f>13546+14876+37209+1811</f>
        <v>67442</v>
      </c>
      <c r="AC540" s="7">
        <v>821590</v>
      </c>
      <c r="AE540" s="13">
        <f t="shared" si="98"/>
        <v>950670</v>
      </c>
      <c r="AG540" s="7">
        <f t="shared" si="99"/>
        <v>0</v>
      </c>
      <c r="AK540" s="7" t="str">
        <f t="shared" si="100"/>
        <v>Triad Local SD</v>
      </c>
      <c r="AL540" s="7" t="str">
        <f>'St of Activities - GA Exp'!A540</f>
        <v>Triad Local SD</v>
      </c>
      <c r="AM540" s="7" t="b">
        <f t="shared" si="101"/>
        <v>1</v>
      </c>
      <c r="AN540" s="7" t="str">
        <f t="shared" si="96"/>
        <v>Champaign</v>
      </c>
      <c r="AO540" s="7" t="b">
        <f>C540='St of Activities - GA Exp'!C540</f>
        <v>1</v>
      </c>
    </row>
    <row r="541" spans="1:41" s="32" customFormat="1">
      <c r="A541" s="31" t="s">
        <v>481</v>
      </c>
      <c r="B541" s="31"/>
      <c r="C541" s="31" t="s">
        <v>57</v>
      </c>
      <c r="D541" s="31"/>
      <c r="E541" s="31">
        <v>91397</v>
      </c>
      <c r="G541" s="32">
        <v>3027137</v>
      </c>
      <c r="I541" s="32">
        <v>209503</v>
      </c>
      <c r="K541" s="34">
        <f t="shared" si="102"/>
        <v>4346896</v>
      </c>
      <c r="M541" s="32">
        <v>7583536</v>
      </c>
      <c r="O541" s="34">
        <f t="shared" si="97"/>
        <v>1039210</v>
      </c>
      <c r="Q541" s="32">
        <v>3684970</v>
      </c>
      <c r="S541" s="32">
        <v>4724180</v>
      </c>
      <c r="U541" s="32">
        <v>37608</v>
      </c>
      <c r="W541" s="32">
        <v>215180</v>
      </c>
      <c r="Y541" s="32">
        <v>13951</v>
      </c>
      <c r="AA541" s="32">
        <v>156385</v>
      </c>
      <c r="AC541" s="32">
        <v>2436232</v>
      </c>
      <c r="AE541" s="45">
        <f t="shared" si="98"/>
        <v>2859356</v>
      </c>
      <c r="AG541" s="32">
        <f t="shared" si="99"/>
        <v>0</v>
      </c>
      <c r="AK541" s="32" t="str">
        <f t="shared" si="100"/>
        <v>Tri-County North Local SD</v>
      </c>
      <c r="AL541" s="32" t="str">
        <f>'St of Activities - GA Exp'!A541</f>
        <v>Tri-County North Local SD</v>
      </c>
      <c r="AM541" s="32" t="b">
        <f t="shared" si="101"/>
        <v>1</v>
      </c>
      <c r="AN541" s="32" t="str">
        <f t="shared" si="96"/>
        <v>Preble</v>
      </c>
      <c r="AO541" s="32" t="b">
        <f>C541='St of Activities - GA Exp'!C541</f>
        <v>1</v>
      </c>
    </row>
    <row r="542" spans="1:41">
      <c r="A542" s="12" t="s">
        <v>213</v>
      </c>
      <c r="B542" s="12"/>
      <c r="C542" s="12" t="s">
        <v>13</v>
      </c>
      <c r="D542" s="12"/>
      <c r="E542" s="12">
        <v>45922</v>
      </c>
      <c r="G542" s="7">
        <v>1047878</v>
      </c>
      <c r="I542" s="7">
        <v>0</v>
      </c>
      <c r="K542" s="2">
        <f t="shared" si="102"/>
        <v>981155</v>
      </c>
      <c r="M542" s="7">
        <v>2029033</v>
      </c>
      <c r="O542" s="2">
        <f t="shared" si="97"/>
        <v>872520</v>
      </c>
      <c r="Q542" s="7">
        <v>830126</v>
      </c>
      <c r="S542" s="7">
        <v>1702646</v>
      </c>
      <c r="U542" s="7">
        <v>14251</v>
      </c>
      <c r="W542" s="7">
        <v>0</v>
      </c>
      <c r="Y542" s="7">
        <v>0</v>
      </c>
      <c r="AA542" s="7">
        <v>73651</v>
      </c>
      <c r="AC542" s="7">
        <v>238485</v>
      </c>
      <c r="AE542" s="13">
        <f t="shared" si="98"/>
        <v>326387</v>
      </c>
      <c r="AG542" s="7">
        <f t="shared" si="99"/>
        <v>0</v>
      </c>
      <c r="AK542" s="7" t="str">
        <f t="shared" si="100"/>
        <v>Trimble Local SD</v>
      </c>
      <c r="AL542" s="7" t="str">
        <f>'St of Activities - GA Exp'!A542</f>
        <v>Trimble Local SD</v>
      </c>
      <c r="AM542" s="7" t="b">
        <f t="shared" si="101"/>
        <v>1</v>
      </c>
      <c r="AN542" s="7" t="str">
        <f t="shared" si="96"/>
        <v>Athens</v>
      </c>
      <c r="AO542" s="7" t="b">
        <f>C542='St of Activities - GA Exp'!C542</f>
        <v>1</v>
      </c>
    </row>
    <row r="543" spans="1:41">
      <c r="A543" s="12" t="s">
        <v>459</v>
      </c>
      <c r="B543" s="12"/>
      <c r="C543" s="12" t="s">
        <v>51</v>
      </c>
      <c r="D543" s="12"/>
      <c r="E543" s="12">
        <v>48876</v>
      </c>
      <c r="G543" s="7">
        <v>3147220</v>
      </c>
      <c r="I543" s="7">
        <v>0</v>
      </c>
      <c r="K543" s="2">
        <f t="shared" si="102"/>
        <v>8825616</v>
      </c>
      <c r="M543" s="7">
        <v>11972836</v>
      </c>
      <c r="O543" s="2">
        <f t="shared" si="97"/>
        <v>3305820</v>
      </c>
      <c r="Q543" s="7">
        <v>8399926</v>
      </c>
      <c r="S543" s="7">
        <v>11705746</v>
      </c>
      <c r="U543" s="7">
        <v>100361</v>
      </c>
      <c r="W543" s="7">
        <v>0</v>
      </c>
      <c r="Y543" s="7">
        <v>11000</v>
      </c>
      <c r="AA543" s="7">
        <v>280192</v>
      </c>
      <c r="AC543" s="7">
        <v>-124463</v>
      </c>
      <c r="AE543" s="13">
        <f t="shared" si="98"/>
        <v>267090</v>
      </c>
      <c r="AG543" s="7">
        <f t="shared" si="99"/>
        <v>0</v>
      </c>
      <c r="AK543" s="7" t="str">
        <f t="shared" si="100"/>
        <v>Tri-Valley Local SD</v>
      </c>
      <c r="AL543" s="7" t="str">
        <f>'St of Activities - GA Exp'!A543</f>
        <v>Tri-Valley Local SD</v>
      </c>
      <c r="AM543" s="7" t="b">
        <f t="shared" si="101"/>
        <v>1</v>
      </c>
      <c r="AN543" s="7" t="str">
        <f t="shared" si="96"/>
        <v>Muskingum</v>
      </c>
      <c r="AO543" s="7" t="b">
        <f>C543='St of Activities - GA Exp'!C543</f>
        <v>1</v>
      </c>
    </row>
    <row r="544" spans="1:41" hidden="1">
      <c r="A544" s="12" t="s">
        <v>726</v>
      </c>
      <c r="B544" s="12"/>
      <c r="C544" s="12" t="s">
        <v>21</v>
      </c>
      <c r="D544" s="12"/>
      <c r="E544" s="12">
        <v>46680</v>
      </c>
      <c r="K544" s="2">
        <f t="shared" si="102"/>
        <v>0</v>
      </c>
      <c r="O544" s="2">
        <f t="shared" si="97"/>
        <v>0</v>
      </c>
      <c r="AE544" s="13">
        <f t="shared" si="98"/>
        <v>0</v>
      </c>
      <c r="AG544" s="7">
        <f t="shared" si="99"/>
        <v>0</v>
      </c>
      <c r="AK544" s="7" t="str">
        <f t="shared" si="100"/>
        <v>Tri-Village Local SD (CASH)</v>
      </c>
      <c r="AL544" s="7" t="str">
        <f>'St of Activities - GA Exp'!A544</f>
        <v>Tri-Village Local SD (CASH)</v>
      </c>
      <c r="AM544" s="7" t="b">
        <f t="shared" si="101"/>
        <v>1</v>
      </c>
      <c r="AN544" s="7" t="str">
        <f t="shared" si="96"/>
        <v>Darke</v>
      </c>
      <c r="AO544" s="7" t="b">
        <f>C544='St of Activities - GA Exp'!C544</f>
        <v>1</v>
      </c>
    </row>
    <row r="545" spans="1:41" hidden="1">
      <c r="A545" s="12" t="s">
        <v>569</v>
      </c>
      <c r="B545" s="12"/>
      <c r="C545" s="12" t="s">
        <v>71</v>
      </c>
      <c r="D545" s="12"/>
      <c r="E545" s="12">
        <v>50591</v>
      </c>
      <c r="K545" s="2">
        <f t="shared" si="102"/>
        <v>0</v>
      </c>
      <c r="O545" s="2">
        <f t="shared" si="97"/>
        <v>0</v>
      </c>
      <c r="AE545" s="13">
        <f t="shared" si="98"/>
        <v>0</v>
      </c>
      <c r="AG545" s="7">
        <f t="shared" si="99"/>
        <v>0</v>
      </c>
      <c r="AI545" s="7" t="s">
        <v>795</v>
      </c>
      <c r="AK545" s="7" t="str">
        <f t="shared" si="100"/>
        <v>Triway Local SD</v>
      </c>
      <c r="AL545" s="7" t="str">
        <f>'St of Activities - GA Exp'!A545</f>
        <v>Triway Local SD</v>
      </c>
      <c r="AM545" s="7" t="b">
        <f t="shared" si="101"/>
        <v>1</v>
      </c>
      <c r="AN545" s="7" t="str">
        <f t="shared" si="96"/>
        <v>Wayne</v>
      </c>
      <c r="AO545" s="7" t="b">
        <f>C545='St of Activities - GA Exp'!C545</f>
        <v>1</v>
      </c>
    </row>
    <row r="546" spans="1:41">
      <c r="A546" s="12" t="s">
        <v>449</v>
      </c>
      <c r="B546" s="12"/>
      <c r="C546" s="12" t="s">
        <v>50</v>
      </c>
      <c r="D546" s="12"/>
      <c r="E546" s="12">
        <v>48694</v>
      </c>
      <c r="G546" s="7">
        <f>12904644+500000</f>
        <v>13404644</v>
      </c>
      <c r="I546" s="7">
        <v>81076</v>
      </c>
      <c r="K546" s="2">
        <f t="shared" si="102"/>
        <v>10822350</v>
      </c>
      <c r="M546" s="7">
        <v>24308070</v>
      </c>
      <c r="O546" s="2">
        <f t="shared" si="97"/>
        <v>2440661</v>
      </c>
      <c r="Q546" s="7">
        <v>9378393</v>
      </c>
      <c r="S546" s="7">
        <v>11819054</v>
      </c>
      <c r="U546" s="7">
        <v>0</v>
      </c>
      <c r="W546" s="7">
        <v>0</v>
      </c>
      <c r="Y546" s="7">
        <v>0</v>
      </c>
      <c r="AA546" s="7">
        <v>0</v>
      </c>
      <c r="AC546" s="7">
        <v>12489016</v>
      </c>
      <c r="AE546" s="13">
        <f t="shared" si="98"/>
        <v>12489016</v>
      </c>
      <c r="AG546" s="7">
        <f t="shared" si="99"/>
        <v>0</v>
      </c>
      <c r="AK546" s="7" t="str">
        <f t="shared" si="100"/>
        <v>Trotwood-Madison City SD</v>
      </c>
      <c r="AL546" s="7" t="str">
        <f>'St of Activities - GA Exp'!A546</f>
        <v>Trotwood-Madison City SD</v>
      </c>
      <c r="AM546" s="7" t="b">
        <f t="shared" si="101"/>
        <v>1</v>
      </c>
      <c r="AN546" s="7" t="str">
        <f t="shared" si="96"/>
        <v>Montgomery</v>
      </c>
      <c r="AO546" s="7" t="b">
        <f>C546='St of Activities - GA Exp'!C546</f>
        <v>1</v>
      </c>
    </row>
    <row r="547" spans="1:41">
      <c r="A547" s="12" t="s">
        <v>439</v>
      </c>
      <c r="B547" s="12"/>
      <c r="C547" s="12" t="s">
        <v>48</v>
      </c>
      <c r="D547" s="12"/>
      <c r="E547" s="12">
        <v>44925</v>
      </c>
      <c r="G547" s="7">
        <v>11958273</v>
      </c>
      <c r="I547" s="7">
        <v>0</v>
      </c>
      <c r="K547" s="2">
        <f t="shared" si="102"/>
        <v>17802557</v>
      </c>
      <c r="M547" s="7">
        <v>29760830</v>
      </c>
      <c r="O547" s="2">
        <f t="shared" si="97"/>
        <v>4341896</v>
      </c>
      <c r="Q547" s="7">
        <v>12762569</v>
      </c>
      <c r="S547" s="7">
        <v>17104465</v>
      </c>
      <c r="U547" s="7">
        <v>112942</v>
      </c>
      <c r="W547" s="7">
        <v>0</v>
      </c>
      <c r="Y547" s="7">
        <v>0</v>
      </c>
      <c r="AA547" s="7">
        <f>1889681+335071+14294+142806</f>
        <v>2381852</v>
      </c>
      <c r="AC547" s="7">
        <v>10161571</v>
      </c>
      <c r="AE547" s="13">
        <f t="shared" si="98"/>
        <v>12656365</v>
      </c>
      <c r="AG547" s="7">
        <f t="shared" si="99"/>
        <v>0</v>
      </c>
      <c r="AK547" s="7" t="str">
        <f t="shared" si="100"/>
        <v>Troy City SD</v>
      </c>
      <c r="AL547" s="7" t="str">
        <f>'St of Activities - GA Exp'!A547</f>
        <v>Troy City SD</v>
      </c>
      <c r="AM547" s="7" t="b">
        <f t="shared" si="101"/>
        <v>1</v>
      </c>
      <c r="AN547" s="7" t="str">
        <f t="shared" si="96"/>
        <v>Miami</v>
      </c>
      <c r="AO547" s="7" t="b">
        <f>C547='St of Activities - GA Exp'!C547</f>
        <v>1</v>
      </c>
    </row>
    <row r="548" spans="1:41">
      <c r="A548" s="12" t="s">
        <v>554</v>
      </c>
      <c r="B548" s="12"/>
      <c r="C548" s="12" t="s">
        <v>65</v>
      </c>
      <c r="D548" s="12"/>
      <c r="E548" s="12">
        <v>50302</v>
      </c>
      <c r="G548" s="7">
        <v>2504287</v>
      </c>
      <c r="I548" s="7">
        <v>0</v>
      </c>
      <c r="K548" s="2">
        <f t="shared" si="102"/>
        <v>5289856</v>
      </c>
      <c r="M548" s="7">
        <v>7794143</v>
      </c>
      <c r="O548" s="2">
        <f t="shared" si="97"/>
        <v>1446968</v>
      </c>
      <c r="Q548" s="7">
        <f>4005758+603805</f>
        <v>4609563</v>
      </c>
      <c r="S548" s="7">
        <v>6056531</v>
      </c>
      <c r="U548" s="7">
        <f>15551+19245</f>
        <v>34796</v>
      </c>
      <c r="W548" s="7">
        <v>0</v>
      </c>
      <c r="Y548" s="7">
        <v>0</v>
      </c>
      <c r="AA548" s="7">
        <f>3966+16944</f>
        <v>20910</v>
      </c>
      <c r="AC548" s="7">
        <v>1681906</v>
      </c>
      <c r="AE548" s="13">
        <f t="shared" si="98"/>
        <v>1737612</v>
      </c>
      <c r="AG548" s="7">
        <f t="shared" si="99"/>
        <v>0</v>
      </c>
      <c r="AK548" s="7" t="str">
        <f t="shared" si="100"/>
        <v>Tuscarawas Valley Local SD</v>
      </c>
      <c r="AL548" s="7" t="str">
        <f>'St of Activities - GA Exp'!A548</f>
        <v>Tuscarawas Valley Local SD</v>
      </c>
      <c r="AM548" s="7" t="b">
        <f t="shared" si="101"/>
        <v>1</v>
      </c>
      <c r="AN548" s="7" t="str">
        <f t="shared" si="96"/>
        <v>Tuscarawas</v>
      </c>
      <c r="AO548" s="7" t="b">
        <f>C548='St of Activities - GA Exp'!C548</f>
        <v>1</v>
      </c>
    </row>
    <row r="549" spans="1:41">
      <c r="A549" s="12" t="s">
        <v>521</v>
      </c>
      <c r="B549" s="12"/>
      <c r="C549" s="12" t="s">
        <v>62</v>
      </c>
      <c r="D549" s="12"/>
      <c r="E549" s="12">
        <v>49957</v>
      </c>
      <c r="G549" s="7">
        <v>1468214</v>
      </c>
      <c r="I549" s="7">
        <v>33735</v>
      </c>
      <c r="K549" s="2">
        <f t="shared" si="102"/>
        <v>4911103</v>
      </c>
      <c r="M549" s="7">
        <v>6413052</v>
      </c>
      <c r="O549" s="2">
        <f t="shared" si="97"/>
        <v>1016451</v>
      </c>
      <c r="Q549" s="7">
        <v>4235015</v>
      </c>
      <c r="S549" s="7">
        <v>5251466</v>
      </c>
      <c r="U549" s="7">
        <v>0</v>
      </c>
      <c r="W549" s="7">
        <v>33735</v>
      </c>
      <c r="Y549" s="7">
        <v>0</v>
      </c>
      <c r="AA549" s="7">
        <v>137853</v>
      </c>
      <c r="AC549" s="7">
        <v>989998</v>
      </c>
      <c r="AE549" s="13">
        <f t="shared" si="98"/>
        <v>1161586</v>
      </c>
      <c r="AG549" s="7">
        <f t="shared" si="99"/>
        <v>0</v>
      </c>
      <c r="AK549" s="7" t="str">
        <f t="shared" si="100"/>
        <v>Tuslaw Local SD</v>
      </c>
      <c r="AL549" s="7" t="str">
        <f>'St of Activities - GA Exp'!A549</f>
        <v>Tuslaw Local SD</v>
      </c>
      <c r="AM549" s="7" t="b">
        <f t="shared" si="101"/>
        <v>1</v>
      </c>
      <c r="AN549" s="7" t="str">
        <f t="shared" si="96"/>
        <v>Stark</v>
      </c>
      <c r="AO549" s="7" t="b">
        <f>C549='St of Activities - GA Exp'!C549</f>
        <v>1</v>
      </c>
    </row>
    <row r="550" spans="1:41" hidden="1">
      <c r="A550" s="12" t="s">
        <v>732</v>
      </c>
      <c r="B550" s="12"/>
      <c r="C550" s="12" t="s">
        <v>57</v>
      </c>
      <c r="D550" s="12"/>
      <c r="E550" s="12">
        <v>49296</v>
      </c>
      <c r="K550" s="2">
        <f t="shared" si="102"/>
        <v>0</v>
      </c>
      <c r="O550" s="2">
        <f t="shared" si="97"/>
        <v>0</v>
      </c>
      <c r="AE550" s="13">
        <f t="shared" si="98"/>
        <v>0</v>
      </c>
      <c r="AG550" s="7">
        <f t="shared" si="99"/>
        <v>0</v>
      </c>
      <c r="AI550" s="7" t="s">
        <v>789</v>
      </c>
      <c r="AK550" s="7" t="str">
        <f t="shared" si="100"/>
        <v>Twin Valley Community Local SD (CASH)</v>
      </c>
      <c r="AL550" s="7" t="str">
        <f>'St of Activities - GA Exp'!A550</f>
        <v>Twin Valley Community Local SD (CASH)</v>
      </c>
      <c r="AM550" s="7" t="b">
        <f t="shared" si="101"/>
        <v>1</v>
      </c>
      <c r="AN550" s="7" t="str">
        <f t="shared" si="96"/>
        <v>Preble</v>
      </c>
      <c r="AO550" s="7" t="b">
        <f>C550='St of Activities - GA Exp'!C550</f>
        <v>1</v>
      </c>
    </row>
    <row r="551" spans="1:41">
      <c r="A551" s="12" t="s">
        <v>532</v>
      </c>
      <c r="B551" s="12"/>
      <c r="C551" s="12" t="s">
        <v>63</v>
      </c>
      <c r="D551" s="12"/>
      <c r="E551" s="12">
        <v>50070</v>
      </c>
      <c r="G551" s="7">
        <v>31177282</v>
      </c>
      <c r="I551" s="7">
        <v>0</v>
      </c>
      <c r="K551" s="2">
        <f t="shared" si="102"/>
        <v>24595362</v>
      </c>
      <c r="M551" s="7">
        <v>55772644</v>
      </c>
      <c r="O551" s="2">
        <f t="shared" si="97"/>
        <v>5369744</v>
      </c>
      <c r="Q551" s="7">
        <v>21925826</v>
      </c>
      <c r="S551" s="7">
        <v>27295570</v>
      </c>
      <c r="U551" s="7">
        <v>0</v>
      </c>
      <c r="W551" s="7">
        <v>0</v>
      </c>
      <c r="Y551" s="7">
        <v>0</v>
      </c>
      <c r="AA551" s="7">
        <v>418309</v>
      </c>
      <c r="AC551" s="7">
        <v>28058765</v>
      </c>
      <c r="AE551" s="13">
        <f t="shared" si="98"/>
        <v>28477074</v>
      </c>
      <c r="AG551" s="7">
        <f t="shared" si="99"/>
        <v>0</v>
      </c>
      <c r="AK551" s="7" t="str">
        <f t="shared" si="100"/>
        <v>Twinsburg City SD</v>
      </c>
      <c r="AL551" s="7" t="str">
        <f>'St of Activities - GA Exp'!A551</f>
        <v>Twinsburg City SD</v>
      </c>
      <c r="AM551" s="7" t="b">
        <f t="shared" si="101"/>
        <v>1</v>
      </c>
      <c r="AN551" s="7" t="str">
        <f t="shared" si="96"/>
        <v>Summit</v>
      </c>
      <c r="AO551" s="7" t="b">
        <f>C551='St of Activities - GA Exp'!C551</f>
        <v>1</v>
      </c>
    </row>
    <row r="552" spans="1:41" hidden="1">
      <c r="A552" s="12" t="s">
        <v>219</v>
      </c>
      <c r="B552" s="12"/>
      <c r="C552" s="12" t="s">
        <v>15</v>
      </c>
      <c r="D552" s="12"/>
      <c r="E552" s="12">
        <v>46011</v>
      </c>
      <c r="K552" s="2">
        <f t="shared" si="102"/>
        <v>0</v>
      </c>
      <c r="O552" s="2">
        <f t="shared" si="97"/>
        <v>0</v>
      </c>
      <c r="AE552" s="13">
        <f t="shared" si="98"/>
        <v>0</v>
      </c>
      <c r="AG552" s="7">
        <f t="shared" si="99"/>
        <v>0</v>
      </c>
      <c r="AI552" s="7" t="s">
        <v>791</v>
      </c>
      <c r="AK552" s="7" t="str">
        <f t="shared" si="100"/>
        <v>Union Local SD</v>
      </c>
      <c r="AL552" s="7" t="str">
        <f>'St of Activities - GA Exp'!A552</f>
        <v>Union Local SD</v>
      </c>
      <c r="AM552" s="7" t="b">
        <f t="shared" si="101"/>
        <v>1</v>
      </c>
      <c r="AN552" s="7" t="str">
        <f t="shared" si="96"/>
        <v>Belmont</v>
      </c>
      <c r="AO552" s="7" t="b">
        <f>C552='St of Activities - GA Exp'!C552</f>
        <v>1</v>
      </c>
    </row>
    <row r="553" spans="1:41">
      <c r="A553" s="12" t="s">
        <v>491</v>
      </c>
      <c r="B553" s="12"/>
      <c r="C553" s="12" t="s">
        <v>58</v>
      </c>
      <c r="D553" s="12"/>
      <c r="E553" s="12">
        <v>49536</v>
      </c>
      <c r="G553" s="7">
        <v>10790182</v>
      </c>
      <c r="I553" s="7">
        <v>570914</v>
      </c>
      <c r="K553" s="2">
        <f t="shared" si="102"/>
        <v>3378125</v>
      </c>
      <c r="M553" s="7">
        <v>14739221</v>
      </c>
      <c r="O553" s="2">
        <f t="shared" si="97"/>
        <v>1807163</v>
      </c>
      <c r="Q553" s="7">
        <v>2058682</v>
      </c>
      <c r="S553" s="7">
        <v>3865845</v>
      </c>
      <c r="U553" s="7">
        <v>14476</v>
      </c>
      <c r="W553" s="7">
        <v>566908</v>
      </c>
      <c r="Y553" s="7">
        <v>254677</v>
      </c>
      <c r="AA553" s="7">
        <v>1289339</v>
      </c>
      <c r="AC553" s="7">
        <v>8747976</v>
      </c>
      <c r="AE553" s="13">
        <f t="shared" si="98"/>
        <v>10873376</v>
      </c>
      <c r="AG553" s="7">
        <f t="shared" si="99"/>
        <v>0</v>
      </c>
      <c r="AK553" s="7" t="str">
        <f t="shared" si="100"/>
        <v>Union-Scioto Local SD</v>
      </c>
      <c r="AL553" s="7" t="str">
        <f>'St of Activities - GA Exp'!A553</f>
        <v>Union-Scioto Local SD</v>
      </c>
      <c r="AM553" s="7" t="b">
        <f t="shared" si="101"/>
        <v>1</v>
      </c>
      <c r="AN553" s="7" t="str">
        <f t="shared" si="96"/>
        <v>Ross</v>
      </c>
      <c r="AO553" s="7" t="b">
        <f>C553='St of Activities - GA Exp'!C553</f>
        <v>1</v>
      </c>
    </row>
    <row r="554" spans="1:41">
      <c r="A554" s="12" t="s">
        <v>257</v>
      </c>
      <c r="B554" s="12"/>
      <c r="C554" s="12" t="s">
        <v>112</v>
      </c>
      <c r="D554" s="12"/>
      <c r="E554" s="12">
        <v>46458</v>
      </c>
      <c r="G554" s="7">
        <v>4084294</v>
      </c>
      <c r="I554" s="7">
        <v>35553</v>
      </c>
      <c r="K554" s="2">
        <f t="shared" si="102"/>
        <v>3127170</v>
      </c>
      <c r="M554" s="7">
        <v>7247017</v>
      </c>
      <c r="O554" s="2">
        <f t="shared" si="97"/>
        <v>1524686</v>
      </c>
      <c r="Q554" s="7">
        <f>177664+2539530</f>
        <v>2717194</v>
      </c>
      <c r="S554" s="7">
        <v>4241880</v>
      </c>
      <c r="U554" s="7">
        <v>590</v>
      </c>
      <c r="W554" s="7">
        <v>35553</v>
      </c>
      <c r="Y554" s="7">
        <v>11000</v>
      </c>
      <c r="AA554" s="7">
        <f>5235+64575+2319+22614</f>
        <v>94743</v>
      </c>
      <c r="AC554" s="7">
        <v>2863251</v>
      </c>
      <c r="AE554" s="13">
        <f t="shared" si="98"/>
        <v>3005137</v>
      </c>
      <c r="AG554" s="7">
        <f t="shared" si="99"/>
        <v>0</v>
      </c>
      <c r="AK554" s="7" t="str">
        <f t="shared" si="100"/>
        <v>United Local SD</v>
      </c>
      <c r="AL554" s="7" t="str">
        <f>'St of Activities - GA Exp'!A554</f>
        <v>United Local SD</v>
      </c>
      <c r="AM554" s="7" t="b">
        <f t="shared" si="101"/>
        <v>1</v>
      </c>
      <c r="AN554" s="7" t="str">
        <f t="shared" si="96"/>
        <v>Columbiana</v>
      </c>
      <c r="AO554" s="7" t="b">
        <f>C554='St of Activities - GA Exp'!C554</f>
        <v>1</v>
      </c>
    </row>
    <row r="555" spans="1:41">
      <c r="A555" s="12" t="s">
        <v>314</v>
      </c>
      <c r="B555" s="12"/>
      <c r="C555" s="12" t="s">
        <v>27</v>
      </c>
      <c r="D555" s="12"/>
      <c r="E555" s="12">
        <v>44933</v>
      </c>
      <c r="G555" s="7">
        <v>45622462</v>
      </c>
      <c r="I555" s="7">
        <v>0</v>
      </c>
      <c r="K555" s="2">
        <f t="shared" si="102"/>
        <v>53924151</v>
      </c>
      <c r="M555" s="7">
        <v>99546613</v>
      </c>
      <c r="O555" s="2">
        <f t="shared" si="97"/>
        <v>9213642</v>
      </c>
      <c r="Q555" s="7">
        <v>37355725</v>
      </c>
      <c r="S555" s="7">
        <v>46569367</v>
      </c>
      <c r="U555" s="7">
        <v>78111</v>
      </c>
      <c r="W555" s="7">
        <v>0</v>
      </c>
      <c r="Y555" s="7">
        <v>0</v>
      </c>
      <c r="AA555" s="7">
        <v>8210082</v>
      </c>
      <c r="AC555" s="7">
        <v>44689053</v>
      </c>
      <c r="AE555" s="13">
        <f t="shared" si="98"/>
        <v>52977246</v>
      </c>
      <c r="AG555" s="7">
        <f t="shared" si="99"/>
        <v>0</v>
      </c>
      <c r="AK555" s="7" t="str">
        <f t="shared" si="100"/>
        <v>Upper Arlington City SD</v>
      </c>
      <c r="AL555" s="7" t="str">
        <f>'St of Activities - GA Exp'!A555</f>
        <v>Upper Arlington City SD</v>
      </c>
      <c r="AM555" s="7" t="b">
        <f t="shared" si="101"/>
        <v>1</v>
      </c>
      <c r="AN555" s="7" t="str">
        <f t="shared" si="96"/>
        <v>Franklin</v>
      </c>
      <c r="AO555" s="7" t="b">
        <f>C555='St of Activities - GA Exp'!C555</f>
        <v>1</v>
      </c>
    </row>
    <row r="556" spans="1:41" hidden="1">
      <c r="A556" s="12" t="s">
        <v>888</v>
      </c>
      <c r="B556" s="12"/>
      <c r="C556" s="12" t="s">
        <v>577</v>
      </c>
      <c r="D556" s="12"/>
      <c r="E556" s="12">
        <v>45625</v>
      </c>
      <c r="K556" s="2">
        <f t="shared" si="102"/>
        <v>0</v>
      </c>
      <c r="O556" s="2">
        <f t="shared" si="97"/>
        <v>0</v>
      </c>
      <c r="AE556" s="13">
        <f t="shared" si="98"/>
        <v>0</v>
      </c>
      <c r="AG556" s="7">
        <f t="shared" si="99"/>
        <v>0</v>
      </c>
      <c r="AI556" s="7" t="s">
        <v>789</v>
      </c>
      <c r="AK556" s="7" t="str">
        <f t="shared" si="100"/>
        <v>Upper Sandusky Exempted Village SD (CASH)</v>
      </c>
      <c r="AL556" s="7" t="str">
        <f>'St of Activities - GA Exp'!A556</f>
        <v>Upper Sandusky Exempted Village SD (CASH)</v>
      </c>
      <c r="AM556" s="7" t="b">
        <f t="shared" si="101"/>
        <v>1</v>
      </c>
      <c r="AN556" s="7" t="str">
        <f t="shared" si="96"/>
        <v>Wyandot</v>
      </c>
      <c r="AO556" s="7" t="b">
        <f>C556='St of Activities - GA Exp'!C556</f>
        <v>1</v>
      </c>
    </row>
    <row r="557" spans="1:41" hidden="1">
      <c r="A557" s="12" t="s">
        <v>733</v>
      </c>
      <c r="B557" s="12"/>
      <c r="C557" s="12" t="s">
        <v>348</v>
      </c>
      <c r="D557" s="12"/>
      <c r="E557" s="12">
        <v>47522</v>
      </c>
      <c r="K557" s="2">
        <f t="shared" si="102"/>
        <v>0</v>
      </c>
      <c r="O557" s="2">
        <f t="shared" si="97"/>
        <v>0</v>
      </c>
      <c r="AE557" s="13">
        <f t="shared" si="98"/>
        <v>0</v>
      </c>
      <c r="AG557" s="7">
        <f t="shared" si="99"/>
        <v>0</v>
      </c>
      <c r="AI557" s="7" t="s">
        <v>789</v>
      </c>
      <c r="AK557" s="7" t="str">
        <f t="shared" si="100"/>
        <v>Upper Scioto Valley Local SD (CASH)</v>
      </c>
      <c r="AL557" s="7" t="str">
        <f>'St of Activities - GA Exp'!A557</f>
        <v>Upper Scioto Valley Local SD (CASH)</v>
      </c>
      <c r="AM557" s="7" t="b">
        <f t="shared" si="101"/>
        <v>1</v>
      </c>
      <c r="AN557" s="7" t="str">
        <f t="shared" si="96"/>
        <v>Hardin</v>
      </c>
      <c r="AO557" s="7" t="b">
        <f>C557='St of Activities - GA Exp'!C557</f>
        <v>1</v>
      </c>
    </row>
    <row r="558" spans="1:41">
      <c r="A558" s="12" t="s">
        <v>234</v>
      </c>
      <c r="B558" s="12"/>
      <c r="C558" s="12" t="s">
        <v>232</v>
      </c>
      <c r="D558" s="12"/>
      <c r="E558" s="12">
        <v>44941</v>
      </c>
      <c r="G558" s="7">
        <v>3133561</v>
      </c>
      <c r="I558" s="7">
        <v>585714</v>
      </c>
      <c r="K558" s="2">
        <f t="shared" si="102"/>
        <v>8137299</v>
      </c>
      <c r="M558" s="7">
        <v>11856574</v>
      </c>
      <c r="O558" s="2">
        <f t="shared" si="97"/>
        <v>3123432</v>
      </c>
      <c r="Q558" s="7">
        <f>206900+4496715</f>
        <v>4703615</v>
      </c>
      <c r="S558" s="7">
        <v>7827047</v>
      </c>
      <c r="U558" s="7">
        <f>3145+58669</f>
        <v>61814</v>
      </c>
      <c r="W558" s="7">
        <f>748+8214+584966</f>
        <v>593928</v>
      </c>
      <c r="Y558" s="7">
        <f>22480+449100+10000</f>
        <v>481580</v>
      </c>
      <c r="AA558" s="7">
        <f>211497+272993+1216+14472</f>
        <v>500178</v>
      </c>
      <c r="AC558" s="7">
        <v>2392027</v>
      </c>
      <c r="AE558" s="13">
        <f t="shared" si="98"/>
        <v>4029527</v>
      </c>
      <c r="AG558" s="7">
        <f t="shared" si="99"/>
        <v>0</v>
      </c>
      <c r="AK558" s="7" t="str">
        <f t="shared" si="100"/>
        <v>Urbana City SD</v>
      </c>
      <c r="AL558" s="7" t="str">
        <f>'St of Activities - GA Exp'!A558</f>
        <v>Urbana City SD</v>
      </c>
      <c r="AM558" s="7" t="b">
        <f t="shared" si="101"/>
        <v>1</v>
      </c>
      <c r="AN558" s="7" t="str">
        <f t="shared" si="96"/>
        <v>Champaign</v>
      </c>
      <c r="AO558" s="7" t="b">
        <f>C558='St of Activities - GA Exp'!C558</f>
        <v>1</v>
      </c>
    </row>
    <row r="559" spans="1:41" hidden="1">
      <c r="A559" s="12" t="s">
        <v>734</v>
      </c>
      <c r="B559" s="12"/>
      <c r="C559" s="12" t="s">
        <v>59</v>
      </c>
      <c r="D559" s="12"/>
      <c r="E559" s="12">
        <v>49643</v>
      </c>
      <c r="K559" s="2">
        <f t="shared" si="102"/>
        <v>0</v>
      </c>
      <c r="O559" s="2">
        <f t="shared" si="97"/>
        <v>0</v>
      </c>
      <c r="AE559" s="13">
        <f t="shared" si="98"/>
        <v>0</v>
      </c>
      <c r="AG559" s="7">
        <f t="shared" si="99"/>
        <v>0</v>
      </c>
      <c r="AI559" s="7" t="s">
        <v>789</v>
      </c>
      <c r="AK559" s="7" t="str">
        <f t="shared" si="100"/>
        <v>Valley Local SD (CASH)</v>
      </c>
      <c r="AL559" s="7" t="str">
        <f>'St of Activities - GA Exp'!A559</f>
        <v>Valley Local SD (CASH)</v>
      </c>
      <c r="AM559" s="7" t="b">
        <f t="shared" si="101"/>
        <v>1</v>
      </c>
      <c r="AN559" s="7" t="str">
        <f t="shared" si="96"/>
        <v>Scioto</v>
      </c>
      <c r="AO559" s="7" t="b">
        <f>C559='St of Activities - GA Exp'!C559</f>
        <v>1</v>
      </c>
    </row>
    <row r="560" spans="1:41">
      <c r="A560" s="12" t="s">
        <v>450</v>
      </c>
      <c r="B560" s="12"/>
      <c r="C560" s="12" t="s">
        <v>50</v>
      </c>
      <c r="D560" s="12"/>
      <c r="E560" s="12">
        <v>48744</v>
      </c>
      <c r="G560" s="7">
        <v>2181629</v>
      </c>
      <c r="I560" s="7">
        <v>0</v>
      </c>
      <c r="K560" s="2">
        <f t="shared" si="102"/>
        <v>6509229</v>
      </c>
      <c r="M560" s="7">
        <v>8690858</v>
      </c>
      <c r="O560" s="2">
        <f t="shared" si="97"/>
        <v>2515564</v>
      </c>
      <c r="Q560" s="7">
        <f>192073+4996125</f>
        <v>5188198</v>
      </c>
      <c r="S560" s="7">
        <v>7703762</v>
      </c>
      <c r="U560" s="7">
        <f>17813+9789</f>
        <v>27602</v>
      </c>
      <c r="W560" s="7">
        <v>0</v>
      </c>
      <c r="Y560" s="7">
        <v>11000</v>
      </c>
      <c r="AA560" s="7">
        <f>56+75636+29208+40206</f>
        <v>145106</v>
      </c>
      <c r="AC560" s="7">
        <v>803388</v>
      </c>
      <c r="AE560" s="13">
        <f t="shared" si="98"/>
        <v>987096</v>
      </c>
      <c r="AG560" s="7">
        <f t="shared" si="99"/>
        <v>0</v>
      </c>
      <c r="AK560" s="7" t="str">
        <f t="shared" si="100"/>
        <v>Valley View Local SD</v>
      </c>
      <c r="AL560" s="7" t="str">
        <f>'St of Activities - GA Exp'!A560</f>
        <v>Valley View Local SD</v>
      </c>
      <c r="AM560" s="7" t="b">
        <f t="shared" si="101"/>
        <v>1</v>
      </c>
      <c r="AN560" s="7" t="str">
        <f t="shared" si="96"/>
        <v>Montgomery</v>
      </c>
      <c r="AO560" s="7" t="b">
        <f>C560='St of Activities - GA Exp'!C560</f>
        <v>1</v>
      </c>
    </row>
    <row r="561" spans="1:41">
      <c r="A561" s="12" t="s">
        <v>347</v>
      </c>
      <c r="B561" s="12"/>
      <c r="C561" s="12" t="s">
        <v>33</v>
      </c>
      <c r="D561" s="12"/>
      <c r="E561" s="12">
        <v>47464</v>
      </c>
      <c r="G561" s="7">
        <v>6958120</v>
      </c>
      <c r="I561" s="7">
        <v>489021</v>
      </c>
      <c r="K561" s="2">
        <f t="shared" si="102"/>
        <v>6083361</v>
      </c>
      <c r="M561" s="7">
        <v>13530502</v>
      </c>
      <c r="O561" s="2">
        <f t="shared" si="97"/>
        <v>1051131</v>
      </c>
      <c r="Q561" s="7">
        <v>5571305</v>
      </c>
      <c r="S561" s="7">
        <v>6622436</v>
      </c>
      <c r="U561" s="7">
        <v>17064</v>
      </c>
      <c r="W561" s="7">
        <v>489021</v>
      </c>
      <c r="Y561" s="7">
        <v>239615</v>
      </c>
      <c r="AA561" s="7">
        <v>198808</v>
      </c>
      <c r="AC561" s="7">
        <v>5963558</v>
      </c>
      <c r="AE561" s="13">
        <f t="shared" si="98"/>
        <v>6908066</v>
      </c>
      <c r="AG561" s="7">
        <f t="shared" si="99"/>
        <v>0</v>
      </c>
      <c r="AK561" s="7" t="str">
        <f t="shared" si="100"/>
        <v>Van Buren Local SD</v>
      </c>
      <c r="AL561" s="7" t="str">
        <f>'St of Activities - GA Exp'!A561</f>
        <v>Van Buren Local SD</v>
      </c>
      <c r="AM561" s="7" t="b">
        <f t="shared" si="101"/>
        <v>1</v>
      </c>
      <c r="AN561" s="7" t="str">
        <f t="shared" si="96"/>
        <v>Hancock</v>
      </c>
      <c r="AO561" s="7" t="b">
        <f>C561='St of Activities - GA Exp'!C561</f>
        <v>1</v>
      </c>
    </row>
    <row r="562" spans="1:41" hidden="1">
      <c r="A562" s="12" t="s">
        <v>978</v>
      </c>
      <c r="B562" s="12"/>
      <c r="C562" s="12" t="s">
        <v>67</v>
      </c>
      <c r="D562" s="12"/>
      <c r="E562" s="12">
        <v>44966</v>
      </c>
      <c r="K562" s="2">
        <f t="shared" si="102"/>
        <v>0</v>
      </c>
      <c r="O562" s="2">
        <f t="shared" si="97"/>
        <v>0</v>
      </c>
      <c r="AE562" s="13">
        <f t="shared" si="98"/>
        <v>0</v>
      </c>
      <c r="AG562" s="7">
        <f t="shared" si="99"/>
        <v>0</v>
      </c>
      <c r="AI562" s="7" t="s">
        <v>979</v>
      </c>
      <c r="AK562" s="7" t="str">
        <f t="shared" si="100"/>
        <v>Van Wert City SD (CASH)</v>
      </c>
      <c r="AL562" s="7" t="str">
        <f>'St of Activities - GA Exp'!A562</f>
        <v>Van Wert City SD (CASH)</v>
      </c>
      <c r="AM562" s="7" t="b">
        <f t="shared" si="101"/>
        <v>1</v>
      </c>
      <c r="AN562" s="7" t="str">
        <f t="shared" si="96"/>
        <v>Van Wert</v>
      </c>
      <c r="AO562" s="7" t="b">
        <f>C562='St of Activities - GA Exp'!C562</f>
        <v>1</v>
      </c>
    </row>
    <row r="563" spans="1:41">
      <c r="A563" s="12" t="s">
        <v>451</v>
      </c>
      <c r="B563" s="12"/>
      <c r="C563" s="12" t="s">
        <v>50</v>
      </c>
      <c r="D563" s="12"/>
      <c r="E563" s="12">
        <v>44958</v>
      </c>
      <c r="G563" s="7">
        <v>11625512</v>
      </c>
      <c r="I563" s="7">
        <v>0</v>
      </c>
      <c r="K563" s="2">
        <f t="shared" si="102"/>
        <v>19428612</v>
      </c>
      <c r="M563" s="7">
        <v>31054124</v>
      </c>
      <c r="O563" s="2">
        <f t="shared" si="97"/>
        <v>5591145</v>
      </c>
      <c r="Q563" s="7">
        <f>16231532+984673</f>
        <v>17216205</v>
      </c>
      <c r="S563" s="7">
        <v>22807350</v>
      </c>
      <c r="U563" s="7">
        <v>54661</v>
      </c>
      <c r="W563" s="7">
        <v>0</v>
      </c>
      <c r="Y563" s="7">
        <f>216503+73859</f>
        <v>290362</v>
      </c>
      <c r="AA563" s="7">
        <f>5548+603397+69756+178018</f>
        <v>856719</v>
      </c>
      <c r="AC563" s="7">
        <v>7045032</v>
      </c>
      <c r="AE563" s="13">
        <f t="shared" si="98"/>
        <v>8246774</v>
      </c>
      <c r="AG563" s="7">
        <f t="shared" si="99"/>
        <v>0</v>
      </c>
      <c r="AK563" s="7" t="str">
        <f t="shared" si="100"/>
        <v>Vandalia-Butler City SD</v>
      </c>
      <c r="AL563" s="7" t="str">
        <f>'St of Activities - GA Exp'!A563</f>
        <v>Vandalia-Butler City SD</v>
      </c>
      <c r="AM563" s="7" t="b">
        <f t="shared" si="101"/>
        <v>1</v>
      </c>
      <c r="AN563" s="7" t="str">
        <f t="shared" si="96"/>
        <v>Montgomery</v>
      </c>
      <c r="AO563" s="7" t="b">
        <f>C563='St of Activities - GA Exp'!C563</f>
        <v>1</v>
      </c>
    </row>
    <row r="564" spans="1:41" hidden="1">
      <c r="A564" s="12" t="s">
        <v>736</v>
      </c>
      <c r="B564" s="12"/>
      <c r="C564" s="12" t="s">
        <v>33</v>
      </c>
      <c r="D564" s="12"/>
      <c r="E564" s="12">
        <v>47472</v>
      </c>
      <c r="K564" s="2">
        <f t="shared" si="102"/>
        <v>0</v>
      </c>
      <c r="O564" s="2">
        <f t="shared" si="97"/>
        <v>0</v>
      </c>
      <c r="AE564" s="13">
        <f t="shared" si="98"/>
        <v>0</v>
      </c>
      <c r="AG564" s="7">
        <f t="shared" si="99"/>
        <v>0</v>
      </c>
      <c r="AI564" s="7" t="s">
        <v>789</v>
      </c>
      <c r="AK564" s="7" t="str">
        <f t="shared" si="100"/>
        <v>Vanlue Local SD (CASH)</v>
      </c>
      <c r="AL564" s="7" t="str">
        <f>'St of Activities - GA Exp'!A564</f>
        <v>Vanlue Local SD (CASH)</v>
      </c>
      <c r="AM564" s="7" t="b">
        <f t="shared" si="101"/>
        <v>1</v>
      </c>
      <c r="AN564" s="7" t="str">
        <f t="shared" si="96"/>
        <v>Hancock</v>
      </c>
      <c r="AO564" s="7" t="b">
        <f>C564='St of Activities - GA Exp'!C564</f>
        <v>1</v>
      </c>
    </row>
    <row r="565" spans="1:41">
      <c r="A565" s="12" t="s">
        <v>297</v>
      </c>
      <c r="B565" s="12"/>
      <c r="C565" s="12" t="s">
        <v>24</v>
      </c>
      <c r="D565" s="12"/>
      <c r="E565" s="12">
        <v>46821</v>
      </c>
      <c r="G565" s="7">
        <v>14923605</v>
      </c>
      <c r="I565" s="7">
        <v>0</v>
      </c>
      <c r="K565" s="2">
        <f t="shared" si="102"/>
        <v>16866094</v>
      </c>
      <c r="M565" s="7">
        <v>31789699</v>
      </c>
      <c r="O565" s="2">
        <f t="shared" si="97"/>
        <v>2676875</v>
      </c>
      <c r="Q565" s="7">
        <f>13242653+1568653</f>
        <v>14811306</v>
      </c>
      <c r="S565" s="7">
        <v>17488181</v>
      </c>
      <c r="U565" s="7">
        <v>54067</v>
      </c>
      <c r="W565" s="7">
        <v>0</v>
      </c>
      <c r="Y565" s="7">
        <v>5101</v>
      </c>
      <c r="AA565" s="7">
        <f>1033437+369421+69561+25109+14743</f>
        <v>1512271</v>
      </c>
      <c r="AC565" s="7">
        <v>12730079</v>
      </c>
      <c r="AE565" s="13">
        <f t="shared" si="98"/>
        <v>14301518</v>
      </c>
      <c r="AG565" s="7">
        <f t="shared" si="99"/>
        <v>0</v>
      </c>
      <c r="AK565" s="7" t="str">
        <f t="shared" si="100"/>
        <v>Vermilion Local SD</v>
      </c>
      <c r="AL565" s="7" t="str">
        <f>'St of Activities - GA Exp'!A565</f>
        <v>Vermilion Local SD</v>
      </c>
      <c r="AM565" s="7" t="b">
        <f t="shared" si="101"/>
        <v>1</v>
      </c>
      <c r="AN565" s="7" t="str">
        <f t="shared" si="96"/>
        <v>Erie</v>
      </c>
      <c r="AO565" s="7" t="b">
        <f>C565='St of Activities - GA Exp'!C565</f>
        <v>1</v>
      </c>
    </row>
    <row r="566" spans="1:41" hidden="1">
      <c r="A566" s="12" t="s">
        <v>737</v>
      </c>
      <c r="B566" s="12"/>
      <c r="C566" s="12" t="s">
        <v>21</v>
      </c>
      <c r="D566" s="12"/>
      <c r="E566" s="12"/>
      <c r="K566" s="2">
        <f t="shared" si="102"/>
        <v>0</v>
      </c>
      <c r="O566" s="2">
        <f t="shared" si="97"/>
        <v>0</v>
      </c>
      <c r="AE566" s="13">
        <f t="shared" si="98"/>
        <v>0</v>
      </c>
      <c r="AG566" s="7">
        <f t="shared" si="99"/>
        <v>0</v>
      </c>
      <c r="AI566" s="7" t="s">
        <v>789</v>
      </c>
      <c r="AK566" s="7" t="str">
        <f t="shared" si="100"/>
        <v>Versailles Exempted Village SD (CASH)</v>
      </c>
      <c r="AL566" s="7" t="str">
        <f>'St of Activities - GA Exp'!A566</f>
        <v>Versailles Exempted Village SD (CASH)</v>
      </c>
      <c r="AM566" s="7" t="b">
        <f t="shared" si="101"/>
        <v>1</v>
      </c>
      <c r="AN566" s="7" t="str">
        <f t="shared" si="96"/>
        <v>Darke</v>
      </c>
      <c r="AO566" s="7" t="b">
        <f>C566='St of Activities - GA Exp'!C566</f>
        <v>1</v>
      </c>
    </row>
    <row r="567" spans="1:41">
      <c r="A567" s="12" t="s">
        <v>559</v>
      </c>
      <c r="B567" s="12"/>
      <c r="C567" s="12" t="s">
        <v>68</v>
      </c>
      <c r="D567" s="12"/>
      <c r="E567" s="12">
        <v>50393</v>
      </c>
      <c r="G567" s="7">
        <v>13279953</v>
      </c>
      <c r="I567" s="7">
        <v>1221931</v>
      </c>
      <c r="K567" s="2">
        <f t="shared" si="102"/>
        <v>5706525</v>
      </c>
      <c r="M567" s="7">
        <v>20208409</v>
      </c>
      <c r="O567" s="2">
        <f t="shared" si="97"/>
        <v>3144512</v>
      </c>
      <c r="Q567" s="7">
        <v>5006484</v>
      </c>
      <c r="S567" s="7">
        <v>8150996</v>
      </c>
      <c r="U567" s="7">
        <v>33980</v>
      </c>
      <c r="W567" s="7">
        <v>1219953</v>
      </c>
      <c r="Y567" s="7">
        <v>1978</v>
      </c>
      <c r="AA567" s="7">
        <v>689997</v>
      </c>
      <c r="AC567" s="7">
        <v>10111505</v>
      </c>
      <c r="AE567" s="13">
        <f t="shared" si="98"/>
        <v>12057413</v>
      </c>
      <c r="AG567" s="7">
        <f t="shared" si="99"/>
        <v>0</v>
      </c>
      <c r="AK567" s="7" t="str">
        <f t="shared" si="100"/>
        <v>Vinton County Local SD</v>
      </c>
      <c r="AL567" s="7" t="str">
        <f>'St of Activities - GA Exp'!A567</f>
        <v>Vinton County Local SD</v>
      </c>
      <c r="AM567" s="7" t="b">
        <f t="shared" si="101"/>
        <v>1</v>
      </c>
      <c r="AN567" s="7" t="str">
        <f t="shared" si="96"/>
        <v>Vinton</v>
      </c>
      <c r="AO567" s="7" t="b">
        <f>C567='St of Activities - GA Exp'!C567</f>
        <v>1</v>
      </c>
    </row>
    <row r="568" spans="1:41">
      <c r="A568" s="12" t="s">
        <v>432</v>
      </c>
      <c r="B568" s="12"/>
      <c r="C568" s="12" t="s">
        <v>47</v>
      </c>
      <c r="D568" s="12"/>
      <c r="E568" s="12">
        <v>44974</v>
      </c>
      <c r="G568" s="7">
        <v>7389587</v>
      </c>
      <c r="I568" s="7">
        <v>0</v>
      </c>
      <c r="K568" s="2">
        <f t="shared" si="102"/>
        <v>16579013</v>
      </c>
      <c r="M568" s="7">
        <v>23968600</v>
      </c>
      <c r="O568" s="2">
        <f t="shared" si="97"/>
        <v>4529213</v>
      </c>
      <c r="Q568" s="7">
        <f>13963460+931466</f>
        <v>14894926</v>
      </c>
      <c r="S568" s="7">
        <v>19424139</v>
      </c>
      <c r="U568" s="7">
        <v>153791</v>
      </c>
      <c r="W568" s="7">
        <v>0</v>
      </c>
      <c r="Y568" s="7">
        <v>19442</v>
      </c>
      <c r="AA568" s="7">
        <f>175430+464814+3652+81718+12999+11457+36232+24177</f>
        <v>810479</v>
      </c>
      <c r="AC568" s="7">
        <v>3560749</v>
      </c>
      <c r="AE568" s="13">
        <f t="shared" si="98"/>
        <v>4544461</v>
      </c>
      <c r="AG568" s="7">
        <f t="shared" si="99"/>
        <v>0</v>
      </c>
      <c r="AK568" s="7" t="str">
        <f t="shared" si="100"/>
        <v>Wadsworth City SD</v>
      </c>
      <c r="AL568" s="7" t="str">
        <f>'St of Activities - GA Exp'!A568</f>
        <v>Wadsworth City SD</v>
      </c>
      <c r="AM568" s="7" t="b">
        <f t="shared" si="101"/>
        <v>1</v>
      </c>
      <c r="AN568" s="7" t="str">
        <f t="shared" si="96"/>
        <v>Medina</v>
      </c>
      <c r="AO568" s="7" t="b">
        <f>C568='St of Activities - GA Exp'!C568</f>
        <v>1</v>
      </c>
    </row>
    <row r="569" spans="1:41">
      <c r="A569" s="12" t="s">
        <v>547</v>
      </c>
      <c r="B569" s="12"/>
      <c r="C569" s="12" t="s">
        <v>64</v>
      </c>
      <c r="D569" s="12"/>
      <c r="E569" s="12">
        <v>44990</v>
      </c>
      <c r="G569" s="7">
        <v>18083984</v>
      </c>
      <c r="I569" s="7">
        <v>0</v>
      </c>
      <c r="K569" s="2">
        <f t="shared" si="102"/>
        <v>15368346</v>
      </c>
      <c r="M569" s="7">
        <v>33452330</v>
      </c>
      <c r="O569" s="2">
        <f t="shared" si="97"/>
        <v>7521389</v>
      </c>
      <c r="Q569" s="7">
        <f>3672777+11496904</f>
        <v>15169681</v>
      </c>
      <c r="S569" s="7">
        <v>22691070</v>
      </c>
      <c r="U569" s="7">
        <v>0</v>
      </c>
      <c r="W569" s="7">
        <v>0</v>
      </c>
      <c r="Y569" s="7">
        <v>95716</v>
      </c>
      <c r="AA569" s="7">
        <v>2005462</v>
      </c>
      <c r="AC569" s="7">
        <v>8660082</v>
      </c>
      <c r="AE569" s="13">
        <f t="shared" si="98"/>
        <v>10761260</v>
      </c>
      <c r="AG569" s="7">
        <f t="shared" si="99"/>
        <v>0</v>
      </c>
      <c r="AK569" s="7" t="str">
        <f t="shared" si="100"/>
        <v>Warren City SD</v>
      </c>
      <c r="AL569" s="7" t="str">
        <f>'St of Activities - GA Exp'!A569</f>
        <v>Warren City SD</v>
      </c>
      <c r="AM569" s="7" t="b">
        <f t="shared" si="101"/>
        <v>1</v>
      </c>
      <c r="AN569" s="7" t="str">
        <f t="shared" si="96"/>
        <v>Trumbull</v>
      </c>
      <c r="AO569" s="7" t="b">
        <f>C569='St of Activities - GA Exp'!C569</f>
        <v>1</v>
      </c>
    </row>
    <row r="570" spans="1:41">
      <c r="A570" s="12" t="s">
        <v>566</v>
      </c>
      <c r="B570" s="12"/>
      <c r="C570" s="12" t="s">
        <v>70</v>
      </c>
      <c r="D570" s="12"/>
      <c r="E570" s="12">
        <v>50500</v>
      </c>
      <c r="G570" s="7">
        <v>4296407</v>
      </c>
      <c r="I570" s="7">
        <v>499522</v>
      </c>
      <c r="K570" s="2">
        <f t="shared" si="102"/>
        <v>6886503</v>
      </c>
      <c r="M570" s="7">
        <v>11682432</v>
      </c>
      <c r="O570" s="2">
        <f t="shared" si="97"/>
        <v>2150844</v>
      </c>
      <c r="Q570" s="7">
        <v>6605825</v>
      </c>
      <c r="S570" s="7">
        <v>8756669</v>
      </c>
      <c r="U570" s="7">
        <v>117494</v>
      </c>
      <c r="W570" s="7">
        <v>499522</v>
      </c>
      <c r="Y570" s="7">
        <v>0</v>
      </c>
      <c r="AA570" s="7">
        <v>0</v>
      </c>
      <c r="AC570" s="7">
        <v>2308747</v>
      </c>
      <c r="AE570" s="13">
        <f t="shared" si="98"/>
        <v>2925763</v>
      </c>
      <c r="AG570" s="7">
        <f t="shared" si="99"/>
        <v>0</v>
      </c>
      <c r="AK570" s="7" t="str">
        <f t="shared" si="100"/>
        <v>Warren Local SD</v>
      </c>
      <c r="AL570" s="7" t="str">
        <f>'St of Activities - GA Exp'!A570</f>
        <v>Warren Local SD</v>
      </c>
      <c r="AM570" s="7" t="b">
        <f t="shared" si="101"/>
        <v>1</v>
      </c>
      <c r="AN570" s="7" t="str">
        <f t="shared" si="96"/>
        <v>Washington</v>
      </c>
      <c r="AO570" s="7" t="b">
        <f>C570='St of Activities - GA Exp'!C570</f>
        <v>1</v>
      </c>
    </row>
    <row r="571" spans="1:41">
      <c r="A571" s="12" t="s">
        <v>286</v>
      </c>
      <c r="B571" s="12"/>
      <c r="C571" s="12" t="s">
        <v>20</v>
      </c>
      <c r="D571" s="12"/>
      <c r="E571" s="12">
        <v>45005</v>
      </c>
      <c r="G571" s="7">
        <v>6855329</v>
      </c>
      <c r="I571" s="7">
        <v>96650</v>
      </c>
      <c r="K571" s="2">
        <f t="shared" si="102"/>
        <v>19673341</v>
      </c>
      <c r="M571" s="7">
        <v>26625320</v>
      </c>
      <c r="O571" s="2">
        <f t="shared" si="97"/>
        <v>3229501</v>
      </c>
      <c r="Q571" s="7">
        <v>16183760</v>
      </c>
      <c r="S571" s="7">
        <v>19413261</v>
      </c>
      <c r="U571" s="7">
        <v>0</v>
      </c>
      <c r="W571" s="7">
        <v>112055</v>
      </c>
      <c r="Y571" s="7">
        <v>424337</v>
      </c>
      <c r="AA571" s="7">
        <v>2516466</v>
      </c>
      <c r="AC571" s="7">
        <v>4159201</v>
      </c>
      <c r="AE571" s="13">
        <f t="shared" si="98"/>
        <v>7212059</v>
      </c>
      <c r="AG571" s="7">
        <f t="shared" si="99"/>
        <v>0</v>
      </c>
      <c r="AK571" s="7" t="str">
        <f t="shared" si="100"/>
        <v>Warrensville Heights City SD</v>
      </c>
      <c r="AL571" s="7" t="str">
        <f>'St of Activities - GA Exp'!A571</f>
        <v>Warrensville Heights City SD</v>
      </c>
      <c r="AM571" s="7" t="b">
        <f t="shared" si="101"/>
        <v>1</v>
      </c>
      <c r="AN571" s="7" t="str">
        <f t="shared" si="96"/>
        <v>Cuyahoga</v>
      </c>
      <c r="AO571" s="7" t="b">
        <f>C571='St of Activities - GA Exp'!C571</f>
        <v>1</v>
      </c>
    </row>
    <row r="572" spans="1:41">
      <c r="A572" s="12" t="s">
        <v>304</v>
      </c>
      <c r="B572" s="12"/>
      <c r="C572" s="12" t="s">
        <v>26</v>
      </c>
      <c r="D572" s="12"/>
      <c r="E572" s="12">
        <v>45013</v>
      </c>
      <c r="G572" s="7">
        <f>321574+1655600</f>
        <v>1977174</v>
      </c>
      <c r="I572" s="7">
        <v>42756</v>
      </c>
      <c r="K572" s="2">
        <f t="shared" si="102"/>
        <v>4609414</v>
      </c>
      <c r="M572" s="7">
        <v>6629344</v>
      </c>
      <c r="O572" s="2">
        <f t="shared" si="97"/>
        <v>2449339</v>
      </c>
      <c r="Q572" s="7">
        <v>2530436</v>
      </c>
      <c r="S572" s="7">
        <v>4979775</v>
      </c>
      <c r="U572" s="7">
        <v>0</v>
      </c>
      <c r="W572" s="7">
        <v>42756</v>
      </c>
      <c r="Y572" s="7">
        <v>50000</v>
      </c>
      <c r="AA572" s="7">
        <v>137426</v>
      </c>
      <c r="AC572" s="7">
        <v>1419387</v>
      </c>
      <c r="AE572" s="13">
        <f t="shared" si="98"/>
        <v>1649569</v>
      </c>
      <c r="AG572" s="7">
        <f t="shared" si="99"/>
        <v>0</v>
      </c>
      <c r="AK572" s="7" t="str">
        <f t="shared" si="100"/>
        <v>Washington Court House City SD</v>
      </c>
      <c r="AL572" s="7" t="str">
        <f>'St of Activities - GA Exp'!A572</f>
        <v>Washington Court House City SD</v>
      </c>
      <c r="AM572" s="7" t="b">
        <f t="shared" si="101"/>
        <v>1</v>
      </c>
      <c r="AN572" s="7" t="str">
        <f t="shared" si="96"/>
        <v>Fayette</v>
      </c>
      <c r="AO572" s="7" t="b">
        <f>C572='St of Activities - GA Exp'!C572</f>
        <v>1</v>
      </c>
    </row>
    <row r="573" spans="1:41">
      <c r="A573" s="12" t="s">
        <v>409</v>
      </c>
      <c r="B573" s="12"/>
      <c r="C573" s="12" t="s">
        <v>115</v>
      </c>
      <c r="D573" s="12"/>
      <c r="E573" s="12">
        <v>48231</v>
      </c>
      <c r="G573" s="7">
        <f>33262424+5049</f>
        <v>33267473</v>
      </c>
      <c r="I573" s="7">
        <v>0</v>
      </c>
      <c r="K573" s="2">
        <f t="shared" si="102"/>
        <v>39944348</v>
      </c>
      <c r="M573" s="7">
        <v>73211821</v>
      </c>
      <c r="O573" s="2">
        <f t="shared" si="97"/>
        <v>11214922</v>
      </c>
      <c r="Q573" s="7">
        <f>4504107+32894055</f>
        <v>37398162</v>
      </c>
      <c r="S573" s="7">
        <v>48613084</v>
      </c>
      <c r="U573" s="7">
        <f>177337+153268</f>
        <v>330605</v>
      </c>
      <c r="W573" s="7">
        <v>0</v>
      </c>
      <c r="Y573" s="7">
        <v>55000</v>
      </c>
      <c r="AA573" s="7">
        <f>159931+724833+21100+17034+60+124327</f>
        <v>1047285</v>
      </c>
      <c r="AC573" s="7">
        <v>23165847</v>
      </c>
      <c r="AE573" s="13">
        <f t="shared" si="98"/>
        <v>24598737</v>
      </c>
      <c r="AG573" s="7">
        <f t="shared" si="99"/>
        <v>0</v>
      </c>
      <c r="AK573" s="7" t="str">
        <f t="shared" si="100"/>
        <v>Washington Local SD</v>
      </c>
      <c r="AL573" s="7" t="str">
        <f>'St of Activities - GA Exp'!A573</f>
        <v>Washington Local SD</v>
      </c>
      <c r="AM573" s="7" t="b">
        <f t="shared" si="101"/>
        <v>1</v>
      </c>
      <c r="AN573" s="7" t="str">
        <f t="shared" si="96"/>
        <v>Lucas</v>
      </c>
      <c r="AO573" s="7" t="b">
        <f>C573='St of Activities - GA Exp'!C573</f>
        <v>1</v>
      </c>
    </row>
    <row r="574" spans="1:41">
      <c r="A574" s="12" t="s">
        <v>500</v>
      </c>
      <c r="B574" s="12"/>
      <c r="C574" s="12" t="s">
        <v>59</v>
      </c>
      <c r="D574" s="12"/>
      <c r="E574" s="12">
        <v>49650</v>
      </c>
      <c r="G574" s="7">
        <v>2564300</v>
      </c>
      <c r="I574" s="7">
        <v>136897</v>
      </c>
      <c r="K574" s="2">
        <f t="shared" si="102"/>
        <v>1771790</v>
      </c>
      <c r="M574" s="7">
        <v>4472987</v>
      </c>
      <c r="O574" s="2">
        <f t="shared" si="97"/>
        <v>1382554</v>
      </c>
      <c r="Q574" s="7">
        <v>1574750</v>
      </c>
      <c r="S574" s="7">
        <v>2957304</v>
      </c>
      <c r="U574" s="7">
        <v>66093</v>
      </c>
      <c r="W574" s="7">
        <v>136897</v>
      </c>
      <c r="Y574" s="7">
        <v>208342</v>
      </c>
      <c r="AA574" s="7">
        <v>220323</v>
      </c>
      <c r="AC574" s="7">
        <v>884028</v>
      </c>
      <c r="AE574" s="13">
        <f t="shared" si="98"/>
        <v>1515683</v>
      </c>
      <c r="AG574" s="7">
        <f t="shared" si="99"/>
        <v>0</v>
      </c>
      <c r="AK574" s="7" t="str">
        <f t="shared" si="100"/>
        <v>Washington-Nile Local SD</v>
      </c>
      <c r="AL574" s="7" t="str">
        <f>'St of Activities - GA Exp'!A574</f>
        <v>Washington-Nile Local SD</v>
      </c>
      <c r="AM574" s="7" t="b">
        <f t="shared" si="101"/>
        <v>1</v>
      </c>
      <c r="AN574" s="7" t="str">
        <f t="shared" si="96"/>
        <v>Scioto</v>
      </c>
      <c r="AO574" s="7" t="b">
        <f>C574='St of Activities - GA Exp'!C574</f>
        <v>1</v>
      </c>
    </row>
    <row r="575" spans="1:41">
      <c r="A575" s="12" t="s">
        <v>480</v>
      </c>
      <c r="B575" s="12"/>
      <c r="C575" s="12" t="s">
        <v>56</v>
      </c>
      <c r="D575" s="12"/>
      <c r="E575" s="12">
        <v>49247</v>
      </c>
      <c r="G575" s="7">
        <v>1040170</v>
      </c>
      <c r="I575" s="7">
        <v>0</v>
      </c>
      <c r="K575" s="2">
        <f t="shared" si="102"/>
        <v>3108016</v>
      </c>
      <c r="M575" s="7">
        <v>4148186</v>
      </c>
      <c r="O575" s="2">
        <f t="shared" si="97"/>
        <v>1139633</v>
      </c>
      <c r="Q575" s="7">
        <f>176561+2595194</f>
        <v>2771755</v>
      </c>
      <c r="S575" s="7">
        <v>3911388</v>
      </c>
      <c r="U575" s="7">
        <v>30343</v>
      </c>
      <c r="W575" s="7">
        <v>0</v>
      </c>
      <c r="Y575" s="7">
        <v>11000</v>
      </c>
      <c r="AA575" s="7">
        <f>301085+251366+1000</f>
        <v>553451</v>
      </c>
      <c r="AC575" s="7">
        <v>-357996</v>
      </c>
      <c r="AE575" s="13">
        <f t="shared" si="98"/>
        <v>236798</v>
      </c>
      <c r="AG575" s="7">
        <f t="shared" si="99"/>
        <v>0</v>
      </c>
      <c r="AK575" s="7" t="str">
        <f t="shared" si="100"/>
        <v>Waterloo Local SD</v>
      </c>
      <c r="AL575" s="7" t="str">
        <f>'St of Activities - GA Exp'!A575</f>
        <v>Waterloo Local SD</v>
      </c>
      <c r="AM575" s="7" t="b">
        <f t="shared" si="101"/>
        <v>1</v>
      </c>
      <c r="AN575" s="7" t="str">
        <f t="shared" si="96"/>
        <v>Portage</v>
      </c>
      <c r="AO575" s="7" t="b">
        <f>C575='St of Activities - GA Exp'!C575</f>
        <v>1</v>
      </c>
    </row>
    <row r="576" spans="1:41">
      <c r="A576" s="12" t="s">
        <v>889</v>
      </c>
      <c r="B576" s="12"/>
      <c r="C576" s="12" t="s">
        <v>28</v>
      </c>
      <c r="D576" s="12"/>
      <c r="E576" s="12">
        <v>45641</v>
      </c>
      <c r="G576" s="7">
        <v>4170453</v>
      </c>
      <c r="I576" s="7">
        <v>0</v>
      </c>
      <c r="K576" s="2">
        <f t="shared" si="102"/>
        <v>4834410</v>
      </c>
      <c r="M576" s="7">
        <v>9004863</v>
      </c>
      <c r="O576" s="2">
        <f t="shared" si="97"/>
        <v>2068498</v>
      </c>
      <c r="Q576" s="7">
        <f>125079+4251209</f>
        <v>4376288</v>
      </c>
      <c r="S576" s="7">
        <v>6444786</v>
      </c>
      <c r="U576" s="7">
        <f>35409+57595</f>
        <v>93004</v>
      </c>
      <c r="W576" s="7">
        <v>0</v>
      </c>
      <c r="Y576" s="7">
        <v>11000</v>
      </c>
      <c r="AA576" s="7">
        <f>1290+12035+24139</f>
        <v>37464</v>
      </c>
      <c r="AC576" s="7">
        <v>2418609</v>
      </c>
      <c r="AE576" s="13">
        <f t="shared" si="98"/>
        <v>2560077</v>
      </c>
      <c r="AG576" s="7">
        <f t="shared" si="99"/>
        <v>0</v>
      </c>
      <c r="AK576" s="7" t="str">
        <f t="shared" si="100"/>
        <v>Wauseon Exempted Village SD</v>
      </c>
      <c r="AL576" s="7" t="str">
        <f>'St of Activities - GA Exp'!A576</f>
        <v>Wauseon Exempted Village SD</v>
      </c>
      <c r="AM576" s="7" t="b">
        <f t="shared" si="101"/>
        <v>1</v>
      </c>
      <c r="AN576" s="7" t="str">
        <f t="shared" si="96"/>
        <v>Fulton</v>
      </c>
      <c r="AO576" s="7" t="b">
        <f>C576='St of Activities - GA Exp'!C576</f>
        <v>1</v>
      </c>
    </row>
    <row r="577" spans="1:41">
      <c r="A577" s="12" t="s">
        <v>472</v>
      </c>
      <c r="B577" s="12"/>
      <c r="C577" s="12" t="s">
        <v>55</v>
      </c>
      <c r="D577" s="12"/>
      <c r="E577" s="12">
        <v>49148</v>
      </c>
      <c r="G577" s="7">
        <v>1599577</v>
      </c>
      <c r="I577" s="7">
        <v>57076</v>
      </c>
      <c r="K577" s="2">
        <f t="shared" si="102"/>
        <v>4091179</v>
      </c>
      <c r="M577" s="7">
        <v>5747832</v>
      </c>
      <c r="O577" s="2">
        <f t="shared" si="97"/>
        <v>1480029</v>
      </c>
      <c r="Q577" s="7">
        <v>3630559</v>
      </c>
      <c r="S577" s="7">
        <v>5110588</v>
      </c>
      <c r="U577" s="7">
        <v>7079</v>
      </c>
      <c r="W577" s="7">
        <v>57076</v>
      </c>
      <c r="Y577" s="7">
        <v>11000</v>
      </c>
      <c r="AA577" s="7">
        <v>435734</v>
      </c>
      <c r="AC577" s="7">
        <v>126355</v>
      </c>
      <c r="AE577" s="13">
        <f t="shared" si="98"/>
        <v>637244</v>
      </c>
      <c r="AG577" s="7">
        <f t="shared" si="99"/>
        <v>0</v>
      </c>
      <c r="AK577" s="7" t="str">
        <f t="shared" si="100"/>
        <v>Waverly City SD</v>
      </c>
      <c r="AL577" s="7" t="str">
        <f>'St of Activities - GA Exp'!A577</f>
        <v>Waverly City SD</v>
      </c>
      <c r="AM577" s="7" t="b">
        <f t="shared" si="101"/>
        <v>1</v>
      </c>
      <c r="AN577" s="7" t="str">
        <f t="shared" si="96"/>
        <v>Pike</v>
      </c>
      <c r="AO577" s="7" t="b">
        <f>C577='St of Activities - GA Exp'!C577</f>
        <v>1</v>
      </c>
    </row>
    <row r="578" spans="1:41" hidden="1">
      <c r="A578" s="12" t="s">
        <v>747</v>
      </c>
      <c r="B578" s="12"/>
      <c r="C578" s="12" t="s">
        <v>69</v>
      </c>
      <c r="D578" s="12"/>
      <c r="E578" s="12">
        <v>50468</v>
      </c>
      <c r="K578" s="2">
        <f t="shared" si="102"/>
        <v>0</v>
      </c>
      <c r="O578" s="2">
        <f t="shared" si="97"/>
        <v>0</v>
      </c>
      <c r="AE578" s="13">
        <f t="shared" si="98"/>
        <v>0</v>
      </c>
      <c r="AG578" s="7">
        <f t="shared" si="99"/>
        <v>0</v>
      </c>
      <c r="AK578" s="7" t="str">
        <f t="shared" si="100"/>
        <v>Wayne Local SD (CASH)</v>
      </c>
      <c r="AL578" s="7" t="str">
        <f>'St of Activities - GA Exp'!A578</f>
        <v>Wayne Local SD (CASH)</v>
      </c>
      <c r="AM578" s="7" t="b">
        <f t="shared" si="101"/>
        <v>1</v>
      </c>
      <c r="AN578" s="7" t="str">
        <f t="shared" si="96"/>
        <v>Warren</v>
      </c>
      <c r="AO578" s="7" t="b">
        <f>C578='St of Activities - GA Exp'!C578</f>
        <v>1</v>
      </c>
    </row>
    <row r="579" spans="1:41" hidden="1">
      <c r="A579" s="12" t="s">
        <v>926</v>
      </c>
      <c r="B579" s="12"/>
      <c r="C579" s="12" t="s">
        <v>465</v>
      </c>
      <c r="D579" s="12"/>
      <c r="E579" s="12">
        <v>49031</v>
      </c>
      <c r="K579" s="2">
        <f t="shared" si="102"/>
        <v>0</v>
      </c>
      <c r="O579" s="2">
        <f t="shared" si="97"/>
        <v>0</v>
      </c>
      <c r="AE579" s="13">
        <f t="shared" si="98"/>
        <v>0</v>
      </c>
      <c r="AG579" s="7">
        <f t="shared" si="99"/>
        <v>0</v>
      </c>
      <c r="AK579" s="7" t="str">
        <f t="shared" si="100"/>
        <v>Wayne Trace Local SD (CASH)</v>
      </c>
      <c r="AL579" s="7" t="str">
        <f>'St of Activities - GA Exp'!A579</f>
        <v>Wayne Trace Local SD (CASH)</v>
      </c>
      <c r="AM579" s="7" t="b">
        <f t="shared" si="101"/>
        <v>1</v>
      </c>
      <c r="AN579" s="7" t="str">
        <f t="shared" si="96"/>
        <v>Paulding</v>
      </c>
      <c r="AO579" s="7" t="b">
        <f>C579='St of Activities - GA Exp'!C579</f>
        <v>1</v>
      </c>
    </row>
    <row r="580" spans="1:41" hidden="1">
      <c r="A580" s="12" t="s">
        <v>675</v>
      </c>
      <c r="B580" s="12"/>
      <c r="C580" s="12" t="s">
        <v>14</v>
      </c>
      <c r="D580" s="12"/>
      <c r="E580" s="12">
        <v>45971</v>
      </c>
      <c r="K580" s="2">
        <f t="shared" si="102"/>
        <v>0</v>
      </c>
      <c r="O580" s="2">
        <f t="shared" si="97"/>
        <v>0</v>
      </c>
      <c r="AE580" s="13">
        <f t="shared" si="98"/>
        <v>0</v>
      </c>
      <c r="AG580" s="7">
        <f t="shared" si="99"/>
        <v>0</v>
      </c>
      <c r="AK580" s="7" t="str">
        <f t="shared" si="100"/>
        <v>Waynesfield-Goshen Local SD  (CASH)</v>
      </c>
      <c r="AL580" s="7" t="str">
        <f>'St of Activities - GA Exp'!A580</f>
        <v>Waynesfield-Goshen Local SD  (CASH)</v>
      </c>
      <c r="AM580" s="7" t="b">
        <f t="shared" si="101"/>
        <v>1</v>
      </c>
      <c r="AN580" s="7" t="str">
        <f t="shared" si="96"/>
        <v>Auglaize</v>
      </c>
      <c r="AO580" s="7" t="b">
        <f>C580='St of Activities - GA Exp'!C580</f>
        <v>1</v>
      </c>
    </row>
    <row r="581" spans="1:41">
      <c r="A581" s="12" t="s">
        <v>548</v>
      </c>
      <c r="B581" s="12"/>
      <c r="C581" s="12" t="s">
        <v>64</v>
      </c>
      <c r="D581" s="12"/>
      <c r="E581" s="12">
        <v>50252</v>
      </c>
      <c r="G581" s="7">
        <f>1775293+5063</f>
        <v>1780356</v>
      </c>
      <c r="I581" s="7">
        <v>0</v>
      </c>
      <c r="K581" s="2">
        <f t="shared" si="102"/>
        <v>3073725</v>
      </c>
      <c r="M581" s="7">
        <v>4854081</v>
      </c>
      <c r="O581" s="2">
        <f t="shared" si="97"/>
        <v>868979</v>
      </c>
      <c r="Q581" s="7">
        <f>444597+2568601</f>
        <v>3013198</v>
      </c>
      <c r="S581" s="7">
        <v>3882177</v>
      </c>
      <c r="U581" s="7">
        <v>28480</v>
      </c>
      <c r="W581" s="7">
        <v>0</v>
      </c>
      <c r="Y581" s="7">
        <v>0</v>
      </c>
      <c r="AA581" s="7">
        <f>1000+139827+212809</f>
        <v>353636</v>
      </c>
      <c r="AC581" s="7">
        <v>589788</v>
      </c>
      <c r="AE581" s="13">
        <f t="shared" si="98"/>
        <v>971904</v>
      </c>
      <c r="AG581" s="7">
        <f t="shared" si="99"/>
        <v>0</v>
      </c>
      <c r="AK581" s="7" t="str">
        <f t="shared" si="100"/>
        <v>Weathersfield Local SD</v>
      </c>
      <c r="AL581" s="7" t="str">
        <f>'St of Activities - GA Exp'!A581</f>
        <v>Weathersfield Local SD</v>
      </c>
      <c r="AM581" s="7" t="b">
        <f t="shared" si="101"/>
        <v>1</v>
      </c>
      <c r="AN581" s="7" t="str">
        <f t="shared" si="96"/>
        <v>Trumbull</v>
      </c>
      <c r="AO581" s="7" t="b">
        <f>C581='St of Activities - GA Exp'!C581</f>
        <v>1</v>
      </c>
    </row>
    <row r="582" spans="1:41">
      <c r="A582" s="12" t="s">
        <v>890</v>
      </c>
      <c r="B582" s="12"/>
      <c r="C582" s="12" t="s">
        <v>44</v>
      </c>
      <c r="D582" s="12"/>
      <c r="E582" s="12">
        <v>45658</v>
      </c>
      <c r="G582" s="7">
        <v>4365539</v>
      </c>
      <c r="I582" s="7">
        <v>0</v>
      </c>
      <c r="K582" s="2">
        <f t="shared" si="102"/>
        <v>4401115</v>
      </c>
      <c r="M582" s="7">
        <v>8766654</v>
      </c>
      <c r="O582" s="2">
        <f t="shared" si="97"/>
        <v>1503049</v>
      </c>
      <c r="Q582" s="7">
        <v>3423239</v>
      </c>
      <c r="S582" s="7">
        <v>4926288</v>
      </c>
      <c r="U582" s="7">
        <v>34406</v>
      </c>
      <c r="W582" s="7">
        <v>0</v>
      </c>
      <c r="Y582" s="7">
        <v>0</v>
      </c>
      <c r="AA582" s="7">
        <v>3030647</v>
      </c>
      <c r="AC582" s="7">
        <v>775313</v>
      </c>
      <c r="AE582" s="13">
        <f t="shared" si="98"/>
        <v>3840366</v>
      </c>
      <c r="AG582" s="7">
        <f t="shared" si="99"/>
        <v>0</v>
      </c>
      <c r="AK582" s="7" t="str">
        <f t="shared" si="100"/>
        <v>Wellington Exempted Village SD</v>
      </c>
      <c r="AL582" s="7" t="str">
        <f>'St of Activities - GA Exp'!A582</f>
        <v>Wellington Exempted Village SD</v>
      </c>
      <c r="AM582" s="7" t="b">
        <f t="shared" si="101"/>
        <v>1</v>
      </c>
      <c r="AN582" s="7" t="str">
        <f t="shared" si="96"/>
        <v>Lorain</v>
      </c>
      <c r="AO582" s="7" t="b">
        <f>C582='St of Activities - GA Exp'!C582</f>
        <v>1</v>
      </c>
    </row>
    <row r="583" spans="1:41">
      <c r="A583" s="12" t="s">
        <v>371</v>
      </c>
      <c r="B583" s="12"/>
      <c r="C583" s="12" t="s">
        <v>38</v>
      </c>
      <c r="D583" s="12"/>
      <c r="E583" s="12">
        <v>45021</v>
      </c>
      <c r="G583" s="7">
        <v>7019280</v>
      </c>
      <c r="I583" s="7">
        <v>74339</v>
      </c>
      <c r="K583" s="2">
        <f t="shared" si="102"/>
        <v>3258244</v>
      </c>
      <c r="M583" s="7">
        <v>10351863</v>
      </c>
      <c r="O583" s="2">
        <f t="shared" si="97"/>
        <v>1396528</v>
      </c>
      <c r="Q583" s="7">
        <v>2919464</v>
      </c>
      <c r="S583" s="7">
        <v>4315992</v>
      </c>
      <c r="U583" s="7">
        <v>0</v>
      </c>
      <c r="W583" s="7">
        <v>74339</v>
      </c>
      <c r="Y583" s="7">
        <v>6419</v>
      </c>
      <c r="AA583" s="7">
        <v>138134</v>
      </c>
      <c r="AC583" s="7">
        <v>5816979</v>
      </c>
      <c r="AE583" s="13">
        <f t="shared" si="98"/>
        <v>6035871</v>
      </c>
      <c r="AG583" s="7">
        <f t="shared" si="99"/>
        <v>0</v>
      </c>
      <c r="AK583" s="7" t="str">
        <f t="shared" si="100"/>
        <v>Wellston City SD</v>
      </c>
      <c r="AL583" s="7" t="str">
        <f>'St of Activities - GA Exp'!A583</f>
        <v>Wellston City SD</v>
      </c>
      <c r="AM583" s="7" t="b">
        <f t="shared" si="101"/>
        <v>1</v>
      </c>
      <c r="AN583" s="7" t="str">
        <f t="shared" si="96"/>
        <v>Jackson</v>
      </c>
      <c r="AO583" s="7" t="b">
        <f>C583='St of Activities - GA Exp'!C583</f>
        <v>1</v>
      </c>
    </row>
    <row r="584" spans="1:41">
      <c r="A584" s="12" t="s">
        <v>258</v>
      </c>
      <c r="B584" s="12"/>
      <c r="C584" s="12" t="s">
        <v>112</v>
      </c>
      <c r="D584" s="12"/>
      <c r="E584" s="12">
        <v>45039</v>
      </c>
      <c r="G584" s="7">
        <v>1852508</v>
      </c>
      <c r="I584" s="7">
        <v>555942</v>
      </c>
      <c r="K584" s="2">
        <f t="shared" si="102"/>
        <v>1222961</v>
      </c>
      <c r="M584" s="7">
        <v>3631411</v>
      </c>
      <c r="O584" s="2">
        <f t="shared" si="97"/>
        <v>943841</v>
      </c>
      <c r="Q584" s="7">
        <f>207275+906682</f>
        <v>1113957</v>
      </c>
      <c r="S584" s="7">
        <v>2057798</v>
      </c>
      <c r="U584" s="7">
        <v>19472</v>
      </c>
      <c r="W584" s="7">
        <f>6884+549058</f>
        <v>555942</v>
      </c>
      <c r="Y584" s="7">
        <v>11000</v>
      </c>
      <c r="AA584" s="7">
        <f>386+7846+2741</f>
        <v>10973</v>
      </c>
      <c r="AC584" s="7">
        <v>976226</v>
      </c>
      <c r="AE584" s="13">
        <f t="shared" si="98"/>
        <v>1573613</v>
      </c>
      <c r="AG584" s="7">
        <f t="shared" si="99"/>
        <v>0</v>
      </c>
      <c r="AK584" s="7" t="str">
        <f t="shared" si="100"/>
        <v>Wellsville Local SD</v>
      </c>
      <c r="AL584" s="7" t="str">
        <f>'St of Activities - GA Exp'!A584</f>
        <v>Wellsville Local SD</v>
      </c>
      <c r="AM584" s="7" t="b">
        <f t="shared" si="101"/>
        <v>1</v>
      </c>
      <c r="AN584" s="7" t="str">
        <f t="shared" si="96"/>
        <v>Columbiana</v>
      </c>
      <c r="AO584" s="7" t="b">
        <f>C584='St of Activities - GA Exp'!C584</f>
        <v>1</v>
      </c>
    </row>
    <row r="585" spans="1:41">
      <c r="A585" s="12" t="s">
        <v>421</v>
      </c>
      <c r="B585" s="12"/>
      <c r="C585" s="12" t="s">
        <v>45</v>
      </c>
      <c r="D585" s="12"/>
      <c r="E585" s="12">
        <v>48389</v>
      </c>
      <c r="G585" s="7">
        <v>4355541</v>
      </c>
      <c r="I585" s="7">
        <v>0</v>
      </c>
      <c r="K585" s="2">
        <f t="shared" si="102"/>
        <v>4955334</v>
      </c>
      <c r="M585" s="7">
        <v>9310875</v>
      </c>
      <c r="O585" s="2">
        <f t="shared" si="97"/>
        <v>3011453</v>
      </c>
      <c r="Q585" s="7">
        <f>780744+4038548</f>
        <v>4819292</v>
      </c>
      <c r="S585" s="7">
        <v>7830745</v>
      </c>
      <c r="U585" s="7">
        <v>36268</v>
      </c>
      <c r="W585" s="7">
        <v>0</v>
      </c>
      <c r="Y585" s="7">
        <v>0</v>
      </c>
      <c r="AA585" s="7">
        <f>6149+99184+4213</f>
        <v>109546</v>
      </c>
      <c r="AC585" s="7">
        <v>1334316</v>
      </c>
      <c r="AE585" s="13">
        <f t="shared" si="98"/>
        <v>1480130</v>
      </c>
      <c r="AG585" s="7">
        <f t="shared" si="99"/>
        <v>0</v>
      </c>
      <c r="AK585" s="7" t="str">
        <f t="shared" si="100"/>
        <v>West Branch Local SD</v>
      </c>
      <c r="AL585" s="7" t="str">
        <f>'St of Activities - GA Exp'!A585</f>
        <v>West Branch Local SD</v>
      </c>
      <c r="AM585" s="7" t="b">
        <f t="shared" si="101"/>
        <v>1</v>
      </c>
      <c r="AN585" s="7" t="str">
        <f t="shared" si="96"/>
        <v>Mahoning</v>
      </c>
      <c r="AO585" s="7" t="b">
        <f>C585='St of Activities - GA Exp'!C585</f>
        <v>1</v>
      </c>
    </row>
    <row r="586" spans="1:41">
      <c r="A586" s="12" t="s">
        <v>746</v>
      </c>
      <c r="B586" s="12"/>
      <c r="C586" s="12" t="s">
        <v>50</v>
      </c>
      <c r="D586" s="12"/>
      <c r="E586" s="12"/>
      <c r="G586" s="7">
        <v>16161252</v>
      </c>
      <c r="I586" s="7">
        <v>0</v>
      </c>
      <c r="K586" s="2">
        <f t="shared" si="102"/>
        <v>17557939</v>
      </c>
      <c r="M586" s="7">
        <v>33719191</v>
      </c>
      <c r="O586" s="2">
        <f t="shared" si="97"/>
        <v>4043281</v>
      </c>
      <c r="Q586" s="7">
        <f>15002625+1116009</f>
        <v>16118634</v>
      </c>
      <c r="S586" s="7">
        <v>20161915</v>
      </c>
      <c r="U586" s="7">
        <v>198504</v>
      </c>
      <c r="W586" s="7">
        <v>0</v>
      </c>
      <c r="Y586" s="7">
        <v>0</v>
      </c>
      <c r="AA586" s="7">
        <f>223009+246803+379+294665</f>
        <v>764856</v>
      </c>
      <c r="AC586" s="7">
        <v>12593916</v>
      </c>
      <c r="AE586" s="13">
        <f t="shared" si="98"/>
        <v>13557276</v>
      </c>
      <c r="AG586" s="7">
        <f t="shared" si="99"/>
        <v>0</v>
      </c>
      <c r="AK586" s="7" t="str">
        <f t="shared" si="100"/>
        <v>West Carrollton City SD</v>
      </c>
      <c r="AL586" s="7" t="str">
        <f>'St of Activities - GA Exp'!A586</f>
        <v>West Carrollton City SD</v>
      </c>
      <c r="AM586" s="7" t="b">
        <f t="shared" si="101"/>
        <v>1</v>
      </c>
      <c r="AN586" s="7" t="str">
        <f t="shared" si="96"/>
        <v>Montgomery</v>
      </c>
      <c r="AO586" s="7" t="b">
        <f>C586='St of Activities - GA Exp'!C586</f>
        <v>1</v>
      </c>
    </row>
    <row r="587" spans="1:41">
      <c r="A587" s="12" t="s">
        <v>246</v>
      </c>
      <c r="B587" s="12"/>
      <c r="C587" s="12" t="s">
        <v>113</v>
      </c>
      <c r="D587" s="12"/>
      <c r="E587" s="12">
        <v>46359</v>
      </c>
      <c r="G587" s="7">
        <v>1002523</v>
      </c>
      <c r="I587" s="7">
        <v>0</v>
      </c>
      <c r="K587" s="2">
        <f t="shared" si="102"/>
        <v>38104983</v>
      </c>
      <c r="M587" s="7">
        <v>39107506</v>
      </c>
      <c r="O587" s="2">
        <f t="shared" si="97"/>
        <v>7887212</v>
      </c>
      <c r="Q587" s="7">
        <v>28830001</v>
      </c>
      <c r="S587" s="7">
        <v>36717213</v>
      </c>
      <c r="U587" s="7">
        <v>0</v>
      </c>
      <c r="W587" s="7">
        <v>0</v>
      </c>
      <c r="Y587" s="7">
        <v>542393</v>
      </c>
      <c r="AA587" s="7">
        <v>0</v>
      </c>
      <c r="AC587" s="7">
        <v>1847900</v>
      </c>
      <c r="AE587" s="13">
        <f t="shared" si="98"/>
        <v>2390293</v>
      </c>
      <c r="AG587" s="7">
        <f t="shared" si="99"/>
        <v>0</v>
      </c>
      <c r="AK587" s="7" t="str">
        <f t="shared" si="100"/>
        <v>West Clermont Local SD</v>
      </c>
      <c r="AL587" s="7" t="str">
        <f>'St of Activities - GA Exp'!A587</f>
        <v>West Clermont Local SD</v>
      </c>
      <c r="AM587" s="7" t="b">
        <f t="shared" si="101"/>
        <v>1</v>
      </c>
      <c r="AN587" s="7" t="str">
        <f t="shared" si="96"/>
        <v>Clermont</v>
      </c>
      <c r="AO587" s="7" t="b">
        <f>C587='St of Activities - GA Exp'!C587</f>
        <v>1</v>
      </c>
    </row>
    <row r="588" spans="1:41">
      <c r="A588" s="12" t="s">
        <v>324</v>
      </c>
      <c r="B588" s="12"/>
      <c r="C588" s="12" t="s">
        <v>30</v>
      </c>
      <c r="D588" s="12"/>
      <c r="E588" s="12">
        <v>47225</v>
      </c>
      <c r="G588" s="7">
        <v>5728812</v>
      </c>
      <c r="I588" s="7">
        <v>783137</v>
      </c>
      <c r="K588" s="2">
        <f t="shared" si="102"/>
        <v>17646739</v>
      </c>
      <c r="M588" s="7">
        <v>24158688</v>
      </c>
      <c r="O588" s="2">
        <f t="shared" si="97"/>
        <v>2553819</v>
      </c>
      <c r="Q588" s="7">
        <v>15799825</v>
      </c>
      <c r="S588" s="7">
        <v>18353644</v>
      </c>
      <c r="U588" s="7">
        <v>30390</v>
      </c>
      <c r="W588" s="7">
        <v>783137</v>
      </c>
      <c r="Y588" s="7">
        <v>0</v>
      </c>
      <c r="AA588" s="7">
        <v>3506373</v>
      </c>
      <c r="AC588" s="7">
        <v>1485144</v>
      </c>
      <c r="AE588" s="13">
        <f t="shared" si="98"/>
        <v>5805044</v>
      </c>
      <c r="AG588" s="7">
        <f t="shared" si="99"/>
        <v>0</v>
      </c>
      <c r="AK588" s="7" t="str">
        <f t="shared" si="100"/>
        <v>West Geauga Local SD</v>
      </c>
      <c r="AL588" s="7" t="str">
        <f>'St of Activities - GA Exp'!A588</f>
        <v>West Geauga Local SD</v>
      </c>
      <c r="AM588" s="7" t="b">
        <f t="shared" si="101"/>
        <v>1</v>
      </c>
      <c r="AN588" s="7" t="str">
        <f t="shared" si="96"/>
        <v>Geauga</v>
      </c>
      <c r="AO588" s="7" t="b">
        <f>C588='St of Activities - GA Exp'!C588</f>
        <v>1</v>
      </c>
    </row>
    <row r="589" spans="1:41">
      <c r="A589" s="12" t="s">
        <v>364</v>
      </c>
      <c r="B589" s="12"/>
      <c r="C589" s="12" t="s">
        <v>36</v>
      </c>
      <c r="D589" s="12"/>
      <c r="E589" s="12">
        <v>47696</v>
      </c>
      <c r="G589" s="7">
        <v>11073652</v>
      </c>
      <c r="I589" s="7">
        <v>0</v>
      </c>
      <c r="K589" s="2">
        <f t="shared" si="102"/>
        <v>8683210</v>
      </c>
      <c r="M589" s="7">
        <v>19756862</v>
      </c>
      <c r="O589" s="2">
        <f t="shared" si="97"/>
        <v>3135714</v>
      </c>
      <c r="Q589" s="7">
        <v>7602272</v>
      </c>
      <c r="S589" s="7">
        <v>10737986</v>
      </c>
      <c r="U589" s="7">
        <v>294205</v>
      </c>
      <c r="W589" s="7">
        <v>0</v>
      </c>
      <c r="Y589" s="7">
        <v>0</v>
      </c>
      <c r="AA589" s="7">
        <v>402843</v>
      </c>
      <c r="AC589" s="7">
        <v>8321828</v>
      </c>
      <c r="AE589" s="13">
        <f t="shared" si="98"/>
        <v>9018876</v>
      </c>
      <c r="AG589" s="7">
        <f t="shared" si="99"/>
        <v>0</v>
      </c>
      <c r="AK589" s="7" t="str">
        <f t="shared" si="100"/>
        <v>West Holmes Local SD</v>
      </c>
      <c r="AL589" s="7" t="str">
        <f>'St of Activities - GA Exp'!A589</f>
        <v>West Holmes Local SD</v>
      </c>
      <c r="AM589" s="7" t="b">
        <f t="shared" si="101"/>
        <v>1</v>
      </c>
      <c r="AN589" s="7" t="str">
        <f t="shared" si="96"/>
        <v>Holmes</v>
      </c>
      <c r="AO589" s="7" t="b">
        <f>C589='St of Activities - GA Exp'!C589</f>
        <v>1</v>
      </c>
    </row>
    <row r="590" spans="1:41">
      <c r="A590" s="12" t="s">
        <v>235</v>
      </c>
      <c r="B590" s="12"/>
      <c r="C590" s="12" t="s">
        <v>232</v>
      </c>
      <c r="D590" s="12"/>
      <c r="E590" s="12">
        <v>46219</v>
      </c>
      <c r="G590" s="7">
        <f>575598+1107002</f>
        <v>1682600</v>
      </c>
      <c r="I590" s="7">
        <v>0</v>
      </c>
      <c r="K590" s="2">
        <f t="shared" si="102"/>
        <v>2948926</v>
      </c>
      <c r="M590" s="7">
        <v>4631526</v>
      </c>
      <c r="O590" s="2">
        <f t="shared" si="97"/>
        <v>1607704</v>
      </c>
      <c r="Q590" s="7">
        <f>190579+1333338</f>
        <v>1523917</v>
      </c>
      <c r="S590" s="7">
        <v>3131621</v>
      </c>
      <c r="U590" s="7">
        <v>10332</v>
      </c>
      <c r="W590" s="7">
        <v>0</v>
      </c>
      <c r="Y590" s="7">
        <v>10569</v>
      </c>
      <c r="AA590" s="7">
        <f>9004+18961+3609+50207</f>
        <v>81781</v>
      </c>
      <c r="AC590" s="7">
        <f>1389736+7487</f>
        <v>1397223</v>
      </c>
      <c r="AE590" s="13">
        <f t="shared" si="98"/>
        <v>1499905</v>
      </c>
      <c r="AG590" s="7">
        <f t="shared" si="99"/>
        <v>0</v>
      </c>
      <c r="AK590" s="7" t="str">
        <f t="shared" si="100"/>
        <v>West Liberty-Salem Local SD</v>
      </c>
      <c r="AL590" s="7" t="str">
        <f>'St of Activities - GA Exp'!A590</f>
        <v>West Liberty-Salem Local SD</v>
      </c>
      <c r="AM590" s="7" t="b">
        <f t="shared" si="101"/>
        <v>1</v>
      </c>
      <c r="AN590" s="7" t="str">
        <f t="shared" si="96"/>
        <v>Champaign</v>
      </c>
      <c r="AO590" s="7" t="b">
        <f>C590='St of Activities - GA Exp'!C590</f>
        <v>1</v>
      </c>
    </row>
    <row r="591" spans="1:41">
      <c r="A591" s="12" t="s">
        <v>460</v>
      </c>
      <c r="B591" s="12"/>
      <c r="C591" s="12" t="s">
        <v>51</v>
      </c>
      <c r="D591" s="12"/>
      <c r="E591" s="12">
        <v>48884</v>
      </c>
      <c r="G591" s="7">
        <f>983269+91</f>
        <v>983360</v>
      </c>
      <c r="I591" s="7">
        <v>0</v>
      </c>
      <c r="K591" s="2">
        <f t="shared" si="102"/>
        <v>6050488</v>
      </c>
      <c r="M591" s="7">
        <v>7033848</v>
      </c>
      <c r="O591" s="2">
        <f t="shared" si="97"/>
        <v>1429154</v>
      </c>
      <c r="Q591" s="7">
        <v>5692547</v>
      </c>
      <c r="S591" s="7">
        <v>7121701</v>
      </c>
      <c r="U591" s="7">
        <v>72554</v>
      </c>
      <c r="W591" s="7">
        <v>0</v>
      </c>
      <c r="Y591" s="7">
        <v>33715</v>
      </c>
      <c r="AA591" s="7">
        <v>430249</v>
      </c>
      <c r="AC591" s="7">
        <v>-624371</v>
      </c>
      <c r="AE591" s="13">
        <f t="shared" si="98"/>
        <v>-87853</v>
      </c>
      <c r="AG591" s="7">
        <f t="shared" si="99"/>
        <v>0</v>
      </c>
      <c r="AK591" s="7" t="str">
        <f t="shared" si="100"/>
        <v>West Muskingum Local SD</v>
      </c>
      <c r="AL591" s="7" t="str">
        <f>'St of Activities - GA Exp'!A591</f>
        <v>West Muskingum Local SD</v>
      </c>
      <c r="AM591" s="7" t="b">
        <f t="shared" si="101"/>
        <v>1</v>
      </c>
      <c r="AN591" s="7" t="str">
        <f t="shared" si="96"/>
        <v>Muskingum</v>
      </c>
      <c r="AO591" s="7" t="b">
        <f>C591='St of Activities - GA Exp'!C591</f>
        <v>1</v>
      </c>
    </row>
    <row r="592" spans="1:41">
      <c r="A592" s="12" t="s">
        <v>222</v>
      </c>
      <c r="B592" s="12"/>
      <c r="C592" s="12" t="s">
        <v>77</v>
      </c>
      <c r="D592" s="12"/>
      <c r="E592" s="12">
        <v>46060</v>
      </c>
      <c r="G592" s="7">
        <v>1090380</v>
      </c>
      <c r="I592" s="7">
        <v>1321337</v>
      </c>
      <c r="K592" s="2">
        <f t="shared" si="102"/>
        <v>4736834</v>
      </c>
      <c r="M592" s="7">
        <v>7148551</v>
      </c>
      <c r="O592" s="2">
        <f t="shared" si="97"/>
        <v>2854653</v>
      </c>
      <c r="Q592" s="7">
        <v>3483604</v>
      </c>
      <c r="S592" s="7">
        <v>6338257</v>
      </c>
      <c r="U592" s="7">
        <v>10911</v>
      </c>
      <c r="W592" s="7">
        <v>1321337</v>
      </c>
      <c r="Y592" s="7">
        <v>0</v>
      </c>
      <c r="AA592" s="7">
        <v>131813</v>
      </c>
      <c r="AC592" s="7">
        <v>-653767</v>
      </c>
      <c r="AE592" s="13">
        <f t="shared" si="98"/>
        <v>810294</v>
      </c>
      <c r="AG592" s="7">
        <f t="shared" si="99"/>
        <v>0</v>
      </c>
      <c r="AK592" s="7" t="str">
        <f t="shared" si="100"/>
        <v>Western Brown Local SD</v>
      </c>
      <c r="AL592" s="7" t="str">
        <f>'St of Activities - GA Exp'!A592</f>
        <v>Western Brown Local SD</v>
      </c>
      <c r="AM592" s="7" t="b">
        <f t="shared" si="101"/>
        <v>1</v>
      </c>
      <c r="AN592" s="7" t="str">
        <f t="shared" ref="AN592:AN618" si="103">C592</f>
        <v>Brown</v>
      </c>
      <c r="AO592" s="7" t="b">
        <f>C592='St of Activities - GA Exp'!C592</f>
        <v>1</v>
      </c>
    </row>
    <row r="593" spans="1:41">
      <c r="A593" s="12" t="s">
        <v>473</v>
      </c>
      <c r="B593" s="12"/>
      <c r="C593" s="12" t="s">
        <v>55</v>
      </c>
      <c r="D593" s="12"/>
      <c r="E593" s="12">
        <v>49155</v>
      </c>
      <c r="G593" s="7">
        <v>3692866</v>
      </c>
      <c r="I593" s="7">
        <v>0</v>
      </c>
      <c r="K593" s="2">
        <f t="shared" si="102"/>
        <v>1257924</v>
      </c>
      <c r="M593" s="7">
        <v>4950790</v>
      </c>
      <c r="O593" s="2">
        <f t="shared" si="97"/>
        <v>899193</v>
      </c>
      <c r="Q593" s="7">
        <v>1108386</v>
      </c>
      <c r="S593" s="7">
        <v>2007579</v>
      </c>
      <c r="U593" s="7">
        <v>0</v>
      </c>
      <c r="W593" s="7">
        <v>0</v>
      </c>
      <c r="Y593" s="7">
        <v>0</v>
      </c>
      <c r="AA593" s="7">
        <v>133701</v>
      </c>
      <c r="AC593" s="7">
        <v>2809510</v>
      </c>
      <c r="AE593" s="13">
        <f t="shared" si="98"/>
        <v>2943211</v>
      </c>
      <c r="AG593" s="7">
        <f t="shared" si="99"/>
        <v>0</v>
      </c>
      <c r="AK593" s="7" t="str">
        <f t="shared" si="100"/>
        <v>Western Local SD</v>
      </c>
      <c r="AL593" s="7" t="str">
        <f>'St of Activities - GA Exp'!A593</f>
        <v>Western Local SD</v>
      </c>
      <c r="AM593" s="7" t="b">
        <f t="shared" si="101"/>
        <v>1</v>
      </c>
      <c r="AN593" s="7" t="str">
        <f t="shared" si="103"/>
        <v>Pike</v>
      </c>
      <c r="AO593" s="7" t="b">
        <f>C593='St of Activities - GA Exp'!C593</f>
        <v>1</v>
      </c>
    </row>
    <row r="594" spans="1:41">
      <c r="A594" s="12" t="s">
        <v>369</v>
      </c>
      <c r="B594" s="12"/>
      <c r="C594" s="12" t="s">
        <v>37</v>
      </c>
      <c r="D594" s="12"/>
      <c r="E594" s="12">
        <v>47746</v>
      </c>
      <c r="G594" s="7">
        <v>1471610</v>
      </c>
      <c r="I594" s="7">
        <v>22459</v>
      </c>
      <c r="K594" s="2">
        <f t="shared" si="102"/>
        <v>3120331</v>
      </c>
      <c r="M594" s="7">
        <v>4614400</v>
      </c>
      <c r="O594" s="2">
        <f t="shared" si="97"/>
        <v>1297105</v>
      </c>
      <c r="Q594" s="7">
        <f>213191+1959919</f>
        <v>2173110</v>
      </c>
      <c r="S594" s="7">
        <v>3470215</v>
      </c>
      <c r="U594" s="7">
        <v>23832</v>
      </c>
      <c r="W594" s="7">
        <v>22459</v>
      </c>
      <c r="Y594" s="7">
        <v>225000</v>
      </c>
      <c r="AA594" s="7">
        <f>4188+48947+21788+5589</f>
        <v>80512</v>
      </c>
      <c r="AC594" s="7">
        <v>792382</v>
      </c>
      <c r="AE594" s="13">
        <f t="shared" si="98"/>
        <v>1144185</v>
      </c>
      <c r="AG594" s="7">
        <f t="shared" si="99"/>
        <v>0</v>
      </c>
      <c r="AK594" s="7" t="str">
        <f t="shared" si="100"/>
        <v>Western Reserve Local SD</v>
      </c>
      <c r="AL594" s="7" t="str">
        <f>'St of Activities - GA Exp'!A594</f>
        <v>Western Reserve Local SD</v>
      </c>
      <c r="AM594" s="7" t="b">
        <f t="shared" si="101"/>
        <v>1</v>
      </c>
      <c r="AN594" s="7" t="str">
        <f t="shared" si="103"/>
        <v>Huron</v>
      </c>
      <c r="AO594" s="7" t="b">
        <f>C594='St of Activities - GA Exp'!C594</f>
        <v>1</v>
      </c>
    </row>
    <row r="595" spans="1:41">
      <c r="A595" s="12" t="s">
        <v>369</v>
      </c>
      <c r="B595" s="12"/>
      <c r="C595" s="12" t="s">
        <v>45</v>
      </c>
      <c r="D595" s="12"/>
      <c r="E595" s="12">
        <v>48397</v>
      </c>
      <c r="G595" s="7">
        <v>1565289</v>
      </c>
      <c r="I595" s="7">
        <v>250100</v>
      </c>
      <c r="K595" s="2">
        <f t="shared" si="102"/>
        <v>2828665</v>
      </c>
      <c r="M595" s="7">
        <v>4644054</v>
      </c>
      <c r="O595" s="2">
        <f t="shared" si="97"/>
        <v>752242</v>
      </c>
      <c r="Q595" s="7">
        <v>2714344</v>
      </c>
      <c r="S595" s="7">
        <v>3466586</v>
      </c>
      <c r="U595" s="7">
        <v>78173</v>
      </c>
      <c r="W595" s="7">
        <v>182787</v>
      </c>
      <c r="Y595" s="7">
        <v>67313</v>
      </c>
      <c r="AA595" s="7">
        <v>35606</v>
      </c>
      <c r="AC595" s="7">
        <v>813589</v>
      </c>
      <c r="AE595" s="13">
        <f t="shared" si="98"/>
        <v>1177468</v>
      </c>
      <c r="AG595" s="7">
        <f t="shared" si="99"/>
        <v>0</v>
      </c>
      <c r="AK595" s="7" t="str">
        <f t="shared" si="100"/>
        <v>Western Reserve Local SD</v>
      </c>
      <c r="AL595" s="7" t="str">
        <f>'St of Activities - GA Exp'!A595</f>
        <v>Western Reserve Local SD</v>
      </c>
      <c r="AM595" s="7" t="b">
        <f t="shared" si="101"/>
        <v>1</v>
      </c>
      <c r="AN595" s="7" t="str">
        <f t="shared" si="103"/>
        <v>Mahoning</v>
      </c>
      <c r="AO595" s="7" t="b">
        <f>C595='St of Activities - GA Exp'!C595</f>
        <v>1</v>
      </c>
    </row>
    <row r="596" spans="1:41">
      <c r="A596" s="12" t="s">
        <v>315</v>
      </c>
      <c r="B596" s="12"/>
      <c r="C596" s="12" t="s">
        <v>27</v>
      </c>
      <c r="D596" s="12"/>
      <c r="E596" s="12">
        <v>45047</v>
      </c>
      <c r="G596" s="7">
        <v>29661416</v>
      </c>
      <c r="I596" s="7">
        <v>0</v>
      </c>
      <c r="K596" s="2">
        <f t="shared" si="102"/>
        <v>81778463</v>
      </c>
      <c r="M596" s="7">
        <v>111439879</v>
      </c>
      <c r="O596" s="2">
        <f t="shared" ref="O596:O618" si="104">+S596-Q596</f>
        <v>19586143</v>
      </c>
      <c r="Q596" s="7">
        <v>67400395</v>
      </c>
      <c r="S596" s="7">
        <v>86986538</v>
      </c>
      <c r="U596" s="7">
        <v>98661</v>
      </c>
      <c r="W596" s="7">
        <v>0</v>
      </c>
      <c r="Y596" s="7">
        <v>0</v>
      </c>
      <c r="AA596" s="7">
        <v>790544</v>
      </c>
      <c r="AC596" s="7">
        <v>23564136</v>
      </c>
      <c r="AE596" s="13">
        <f t="shared" ref="AE596:AE618" si="105">+Y596+W596++U596+AA596+AC596</f>
        <v>24453341</v>
      </c>
      <c r="AG596" s="7">
        <f t="shared" ref="AG596:AG618" si="106">+G596+I596+K596-O596-Q596-Y596-W596-U596-AA596-AC596</f>
        <v>0</v>
      </c>
      <c r="AK596" s="7" t="str">
        <f t="shared" ref="AK596:AK618" si="107">A596</f>
        <v>Westerville City SD</v>
      </c>
      <c r="AL596" s="7" t="str">
        <f>'St of Activities - GA Exp'!A596</f>
        <v>Westerville City SD</v>
      </c>
      <c r="AM596" s="7" t="b">
        <f t="shared" ref="AM596:AM618" si="108">AK596=AL596</f>
        <v>1</v>
      </c>
      <c r="AN596" s="7" t="str">
        <f t="shared" si="103"/>
        <v>Franklin</v>
      </c>
      <c r="AO596" s="7" t="b">
        <f>C596='St of Activities - GA Exp'!C596</f>
        <v>1</v>
      </c>
    </row>
    <row r="597" spans="1:41">
      <c r="A597" s="12" t="s">
        <v>470</v>
      </c>
      <c r="B597" s="12"/>
      <c r="C597" s="12" t="s">
        <v>54</v>
      </c>
      <c r="D597" s="12"/>
      <c r="E597" s="12">
        <v>49106</v>
      </c>
      <c r="G597" s="7">
        <v>2871652</v>
      </c>
      <c r="I597" s="7">
        <v>354177</v>
      </c>
      <c r="K597" s="2">
        <f t="shared" si="102"/>
        <v>4923227</v>
      </c>
      <c r="M597" s="7">
        <v>8149056</v>
      </c>
      <c r="O597" s="2">
        <f t="shared" si="104"/>
        <v>1448006</v>
      </c>
      <c r="Q597" s="7">
        <v>3099612</v>
      </c>
      <c r="S597" s="7">
        <v>4547618</v>
      </c>
      <c r="U597" s="7">
        <v>0</v>
      </c>
      <c r="W597" s="7">
        <v>354177</v>
      </c>
      <c r="Y597" s="7">
        <v>0</v>
      </c>
      <c r="AA597" s="7">
        <v>223894</v>
      </c>
      <c r="AC597" s="7">
        <v>3023367</v>
      </c>
      <c r="AE597" s="13">
        <f t="shared" si="105"/>
        <v>3601438</v>
      </c>
      <c r="AG597" s="7">
        <f t="shared" si="106"/>
        <v>0</v>
      </c>
      <c r="AK597" s="7" t="str">
        <f t="shared" si="107"/>
        <v>Westfall Local SD</v>
      </c>
      <c r="AL597" s="7" t="str">
        <f>'St of Activities - GA Exp'!A597</f>
        <v>Westfall Local SD</v>
      </c>
      <c r="AM597" s="7" t="b">
        <f t="shared" si="108"/>
        <v>1</v>
      </c>
      <c r="AN597" s="7" t="str">
        <f t="shared" si="103"/>
        <v>Pickaway</v>
      </c>
      <c r="AO597" s="7" t="b">
        <f>C597='St of Activities - GA Exp'!C597</f>
        <v>1</v>
      </c>
    </row>
    <row r="598" spans="1:41">
      <c r="A598" s="12" t="s">
        <v>287</v>
      </c>
      <c r="B598" s="12"/>
      <c r="C598" s="12" t="s">
        <v>20</v>
      </c>
      <c r="D598" s="12"/>
      <c r="E598" s="12">
        <v>45062</v>
      </c>
      <c r="G598" s="7">
        <v>24364232</v>
      </c>
      <c r="I598" s="7">
        <v>0</v>
      </c>
      <c r="K598" s="2">
        <f t="shared" ref="K598:K618" si="109">+M598-I598-G598</f>
        <v>40295557</v>
      </c>
      <c r="M598" s="7">
        <v>64659789</v>
      </c>
      <c r="O598" s="2">
        <f t="shared" si="104"/>
        <v>7503854</v>
      </c>
      <c r="Q598" s="7">
        <f>2031088+32832863</f>
        <v>34863951</v>
      </c>
      <c r="S598" s="7">
        <v>42367805</v>
      </c>
      <c r="U598" s="7">
        <v>6540</v>
      </c>
      <c r="W598" s="7">
        <v>0</v>
      </c>
      <c r="Y598" s="7">
        <v>0</v>
      </c>
      <c r="AA598" s="7">
        <f>1392358+1274571+157956+21089+96472</f>
        <v>2942446</v>
      </c>
      <c r="AC598" s="7">
        <v>19342998</v>
      </c>
      <c r="AE598" s="13">
        <f t="shared" si="105"/>
        <v>22291984</v>
      </c>
      <c r="AG598" s="7">
        <f t="shared" si="106"/>
        <v>0</v>
      </c>
      <c r="AK598" s="7" t="str">
        <f t="shared" si="107"/>
        <v>Westlake City SD</v>
      </c>
      <c r="AL598" s="7" t="str">
        <f>'St of Activities - GA Exp'!A598</f>
        <v>Westlake City SD</v>
      </c>
      <c r="AM598" s="7" t="b">
        <f t="shared" si="108"/>
        <v>1</v>
      </c>
      <c r="AN598" s="7" t="str">
        <f t="shared" si="103"/>
        <v>Cuyahoga</v>
      </c>
      <c r="AO598" s="7" t="b">
        <f>C598='St of Activities - GA Exp'!C598</f>
        <v>1</v>
      </c>
    </row>
    <row r="599" spans="1:41">
      <c r="A599" s="12" t="s">
        <v>501</v>
      </c>
      <c r="B599" s="12"/>
      <c r="C599" s="12" t="s">
        <v>59</v>
      </c>
      <c r="D599" s="12"/>
      <c r="E599" s="12">
        <v>49668</v>
      </c>
      <c r="G599" s="7">
        <v>1753335</v>
      </c>
      <c r="I599" s="7">
        <v>16294</v>
      </c>
      <c r="K599" s="2">
        <f t="shared" si="109"/>
        <v>2919138</v>
      </c>
      <c r="M599" s="7">
        <v>4688767</v>
      </c>
      <c r="O599" s="2">
        <f t="shared" si="104"/>
        <v>1287590</v>
      </c>
      <c r="Q599" s="7">
        <v>2572608</v>
      </c>
      <c r="S599" s="7">
        <v>3860198</v>
      </c>
      <c r="U599" s="7">
        <v>37109</v>
      </c>
      <c r="W599" s="7">
        <v>16294</v>
      </c>
      <c r="Y599" s="7">
        <v>145874</v>
      </c>
      <c r="AA599" s="7">
        <v>127685</v>
      </c>
      <c r="AC599" s="7">
        <v>501607</v>
      </c>
      <c r="AE599" s="13">
        <f t="shared" si="105"/>
        <v>828569</v>
      </c>
      <c r="AG599" s="7">
        <f t="shared" si="106"/>
        <v>0</v>
      </c>
      <c r="AK599" s="7" t="str">
        <f t="shared" si="107"/>
        <v>Wheelersburg Local SD</v>
      </c>
      <c r="AL599" s="7" t="str">
        <f>'St of Activities - GA Exp'!A599</f>
        <v>Wheelersburg Local SD</v>
      </c>
      <c r="AM599" s="7" t="b">
        <f t="shared" si="108"/>
        <v>1</v>
      </c>
      <c r="AN599" s="7" t="str">
        <f t="shared" si="103"/>
        <v>Scioto</v>
      </c>
      <c r="AO599" s="7" t="b">
        <f>C599='St of Activities - GA Exp'!C599</f>
        <v>1</v>
      </c>
    </row>
    <row r="600" spans="1:41">
      <c r="A600" s="12" t="s">
        <v>316</v>
      </c>
      <c r="B600" s="12"/>
      <c r="C600" s="12" t="s">
        <v>27</v>
      </c>
      <c r="D600" s="12"/>
      <c r="E600" s="12">
        <v>45070</v>
      </c>
      <c r="G600" s="7">
        <v>15832605</v>
      </c>
      <c r="I600" s="7">
        <v>158536</v>
      </c>
      <c r="K600" s="2">
        <f t="shared" si="109"/>
        <v>11368974</v>
      </c>
      <c r="M600" s="7">
        <v>27360115</v>
      </c>
      <c r="O600" s="2">
        <f t="shared" si="104"/>
        <v>3193299</v>
      </c>
      <c r="Q600" s="7">
        <v>8351437</v>
      </c>
      <c r="S600" s="7">
        <v>11544736</v>
      </c>
      <c r="U600" s="7">
        <v>62506</v>
      </c>
      <c r="W600" s="7">
        <v>0</v>
      </c>
      <c r="Y600" s="7">
        <v>158536</v>
      </c>
      <c r="AA600" s="7">
        <f>339359+22304</f>
        <v>361663</v>
      </c>
      <c r="AC600" s="7">
        <v>15232674</v>
      </c>
      <c r="AE600" s="13">
        <f t="shared" si="105"/>
        <v>15815379</v>
      </c>
      <c r="AG600" s="7">
        <f t="shared" si="106"/>
        <v>0</v>
      </c>
      <c r="AK600" s="7" t="str">
        <f t="shared" si="107"/>
        <v>Whitehall City SD</v>
      </c>
      <c r="AL600" s="7" t="str">
        <f>'St of Activities - GA Exp'!A600</f>
        <v>Whitehall City SD</v>
      </c>
      <c r="AM600" s="7" t="b">
        <f t="shared" si="108"/>
        <v>1</v>
      </c>
      <c r="AN600" s="7" t="str">
        <f t="shared" si="103"/>
        <v>Franklin</v>
      </c>
      <c r="AO600" s="7" t="b">
        <f>C600='St of Activities - GA Exp'!C600</f>
        <v>1</v>
      </c>
    </row>
    <row r="601" spans="1:41" hidden="1">
      <c r="A601" s="12" t="s">
        <v>649</v>
      </c>
      <c r="B601" s="12"/>
      <c r="C601" s="12" t="s">
        <v>41</v>
      </c>
      <c r="D601" s="12"/>
      <c r="E601" s="12">
        <v>45088</v>
      </c>
      <c r="K601" s="2">
        <f t="shared" si="109"/>
        <v>0</v>
      </c>
      <c r="O601" s="2">
        <f t="shared" si="104"/>
        <v>0</v>
      </c>
      <c r="AE601" s="13">
        <f t="shared" si="105"/>
        <v>0</v>
      </c>
      <c r="AG601" s="7">
        <f t="shared" si="106"/>
        <v>0</v>
      </c>
      <c r="AK601" s="7" t="str">
        <f t="shared" si="107"/>
        <v>Wickliffe City SD (CASH)</v>
      </c>
      <c r="AL601" s="7" t="str">
        <f>'St of Activities - GA Exp'!A601</f>
        <v>Wickliffe City SD (CASH)</v>
      </c>
      <c r="AM601" s="7" t="b">
        <f t="shared" si="108"/>
        <v>1</v>
      </c>
      <c r="AN601" s="7" t="str">
        <f t="shared" si="103"/>
        <v>Lake</v>
      </c>
      <c r="AO601" s="7" t="b">
        <f>C601='St of Activities - GA Exp'!C601</f>
        <v>1</v>
      </c>
    </row>
    <row r="602" spans="1:41">
      <c r="A602" s="12" t="s">
        <v>370</v>
      </c>
      <c r="B602" s="12"/>
      <c r="C602" s="12" t="s">
        <v>37</v>
      </c>
      <c r="D602" s="12"/>
      <c r="E602" s="12">
        <v>45096</v>
      </c>
      <c r="G602" s="7">
        <v>2169304</v>
      </c>
      <c r="I602" s="7">
        <v>0</v>
      </c>
      <c r="K602" s="2">
        <f t="shared" si="109"/>
        <v>5315565</v>
      </c>
      <c r="M602" s="7">
        <v>7484869</v>
      </c>
      <c r="O602" s="2">
        <f t="shared" si="104"/>
        <v>2419377</v>
      </c>
      <c r="Q602" s="7">
        <f>3539443+438299</f>
        <v>3977742</v>
      </c>
      <c r="S602" s="7">
        <v>6397119</v>
      </c>
      <c r="U602" s="7">
        <f>59973+58088</f>
        <v>118061</v>
      </c>
      <c r="W602" s="7">
        <v>0</v>
      </c>
      <c r="Y602" s="7">
        <v>0</v>
      </c>
      <c r="AA602" s="7">
        <f>48097+573979</f>
        <v>622076</v>
      </c>
      <c r="AC602" s="7">
        <v>347613</v>
      </c>
      <c r="AE602" s="13">
        <f t="shared" si="105"/>
        <v>1087750</v>
      </c>
      <c r="AG602" s="7">
        <f t="shared" si="106"/>
        <v>0</v>
      </c>
      <c r="AK602" s="7" t="str">
        <f t="shared" si="107"/>
        <v>Willard City SD</v>
      </c>
      <c r="AL602" s="7" t="str">
        <f>'St of Activities - GA Exp'!A602</f>
        <v>Willard City SD</v>
      </c>
      <c r="AM602" s="7" t="b">
        <f t="shared" si="108"/>
        <v>1</v>
      </c>
      <c r="AN602" s="7" t="str">
        <f t="shared" si="103"/>
        <v>Huron</v>
      </c>
      <c r="AO602" s="7" t="b">
        <f>C602='St of Activities - GA Exp'!C602</f>
        <v>1</v>
      </c>
    </row>
    <row r="603" spans="1:41">
      <c r="A603" s="12" t="s">
        <v>247</v>
      </c>
      <c r="B603" s="12"/>
      <c r="C603" s="12" t="s">
        <v>113</v>
      </c>
      <c r="D603" s="12"/>
      <c r="E603" s="12">
        <v>46367</v>
      </c>
      <c r="G603" s="7">
        <v>1525116</v>
      </c>
      <c r="I603" s="7">
        <v>185459</v>
      </c>
      <c r="K603" s="2">
        <f t="shared" si="109"/>
        <v>3624534</v>
      </c>
      <c r="M603" s="7">
        <v>5335109</v>
      </c>
      <c r="O603" s="2">
        <f t="shared" si="104"/>
        <v>916423</v>
      </c>
      <c r="Q603" s="7">
        <v>2763128</v>
      </c>
      <c r="S603" s="7">
        <v>3679551</v>
      </c>
      <c r="U603" s="7">
        <v>28475</v>
      </c>
      <c r="W603" s="7">
        <v>185459</v>
      </c>
      <c r="Y603" s="7">
        <f>1067+81715</f>
        <v>82782</v>
      </c>
      <c r="AA603" s="7">
        <f>32228+26921</f>
        <v>59149</v>
      </c>
      <c r="AC603" s="7">
        <v>1299693</v>
      </c>
      <c r="AE603" s="13">
        <f t="shared" si="105"/>
        <v>1655558</v>
      </c>
      <c r="AG603" s="7">
        <f t="shared" si="106"/>
        <v>0</v>
      </c>
      <c r="AK603" s="7" t="str">
        <f t="shared" si="107"/>
        <v>Williamsburg Local SD</v>
      </c>
      <c r="AL603" s="7" t="str">
        <f>'St of Activities - GA Exp'!A603</f>
        <v>Williamsburg Local SD</v>
      </c>
      <c r="AM603" s="7" t="b">
        <f t="shared" si="108"/>
        <v>1</v>
      </c>
      <c r="AN603" s="7" t="str">
        <f t="shared" si="103"/>
        <v>Clermont</v>
      </c>
      <c r="AO603" s="7" t="b">
        <f>C603='St of Activities - GA Exp'!C603</f>
        <v>1</v>
      </c>
    </row>
    <row r="604" spans="1:41">
      <c r="A604" s="12" t="s">
        <v>376</v>
      </c>
      <c r="B604" s="12"/>
      <c r="C604" s="12" t="s">
        <v>41</v>
      </c>
      <c r="D604" s="12"/>
      <c r="E604" s="12">
        <v>45104</v>
      </c>
      <c r="G604" s="7">
        <v>14065726</v>
      </c>
      <c r="I604" s="7">
        <v>0</v>
      </c>
      <c r="K604" s="2">
        <f t="shared" si="109"/>
        <v>59030392</v>
      </c>
      <c r="M604" s="7">
        <v>73096118</v>
      </c>
      <c r="O604" s="2">
        <f t="shared" si="104"/>
        <v>12239783</v>
      </c>
      <c r="Q604" s="7">
        <v>51577315</v>
      </c>
      <c r="S604" s="7">
        <v>63817098</v>
      </c>
      <c r="U604" s="7">
        <v>4515</v>
      </c>
      <c r="W604" s="7">
        <v>0</v>
      </c>
      <c r="Y604" s="7">
        <v>457729</v>
      </c>
      <c r="AA604" s="7">
        <v>640021</v>
      </c>
      <c r="AC604" s="7">
        <v>8176755</v>
      </c>
      <c r="AE604" s="13">
        <f t="shared" si="105"/>
        <v>9279020</v>
      </c>
      <c r="AG604" s="7">
        <f t="shared" si="106"/>
        <v>0</v>
      </c>
      <c r="AK604" s="7" t="str">
        <f t="shared" si="107"/>
        <v>Willoughby-Eastlake City SD</v>
      </c>
      <c r="AL604" s="7" t="str">
        <f>'St of Activities - GA Exp'!A604</f>
        <v>Willoughby-Eastlake City SD</v>
      </c>
      <c r="AM604" s="7" t="b">
        <f t="shared" si="108"/>
        <v>1</v>
      </c>
      <c r="AN604" s="7" t="str">
        <f t="shared" si="103"/>
        <v>Lake</v>
      </c>
      <c r="AO604" s="7" t="b">
        <f>C604='St of Activities - GA Exp'!C604</f>
        <v>1</v>
      </c>
    </row>
    <row r="605" spans="1:41">
      <c r="A605" s="12" t="s">
        <v>251</v>
      </c>
      <c r="B605" s="12"/>
      <c r="C605" s="12" t="s">
        <v>18</v>
      </c>
      <c r="D605" s="12"/>
      <c r="E605" s="12">
        <v>45112</v>
      </c>
      <c r="G605" s="7">
        <v>3600363</v>
      </c>
      <c r="I605" s="7">
        <v>57982</v>
      </c>
      <c r="K605" s="2">
        <f t="shared" si="109"/>
        <v>16991303</v>
      </c>
      <c r="M605" s="7">
        <v>20649648</v>
      </c>
      <c r="O605" s="2">
        <f t="shared" si="104"/>
        <v>2456315</v>
      </c>
      <c r="Q605" s="7">
        <v>14695570</v>
      </c>
      <c r="S605" s="7">
        <v>17151885</v>
      </c>
      <c r="U605" s="7">
        <v>313752</v>
      </c>
      <c r="W605" s="7">
        <v>0</v>
      </c>
      <c r="Y605" s="7">
        <v>0</v>
      </c>
      <c r="AA605" s="7">
        <v>483144</v>
      </c>
      <c r="AC605" s="7">
        <v>2700867</v>
      </c>
      <c r="AE605" s="13">
        <f t="shared" si="105"/>
        <v>3497763</v>
      </c>
      <c r="AG605" s="7">
        <f t="shared" si="106"/>
        <v>0</v>
      </c>
      <c r="AK605" s="7" t="str">
        <f t="shared" si="107"/>
        <v>Wilmington City SD</v>
      </c>
      <c r="AL605" s="7" t="str">
        <f>'St of Activities - GA Exp'!A605</f>
        <v>Wilmington City SD</v>
      </c>
      <c r="AM605" s="7" t="b">
        <f t="shared" si="108"/>
        <v>1</v>
      </c>
      <c r="AN605" s="7" t="str">
        <f t="shared" si="103"/>
        <v>Clinton</v>
      </c>
      <c r="AO605" s="7" t="b">
        <f>C605='St of Activities - GA Exp'!C605</f>
        <v>1</v>
      </c>
    </row>
    <row r="606" spans="1:41">
      <c r="A606" s="12" t="s">
        <v>891</v>
      </c>
      <c r="B606" s="12"/>
      <c r="C606" s="12" t="s">
        <v>56</v>
      </c>
      <c r="D606" s="12"/>
      <c r="E606" s="12">
        <v>45666</v>
      </c>
      <c r="G606" s="7">
        <f>1903927+184486</f>
        <v>2088413</v>
      </c>
      <c r="I606" s="7">
        <v>9046</v>
      </c>
      <c r="K606" s="2">
        <f t="shared" si="109"/>
        <v>1708386</v>
      </c>
      <c r="M606" s="7">
        <v>3805845</v>
      </c>
      <c r="O606" s="2">
        <f t="shared" si="104"/>
        <v>938167</v>
      </c>
      <c r="Q606" s="7">
        <f>178566+1266487</f>
        <v>1445053</v>
      </c>
      <c r="S606" s="7">
        <v>2383220</v>
      </c>
      <c r="U606" s="7">
        <v>17642</v>
      </c>
      <c r="W606" s="7">
        <v>9046</v>
      </c>
      <c r="Y606" s="7">
        <v>0</v>
      </c>
      <c r="AA606" s="7">
        <f>1728+5489+207+209387</f>
        <v>216811</v>
      </c>
      <c r="AC606" s="7">
        <v>1179126</v>
      </c>
      <c r="AE606" s="13">
        <f t="shared" si="105"/>
        <v>1422625</v>
      </c>
      <c r="AG606" s="7">
        <f t="shared" si="106"/>
        <v>0</v>
      </c>
      <c r="AK606" s="7" t="str">
        <f t="shared" si="107"/>
        <v>Windham Exempted Village SD</v>
      </c>
      <c r="AL606" s="7" t="str">
        <f>'St of Activities - GA Exp'!A606</f>
        <v>Windham Exempted Village SD</v>
      </c>
      <c r="AM606" s="7" t="b">
        <f t="shared" si="108"/>
        <v>1</v>
      </c>
      <c r="AN606" s="7" t="str">
        <f t="shared" si="103"/>
        <v>Portage</v>
      </c>
      <c r="AO606" s="7" t="b">
        <f>C606='St of Activities - GA Exp'!C606</f>
        <v>1</v>
      </c>
    </row>
    <row r="607" spans="1:41">
      <c r="A607" s="12" t="s">
        <v>341</v>
      </c>
      <c r="B607" s="12"/>
      <c r="C607" s="12" t="s">
        <v>32</v>
      </c>
      <c r="D607" s="12"/>
      <c r="E607" s="12">
        <v>44081</v>
      </c>
      <c r="G607" s="7">
        <v>4209035</v>
      </c>
      <c r="I607" s="7">
        <v>0</v>
      </c>
      <c r="K607" s="2">
        <f t="shared" si="109"/>
        <v>24539948</v>
      </c>
      <c r="M607" s="7">
        <v>28748983</v>
      </c>
      <c r="O607" s="2">
        <f t="shared" si="104"/>
        <v>4684425</v>
      </c>
      <c r="Q607" s="7">
        <v>15378040</v>
      </c>
      <c r="S607" s="7">
        <v>20062465</v>
      </c>
      <c r="U607" s="7">
        <v>0</v>
      </c>
      <c r="W607" s="7">
        <v>0</v>
      </c>
      <c r="Y607" s="7">
        <v>0</v>
      </c>
      <c r="AA607" s="7">
        <v>199526</v>
      </c>
      <c r="AC607" s="7">
        <v>8486992</v>
      </c>
      <c r="AE607" s="13">
        <f t="shared" si="105"/>
        <v>8686518</v>
      </c>
      <c r="AG607" s="7">
        <f t="shared" si="106"/>
        <v>0</v>
      </c>
      <c r="AK607" s="7" t="str">
        <f t="shared" si="107"/>
        <v>Winton Woods City SD</v>
      </c>
      <c r="AL607" s="7" t="str">
        <f>'St of Activities - GA Exp'!A607</f>
        <v>Winton Woods City SD</v>
      </c>
      <c r="AM607" s="7" t="b">
        <f t="shared" si="108"/>
        <v>1</v>
      </c>
      <c r="AN607" s="7" t="str">
        <f t="shared" si="103"/>
        <v>Hamilton</v>
      </c>
      <c r="AO607" s="7" t="b">
        <f>C607='St of Activities - GA Exp'!C607</f>
        <v>1</v>
      </c>
    </row>
    <row r="608" spans="1:41">
      <c r="A608" s="12" t="s">
        <v>567</v>
      </c>
      <c r="B608" s="12"/>
      <c r="C608" s="12" t="s">
        <v>70</v>
      </c>
      <c r="D608" s="12"/>
      <c r="E608" s="12">
        <v>50518</v>
      </c>
      <c r="G608" s="7">
        <v>7455539</v>
      </c>
      <c r="I608" s="7">
        <v>118801</v>
      </c>
      <c r="K608" s="2">
        <f t="shared" si="109"/>
        <v>4692132</v>
      </c>
      <c r="M608" s="7">
        <v>12266472</v>
      </c>
      <c r="O608" s="2">
        <f t="shared" si="104"/>
        <v>652499</v>
      </c>
      <c r="Q608" s="7">
        <v>4555356</v>
      </c>
      <c r="S608" s="7">
        <v>5207855</v>
      </c>
      <c r="U608" s="7">
        <v>110043</v>
      </c>
      <c r="W608" s="7">
        <v>118401</v>
      </c>
      <c r="Y608" s="7">
        <v>78944</v>
      </c>
      <c r="AA608" s="7">
        <v>82424</v>
      </c>
      <c r="AC608" s="7">
        <v>6668805</v>
      </c>
      <c r="AE608" s="13">
        <f t="shared" si="105"/>
        <v>7058617</v>
      </c>
      <c r="AG608" s="7">
        <f t="shared" si="106"/>
        <v>0</v>
      </c>
      <c r="AK608" s="7" t="str">
        <f t="shared" si="107"/>
        <v>Wolf Creek Local SD</v>
      </c>
      <c r="AL608" s="7" t="str">
        <f>'St of Activities - GA Exp'!A608</f>
        <v>Wolf Creek Local SD</v>
      </c>
      <c r="AM608" s="7" t="b">
        <f t="shared" si="108"/>
        <v>1</v>
      </c>
      <c r="AN608" s="7" t="str">
        <f t="shared" si="103"/>
        <v>Washington</v>
      </c>
      <c r="AO608" s="7" t="b">
        <f>C608='St of Activities - GA Exp'!C608</f>
        <v>1</v>
      </c>
    </row>
    <row r="609" spans="1:41">
      <c r="A609" s="12" t="s">
        <v>493</v>
      </c>
      <c r="B609" s="12"/>
      <c r="C609" s="12" t="s">
        <v>79</v>
      </c>
      <c r="D609" s="12"/>
      <c r="E609" s="12">
        <v>49577</v>
      </c>
      <c r="G609" s="7">
        <v>1288623</v>
      </c>
      <c r="I609" s="7">
        <v>430</v>
      </c>
      <c r="K609" s="2">
        <f t="shared" si="109"/>
        <v>4197511</v>
      </c>
      <c r="M609" s="7">
        <v>5486564</v>
      </c>
      <c r="O609" s="2">
        <f t="shared" si="104"/>
        <v>799807</v>
      </c>
      <c r="Q609" s="7">
        <f>184813+3199889</f>
        <v>3384702</v>
      </c>
      <c r="S609" s="7">
        <v>4184509</v>
      </c>
      <c r="U609" s="7">
        <f>15644+9780+34792</f>
        <v>60216</v>
      </c>
      <c r="W609" s="7">
        <v>430</v>
      </c>
      <c r="Y609" s="7">
        <v>0</v>
      </c>
      <c r="AA609" s="7">
        <f>9787+64437+16625+24623+6429</f>
        <v>121901</v>
      </c>
      <c r="AC609" s="7">
        <v>1119508</v>
      </c>
      <c r="AE609" s="13">
        <f t="shared" si="105"/>
        <v>1302055</v>
      </c>
      <c r="AG609" s="7">
        <f t="shared" si="106"/>
        <v>0</v>
      </c>
      <c r="AK609" s="7" t="str">
        <f t="shared" si="107"/>
        <v>Woodmore Local SD</v>
      </c>
      <c r="AL609" s="7" t="str">
        <f>'St of Activities - GA Exp'!A609</f>
        <v>Woodmore Local SD</v>
      </c>
      <c r="AM609" s="7" t="b">
        <f t="shared" si="108"/>
        <v>1</v>
      </c>
      <c r="AN609" s="7" t="str">
        <f t="shared" si="103"/>
        <v>Sandusky</v>
      </c>
      <c r="AO609" s="7" t="b">
        <f>C609='St of Activities - GA Exp'!C609</f>
        <v>1</v>
      </c>
    </row>
    <row r="610" spans="1:41">
      <c r="A610" s="12" t="s">
        <v>533</v>
      </c>
      <c r="B610" s="12"/>
      <c r="C610" s="12" t="s">
        <v>63</v>
      </c>
      <c r="D610" s="12"/>
      <c r="E610" s="12">
        <v>49973</v>
      </c>
      <c r="G610" s="7">
        <v>7308293</v>
      </c>
      <c r="I610" s="7">
        <v>75025</v>
      </c>
      <c r="K610" s="2">
        <f t="shared" si="109"/>
        <v>15013140</v>
      </c>
      <c r="M610" s="7">
        <v>22396458</v>
      </c>
      <c r="O610" s="2">
        <f t="shared" si="104"/>
        <v>2591908</v>
      </c>
      <c r="Q610" s="7">
        <v>13171006</v>
      </c>
      <c r="S610" s="7">
        <v>15762914</v>
      </c>
      <c r="U610" s="7">
        <v>28517</v>
      </c>
      <c r="W610" s="7">
        <v>75025</v>
      </c>
      <c r="Y610" s="7">
        <v>0</v>
      </c>
      <c r="AA610" s="7">
        <v>3087256</v>
      </c>
      <c r="AC610" s="7">
        <v>3442746</v>
      </c>
      <c r="AE610" s="13">
        <f t="shared" si="105"/>
        <v>6633544</v>
      </c>
      <c r="AG610" s="7">
        <f t="shared" si="106"/>
        <v>0</v>
      </c>
      <c r="AK610" s="7" t="str">
        <f t="shared" si="107"/>
        <v>Woodridge Local SD</v>
      </c>
      <c r="AL610" s="7" t="str">
        <f>'St of Activities - GA Exp'!A610</f>
        <v>Woodridge Local SD</v>
      </c>
      <c r="AM610" s="7" t="b">
        <f t="shared" si="108"/>
        <v>1</v>
      </c>
      <c r="AN610" s="7" t="str">
        <f t="shared" si="103"/>
        <v>Summit</v>
      </c>
      <c r="AO610" s="7" t="b">
        <f>C610='St of Activities - GA Exp'!C610</f>
        <v>1</v>
      </c>
    </row>
    <row r="611" spans="1:41">
      <c r="A611" s="12" t="s">
        <v>650</v>
      </c>
      <c r="B611" s="12"/>
      <c r="C611" s="12" t="s">
        <v>71</v>
      </c>
      <c r="D611" s="12"/>
      <c r="E611" s="12">
        <v>45138</v>
      </c>
      <c r="G611" s="7">
        <v>19525389</v>
      </c>
      <c r="I611" s="7">
        <v>0</v>
      </c>
      <c r="K611" s="2">
        <f t="shared" si="109"/>
        <v>26115812</v>
      </c>
      <c r="M611" s="7">
        <v>45641201</v>
      </c>
      <c r="O611" s="2">
        <f t="shared" si="104"/>
        <v>4627455</v>
      </c>
      <c r="Q611" s="7">
        <v>23696022</v>
      </c>
      <c r="S611" s="7">
        <v>28323477</v>
      </c>
      <c r="U611" s="7">
        <v>0</v>
      </c>
      <c r="W611" s="7">
        <v>0</v>
      </c>
      <c r="Y611" s="7">
        <v>0</v>
      </c>
      <c r="AA611" s="7">
        <v>595749</v>
      </c>
      <c r="AC611" s="7">
        <v>16721975</v>
      </c>
      <c r="AE611" s="13">
        <f t="shared" si="105"/>
        <v>17317724</v>
      </c>
      <c r="AG611" s="7">
        <f t="shared" si="106"/>
        <v>0</v>
      </c>
      <c r="AK611" s="7" t="str">
        <f t="shared" si="107"/>
        <v>Wooster City SD</v>
      </c>
      <c r="AL611" s="7" t="str">
        <f>'St of Activities - GA Exp'!A611</f>
        <v>Wooster City SD</v>
      </c>
      <c r="AM611" s="7" t="b">
        <f t="shared" si="108"/>
        <v>1</v>
      </c>
      <c r="AN611" s="7" t="str">
        <f t="shared" si="103"/>
        <v>Wayne</v>
      </c>
      <c r="AO611" s="7" t="b">
        <f>C611='St of Activities - GA Exp'!C611</f>
        <v>1</v>
      </c>
    </row>
    <row r="612" spans="1:41">
      <c r="A612" s="12" t="s">
        <v>317</v>
      </c>
      <c r="B612" s="12"/>
      <c r="C612" s="12" t="s">
        <v>27</v>
      </c>
      <c r="D612" s="12"/>
      <c r="E612" s="12">
        <v>46524</v>
      </c>
      <c r="G612" s="7">
        <f>49767370+110658</f>
        <v>49878028</v>
      </c>
      <c r="I612" s="7">
        <v>0</v>
      </c>
      <c r="K612" s="2">
        <f t="shared" si="109"/>
        <v>72856681</v>
      </c>
      <c r="M612" s="7">
        <v>122734709</v>
      </c>
      <c r="O612" s="2">
        <f t="shared" si="104"/>
        <v>17264731</v>
      </c>
      <c r="Q612" s="7">
        <v>48648000</v>
      </c>
      <c r="S612" s="7">
        <v>65912731</v>
      </c>
      <c r="U612" s="7">
        <v>110658</v>
      </c>
      <c r="W612" s="7">
        <v>0</v>
      </c>
      <c r="Y612" s="7">
        <v>3118000</v>
      </c>
      <c r="AA612" s="7">
        <v>859000</v>
      </c>
      <c r="AC612" s="7">
        <v>52734320</v>
      </c>
      <c r="AE612" s="13">
        <f t="shared" si="105"/>
        <v>56821978</v>
      </c>
      <c r="AG612" s="7">
        <f t="shared" si="106"/>
        <v>0</v>
      </c>
      <c r="AK612" s="7" t="str">
        <f t="shared" si="107"/>
        <v>Worthington City SD</v>
      </c>
      <c r="AL612" s="7" t="str">
        <f>'St of Activities - GA Exp'!A612</f>
        <v>Worthington City SD</v>
      </c>
      <c r="AM612" s="7" t="b">
        <f t="shared" si="108"/>
        <v>1</v>
      </c>
      <c r="AN612" s="7" t="str">
        <f t="shared" si="103"/>
        <v>Franklin</v>
      </c>
      <c r="AO612" s="7" t="b">
        <f>C612='St of Activities - GA Exp'!C612</f>
        <v>1</v>
      </c>
    </row>
    <row r="613" spans="1:41">
      <c r="A613" s="12" t="s">
        <v>266</v>
      </c>
      <c r="B613" s="12"/>
      <c r="C613" s="12" t="s">
        <v>111</v>
      </c>
      <c r="D613" s="12"/>
      <c r="E613" s="12">
        <v>45146</v>
      </c>
      <c r="G613" s="7">
        <v>896314</v>
      </c>
      <c r="I613" s="7">
        <v>10675</v>
      </c>
      <c r="K613" s="2">
        <f t="shared" si="109"/>
        <v>3375567</v>
      </c>
      <c r="M613" s="7">
        <v>4282556</v>
      </c>
      <c r="O613" s="2">
        <f t="shared" si="104"/>
        <v>1008967</v>
      </c>
      <c r="Q613" s="7">
        <f>134842+2111572</f>
        <v>2246414</v>
      </c>
      <c r="S613" s="7">
        <v>3255381</v>
      </c>
      <c r="U613" s="7">
        <v>6290</v>
      </c>
      <c r="W613" s="7">
        <v>10675</v>
      </c>
      <c r="Y613" s="7">
        <f>20545+43046</f>
        <v>63591</v>
      </c>
      <c r="AA613" s="7">
        <v>28792</v>
      </c>
      <c r="AC613" s="7">
        <v>917827</v>
      </c>
      <c r="AE613" s="13">
        <f t="shared" si="105"/>
        <v>1027175</v>
      </c>
      <c r="AG613" s="7">
        <f t="shared" si="106"/>
        <v>0</v>
      </c>
      <c r="AK613" s="7" t="str">
        <f t="shared" si="107"/>
        <v>Wynford Local SD</v>
      </c>
      <c r="AL613" s="7" t="str">
        <f>'St of Activities - GA Exp'!A613</f>
        <v>Wynford Local SD</v>
      </c>
      <c r="AM613" s="7" t="b">
        <f t="shared" si="108"/>
        <v>1</v>
      </c>
      <c r="AN613" s="7" t="str">
        <f t="shared" si="103"/>
        <v>Crawford</v>
      </c>
      <c r="AO613" s="7" t="b">
        <f>C613='St of Activities - GA Exp'!C613</f>
        <v>1</v>
      </c>
    </row>
    <row r="614" spans="1:41">
      <c r="A614" s="12" t="s">
        <v>342</v>
      </c>
      <c r="B614" s="12"/>
      <c r="C614" s="12" t="s">
        <v>32</v>
      </c>
      <c r="D614" s="12"/>
      <c r="E614" s="12">
        <v>45153</v>
      </c>
      <c r="G614" s="7">
        <v>11158956</v>
      </c>
      <c r="I614" s="7">
        <v>0</v>
      </c>
      <c r="K614" s="2">
        <f t="shared" si="109"/>
        <v>11310673</v>
      </c>
      <c r="M614" s="7">
        <v>22469629</v>
      </c>
      <c r="O614" s="2">
        <f t="shared" si="104"/>
        <v>3095239</v>
      </c>
      <c r="Q614" s="7">
        <v>4919610</v>
      </c>
      <c r="S614" s="7">
        <v>8014849</v>
      </c>
      <c r="U614" s="7">
        <v>0</v>
      </c>
      <c r="W614" s="7">
        <v>0</v>
      </c>
      <c r="Y614" s="7">
        <v>0</v>
      </c>
      <c r="AA614" s="7">
        <v>82493</v>
      </c>
      <c r="AC614" s="7">
        <v>14372287</v>
      </c>
      <c r="AE614" s="13">
        <f t="shared" si="105"/>
        <v>14454780</v>
      </c>
      <c r="AG614" s="7">
        <f t="shared" si="106"/>
        <v>0</v>
      </c>
      <c r="AK614" s="7" t="str">
        <f t="shared" si="107"/>
        <v>Wyoming City SD</v>
      </c>
      <c r="AL614" s="7" t="str">
        <f>'St of Activities - GA Exp'!A614</f>
        <v>Wyoming City SD</v>
      </c>
      <c r="AM614" s="7" t="b">
        <f t="shared" si="108"/>
        <v>1</v>
      </c>
      <c r="AN614" s="7" t="str">
        <f t="shared" si="103"/>
        <v>Hamilton</v>
      </c>
      <c r="AO614" s="7" t="b">
        <f>C614='St of Activities - GA Exp'!C614</f>
        <v>1</v>
      </c>
    </row>
    <row r="615" spans="1:41">
      <c r="A615" s="12" t="s">
        <v>892</v>
      </c>
      <c r="B615" s="12"/>
      <c r="C615" s="12" t="s">
        <v>114</v>
      </c>
      <c r="D615" s="12"/>
      <c r="E615" s="12">
        <v>45674</v>
      </c>
      <c r="G615" s="7">
        <v>2226765</v>
      </c>
      <c r="I615" s="7">
        <v>0</v>
      </c>
      <c r="K615" s="2">
        <f t="shared" si="109"/>
        <v>3580248</v>
      </c>
      <c r="M615" s="7">
        <v>5807013</v>
      </c>
      <c r="O615" s="2">
        <f t="shared" si="104"/>
        <v>1104724</v>
      </c>
      <c r="Q615" s="7">
        <v>2769494</v>
      </c>
      <c r="S615" s="7">
        <v>3874218</v>
      </c>
      <c r="U615" s="7">
        <v>0</v>
      </c>
      <c r="W615" s="7">
        <v>0</v>
      </c>
      <c r="Y615" s="7">
        <v>0</v>
      </c>
      <c r="AA615" s="7">
        <v>11020</v>
      </c>
      <c r="AC615" s="7">
        <v>1921775</v>
      </c>
      <c r="AE615" s="13">
        <f t="shared" si="105"/>
        <v>1932795</v>
      </c>
      <c r="AG615" s="7">
        <f t="shared" si="106"/>
        <v>0</v>
      </c>
      <c r="AK615" s="7" t="str">
        <f t="shared" si="107"/>
        <v>Yellow Springs Exempted Village SD</v>
      </c>
      <c r="AL615" s="7" t="str">
        <f>'St of Activities - GA Exp'!A615</f>
        <v>Yellow Springs Exempted Village SD</v>
      </c>
      <c r="AM615" s="7" t="b">
        <f t="shared" si="108"/>
        <v>1</v>
      </c>
      <c r="AN615" s="7" t="str">
        <f t="shared" si="103"/>
        <v>Greene</v>
      </c>
      <c r="AO615" s="7" t="b">
        <f>C615='St of Activities - GA Exp'!C615</f>
        <v>1</v>
      </c>
    </row>
    <row r="616" spans="1:41">
      <c r="A616" s="12" t="s">
        <v>422</v>
      </c>
      <c r="B616" s="12"/>
      <c r="C616" s="12" t="s">
        <v>45</v>
      </c>
      <c r="D616" s="12"/>
      <c r="E616" s="12">
        <v>45161</v>
      </c>
      <c r="G616" s="7">
        <v>8001762</v>
      </c>
      <c r="I616" s="7">
        <v>139539</v>
      </c>
      <c r="K616" s="2">
        <f t="shared" si="109"/>
        <v>24358445</v>
      </c>
      <c r="M616" s="7">
        <v>32499746</v>
      </c>
      <c r="O616" s="2">
        <f t="shared" si="104"/>
        <v>11309348</v>
      </c>
      <c r="Q616" s="7">
        <v>23276024</v>
      </c>
      <c r="S616" s="7">
        <v>34585372</v>
      </c>
      <c r="U616" s="7">
        <v>259350</v>
      </c>
      <c r="W616" s="7">
        <v>139539</v>
      </c>
      <c r="Y616" s="7">
        <v>21283</v>
      </c>
      <c r="AA616" s="7">
        <v>111195</v>
      </c>
      <c r="AC616" s="7">
        <v>-2616993</v>
      </c>
      <c r="AE616" s="13">
        <f t="shared" si="105"/>
        <v>-2085626</v>
      </c>
      <c r="AG616" s="7">
        <f t="shared" si="106"/>
        <v>0</v>
      </c>
      <c r="AK616" s="7" t="str">
        <f t="shared" si="107"/>
        <v>Youngstown City SD</v>
      </c>
      <c r="AL616" s="7" t="str">
        <f>'St of Activities - GA Exp'!A616</f>
        <v>Youngstown City SD</v>
      </c>
      <c r="AM616" s="7" t="b">
        <f t="shared" si="108"/>
        <v>1</v>
      </c>
      <c r="AN616" s="7" t="str">
        <f t="shared" si="103"/>
        <v>Mahoning</v>
      </c>
      <c r="AO616" s="7" t="b">
        <f>C616='St of Activities - GA Exp'!C616</f>
        <v>1</v>
      </c>
    </row>
    <row r="617" spans="1:41">
      <c r="A617" s="12" t="s">
        <v>492</v>
      </c>
      <c r="B617" s="12"/>
      <c r="C617" s="12" t="s">
        <v>58</v>
      </c>
      <c r="D617" s="12"/>
      <c r="E617" s="12">
        <v>49544</v>
      </c>
      <c r="G617" s="7">
        <v>3672749</v>
      </c>
      <c r="I617" s="7">
        <v>1093497</v>
      </c>
      <c r="K617" s="2">
        <f t="shared" si="109"/>
        <v>4208577</v>
      </c>
      <c r="M617" s="7">
        <v>8974823</v>
      </c>
      <c r="O617" s="2">
        <f t="shared" si="104"/>
        <v>1504003</v>
      </c>
      <c r="Q617" s="7">
        <v>3363587</v>
      </c>
      <c r="S617" s="7">
        <v>4867590</v>
      </c>
      <c r="U617" s="7">
        <v>43142</v>
      </c>
      <c r="W617" s="7">
        <v>1093497</v>
      </c>
      <c r="Y617" s="7">
        <v>0</v>
      </c>
      <c r="AA617" s="7">
        <v>358345</v>
      </c>
      <c r="AC617" s="7">
        <v>2612249</v>
      </c>
      <c r="AE617" s="13">
        <f t="shared" si="105"/>
        <v>4107233</v>
      </c>
      <c r="AG617" s="7">
        <f t="shared" si="106"/>
        <v>0</v>
      </c>
      <c r="AK617" s="7" t="str">
        <f t="shared" si="107"/>
        <v>Zane Trace Local SD</v>
      </c>
      <c r="AL617" s="7" t="str">
        <f>'St of Activities - GA Exp'!A617</f>
        <v>Zane Trace Local SD</v>
      </c>
      <c r="AM617" s="7" t="b">
        <f t="shared" si="108"/>
        <v>1</v>
      </c>
      <c r="AN617" s="7" t="str">
        <f t="shared" si="103"/>
        <v>Ross</v>
      </c>
      <c r="AO617" s="7" t="b">
        <f>C617='St of Activities - GA Exp'!C617</f>
        <v>1</v>
      </c>
    </row>
    <row r="618" spans="1:41">
      <c r="A618" s="12" t="s">
        <v>461</v>
      </c>
      <c r="B618" s="12"/>
      <c r="C618" s="12" t="s">
        <v>51</v>
      </c>
      <c r="D618" s="12"/>
      <c r="E618" s="12">
        <v>45179</v>
      </c>
      <c r="G618" s="7">
        <v>5435940</v>
      </c>
      <c r="I618" s="7">
        <v>3960</v>
      </c>
      <c r="K618" s="2">
        <f t="shared" si="109"/>
        <v>17057792</v>
      </c>
      <c r="M618" s="7">
        <v>22497692</v>
      </c>
      <c r="O618" s="2">
        <f t="shared" si="104"/>
        <v>4163859</v>
      </c>
      <c r="Q618" s="7">
        <v>16466893</v>
      </c>
      <c r="S618" s="7">
        <v>20630752</v>
      </c>
      <c r="U618" s="7">
        <v>19482</v>
      </c>
      <c r="W618" s="7">
        <v>0</v>
      </c>
      <c r="Y618" s="7">
        <v>0</v>
      </c>
      <c r="AA618" s="7">
        <v>37178</v>
      </c>
      <c r="AC618" s="7">
        <v>1810280</v>
      </c>
      <c r="AE618" s="13">
        <f t="shared" si="105"/>
        <v>1866940</v>
      </c>
      <c r="AG618" s="7">
        <f t="shared" si="106"/>
        <v>0</v>
      </c>
      <c r="AK618" s="7" t="str">
        <f t="shared" si="107"/>
        <v>Zanesville City SD</v>
      </c>
      <c r="AL618" s="7" t="str">
        <f>'St of Activities - GA Exp'!A618</f>
        <v>Zanesville City SD</v>
      </c>
      <c r="AM618" s="7" t="b">
        <f t="shared" si="108"/>
        <v>1</v>
      </c>
      <c r="AN618" s="7" t="str">
        <f t="shared" si="103"/>
        <v>Muskingum</v>
      </c>
      <c r="AO618" s="7" t="b">
        <f>C618='St of Activities - GA Exp'!C618</f>
        <v>1</v>
      </c>
    </row>
    <row r="619" spans="1:41">
      <c r="A619" s="12"/>
      <c r="B619" s="12"/>
      <c r="C619" s="12"/>
      <c r="D619" s="12"/>
    </row>
  </sheetData>
  <mergeCells count="2">
    <mergeCell ref="G6:K6"/>
    <mergeCell ref="U6:AC6"/>
  </mergeCells>
  <phoneticPr fontId="3" type="noConversion"/>
  <pageMargins left="0.9" right="0.75" top="0.5" bottom="0.5" header="0.25" footer="0.25"/>
  <pageSetup scale="77" firstPageNumber="78" pageOrder="overThenDown" orientation="portrait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19"/>
  <sheetViews>
    <sheetView view="pageBreakPreview" zoomScaleNormal="100" zoomScaleSheetLayoutView="100" workbookViewId="0">
      <pane xSplit="5" ySplit="9" topLeftCell="G10" activePane="bottomRight" state="frozen"/>
      <selection sqref="A1:IV65536"/>
      <selection pane="topRight" sqref="A1:IV65536"/>
      <selection pane="bottomLeft" sqref="A1:IV65536"/>
      <selection pane="bottomRight" activeCell="A5" sqref="A5:A8"/>
    </sheetView>
  </sheetViews>
  <sheetFormatPr defaultColWidth="9.140625" defaultRowHeight="12"/>
  <cols>
    <col min="1" max="1" width="32" style="7" customWidth="1"/>
    <col min="2" max="2" width="1.7109375" style="7" customWidth="1"/>
    <col min="3" max="3" width="10.140625" style="7" bestFit="1" customWidth="1"/>
    <col min="4" max="4" width="1.7109375" style="7" customWidth="1"/>
    <col min="5" max="5" width="11.7109375" style="7" hidden="1" customWidth="1"/>
    <col min="6" max="6" width="1.7109375" style="7" hidden="1" customWidth="1"/>
    <col min="7" max="7" width="10.28515625" style="7" bestFit="1" customWidth="1"/>
    <col min="8" max="8" width="1.7109375" style="7" customWidth="1"/>
    <col min="9" max="9" width="9.28515625" style="7" bestFit="1" customWidth="1"/>
    <col min="10" max="10" width="1.5703125" style="7" customWidth="1"/>
    <col min="11" max="11" width="10.28515625" style="7" bestFit="1" customWidth="1"/>
    <col min="12" max="12" width="1.5703125" style="7" customWidth="1"/>
    <col min="13" max="13" width="9.5703125" style="7" bestFit="1" customWidth="1"/>
    <col min="14" max="14" width="1.5703125" style="7" customWidth="1"/>
    <col min="15" max="15" width="9.28515625" style="7" bestFit="1" customWidth="1"/>
    <col min="16" max="16" width="1.5703125" style="7" customWidth="1"/>
    <col min="17" max="17" width="11.7109375" style="7" customWidth="1"/>
    <col min="18" max="18" width="1.7109375" style="7" customWidth="1"/>
    <col min="19" max="19" width="9.28515625" style="7" bestFit="1" customWidth="1"/>
    <col min="20" max="20" width="1.7109375" style="7" customWidth="1"/>
    <col min="21" max="21" width="10.5703125" style="7" bestFit="1" customWidth="1"/>
    <col min="22" max="22" width="1.7109375" style="7" customWidth="1"/>
    <col min="23" max="23" width="9.28515625" style="7" bestFit="1" customWidth="1"/>
    <col min="24" max="24" width="1.7109375" style="7" customWidth="1"/>
    <col min="25" max="25" width="10.140625" style="7" bestFit="1" customWidth="1"/>
    <col min="26" max="26" width="1.7109375" style="7" customWidth="1"/>
    <col min="27" max="27" width="9.28515625" style="7" bestFit="1" customWidth="1"/>
    <col min="28" max="28" width="1.7109375" style="7" customWidth="1"/>
    <col min="29" max="29" width="9.42578125" style="7" hidden="1" customWidth="1"/>
    <col min="30" max="30" width="1.7109375" style="7" hidden="1" customWidth="1"/>
    <col min="31" max="31" width="8.42578125" style="7" bestFit="1" customWidth="1"/>
    <col min="32" max="32" width="1.7109375" style="7" customWidth="1"/>
    <col min="33" max="33" width="7.7109375" style="7" bestFit="1" customWidth="1"/>
    <col min="34" max="34" width="1.7109375" style="7" customWidth="1"/>
    <col min="35" max="35" width="10.85546875" style="7" bestFit="1" customWidth="1"/>
    <col min="36" max="36" width="1.7109375" style="7" hidden="1" customWidth="1"/>
    <col min="37" max="37" width="8.42578125" style="7" hidden="1" customWidth="1"/>
    <col min="38" max="38" width="1.5703125" style="7" customWidth="1"/>
    <col min="39" max="39" width="12" style="7" customWidth="1"/>
    <col min="40" max="40" width="6.7109375" style="7" customWidth="1"/>
    <col min="41" max="41" width="19.28515625" style="7" customWidth="1"/>
    <col min="42" max="42" width="25.85546875" style="7" customWidth="1"/>
    <col min="43" max="43" width="28.5703125" style="7" customWidth="1"/>
    <col min="44" max="44" width="16.7109375" style="7" customWidth="1"/>
    <col min="45" max="46" width="9.140625" style="7"/>
    <col min="47" max="47" width="9.28515625" style="7" bestFit="1" customWidth="1"/>
    <col min="48" max="16384" width="9.140625" style="7"/>
  </cols>
  <sheetData>
    <row r="1" spans="1:47" s="14" customFormat="1">
      <c r="A1" s="25" t="s">
        <v>126</v>
      </c>
      <c r="B1" s="25"/>
      <c r="C1" s="25"/>
      <c r="D1" s="25"/>
      <c r="E1" s="25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5"/>
      <c r="AA1" s="25"/>
    </row>
    <row r="2" spans="1:47" s="14" customFormat="1">
      <c r="A2" s="25" t="s">
        <v>770</v>
      </c>
      <c r="B2" s="25"/>
      <c r="C2" s="25"/>
      <c r="D2" s="25"/>
      <c r="E2" s="25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5"/>
      <c r="AA2" s="25"/>
    </row>
    <row r="3" spans="1:47" s="14" customFormat="1">
      <c r="A3" s="39" t="s">
        <v>622</v>
      </c>
      <c r="B3" s="25"/>
      <c r="C3" s="25"/>
      <c r="D3" s="25"/>
      <c r="E3" s="25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5"/>
      <c r="AA3" s="25"/>
    </row>
    <row r="4" spans="1:47">
      <c r="A4" s="25" t="s">
        <v>169</v>
      </c>
      <c r="B4" s="25"/>
      <c r="C4" s="25"/>
      <c r="D4" s="25"/>
      <c r="E4" s="25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10"/>
      <c r="AA4" s="10"/>
      <c r="AM4" s="15" t="s">
        <v>3</v>
      </c>
      <c r="AN4" s="15"/>
      <c r="AO4" s="15"/>
    </row>
    <row r="5" spans="1:47">
      <c r="A5" s="14"/>
      <c r="AM5" s="15" t="s">
        <v>624</v>
      </c>
      <c r="AN5" s="15"/>
      <c r="AO5" s="15"/>
    </row>
    <row r="6" spans="1:47">
      <c r="A6" s="59" t="s">
        <v>767</v>
      </c>
      <c r="B6" s="40"/>
      <c r="C6" s="40"/>
      <c r="D6" s="40"/>
      <c r="E6" s="40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10"/>
      <c r="AA6" s="113" t="s">
        <v>188</v>
      </c>
      <c r="AB6" s="113"/>
      <c r="AC6" s="113"/>
      <c r="AD6" s="113"/>
      <c r="AE6" s="113"/>
      <c r="AF6" s="113"/>
      <c r="AG6" s="113"/>
      <c r="AH6" s="22"/>
      <c r="AI6" s="22"/>
      <c r="AK6" s="15" t="s">
        <v>3</v>
      </c>
      <c r="AL6" s="15"/>
      <c r="AM6" s="15" t="s">
        <v>652</v>
      </c>
      <c r="AN6" s="15"/>
      <c r="AO6" s="15"/>
    </row>
    <row r="7" spans="1:47">
      <c r="A7" s="59"/>
      <c r="B7" s="40"/>
      <c r="C7" s="40"/>
      <c r="D7" s="40"/>
      <c r="E7" s="40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 t="s">
        <v>172</v>
      </c>
      <c r="R7" s="4"/>
      <c r="S7" s="4" t="s">
        <v>174</v>
      </c>
      <c r="T7" s="4"/>
      <c r="U7" s="4" t="s">
        <v>109</v>
      </c>
      <c r="V7" s="4"/>
      <c r="W7" s="4"/>
      <c r="X7" s="4"/>
      <c r="Y7" s="4"/>
      <c r="Z7" s="10"/>
      <c r="AA7" s="15"/>
      <c r="AB7" s="15"/>
      <c r="AC7" s="15"/>
      <c r="AD7" s="15"/>
      <c r="AE7" s="15"/>
      <c r="AF7" s="15"/>
      <c r="AG7" s="15" t="s">
        <v>127</v>
      </c>
      <c r="AH7" s="15"/>
      <c r="AK7" s="15" t="s">
        <v>82</v>
      </c>
      <c r="AL7" s="15"/>
      <c r="AM7" s="15" t="s">
        <v>626</v>
      </c>
      <c r="AN7" s="15"/>
      <c r="AO7" s="15"/>
    </row>
    <row r="8" spans="1:47">
      <c r="B8" s="4"/>
      <c r="C8" s="4"/>
      <c r="D8" s="4"/>
      <c r="E8" s="4"/>
      <c r="F8" s="4"/>
      <c r="G8" s="4" t="s">
        <v>105</v>
      </c>
      <c r="H8" s="4"/>
      <c r="I8" s="4" t="s">
        <v>592</v>
      </c>
      <c r="J8" s="4"/>
      <c r="K8" s="4" t="s">
        <v>1</v>
      </c>
      <c r="L8" s="4"/>
      <c r="M8" s="4" t="s">
        <v>620</v>
      </c>
      <c r="N8" s="4"/>
      <c r="O8" s="4" t="s">
        <v>170</v>
      </c>
      <c r="P8" s="4"/>
      <c r="Q8" s="4" t="s">
        <v>173</v>
      </c>
      <c r="R8" s="4"/>
      <c r="S8" s="4" t="s">
        <v>175</v>
      </c>
      <c r="T8" s="4"/>
      <c r="U8" s="4" t="s">
        <v>177</v>
      </c>
      <c r="V8" s="4"/>
      <c r="W8" s="4" t="s">
        <v>127</v>
      </c>
      <c r="X8" s="4"/>
      <c r="Y8" s="4" t="s">
        <v>3</v>
      </c>
      <c r="Z8" s="10"/>
      <c r="AA8" s="4"/>
      <c r="AB8" s="15"/>
      <c r="AC8" s="15"/>
      <c r="AD8" s="15"/>
      <c r="AE8" s="15" t="s">
        <v>625</v>
      </c>
      <c r="AF8" s="15"/>
      <c r="AG8" s="15" t="s">
        <v>193</v>
      </c>
      <c r="AH8" s="15"/>
      <c r="AI8" s="15" t="s">
        <v>596</v>
      </c>
      <c r="AK8" s="15" t="s">
        <v>193</v>
      </c>
      <c r="AL8" s="15"/>
      <c r="AM8" s="15" t="s">
        <v>596</v>
      </c>
      <c r="AN8" s="15"/>
      <c r="AO8" s="15"/>
    </row>
    <row r="9" spans="1:47">
      <c r="A9" s="82" t="s">
        <v>200</v>
      </c>
      <c r="B9" s="15"/>
      <c r="C9" s="82" t="s">
        <v>4</v>
      </c>
      <c r="D9" s="15"/>
      <c r="E9" s="82" t="s">
        <v>199</v>
      </c>
      <c r="F9" s="10"/>
      <c r="G9" s="82" t="s">
        <v>1002</v>
      </c>
      <c r="H9" s="10"/>
      <c r="I9" s="82" t="s">
        <v>5</v>
      </c>
      <c r="J9" s="10"/>
      <c r="K9" s="82" t="s">
        <v>7</v>
      </c>
      <c r="L9" s="10"/>
      <c r="M9" s="82" t="s">
        <v>91</v>
      </c>
      <c r="N9" s="10"/>
      <c r="O9" s="82" t="s">
        <v>171</v>
      </c>
      <c r="P9" s="10"/>
      <c r="Q9" s="82" t="s">
        <v>160</v>
      </c>
      <c r="R9" s="10"/>
      <c r="S9" s="82" t="s">
        <v>176</v>
      </c>
      <c r="T9" s="4"/>
      <c r="U9" s="82" t="s">
        <v>178</v>
      </c>
      <c r="V9" s="10"/>
      <c r="W9" s="82" t="s">
        <v>8</v>
      </c>
      <c r="X9" s="10"/>
      <c r="Y9" s="82" t="s">
        <v>9</v>
      </c>
      <c r="Z9" s="10"/>
      <c r="AA9" s="82" t="s">
        <v>189</v>
      </c>
      <c r="AB9" s="15"/>
      <c r="AC9" s="82" t="s">
        <v>190</v>
      </c>
      <c r="AD9" s="15"/>
      <c r="AE9" s="82" t="s">
        <v>1003</v>
      </c>
      <c r="AF9" s="15"/>
      <c r="AG9" s="82" t="s">
        <v>194</v>
      </c>
      <c r="AH9" s="15"/>
      <c r="AI9" s="82" t="s">
        <v>611</v>
      </c>
      <c r="AK9" s="82" t="s">
        <v>194</v>
      </c>
      <c r="AL9" s="15"/>
      <c r="AM9" s="82" t="s">
        <v>611</v>
      </c>
      <c r="AN9" s="4"/>
      <c r="AO9" s="4"/>
      <c r="AP9" s="7" t="s">
        <v>816</v>
      </c>
      <c r="AQ9" s="7" t="s">
        <v>818</v>
      </c>
      <c r="AT9" s="7" t="s">
        <v>815</v>
      </c>
      <c r="AU9" s="7" t="s">
        <v>827</v>
      </c>
    </row>
    <row r="10" spans="1:47">
      <c r="A10" s="12"/>
      <c r="B10" s="12"/>
      <c r="C10" s="12"/>
      <c r="D10" s="12"/>
      <c r="E10" s="12"/>
      <c r="F10" s="10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13"/>
      <c r="X10" s="13"/>
      <c r="Y10" s="2"/>
      <c r="Z10" s="10"/>
      <c r="AA10" s="10"/>
    </row>
    <row r="11" spans="1:47" s="32" customFormat="1">
      <c r="A11" s="31" t="s">
        <v>898</v>
      </c>
      <c r="B11" s="31"/>
      <c r="C11" s="31" t="s">
        <v>201</v>
      </c>
      <c r="D11" s="31"/>
      <c r="E11" s="31">
        <v>61903</v>
      </c>
      <c r="F11" s="37"/>
      <c r="G11" s="32">
        <v>6152959</v>
      </c>
      <c r="I11" s="32">
        <v>0</v>
      </c>
      <c r="K11" s="32">
        <v>25999290</v>
      </c>
      <c r="M11" s="32">
        <v>19594</v>
      </c>
      <c r="O11" s="32">
        <v>1198910</v>
      </c>
      <c r="Q11" s="32">
        <v>63647</v>
      </c>
      <c r="S11" s="32">
        <v>0</v>
      </c>
      <c r="U11" s="32">
        <v>0</v>
      </c>
      <c r="W11" s="32">
        <f>52973+233343</f>
        <v>286316</v>
      </c>
      <c r="Y11" s="34">
        <f>SUM(G11:X11)</f>
        <v>33720716</v>
      </c>
      <c r="AA11" s="32">
        <v>0</v>
      </c>
      <c r="AC11" s="32">
        <v>0</v>
      </c>
      <c r="AE11" s="32">
        <v>0</v>
      </c>
      <c r="AG11" s="32">
        <v>8325</v>
      </c>
      <c r="AK11" s="32">
        <f>SUM(AA11:AJ11)</f>
        <v>8325</v>
      </c>
      <c r="AM11" s="32">
        <f t="shared" ref="AM11:AM43" si="0">+AK11+Y11</f>
        <v>33729041</v>
      </c>
      <c r="AP11" s="32" t="str">
        <f>A11</f>
        <v>Adams County/Ohio Valley Local SD</v>
      </c>
      <c r="AQ11" s="32" t="str">
        <f>'Gen Fd BS'!A11</f>
        <v>Adams County/Ohio Valley Local SD</v>
      </c>
      <c r="AR11" s="32" t="b">
        <f>AP11=AQ11</f>
        <v>1</v>
      </c>
      <c r="AT11" s="32" t="str">
        <f>C11</f>
        <v>Adams</v>
      </c>
      <c r="AU11" s="32" t="b">
        <f>C11='Gen Fd BS'!C11</f>
        <v>1</v>
      </c>
    </row>
    <row r="12" spans="1:47">
      <c r="A12" s="12" t="s">
        <v>607</v>
      </c>
      <c r="B12" s="12"/>
      <c r="C12" s="12" t="s">
        <v>58</v>
      </c>
      <c r="D12" s="12"/>
      <c r="E12" s="12">
        <v>49494</v>
      </c>
      <c r="G12" s="7">
        <v>3164090</v>
      </c>
      <c r="I12" s="7">
        <v>0</v>
      </c>
      <c r="K12" s="7">
        <v>6713657</v>
      </c>
      <c r="M12" s="7">
        <v>23335</v>
      </c>
      <c r="O12" s="7">
        <v>686099</v>
      </c>
      <c r="Q12" s="7">
        <v>72665</v>
      </c>
      <c r="S12" s="7">
        <v>0</v>
      </c>
      <c r="U12" s="7">
        <v>10711</v>
      </c>
      <c r="W12" s="7">
        <f>51065+5485</f>
        <v>56550</v>
      </c>
      <c r="Y12" s="2">
        <f t="shared" ref="Y12:Y78" si="1">SUM(G12:X12)</f>
        <v>10727107</v>
      </c>
      <c r="AA12" s="7">
        <v>0</v>
      </c>
      <c r="AC12" s="7">
        <v>0</v>
      </c>
      <c r="AE12" s="7">
        <v>0</v>
      </c>
      <c r="AG12" s="7">
        <v>2135</v>
      </c>
      <c r="AI12" s="7">
        <v>0</v>
      </c>
      <c r="AK12" s="7">
        <f t="shared" ref="AK12:AK78" si="2">SUM(AA12:AJ12)</f>
        <v>2135</v>
      </c>
      <c r="AM12" s="7">
        <f t="shared" si="0"/>
        <v>10729242</v>
      </c>
      <c r="AP12" s="7" t="str">
        <f t="shared" ref="AP12:AP76" si="3">A12</f>
        <v xml:space="preserve">Adena Local SD </v>
      </c>
      <c r="AQ12" s="7" t="str">
        <f>'Gen Fd BS'!A12</f>
        <v xml:space="preserve">Adena Local SD </v>
      </c>
      <c r="AR12" s="7" t="b">
        <f t="shared" ref="AR12:AR76" si="4">AP12=AQ12</f>
        <v>1</v>
      </c>
      <c r="AT12" s="7" t="str">
        <f t="shared" ref="AT12:AT75" si="5">C12</f>
        <v>Ross</v>
      </c>
      <c r="AU12" s="7" t="b">
        <f>C12='Gen Fd BS'!C12</f>
        <v>1</v>
      </c>
    </row>
    <row r="13" spans="1:47">
      <c r="A13" s="12" t="s">
        <v>522</v>
      </c>
      <c r="B13" s="12"/>
      <c r="C13" s="12" t="s">
        <v>63</v>
      </c>
      <c r="D13" s="12"/>
      <c r="E13" s="12">
        <v>43489</v>
      </c>
      <c r="G13" s="7">
        <v>99561751</v>
      </c>
      <c r="I13" s="7">
        <v>0</v>
      </c>
      <c r="K13" s="7">
        <v>175252768</v>
      </c>
      <c r="M13" s="7">
        <v>200125</v>
      </c>
      <c r="O13" s="7">
        <v>4421085</v>
      </c>
      <c r="Q13" s="7">
        <v>338639</v>
      </c>
      <c r="S13" s="7">
        <v>0</v>
      </c>
      <c r="U13" s="7">
        <v>993734</v>
      </c>
      <c r="W13" s="7">
        <f>1566603+3823590+952680+275594+1765702</f>
        <v>8384169</v>
      </c>
      <c r="Y13" s="2">
        <f t="shared" si="1"/>
        <v>289152271</v>
      </c>
      <c r="AA13" s="7">
        <v>14185</v>
      </c>
      <c r="AC13" s="7">
        <v>0</v>
      </c>
      <c r="AE13" s="7">
        <v>0</v>
      </c>
      <c r="AG13" s="7">
        <v>0</v>
      </c>
      <c r="AI13" s="7">
        <v>0</v>
      </c>
      <c r="AK13" s="7">
        <f t="shared" si="2"/>
        <v>14185</v>
      </c>
      <c r="AM13" s="7">
        <f t="shared" si="0"/>
        <v>289166456</v>
      </c>
      <c r="AP13" s="7" t="str">
        <f t="shared" si="3"/>
        <v>Akron City SD</v>
      </c>
      <c r="AQ13" s="7" t="str">
        <f>'Gen Fd BS'!A13</f>
        <v>Akron City SD</v>
      </c>
      <c r="AR13" s="7" t="b">
        <f t="shared" si="4"/>
        <v>1</v>
      </c>
      <c r="AT13" s="7" t="str">
        <f t="shared" si="5"/>
        <v>Summit</v>
      </c>
      <c r="AU13" s="7" t="b">
        <f>C13='Gen Fd BS'!C13</f>
        <v>1</v>
      </c>
    </row>
    <row r="14" spans="1:47" hidden="1">
      <c r="A14" s="12" t="s">
        <v>643</v>
      </c>
      <c r="B14" s="12"/>
      <c r="C14" s="12" t="s">
        <v>13</v>
      </c>
      <c r="D14" s="12"/>
      <c r="E14" s="12">
        <v>45906</v>
      </c>
      <c r="F14" s="10"/>
      <c r="Y14" s="2">
        <f t="shared" si="1"/>
        <v>0</v>
      </c>
      <c r="AK14" s="7">
        <f t="shared" si="2"/>
        <v>0</v>
      </c>
      <c r="AM14" s="7">
        <f t="shared" si="0"/>
        <v>0</v>
      </c>
      <c r="AO14" s="7" t="s">
        <v>778</v>
      </c>
      <c r="AP14" s="7" t="str">
        <f t="shared" si="3"/>
        <v>Alexander Local SD (CASH)</v>
      </c>
      <c r="AQ14" s="7" t="str">
        <f>'Gen Fd BS'!A14</f>
        <v>Alexander Local SD (CASH)</v>
      </c>
      <c r="AR14" s="7" t="b">
        <f t="shared" si="4"/>
        <v>1</v>
      </c>
      <c r="AT14" s="7" t="str">
        <f t="shared" si="5"/>
        <v>Athens</v>
      </c>
      <c r="AU14" s="7" t="b">
        <f>C14='Gen Fd BS'!C14</f>
        <v>1</v>
      </c>
    </row>
    <row r="15" spans="1:47">
      <c r="A15" s="12" t="s">
        <v>508</v>
      </c>
      <c r="B15" s="12"/>
      <c r="C15" s="12" t="s">
        <v>62</v>
      </c>
      <c r="D15" s="12"/>
      <c r="E15" s="12">
        <v>43497</v>
      </c>
      <c r="G15" s="7">
        <v>7153987</v>
      </c>
      <c r="I15" s="7">
        <v>0</v>
      </c>
      <c r="K15" s="7">
        <v>17772719</v>
      </c>
      <c r="M15" s="7">
        <v>42684</v>
      </c>
      <c r="O15" s="7">
        <v>324624</v>
      </c>
      <c r="Q15" s="7">
        <v>87811</v>
      </c>
      <c r="S15" s="7">
        <v>0</v>
      </c>
      <c r="U15" s="7">
        <v>19253</v>
      </c>
      <c r="W15" s="7">
        <f>66859+56634+68702</f>
        <v>192195</v>
      </c>
      <c r="Y15" s="2">
        <f t="shared" si="1"/>
        <v>25593273</v>
      </c>
      <c r="AA15" s="7">
        <v>0</v>
      </c>
      <c r="AC15" s="7">
        <v>0</v>
      </c>
      <c r="AE15" s="7">
        <v>0</v>
      </c>
      <c r="AG15" s="7">
        <v>0</v>
      </c>
      <c r="AI15" s="7">
        <v>0</v>
      </c>
      <c r="AK15" s="7">
        <f t="shared" si="2"/>
        <v>0</v>
      </c>
      <c r="AM15" s="7">
        <f t="shared" si="0"/>
        <v>25593273</v>
      </c>
      <c r="AP15" s="7" t="str">
        <f t="shared" si="3"/>
        <v>Alliance City SD</v>
      </c>
      <c r="AQ15" s="7" t="str">
        <f>'Gen Fd BS'!A15</f>
        <v>Alliance City SD</v>
      </c>
      <c r="AR15" s="7" t="b">
        <f t="shared" si="4"/>
        <v>1</v>
      </c>
      <c r="AT15" s="7" t="str">
        <f t="shared" si="5"/>
        <v>Stark</v>
      </c>
      <c r="AU15" s="7" t="b">
        <f>C15='Gen Fd BS'!C15</f>
        <v>1</v>
      </c>
    </row>
    <row r="16" spans="1:47">
      <c r="A16" s="12" t="s">
        <v>298</v>
      </c>
      <c r="B16" s="12"/>
      <c r="C16" s="12" t="s">
        <v>25</v>
      </c>
      <c r="D16" s="12"/>
      <c r="E16" s="12">
        <v>46847</v>
      </c>
      <c r="G16" s="7">
        <v>2523738</v>
      </c>
      <c r="I16" s="7">
        <v>0</v>
      </c>
      <c r="K16" s="7">
        <v>9166028</v>
      </c>
      <c r="M16" s="7">
        <v>24003</v>
      </c>
      <c r="O16" s="7">
        <v>757831</v>
      </c>
      <c r="Q16" s="7">
        <v>181528</v>
      </c>
      <c r="S16" s="7">
        <v>0</v>
      </c>
      <c r="U16" s="7">
        <v>0</v>
      </c>
      <c r="W16" s="7">
        <f>109846+769</f>
        <v>110615</v>
      </c>
      <c r="Y16" s="2">
        <f t="shared" si="1"/>
        <v>12763743</v>
      </c>
      <c r="AA16" s="7">
        <v>0</v>
      </c>
      <c r="AC16" s="7">
        <v>0</v>
      </c>
      <c r="AE16" s="7">
        <v>0</v>
      </c>
      <c r="AG16" s="7">
        <v>1425</v>
      </c>
      <c r="AI16" s="7">
        <v>0</v>
      </c>
      <c r="AK16" s="7">
        <f t="shared" si="2"/>
        <v>1425</v>
      </c>
      <c r="AM16" s="7">
        <f t="shared" si="0"/>
        <v>12765168</v>
      </c>
      <c r="AP16" s="7" t="str">
        <f t="shared" si="3"/>
        <v>Amanda-Clearcreek Local SD</v>
      </c>
      <c r="AQ16" s="7" t="str">
        <f>'Gen Fd BS'!A16</f>
        <v>Amanda-Clearcreek Local SD</v>
      </c>
      <c r="AR16" s="7" t="b">
        <f t="shared" si="4"/>
        <v>1</v>
      </c>
      <c r="AT16" s="7" t="str">
        <f t="shared" si="5"/>
        <v>Fairfield</v>
      </c>
      <c r="AU16" s="7" t="b">
        <f>C16='Gen Fd BS'!C16</f>
        <v>1</v>
      </c>
    </row>
    <row r="17" spans="1:47">
      <c r="A17" s="12" t="s">
        <v>858</v>
      </c>
      <c r="B17" s="12"/>
      <c r="C17" s="12" t="s">
        <v>44</v>
      </c>
      <c r="D17" s="12"/>
      <c r="E17" s="12">
        <v>45195</v>
      </c>
      <c r="F17" s="10"/>
      <c r="G17" s="7">
        <v>15291693</v>
      </c>
      <c r="I17" s="7">
        <v>0</v>
      </c>
      <c r="K17" s="7">
        <v>18205212</v>
      </c>
      <c r="M17" s="7">
        <v>22720</v>
      </c>
      <c r="O17" s="7">
        <v>374300</v>
      </c>
      <c r="Q17" s="7">
        <v>430022</v>
      </c>
      <c r="S17" s="7">
        <v>0</v>
      </c>
      <c r="U17" s="7">
        <v>8770</v>
      </c>
      <c r="W17" s="7">
        <f>167052+9220+10608</f>
        <v>186880</v>
      </c>
      <c r="Y17" s="2">
        <f>SUM(G17:X17)</f>
        <v>34519597</v>
      </c>
      <c r="AA17" s="7">
        <v>0</v>
      </c>
      <c r="AC17" s="7">
        <v>0</v>
      </c>
      <c r="AE17" s="7">
        <v>0</v>
      </c>
      <c r="AG17" s="7">
        <v>4500</v>
      </c>
      <c r="AI17" s="7">
        <v>0</v>
      </c>
      <c r="AK17" s="7">
        <f>SUM(AA17:AJ17)</f>
        <v>4500</v>
      </c>
      <c r="AM17" s="7">
        <f t="shared" si="0"/>
        <v>34524097</v>
      </c>
      <c r="AP17" s="7" t="str">
        <f t="shared" si="3"/>
        <v xml:space="preserve">Amherst Exempted Village SD </v>
      </c>
      <c r="AQ17" s="7" t="str">
        <f>'Gen Fd BS'!A17</f>
        <v xml:space="preserve">Amherst Exempted Village SD </v>
      </c>
      <c r="AR17" s="7" t="b">
        <f t="shared" si="4"/>
        <v>1</v>
      </c>
      <c r="AT17" s="7" t="str">
        <f t="shared" si="5"/>
        <v>Lorain</v>
      </c>
      <c r="AU17" s="7" t="b">
        <f>C17='Gen Fd BS'!C17</f>
        <v>1</v>
      </c>
    </row>
    <row r="18" spans="1:47">
      <c r="A18" s="12" t="s">
        <v>928</v>
      </c>
      <c r="B18" s="12"/>
      <c r="C18" s="12" t="s">
        <v>61</v>
      </c>
      <c r="D18" s="12"/>
      <c r="E18" s="12">
        <v>49759</v>
      </c>
      <c r="G18" s="7">
        <v>2512670</v>
      </c>
      <c r="I18" s="7">
        <v>880969</v>
      </c>
      <c r="K18" s="7">
        <v>5095689</v>
      </c>
      <c r="M18" s="7">
        <v>81942</v>
      </c>
      <c r="O18" s="7">
        <v>574784</v>
      </c>
      <c r="Q18" s="7">
        <v>56922</v>
      </c>
      <c r="S18" s="7">
        <v>3000</v>
      </c>
      <c r="U18" s="7">
        <v>24540</v>
      </c>
      <c r="W18" s="7">
        <f>63694+47800-7708</f>
        <v>103786</v>
      </c>
      <c r="Y18" s="2">
        <f t="shared" si="1"/>
        <v>9334302</v>
      </c>
      <c r="AA18" s="7">
        <v>0</v>
      </c>
      <c r="AC18" s="7">
        <v>0</v>
      </c>
      <c r="AE18" s="7">
        <v>0</v>
      </c>
      <c r="AG18" s="7">
        <v>0</v>
      </c>
      <c r="AI18" s="7">
        <v>0</v>
      </c>
      <c r="AK18" s="7">
        <f t="shared" si="2"/>
        <v>0</v>
      </c>
      <c r="AM18" s="7">
        <f t="shared" si="0"/>
        <v>9334302</v>
      </c>
      <c r="AO18" s="7" t="s">
        <v>929</v>
      </c>
      <c r="AP18" s="7" t="str">
        <f t="shared" si="3"/>
        <v>Anna Local SD</v>
      </c>
      <c r="AQ18" s="7" t="str">
        <f>'Gen Fd BS'!A18</f>
        <v>Anna Local SD</v>
      </c>
      <c r="AR18" s="7" t="b">
        <f t="shared" si="4"/>
        <v>1</v>
      </c>
      <c r="AT18" s="7" t="str">
        <f t="shared" si="5"/>
        <v>Shelby</v>
      </c>
      <c r="AU18" s="7" t="b">
        <f>C18='Gen Fd BS'!C18</f>
        <v>1</v>
      </c>
    </row>
    <row r="19" spans="1:47" hidden="1">
      <c r="A19" s="12" t="s">
        <v>727</v>
      </c>
      <c r="B19" s="12"/>
      <c r="C19" s="12" t="s">
        <v>628</v>
      </c>
      <c r="D19" s="12"/>
      <c r="E19" s="12"/>
      <c r="Y19" s="2">
        <f t="shared" si="1"/>
        <v>0</v>
      </c>
      <c r="AM19" s="7">
        <f t="shared" si="0"/>
        <v>0</v>
      </c>
      <c r="AO19" s="7" t="s">
        <v>778</v>
      </c>
      <c r="AP19" s="7" t="str">
        <f t="shared" si="3"/>
        <v>Ansonia Local SD (CASH)</v>
      </c>
      <c r="AQ19" s="7" t="str">
        <f>'Gen Fd BS'!A19</f>
        <v>Ansonia Local SD (CASH)</v>
      </c>
      <c r="AR19" s="7" t="b">
        <f t="shared" si="4"/>
        <v>1</v>
      </c>
      <c r="AT19" s="7" t="str">
        <f t="shared" si="5"/>
        <v xml:space="preserve">Darke </v>
      </c>
      <c r="AU19" s="7" t="b">
        <f>C19='Gen Fd BS'!C19</f>
        <v>1</v>
      </c>
    </row>
    <row r="20" spans="1:47">
      <c r="A20" s="12" t="s">
        <v>402</v>
      </c>
      <c r="B20" s="12"/>
      <c r="C20" s="12" t="s">
        <v>115</v>
      </c>
      <c r="D20" s="12"/>
      <c r="E20" s="12">
        <v>48207</v>
      </c>
      <c r="G20" s="7">
        <v>20331054</v>
      </c>
      <c r="I20" s="7">
        <v>0</v>
      </c>
      <c r="K20" s="7">
        <v>11836157</v>
      </c>
      <c r="M20" s="7">
        <v>32782</v>
      </c>
      <c r="O20" s="7">
        <v>396436</v>
      </c>
      <c r="Q20" s="7">
        <v>112559</v>
      </c>
      <c r="S20" s="7">
        <v>1101236</v>
      </c>
      <c r="U20" s="7">
        <v>0</v>
      </c>
      <c r="W20" s="7">
        <f>212639+227061</f>
        <v>439700</v>
      </c>
      <c r="Y20" s="2">
        <f t="shared" si="1"/>
        <v>34249924</v>
      </c>
      <c r="AA20" s="7">
        <v>0</v>
      </c>
      <c r="AC20" s="7">
        <v>0</v>
      </c>
      <c r="AE20" s="7">
        <v>0</v>
      </c>
      <c r="AG20" s="7">
        <v>19687</v>
      </c>
      <c r="AI20" s="7">
        <v>0</v>
      </c>
      <c r="AK20" s="7">
        <f t="shared" si="2"/>
        <v>19687</v>
      </c>
      <c r="AM20" s="7">
        <f t="shared" si="0"/>
        <v>34269611</v>
      </c>
      <c r="AP20" s="7" t="str">
        <f t="shared" si="3"/>
        <v>Anthony Wayne Local SD</v>
      </c>
      <c r="AQ20" s="7" t="str">
        <f>'Gen Fd BS'!A20</f>
        <v>Anthony Wayne Local SD</v>
      </c>
      <c r="AR20" s="7" t="b">
        <f t="shared" si="4"/>
        <v>1</v>
      </c>
      <c r="AT20" s="7" t="str">
        <f t="shared" si="5"/>
        <v>Lucas</v>
      </c>
      <c r="AU20" s="7" t="b">
        <f>C20='Gen Fd BS'!C20</f>
        <v>1</v>
      </c>
    </row>
    <row r="21" spans="1:47">
      <c r="A21" s="12" t="s">
        <v>343</v>
      </c>
      <c r="B21" s="12"/>
      <c r="C21" s="12" t="s">
        <v>33</v>
      </c>
      <c r="D21" s="12"/>
      <c r="E21" s="12">
        <v>47415</v>
      </c>
      <c r="G21" s="7">
        <v>2083081</v>
      </c>
      <c r="I21" s="7">
        <v>657234</v>
      </c>
      <c r="K21" s="7">
        <v>2209586</v>
      </c>
      <c r="M21" s="7">
        <v>8839</v>
      </c>
      <c r="O21" s="7">
        <v>666658</v>
      </c>
      <c r="Q21" s="7">
        <v>6252</v>
      </c>
      <c r="S21" s="7">
        <v>0</v>
      </c>
      <c r="U21" s="7">
        <v>13823</v>
      </c>
      <c r="W21" s="7">
        <v>49407</v>
      </c>
      <c r="Y21" s="2">
        <f t="shared" si="1"/>
        <v>5694880</v>
      </c>
      <c r="AA21" s="7">
        <v>0</v>
      </c>
      <c r="AC21" s="7">
        <v>0</v>
      </c>
      <c r="AE21" s="7">
        <v>0</v>
      </c>
      <c r="AG21" s="7">
        <v>0</v>
      </c>
      <c r="AI21" s="7">
        <v>0</v>
      </c>
      <c r="AK21" s="7">
        <f t="shared" si="2"/>
        <v>0</v>
      </c>
      <c r="AM21" s="7">
        <f t="shared" si="0"/>
        <v>5694880</v>
      </c>
      <c r="AP21" s="7" t="str">
        <f t="shared" si="3"/>
        <v>Arcadia Local SD</v>
      </c>
      <c r="AQ21" s="7" t="str">
        <f>'Gen Fd BS'!A21</f>
        <v>Arcadia Local SD</v>
      </c>
      <c r="AR21" s="7" t="b">
        <f t="shared" si="4"/>
        <v>1</v>
      </c>
      <c r="AT21" s="7" t="str">
        <f t="shared" si="5"/>
        <v>Hancock</v>
      </c>
      <c r="AU21" s="7" t="b">
        <f>C21='Gen Fd BS'!C21</f>
        <v>1</v>
      </c>
    </row>
    <row r="22" spans="1:47" hidden="1">
      <c r="A22" s="12" t="s">
        <v>702</v>
      </c>
      <c r="B22" s="12"/>
      <c r="C22" s="12" t="s">
        <v>21</v>
      </c>
      <c r="D22" s="12"/>
      <c r="E22" s="12">
        <v>46631</v>
      </c>
      <c r="Y22" s="2">
        <f t="shared" si="1"/>
        <v>0</v>
      </c>
      <c r="AK22" s="7">
        <f t="shared" si="2"/>
        <v>0</v>
      </c>
      <c r="AM22" s="7">
        <f t="shared" si="0"/>
        <v>0</v>
      </c>
      <c r="AO22" s="7" t="s">
        <v>778</v>
      </c>
      <c r="AP22" s="7" t="str">
        <f t="shared" si="3"/>
        <v>Arcanum Butler Local SD (CASH)</v>
      </c>
      <c r="AQ22" s="7" t="str">
        <f>'Gen Fd BS'!A22</f>
        <v>Arcanum Butler Local SD (CASH)</v>
      </c>
      <c r="AR22" s="7" t="b">
        <f t="shared" si="4"/>
        <v>1</v>
      </c>
      <c r="AT22" s="7" t="str">
        <f t="shared" si="5"/>
        <v>Darke</v>
      </c>
      <c r="AU22" s="7" t="b">
        <f>C22='Gen Fd BS'!C22</f>
        <v>1</v>
      </c>
    </row>
    <row r="23" spans="1:47">
      <c r="A23" s="12" t="s">
        <v>318</v>
      </c>
      <c r="B23" s="12"/>
      <c r="C23" s="12" t="s">
        <v>28</v>
      </c>
      <c r="D23" s="12"/>
      <c r="E23" s="12">
        <v>47043</v>
      </c>
      <c r="G23" s="7">
        <v>5288518</v>
      </c>
      <c r="I23" s="7">
        <v>0</v>
      </c>
      <c r="K23" s="7">
        <v>5821810</v>
      </c>
      <c r="M23" s="7">
        <v>48498</v>
      </c>
      <c r="O23" s="7">
        <v>421344</v>
      </c>
      <c r="Q23" s="7">
        <v>51225</v>
      </c>
      <c r="S23" s="7">
        <v>160459</v>
      </c>
      <c r="U23" s="7">
        <v>1500</v>
      </c>
      <c r="W23" s="7">
        <f>32739+3593</f>
        <v>36332</v>
      </c>
      <c r="Y23" s="2">
        <f t="shared" si="1"/>
        <v>11829686</v>
      </c>
      <c r="AA23" s="7">
        <v>0</v>
      </c>
      <c r="AC23" s="7">
        <v>0</v>
      </c>
      <c r="AE23" s="7">
        <v>0</v>
      </c>
      <c r="AG23" s="7">
        <v>751</v>
      </c>
      <c r="AI23" s="7">
        <v>0</v>
      </c>
      <c r="AK23" s="7">
        <f t="shared" si="2"/>
        <v>751</v>
      </c>
      <c r="AM23" s="7">
        <f t="shared" si="0"/>
        <v>11830437</v>
      </c>
      <c r="AP23" s="7" t="str">
        <f t="shared" si="3"/>
        <v>Archbold-Area Local SD</v>
      </c>
      <c r="AQ23" s="7" t="str">
        <f>'Gen Fd BS'!A23</f>
        <v>Archbold-Area Local SD</v>
      </c>
      <c r="AR23" s="7" t="b">
        <f t="shared" si="4"/>
        <v>1</v>
      </c>
      <c r="AT23" s="7" t="str">
        <f t="shared" si="5"/>
        <v>Fulton</v>
      </c>
      <c r="AU23" s="7" t="b">
        <f>C23='Gen Fd BS'!C23</f>
        <v>1</v>
      </c>
    </row>
    <row r="24" spans="1:47">
      <c r="A24" s="12" t="s">
        <v>344</v>
      </c>
      <c r="B24" s="12"/>
      <c r="C24" s="12" t="s">
        <v>33</v>
      </c>
      <c r="D24" s="12"/>
      <c r="E24" s="12">
        <v>47423</v>
      </c>
      <c r="G24" s="7">
        <v>1235221</v>
      </c>
      <c r="I24" s="7">
        <v>929417</v>
      </c>
      <c r="K24" s="7">
        <v>3194056</v>
      </c>
      <c r="M24" s="7">
        <v>11382</v>
      </c>
      <c r="O24" s="7">
        <v>218069</v>
      </c>
      <c r="Q24" s="7">
        <v>695</v>
      </c>
      <c r="S24" s="7">
        <v>0</v>
      </c>
      <c r="U24" s="7">
        <v>6009</v>
      </c>
      <c r="W24" s="7">
        <v>66727</v>
      </c>
      <c r="Y24" s="2">
        <f t="shared" si="1"/>
        <v>5661576</v>
      </c>
      <c r="AA24" s="7">
        <v>0</v>
      </c>
      <c r="AC24" s="7">
        <v>0</v>
      </c>
      <c r="AE24" s="7">
        <v>0</v>
      </c>
      <c r="AG24" s="7">
        <v>900</v>
      </c>
      <c r="AI24" s="7">
        <v>0</v>
      </c>
      <c r="AK24" s="7">
        <f t="shared" si="2"/>
        <v>900</v>
      </c>
      <c r="AM24" s="7">
        <f t="shared" si="0"/>
        <v>5662476</v>
      </c>
      <c r="AP24" s="7" t="str">
        <f t="shared" si="3"/>
        <v>Arlington Local SD</v>
      </c>
      <c r="AQ24" s="7" t="str">
        <f>'Gen Fd BS'!A24</f>
        <v>Arlington Local SD</v>
      </c>
      <c r="AR24" s="7" t="b">
        <f t="shared" si="4"/>
        <v>1</v>
      </c>
      <c r="AT24" s="7" t="str">
        <f t="shared" si="5"/>
        <v>Hancock</v>
      </c>
      <c r="AU24" s="7" t="b">
        <f>C24='Gen Fd BS'!C24</f>
        <v>1</v>
      </c>
    </row>
    <row r="25" spans="1:47">
      <c r="A25" s="12" t="s">
        <v>204</v>
      </c>
      <c r="B25" s="12"/>
      <c r="C25" s="12" t="s">
        <v>11</v>
      </c>
      <c r="D25" s="12"/>
      <c r="E25" s="12">
        <v>43505</v>
      </c>
      <c r="F25" s="10"/>
      <c r="G25" s="7">
        <v>13740946</v>
      </c>
      <c r="I25" s="7">
        <v>0</v>
      </c>
      <c r="K25" s="7">
        <v>15007938</v>
      </c>
      <c r="M25" s="7">
        <v>48728</v>
      </c>
      <c r="O25" s="7">
        <v>1064751</v>
      </c>
      <c r="Q25" s="7">
        <v>183545</v>
      </c>
      <c r="S25" s="7">
        <v>232797</v>
      </c>
      <c r="U25" s="7">
        <v>36038</v>
      </c>
      <c r="W25" s="7">
        <f>155945+26025+13967</f>
        <v>195937</v>
      </c>
      <c r="Y25" s="2">
        <f t="shared" si="1"/>
        <v>30510680</v>
      </c>
      <c r="AA25" s="7">
        <v>0</v>
      </c>
      <c r="AC25" s="7">
        <v>0</v>
      </c>
      <c r="AE25" s="7">
        <v>0</v>
      </c>
      <c r="AG25" s="7">
        <v>15780</v>
      </c>
      <c r="AI25" s="7">
        <v>0</v>
      </c>
      <c r="AK25" s="7">
        <f t="shared" si="2"/>
        <v>15780</v>
      </c>
      <c r="AM25" s="7">
        <f t="shared" si="0"/>
        <v>30526460</v>
      </c>
      <c r="AP25" s="7" t="str">
        <f t="shared" si="3"/>
        <v>Ashland City SD</v>
      </c>
      <c r="AQ25" s="7" t="str">
        <f>'Gen Fd BS'!A25</f>
        <v>Ashland City SD</v>
      </c>
      <c r="AR25" s="7" t="b">
        <f t="shared" si="4"/>
        <v>1</v>
      </c>
      <c r="AT25" s="7" t="str">
        <f t="shared" si="5"/>
        <v>Ashland</v>
      </c>
      <c r="AU25" s="7" t="b">
        <f>C25='Gen Fd BS'!C25</f>
        <v>1</v>
      </c>
    </row>
    <row r="26" spans="1:47">
      <c r="A26" s="12" t="s">
        <v>701</v>
      </c>
      <c r="B26" s="12"/>
      <c r="C26" s="12" t="s">
        <v>12</v>
      </c>
      <c r="D26" s="12"/>
      <c r="E26" s="12">
        <v>43513</v>
      </c>
      <c r="F26" s="10"/>
      <c r="G26" s="7">
        <v>9169292</v>
      </c>
      <c r="I26" s="7">
        <v>0</v>
      </c>
      <c r="K26" s="7">
        <v>25569979</v>
      </c>
      <c r="M26" s="7">
        <v>39131</v>
      </c>
      <c r="O26" s="7">
        <v>447689</v>
      </c>
      <c r="Q26" s="7">
        <v>9380</v>
      </c>
      <c r="S26" s="7">
        <v>0</v>
      </c>
      <c r="U26" s="7">
        <v>0</v>
      </c>
      <c r="W26" s="7">
        <f>294179+1455</f>
        <v>295634</v>
      </c>
      <c r="Y26" s="2">
        <f t="shared" si="1"/>
        <v>35531105</v>
      </c>
      <c r="AA26" s="7">
        <v>0</v>
      </c>
      <c r="AC26" s="7">
        <v>0</v>
      </c>
      <c r="AE26" s="7">
        <v>0</v>
      </c>
      <c r="AG26" s="7">
        <v>1501</v>
      </c>
      <c r="AI26" s="7">
        <v>0</v>
      </c>
      <c r="AK26" s="7">
        <f t="shared" si="2"/>
        <v>1501</v>
      </c>
      <c r="AM26" s="7">
        <f t="shared" si="0"/>
        <v>35532606</v>
      </c>
      <c r="AP26" s="7" t="str">
        <f t="shared" si="3"/>
        <v xml:space="preserve">Ashtabula Area City SD </v>
      </c>
      <c r="AQ26" s="7" t="str">
        <f>'Gen Fd BS'!A26</f>
        <v xml:space="preserve">Ashtabula Area City SD </v>
      </c>
      <c r="AR26" s="7" t="b">
        <f t="shared" si="4"/>
        <v>1</v>
      </c>
      <c r="AT26" s="7" t="str">
        <f t="shared" si="5"/>
        <v>Ashtabula</v>
      </c>
      <c r="AU26" s="7" t="b">
        <f>C26='Gen Fd BS'!C26</f>
        <v>1</v>
      </c>
    </row>
    <row r="27" spans="1:47">
      <c r="A27" s="12" t="s">
        <v>211</v>
      </c>
      <c r="B27" s="12"/>
      <c r="C27" s="12" t="s">
        <v>13</v>
      </c>
      <c r="D27" s="12"/>
      <c r="E27" s="12">
        <v>43521</v>
      </c>
      <c r="F27" s="10"/>
      <c r="G27" s="7">
        <v>12711374</v>
      </c>
      <c r="I27" s="7">
        <v>3260583</v>
      </c>
      <c r="K27" s="7">
        <v>10271463</v>
      </c>
      <c r="M27" s="7">
        <v>116060</v>
      </c>
      <c r="O27" s="7">
        <v>2570188</v>
      </c>
      <c r="Q27" s="7">
        <v>19745</v>
      </c>
      <c r="S27" s="7">
        <v>317647</v>
      </c>
      <c r="U27" s="7">
        <v>2307</v>
      </c>
      <c r="W27" s="7">
        <f>118210+7005</f>
        <v>125215</v>
      </c>
      <c r="Y27" s="2">
        <f t="shared" si="1"/>
        <v>29394582</v>
      </c>
      <c r="AA27" s="7">
        <v>0</v>
      </c>
      <c r="AC27" s="7">
        <v>0</v>
      </c>
      <c r="AE27" s="7">
        <v>0</v>
      </c>
      <c r="AG27" s="7">
        <v>0</v>
      </c>
      <c r="AI27" s="7">
        <v>0</v>
      </c>
      <c r="AK27" s="7">
        <f t="shared" si="2"/>
        <v>0</v>
      </c>
      <c r="AM27" s="7">
        <f t="shared" si="0"/>
        <v>29394582</v>
      </c>
      <c r="AP27" s="7" t="str">
        <f t="shared" si="3"/>
        <v>Athens City SD</v>
      </c>
      <c r="AQ27" s="7" t="str">
        <f>'Gen Fd BS'!A27</f>
        <v>Athens City SD</v>
      </c>
      <c r="AR27" s="7" t="b">
        <f t="shared" si="4"/>
        <v>1</v>
      </c>
      <c r="AT27" s="7" t="str">
        <f t="shared" si="5"/>
        <v>Athens</v>
      </c>
      <c r="AU27" s="7" t="b">
        <f>C27='Gen Fd BS'!C27</f>
        <v>1</v>
      </c>
    </row>
    <row r="28" spans="1:47">
      <c r="A28" s="12" t="s">
        <v>474</v>
      </c>
      <c r="B28" s="12"/>
      <c r="C28" s="12" t="s">
        <v>56</v>
      </c>
      <c r="D28" s="12"/>
      <c r="E28" s="12">
        <v>49171</v>
      </c>
      <c r="G28" s="7">
        <v>20164685</v>
      </c>
      <c r="I28" s="7">
        <v>0</v>
      </c>
      <c r="K28" s="7">
        <v>8545508</v>
      </c>
      <c r="M28" s="7">
        <v>25901</v>
      </c>
      <c r="O28" s="7">
        <v>520516</v>
      </c>
      <c r="Q28" s="7">
        <v>28975</v>
      </c>
      <c r="S28" s="7">
        <v>0</v>
      </c>
      <c r="U28" s="7">
        <v>22392</v>
      </c>
      <c r="W28" s="7">
        <f>22132+628135</f>
        <v>650267</v>
      </c>
      <c r="Y28" s="2">
        <f t="shared" si="1"/>
        <v>29958244</v>
      </c>
      <c r="AA28" s="7">
        <v>0</v>
      </c>
      <c r="AC28" s="7">
        <v>0</v>
      </c>
      <c r="AE28" s="7">
        <v>0</v>
      </c>
      <c r="AG28" s="7">
        <v>0</v>
      </c>
      <c r="AI28" s="7">
        <v>0</v>
      </c>
      <c r="AK28" s="7">
        <f t="shared" si="2"/>
        <v>0</v>
      </c>
      <c r="AM28" s="7">
        <f t="shared" si="0"/>
        <v>29958244</v>
      </c>
      <c r="AP28" s="7" t="str">
        <f t="shared" si="3"/>
        <v>Aurora City SD</v>
      </c>
      <c r="AQ28" s="7" t="str">
        <f>'Gen Fd BS'!A28</f>
        <v>Aurora City SD</v>
      </c>
      <c r="AR28" s="7" t="b">
        <f t="shared" si="4"/>
        <v>1</v>
      </c>
      <c r="AT28" s="7" t="str">
        <f t="shared" si="5"/>
        <v>Portage</v>
      </c>
      <c r="AU28" s="7" t="b">
        <f>C28='Gen Fd BS'!C28</f>
        <v>1</v>
      </c>
    </row>
    <row r="29" spans="1:47">
      <c r="A29" s="12" t="s">
        <v>414</v>
      </c>
      <c r="B29" s="12"/>
      <c r="C29" s="12" t="s">
        <v>45</v>
      </c>
      <c r="D29" s="12"/>
      <c r="E29" s="12">
        <v>48298</v>
      </c>
      <c r="G29" s="7">
        <v>15742571</v>
      </c>
      <c r="I29" s="7">
        <v>0</v>
      </c>
      <c r="K29" s="7">
        <v>21357933</v>
      </c>
      <c r="M29" s="7">
        <v>49284</v>
      </c>
      <c r="O29" s="7">
        <v>2014999</v>
      </c>
      <c r="Q29" s="7">
        <v>233789</v>
      </c>
      <c r="S29" s="7">
        <v>0</v>
      </c>
      <c r="U29" s="7">
        <v>0</v>
      </c>
      <c r="W29" s="7">
        <f>68091+120826+888</f>
        <v>189805</v>
      </c>
      <c r="Y29" s="2">
        <f t="shared" si="1"/>
        <v>39588381</v>
      </c>
      <c r="AA29" s="7">
        <v>0</v>
      </c>
      <c r="AC29" s="7">
        <v>0</v>
      </c>
      <c r="AE29" s="7">
        <v>0</v>
      </c>
      <c r="AG29" s="7">
        <v>3040</v>
      </c>
      <c r="AI29" s="7">
        <v>0</v>
      </c>
      <c r="AK29" s="7">
        <f t="shared" si="2"/>
        <v>3040</v>
      </c>
      <c r="AM29" s="7">
        <f t="shared" si="0"/>
        <v>39591421</v>
      </c>
      <c r="AP29" s="7" t="str">
        <f t="shared" si="3"/>
        <v>Austintown Local SD</v>
      </c>
      <c r="AQ29" s="7" t="str">
        <f>'Gen Fd BS'!A29</f>
        <v>Austintown Local SD</v>
      </c>
      <c r="AR29" s="7" t="b">
        <f t="shared" si="4"/>
        <v>1</v>
      </c>
      <c r="AT29" s="7" t="str">
        <f t="shared" si="5"/>
        <v>Mahoning</v>
      </c>
      <c r="AU29" s="7" t="b">
        <f>C29='Gen Fd BS'!C29</f>
        <v>1</v>
      </c>
    </row>
    <row r="30" spans="1:47">
      <c r="A30" s="12" t="s">
        <v>392</v>
      </c>
      <c r="B30" s="12"/>
      <c r="C30" s="12" t="s">
        <v>44</v>
      </c>
      <c r="D30" s="12"/>
      <c r="E30" s="12">
        <v>48124</v>
      </c>
      <c r="G30" s="7">
        <v>25770602</v>
      </c>
      <c r="I30" s="7">
        <v>0</v>
      </c>
      <c r="K30" s="7">
        <v>10171427</v>
      </c>
      <c r="M30" s="7">
        <v>117308</v>
      </c>
      <c r="O30" s="7">
        <v>541161</v>
      </c>
      <c r="Q30" s="7">
        <v>149685</v>
      </c>
      <c r="S30" s="7">
        <v>0</v>
      </c>
      <c r="U30" s="7">
        <v>0</v>
      </c>
      <c r="W30" s="7">
        <v>226158</v>
      </c>
      <c r="Y30" s="2">
        <f t="shared" si="1"/>
        <v>36976341</v>
      </c>
      <c r="AA30" s="7">
        <v>0</v>
      </c>
      <c r="AC30" s="7">
        <v>0</v>
      </c>
      <c r="AE30" s="7">
        <v>0</v>
      </c>
      <c r="AG30" s="7">
        <v>0</v>
      </c>
      <c r="AI30" s="7">
        <v>0</v>
      </c>
      <c r="AK30" s="7">
        <f t="shared" si="2"/>
        <v>0</v>
      </c>
      <c r="AM30" s="7">
        <f t="shared" si="0"/>
        <v>36976341</v>
      </c>
      <c r="AP30" s="7" t="str">
        <f t="shared" si="3"/>
        <v>Avon Lake City SD</v>
      </c>
      <c r="AQ30" s="7" t="str">
        <f>'Gen Fd BS'!A30</f>
        <v>Avon Lake City SD</v>
      </c>
      <c r="AR30" s="7" t="b">
        <f t="shared" si="4"/>
        <v>1</v>
      </c>
      <c r="AT30" s="7" t="str">
        <f t="shared" si="5"/>
        <v>Lorain</v>
      </c>
      <c r="AU30" s="7" t="b">
        <f>C30='Gen Fd BS'!C30</f>
        <v>1</v>
      </c>
    </row>
    <row r="31" spans="1:47">
      <c r="A31" s="12" t="s">
        <v>393</v>
      </c>
      <c r="B31" s="12"/>
      <c r="C31" s="12" t="s">
        <v>44</v>
      </c>
      <c r="D31" s="12"/>
      <c r="E31" s="12">
        <v>48116</v>
      </c>
      <c r="G31" s="7">
        <v>23273191</v>
      </c>
      <c r="I31" s="7">
        <v>0</v>
      </c>
      <c r="K31" s="7">
        <v>7119773</v>
      </c>
      <c r="M31" s="7">
        <v>42559</v>
      </c>
      <c r="O31" s="7">
        <v>873109</v>
      </c>
      <c r="Q31" s="7">
        <v>220379</v>
      </c>
      <c r="S31" s="7">
        <v>0</v>
      </c>
      <c r="U31" s="7">
        <v>0</v>
      </c>
      <c r="W31" s="7">
        <v>132056</v>
      </c>
      <c r="Y31" s="2">
        <f t="shared" si="1"/>
        <v>31661067</v>
      </c>
      <c r="AA31" s="7">
        <v>0</v>
      </c>
      <c r="AC31" s="7">
        <v>0</v>
      </c>
      <c r="AE31" s="7">
        <v>0</v>
      </c>
      <c r="AG31" s="7">
        <v>0</v>
      </c>
      <c r="AI31" s="7">
        <v>0</v>
      </c>
      <c r="AK31" s="7">
        <f t="shared" si="2"/>
        <v>0</v>
      </c>
      <c r="AM31" s="7">
        <f t="shared" si="0"/>
        <v>31661067</v>
      </c>
      <c r="AP31" s="7" t="str">
        <f t="shared" si="3"/>
        <v>Avon Local SD</v>
      </c>
      <c r="AQ31" s="7" t="str">
        <f>'Gen Fd BS'!A31</f>
        <v>Avon Local SD</v>
      </c>
      <c r="AR31" s="7" t="b">
        <f t="shared" si="4"/>
        <v>1</v>
      </c>
      <c r="AT31" s="7" t="str">
        <f t="shared" si="5"/>
        <v>Lorain</v>
      </c>
      <c r="AU31" s="7" t="b">
        <f>C31='Gen Fd BS'!C31</f>
        <v>1</v>
      </c>
    </row>
    <row r="32" spans="1:47">
      <c r="A32" s="12" t="s">
        <v>289</v>
      </c>
      <c r="B32" s="12"/>
      <c r="C32" s="12" t="s">
        <v>22</v>
      </c>
      <c r="D32" s="12"/>
      <c r="E32" s="12">
        <v>46706</v>
      </c>
      <c r="G32" s="7">
        <v>2038340</v>
      </c>
      <c r="I32" s="7">
        <v>793052</v>
      </c>
      <c r="K32" s="7">
        <f>3166384+15281</f>
        <v>3181665</v>
      </c>
      <c r="M32" s="7">
        <v>5179</v>
      </c>
      <c r="O32" s="7">
        <v>1300529</v>
      </c>
      <c r="Q32" s="7">
        <v>0</v>
      </c>
      <c r="S32" s="7">
        <v>31798</v>
      </c>
      <c r="U32" s="7">
        <v>7469</v>
      </c>
      <c r="W32" s="7">
        <f>50940+175+41990</f>
        <v>93105</v>
      </c>
      <c r="Y32" s="2">
        <f t="shared" si="1"/>
        <v>7451137</v>
      </c>
      <c r="AA32" s="7">
        <v>70000</v>
      </c>
      <c r="AC32" s="7">
        <v>0</v>
      </c>
      <c r="AE32" s="7">
        <v>0</v>
      </c>
      <c r="AG32" s="7">
        <f>159401+2687</f>
        <v>162088</v>
      </c>
      <c r="AI32" s="7">
        <v>0</v>
      </c>
      <c r="AK32" s="7">
        <f t="shared" si="2"/>
        <v>232088</v>
      </c>
      <c r="AM32" s="7">
        <f t="shared" si="0"/>
        <v>7683225</v>
      </c>
      <c r="AP32" s="7" t="str">
        <f t="shared" si="3"/>
        <v>Ayersville Local SD</v>
      </c>
      <c r="AQ32" s="7" t="str">
        <f>'Gen Fd BS'!A32</f>
        <v>Ayersville Local SD</v>
      </c>
      <c r="AR32" s="7" t="b">
        <f t="shared" si="4"/>
        <v>1</v>
      </c>
      <c r="AT32" s="7" t="str">
        <f t="shared" si="5"/>
        <v>Defiance</v>
      </c>
      <c r="AU32" s="7" t="b">
        <f>C32='Gen Fd BS'!C32</f>
        <v>1</v>
      </c>
    </row>
    <row r="33" spans="1:47">
      <c r="A33" s="12" t="s">
        <v>523</v>
      </c>
      <c r="B33" s="12"/>
      <c r="C33" s="12" t="s">
        <v>63</v>
      </c>
      <c r="D33" s="12"/>
      <c r="E33" s="12">
        <v>43539</v>
      </c>
      <c r="G33" s="7">
        <v>9914417</v>
      </c>
      <c r="I33" s="7">
        <v>0</v>
      </c>
      <c r="K33" s="7">
        <v>24056689</v>
      </c>
      <c r="M33" s="7">
        <v>15317</v>
      </c>
      <c r="O33" s="7">
        <f>1043414+175346</f>
        <v>1218760</v>
      </c>
      <c r="Q33" s="7">
        <v>87600</v>
      </c>
      <c r="S33" s="7">
        <v>0</v>
      </c>
      <c r="U33" s="7">
        <v>0</v>
      </c>
      <c r="W33" s="7">
        <v>499775</v>
      </c>
      <c r="Y33" s="2">
        <f t="shared" si="1"/>
        <v>35792558</v>
      </c>
      <c r="AA33" s="7">
        <v>956370</v>
      </c>
      <c r="AC33" s="7">
        <v>0</v>
      </c>
      <c r="AE33" s="7">
        <v>0</v>
      </c>
      <c r="AG33" s="7">
        <v>0</v>
      </c>
      <c r="AI33" s="7">
        <v>0</v>
      </c>
      <c r="AK33" s="7">
        <f t="shared" si="2"/>
        <v>956370</v>
      </c>
      <c r="AM33" s="7">
        <f t="shared" si="0"/>
        <v>36748928</v>
      </c>
      <c r="AP33" s="7" t="str">
        <f t="shared" si="3"/>
        <v>Barberton City SD</v>
      </c>
      <c r="AQ33" s="7" t="str">
        <f>'Gen Fd BS'!A33</f>
        <v>Barberton City SD</v>
      </c>
      <c r="AR33" s="7" t="b">
        <f t="shared" si="4"/>
        <v>1</v>
      </c>
      <c r="AT33" s="7" t="str">
        <f t="shared" si="5"/>
        <v>Summit</v>
      </c>
      <c r="AU33" s="7" t="b">
        <f>C33='Gen Fd BS'!C33</f>
        <v>1</v>
      </c>
    </row>
    <row r="34" spans="1:47">
      <c r="A34" s="12" t="s">
        <v>859</v>
      </c>
      <c r="B34" s="12"/>
      <c r="C34" s="12" t="s">
        <v>15</v>
      </c>
      <c r="D34" s="12"/>
      <c r="E34" s="12"/>
      <c r="G34" s="7">
        <v>2538208</v>
      </c>
      <c r="I34" s="7">
        <v>0</v>
      </c>
      <c r="K34" s="7">
        <v>5864761</v>
      </c>
      <c r="M34" s="7">
        <v>28586</v>
      </c>
      <c r="O34" s="7">
        <v>617661</v>
      </c>
      <c r="Q34" s="7">
        <v>68858</v>
      </c>
      <c r="S34" s="7">
        <v>0</v>
      </c>
      <c r="U34" s="7">
        <v>13411</v>
      </c>
      <c r="W34" s="7">
        <f>4080+73222</f>
        <v>77302</v>
      </c>
      <c r="Y34" s="2">
        <f t="shared" si="1"/>
        <v>9208787</v>
      </c>
      <c r="AA34" s="7">
        <v>0</v>
      </c>
      <c r="AC34" s="7">
        <v>0</v>
      </c>
      <c r="AE34" s="7">
        <v>0</v>
      </c>
      <c r="AG34" s="7">
        <v>0</v>
      </c>
      <c r="AI34" s="7">
        <v>0</v>
      </c>
      <c r="AK34" s="7">
        <f t="shared" si="2"/>
        <v>0</v>
      </c>
      <c r="AM34" s="7">
        <f t="shared" si="0"/>
        <v>9208787</v>
      </c>
      <c r="AP34" s="7" t="str">
        <f t="shared" si="3"/>
        <v>Barnesville Exempted Village SD</v>
      </c>
      <c r="AQ34" s="7" t="str">
        <f>'Gen Fd BS'!A34</f>
        <v>Barnesville Exempted Village SD</v>
      </c>
      <c r="AR34" s="7" t="b">
        <f t="shared" si="4"/>
        <v>1</v>
      </c>
      <c r="AT34" s="7" t="str">
        <f t="shared" si="5"/>
        <v>Belmont</v>
      </c>
      <c r="AU34" s="7" t="b">
        <f>C34='Gen Fd BS'!C34</f>
        <v>1</v>
      </c>
    </row>
    <row r="35" spans="1:47">
      <c r="A35" s="12" t="s">
        <v>242</v>
      </c>
      <c r="B35" s="12"/>
      <c r="C35" s="12" t="s">
        <v>113</v>
      </c>
      <c r="D35" s="12"/>
      <c r="E35" s="12">
        <v>46300</v>
      </c>
      <c r="F35" s="10"/>
      <c r="G35" s="7">
        <v>6514612</v>
      </c>
      <c r="I35" s="7">
        <v>0</v>
      </c>
      <c r="K35" s="7">
        <v>8896253</v>
      </c>
      <c r="M35" s="7">
        <v>2363</v>
      </c>
      <c r="O35" s="7">
        <v>1164253</v>
      </c>
      <c r="Q35" s="7">
        <v>0</v>
      </c>
      <c r="S35" s="7">
        <v>407218</v>
      </c>
      <c r="U35" s="7">
        <v>0</v>
      </c>
      <c r="W35" s="7">
        <v>441031</v>
      </c>
      <c r="Y35" s="2">
        <f t="shared" si="1"/>
        <v>17425730</v>
      </c>
      <c r="AA35" s="7">
        <v>0</v>
      </c>
      <c r="AC35" s="7">
        <v>0</v>
      </c>
      <c r="AE35" s="7">
        <v>0</v>
      </c>
      <c r="AG35" s="7">
        <v>0</v>
      </c>
      <c r="AI35" s="7">
        <v>0</v>
      </c>
      <c r="AK35" s="7">
        <f t="shared" si="2"/>
        <v>0</v>
      </c>
      <c r="AM35" s="7">
        <f t="shared" si="0"/>
        <v>17425730</v>
      </c>
      <c r="AP35" s="7" t="str">
        <f t="shared" si="3"/>
        <v>Batavia Local SD</v>
      </c>
      <c r="AQ35" s="7" t="str">
        <f>'Gen Fd BS'!A35</f>
        <v>Batavia Local SD</v>
      </c>
      <c r="AR35" s="7" t="b">
        <f t="shared" si="4"/>
        <v>1</v>
      </c>
      <c r="AT35" s="7" t="str">
        <f t="shared" si="5"/>
        <v>Clermont</v>
      </c>
      <c r="AU35" s="7" t="b">
        <f>C35='Gen Fd BS'!C35</f>
        <v>1</v>
      </c>
    </row>
    <row r="36" spans="1:47" hidden="1">
      <c r="A36" s="12" t="s">
        <v>703</v>
      </c>
      <c r="B36" s="12"/>
      <c r="C36" s="12" t="s">
        <v>10</v>
      </c>
      <c r="D36" s="12"/>
      <c r="E36" s="12">
        <v>45765</v>
      </c>
      <c r="F36" s="10"/>
      <c r="Y36" s="2">
        <f t="shared" si="1"/>
        <v>0</v>
      </c>
      <c r="AI36" s="7">
        <v>0</v>
      </c>
      <c r="AK36" s="7">
        <f t="shared" si="2"/>
        <v>0</v>
      </c>
      <c r="AM36" s="7">
        <f t="shared" si="0"/>
        <v>0</v>
      </c>
      <c r="AO36" s="7" t="s">
        <v>778</v>
      </c>
      <c r="AP36" s="7" t="str">
        <f t="shared" si="3"/>
        <v>Bath Local SD (CASH)</v>
      </c>
      <c r="AQ36" s="7" t="str">
        <f>'Gen Fd BS'!A36</f>
        <v>Bath Local SD (CASH)</v>
      </c>
      <c r="AR36" s="7" t="b">
        <f t="shared" si="4"/>
        <v>1</v>
      </c>
      <c r="AT36" s="7" t="str">
        <f t="shared" si="5"/>
        <v>Allen</v>
      </c>
      <c r="AU36" s="7" t="b">
        <f>C36='Gen Fd BS'!C36</f>
        <v>1</v>
      </c>
    </row>
    <row r="37" spans="1:47">
      <c r="A37" s="12" t="s">
        <v>661</v>
      </c>
      <c r="B37" s="12"/>
      <c r="C37" s="12" t="s">
        <v>20</v>
      </c>
      <c r="D37" s="12"/>
      <c r="E37" s="12">
        <v>43547</v>
      </c>
      <c r="G37" s="7">
        <v>21188037</v>
      </c>
      <c r="I37" s="7">
        <v>0</v>
      </c>
      <c r="K37" s="7">
        <v>7475081</v>
      </c>
      <c r="M37" s="7">
        <v>124947</v>
      </c>
      <c r="O37" s="7">
        <v>1117435</v>
      </c>
      <c r="Q37" s="7">
        <v>200825</v>
      </c>
      <c r="S37" s="7">
        <v>0</v>
      </c>
      <c r="U37" s="7">
        <v>0</v>
      </c>
      <c r="W37" s="7">
        <f>1546+403469</f>
        <v>405015</v>
      </c>
      <c r="Y37" s="2">
        <f t="shared" si="1"/>
        <v>30511340</v>
      </c>
      <c r="AA37" s="7">
        <v>0</v>
      </c>
      <c r="AC37" s="7">
        <v>0</v>
      </c>
      <c r="AE37" s="7">
        <v>0</v>
      </c>
      <c r="AG37" s="7">
        <v>0</v>
      </c>
      <c r="AI37" s="7">
        <v>0</v>
      </c>
      <c r="AK37" s="7">
        <f t="shared" si="2"/>
        <v>0</v>
      </c>
      <c r="AM37" s="7">
        <f t="shared" si="0"/>
        <v>30511340</v>
      </c>
      <c r="AP37" s="7" t="str">
        <f t="shared" si="3"/>
        <v xml:space="preserve">Bay Village City SD </v>
      </c>
      <c r="AQ37" s="7" t="str">
        <f>'Gen Fd BS'!A37</f>
        <v xml:space="preserve">Bay Village City SD </v>
      </c>
      <c r="AR37" s="7" t="b">
        <f t="shared" si="4"/>
        <v>1</v>
      </c>
      <c r="AT37" s="7" t="str">
        <f t="shared" si="5"/>
        <v>Cuyahoga</v>
      </c>
      <c r="AU37" s="7" t="b">
        <f>C37='Gen Fd BS'!C37</f>
        <v>1</v>
      </c>
    </row>
    <row r="38" spans="1:47">
      <c r="A38" s="12" t="s">
        <v>267</v>
      </c>
      <c r="B38" s="12"/>
      <c r="C38" s="12" t="s">
        <v>20</v>
      </c>
      <c r="D38" s="12"/>
      <c r="E38" s="12">
        <v>43554</v>
      </c>
      <c r="G38" s="7">
        <v>23314185</v>
      </c>
      <c r="I38" s="7">
        <v>0</v>
      </c>
      <c r="K38" s="7">
        <v>6942575</v>
      </c>
      <c r="M38" s="7">
        <v>154110</v>
      </c>
      <c r="O38" s="7">
        <v>768627</v>
      </c>
      <c r="Q38" s="7">
        <v>0</v>
      </c>
      <c r="S38" s="7">
        <v>0</v>
      </c>
      <c r="U38" s="7">
        <v>2050</v>
      </c>
      <c r="W38" s="7">
        <f>152808+257883+296635</f>
        <v>707326</v>
      </c>
      <c r="Y38" s="2">
        <f t="shared" si="1"/>
        <v>31888873</v>
      </c>
      <c r="AA38" s="7">
        <v>0</v>
      </c>
      <c r="AC38" s="7">
        <v>0</v>
      </c>
      <c r="AE38" s="7">
        <v>267639</v>
      </c>
      <c r="AG38" s="7">
        <v>0</v>
      </c>
      <c r="AI38" s="7">
        <v>0</v>
      </c>
      <c r="AK38" s="7">
        <f t="shared" si="2"/>
        <v>267639</v>
      </c>
      <c r="AM38" s="7">
        <f t="shared" si="0"/>
        <v>32156512</v>
      </c>
      <c r="AP38" s="7" t="str">
        <f t="shared" si="3"/>
        <v>Beachwood City SD</v>
      </c>
      <c r="AQ38" s="7" t="str">
        <f>'Gen Fd BS'!A38</f>
        <v>Beachwood City SD</v>
      </c>
      <c r="AR38" s="7" t="b">
        <f t="shared" si="4"/>
        <v>1</v>
      </c>
      <c r="AT38" s="7" t="str">
        <f t="shared" si="5"/>
        <v>Cuyahoga</v>
      </c>
      <c r="AU38" s="7" t="b">
        <f>C38='Gen Fd BS'!C38</f>
        <v>1</v>
      </c>
    </row>
    <row r="39" spans="1:47">
      <c r="A39" s="12" t="s">
        <v>252</v>
      </c>
      <c r="B39" s="12"/>
      <c r="C39" s="12" t="s">
        <v>112</v>
      </c>
      <c r="D39" s="12"/>
      <c r="E39" s="12">
        <v>46425</v>
      </c>
      <c r="F39" s="10"/>
      <c r="G39" s="7">
        <v>5210057</v>
      </c>
      <c r="I39" s="7">
        <v>0</v>
      </c>
      <c r="K39" s="7">
        <v>10504258</v>
      </c>
      <c r="M39" s="7">
        <v>1554</v>
      </c>
      <c r="O39" s="7">
        <v>1513308</v>
      </c>
      <c r="Q39" s="7">
        <v>139831</v>
      </c>
      <c r="S39" s="7">
        <v>0</v>
      </c>
      <c r="U39" s="7">
        <v>0</v>
      </c>
      <c r="W39" s="7">
        <f>15307+77469</f>
        <v>92776</v>
      </c>
      <c r="Y39" s="2">
        <f t="shared" si="1"/>
        <v>17461784</v>
      </c>
      <c r="AA39" s="7">
        <v>0</v>
      </c>
      <c r="AC39" s="7">
        <v>0</v>
      </c>
      <c r="AE39" s="7">
        <v>387870</v>
      </c>
      <c r="AG39" s="7">
        <v>4312</v>
      </c>
      <c r="AI39" s="7">
        <v>0</v>
      </c>
      <c r="AK39" s="7">
        <f t="shared" si="2"/>
        <v>392182</v>
      </c>
      <c r="AM39" s="7">
        <f t="shared" si="0"/>
        <v>17853966</v>
      </c>
      <c r="AP39" s="7" t="str">
        <f t="shared" si="3"/>
        <v>Beaver Local SD</v>
      </c>
      <c r="AQ39" s="7" t="str">
        <f>'Gen Fd BS'!A39</f>
        <v>Beaver Local SD</v>
      </c>
      <c r="AR39" s="7" t="b">
        <f t="shared" si="4"/>
        <v>1</v>
      </c>
      <c r="AT39" s="7" t="str">
        <f t="shared" si="5"/>
        <v>Columbiana</v>
      </c>
      <c r="AU39" s="7" t="b">
        <f>C39='Gen Fd BS'!C39</f>
        <v>1</v>
      </c>
    </row>
    <row r="40" spans="1:47">
      <c r="A40" s="12" t="s">
        <v>325</v>
      </c>
      <c r="B40" s="12"/>
      <c r="C40" s="12" t="s">
        <v>114</v>
      </c>
      <c r="D40" s="12"/>
      <c r="E40" s="12">
        <v>47241</v>
      </c>
      <c r="G40" s="7">
        <v>48711124</v>
      </c>
      <c r="I40" s="7">
        <v>0</v>
      </c>
      <c r="K40" s="7">
        <v>19747724</v>
      </c>
      <c r="M40" s="7">
        <v>180055</v>
      </c>
      <c r="O40" s="7">
        <v>1149656</v>
      </c>
      <c r="Q40" s="7">
        <v>225941</v>
      </c>
      <c r="S40" s="7">
        <v>0</v>
      </c>
      <c r="U40" s="7">
        <v>84753</v>
      </c>
      <c r="W40" s="7">
        <f>10525+36821+145237</f>
        <v>192583</v>
      </c>
      <c r="Y40" s="2">
        <f t="shared" si="1"/>
        <v>70291836</v>
      </c>
      <c r="AA40" s="7">
        <v>0</v>
      </c>
      <c r="AC40" s="7">
        <v>0</v>
      </c>
      <c r="AE40" s="7">
        <v>0</v>
      </c>
      <c r="AG40" s="7">
        <v>0</v>
      </c>
      <c r="AI40" s="7">
        <v>0</v>
      </c>
      <c r="AK40" s="7">
        <f t="shared" si="2"/>
        <v>0</v>
      </c>
      <c r="AM40" s="7">
        <f t="shared" si="0"/>
        <v>70291836</v>
      </c>
      <c r="AP40" s="7" t="str">
        <f t="shared" si="3"/>
        <v>Beavercreek City SD</v>
      </c>
      <c r="AQ40" s="7" t="str">
        <f>'Gen Fd BS'!A40</f>
        <v>Beavercreek City SD</v>
      </c>
      <c r="AR40" s="7" t="b">
        <f t="shared" si="4"/>
        <v>1</v>
      </c>
      <c r="AT40" s="7" t="str">
        <f t="shared" si="5"/>
        <v>Greene</v>
      </c>
      <c r="AU40" s="7" t="b">
        <f>C40='Gen Fd BS'!C40</f>
        <v>1</v>
      </c>
    </row>
    <row r="41" spans="1:47">
      <c r="A41" s="12" t="s">
        <v>268</v>
      </c>
      <c r="B41" s="12"/>
      <c r="C41" s="12" t="s">
        <v>20</v>
      </c>
      <c r="D41" s="12"/>
      <c r="E41" s="12">
        <v>43562</v>
      </c>
      <c r="G41" s="7">
        <v>28536413</v>
      </c>
      <c r="I41" s="7">
        <v>0</v>
      </c>
      <c r="K41" s="7">
        <v>16907185</v>
      </c>
      <c r="M41" s="7">
        <v>27064</v>
      </c>
      <c r="O41" s="7">
        <v>1472019</v>
      </c>
      <c r="Q41" s="7">
        <v>98925</v>
      </c>
      <c r="S41" s="7">
        <v>0</v>
      </c>
      <c r="U41" s="7">
        <v>12228</v>
      </c>
      <c r="W41" s="7">
        <f>12793+23328+310250</f>
        <v>346371</v>
      </c>
      <c r="Y41" s="2">
        <f t="shared" si="1"/>
        <v>47400205</v>
      </c>
      <c r="AA41" s="7">
        <v>0</v>
      </c>
      <c r="AC41" s="7">
        <v>0</v>
      </c>
      <c r="AE41" s="7">
        <v>0</v>
      </c>
      <c r="AG41" s="7">
        <v>16250</v>
      </c>
      <c r="AI41" s="7">
        <v>0</v>
      </c>
      <c r="AK41" s="7">
        <f t="shared" si="2"/>
        <v>16250</v>
      </c>
      <c r="AM41" s="7">
        <f t="shared" si="0"/>
        <v>47416455</v>
      </c>
      <c r="AP41" s="7" t="str">
        <f t="shared" si="3"/>
        <v>Bedford City SD</v>
      </c>
      <c r="AQ41" s="7" t="str">
        <f>'Gen Fd BS'!A41</f>
        <v>Bedford City SD</v>
      </c>
      <c r="AR41" s="7" t="b">
        <f t="shared" si="4"/>
        <v>1</v>
      </c>
      <c r="AT41" s="7" t="str">
        <f t="shared" si="5"/>
        <v>Cuyahoga</v>
      </c>
      <c r="AU41" s="7" t="b">
        <f>C41='Gen Fd BS'!C41</f>
        <v>1</v>
      </c>
    </row>
    <row r="42" spans="1:47">
      <c r="A42" s="12" t="s">
        <v>216</v>
      </c>
      <c r="B42" s="12"/>
      <c r="C42" s="12" t="s">
        <v>15</v>
      </c>
      <c r="D42" s="12"/>
      <c r="E42" s="12">
        <v>43570</v>
      </c>
      <c r="F42" s="10"/>
      <c r="G42" s="7">
        <v>1972366</v>
      </c>
      <c r="I42" s="7">
        <v>0</v>
      </c>
      <c r="K42" s="7">
        <v>9411065</v>
      </c>
      <c r="M42" s="7">
        <v>19013</v>
      </c>
      <c r="O42" s="7">
        <v>766117</v>
      </c>
      <c r="Q42" s="7">
        <v>45233</v>
      </c>
      <c r="S42" s="7">
        <v>0</v>
      </c>
      <c r="U42" s="7">
        <v>0</v>
      </c>
      <c r="W42" s="7">
        <f>13448+28720</f>
        <v>42168</v>
      </c>
      <c r="Y42" s="2">
        <f t="shared" si="1"/>
        <v>12255962</v>
      </c>
      <c r="AA42" s="7">
        <v>0</v>
      </c>
      <c r="AC42" s="7">
        <v>0</v>
      </c>
      <c r="AE42" s="7">
        <v>0</v>
      </c>
      <c r="AG42" s="7">
        <v>0</v>
      </c>
      <c r="AI42" s="7">
        <v>0</v>
      </c>
      <c r="AK42" s="7">
        <f t="shared" si="2"/>
        <v>0</v>
      </c>
      <c r="AM42" s="7">
        <f t="shared" si="0"/>
        <v>12255962</v>
      </c>
      <c r="AP42" s="7" t="str">
        <f t="shared" si="3"/>
        <v>Bellaire Local SD</v>
      </c>
      <c r="AQ42" s="7" t="str">
        <f>'Gen Fd BS'!A42</f>
        <v>Bellaire Local SD</v>
      </c>
      <c r="AR42" s="7" t="b">
        <f t="shared" si="4"/>
        <v>1</v>
      </c>
      <c r="AT42" s="7" t="str">
        <f t="shared" si="5"/>
        <v>Belmont</v>
      </c>
      <c r="AU42" s="7" t="b">
        <f>C42='Gen Fd BS'!C42</f>
        <v>1</v>
      </c>
    </row>
    <row r="43" spans="1:47">
      <c r="A43" s="12" t="s">
        <v>796</v>
      </c>
      <c r="B43" s="12"/>
      <c r="C43" s="12" t="s">
        <v>114</v>
      </c>
      <c r="D43" s="12"/>
      <c r="E43" s="12"/>
      <c r="F43" s="10"/>
      <c r="G43" s="7">
        <v>15264123</v>
      </c>
      <c r="I43" s="7">
        <v>0</v>
      </c>
      <c r="K43" s="7">
        <v>8183740</v>
      </c>
      <c r="M43" s="7">
        <v>2276</v>
      </c>
      <c r="O43" s="7">
        <v>432871</v>
      </c>
      <c r="Q43" s="7">
        <v>56589</v>
      </c>
      <c r="S43" s="7">
        <v>0</v>
      </c>
      <c r="U43" s="7">
        <v>6479</v>
      </c>
      <c r="W43" s="7">
        <f>2192+23061+393396</f>
        <v>418649</v>
      </c>
      <c r="Y43" s="2">
        <f t="shared" si="1"/>
        <v>24364727</v>
      </c>
      <c r="AA43" s="7">
        <v>0</v>
      </c>
      <c r="AC43" s="7">
        <v>0</v>
      </c>
      <c r="AE43" s="7">
        <v>2400</v>
      </c>
      <c r="AG43" s="7">
        <v>0</v>
      </c>
      <c r="AI43" s="7">
        <v>0</v>
      </c>
      <c r="AK43" s="7">
        <f t="shared" si="2"/>
        <v>2400</v>
      </c>
      <c r="AM43" s="7">
        <f t="shared" si="0"/>
        <v>24367127</v>
      </c>
      <c r="AO43" s="7" t="s">
        <v>780</v>
      </c>
      <c r="AP43" s="7" t="str">
        <f t="shared" ref="AP43" si="6">A43</f>
        <v>Bellbrook-Sugarcreek Local SD</v>
      </c>
      <c r="AQ43" s="7" t="str">
        <f>'Gen Fd BS'!A43</f>
        <v>Bellbrook-Sugarcreek Local SD</v>
      </c>
      <c r="AR43" s="7" t="b">
        <f t="shared" ref="AR43" si="7">AP43=AQ43</f>
        <v>1</v>
      </c>
      <c r="AT43" s="7" t="str">
        <f t="shared" si="5"/>
        <v>Greene</v>
      </c>
      <c r="AU43" s="7" t="b">
        <f>C43='Gen Fd BS'!C43</f>
        <v>1</v>
      </c>
    </row>
    <row r="44" spans="1:47">
      <c r="A44" s="12" t="s">
        <v>365</v>
      </c>
      <c r="B44" s="12"/>
      <c r="C44" s="12" t="s">
        <v>37</v>
      </c>
      <c r="D44" s="12"/>
      <c r="E44" s="12">
        <v>43596</v>
      </c>
      <c r="G44" s="7">
        <v>6519824</v>
      </c>
      <c r="I44" s="7">
        <v>1236902</v>
      </c>
      <c r="K44" s="7">
        <f>10412023+64470</f>
        <v>10476493</v>
      </c>
      <c r="M44" s="7">
        <v>31842</v>
      </c>
      <c r="O44" s="7">
        <f>333809+79363</f>
        <v>413172</v>
      </c>
      <c r="Q44" s="7">
        <v>39030</v>
      </c>
      <c r="S44" s="7">
        <v>0</v>
      </c>
      <c r="U44" s="7">
        <v>24575</v>
      </c>
      <c r="W44" s="7">
        <f>3330+144458</f>
        <v>147788</v>
      </c>
      <c r="Y44" s="2">
        <f t="shared" si="1"/>
        <v>18889626</v>
      </c>
      <c r="AA44" s="7">
        <v>0</v>
      </c>
      <c r="AC44" s="7">
        <v>0</v>
      </c>
      <c r="AE44" s="7">
        <v>22330</v>
      </c>
      <c r="AG44" s="7">
        <v>5132</v>
      </c>
      <c r="AI44" s="7">
        <v>0</v>
      </c>
      <c r="AK44" s="7">
        <f t="shared" si="2"/>
        <v>27462</v>
      </c>
      <c r="AM44" s="7">
        <f t="shared" ref="AM44:AM75" si="8">+AK44+Y44</f>
        <v>18917088</v>
      </c>
      <c r="AP44" s="7" t="str">
        <f t="shared" si="3"/>
        <v>Bellevue City SD</v>
      </c>
      <c r="AQ44" s="7" t="str">
        <f>'Gen Fd BS'!A44</f>
        <v>Bellevue City SD</v>
      </c>
      <c r="AR44" s="7" t="b">
        <f t="shared" si="4"/>
        <v>1</v>
      </c>
      <c r="AT44" s="7" t="str">
        <f t="shared" si="5"/>
        <v>Huron</v>
      </c>
      <c r="AU44" s="7" t="b">
        <f>C44='Gen Fd BS'!C44</f>
        <v>1</v>
      </c>
    </row>
    <row r="45" spans="1:47">
      <c r="A45" s="12" t="s">
        <v>564</v>
      </c>
      <c r="B45" s="12"/>
      <c r="C45" s="12" t="s">
        <v>70</v>
      </c>
      <c r="D45" s="12"/>
      <c r="E45" s="12">
        <v>43604</v>
      </c>
      <c r="G45" s="7">
        <v>3168901</v>
      </c>
      <c r="I45" s="7">
        <v>0</v>
      </c>
      <c r="K45" s="7">
        <f>5468767+10619</f>
        <v>5479386</v>
      </c>
      <c r="M45" s="7">
        <v>52536</v>
      </c>
      <c r="O45" s="7">
        <f>352293+31206</f>
        <v>383499</v>
      </c>
      <c r="Q45" s="7">
        <v>9926</v>
      </c>
      <c r="S45" s="7">
        <v>0</v>
      </c>
      <c r="U45" s="7">
        <v>0</v>
      </c>
      <c r="W45" s="7">
        <f>1965+28565</f>
        <v>30530</v>
      </c>
      <c r="Y45" s="2">
        <f t="shared" si="1"/>
        <v>9124778</v>
      </c>
      <c r="AA45" s="7">
        <v>0</v>
      </c>
      <c r="AC45" s="7">
        <v>0</v>
      </c>
      <c r="AE45" s="7">
        <v>0</v>
      </c>
      <c r="AG45" s="7">
        <v>0</v>
      </c>
      <c r="AI45" s="7">
        <v>0</v>
      </c>
      <c r="AK45" s="7">
        <f t="shared" si="2"/>
        <v>0</v>
      </c>
      <c r="AM45" s="7">
        <f t="shared" si="8"/>
        <v>9124778</v>
      </c>
      <c r="AP45" s="7" t="str">
        <f t="shared" si="3"/>
        <v>Belpre City SD</v>
      </c>
      <c r="AQ45" s="7" t="str">
        <f>'Gen Fd BS'!A45</f>
        <v>Belpre City SD</v>
      </c>
      <c r="AR45" s="7" t="b">
        <f t="shared" si="4"/>
        <v>1</v>
      </c>
      <c r="AT45" s="7" t="str">
        <f t="shared" si="5"/>
        <v>Washington</v>
      </c>
      <c r="AU45" s="7" t="b">
        <f>C45='Gen Fd BS'!C45</f>
        <v>1</v>
      </c>
    </row>
    <row r="46" spans="1:47">
      <c r="A46" s="12" t="s">
        <v>463</v>
      </c>
      <c r="B46" s="12"/>
      <c r="C46" s="12" t="s">
        <v>53</v>
      </c>
      <c r="D46" s="12"/>
      <c r="E46" s="12">
        <v>48926</v>
      </c>
      <c r="G46" s="7">
        <v>7949554</v>
      </c>
      <c r="I46" s="7">
        <v>0</v>
      </c>
      <c r="K46" s="7">
        <f>0+9541251+21747</f>
        <v>9562998</v>
      </c>
      <c r="M46" s="7">
        <v>74680</v>
      </c>
      <c r="O46" s="7">
        <f>632249+78094</f>
        <v>710343</v>
      </c>
      <c r="Q46" s="7">
        <v>99159</v>
      </c>
      <c r="S46" s="7">
        <v>0</v>
      </c>
      <c r="U46" s="7">
        <v>3399</v>
      </c>
      <c r="W46" s="7">
        <f>7360+21637</f>
        <v>28997</v>
      </c>
      <c r="Y46" s="2">
        <f t="shared" si="1"/>
        <v>18429130</v>
      </c>
      <c r="AA46" s="7">
        <v>0</v>
      </c>
      <c r="AC46" s="7">
        <v>0</v>
      </c>
      <c r="AE46" s="7">
        <v>0</v>
      </c>
      <c r="AG46" s="7">
        <v>0</v>
      </c>
      <c r="AI46" s="7">
        <v>0</v>
      </c>
      <c r="AK46" s="7">
        <f t="shared" si="2"/>
        <v>0</v>
      </c>
      <c r="AM46" s="7">
        <f t="shared" si="8"/>
        <v>18429130</v>
      </c>
      <c r="AP46" s="7" t="str">
        <f t="shared" si="3"/>
        <v>Benton Carroll Salem Local SD</v>
      </c>
      <c r="AQ46" s="7" t="str">
        <f>'Gen Fd BS'!A46</f>
        <v>Benton Carroll Salem Local SD</v>
      </c>
      <c r="AR46" s="7" t="b">
        <f t="shared" si="4"/>
        <v>1</v>
      </c>
      <c r="AT46" s="7" t="str">
        <f t="shared" si="5"/>
        <v>Ottawa</v>
      </c>
      <c r="AU46" s="7" t="b">
        <f>C46='Gen Fd BS'!C46</f>
        <v>1</v>
      </c>
    </row>
    <row r="47" spans="1:47">
      <c r="A47" s="12" t="s">
        <v>269</v>
      </c>
      <c r="B47" s="12"/>
      <c r="C47" s="12" t="s">
        <v>20</v>
      </c>
      <c r="D47" s="12"/>
      <c r="E47" s="12">
        <v>43612</v>
      </c>
      <c r="G47" s="7">
        <v>49086597</v>
      </c>
      <c r="I47" s="7">
        <v>0</v>
      </c>
      <c r="K47" s="7">
        <v>19998835</v>
      </c>
      <c r="M47" s="7">
        <v>61737</v>
      </c>
      <c r="O47" s="7">
        <v>2792870</v>
      </c>
      <c r="Q47" s="7">
        <v>258536</v>
      </c>
      <c r="S47" s="7">
        <v>0</v>
      </c>
      <c r="U47" s="7">
        <v>66896</v>
      </c>
      <c r="W47" s="7">
        <f>31032+15851+207362</f>
        <v>254245</v>
      </c>
      <c r="Y47" s="2">
        <f t="shared" si="1"/>
        <v>72519716</v>
      </c>
      <c r="AA47" s="7">
        <v>0</v>
      </c>
      <c r="AC47" s="7">
        <v>0</v>
      </c>
      <c r="AE47" s="7">
        <v>0</v>
      </c>
      <c r="AG47" s="7">
        <v>0</v>
      </c>
      <c r="AI47" s="7">
        <v>0</v>
      </c>
      <c r="AK47" s="7">
        <f t="shared" si="2"/>
        <v>0</v>
      </c>
      <c r="AM47" s="7">
        <f t="shared" si="8"/>
        <v>72519716</v>
      </c>
      <c r="AP47" s="7" t="str">
        <f t="shared" si="3"/>
        <v>Berea City SD</v>
      </c>
      <c r="AQ47" s="7" t="str">
        <f>'Gen Fd BS'!A47</f>
        <v>Berea City SD</v>
      </c>
      <c r="AR47" s="7" t="b">
        <f t="shared" si="4"/>
        <v>1</v>
      </c>
      <c r="AT47" s="7" t="str">
        <f t="shared" si="5"/>
        <v>Cuyahoga</v>
      </c>
      <c r="AU47" s="7" t="b">
        <f>C47='Gen Fd BS'!C47</f>
        <v>1</v>
      </c>
    </row>
    <row r="48" spans="1:47">
      <c r="A48" s="12" t="s">
        <v>668</v>
      </c>
      <c r="B48" s="12"/>
      <c r="C48" s="12" t="s">
        <v>30</v>
      </c>
      <c r="D48" s="12"/>
      <c r="E48" s="12">
        <v>47167</v>
      </c>
      <c r="G48" s="7">
        <v>4130507</v>
      </c>
      <c r="I48" s="7">
        <v>1626657</v>
      </c>
      <c r="K48" s="7">
        <v>4500422</v>
      </c>
      <c r="M48" s="7">
        <v>9820</v>
      </c>
      <c r="O48" s="7">
        <v>397999</v>
      </c>
      <c r="Q48" s="7">
        <v>154619</v>
      </c>
      <c r="S48" s="7">
        <v>0</v>
      </c>
      <c r="U48" s="7">
        <v>14771</v>
      </c>
      <c r="W48" s="7">
        <f>2000+40129</f>
        <v>42129</v>
      </c>
      <c r="Y48" s="2">
        <f t="shared" si="1"/>
        <v>10876924</v>
      </c>
      <c r="AA48" s="7">
        <v>0</v>
      </c>
      <c r="AC48" s="7">
        <v>0</v>
      </c>
      <c r="AE48" s="7">
        <v>0</v>
      </c>
      <c r="AG48" s="7">
        <v>0</v>
      </c>
      <c r="AI48" s="7">
        <v>0</v>
      </c>
      <c r="AK48" s="7">
        <f t="shared" si="2"/>
        <v>0</v>
      </c>
      <c r="AM48" s="7">
        <f t="shared" si="8"/>
        <v>10876924</v>
      </c>
      <c r="AP48" s="7" t="str">
        <f t="shared" si="3"/>
        <v xml:space="preserve">Berkshire Local SD </v>
      </c>
      <c r="AQ48" s="7" t="str">
        <f>'Gen Fd BS'!A48</f>
        <v xml:space="preserve">Berkshire Local SD </v>
      </c>
      <c r="AR48" s="7" t="b">
        <f t="shared" si="4"/>
        <v>1</v>
      </c>
      <c r="AT48" s="7" t="str">
        <f t="shared" si="5"/>
        <v>Geauga</v>
      </c>
      <c r="AU48" s="7" t="b">
        <f>C48='Gen Fd BS'!C48</f>
        <v>1</v>
      </c>
    </row>
    <row r="49" spans="1:47">
      <c r="A49" s="12" t="s">
        <v>291</v>
      </c>
      <c r="B49" s="12"/>
      <c r="C49" s="12" t="s">
        <v>24</v>
      </c>
      <c r="D49" s="12"/>
      <c r="E49" s="12">
        <v>46789</v>
      </c>
      <c r="G49" s="7">
        <v>5929209</v>
      </c>
      <c r="I49" s="7">
        <v>0</v>
      </c>
      <c r="K49" s="7">
        <f>7456229+59623</f>
        <v>7515852</v>
      </c>
      <c r="M49" s="7">
        <v>20574</v>
      </c>
      <c r="O49" s="7">
        <f>391489+43315</f>
        <v>434804</v>
      </c>
      <c r="Q49" s="7">
        <v>147785</v>
      </c>
      <c r="S49" s="7">
        <v>0</v>
      </c>
      <c r="U49" s="7">
        <v>310</v>
      </c>
      <c r="W49" s="7">
        <f>689+5130</f>
        <v>5819</v>
      </c>
      <c r="Y49" s="2">
        <f t="shared" si="1"/>
        <v>14054353</v>
      </c>
      <c r="AA49" s="7">
        <v>0</v>
      </c>
      <c r="AC49" s="7">
        <v>0</v>
      </c>
      <c r="AE49" s="7">
        <v>154623</v>
      </c>
      <c r="AG49" s="7">
        <v>0</v>
      </c>
      <c r="AI49" s="7">
        <v>0</v>
      </c>
      <c r="AK49" s="7">
        <f t="shared" si="2"/>
        <v>154623</v>
      </c>
      <c r="AM49" s="7">
        <f t="shared" si="8"/>
        <v>14208976</v>
      </c>
      <c r="AP49" s="7" t="str">
        <f t="shared" si="3"/>
        <v>Berlin-Milan Local SD</v>
      </c>
      <c r="AQ49" s="7" t="str">
        <f>'Gen Fd BS'!A49</f>
        <v>Berlin-Milan Local SD</v>
      </c>
      <c r="AR49" s="7" t="b">
        <f t="shared" si="4"/>
        <v>1</v>
      </c>
      <c r="AT49" s="7" t="str">
        <f t="shared" si="5"/>
        <v>Erie</v>
      </c>
      <c r="AU49" s="7" t="b">
        <f>C49='Gen Fd BS'!C49</f>
        <v>1</v>
      </c>
    </row>
    <row r="50" spans="1:47" hidden="1">
      <c r="A50" s="12" t="s">
        <v>905</v>
      </c>
      <c r="B50" s="12"/>
      <c r="C50" s="12" t="s">
        <v>25</v>
      </c>
      <c r="D50" s="12"/>
      <c r="E50" s="12">
        <v>46854</v>
      </c>
      <c r="Y50" s="2">
        <f t="shared" si="1"/>
        <v>0</v>
      </c>
      <c r="AI50" s="7">
        <v>0</v>
      </c>
      <c r="AK50" s="7">
        <f t="shared" si="2"/>
        <v>0</v>
      </c>
      <c r="AM50" s="7">
        <f t="shared" si="8"/>
        <v>0</v>
      </c>
      <c r="AO50" s="7" t="s">
        <v>903</v>
      </c>
      <c r="AP50" s="7" t="str">
        <f t="shared" si="3"/>
        <v>Berne Union Local SD (CASH)</v>
      </c>
      <c r="AQ50" s="7" t="str">
        <f>'Gen Fd BS'!A50</f>
        <v>Berne Union Local SD (CASH)</v>
      </c>
      <c r="AR50" s="7" t="b">
        <f t="shared" si="4"/>
        <v>1</v>
      </c>
      <c r="AT50" s="7" t="str">
        <f t="shared" si="5"/>
        <v>Fairfield</v>
      </c>
      <c r="AU50" s="7" t="b">
        <f>C50='Gen Fd BS'!C50</f>
        <v>1</v>
      </c>
    </row>
    <row r="51" spans="1:47">
      <c r="A51" s="12" t="s">
        <v>436</v>
      </c>
      <c r="B51" s="12"/>
      <c r="C51" s="12" t="s">
        <v>48</v>
      </c>
      <c r="D51" s="12"/>
      <c r="E51" s="12">
        <v>48611</v>
      </c>
      <c r="G51" s="7">
        <v>3461779</v>
      </c>
      <c r="I51" s="7">
        <v>0</v>
      </c>
      <c r="K51" s="7">
        <v>3256743</v>
      </c>
      <c r="M51" s="7">
        <v>23231</v>
      </c>
      <c r="O51" s="7">
        <v>612396</v>
      </c>
      <c r="Q51" s="7">
        <v>75385</v>
      </c>
      <c r="S51" s="7">
        <v>0</v>
      </c>
      <c r="U51" s="7">
        <v>0</v>
      </c>
      <c r="W51" s="7">
        <v>73759</v>
      </c>
      <c r="Y51" s="2">
        <f t="shared" si="1"/>
        <v>7503293</v>
      </c>
      <c r="AA51" s="7">
        <v>0</v>
      </c>
      <c r="AC51" s="7">
        <v>0</v>
      </c>
      <c r="AE51" s="7">
        <v>0</v>
      </c>
      <c r="AG51" s="7">
        <v>0</v>
      </c>
      <c r="AI51" s="7">
        <v>0</v>
      </c>
      <c r="AK51" s="7">
        <f t="shared" si="2"/>
        <v>0</v>
      </c>
      <c r="AM51" s="7">
        <f t="shared" si="8"/>
        <v>7503293</v>
      </c>
      <c r="AP51" s="7" t="str">
        <f t="shared" si="3"/>
        <v>Bethel Local SD</v>
      </c>
      <c r="AQ51" s="7" t="str">
        <f>'Gen Fd BS'!A51</f>
        <v>Bethel Local SD</v>
      </c>
      <c r="AR51" s="7" t="b">
        <f t="shared" si="4"/>
        <v>1</v>
      </c>
      <c r="AT51" s="7" t="str">
        <f t="shared" si="5"/>
        <v>Miami</v>
      </c>
      <c r="AU51" s="7" t="b">
        <f>C51='Gen Fd BS'!C51</f>
        <v>1</v>
      </c>
    </row>
    <row r="52" spans="1:47">
      <c r="A52" s="12" t="s">
        <v>243</v>
      </c>
      <c r="B52" s="12"/>
      <c r="C52" s="12" t="s">
        <v>113</v>
      </c>
      <c r="D52" s="12"/>
      <c r="E52" s="12">
        <v>46318</v>
      </c>
      <c r="F52" s="10"/>
      <c r="G52" s="7">
        <v>3320080</v>
      </c>
      <c r="I52" s="7">
        <v>0</v>
      </c>
      <c r="K52" s="7">
        <v>9297387</v>
      </c>
      <c r="M52" s="7">
        <v>7786</v>
      </c>
      <c r="O52" s="7">
        <v>1374750</v>
      </c>
      <c r="Q52" s="7">
        <v>53957</v>
      </c>
      <c r="S52" s="7">
        <v>0</v>
      </c>
      <c r="U52" s="7">
        <v>6278</v>
      </c>
      <c r="W52" s="7">
        <f>6654+62778</f>
        <v>69432</v>
      </c>
      <c r="Y52" s="2">
        <f t="shared" si="1"/>
        <v>14129670</v>
      </c>
      <c r="AA52" s="7">
        <v>0</v>
      </c>
      <c r="AC52" s="7">
        <v>0</v>
      </c>
      <c r="AE52" s="7">
        <v>83302</v>
      </c>
      <c r="AG52" s="7">
        <v>4500</v>
      </c>
      <c r="AI52" s="7">
        <v>0</v>
      </c>
      <c r="AK52" s="7">
        <f t="shared" si="2"/>
        <v>87802</v>
      </c>
      <c r="AM52" s="7">
        <f t="shared" si="8"/>
        <v>14217472</v>
      </c>
      <c r="AP52" s="7" t="str">
        <f t="shared" si="3"/>
        <v>Bethel-Tate Local SD</v>
      </c>
      <c r="AQ52" s="7" t="str">
        <f>'Gen Fd BS'!A52</f>
        <v>Bethel-Tate Local SD</v>
      </c>
      <c r="AR52" s="7" t="b">
        <f t="shared" si="4"/>
        <v>1</v>
      </c>
      <c r="AT52" s="7" t="str">
        <f t="shared" si="5"/>
        <v>Clermont</v>
      </c>
      <c r="AU52" s="7" t="b">
        <f>C52='Gen Fd BS'!C52</f>
        <v>1</v>
      </c>
    </row>
    <row r="53" spans="1:47" hidden="1">
      <c r="A53" s="12" t="s">
        <v>705</v>
      </c>
      <c r="B53" s="12"/>
      <c r="C53" s="12" t="s">
        <v>60</v>
      </c>
      <c r="D53" s="12"/>
      <c r="E53" s="12">
        <v>49692</v>
      </c>
      <c r="Y53" s="2">
        <f t="shared" si="1"/>
        <v>0</v>
      </c>
      <c r="AI53" s="7">
        <v>0</v>
      </c>
      <c r="AK53" s="7">
        <f t="shared" si="2"/>
        <v>0</v>
      </c>
      <c r="AM53" s="7">
        <f t="shared" si="8"/>
        <v>0</v>
      </c>
      <c r="AO53" s="7" t="s">
        <v>778</v>
      </c>
      <c r="AP53" s="7" t="str">
        <f t="shared" si="3"/>
        <v>Bettsville Local SD (CASH)</v>
      </c>
      <c r="AQ53" s="7" t="str">
        <f>'Gen Fd BS'!A53</f>
        <v>Bettsville Local SD (CASH)</v>
      </c>
      <c r="AR53" s="7" t="b">
        <f t="shared" si="4"/>
        <v>1</v>
      </c>
      <c r="AT53" s="7" t="str">
        <f t="shared" si="5"/>
        <v>Seneca</v>
      </c>
      <c r="AU53" s="7" t="b">
        <f>C53='Gen Fd BS'!C53</f>
        <v>1</v>
      </c>
    </row>
    <row r="54" spans="1:47">
      <c r="A54" s="12" t="s">
        <v>305</v>
      </c>
      <c r="B54" s="12"/>
      <c r="C54" s="12" t="s">
        <v>27</v>
      </c>
      <c r="D54" s="12"/>
      <c r="E54" s="12">
        <v>43620</v>
      </c>
      <c r="G54" s="7">
        <v>19322550</v>
      </c>
      <c r="I54" s="7">
        <v>5201882</v>
      </c>
      <c r="K54" s="7">
        <v>6808019</v>
      </c>
      <c r="M54" s="7">
        <v>137801</v>
      </c>
      <c r="O54" s="7">
        <v>66274</v>
      </c>
      <c r="Q54" s="7">
        <v>64737</v>
      </c>
      <c r="S54" s="7">
        <v>0</v>
      </c>
      <c r="U54" s="7">
        <v>0</v>
      </c>
      <c r="W54" s="7">
        <v>188666</v>
      </c>
      <c r="Y54" s="2">
        <f t="shared" si="1"/>
        <v>31789929</v>
      </c>
      <c r="AA54" s="7">
        <v>0</v>
      </c>
      <c r="AC54" s="7">
        <v>0</v>
      </c>
      <c r="AE54" s="7">
        <v>0</v>
      </c>
      <c r="AG54" s="7">
        <v>0</v>
      </c>
      <c r="AI54" s="7">
        <v>0</v>
      </c>
      <c r="AK54" s="7">
        <f t="shared" si="2"/>
        <v>0</v>
      </c>
      <c r="AM54" s="7">
        <f t="shared" si="8"/>
        <v>31789929</v>
      </c>
      <c r="AP54" s="7" t="str">
        <f t="shared" si="3"/>
        <v>Bexley City SD</v>
      </c>
      <c r="AQ54" s="7" t="str">
        <f>'Gen Fd BS'!A54</f>
        <v>Bexley City SD</v>
      </c>
      <c r="AR54" s="7" t="b">
        <f t="shared" si="4"/>
        <v>1</v>
      </c>
      <c r="AT54" s="7" t="str">
        <f t="shared" si="5"/>
        <v>Franklin</v>
      </c>
      <c r="AU54" s="7" t="b">
        <f>C54='Gen Fd BS'!C54</f>
        <v>1</v>
      </c>
    </row>
    <row r="55" spans="1:47">
      <c r="A55" s="12" t="s">
        <v>664</v>
      </c>
      <c r="B55" s="12"/>
      <c r="C55" s="12" t="s">
        <v>23</v>
      </c>
      <c r="D55" s="12"/>
      <c r="E55" s="12">
        <v>46748</v>
      </c>
      <c r="G55" s="7">
        <v>15076074</v>
      </c>
      <c r="I55" s="7">
        <v>6176875</v>
      </c>
      <c r="K55" s="7">
        <v>7385043</v>
      </c>
      <c r="M55" s="7">
        <v>64440</v>
      </c>
      <c r="O55" s="7">
        <v>337203</v>
      </c>
      <c r="Q55" s="7">
        <v>1461</v>
      </c>
      <c r="S55" s="7">
        <v>0</v>
      </c>
      <c r="U55" s="7">
        <v>234168</v>
      </c>
      <c r="W55" s="7">
        <f>27989+164364</f>
        <v>192353</v>
      </c>
      <c r="Y55" s="2">
        <f t="shared" si="1"/>
        <v>29467617</v>
      </c>
      <c r="AA55" s="7">
        <v>0</v>
      </c>
      <c r="AC55" s="7">
        <v>0</v>
      </c>
      <c r="AE55" s="7">
        <v>0</v>
      </c>
      <c r="AG55" s="7">
        <v>160000</v>
      </c>
      <c r="AI55" s="7">
        <v>0</v>
      </c>
      <c r="AK55" s="7">
        <f t="shared" si="2"/>
        <v>160000</v>
      </c>
      <c r="AM55" s="7">
        <f t="shared" si="8"/>
        <v>29627617</v>
      </c>
      <c r="AP55" s="7" t="str">
        <f t="shared" si="3"/>
        <v xml:space="preserve">Big Walnut Local SD </v>
      </c>
      <c r="AQ55" s="7" t="str">
        <f>'Gen Fd BS'!A55</f>
        <v xml:space="preserve">Big Walnut Local SD </v>
      </c>
      <c r="AR55" s="7" t="b">
        <f t="shared" si="4"/>
        <v>1</v>
      </c>
      <c r="AT55" s="7" t="str">
        <f t="shared" si="5"/>
        <v>Delaware</v>
      </c>
      <c r="AU55" s="7" t="b">
        <f>C55='Gen Fd BS'!C55</f>
        <v>1</v>
      </c>
    </row>
    <row r="56" spans="1:47">
      <c r="A56" s="12" t="s">
        <v>427</v>
      </c>
      <c r="B56" s="12"/>
      <c r="C56" s="12" t="s">
        <v>47</v>
      </c>
      <c r="D56" s="12"/>
      <c r="E56" s="12">
        <v>48462</v>
      </c>
      <c r="G56" s="7">
        <v>3763696</v>
      </c>
      <c r="I56" s="7">
        <v>0</v>
      </c>
      <c r="K56" s="7">
        <v>7869491</v>
      </c>
      <c r="M56" s="7">
        <v>11274</v>
      </c>
      <c r="O56" s="7">
        <f>157966+125976</f>
        <v>283942</v>
      </c>
      <c r="Q56" s="7">
        <v>180557</v>
      </c>
      <c r="S56" s="7">
        <v>0</v>
      </c>
      <c r="U56" s="7">
        <v>200</v>
      </c>
      <c r="W56" s="7">
        <f>5284+19641</f>
        <v>24925</v>
      </c>
      <c r="Y56" s="2">
        <f t="shared" si="1"/>
        <v>12134085</v>
      </c>
      <c r="AA56" s="7">
        <v>200000</v>
      </c>
      <c r="AC56" s="7">
        <v>0</v>
      </c>
      <c r="AE56" s="7">
        <v>0</v>
      </c>
      <c r="AG56" s="7">
        <v>0</v>
      </c>
      <c r="AI56" s="7">
        <v>0</v>
      </c>
      <c r="AK56" s="7">
        <f t="shared" si="2"/>
        <v>200000</v>
      </c>
      <c r="AM56" s="7">
        <f t="shared" si="8"/>
        <v>12334085</v>
      </c>
      <c r="AP56" s="7" t="str">
        <f t="shared" si="3"/>
        <v>Black River Local SD</v>
      </c>
      <c r="AQ56" s="7" t="str">
        <f>'Gen Fd BS'!A56</f>
        <v>Black River Local SD</v>
      </c>
      <c r="AR56" s="7" t="b">
        <f t="shared" si="4"/>
        <v>1</v>
      </c>
      <c r="AT56" s="7" t="str">
        <f t="shared" si="5"/>
        <v>Medina</v>
      </c>
      <c r="AU56" s="7" t="b">
        <f>C56='Gen Fd BS'!C56</f>
        <v>1</v>
      </c>
    </row>
    <row r="57" spans="1:47">
      <c r="A57" s="12" t="s">
        <v>248</v>
      </c>
      <c r="B57" s="12"/>
      <c r="C57" s="12" t="s">
        <v>18</v>
      </c>
      <c r="D57" s="12"/>
      <c r="E57" s="12">
        <v>46383</v>
      </c>
      <c r="F57" s="10"/>
      <c r="G57" s="7">
        <v>2521794</v>
      </c>
      <c r="I57" s="7">
        <v>0</v>
      </c>
      <c r="K57" s="7">
        <v>9278478</v>
      </c>
      <c r="M57" s="7">
        <v>44935</v>
      </c>
      <c r="O57" s="7">
        <v>1364135</v>
      </c>
      <c r="Q57" s="7">
        <v>6867</v>
      </c>
      <c r="S57" s="7">
        <v>0</v>
      </c>
      <c r="U57" s="7">
        <v>0</v>
      </c>
      <c r="W57" s="7">
        <v>98142</v>
      </c>
      <c r="Y57" s="2">
        <f t="shared" si="1"/>
        <v>13314351</v>
      </c>
      <c r="AA57" s="7">
        <v>0</v>
      </c>
      <c r="AC57" s="7">
        <v>0</v>
      </c>
      <c r="AE57" s="7">
        <v>0</v>
      </c>
      <c r="AG57" s="7">
        <v>0</v>
      </c>
      <c r="AI57" s="7">
        <v>0</v>
      </c>
      <c r="AK57" s="7">
        <f t="shared" si="2"/>
        <v>0</v>
      </c>
      <c r="AM57" s="7">
        <f t="shared" si="8"/>
        <v>13314351</v>
      </c>
      <c r="AP57" s="7" t="str">
        <f t="shared" si="3"/>
        <v>Blanchester Local SD</v>
      </c>
      <c r="AQ57" s="7" t="str">
        <f>'Gen Fd BS'!A57</f>
        <v>Blanchester Local SD</v>
      </c>
      <c r="AR57" s="7" t="b">
        <f t="shared" si="4"/>
        <v>1</v>
      </c>
      <c r="AT57" s="7" t="str">
        <f t="shared" si="5"/>
        <v>Clinton</v>
      </c>
      <c r="AU57" s="7" t="b">
        <f>C57='Gen Fd BS'!C57</f>
        <v>1</v>
      </c>
    </row>
    <row r="58" spans="1:47">
      <c r="A58" s="12" t="s">
        <v>299</v>
      </c>
      <c r="B58" s="12"/>
      <c r="C58" s="12" t="s">
        <v>25</v>
      </c>
      <c r="D58" s="12"/>
      <c r="E58" s="12">
        <v>46862</v>
      </c>
      <c r="G58" s="7">
        <v>5468478</v>
      </c>
      <c r="I58" s="7">
        <v>3496497</v>
      </c>
      <c r="K58" s="7">
        <v>4033260</v>
      </c>
      <c r="M58" s="7">
        <v>46067</v>
      </c>
      <c r="O58" s="7">
        <v>972773</v>
      </c>
      <c r="Q58" s="7">
        <v>15400</v>
      </c>
      <c r="S58" s="7">
        <v>0</v>
      </c>
      <c r="U58" s="7">
        <v>10662</v>
      </c>
      <c r="W58" s="7">
        <v>27909</v>
      </c>
      <c r="Y58" s="2">
        <f t="shared" si="1"/>
        <v>14071046</v>
      </c>
      <c r="AA58" s="7">
        <v>0</v>
      </c>
      <c r="AC58" s="7">
        <v>0</v>
      </c>
      <c r="AE58" s="7">
        <v>0</v>
      </c>
      <c r="AG58" s="7">
        <v>2000</v>
      </c>
      <c r="AI58" s="7">
        <v>0</v>
      </c>
      <c r="AK58" s="7">
        <f t="shared" si="2"/>
        <v>2000</v>
      </c>
      <c r="AM58" s="7">
        <f t="shared" si="8"/>
        <v>14073046</v>
      </c>
      <c r="AP58" s="7" t="str">
        <f t="shared" si="3"/>
        <v>Bloom-Carroll Local SD</v>
      </c>
      <c r="AQ58" s="7" t="str">
        <f>'Gen Fd BS'!A58</f>
        <v>Bloom-Carroll Local SD</v>
      </c>
      <c r="AR58" s="7" t="b">
        <f t="shared" si="4"/>
        <v>1</v>
      </c>
      <c r="AT58" s="7" t="str">
        <f t="shared" si="5"/>
        <v>Fairfield</v>
      </c>
      <c r="AU58" s="7" t="b">
        <f>C58='Gen Fd BS'!C58</f>
        <v>1</v>
      </c>
    </row>
    <row r="59" spans="1:47">
      <c r="A59" s="12" t="s">
        <v>534</v>
      </c>
      <c r="B59" s="12"/>
      <c r="C59" s="12" t="s">
        <v>64</v>
      </c>
      <c r="D59" s="12"/>
      <c r="E59" s="12">
        <v>50096</v>
      </c>
      <c r="G59" s="7">
        <v>1109280</v>
      </c>
      <c r="I59" s="7">
        <v>0</v>
      </c>
      <c r="K59" s="7">
        <v>1594180</v>
      </c>
      <c r="M59" s="7">
        <v>1240</v>
      </c>
      <c r="O59" s="7">
        <f>190867+3607</f>
        <v>194474</v>
      </c>
      <c r="Q59" s="7">
        <v>2825</v>
      </c>
      <c r="S59" s="7">
        <v>0</v>
      </c>
      <c r="U59" s="7">
        <v>2700</v>
      </c>
      <c r="W59" s="7">
        <f>10124+93+1760</f>
        <v>11977</v>
      </c>
      <c r="Y59" s="2">
        <f t="shared" si="1"/>
        <v>2916676</v>
      </c>
      <c r="AA59" s="7">
        <v>0</v>
      </c>
      <c r="AC59" s="7">
        <v>0</v>
      </c>
      <c r="AE59" s="7">
        <v>0</v>
      </c>
      <c r="AG59" s="7">
        <v>33393</v>
      </c>
      <c r="AI59" s="7">
        <v>0</v>
      </c>
      <c r="AK59" s="7">
        <f t="shared" si="2"/>
        <v>33393</v>
      </c>
      <c r="AM59" s="7">
        <f t="shared" si="8"/>
        <v>2950069</v>
      </c>
      <c r="AP59" s="7" t="str">
        <f t="shared" si="3"/>
        <v>Bloomfield-Mespo Local SD</v>
      </c>
      <c r="AQ59" s="7" t="str">
        <f>'Gen Fd BS'!A59</f>
        <v>Bloomfield-Mespo Local SD</v>
      </c>
      <c r="AR59" s="7" t="b">
        <f>AP59=AQ59</f>
        <v>1</v>
      </c>
      <c r="AT59" s="7" t="str">
        <f t="shared" si="5"/>
        <v>Trumbull</v>
      </c>
      <c r="AU59" s="7" t="b">
        <f>C59='Gen Fd BS'!C59</f>
        <v>1</v>
      </c>
    </row>
    <row r="60" spans="1:47">
      <c r="A60" s="12" t="s">
        <v>494</v>
      </c>
      <c r="B60" s="12"/>
      <c r="C60" s="12" t="s">
        <v>59</v>
      </c>
      <c r="D60" s="12"/>
      <c r="E60" s="12">
        <v>49593</v>
      </c>
      <c r="G60" s="7">
        <v>1053805</v>
      </c>
      <c r="I60" s="7">
        <v>0</v>
      </c>
      <c r="K60" s="7">
        <v>6062809</v>
      </c>
      <c r="M60" s="7">
        <v>10458</v>
      </c>
      <c r="O60" s="7">
        <v>868928</v>
      </c>
      <c r="Q60" s="7">
        <v>4942</v>
      </c>
      <c r="S60" s="7">
        <v>0</v>
      </c>
      <c r="U60" s="7">
        <v>19523</v>
      </c>
      <c r="W60" s="7">
        <f>200+200236</f>
        <v>200436</v>
      </c>
      <c r="Y60" s="2">
        <f t="shared" ref="Y60" si="9">SUM(G60:X60)</f>
        <v>8220901</v>
      </c>
      <c r="AA60" s="7">
        <v>0</v>
      </c>
      <c r="AC60" s="7">
        <v>0</v>
      </c>
      <c r="AE60" s="7">
        <v>500000</v>
      </c>
      <c r="AG60" s="7">
        <v>0</v>
      </c>
      <c r="AI60" s="7">
        <v>0</v>
      </c>
      <c r="AK60" s="7">
        <f t="shared" ref="AK60" si="10">SUM(AA60:AJ60)</f>
        <v>500000</v>
      </c>
      <c r="AM60" s="7">
        <f t="shared" si="8"/>
        <v>8720901</v>
      </c>
      <c r="AP60" s="7" t="str">
        <f t="shared" ref="AP60" si="11">A60</f>
        <v>Bloom-Vernon Local SD</v>
      </c>
      <c r="AQ60" s="7" t="str">
        <f>'Gen Fd BS'!A60</f>
        <v>Bloom-Vernon Local SD</v>
      </c>
      <c r="AR60" s="7" t="b">
        <f t="shared" ref="AR60" si="12">AP60=AQ60</f>
        <v>1</v>
      </c>
      <c r="AT60" s="7" t="str">
        <f t="shared" si="5"/>
        <v>Scioto</v>
      </c>
      <c r="AU60" s="7" t="b">
        <f>C60='Gen Fd BS'!C60</f>
        <v>1</v>
      </c>
    </row>
    <row r="61" spans="1:47" hidden="1">
      <c r="A61" s="12" t="s">
        <v>676</v>
      </c>
      <c r="B61" s="12"/>
      <c r="C61" s="12" t="s">
        <v>10</v>
      </c>
      <c r="D61" s="12"/>
      <c r="E61" s="12">
        <v>49593</v>
      </c>
      <c r="Y61" s="2">
        <f>SUM(G61:X61)</f>
        <v>0</v>
      </c>
      <c r="AI61" s="7">
        <v>0</v>
      </c>
      <c r="AK61" s="7">
        <f>SUM(AA61:AJ61)</f>
        <v>0</v>
      </c>
      <c r="AM61" s="7">
        <f t="shared" si="8"/>
        <v>0</v>
      </c>
      <c r="AO61" s="7" t="s">
        <v>778</v>
      </c>
      <c r="AP61" s="7" t="str">
        <f t="shared" si="3"/>
        <v>Bluffton Ex Vill SD (OCBOA)</v>
      </c>
      <c r="AQ61" s="7" t="str">
        <f>'Gen Fd BS'!A61</f>
        <v>Bluffton Ex Vill SD (OCBOA)</v>
      </c>
      <c r="AR61" s="7" t="b">
        <f t="shared" si="4"/>
        <v>1</v>
      </c>
      <c r="AT61" s="7" t="str">
        <f t="shared" si="5"/>
        <v>Allen</v>
      </c>
      <c r="AU61" s="7" t="b">
        <f>C61='Gen Fd BS'!C61</f>
        <v>1</v>
      </c>
    </row>
    <row r="62" spans="1:47">
      <c r="A62" s="12" t="s">
        <v>415</v>
      </c>
      <c r="B62" s="12"/>
      <c r="C62" s="12" t="s">
        <v>45</v>
      </c>
      <c r="D62" s="12"/>
      <c r="E62" s="12">
        <v>48306</v>
      </c>
      <c r="G62" s="7">
        <v>25233367</v>
      </c>
      <c r="I62" s="7">
        <v>0</v>
      </c>
      <c r="K62" s="7">
        <v>13804824</v>
      </c>
      <c r="M62" s="7">
        <v>24982</v>
      </c>
      <c r="O62" s="7">
        <v>679898</v>
      </c>
      <c r="Q62" s="7">
        <v>85505</v>
      </c>
      <c r="S62" s="7">
        <v>0</v>
      </c>
      <c r="U62" s="7">
        <v>76223</v>
      </c>
      <c r="W62" s="7">
        <f>82707+307920</f>
        <v>390627</v>
      </c>
      <c r="Y62" s="2">
        <f t="shared" si="1"/>
        <v>40295426</v>
      </c>
      <c r="AA62" s="7">
        <v>0</v>
      </c>
      <c r="AC62" s="7">
        <v>0</v>
      </c>
      <c r="AE62" s="7">
        <v>0</v>
      </c>
      <c r="AG62" s="7">
        <v>0</v>
      </c>
      <c r="AI62" s="7">
        <v>0</v>
      </c>
      <c r="AK62" s="7">
        <f t="shared" si="2"/>
        <v>0</v>
      </c>
      <c r="AM62" s="7">
        <f t="shared" si="8"/>
        <v>40295426</v>
      </c>
      <c r="AP62" s="7" t="str">
        <f t="shared" si="3"/>
        <v>Boardman Local SD</v>
      </c>
      <c r="AQ62" s="7" t="str">
        <f>'Gen Fd BS'!A62</f>
        <v>Boardman Local SD</v>
      </c>
      <c r="AR62" s="7" t="b">
        <f t="shared" si="4"/>
        <v>1</v>
      </c>
      <c r="AT62" s="7" t="str">
        <f t="shared" si="5"/>
        <v>Mahoning</v>
      </c>
      <c r="AU62" s="7" t="b">
        <f>C62='Gen Fd BS'!C62</f>
        <v>1</v>
      </c>
    </row>
    <row r="63" spans="1:47">
      <c r="A63" s="12" t="s">
        <v>504</v>
      </c>
      <c r="B63" s="12"/>
      <c r="C63" s="12" t="s">
        <v>61</v>
      </c>
      <c r="D63" s="12"/>
      <c r="E63" s="12">
        <v>49767</v>
      </c>
      <c r="G63" s="7">
        <v>836750</v>
      </c>
      <c r="I63" s="7">
        <v>579452</v>
      </c>
      <c r="K63" s="7">
        <v>2350836</v>
      </c>
      <c r="M63" s="7">
        <v>5440</v>
      </c>
      <c r="O63" s="7">
        <v>1130277</v>
      </c>
      <c r="Q63" s="7">
        <v>28161</v>
      </c>
      <c r="S63" s="7">
        <v>0</v>
      </c>
      <c r="U63" s="7">
        <v>5541</v>
      </c>
      <c r="W63" s="7">
        <f>7128+17948</f>
        <v>25076</v>
      </c>
      <c r="Y63" s="2">
        <f t="shared" si="1"/>
        <v>4961533</v>
      </c>
      <c r="AA63" s="7">
        <v>0</v>
      </c>
      <c r="AC63" s="7">
        <v>0</v>
      </c>
      <c r="AE63" s="7">
        <v>0</v>
      </c>
      <c r="AG63" s="7">
        <v>930</v>
      </c>
      <c r="AI63" s="7">
        <v>0</v>
      </c>
      <c r="AK63" s="7">
        <f>SUM(AA63:AJ63)</f>
        <v>930</v>
      </c>
      <c r="AM63" s="7">
        <f t="shared" si="8"/>
        <v>4962463</v>
      </c>
      <c r="AP63" s="7" t="str">
        <f t="shared" si="3"/>
        <v>Botkins Local SD</v>
      </c>
      <c r="AQ63" s="7" t="str">
        <f>'Gen Fd BS'!A63</f>
        <v>Botkins Local SD</v>
      </c>
      <c r="AR63" s="7" t="b">
        <f t="shared" si="4"/>
        <v>1</v>
      </c>
      <c r="AT63" s="7" t="str">
        <f t="shared" si="5"/>
        <v>Shelby</v>
      </c>
      <c r="AU63" s="7" t="b">
        <f>C63='Gen Fd BS'!C63</f>
        <v>1</v>
      </c>
    </row>
    <row r="64" spans="1:47">
      <c r="A64" s="12" t="s">
        <v>572</v>
      </c>
      <c r="B64" s="12"/>
      <c r="C64" s="12" t="s">
        <v>72</v>
      </c>
      <c r="D64" s="12"/>
      <c r="E64" s="12">
        <v>43638</v>
      </c>
      <c r="G64" s="7">
        <v>15974003</v>
      </c>
      <c r="I64" s="7">
        <v>2714831</v>
      </c>
      <c r="K64" s="7">
        <v>10598538</v>
      </c>
      <c r="M64" s="7">
        <v>85118</v>
      </c>
      <c r="O64" s="7">
        <v>578532</v>
      </c>
      <c r="Q64" s="7">
        <v>30292</v>
      </c>
      <c r="S64" s="7">
        <v>0</v>
      </c>
      <c r="U64" s="7">
        <v>0</v>
      </c>
      <c r="W64" s="7">
        <f>8788+81342</f>
        <v>90130</v>
      </c>
      <c r="Y64" s="2">
        <f t="shared" si="1"/>
        <v>30071444</v>
      </c>
      <c r="AA64" s="7">
        <v>0</v>
      </c>
      <c r="AC64" s="7">
        <v>0</v>
      </c>
      <c r="AE64" s="7">
        <v>0</v>
      </c>
      <c r="AG64" s="7">
        <f>25+20942</f>
        <v>20967</v>
      </c>
      <c r="AI64" s="7">
        <v>0</v>
      </c>
      <c r="AK64" s="7">
        <f t="shared" si="2"/>
        <v>20967</v>
      </c>
      <c r="AM64" s="7">
        <f t="shared" si="8"/>
        <v>30092411</v>
      </c>
      <c r="AP64" s="7" t="str">
        <f t="shared" si="3"/>
        <v>Bowling Green City SD</v>
      </c>
      <c r="AQ64" s="7" t="str">
        <f>'Gen Fd BS'!A64</f>
        <v>Bowling Green City SD</v>
      </c>
      <c r="AR64" s="7" t="b">
        <f t="shared" si="4"/>
        <v>1</v>
      </c>
      <c r="AT64" s="7" t="str">
        <f t="shared" si="5"/>
        <v>Wood</v>
      </c>
      <c r="AU64" s="7" t="b">
        <f>C64='Gen Fd BS'!C64</f>
        <v>1</v>
      </c>
    </row>
    <row r="65" spans="1:47" hidden="1">
      <c r="A65" s="12" t="s">
        <v>704</v>
      </c>
      <c r="B65" s="12"/>
      <c r="C65" s="12" t="s">
        <v>48</v>
      </c>
      <c r="D65" s="12"/>
      <c r="E65" s="12">
        <v>43646</v>
      </c>
      <c r="Y65" s="2">
        <f>SUM(G65:X65)</f>
        <v>0</v>
      </c>
      <c r="AI65" s="7">
        <v>0</v>
      </c>
      <c r="AK65" s="7">
        <f>SUM(AA65:AJ65)</f>
        <v>0</v>
      </c>
      <c r="AM65" s="7">
        <f t="shared" si="8"/>
        <v>0</v>
      </c>
      <c r="AO65" s="7" t="s">
        <v>778</v>
      </c>
      <c r="AP65" s="7" t="str">
        <f t="shared" si="3"/>
        <v>Bradford Ex Vill SD (cash) Two year audit</v>
      </c>
      <c r="AQ65" s="7" t="str">
        <f>'Gen Fd BS'!A65</f>
        <v>Bradford Ex Vill SD (cash) Two year audit</v>
      </c>
      <c r="AR65" s="7" t="b">
        <f t="shared" si="4"/>
        <v>1</v>
      </c>
      <c r="AT65" s="7" t="str">
        <f t="shared" si="5"/>
        <v>Miami</v>
      </c>
      <c r="AU65" s="7" t="b">
        <f>C65='Gen Fd BS'!C65</f>
        <v>1</v>
      </c>
    </row>
    <row r="66" spans="1:47">
      <c r="A66" s="12" t="s">
        <v>895</v>
      </c>
      <c r="B66" s="12"/>
      <c r="C66" s="12" t="s">
        <v>20</v>
      </c>
      <c r="D66" s="12"/>
      <c r="E66" s="12">
        <v>43646</v>
      </c>
      <c r="G66" s="7">
        <v>33257867</v>
      </c>
      <c r="I66" s="7">
        <v>0</v>
      </c>
      <c r="K66" s="7">
        <v>13187244</v>
      </c>
      <c r="M66" s="7">
        <v>42584</v>
      </c>
      <c r="O66" s="7">
        <v>553191</v>
      </c>
      <c r="Q66" s="7">
        <v>898419</v>
      </c>
      <c r="S66" s="7">
        <v>2148</v>
      </c>
      <c r="U66" s="7">
        <v>32646</v>
      </c>
      <c r="W66" s="7">
        <f>45955+34912+42420</f>
        <v>123287</v>
      </c>
      <c r="Y66" s="2">
        <f t="shared" si="1"/>
        <v>48097386</v>
      </c>
      <c r="AA66" s="7">
        <v>0</v>
      </c>
      <c r="AC66" s="7">
        <v>0</v>
      </c>
      <c r="AE66" s="7">
        <v>0</v>
      </c>
      <c r="AG66" s="7">
        <v>0</v>
      </c>
      <c r="AI66" s="7">
        <v>0</v>
      </c>
      <c r="AK66" s="7">
        <f t="shared" si="2"/>
        <v>0</v>
      </c>
      <c r="AM66" s="7">
        <f t="shared" si="8"/>
        <v>48097386</v>
      </c>
      <c r="AP66" s="7" t="str">
        <f t="shared" si="3"/>
        <v>Brecksville-Broadview Heights City SD</v>
      </c>
      <c r="AQ66" s="7" t="str">
        <f>'Gen Fd BS'!A66</f>
        <v>Brecksville-Broadview Heights City SD</v>
      </c>
      <c r="AR66" s="7" t="b">
        <f t="shared" si="4"/>
        <v>1</v>
      </c>
      <c r="AT66" s="7" t="str">
        <f t="shared" si="5"/>
        <v>Cuyahoga</v>
      </c>
      <c r="AU66" s="7" t="b">
        <f>C66='Gen Fd BS'!C66</f>
        <v>1</v>
      </c>
    </row>
    <row r="67" spans="1:47">
      <c r="A67" s="12" t="s">
        <v>860</v>
      </c>
      <c r="B67" s="12"/>
      <c r="C67" s="12" t="s">
        <v>15</v>
      </c>
      <c r="D67" s="12"/>
      <c r="E67" s="12">
        <v>45237</v>
      </c>
      <c r="F67" s="10"/>
      <c r="G67" s="7">
        <v>1501940</v>
      </c>
      <c r="I67" s="7">
        <v>0</v>
      </c>
      <c r="K67" s="7">
        <f>4571064+10088</f>
        <v>4581152</v>
      </c>
      <c r="M67" s="7">
        <v>1864</v>
      </c>
      <c r="O67" s="7">
        <f>463236+1344</f>
        <v>464580</v>
      </c>
      <c r="Q67" s="7">
        <v>1675</v>
      </c>
      <c r="S67" s="7">
        <v>0</v>
      </c>
      <c r="U67" s="7">
        <v>0</v>
      </c>
      <c r="W67" s="7">
        <v>83865</v>
      </c>
      <c r="Y67" s="2">
        <f t="shared" si="1"/>
        <v>6635076</v>
      </c>
      <c r="AA67" s="7">
        <v>0</v>
      </c>
      <c r="AC67" s="7">
        <v>0</v>
      </c>
      <c r="AE67" s="7">
        <v>0</v>
      </c>
      <c r="AG67" s="7">
        <v>59769</v>
      </c>
      <c r="AI67" s="7">
        <v>0</v>
      </c>
      <c r="AK67" s="7">
        <f t="shared" si="2"/>
        <v>59769</v>
      </c>
      <c r="AM67" s="7">
        <f t="shared" si="8"/>
        <v>6694845</v>
      </c>
      <c r="AP67" s="7" t="str">
        <f t="shared" si="3"/>
        <v>Bridgeport Exempted Village SD</v>
      </c>
      <c r="AQ67" s="7" t="str">
        <f>'Gen Fd BS'!A67</f>
        <v>Bridgeport Exempted Village SD</v>
      </c>
      <c r="AR67" s="7" t="b">
        <f t="shared" si="4"/>
        <v>1</v>
      </c>
      <c r="AT67" s="7" t="str">
        <f t="shared" si="5"/>
        <v>Belmont</v>
      </c>
      <c r="AU67" s="7" t="b">
        <f>C67='Gen Fd BS'!C67</f>
        <v>1</v>
      </c>
    </row>
    <row r="68" spans="1:47" hidden="1">
      <c r="A68" s="12" t="s">
        <v>906</v>
      </c>
      <c r="B68" s="12"/>
      <c r="C68" s="12" t="s">
        <v>358</v>
      </c>
      <c r="D68" s="12"/>
      <c r="E68" s="12">
        <v>47613</v>
      </c>
      <c r="Y68" s="2">
        <f t="shared" si="1"/>
        <v>0</v>
      </c>
      <c r="AI68" s="7">
        <v>0</v>
      </c>
      <c r="AK68" s="7">
        <f t="shared" si="2"/>
        <v>0</v>
      </c>
      <c r="AM68" s="7">
        <f t="shared" si="8"/>
        <v>0</v>
      </c>
      <c r="AO68" s="7" t="s">
        <v>903</v>
      </c>
      <c r="AP68" s="7" t="str">
        <f t="shared" si="3"/>
        <v>Bright Local SD (CASH)</v>
      </c>
      <c r="AQ68" s="7" t="str">
        <f>'Gen Fd BS'!A68</f>
        <v>Bright Local SD (CASH)</v>
      </c>
      <c r="AR68" s="7" t="b">
        <f t="shared" si="4"/>
        <v>1</v>
      </c>
      <c r="AT68" s="7" t="str">
        <f t="shared" si="5"/>
        <v>Highland</v>
      </c>
      <c r="AU68" s="7" t="b">
        <f>C68='Gen Fd BS'!C68</f>
        <v>1</v>
      </c>
    </row>
    <row r="69" spans="1:47">
      <c r="A69" s="12" t="s">
        <v>535</v>
      </c>
      <c r="B69" s="12"/>
      <c r="C69" s="12" t="s">
        <v>64</v>
      </c>
      <c r="D69" s="12"/>
      <c r="E69" s="12">
        <v>50112</v>
      </c>
      <c r="G69" s="7">
        <v>2195743</v>
      </c>
      <c r="I69" s="7">
        <v>0</v>
      </c>
      <c r="K69" s="7">
        <v>3784201</v>
      </c>
      <c r="M69" s="7">
        <v>4148</v>
      </c>
      <c r="O69" s="7">
        <f>280168+1526</f>
        <v>281694</v>
      </c>
      <c r="Q69" s="7">
        <v>41515</v>
      </c>
      <c r="S69" s="7">
        <v>0</v>
      </c>
      <c r="U69" s="7">
        <v>2722</v>
      </c>
      <c r="W69" s="7">
        <f>6300+24341</f>
        <v>30641</v>
      </c>
      <c r="Y69" s="2">
        <f t="shared" si="1"/>
        <v>6340664</v>
      </c>
      <c r="AA69" s="7">
        <v>0</v>
      </c>
      <c r="AC69" s="7">
        <v>0</v>
      </c>
      <c r="AE69" s="7">
        <v>0</v>
      </c>
      <c r="AG69" s="7">
        <v>0</v>
      </c>
      <c r="AI69" s="7">
        <v>0</v>
      </c>
      <c r="AK69" s="7">
        <f t="shared" si="2"/>
        <v>0</v>
      </c>
      <c r="AM69" s="7">
        <f t="shared" si="8"/>
        <v>6340664</v>
      </c>
      <c r="AP69" s="7" t="str">
        <f t="shared" si="3"/>
        <v>Bristol Local SD</v>
      </c>
      <c r="AQ69" s="7" t="str">
        <f>'Gen Fd BS'!A69</f>
        <v>Bristol Local SD</v>
      </c>
      <c r="AR69" s="7" t="b">
        <f t="shared" si="4"/>
        <v>1</v>
      </c>
      <c r="AT69" s="7" t="str">
        <f t="shared" si="5"/>
        <v>Trumbull</v>
      </c>
      <c r="AU69" s="7" t="b">
        <f>C69='Gen Fd BS'!C69</f>
        <v>1</v>
      </c>
    </row>
    <row r="70" spans="1:47">
      <c r="A70" s="12" t="s">
        <v>706</v>
      </c>
      <c r="B70" s="12"/>
      <c r="C70" s="12" t="s">
        <v>64</v>
      </c>
      <c r="D70" s="12"/>
      <c r="E70" s="12">
        <v>50120</v>
      </c>
      <c r="G70" s="7">
        <v>2622163</v>
      </c>
      <c r="I70" s="7">
        <v>0</v>
      </c>
      <c r="K70" s="7">
        <f>6112673+30257</f>
        <v>6142930</v>
      </c>
      <c r="M70" s="7">
        <v>2625</v>
      </c>
      <c r="O70" s="7">
        <f>358845+41667+4192</f>
        <v>404704</v>
      </c>
      <c r="Q70" s="7">
        <v>46393</v>
      </c>
      <c r="S70" s="7">
        <v>0</v>
      </c>
      <c r="U70" s="7">
        <v>0</v>
      </c>
      <c r="W70" s="7">
        <v>39727</v>
      </c>
      <c r="Y70" s="2">
        <f t="shared" si="1"/>
        <v>9258542</v>
      </c>
      <c r="AA70" s="7">
        <v>0</v>
      </c>
      <c r="AC70" s="7">
        <v>0</v>
      </c>
      <c r="AE70" s="7">
        <v>0</v>
      </c>
      <c r="AG70" s="7">
        <v>0</v>
      </c>
      <c r="AI70" s="7">
        <v>0</v>
      </c>
      <c r="AK70" s="7">
        <f t="shared" si="2"/>
        <v>0</v>
      </c>
      <c r="AM70" s="7">
        <f t="shared" si="8"/>
        <v>9258542</v>
      </c>
      <c r="AP70" s="7" t="str">
        <f t="shared" si="3"/>
        <v xml:space="preserve">Brookfield Local SD </v>
      </c>
      <c r="AQ70" s="7" t="str">
        <f>'Gen Fd BS'!A70</f>
        <v xml:space="preserve">Brookfield Local SD </v>
      </c>
      <c r="AR70" s="7" t="b">
        <f t="shared" si="4"/>
        <v>1</v>
      </c>
      <c r="AT70" s="7" t="str">
        <f t="shared" si="5"/>
        <v>Trumbull</v>
      </c>
      <c r="AU70" s="7" t="b">
        <f>C70='Gen Fd BS'!C70</f>
        <v>1</v>
      </c>
    </row>
    <row r="71" spans="1:47">
      <c r="A71" s="12" t="s">
        <v>270</v>
      </c>
      <c r="B71" s="12"/>
      <c r="C71" s="12" t="s">
        <v>20</v>
      </c>
      <c r="D71" s="12"/>
      <c r="E71" s="12">
        <v>43653</v>
      </c>
      <c r="G71" s="7">
        <v>11142083</v>
      </c>
      <c r="I71" s="7">
        <v>0</v>
      </c>
      <c r="K71" s="7">
        <v>4537182</v>
      </c>
      <c r="M71" s="7">
        <v>0</v>
      </c>
      <c r="O71" s="7">
        <v>224960</v>
      </c>
      <c r="Q71" s="7">
        <v>0</v>
      </c>
      <c r="S71" s="7">
        <v>0</v>
      </c>
      <c r="U71" s="7">
        <v>3801</v>
      </c>
      <c r="W71" s="7">
        <f>4899+2875+298664</f>
        <v>306438</v>
      </c>
      <c r="Y71" s="2">
        <f t="shared" si="1"/>
        <v>16214464</v>
      </c>
      <c r="AA71" s="7">
        <v>0</v>
      </c>
      <c r="AC71" s="7">
        <v>0</v>
      </c>
      <c r="AE71" s="7">
        <v>0</v>
      </c>
      <c r="AG71" s="7">
        <v>0</v>
      </c>
      <c r="AI71" s="7">
        <v>0</v>
      </c>
      <c r="AK71" s="7">
        <f t="shared" si="2"/>
        <v>0</v>
      </c>
      <c r="AM71" s="7">
        <f t="shared" si="8"/>
        <v>16214464</v>
      </c>
      <c r="AP71" s="7" t="str">
        <f t="shared" si="3"/>
        <v>Brooklyn City SD</v>
      </c>
      <c r="AQ71" s="7" t="str">
        <f>'Gen Fd BS'!A71</f>
        <v>Brooklyn City SD</v>
      </c>
      <c r="AR71" s="7" t="b">
        <f t="shared" si="4"/>
        <v>1</v>
      </c>
      <c r="AT71" s="7" t="str">
        <f t="shared" si="5"/>
        <v>Cuyahoga</v>
      </c>
      <c r="AU71" s="7" t="b">
        <f>C71='Gen Fd BS'!C71</f>
        <v>1</v>
      </c>
    </row>
    <row r="72" spans="1:47">
      <c r="A72" s="12" t="s">
        <v>441</v>
      </c>
      <c r="B72" s="12"/>
      <c r="C72" s="12" t="s">
        <v>50</v>
      </c>
      <c r="D72" s="12"/>
      <c r="E72" s="12">
        <v>48678</v>
      </c>
      <c r="G72" s="7">
        <v>5252002</v>
      </c>
      <c r="I72" s="7">
        <v>0</v>
      </c>
      <c r="K72" s="7">
        <v>6204540</v>
      </c>
      <c r="M72" s="7">
        <v>0</v>
      </c>
      <c r="O72" s="7">
        <v>290047</v>
      </c>
      <c r="Q72" s="7">
        <v>145725</v>
      </c>
      <c r="S72" s="7">
        <v>158754</v>
      </c>
      <c r="U72" s="7">
        <v>0</v>
      </c>
      <c r="W72" s="7">
        <f>69743+59476</f>
        <v>129219</v>
      </c>
      <c r="Y72" s="2">
        <f t="shared" si="1"/>
        <v>12180287</v>
      </c>
      <c r="AA72" s="7">
        <v>0</v>
      </c>
      <c r="AC72" s="7">
        <v>0</v>
      </c>
      <c r="AE72" s="7">
        <v>0</v>
      </c>
      <c r="AG72" s="7">
        <v>15409</v>
      </c>
      <c r="AI72" s="7">
        <v>0</v>
      </c>
      <c r="AK72" s="7">
        <f t="shared" si="2"/>
        <v>15409</v>
      </c>
      <c r="AM72" s="7">
        <f t="shared" si="8"/>
        <v>12195696</v>
      </c>
      <c r="AP72" s="7" t="str">
        <f t="shared" si="3"/>
        <v>Brookville Local SD</v>
      </c>
      <c r="AQ72" s="7" t="str">
        <f>'Gen Fd BS'!A72</f>
        <v>Brookville Local SD</v>
      </c>
      <c r="AR72" s="7" t="b">
        <f t="shared" si="4"/>
        <v>1</v>
      </c>
      <c r="AT72" s="7" t="str">
        <f t="shared" si="5"/>
        <v>Montgomery</v>
      </c>
      <c r="AU72" s="7" t="b">
        <f>C72='Gen Fd BS'!C72</f>
        <v>1</v>
      </c>
    </row>
    <row r="73" spans="1:47">
      <c r="A73" s="12" t="s">
        <v>231</v>
      </c>
      <c r="B73" s="12"/>
      <c r="C73" s="12" t="s">
        <v>16</v>
      </c>
      <c r="D73" s="12"/>
      <c r="E73" s="12">
        <v>46177</v>
      </c>
      <c r="F73" s="10"/>
      <c r="G73" s="7">
        <v>4164129</v>
      </c>
      <c r="I73" s="7">
        <v>0</v>
      </c>
      <c r="K73" s="7">
        <v>3115695</v>
      </c>
      <c r="M73" s="7">
        <v>27171</v>
      </c>
      <c r="O73" s="7">
        <v>264704</v>
      </c>
      <c r="Q73" s="7">
        <v>33959</v>
      </c>
      <c r="S73" s="7">
        <v>0</v>
      </c>
      <c r="U73" s="7">
        <v>2206</v>
      </c>
      <c r="W73" s="7">
        <f>13093+5025</f>
        <v>18118</v>
      </c>
      <c r="Y73" s="2">
        <f t="shared" si="1"/>
        <v>7625982</v>
      </c>
      <c r="AA73" s="7">
        <v>0</v>
      </c>
      <c r="AC73" s="7">
        <v>0</v>
      </c>
      <c r="AE73" s="7">
        <v>0</v>
      </c>
      <c r="AG73" s="7">
        <v>0</v>
      </c>
      <c r="AI73" s="7">
        <v>0</v>
      </c>
      <c r="AK73" s="7">
        <f t="shared" si="2"/>
        <v>0</v>
      </c>
      <c r="AM73" s="7">
        <f t="shared" si="8"/>
        <v>7625982</v>
      </c>
      <c r="AP73" s="7" t="str">
        <f t="shared" si="3"/>
        <v>Brown Local SD</v>
      </c>
      <c r="AQ73" s="7" t="str">
        <f>'Gen Fd BS'!A73</f>
        <v>Brown Local SD</v>
      </c>
      <c r="AR73" s="7" t="b">
        <f t="shared" si="4"/>
        <v>1</v>
      </c>
      <c r="AT73" s="7" t="str">
        <f t="shared" si="5"/>
        <v>Carroll</v>
      </c>
      <c r="AU73" s="7" t="b">
        <f>C73='Gen Fd BS'!C73</f>
        <v>1</v>
      </c>
    </row>
    <row r="74" spans="1:47">
      <c r="A74" s="12" t="s">
        <v>428</v>
      </c>
      <c r="B74" s="12"/>
      <c r="C74" s="12" t="s">
        <v>47</v>
      </c>
      <c r="D74" s="12"/>
      <c r="E74" s="12">
        <v>43661</v>
      </c>
      <c r="G74" s="7">
        <v>31201974</v>
      </c>
      <c r="I74" s="7">
        <v>0</v>
      </c>
      <c r="K74" s="7">
        <v>26997492</v>
      </c>
      <c r="M74" s="7">
        <v>53480</v>
      </c>
      <c r="O74" s="7">
        <v>756209</v>
      </c>
      <c r="Q74" s="7">
        <v>877785</v>
      </c>
      <c r="S74" s="7">
        <v>0</v>
      </c>
      <c r="U74" s="7">
        <v>32569</v>
      </c>
      <c r="W74" s="7">
        <f>251538+56230</f>
        <v>307768</v>
      </c>
      <c r="Y74" s="2">
        <f t="shared" si="1"/>
        <v>60227277</v>
      </c>
      <c r="AA74" s="7">
        <v>0</v>
      </c>
      <c r="AC74" s="7">
        <v>0</v>
      </c>
      <c r="AE74" s="7">
        <v>0</v>
      </c>
      <c r="AG74" s="7">
        <v>0</v>
      </c>
      <c r="AI74" s="7">
        <v>0</v>
      </c>
      <c r="AK74" s="7">
        <f t="shared" si="2"/>
        <v>0</v>
      </c>
      <c r="AM74" s="7">
        <f t="shared" si="8"/>
        <v>60227277</v>
      </c>
      <c r="AP74" s="7" t="str">
        <f t="shared" si="3"/>
        <v>Brunswick City SD</v>
      </c>
      <c r="AQ74" s="7" t="str">
        <f>'Gen Fd BS'!A74</f>
        <v>Brunswick City SD</v>
      </c>
      <c r="AR74" s="7" t="b">
        <f t="shared" si="4"/>
        <v>1</v>
      </c>
      <c r="AT74" s="7" t="str">
        <f t="shared" si="5"/>
        <v>Medina</v>
      </c>
      <c r="AU74" s="7" t="b">
        <f>C74='Gen Fd BS'!C74</f>
        <v>1</v>
      </c>
    </row>
    <row r="75" spans="1:47" hidden="1">
      <c r="A75" s="12" t="s">
        <v>707</v>
      </c>
      <c r="B75" s="12"/>
      <c r="C75" s="12" t="s">
        <v>570</v>
      </c>
      <c r="D75" s="12"/>
      <c r="E75" s="12">
        <v>43679</v>
      </c>
      <c r="Y75" s="2">
        <f t="shared" si="1"/>
        <v>0</v>
      </c>
      <c r="AI75" s="7">
        <v>0</v>
      </c>
      <c r="AK75" s="7">
        <f t="shared" si="2"/>
        <v>0</v>
      </c>
      <c r="AM75" s="7">
        <f t="shared" si="8"/>
        <v>0</v>
      </c>
      <c r="AO75" s="7" t="s">
        <v>778</v>
      </c>
      <c r="AP75" s="7" t="str">
        <f t="shared" si="3"/>
        <v>Bryan City SD (CASH)</v>
      </c>
      <c r="AQ75" s="7" t="str">
        <f>'Gen Fd BS'!A75</f>
        <v>Bryan City SD (CASH)</v>
      </c>
      <c r="AR75" s="7" t="b">
        <f t="shared" si="4"/>
        <v>1</v>
      </c>
      <c r="AT75" s="7" t="str">
        <f t="shared" si="5"/>
        <v>Williams</v>
      </c>
      <c r="AU75" s="7" t="b">
        <f>C75='Gen Fd BS'!C75</f>
        <v>1</v>
      </c>
    </row>
    <row r="76" spans="1:47">
      <c r="A76" s="12" t="s">
        <v>262</v>
      </c>
      <c r="B76" s="12"/>
      <c r="C76" s="12" t="s">
        <v>111</v>
      </c>
      <c r="D76" s="12"/>
      <c r="E76" s="12">
        <v>46508</v>
      </c>
      <c r="F76" s="10"/>
      <c r="G76" s="7">
        <v>1742047</v>
      </c>
      <c r="I76" s="7">
        <v>1473363</v>
      </c>
      <c r="K76" s="7">
        <f>4508029+38838</f>
        <v>4546867</v>
      </c>
      <c r="M76" s="7">
        <v>10476</v>
      </c>
      <c r="O76" s="7">
        <v>208711</v>
      </c>
      <c r="Q76" s="7">
        <v>11005</v>
      </c>
      <c r="S76" s="7">
        <v>0</v>
      </c>
      <c r="U76" s="7">
        <v>300</v>
      </c>
      <c r="W76" s="7">
        <f>48341+175+12361</f>
        <v>60877</v>
      </c>
      <c r="Y76" s="2">
        <f t="shared" si="1"/>
        <v>8053646</v>
      </c>
      <c r="AA76" s="7">
        <v>0</v>
      </c>
      <c r="AC76" s="7">
        <v>0</v>
      </c>
      <c r="AE76" s="7">
        <v>0</v>
      </c>
      <c r="AG76" s="7">
        <v>0</v>
      </c>
      <c r="AI76" s="7">
        <v>0</v>
      </c>
      <c r="AK76" s="7">
        <f t="shared" si="2"/>
        <v>0</v>
      </c>
      <c r="AM76" s="7">
        <f t="shared" ref="AM76:AM107" si="13">+AK76+Y76</f>
        <v>8053646</v>
      </c>
      <c r="AP76" s="7" t="str">
        <f t="shared" si="3"/>
        <v>Buckeye Central Local SD</v>
      </c>
      <c r="AQ76" s="7" t="str">
        <f>'Gen Fd BS'!A76</f>
        <v>Buckeye Central Local SD</v>
      </c>
      <c r="AR76" s="7" t="b">
        <f t="shared" si="4"/>
        <v>1</v>
      </c>
      <c r="AT76" s="7" t="str">
        <f t="shared" ref="AT76:AT139" si="14">C76</f>
        <v>Crawford</v>
      </c>
      <c r="AU76" s="7" t="b">
        <f>C76='Gen Fd BS'!C76</f>
        <v>1</v>
      </c>
    </row>
    <row r="77" spans="1:47">
      <c r="A77" s="12" t="s">
        <v>207</v>
      </c>
      <c r="B77" s="12"/>
      <c r="C77" s="12" t="s">
        <v>12</v>
      </c>
      <c r="D77" s="12"/>
      <c r="E77" s="12">
        <v>45856</v>
      </c>
      <c r="F77" s="10"/>
      <c r="G77" s="7">
        <v>6300531</v>
      </c>
      <c r="I77" s="7">
        <v>0</v>
      </c>
      <c r="K77" s="7">
        <v>9817097</v>
      </c>
      <c r="M77" s="7">
        <v>37958</v>
      </c>
      <c r="O77" s="7">
        <v>1521855</v>
      </c>
      <c r="Q77" s="7">
        <v>0</v>
      </c>
      <c r="S77" s="7">
        <v>0</v>
      </c>
      <c r="U77" s="7">
        <v>1350</v>
      </c>
      <c r="W77" s="7">
        <f>15134+3681</f>
        <v>18815</v>
      </c>
      <c r="Y77" s="2">
        <f t="shared" si="1"/>
        <v>17697606</v>
      </c>
      <c r="AA77" s="7">
        <v>0</v>
      </c>
      <c r="AC77" s="7">
        <v>0</v>
      </c>
      <c r="AE77" s="7">
        <v>0</v>
      </c>
      <c r="AG77" s="7">
        <v>13775</v>
      </c>
      <c r="AI77" s="7">
        <v>0</v>
      </c>
      <c r="AK77" s="7">
        <f t="shared" si="2"/>
        <v>13775</v>
      </c>
      <c r="AM77" s="7">
        <f t="shared" si="13"/>
        <v>17711381</v>
      </c>
      <c r="AP77" s="7" t="str">
        <f t="shared" ref="AP77:AP140" si="15">A77</f>
        <v>Buckeye Local SD</v>
      </c>
      <c r="AQ77" s="7" t="str">
        <f>'Gen Fd BS'!A77</f>
        <v>Buckeye Local SD</v>
      </c>
      <c r="AR77" s="7" t="b">
        <f t="shared" ref="AR77:AR140" si="16">AP77=AQ77</f>
        <v>1</v>
      </c>
      <c r="AT77" s="7" t="str">
        <f t="shared" si="14"/>
        <v>Ashtabula</v>
      </c>
      <c r="AU77" s="7" t="b">
        <f>C77='Gen Fd BS'!C77</f>
        <v>1</v>
      </c>
    </row>
    <row r="78" spans="1:47">
      <c r="A78" s="12" t="s">
        <v>207</v>
      </c>
      <c r="B78" s="12"/>
      <c r="C78" s="12" t="s">
        <v>39</v>
      </c>
      <c r="D78" s="12"/>
      <c r="E78" s="12">
        <v>47787</v>
      </c>
      <c r="G78" s="7">
        <v>6409516</v>
      </c>
      <c r="I78" s="7">
        <v>0</v>
      </c>
      <c r="K78" s="7">
        <v>10537454</v>
      </c>
      <c r="M78" s="7">
        <v>3077</v>
      </c>
      <c r="O78" s="7">
        <v>506026</v>
      </c>
      <c r="Q78" s="7">
        <v>22558</v>
      </c>
      <c r="S78" s="7">
        <v>0</v>
      </c>
      <c r="U78" s="7">
        <v>29447</v>
      </c>
      <c r="W78" s="7">
        <v>52575</v>
      </c>
      <c r="Y78" s="2">
        <f t="shared" si="1"/>
        <v>17560653</v>
      </c>
      <c r="AA78" s="7">
        <v>0</v>
      </c>
      <c r="AC78" s="7">
        <v>0</v>
      </c>
      <c r="AE78" s="7">
        <v>0</v>
      </c>
      <c r="AG78" s="7">
        <v>0</v>
      </c>
      <c r="AI78" s="7">
        <v>0</v>
      </c>
      <c r="AK78" s="7">
        <f t="shared" si="2"/>
        <v>0</v>
      </c>
      <c r="AM78" s="7">
        <f t="shared" si="13"/>
        <v>17560653</v>
      </c>
      <c r="AP78" s="7" t="str">
        <f t="shared" si="15"/>
        <v>Buckeye Local SD</v>
      </c>
      <c r="AQ78" s="7" t="str">
        <f>'Gen Fd BS'!A78</f>
        <v>Buckeye Local SD</v>
      </c>
      <c r="AR78" s="7" t="b">
        <f t="shared" si="16"/>
        <v>1</v>
      </c>
      <c r="AT78" s="7" t="str">
        <f t="shared" si="14"/>
        <v>Jefferson</v>
      </c>
      <c r="AU78" s="7" t="b">
        <f>C78='Gen Fd BS'!C78</f>
        <v>1</v>
      </c>
    </row>
    <row r="79" spans="1:47">
      <c r="A79" s="12" t="s">
        <v>708</v>
      </c>
      <c r="B79" s="12"/>
      <c r="C79" s="12" t="s">
        <v>47</v>
      </c>
      <c r="D79" s="12"/>
      <c r="E79" s="12">
        <v>48470</v>
      </c>
      <c r="G79" s="7">
        <v>7719914</v>
      </c>
      <c r="I79" s="7">
        <v>0</v>
      </c>
      <c r="K79" s="7">
        <v>8892848</v>
      </c>
      <c r="M79" s="7">
        <v>6835</v>
      </c>
      <c r="O79" s="7">
        <v>61014</v>
      </c>
      <c r="Q79" s="7">
        <v>5422</v>
      </c>
      <c r="S79" s="7">
        <v>0</v>
      </c>
      <c r="U79" s="7">
        <v>0</v>
      </c>
      <c r="W79" s="7">
        <f>5318+45261</f>
        <v>50579</v>
      </c>
      <c r="Y79" s="2">
        <f>SUM(G79:X79)</f>
        <v>16736612</v>
      </c>
      <c r="AA79" s="7">
        <v>600</v>
      </c>
      <c r="AC79" s="7">
        <v>0</v>
      </c>
      <c r="AE79" s="7">
        <v>0</v>
      </c>
      <c r="AG79" s="7">
        <v>13470</v>
      </c>
      <c r="AI79" s="7">
        <v>0</v>
      </c>
      <c r="AK79" s="7">
        <f>SUM(AA79:AJ79)</f>
        <v>14070</v>
      </c>
      <c r="AM79" s="7">
        <f t="shared" si="13"/>
        <v>16750682</v>
      </c>
      <c r="AP79" s="7" t="str">
        <f t="shared" si="15"/>
        <v xml:space="preserve">Buckeye Local SD </v>
      </c>
      <c r="AQ79" s="7" t="str">
        <f>'Gen Fd BS'!A79</f>
        <v xml:space="preserve">Buckeye Local SD </v>
      </c>
      <c r="AR79" s="7" t="b">
        <f t="shared" si="16"/>
        <v>1</v>
      </c>
      <c r="AT79" s="7" t="str">
        <f t="shared" si="14"/>
        <v>Medina</v>
      </c>
      <c r="AU79" s="7" t="b">
        <f>C79='Gen Fd BS'!C79</f>
        <v>1</v>
      </c>
    </row>
    <row r="80" spans="1:47" hidden="1">
      <c r="A80" s="54" t="s">
        <v>908</v>
      </c>
      <c r="B80" s="12"/>
      <c r="C80" s="12" t="s">
        <v>112</v>
      </c>
      <c r="D80" s="12"/>
      <c r="E80" s="12">
        <v>46755</v>
      </c>
      <c r="Y80" s="2">
        <f>SUM(G80:X80)</f>
        <v>0</v>
      </c>
      <c r="AI80" s="7">
        <v>0</v>
      </c>
      <c r="AK80" s="7">
        <f>SUM(AA80:AJ80)</f>
        <v>0</v>
      </c>
      <c r="AM80" s="7">
        <f t="shared" si="13"/>
        <v>0</v>
      </c>
      <c r="AO80" s="7" t="s">
        <v>907</v>
      </c>
      <c r="AP80" s="7" t="str">
        <f t="shared" si="15"/>
        <v>Buckeye Online School for Success (now Community School)</v>
      </c>
      <c r="AQ80" s="7" t="str">
        <f>'Gen Fd BS'!A80</f>
        <v>Buckeye Online School for Success (now Community School)</v>
      </c>
      <c r="AR80" s="7" t="b">
        <f t="shared" si="16"/>
        <v>1</v>
      </c>
      <c r="AT80" s="7" t="str">
        <f t="shared" si="14"/>
        <v>Columbiana</v>
      </c>
      <c r="AU80" s="7" t="b">
        <f>C80='Gen Fd BS'!C80</f>
        <v>1</v>
      </c>
    </row>
    <row r="81" spans="1:47">
      <c r="A81" s="12" t="s">
        <v>665</v>
      </c>
      <c r="B81" s="12"/>
      <c r="C81" s="12" t="s">
        <v>23</v>
      </c>
      <c r="D81" s="12"/>
      <c r="E81" s="12">
        <v>46755</v>
      </c>
      <c r="G81" s="7">
        <v>9268215</v>
      </c>
      <c r="I81" s="7">
        <v>4658303</v>
      </c>
      <c r="K81" s="7">
        <f>6301182+37742</f>
        <v>6338924</v>
      </c>
      <c r="M81" s="7">
        <v>8842</v>
      </c>
      <c r="O81" s="7">
        <v>948595</v>
      </c>
      <c r="Q81" s="7">
        <v>55584</v>
      </c>
      <c r="S81" s="7">
        <v>0</v>
      </c>
      <c r="U81" s="7">
        <v>6915</v>
      </c>
      <c r="W81" s="7">
        <f>69472+1175+7499+95194</f>
        <v>173340</v>
      </c>
      <c r="Y81" s="2">
        <f>SUM(G81:X81)</f>
        <v>21458718</v>
      </c>
      <c r="AA81" s="7">
        <v>1290019</v>
      </c>
      <c r="AC81" s="7">
        <v>0</v>
      </c>
      <c r="AE81" s="7">
        <v>0</v>
      </c>
      <c r="AG81" s="7">
        <v>0</v>
      </c>
      <c r="AI81" s="7">
        <v>0</v>
      </c>
      <c r="AK81" s="7">
        <f>SUM(AA81:AJ81)</f>
        <v>1290019</v>
      </c>
      <c r="AM81" s="7">
        <f t="shared" si="13"/>
        <v>22748737</v>
      </c>
      <c r="AP81" s="7" t="str">
        <f t="shared" si="15"/>
        <v xml:space="preserve">Buckeye Valley Local SD </v>
      </c>
      <c r="AQ81" s="7" t="str">
        <f>'Gen Fd BS'!A81</f>
        <v xml:space="preserve">Buckeye Valley Local SD </v>
      </c>
      <c r="AR81" s="7" t="b">
        <f t="shared" si="16"/>
        <v>1</v>
      </c>
      <c r="AT81" s="7" t="str">
        <f t="shared" si="14"/>
        <v>Delaware</v>
      </c>
      <c r="AU81" s="7" t="b">
        <f>C81='Gen Fd BS'!C81</f>
        <v>1</v>
      </c>
    </row>
    <row r="82" spans="1:47">
      <c r="A82" s="12" t="s">
        <v>263</v>
      </c>
      <c r="B82" s="12"/>
      <c r="C82" s="12" t="s">
        <v>111</v>
      </c>
      <c r="D82" s="12"/>
      <c r="E82" s="12">
        <v>43687</v>
      </c>
      <c r="F82" s="10"/>
      <c r="G82" s="7">
        <v>3908859</v>
      </c>
      <c r="I82" s="7">
        <v>0</v>
      </c>
      <c r="K82" s="7">
        <v>9330159</v>
      </c>
      <c r="M82" s="7">
        <v>35018</v>
      </c>
      <c r="O82" s="7">
        <v>704355</v>
      </c>
      <c r="Q82" s="7">
        <v>0</v>
      </c>
      <c r="S82" s="7">
        <v>46689</v>
      </c>
      <c r="U82" s="7">
        <v>4178</v>
      </c>
      <c r="W82" s="7">
        <v>309943</v>
      </c>
      <c r="Y82" s="2">
        <f>SUM(G82:X82)</f>
        <v>14339201</v>
      </c>
      <c r="AA82" s="7">
        <v>0</v>
      </c>
      <c r="AC82" s="7">
        <v>0</v>
      </c>
      <c r="AE82" s="7">
        <v>0</v>
      </c>
      <c r="AG82" s="7">
        <v>1000</v>
      </c>
      <c r="AI82" s="7">
        <v>0</v>
      </c>
      <c r="AK82" s="7">
        <f>SUM(AA82:AJ82)</f>
        <v>1000</v>
      </c>
      <c r="AM82" s="7">
        <f t="shared" si="13"/>
        <v>14340201</v>
      </c>
      <c r="AP82" s="7" t="str">
        <f t="shared" si="15"/>
        <v>Bucyrus City SD</v>
      </c>
      <c r="AQ82" s="7" t="str">
        <f>'Gen Fd BS'!A82</f>
        <v>Bucyrus City SD</v>
      </c>
      <c r="AR82" s="7" t="b">
        <f t="shared" si="16"/>
        <v>1</v>
      </c>
      <c r="AT82" s="7" t="str">
        <f t="shared" si="14"/>
        <v>Crawford</v>
      </c>
      <c r="AU82" s="7" t="b">
        <f>C82='Gen Fd BS'!C82</f>
        <v>1</v>
      </c>
    </row>
    <row r="83" spans="1:47">
      <c r="A83" s="12" t="s">
        <v>861</v>
      </c>
      <c r="B83" s="12"/>
      <c r="C83" s="12" t="s">
        <v>52</v>
      </c>
      <c r="D83" s="12"/>
      <c r="E83" s="12">
        <v>45252</v>
      </c>
      <c r="G83" s="7">
        <v>2412291</v>
      </c>
      <c r="I83" s="7">
        <v>0</v>
      </c>
      <c r="K83" s="7">
        <v>4331667</v>
      </c>
      <c r="M83" s="7">
        <v>6557</v>
      </c>
      <c r="O83" s="7">
        <v>312202</v>
      </c>
      <c r="Q83" s="7">
        <v>43642</v>
      </c>
      <c r="S83" s="7">
        <v>0</v>
      </c>
      <c r="U83" s="7">
        <v>2160</v>
      </c>
      <c r="W83" s="7">
        <v>29281</v>
      </c>
      <c r="Y83" s="2">
        <f t="shared" ref="Y83" si="17">SUM(G83:X83)</f>
        <v>7137800</v>
      </c>
      <c r="AA83" s="7">
        <v>0</v>
      </c>
      <c r="AC83" s="7">
        <v>0</v>
      </c>
      <c r="AE83" s="7">
        <v>0</v>
      </c>
      <c r="AG83" s="7">
        <v>0</v>
      </c>
      <c r="AI83" s="7">
        <v>0</v>
      </c>
      <c r="AK83" s="7">
        <f t="shared" ref="AK83:AK99" si="18">SUM(AA83:AJ83)</f>
        <v>0</v>
      </c>
      <c r="AM83" s="7">
        <f t="shared" si="13"/>
        <v>7137800</v>
      </c>
      <c r="AP83" s="7" t="str">
        <f t="shared" si="15"/>
        <v>Caldwell Exempted Village SD</v>
      </c>
      <c r="AQ83" s="7" t="str">
        <f>'Gen Fd BS'!A83</f>
        <v>Caldwell Exempted Village SD</v>
      </c>
      <c r="AR83" s="7" t="b">
        <f t="shared" si="16"/>
        <v>1</v>
      </c>
      <c r="AT83" s="7" t="str">
        <f t="shared" si="14"/>
        <v>Noble</v>
      </c>
      <c r="AU83" s="7" t="b">
        <f>C83='Gen Fd BS'!C83</f>
        <v>1</v>
      </c>
    </row>
    <row r="84" spans="1:47">
      <c r="A84" s="12" t="s">
        <v>327</v>
      </c>
      <c r="B84" s="12"/>
      <c r="C84" s="12" t="s">
        <v>31</v>
      </c>
      <c r="D84" s="12"/>
      <c r="E84" s="12">
        <v>43695</v>
      </c>
      <c r="G84" s="7">
        <v>5772781</v>
      </c>
      <c r="I84" s="7">
        <v>0</v>
      </c>
      <c r="K84" s="7">
        <v>13323101</v>
      </c>
      <c r="M84" s="7">
        <v>19311</v>
      </c>
      <c r="O84" s="7">
        <v>728438</v>
      </c>
      <c r="Q84" s="7">
        <v>40745</v>
      </c>
      <c r="S84" s="7">
        <v>0</v>
      </c>
      <c r="U84" s="7">
        <v>8980</v>
      </c>
      <c r="W84" s="7">
        <f>204359+6385</f>
        <v>210744</v>
      </c>
      <c r="Y84" s="2">
        <f t="shared" ref="Y84:Y99" si="19">SUM(G84:X84)</f>
        <v>20104100</v>
      </c>
      <c r="AA84" s="7">
        <v>0</v>
      </c>
      <c r="AC84" s="7">
        <v>0</v>
      </c>
      <c r="AE84" s="7">
        <v>0</v>
      </c>
      <c r="AG84" s="7">
        <v>0</v>
      </c>
      <c r="AI84" s="7">
        <v>0</v>
      </c>
      <c r="AK84" s="7">
        <f>SUM(AA84:AJ84)</f>
        <v>0</v>
      </c>
      <c r="AM84" s="7">
        <f t="shared" si="13"/>
        <v>20104100</v>
      </c>
      <c r="AP84" s="7" t="str">
        <f t="shared" si="15"/>
        <v>Cambridge City SD</v>
      </c>
      <c r="AQ84" s="7" t="str">
        <f>'Gen Fd BS'!A84</f>
        <v>Cambridge City SD</v>
      </c>
      <c r="AR84" s="7" t="b">
        <f t="shared" si="16"/>
        <v>1</v>
      </c>
      <c r="AT84" s="7" t="str">
        <f t="shared" si="14"/>
        <v>Guernsey</v>
      </c>
      <c r="AU84" s="7" t="b">
        <f>C84='Gen Fd BS'!C84</f>
        <v>1</v>
      </c>
    </row>
    <row r="85" spans="1:47">
      <c r="A85" s="12" t="s">
        <v>677</v>
      </c>
      <c r="B85" s="12"/>
      <c r="C85" s="12" t="s">
        <v>45</v>
      </c>
      <c r="D85" s="12"/>
      <c r="E85" s="12">
        <v>43703</v>
      </c>
      <c r="G85" s="7">
        <v>1932014</v>
      </c>
      <c r="I85" s="7">
        <v>0</v>
      </c>
      <c r="K85" s="7">
        <v>9988265</v>
      </c>
      <c r="M85" s="7">
        <v>1973</v>
      </c>
      <c r="O85" s="7">
        <v>31940</v>
      </c>
      <c r="Q85" s="7">
        <v>52570</v>
      </c>
      <c r="S85" s="7">
        <v>0</v>
      </c>
      <c r="U85" s="7">
        <v>2460</v>
      </c>
      <c r="W85" s="7">
        <v>84220</v>
      </c>
      <c r="Y85" s="2">
        <f t="shared" si="19"/>
        <v>12093442</v>
      </c>
      <c r="AA85" s="7">
        <v>0</v>
      </c>
      <c r="AC85" s="7">
        <v>0</v>
      </c>
      <c r="AE85" s="7">
        <v>0</v>
      </c>
      <c r="AG85" s="7">
        <v>0</v>
      </c>
      <c r="AI85" s="7">
        <v>0</v>
      </c>
      <c r="AK85" s="7">
        <f t="shared" si="18"/>
        <v>0</v>
      </c>
      <c r="AM85" s="7">
        <f t="shared" si="13"/>
        <v>12093442</v>
      </c>
      <c r="AP85" s="7" t="str">
        <f t="shared" si="15"/>
        <v xml:space="preserve">Campbell City SD </v>
      </c>
      <c r="AQ85" s="7" t="str">
        <f>'Gen Fd BS'!A85</f>
        <v xml:space="preserve">Campbell City SD </v>
      </c>
      <c r="AR85" s="7" t="b">
        <f t="shared" si="16"/>
        <v>1</v>
      </c>
      <c r="AT85" s="7" t="str">
        <f t="shared" si="14"/>
        <v>Mahoning</v>
      </c>
      <c r="AU85" s="7" t="b">
        <f>C85='Gen Fd BS'!C85</f>
        <v>1</v>
      </c>
    </row>
    <row r="86" spans="1:47">
      <c r="A86" s="12" t="s">
        <v>306</v>
      </c>
      <c r="B86" s="12"/>
      <c r="C86" s="12" t="s">
        <v>27</v>
      </c>
      <c r="D86" s="12"/>
      <c r="E86" s="12">
        <v>46946</v>
      </c>
      <c r="G86" s="7">
        <v>15295070</v>
      </c>
      <c r="I86" s="7">
        <v>3232606</v>
      </c>
      <c r="K86" s="7">
        <f>15165424+82849</f>
        <v>15248273</v>
      </c>
      <c r="M86" s="7">
        <v>27069</v>
      </c>
      <c r="O86" s="7">
        <v>146122</v>
      </c>
      <c r="Q86" s="7">
        <v>299666</v>
      </c>
      <c r="S86" s="7">
        <v>454264</v>
      </c>
      <c r="U86" s="7">
        <v>1265</v>
      </c>
      <c r="W86" s="7">
        <f>91533+67623+167652+85064</f>
        <v>411872</v>
      </c>
      <c r="Y86" s="2">
        <f t="shared" si="19"/>
        <v>35116207</v>
      </c>
      <c r="AA86" s="7">
        <v>0</v>
      </c>
      <c r="AC86" s="7">
        <v>0</v>
      </c>
      <c r="AE86" s="7">
        <v>0</v>
      </c>
      <c r="AG86" s="7">
        <f>33190+91000</f>
        <v>124190</v>
      </c>
      <c r="AI86" s="7">
        <v>0</v>
      </c>
      <c r="AK86" s="7">
        <f t="shared" si="18"/>
        <v>124190</v>
      </c>
      <c r="AM86" s="7">
        <f t="shared" si="13"/>
        <v>35240397</v>
      </c>
      <c r="AP86" s="7" t="str">
        <f t="shared" si="15"/>
        <v>Canal Winchester Local SD</v>
      </c>
      <c r="AQ86" s="7" t="str">
        <f>'Gen Fd BS'!A86</f>
        <v>Canal Winchester Local SD</v>
      </c>
      <c r="AR86" s="7" t="b">
        <f t="shared" si="16"/>
        <v>1</v>
      </c>
      <c r="AT86" s="7" t="str">
        <f t="shared" si="14"/>
        <v>Franklin</v>
      </c>
      <c r="AU86" s="7" t="b">
        <f>C86='Gen Fd BS'!C86</f>
        <v>1</v>
      </c>
    </row>
    <row r="87" spans="1:47">
      <c r="A87" s="12" t="s">
        <v>416</v>
      </c>
      <c r="B87" s="12"/>
      <c r="C87" s="12" t="s">
        <v>45</v>
      </c>
      <c r="D87" s="12"/>
      <c r="E87" s="12">
        <v>48314</v>
      </c>
      <c r="G87" s="7">
        <v>14274302</v>
      </c>
      <c r="I87" s="7">
        <v>0</v>
      </c>
      <c r="K87" s="7">
        <v>8895878</v>
      </c>
      <c r="M87" s="7">
        <v>32330</v>
      </c>
      <c r="O87" s="7">
        <v>114029</v>
      </c>
      <c r="Q87" s="7">
        <v>0</v>
      </c>
      <c r="S87" s="7">
        <v>0</v>
      </c>
      <c r="U87" s="7">
        <v>57093</v>
      </c>
      <c r="W87" s="7">
        <f>12499+32314</f>
        <v>44813</v>
      </c>
      <c r="Y87" s="2">
        <f t="shared" si="19"/>
        <v>23418445</v>
      </c>
      <c r="AA87" s="7">
        <v>0</v>
      </c>
      <c r="AC87" s="7">
        <v>0</v>
      </c>
      <c r="AE87" s="7">
        <v>0</v>
      </c>
      <c r="AG87" s="7">
        <v>0</v>
      </c>
      <c r="AI87" s="7">
        <v>0</v>
      </c>
      <c r="AK87" s="7">
        <f t="shared" si="18"/>
        <v>0</v>
      </c>
      <c r="AM87" s="7">
        <f t="shared" si="13"/>
        <v>23418445</v>
      </c>
      <c r="AP87" s="7" t="str">
        <f t="shared" si="15"/>
        <v>Canfield Local SD</v>
      </c>
      <c r="AQ87" s="7" t="str">
        <f>'Gen Fd BS'!A87</f>
        <v>Canfield Local SD</v>
      </c>
      <c r="AR87" s="7" t="b">
        <f t="shared" si="16"/>
        <v>1</v>
      </c>
      <c r="AT87" s="7" t="str">
        <f t="shared" si="14"/>
        <v>Mahoning</v>
      </c>
      <c r="AU87" s="7" t="b">
        <f>C87='Gen Fd BS'!C87</f>
        <v>1</v>
      </c>
    </row>
    <row r="88" spans="1:47">
      <c r="A88" s="12" t="s">
        <v>509</v>
      </c>
      <c r="B88" s="12"/>
      <c r="C88" s="12" t="s">
        <v>62</v>
      </c>
      <c r="D88" s="12"/>
      <c r="E88" s="12">
        <v>49833</v>
      </c>
      <c r="G88" s="7">
        <v>8068446</v>
      </c>
      <c r="I88" s="7">
        <v>0</v>
      </c>
      <c r="K88" s="7">
        <f>12318287+39018</f>
        <v>12357305</v>
      </c>
      <c r="M88" s="7">
        <v>1139</v>
      </c>
      <c r="O88" s="7">
        <v>1492961</v>
      </c>
      <c r="Q88" s="7">
        <v>26847</v>
      </c>
      <c r="S88" s="7">
        <v>0</v>
      </c>
      <c r="U88" s="7">
        <v>0</v>
      </c>
      <c r="W88" s="7">
        <f>315318+79014+89785+358565</f>
        <v>842682</v>
      </c>
      <c r="Y88" s="2">
        <f>SUM(G88:X88)</f>
        <v>22789380</v>
      </c>
      <c r="AA88" s="7">
        <v>0</v>
      </c>
      <c r="AC88" s="7">
        <v>0</v>
      </c>
      <c r="AE88" s="7">
        <v>0</v>
      </c>
      <c r="AG88" s="7">
        <v>28836</v>
      </c>
      <c r="AI88" s="7">
        <v>0</v>
      </c>
      <c r="AK88" s="7">
        <f>SUM(AA88:AJ88)</f>
        <v>28836</v>
      </c>
      <c r="AM88" s="7">
        <f>+AK88+Y88</f>
        <v>22818216</v>
      </c>
      <c r="AP88" s="7" t="str">
        <f>A88</f>
        <v>Canton City SD</v>
      </c>
      <c r="AQ88" s="7" t="str">
        <f>'Gen Fd BS'!A88</f>
        <v>Canton City SD</v>
      </c>
      <c r="AR88" s="7" t="b">
        <f>AP88=AQ88</f>
        <v>1</v>
      </c>
      <c r="AT88" s="7" t="str">
        <f>C88</f>
        <v>Stark</v>
      </c>
      <c r="AU88" s="7" t="b">
        <f>C88='Gen Fd BS'!C88</f>
        <v>1</v>
      </c>
    </row>
    <row r="89" spans="1:47">
      <c r="A89" s="12" t="s">
        <v>510</v>
      </c>
      <c r="B89" s="12"/>
      <c r="C89" s="12" t="s">
        <v>62</v>
      </c>
      <c r="D89" s="12"/>
      <c r="E89" s="12">
        <v>43711</v>
      </c>
      <c r="G89" s="7">
        <v>23238000</v>
      </c>
      <c r="I89" s="7">
        <v>0</v>
      </c>
      <c r="K89" s="7">
        <f>75705000+486000</f>
        <v>76191000</v>
      </c>
      <c r="M89" s="7">
        <v>496000</v>
      </c>
      <c r="O89" s="7">
        <v>1503000</v>
      </c>
      <c r="Q89" s="7">
        <v>223000</v>
      </c>
      <c r="S89" s="7">
        <v>0</v>
      </c>
      <c r="U89" s="7">
        <v>0</v>
      </c>
      <c r="W89" s="7">
        <f>2001000+91000</f>
        <v>2092000</v>
      </c>
      <c r="Y89" s="2">
        <f t="shared" si="19"/>
        <v>103743000</v>
      </c>
      <c r="AA89" s="7">
        <v>0</v>
      </c>
      <c r="AC89" s="7">
        <v>0</v>
      </c>
      <c r="AE89" s="7">
        <v>0</v>
      </c>
      <c r="AG89" s="7">
        <v>0</v>
      </c>
      <c r="AI89" s="7">
        <v>0</v>
      </c>
      <c r="AK89" s="7">
        <f t="shared" si="18"/>
        <v>0</v>
      </c>
      <c r="AM89" s="7">
        <f t="shared" si="13"/>
        <v>103743000</v>
      </c>
      <c r="AP89" s="7" t="str">
        <f t="shared" si="15"/>
        <v>Canton Local SD</v>
      </c>
      <c r="AQ89" s="7" t="str">
        <f>'Gen Fd BS'!A89</f>
        <v>Canton Local SD</v>
      </c>
      <c r="AR89" s="7" t="b">
        <f t="shared" si="16"/>
        <v>1</v>
      </c>
      <c r="AT89" s="7" t="str">
        <f t="shared" si="14"/>
        <v>Stark</v>
      </c>
      <c r="AU89" s="7" t="b">
        <f>C89='Gen Fd BS'!C89</f>
        <v>1</v>
      </c>
    </row>
    <row r="90" spans="1:47">
      <c r="A90" s="12" t="s">
        <v>678</v>
      </c>
      <c r="B90" s="12"/>
      <c r="C90" s="12" t="s">
        <v>30</v>
      </c>
      <c r="D90" s="12"/>
      <c r="E90" s="12">
        <v>47175</v>
      </c>
      <c r="G90" s="7">
        <v>6515707</v>
      </c>
      <c r="I90" s="7">
        <v>0</v>
      </c>
      <c r="K90" s="7">
        <v>5663126</v>
      </c>
      <c r="M90" s="7">
        <v>66339</v>
      </c>
      <c r="O90" s="7">
        <v>568096</v>
      </c>
      <c r="Q90" s="7">
        <v>217825</v>
      </c>
      <c r="S90" s="7">
        <v>0</v>
      </c>
      <c r="U90" s="7">
        <v>26721</v>
      </c>
      <c r="W90" s="7">
        <f>76984+105296</f>
        <v>182280</v>
      </c>
      <c r="Y90" s="2">
        <f t="shared" si="19"/>
        <v>13240094</v>
      </c>
      <c r="AA90" s="7">
        <v>0</v>
      </c>
      <c r="AC90" s="7">
        <v>0</v>
      </c>
      <c r="AE90" s="7">
        <v>0</v>
      </c>
      <c r="AG90" s="7">
        <v>0</v>
      </c>
      <c r="AI90" s="7">
        <v>0</v>
      </c>
      <c r="AK90" s="7">
        <f t="shared" si="18"/>
        <v>0</v>
      </c>
      <c r="AM90" s="7">
        <f t="shared" si="13"/>
        <v>13240094</v>
      </c>
      <c r="AP90" s="7" t="str">
        <f t="shared" si="15"/>
        <v xml:space="preserve">Cardinal Local SD </v>
      </c>
      <c r="AQ90" s="7" t="str">
        <f>'Gen Fd BS'!A90</f>
        <v xml:space="preserve">Cardinal Local SD </v>
      </c>
      <c r="AR90" s="7" t="b">
        <f t="shared" si="16"/>
        <v>1</v>
      </c>
      <c r="AT90" s="7" t="str">
        <f t="shared" si="14"/>
        <v>Geauga</v>
      </c>
      <c r="AU90" s="7" t="b">
        <f>C90='Gen Fd BS'!C90</f>
        <v>1</v>
      </c>
    </row>
    <row r="91" spans="1:47" hidden="1">
      <c r="A91" s="12" t="s">
        <v>454</v>
      </c>
      <c r="B91" s="12"/>
      <c r="C91" s="12" t="s">
        <v>78</v>
      </c>
      <c r="D91" s="12"/>
      <c r="E91" s="12">
        <v>48793</v>
      </c>
      <c r="Y91" s="2">
        <f t="shared" si="19"/>
        <v>0</v>
      </c>
      <c r="AI91" s="7">
        <v>0</v>
      </c>
      <c r="AK91" s="7">
        <f t="shared" si="18"/>
        <v>0</v>
      </c>
      <c r="AM91" s="7">
        <f t="shared" si="13"/>
        <v>0</v>
      </c>
      <c r="AO91" s="7" t="s">
        <v>981</v>
      </c>
      <c r="AP91" s="7" t="str">
        <f t="shared" si="15"/>
        <v>Cardington-Lincoln Local SD</v>
      </c>
      <c r="AQ91" s="7" t="str">
        <f>'Gen Fd BS'!A91</f>
        <v>Cardington-Lincoln Local SD</v>
      </c>
      <c r="AR91" s="7" t="b">
        <f t="shared" si="16"/>
        <v>1</v>
      </c>
      <c r="AT91" s="7" t="str">
        <f t="shared" si="14"/>
        <v>Morrow</v>
      </c>
      <c r="AU91" s="7" t="b">
        <f>C91='Gen Fd BS'!C91</f>
        <v>1</v>
      </c>
    </row>
    <row r="92" spans="1:47" hidden="1">
      <c r="A92" s="12" t="s">
        <v>644</v>
      </c>
      <c r="B92" s="12"/>
      <c r="C92" s="12" t="s">
        <v>577</v>
      </c>
      <c r="D92" s="12"/>
      <c r="E92" s="12">
        <v>45260</v>
      </c>
      <c r="Y92" s="2">
        <f t="shared" si="19"/>
        <v>0</v>
      </c>
      <c r="AI92" s="7">
        <v>0</v>
      </c>
      <c r="AK92" s="7">
        <f t="shared" si="18"/>
        <v>0</v>
      </c>
      <c r="AM92" s="7">
        <f t="shared" si="13"/>
        <v>0</v>
      </c>
      <c r="AO92" s="7" t="s">
        <v>778</v>
      </c>
      <c r="AP92" s="7" t="str">
        <f t="shared" si="15"/>
        <v>Carey Ex Vill SD (CASH)</v>
      </c>
      <c r="AQ92" s="7" t="str">
        <f>'Gen Fd BS'!A92</f>
        <v>Carey Ex Vill SD (CASH)</v>
      </c>
      <c r="AR92" s="7" t="b">
        <f t="shared" si="16"/>
        <v>1</v>
      </c>
      <c r="AT92" s="7" t="str">
        <f t="shared" si="14"/>
        <v>Wyandot</v>
      </c>
      <c r="AU92" s="7" t="b">
        <f>C92='Gen Fd BS'!C92</f>
        <v>1</v>
      </c>
    </row>
    <row r="93" spans="1:47" s="32" customFormat="1">
      <c r="A93" s="31" t="s">
        <v>560</v>
      </c>
      <c r="B93" s="31"/>
      <c r="C93" s="31" t="s">
        <v>69</v>
      </c>
      <c r="D93" s="31"/>
      <c r="E93" s="31">
        <v>50419</v>
      </c>
      <c r="G93" s="32">
        <v>4241642</v>
      </c>
      <c r="I93" s="32">
        <v>1774167</v>
      </c>
      <c r="K93" s="32">
        <v>8232514</v>
      </c>
      <c r="M93" s="32">
        <v>6731</v>
      </c>
      <c r="O93" s="32">
        <v>149561</v>
      </c>
      <c r="Q93" s="32">
        <v>13710</v>
      </c>
      <c r="S93" s="32">
        <v>0</v>
      </c>
      <c r="U93" s="32">
        <v>0</v>
      </c>
      <c r="W93" s="32">
        <f>195247+6650</f>
        <v>201897</v>
      </c>
      <c r="Y93" s="34">
        <f t="shared" si="19"/>
        <v>14620222</v>
      </c>
      <c r="AA93" s="32">
        <v>0</v>
      </c>
      <c r="AC93" s="32">
        <v>0</v>
      </c>
      <c r="AE93" s="32">
        <v>0</v>
      </c>
      <c r="AG93" s="32">
        <v>0</v>
      </c>
      <c r="AI93" s="32">
        <v>0</v>
      </c>
      <c r="AK93" s="32">
        <f t="shared" si="18"/>
        <v>0</v>
      </c>
      <c r="AM93" s="32">
        <f t="shared" si="13"/>
        <v>14620222</v>
      </c>
      <c r="AP93" s="32" t="str">
        <f t="shared" si="15"/>
        <v>Carlisle Local SD</v>
      </c>
      <c r="AQ93" s="32" t="str">
        <f>'Gen Fd BS'!A93</f>
        <v>Carlisle Local SD</v>
      </c>
      <c r="AR93" s="32" t="b">
        <f t="shared" si="16"/>
        <v>1</v>
      </c>
      <c r="AT93" s="32" t="str">
        <f t="shared" si="14"/>
        <v>Warren</v>
      </c>
      <c r="AU93" s="32" t="b">
        <f>C93='Gen Fd BS'!C93</f>
        <v>1</v>
      </c>
    </row>
    <row r="94" spans="1:47">
      <c r="A94" s="12" t="s">
        <v>862</v>
      </c>
      <c r="B94" s="12"/>
      <c r="C94" s="12" t="s">
        <v>16</v>
      </c>
      <c r="D94" s="12"/>
      <c r="E94" s="12">
        <v>45278</v>
      </c>
      <c r="F94" s="10"/>
      <c r="G94" s="7">
        <v>7460503</v>
      </c>
      <c r="I94" s="7">
        <v>0</v>
      </c>
      <c r="K94" s="7">
        <v>11868066</v>
      </c>
      <c r="M94" s="7">
        <v>6084</v>
      </c>
      <c r="O94" s="7">
        <v>675240</v>
      </c>
      <c r="Q94" s="7">
        <v>21756</v>
      </c>
      <c r="S94" s="7">
        <v>0</v>
      </c>
      <c r="U94" s="7">
        <v>17365</v>
      </c>
      <c r="W94" s="7">
        <f>670+49961+307119</f>
        <v>357750</v>
      </c>
      <c r="Y94" s="2">
        <f t="shared" si="19"/>
        <v>20406764</v>
      </c>
      <c r="AA94" s="7">
        <v>0</v>
      </c>
      <c r="AC94" s="7">
        <v>0</v>
      </c>
      <c r="AE94" s="7">
        <v>0</v>
      </c>
      <c r="AG94" s="7">
        <v>1098</v>
      </c>
      <c r="AI94" s="7">
        <v>0</v>
      </c>
      <c r="AK94" s="7">
        <f t="shared" si="18"/>
        <v>1098</v>
      </c>
      <c r="AM94" s="7">
        <f t="shared" si="13"/>
        <v>20407862</v>
      </c>
      <c r="AP94" s="7" t="str">
        <f t="shared" si="15"/>
        <v>Carrollton Exempted Village SD</v>
      </c>
      <c r="AQ94" s="7" t="str">
        <f>'Gen Fd BS'!A94</f>
        <v>Carrollton Exempted Village SD</v>
      </c>
      <c r="AR94" s="7" t="b">
        <f t="shared" si="16"/>
        <v>1</v>
      </c>
      <c r="AT94" s="7" t="str">
        <f t="shared" si="14"/>
        <v>Carroll</v>
      </c>
      <c r="AU94" s="7" t="b">
        <f>C94='Gen Fd BS'!C94</f>
        <v>1</v>
      </c>
    </row>
    <row r="95" spans="1:47">
      <c r="A95" s="12" t="s">
        <v>679</v>
      </c>
      <c r="B95" s="12"/>
      <c r="C95" s="12" t="s">
        <v>114</v>
      </c>
      <c r="D95" s="12"/>
      <c r="E95" s="12">
        <v>47258</v>
      </c>
      <c r="G95" s="7">
        <v>1885839</v>
      </c>
      <c r="I95" s="7">
        <v>749564</v>
      </c>
      <c r="K95" s="7">
        <v>2870397</v>
      </c>
      <c r="M95" s="7">
        <v>9539</v>
      </c>
      <c r="O95" s="7">
        <v>249910</v>
      </c>
      <c r="Q95" s="7">
        <v>53434</v>
      </c>
      <c r="S95" s="7">
        <v>0</v>
      </c>
      <c r="U95" s="7">
        <v>8941</v>
      </c>
      <c r="W95" s="7">
        <f>87243+485</f>
        <v>87728</v>
      </c>
      <c r="Y95" s="2">
        <f t="shared" si="19"/>
        <v>5915352</v>
      </c>
      <c r="AA95" s="7">
        <v>0</v>
      </c>
      <c r="AC95" s="7">
        <v>0</v>
      </c>
      <c r="AE95" s="7">
        <v>0</v>
      </c>
      <c r="AG95" s="7">
        <v>44</v>
      </c>
      <c r="AI95" s="7">
        <v>0</v>
      </c>
      <c r="AK95" s="7">
        <f t="shared" si="18"/>
        <v>44</v>
      </c>
      <c r="AM95" s="7">
        <f t="shared" si="13"/>
        <v>5915396</v>
      </c>
      <c r="AO95" s="7" t="s">
        <v>783</v>
      </c>
      <c r="AP95" s="7" t="str">
        <f t="shared" si="15"/>
        <v xml:space="preserve">Cedar Cliff Local SD </v>
      </c>
      <c r="AQ95" s="7" t="str">
        <f>'Gen Fd BS'!A95</f>
        <v xml:space="preserve">Cedar Cliff Local SD </v>
      </c>
      <c r="AR95" s="7" t="b">
        <f t="shared" si="16"/>
        <v>1</v>
      </c>
      <c r="AT95" s="7" t="str">
        <f t="shared" si="14"/>
        <v>Greene</v>
      </c>
      <c r="AU95" s="7" t="b">
        <f>C95='Gen Fd BS'!C95</f>
        <v>1</v>
      </c>
    </row>
    <row r="96" spans="1:47" hidden="1">
      <c r="A96" s="12" t="s">
        <v>645</v>
      </c>
      <c r="B96" s="12"/>
      <c r="C96" s="12" t="s">
        <v>435</v>
      </c>
      <c r="D96" s="12"/>
      <c r="E96" s="12">
        <v>43729</v>
      </c>
      <c r="Y96" s="2">
        <f t="shared" si="19"/>
        <v>0</v>
      </c>
      <c r="AI96" s="7">
        <v>0</v>
      </c>
      <c r="AK96" s="7">
        <f t="shared" si="18"/>
        <v>0</v>
      </c>
      <c r="AM96" s="7">
        <f t="shared" si="13"/>
        <v>0</v>
      </c>
      <c r="AO96" s="7" t="s">
        <v>778</v>
      </c>
      <c r="AP96" s="7" t="str">
        <f t="shared" si="15"/>
        <v>Celina City SD (CASH)</v>
      </c>
      <c r="AQ96" s="7" t="str">
        <f>'Gen Fd BS'!A96</f>
        <v>Celina City SD (CASH)</v>
      </c>
      <c r="AR96" s="7" t="b">
        <f t="shared" si="16"/>
        <v>1</v>
      </c>
      <c r="AT96" s="7" t="str">
        <f t="shared" si="14"/>
        <v>Mercer</v>
      </c>
      <c r="AU96" s="7" t="b">
        <f>C96='Gen Fd BS'!C96</f>
        <v>1</v>
      </c>
    </row>
    <row r="97" spans="1:47">
      <c r="A97" s="12" t="s">
        <v>680</v>
      </c>
      <c r="B97" s="12"/>
      <c r="C97" s="12" t="s">
        <v>40</v>
      </c>
      <c r="D97" s="12"/>
      <c r="E97" s="12">
        <v>47829</v>
      </c>
      <c r="G97" s="7">
        <v>2276938</v>
      </c>
      <c r="I97" s="7">
        <v>1033365</v>
      </c>
      <c r="K97" s="7">
        <v>5391753</v>
      </c>
      <c r="M97" s="7">
        <v>12494</v>
      </c>
      <c r="O97" s="7">
        <v>44008</v>
      </c>
      <c r="Q97" s="7">
        <v>15468</v>
      </c>
      <c r="S97" s="7">
        <v>0</v>
      </c>
      <c r="U97" s="7">
        <v>18332</v>
      </c>
      <c r="W97" s="7">
        <f>8720+9077</f>
        <v>17797</v>
      </c>
      <c r="Y97" s="2">
        <f t="shared" si="19"/>
        <v>8810155</v>
      </c>
      <c r="AA97" s="7">
        <v>0</v>
      </c>
      <c r="AC97" s="7">
        <v>0</v>
      </c>
      <c r="AE97" s="7">
        <v>0</v>
      </c>
      <c r="AG97" s="7">
        <v>0</v>
      </c>
      <c r="AI97" s="7">
        <v>0</v>
      </c>
      <c r="AK97" s="7">
        <f t="shared" si="18"/>
        <v>0</v>
      </c>
      <c r="AM97" s="7">
        <f t="shared" si="13"/>
        <v>8810155</v>
      </c>
      <c r="AP97" s="7" t="str">
        <f t="shared" si="15"/>
        <v xml:space="preserve">Centerburg Local SD </v>
      </c>
      <c r="AQ97" s="7" t="str">
        <f>'Gen Fd BS'!A97</f>
        <v xml:space="preserve">Centerburg Local SD </v>
      </c>
      <c r="AR97" s="7" t="b">
        <f t="shared" si="16"/>
        <v>1</v>
      </c>
      <c r="AT97" s="7" t="str">
        <f t="shared" si="14"/>
        <v>Knox</v>
      </c>
      <c r="AU97" s="7" t="b">
        <f>C97='Gen Fd BS'!C97</f>
        <v>1</v>
      </c>
    </row>
    <row r="98" spans="1:47">
      <c r="A98" s="12" t="s">
        <v>681</v>
      </c>
      <c r="B98" s="12"/>
      <c r="C98" s="12" t="s">
        <v>50</v>
      </c>
      <c r="D98" s="12"/>
      <c r="E98" s="12">
        <v>43737</v>
      </c>
      <c r="G98" s="7">
        <v>57646220</v>
      </c>
      <c r="I98" s="7">
        <v>0</v>
      </c>
      <c r="K98" s="7">
        <v>22481723</v>
      </c>
      <c r="M98" s="7">
        <v>219902</v>
      </c>
      <c r="O98" s="7">
        <v>1178584</v>
      </c>
      <c r="Q98" s="7">
        <v>613215</v>
      </c>
      <c r="S98" s="7">
        <v>0</v>
      </c>
      <c r="U98" s="7">
        <v>0</v>
      </c>
      <c r="W98" s="7">
        <f>159425+350876</f>
        <v>510301</v>
      </c>
      <c r="Y98" s="2">
        <f t="shared" si="19"/>
        <v>82649945</v>
      </c>
      <c r="AA98" s="7">
        <v>0</v>
      </c>
      <c r="AC98" s="7">
        <v>0</v>
      </c>
      <c r="AE98" s="7">
        <v>0</v>
      </c>
      <c r="AG98" s="7">
        <v>0</v>
      </c>
      <c r="AI98" s="7">
        <v>0</v>
      </c>
      <c r="AK98" s="7">
        <f t="shared" si="18"/>
        <v>0</v>
      </c>
      <c r="AM98" s="7">
        <f t="shared" si="13"/>
        <v>82649945</v>
      </c>
      <c r="AP98" s="7" t="str">
        <f t="shared" si="15"/>
        <v xml:space="preserve">Centerville City SD </v>
      </c>
      <c r="AQ98" s="7" t="str">
        <f>'Gen Fd BS'!A98</f>
        <v xml:space="preserve">Centerville City SD </v>
      </c>
      <c r="AR98" s="7" t="b">
        <f t="shared" si="16"/>
        <v>1</v>
      </c>
      <c r="AT98" s="7" t="str">
        <f t="shared" si="14"/>
        <v>Montgomery</v>
      </c>
      <c r="AU98" s="7" t="b">
        <f>C98='Gen Fd BS'!C98</f>
        <v>1</v>
      </c>
    </row>
    <row r="99" spans="1:47" hidden="1">
      <c r="A99" s="12" t="s">
        <v>797</v>
      </c>
      <c r="B99" s="12"/>
      <c r="C99" s="12" t="s">
        <v>22</v>
      </c>
      <c r="D99" s="12"/>
      <c r="E99" s="12">
        <v>46714</v>
      </c>
      <c r="Y99" s="2">
        <f t="shared" si="19"/>
        <v>0</v>
      </c>
      <c r="AI99" s="7">
        <v>0</v>
      </c>
      <c r="AK99" s="7">
        <f t="shared" si="18"/>
        <v>0</v>
      </c>
      <c r="AM99" s="7">
        <f t="shared" si="13"/>
        <v>0</v>
      </c>
      <c r="AO99" s="7" t="s">
        <v>779</v>
      </c>
      <c r="AP99" s="7" t="str">
        <f t="shared" si="15"/>
        <v>Central Local SD (CASH)</v>
      </c>
      <c r="AQ99" s="7" t="str">
        <f>'Gen Fd BS'!A99</f>
        <v>Central Local SD (CASH)</v>
      </c>
      <c r="AR99" s="7" t="b">
        <f t="shared" si="16"/>
        <v>1</v>
      </c>
      <c r="AT99" s="7" t="str">
        <f t="shared" si="14"/>
        <v>Defiance</v>
      </c>
      <c r="AU99" s="7" t="b">
        <f>C99='Gen Fd BS'!C99</f>
        <v>1</v>
      </c>
    </row>
    <row r="100" spans="1:47">
      <c r="A100" s="12" t="s">
        <v>863</v>
      </c>
      <c r="B100" s="12"/>
      <c r="C100" s="12" t="s">
        <v>20</v>
      </c>
      <c r="D100" s="12"/>
      <c r="E100" s="12">
        <v>45286</v>
      </c>
      <c r="G100" s="7">
        <v>19012028</v>
      </c>
      <c r="I100" s="7">
        <v>0</v>
      </c>
      <c r="K100" s="7">
        <v>5155736</v>
      </c>
      <c r="M100" s="7">
        <v>71014</v>
      </c>
      <c r="O100" s="7">
        <v>446836</v>
      </c>
      <c r="Q100" s="7">
        <v>174016</v>
      </c>
      <c r="S100" s="7">
        <v>0</v>
      </c>
      <c r="U100" s="7">
        <v>3470</v>
      </c>
      <c r="W100" s="7">
        <f>320+39718</f>
        <v>40038</v>
      </c>
      <c r="Y100" s="2">
        <f>SUM(G100:X100)</f>
        <v>24903138</v>
      </c>
      <c r="AA100" s="7">
        <v>0</v>
      </c>
      <c r="AC100" s="7">
        <v>0</v>
      </c>
      <c r="AE100" s="7">
        <v>0</v>
      </c>
      <c r="AG100" s="7">
        <v>97465</v>
      </c>
      <c r="AI100" s="7">
        <v>0</v>
      </c>
      <c r="AK100" s="7">
        <f>SUM(AA100:AJ100)</f>
        <v>97465</v>
      </c>
      <c r="AM100" s="7">
        <f t="shared" si="13"/>
        <v>25000603</v>
      </c>
      <c r="AP100" s="7" t="str">
        <f t="shared" si="15"/>
        <v>Chagrin Falls Exempted Village SD</v>
      </c>
      <c r="AQ100" s="7" t="str">
        <f>'Gen Fd BS'!A100</f>
        <v>Chagrin Falls Exempted Village SD</v>
      </c>
      <c r="AR100" s="7" t="b">
        <f t="shared" si="16"/>
        <v>1</v>
      </c>
      <c r="AT100" s="7" t="str">
        <f t="shared" si="14"/>
        <v>Cuyahoga</v>
      </c>
      <c r="AU100" s="7" t="b">
        <f>C100='Gen Fd BS'!C100</f>
        <v>1</v>
      </c>
    </row>
    <row r="101" spans="1:47">
      <c r="A101" s="12" t="s">
        <v>536</v>
      </c>
      <c r="B101" s="12"/>
      <c r="C101" s="12" t="s">
        <v>64</v>
      </c>
      <c r="D101" s="12"/>
      <c r="E101" s="12">
        <v>50138</v>
      </c>
      <c r="G101" s="7">
        <v>4603250</v>
      </c>
      <c r="I101" s="7">
        <v>0</v>
      </c>
      <c r="K101" s="7">
        <v>7503514</v>
      </c>
      <c r="M101" s="7">
        <v>4341</v>
      </c>
      <c r="O101" s="7">
        <f>794980+30905</f>
        <v>825885</v>
      </c>
      <c r="Q101" s="7">
        <v>0</v>
      </c>
      <c r="S101" s="7">
        <v>0</v>
      </c>
      <c r="U101" s="7">
        <v>16462</v>
      </c>
      <c r="W101" s="7">
        <f>70977+3430+45240</f>
        <v>119647</v>
      </c>
      <c r="Y101" s="2">
        <f t="shared" ref="Y101:Y154" si="20">SUM(G101:X101)</f>
        <v>13073099</v>
      </c>
      <c r="AA101" s="7">
        <v>0</v>
      </c>
      <c r="AC101" s="7">
        <v>0</v>
      </c>
      <c r="AE101" s="7">
        <v>0</v>
      </c>
      <c r="AG101" s="7">
        <v>0</v>
      </c>
      <c r="AI101" s="7">
        <v>0</v>
      </c>
      <c r="AK101" s="7">
        <f t="shared" ref="AK101:AK148" si="21">SUM(AA101:AJ101)</f>
        <v>0</v>
      </c>
      <c r="AM101" s="7">
        <f t="shared" si="13"/>
        <v>13073099</v>
      </c>
      <c r="AP101" s="7" t="str">
        <f t="shared" si="15"/>
        <v>Champion Local SD</v>
      </c>
      <c r="AQ101" s="7" t="str">
        <f>'Gen Fd BS'!A101</f>
        <v>Champion Local SD</v>
      </c>
      <c r="AR101" s="7" t="b">
        <f t="shared" si="16"/>
        <v>1</v>
      </c>
      <c r="AT101" s="7" t="str">
        <f t="shared" si="14"/>
        <v>Trumbull</v>
      </c>
      <c r="AU101" s="7" t="b">
        <f>C101='Gen Fd BS'!C101</f>
        <v>1</v>
      </c>
    </row>
    <row r="102" spans="1:47" hidden="1">
      <c r="A102" s="12" t="s">
        <v>798</v>
      </c>
      <c r="B102" s="12"/>
      <c r="C102" s="12" t="s">
        <v>30</v>
      </c>
      <c r="D102" s="12"/>
      <c r="E102" s="12">
        <v>47183</v>
      </c>
      <c r="Y102" s="2">
        <f t="shared" si="20"/>
        <v>0</v>
      </c>
      <c r="AI102" s="7">
        <v>0</v>
      </c>
      <c r="AK102" s="7">
        <f t="shared" si="21"/>
        <v>0</v>
      </c>
      <c r="AM102" s="7">
        <f t="shared" si="13"/>
        <v>0</v>
      </c>
      <c r="AO102" s="7" t="s">
        <v>779</v>
      </c>
      <c r="AP102" s="7" t="str">
        <f t="shared" si="15"/>
        <v>Chardon Local SD (CASH)</v>
      </c>
      <c r="AQ102" s="7" t="str">
        <f>'Gen Fd BS'!A102</f>
        <v>Chardon Local SD (CASH)</v>
      </c>
      <c r="AR102" s="7" t="b">
        <f t="shared" si="16"/>
        <v>1</v>
      </c>
      <c r="AT102" s="7" t="str">
        <f t="shared" si="14"/>
        <v>Geauga</v>
      </c>
      <c r="AU102" s="7" t="b">
        <f>C102='Gen Fd BS'!C102</f>
        <v>1</v>
      </c>
    </row>
    <row r="103" spans="1:47">
      <c r="A103" s="12" t="s">
        <v>864</v>
      </c>
      <c r="B103" s="12"/>
      <c r="C103" s="12" t="s">
        <v>377</v>
      </c>
      <c r="D103" s="12"/>
      <c r="E103" s="12">
        <v>45294</v>
      </c>
      <c r="G103" s="7">
        <v>1765400</v>
      </c>
      <c r="I103" s="7">
        <v>0</v>
      </c>
      <c r="K103" s="7">
        <v>8162021</v>
      </c>
      <c r="M103" s="7">
        <v>3205</v>
      </c>
      <c r="O103" s="7">
        <v>1078436</v>
      </c>
      <c r="Q103" s="7">
        <v>7255</v>
      </c>
      <c r="S103" s="7">
        <v>0</v>
      </c>
      <c r="U103" s="7">
        <v>37557</v>
      </c>
      <c r="W103" s="7">
        <f>90747+54220</f>
        <v>144967</v>
      </c>
      <c r="Y103" s="2">
        <f t="shared" si="20"/>
        <v>11198841</v>
      </c>
      <c r="AA103" s="7">
        <v>0</v>
      </c>
      <c r="AC103" s="7">
        <v>0</v>
      </c>
      <c r="AE103" s="7">
        <v>0</v>
      </c>
      <c r="AG103" s="7">
        <v>926</v>
      </c>
      <c r="AI103" s="7">
        <v>0</v>
      </c>
      <c r="AK103" s="7">
        <f t="shared" si="21"/>
        <v>926</v>
      </c>
      <c r="AM103" s="7">
        <f t="shared" si="13"/>
        <v>11199767</v>
      </c>
      <c r="AP103" s="7" t="str">
        <f t="shared" si="15"/>
        <v>Chesapeake Union Exempted Village SD</v>
      </c>
      <c r="AQ103" s="7" t="str">
        <f>'Gen Fd BS'!A103</f>
        <v>Chesapeake Union Exempted Village SD</v>
      </c>
      <c r="AR103" s="7" t="b">
        <f t="shared" si="16"/>
        <v>1</v>
      </c>
      <c r="AT103" s="7" t="str">
        <f t="shared" si="14"/>
        <v>Lawrence</v>
      </c>
      <c r="AU103" s="7" t="b">
        <f>C103='Gen Fd BS'!C103</f>
        <v>1</v>
      </c>
    </row>
    <row r="104" spans="1:47">
      <c r="A104" s="12" t="s">
        <v>488</v>
      </c>
      <c r="B104" s="12"/>
      <c r="C104" s="12" t="s">
        <v>58</v>
      </c>
      <c r="D104" s="12"/>
      <c r="E104" s="12">
        <v>43745</v>
      </c>
      <c r="G104" s="7">
        <v>10386542</v>
      </c>
      <c r="I104" s="7">
        <v>0</v>
      </c>
      <c r="K104" s="7">
        <v>14800005</v>
      </c>
      <c r="M104" s="7">
        <v>41963</v>
      </c>
      <c r="O104" s="7">
        <v>1415665</v>
      </c>
      <c r="Q104" s="7">
        <v>73709</v>
      </c>
      <c r="S104" s="7">
        <v>0</v>
      </c>
      <c r="U104" s="7">
        <v>9630</v>
      </c>
      <c r="W104" s="7">
        <f>104754+63467+7306</f>
        <v>175527</v>
      </c>
      <c r="Y104" s="2">
        <f t="shared" si="20"/>
        <v>26903041</v>
      </c>
      <c r="AA104" s="7">
        <v>0</v>
      </c>
      <c r="AC104" s="7">
        <v>0</v>
      </c>
      <c r="AE104" s="7">
        <v>0</v>
      </c>
      <c r="AG104" s="7">
        <v>3042</v>
      </c>
      <c r="AI104" s="7">
        <v>0</v>
      </c>
      <c r="AK104" s="7">
        <f t="shared" si="21"/>
        <v>3042</v>
      </c>
      <c r="AM104" s="7">
        <f t="shared" si="13"/>
        <v>26906083</v>
      </c>
      <c r="AP104" s="7" t="str">
        <f t="shared" si="15"/>
        <v>Chillicothe City SD</v>
      </c>
      <c r="AQ104" s="7" t="str">
        <f>'Gen Fd BS'!A104</f>
        <v>Chillicothe City SD</v>
      </c>
      <c r="AR104" s="7" t="b">
        <f t="shared" si="16"/>
        <v>1</v>
      </c>
      <c r="AT104" s="7" t="str">
        <f t="shared" si="14"/>
        <v>Ross</v>
      </c>
      <c r="AU104" s="7" t="b">
        <f>C104='Gen Fd BS'!C104</f>
        <v>1</v>
      </c>
    </row>
    <row r="105" spans="1:47">
      <c r="A105" s="12" t="s">
        <v>568</v>
      </c>
      <c r="B105" s="12"/>
      <c r="C105" s="12" t="s">
        <v>71</v>
      </c>
      <c r="D105" s="12"/>
      <c r="E105" s="12">
        <v>50534</v>
      </c>
      <c r="G105" s="7">
        <v>3499885</v>
      </c>
      <c r="I105" s="7">
        <v>1720361</v>
      </c>
      <c r="K105" s="7">
        <v>5441231</v>
      </c>
      <c r="M105" s="7">
        <v>3607</v>
      </c>
      <c r="O105" s="7">
        <v>95839</v>
      </c>
      <c r="Q105" s="7">
        <v>102605</v>
      </c>
      <c r="S105" s="7">
        <v>0</v>
      </c>
      <c r="U105" s="7">
        <v>0</v>
      </c>
      <c r="W105" s="7">
        <f>10388+27571</f>
        <v>37959</v>
      </c>
      <c r="Y105" s="2">
        <f t="shared" si="20"/>
        <v>10901487</v>
      </c>
      <c r="AA105" s="7">
        <v>0</v>
      </c>
      <c r="AC105" s="7">
        <v>0</v>
      </c>
      <c r="AE105" s="7">
        <v>0</v>
      </c>
      <c r="AG105" s="7">
        <v>0</v>
      </c>
      <c r="AI105" s="7">
        <v>0</v>
      </c>
      <c r="AK105" s="7">
        <f t="shared" si="21"/>
        <v>0</v>
      </c>
      <c r="AM105" s="7">
        <f t="shared" si="13"/>
        <v>10901487</v>
      </c>
      <c r="AP105" s="7" t="str">
        <f t="shared" si="15"/>
        <v>Chippewa Local SD</v>
      </c>
      <c r="AQ105" s="7" t="str">
        <f>'Gen Fd BS'!A105</f>
        <v>Chippewa Local SD</v>
      </c>
      <c r="AR105" s="7" t="b">
        <f t="shared" si="16"/>
        <v>1</v>
      </c>
      <c r="AT105" s="7" t="str">
        <f t="shared" si="14"/>
        <v>Wayne</v>
      </c>
      <c r="AU105" s="7" t="b">
        <f>C105='Gen Fd BS'!C105</f>
        <v>1</v>
      </c>
    </row>
    <row r="106" spans="1:47">
      <c r="A106" s="12" t="s">
        <v>683</v>
      </c>
      <c r="B106" s="12"/>
      <c r="C106" s="12" t="s">
        <v>32</v>
      </c>
      <c r="D106" s="12"/>
      <c r="E106" s="12">
        <v>43752</v>
      </c>
      <c r="G106" s="7">
        <v>249982815</v>
      </c>
      <c r="I106" s="7">
        <v>0</v>
      </c>
      <c r="K106" s="7">
        <f>196917974+248271</f>
        <v>197166245</v>
      </c>
      <c r="M106" s="7">
        <v>486071</v>
      </c>
      <c r="O106" s="7">
        <v>1123004</v>
      </c>
      <c r="Q106" s="7">
        <v>0</v>
      </c>
      <c r="S106" s="7">
        <v>7534813</v>
      </c>
      <c r="U106" s="7">
        <v>0</v>
      </c>
      <c r="W106" s="7">
        <v>5525321</v>
      </c>
      <c r="Y106" s="2">
        <f t="shared" si="20"/>
        <v>461818269</v>
      </c>
      <c r="AA106" s="7">
        <v>0</v>
      </c>
      <c r="AC106" s="7">
        <v>0</v>
      </c>
      <c r="AE106" s="7">
        <v>0</v>
      </c>
      <c r="AG106" s="7">
        <v>0</v>
      </c>
      <c r="AI106" s="7">
        <v>0</v>
      </c>
      <c r="AK106" s="7">
        <f t="shared" si="21"/>
        <v>0</v>
      </c>
      <c r="AM106" s="7">
        <f t="shared" si="13"/>
        <v>461818269</v>
      </c>
      <c r="AP106" s="7" t="str">
        <f t="shared" si="15"/>
        <v>Cincinnati City SD/Cincinnati Public SD</v>
      </c>
      <c r="AQ106" s="7" t="str">
        <f>'Gen Fd BS'!A106</f>
        <v>Cincinnati City SD/Cincinnati Public SD</v>
      </c>
      <c r="AR106" s="7" t="b">
        <f t="shared" si="16"/>
        <v>1</v>
      </c>
      <c r="AT106" s="7" t="str">
        <f t="shared" si="14"/>
        <v>Hamilton</v>
      </c>
      <c r="AU106" s="7" t="b">
        <f>C106='Gen Fd BS'!C106</f>
        <v>1</v>
      </c>
    </row>
    <row r="107" spans="1:47">
      <c r="A107" s="12" t="s">
        <v>467</v>
      </c>
      <c r="B107" s="12"/>
      <c r="C107" s="12" t="s">
        <v>54</v>
      </c>
      <c r="D107" s="12"/>
      <c r="E107" s="12">
        <v>43760</v>
      </c>
      <c r="G107" s="7">
        <v>9424688</v>
      </c>
      <c r="I107" s="7">
        <v>1435763</v>
      </c>
      <c r="K107" s="7">
        <f>10566121+71481</f>
        <v>10637602</v>
      </c>
      <c r="M107" s="7">
        <v>109261</v>
      </c>
      <c r="O107" s="7">
        <f>432408+28774</f>
        <v>461182</v>
      </c>
      <c r="Q107" s="7">
        <v>96177</v>
      </c>
      <c r="S107" s="7">
        <v>106525</v>
      </c>
      <c r="U107" s="7">
        <v>0</v>
      </c>
      <c r="W107" s="7">
        <f>84385+13140</f>
        <v>97525</v>
      </c>
      <c r="Y107" s="2">
        <f t="shared" si="20"/>
        <v>22368723</v>
      </c>
      <c r="AA107" s="7">
        <v>0</v>
      </c>
      <c r="AC107" s="7">
        <v>0</v>
      </c>
      <c r="AE107" s="7">
        <v>0</v>
      </c>
      <c r="AG107" s="7">
        <v>0</v>
      </c>
      <c r="AI107" s="7">
        <v>0</v>
      </c>
      <c r="AK107" s="7">
        <f t="shared" si="21"/>
        <v>0</v>
      </c>
      <c r="AM107" s="7">
        <f t="shared" si="13"/>
        <v>22368723</v>
      </c>
      <c r="AP107" s="7" t="str">
        <f t="shared" si="15"/>
        <v>Circleville City SD</v>
      </c>
      <c r="AQ107" s="7" t="str">
        <f>'Gen Fd BS'!A107</f>
        <v>Circleville City SD</v>
      </c>
      <c r="AR107" s="7" t="b">
        <f t="shared" si="16"/>
        <v>1</v>
      </c>
      <c r="AT107" s="7" t="str">
        <f t="shared" si="14"/>
        <v>Pickaway</v>
      </c>
      <c r="AU107" s="7" t="b">
        <f>C107='Gen Fd BS'!C107</f>
        <v>1</v>
      </c>
    </row>
    <row r="108" spans="1:47">
      <c r="A108" s="12" t="s">
        <v>236</v>
      </c>
      <c r="B108" s="12"/>
      <c r="C108" s="12" t="s">
        <v>17</v>
      </c>
      <c r="D108" s="12"/>
      <c r="E108" s="12">
        <v>46284</v>
      </c>
      <c r="F108" s="10"/>
      <c r="G108" s="7">
        <v>9045395</v>
      </c>
      <c r="I108" s="7">
        <v>0</v>
      </c>
      <c r="K108" s="7">
        <v>7382643</v>
      </c>
      <c r="M108" s="7">
        <v>1901</v>
      </c>
      <c r="O108" s="7">
        <v>2460757</v>
      </c>
      <c r="Q108" s="7">
        <v>124890</v>
      </c>
      <c r="S108" s="7">
        <v>0</v>
      </c>
      <c r="U108" s="7">
        <v>0</v>
      </c>
      <c r="W108" s="7">
        <f>26419+9463+71796</f>
        <v>107678</v>
      </c>
      <c r="Y108" s="2">
        <f t="shared" si="20"/>
        <v>19123264</v>
      </c>
      <c r="AA108" s="7">
        <v>0</v>
      </c>
      <c r="AC108" s="7">
        <v>0</v>
      </c>
      <c r="AE108" s="7">
        <v>0</v>
      </c>
      <c r="AG108" s="7">
        <v>7500</v>
      </c>
      <c r="AI108" s="7">
        <v>0</v>
      </c>
      <c r="AK108" s="7">
        <f t="shared" si="21"/>
        <v>7500</v>
      </c>
      <c r="AM108" s="7">
        <f t="shared" ref="AM108:AM139" si="22">+AK108+Y108</f>
        <v>19130764</v>
      </c>
      <c r="AP108" s="7" t="str">
        <f t="shared" si="15"/>
        <v>Clark-Shawnee Local SD</v>
      </c>
      <c r="AQ108" s="7" t="str">
        <f>'Gen Fd BS'!A108</f>
        <v>Clark-Shawnee Local SD</v>
      </c>
      <c r="AR108" s="7" t="b">
        <f t="shared" si="16"/>
        <v>1</v>
      </c>
      <c r="AT108" s="7" t="str">
        <f t="shared" si="14"/>
        <v>Clark</v>
      </c>
      <c r="AU108" s="7" t="b">
        <f>C108='Gen Fd BS'!C108</f>
        <v>1</v>
      </c>
    </row>
    <row r="109" spans="1:47">
      <c r="A109" s="12" t="s">
        <v>495</v>
      </c>
      <c r="B109" s="12"/>
      <c r="C109" s="12" t="s">
        <v>59</v>
      </c>
      <c r="D109" s="12"/>
      <c r="E109" s="12">
        <v>49601</v>
      </c>
      <c r="G109" s="7">
        <v>914856</v>
      </c>
      <c r="I109" s="7">
        <v>0</v>
      </c>
      <c r="K109" s="7">
        <v>3254247</v>
      </c>
      <c r="M109" s="7">
        <v>1642</v>
      </c>
      <c r="O109" s="7">
        <v>854532</v>
      </c>
      <c r="Q109" s="7">
        <v>23204</v>
      </c>
      <c r="S109" s="7">
        <v>0</v>
      </c>
      <c r="U109" s="7">
        <v>8282</v>
      </c>
      <c r="W109" s="7">
        <v>150725</v>
      </c>
      <c r="Y109" s="2">
        <f t="shared" si="20"/>
        <v>5207488</v>
      </c>
      <c r="AA109" s="7">
        <v>0</v>
      </c>
      <c r="AC109" s="7">
        <v>0</v>
      </c>
      <c r="AE109" s="7">
        <v>0</v>
      </c>
      <c r="AG109" s="7">
        <v>0</v>
      </c>
      <c r="AI109" s="7">
        <v>0</v>
      </c>
      <c r="AK109" s="7">
        <f t="shared" si="21"/>
        <v>0</v>
      </c>
      <c r="AM109" s="7">
        <f t="shared" si="22"/>
        <v>5207488</v>
      </c>
      <c r="AP109" s="7" t="str">
        <f t="shared" si="15"/>
        <v>Clay Local SD</v>
      </c>
      <c r="AQ109" s="7" t="str">
        <f>'Gen Fd BS'!A109</f>
        <v>Clay Local SD</v>
      </c>
      <c r="AR109" s="7" t="b">
        <f t="shared" si="16"/>
        <v>1</v>
      </c>
      <c r="AT109" s="7" t="str">
        <f t="shared" si="14"/>
        <v>Scioto</v>
      </c>
      <c r="AU109" s="7" t="b">
        <f>C109='Gen Fd BS'!C109</f>
        <v>1</v>
      </c>
    </row>
    <row r="110" spans="1:47">
      <c r="A110" s="12" t="s">
        <v>549</v>
      </c>
      <c r="B110" s="12"/>
      <c r="C110" s="12" t="s">
        <v>65</v>
      </c>
      <c r="D110" s="12"/>
      <c r="E110" s="12">
        <v>43778</v>
      </c>
      <c r="G110" s="7">
        <v>2977380</v>
      </c>
      <c r="I110" s="7">
        <v>0</v>
      </c>
      <c r="K110" s="7">
        <f>7488+12674072+16062</f>
        <v>12697622</v>
      </c>
      <c r="M110" s="7">
        <v>5199</v>
      </c>
      <c r="O110" s="7">
        <f>1018127+336+29395</f>
        <v>1047858</v>
      </c>
      <c r="Q110" s="7">
        <v>29342</v>
      </c>
      <c r="S110" s="7">
        <v>0</v>
      </c>
      <c r="U110" s="7">
        <v>28028</v>
      </c>
      <c r="W110" s="7">
        <f>7929+8460+13298</f>
        <v>29687</v>
      </c>
      <c r="Y110" s="2">
        <f t="shared" si="20"/>
        <v>16815116</v>
      </c>
      <c r="AA110" s="7">
        <v>0</v>
      </c>
      <c r="AC110" s="7">
        <v>0</v>
      </c>
      <c r="AE110" s="7">
        <v>0</v>
      </c>
      <c r="AG110" s="7">
        <v>153169</v>
      </c>
      <c r="AI110" s="7">
        <v>0</v>
      </c>
      <c r="AK110" s="7">
        <f t="shared" si="21"/>
        <v>153169</v>
      </c>
      <c r="AM110" s="7">
        <f t="shared" si="22"/>
        <v>16968285</v>
      </c>
      <c r="AP110" s="7" t="str">
        <f t="shared" si="15"/>
        <v>Claymont City SD</v>
      </c>
      <c r="AQ110" s="7" t="str">
        <f>'Gen Fd BS'!A110</f>
        <v>Claymont City SD</v>
      </c>
      <c r="AR110" s="7" t="b">
        <f t="shared" si="16"/>
        <v>1</v>
      </c>
      <c r="AT110" s="7" t="str">
        <f t="shared" si="14"/>
        <v>Tuscarawas</v>
      </c>
      <c r="AU110" s="7" t="b">
        <f>C110='Gen Fd BS'!C110</f>
        <v>1</v>
      </c>
    </row>
    <row r="111" spans="1:47">
      <c r="A111" s="12" t="s">
        <v>483</v>
      </c>
      <c r="B111" s="12"/>
      <c r="C111" s="12" t="s">
        <v>110</v>
      </c>
      <c r="D111" s="12"/>
      <c r="E111" s="12">
        <v>49411</v>
      </c>
      <c r="G111" s="7">
        <v>3878208</v>
      </c>
      <c r="I111" s="7">
        <v>0</v>
      </c>
      <c r="K111" s="7">
        <f>8462100+6613</f>
        <v>8468713</v>
      </c>
      <c r="M111" s="7">
        <v>104492</v>
      </c>
      <c r="O111" s="7">
        <f>916423+13750+41689</f>
        <v>971862</v>
      </c>
      <c r="Q111" s="7">
        <v>10642</v>
      </c>
      <c r="S111" s="7">
        <v>0</v>
      </c>
      <c r="U111" s="7">
        <v>6563</v>
      </c>
      <c r="W111" s="7">
        <f>14325+9108</f>
        <v>23433</v>
      </c>
      <c r="Y111" s="2">
        <f t="shared" si="20"/>
        <v>13463913</v>
      </c>
      <c r="AA111" s="7">
        <v>0</v>
      </c>
      <c r="AC111" s="7">
        <v>0</v>
      </c>
      <c r="AE111" s="7">
        <v>0</v>
      </c>
      <c r="AG111" s="7">
        <v>0</v>
      </c>
      <c r="AI111" s="7">
        <v>0</v>
      </c>
      <c r="AK111" s="7">
        <f t="shared" si="21"/>
        <v>0</v>
      </c>
      <c r="AM111" s="7">
        <f t="shared" si="22"/>
        <v>13463913</v>
      </c>
      <c r="AP111" s="7" t="str">
        <f t="shared" si="15"/>
        <v>Clear Fork Valley Local SD</v>
      </c>
      <c r="AQ111" s="7" t="str">
        <f>'Gen Fd BS'!A111</f>
        <v>Clear Fork Valley Local SD</v>
      </c>
      <c r="AR111" s="7" t="b">
        <f t="shared" si="16"/>
        <v>1</v>
      </c>
      <c r="AT111" s="7" t="str">
        <f t="shared" si="14"/>
        <v>Richland</v>
      </c>
      <c r="AU111" s="7" t="b">
        <f>C111='Gen Fd BS'!C111</f>
        <v>1</v>
      </c>
    </row>
    <row r="112" spans="1:47">
      <c r="A112" s="12" t="s">
        <v>394</v>
      </c>
      <c r="B112" s="12"/>
      <c r="C112" s="12" t="s">
        <v>44</v>
      </c>
      <c r="D112" s="12"/>
      <c r="E112" s="12">
        <v>48132</v>
      </c>
      <c r="G112" s="7">
        <v>2461253</v>
      </c>
      <c r="I112" s="7">
        <v>0</v>
      </c>
      <c r="K112" s="7">
        <v>7259448</v>
      </c>
      <c r="M112" s="7">
        <v>12566</v>
      </c>
      <c r="O112" s="7">
        <v>3092023</v>
      </c>
      <c r="Q112" s="7">
        <v>74873</v>
      </c>
      <c r="S112" s="7">
        <v>0</v>
      </c>
      <c r="U112" s="7">
        <v>0</v>
      </c>
      <c r="W112" s="7">
        <v>76838</v>
      </c>
      <c r="Y112" s="2">
        <f t="shared" si="20"/>
        <v>12977001</v>
      </c>
      <c r="AA112" s="7">
        <v>0</v>
      </c>
      <c r="AC112" s="7">
        <v>0</v>
      </c>
      <c r="AE112" s="7">
        <v>0</v>
      </c>
      <c r="AG112" s="7">
        <v>0</v>
      </c>
      <c r="AI112" s="7">
        <v>0</v>
      </c>
      <c r="AK112" s="7">
        <f t="shared" si="21"/>
        <v>0</v>
      </c>
      <c r="AM112" s="7">
        <f t="shared" si="22"/>
        <v>12977001</v>
      </c>
      <c r="AP112" s="7" t="str">
        <f t="shared" si="15"/>
        <v>Clearview Local SD</v>
      </c>
      <c r="AQ112" s="7" t="str">
        <f>'Gen Fd BS'!A112</f>
        <v>Clearview Local SD</v>
      </c>
      <c r="AR112" s="7" t="b">
        <f t="shared" si="16"/>
        <v>1</v>
      </c>
      <c r="AT112" s="7" t="str">
        <f t="shared" si="14"/>
        <v>Lorain</v>
      </c>
      <c r="AU112" s="7" t="b">
        <f>C112='Gen Fd BS'!C112</f>
        <v>1</v>
      </c>
    </row>
    <row r="113" spans="1:47">
      <c r="A113" s="12" t="s">
        <v>684</v>
      </c>
      <c r="B113" s="12"/>
      <c r="C113" s="12" t="s">
        <v>113</v>
      </c>
      <c r="D113" s="12"/>
      <c r="E113" s="12"/>
      <c r="G113" s="7">
        <v>8700197</v>
      </c>
      <c r="I113" s="7">
        <v>0</v>
      </c>
      <c r="K113" s="7">
        <v>6495390</v>
      </c>
      <c r="M113" s="7">
        <v>8503</v>
      </c>
      <c r="O113" s="7">
        <v>625386</v>
      </c>
      <c r="Q113" s="7">
        <v>0</v>
      </c>
      <c r="S113" s="7">
        <v>0</v>
      </c>
      <c r="U113" s="7">
        <v>0</v>
      </c>
      <c r="W113" s="7">
        <v>344976</v>
      </c>
      <c r="Y113" s="2">
        <f t="shared" si="20"/>
        <v>16174452</v>
      </c>
      <c r="AA113" s="7">
        <v>0</v>
      </c>
      <c r="AC113" s="7">
        <v>0</v>
      </c>
      <c r="AE113" s="7">
        <v>0</v>
      </c>
      <c r="AG113" s="7">
        <v>0</v>
      </c>
      <c r="AI113" s="7">
        <v>0</v>
      </c>
      <c r="AK113" s="7">
        <f t="shared" si="21"/>
        <v>0</v>
      </c>
      <c r="AM113" s="7">
        <f t="shared" si="22"/>
        <v>16174452</v>
      </c>
      <c r="AP113" s="7" t="str">
        <f t="shared" si="15"/>
        <v>Clermont Northeastern Local SD</v>
      </c>
      <c r="AQ113" s="7" t="str">
        <f>'Gen Fd BS'!A113</f>
        <v>Clermont Northeastern Local SD</v>
      </c>
      <c r="AR113" s="7" t="b">
        <f t="shared" si="16"/>
        <v>1</v>
      </c>
      <c r="AT113" s="7" t="str">
        <f t="shared" si="14"/>
        <v>Clermont</v>
      </c>
      <c r="AU113" s="7" t="b">
        <f>C113='Gen Fd BS'!C113</f>
        <v>1</v>
      </c>
    </row>
    <row r="114" spans="1:47">
      <c r="A114" s="12" t="s">
        <v>682</v>
      </c>
      <c r="B114" s="12"/>
      <c r="C114" s="12" t="s">
        <v>20</v>
      </c>
      <c r="D114" s="12"/>
      <c r="E114" s="12">
        <v>43794</v>
      </c>
      <c r="G114" s="7">
        <v>56431269</v>
      </c>
      <c r="I114" s="7">
        <v>0</v>
      </c>
      <c r="K114" s="7">
        <v>31848689</v>
      </c>
      <c r="M114" s="7">
        <v>137067</v>
      </c>
      <c r="O114" s="7">
        <f>919510+7769</f>
        <v>927279</v>
      </c>
      <c r="Q114" s="7">
        <v>133953</v>
      </c>
      <c r="S114" s="7">
        <v>0</v>
      </c>
      <c r="U114" s="7">
        <v>0</v>
      </c>
      <c r="W114" s="7">
        <v>847286</v>
      </c>
      <c r="Y114" s="2">
        <f t="shared" si="20"/>
        <v>90325543</v>
      </c>
      <c r="AA114" s="7">
        <v>0</v>
      </c>
      <c r="AC114" s="7">
        <v>0</v>
      </c>
      <c r="AE114" s="7">
        <v>0</v>
      </c>
      <c r="AG114" s="7">
        <v>397346</v>
      </c>
      <c r="AI114" s="7">
        <v>0</v>
      </c>
      <c r="AK114" s="7">
        <f t="shared" si="21"/>
        <v>397346</v>
      </c>
      <c r="AM114" s="7">
        <f t="shared" si="22"/>
        <v>90722889</v>
      </c>
      <c r="AP114" s="7" t="str">
        <f t="shared" si="15"/>
        <v>Cleveland Heights-University Heights City SD</v>
      </c>
      <c r="AQ114" s="7" t="str">
        <f>'Gen Fd BS'!A114</f>
        <v>Cleveland Heights-University Heights City SD</v>
      </c>
      <c r="AR114" s="7" t="b">
        <f t="shared" si="16"/>
        <v>1</v>
      </c>
      <c r="AT114" s="7" t="str">
        <f t="shared" si="14"/>
        <v>Cuyahoga</v>
      </c>
      <c r="AU114" s="7" t="b">
        <f>C114='Gen Fd BS'!C114</f>
        <v>1</v>
      </c>
    </row>
    <row r="115" spans="1:47">
      <c r="A115" s="12" t="s">
        <v>271</v>
      </c>
      <c r="B115" s="12"/>
      <c r="C115" s="12" t="s">
        <v>20</v>
      </c>
      <c r="D115" s="12"/>
      <c r="E115" s="12">
        <v>43786</v>
      </c>
      <c r="G115" s="7">
        <v>155776481</v>
      </c>
      <c r="I115" s="7">
        <v>0</v>
      </c>
      <c r="K115" s="7">
        <f>458198890+2877105+2251018</f>
        <v>463327013</v>
      </c>
      <c r="M115" s="7">
        <v>916871</v>
      </c>
      <c r="O115" s="7">
        <v>4165374</v>
      </c>
      <c r="Q115" s="7">
        <v>0</v>
      </c>
      <c r="S115" s="7">
        <v>0</v>
      </c>
      <c r="U115" s="7">
        <v>12059</v>
      </c>
      <c r="W115" s="7">
        <f>1615+11499536</f>
        <v>11501151</v>
      </c>
      <c r="Y115" s="2">
        <f t="shared" si="20"/>
        <v>635698949</v>
      </c>
      <c r="AA115" s="7">
        <v>0</v>
      </c>
      <c r="AC115" s="7">
        <v>0</v>
      </c>
      <c r="AE115" s="7">
        <v>0</v>
      </c>
      <c r="AG115" s="7">
        <v>0</v>
      </c>
      <c r="AI115" s="7">
        <v>0</v>
      </c>
      <c r="AK115" s="7">
        <f t="shared" si="21"/>
        <v>0</v>
      </c>
      <c r="AM115" s="7">
        <f t="shared" si="22"/>
        <v>635698949</v>
      </c>
      <c r="AP115" s="7" t="str">
        <f t="shared" si="15"/>
        <v>Cleveland Municipal SD</v>
      </c>
      <c r="AQ115" s="7" t="str">
        <f>'Gen Fd BS'!A115</f>
        <v>Cleveland Municipal SD</v>
      </c>
      <c r="AR115" s="7" t="b">
        <f t="shared" si="16"/>
        <v>1</v>
      </c>
      <c r="AT115" s="7" t="str">
        <f t="shared" si="14"/>
        <v>Cuyahoga</v>
      </c>
      <c r="AU115" s="7" t="b">
        <f>C115='Gen Fd BS'!C115</f>
        <v>1</v>
      </c>
    </row>
    <row r="116" spans="1:47">
      <c r="A116" s="12" t="s">
        <v>249</v>
      </c>
      <c r="B116" s="12"/>
      <c r="C116" s="12" t="s">
        <v>18</v>
      </c>
      <c r="D116" s="12"/>
      <c r="E116" s="12">
        <v>46391</v>
      </c>
      <c r="F116" s="10"/>
      <c r="G116" s="7">
        <v>4444274</v>
      </c>
      <c r="I116" s="7">
        <v>0</v>
      </c>
      <c r="K116" s="7">
        <v>8844251</v>
      </c>
      <c r="M116" s="7">
        <v>2643</v>
      </c>
      <c r="O116" s="7">
        <v>943242</v>
      </c>
      <c r="Q116" s="7">
        <v>42868</v>
      </c>
      <c r="S116" s="7">
        <v>10163</v>
      </c>
      <c r="U116" s="7">
        <v>0</v>
      </c>
      <c r="W116" s="7">
        <f>76249+1422</f>
        <v>77671</v>
      </c>
      <c r="Y116" s="2">
        <f t="shared" si="20"/>
        <v>14365112</v>
      </c>
      <c r="AA116" s="7">
        <v>0</v>
      </c>
      <c r="AC116" s="7">
        <v>0</v>
      </c>
      <c r="AE116" s="7">
        <v>0</v>
      </c>
      <c r="AG116" s="7">
        <v>10701</v>
      </c>
      <c r="AI116" s="7">
        <v>0</v>
      </c>
      <c r="AK116" s="7">
        <f t="shared" si="21"/>
        <v>10701</v>
      </c>
      <c r="AM116" s="7">
        <f t="shared" si="22"/>
        <v>14375813</v>
      </c>
      <c r="AP116" s="7" t="str">
        <f t="shared" si="15"/>
        <v>Clinton-Massie Local SD</v>
      </c>
      <c r="AQ116" s="7" t="str">
        <f>'Gen Fd BS'!A116</f>
        <v>Clinton-Massie Local SD</v>
      </c>
      <c r="AR116" s="7" t="b">
        <f t="shared" si="16"/>
        <v>1</v>
      </c>
      <c r="AT116" s="7" t="str">
        <f t="shared" si="14"/>
        <v>Clinton</v>
      </c>
      <c r="AU116" s="7" t="b">
        <f>C116='Gen Fd BS'!C116</f>
        <v>1</v>
      </c>
    </row>
    <row r="117" spans="1:47">
      <c r="A117" s="12" t="s">
        <v>429</v>
      </c>
      <c r="B117" s="12"/>
      <c r="C117" s="12" t="s">
        <v>47</v>
      </c>
      <c r="D117" s="12"/>
      <c r="E117" s="12">
        <v>48488</v>
      </c>
      <c r="G117" s="7">
        <v>13157309</v>
      </c>
      <c r="I117" s="7">
        <v>0</v>
      </c>
      <c r="K117" s="7">
        <v>11995622</v>
      </c>
      <c r="M117" s="7">
        <v>9934</v>
      </c>
      <c r="O117" s="7">
        <v>525936</v>
      </c>
      <c r="Q117" s="7">
        <v>190279</v>
      </c>
      <c r="S117" s="7">
        <v>0</v>
      </c>
      <c r="U117" s="7">
        <v>19321</v>
      </c>
      <c r="W117" s="7">
        <f>221235+105172+291469</f>
        <v>617876</v>
      </c>
      <c r="Y117" s="2">
        <f t="shared" si="20"/>
        <v>26516277</v>
      </c>
      <c r="AA117" s="7">
        <v>0</v>
      </c>
      <c r="AC117" s="7">
        <v>0</v>
      </c>
      <c r="AE117" s="7">
        <v>0</v>
      </c>
      <c r="AG117" s="7">
        <v>35</v>
      </c>
      <c r="AI117" s="7">
        <v>0</v>
      </c>
      <c r="AK117" s="7">
        <f t="shared" si="21"/>
        <v>35</v>
      </c>
      <c r="AM117" s="7">
        <f t="shared" si="22"/>
        <v>26516312</v>
      </c>
      <c r="AP117" s="7" t="str">
        <f t="shared" si="15"/>
        <v>Cloverleaf Local SD</v>
      </c>
      <c r="AQ117" s="7" t="str">
        <f>'Gen Fd BS'!A117</f>
        <v>Cloverleaf Local SD</v>
      </c>
      <c r="AR117" s="7" t="b">
        <f t="shared" si="16"/>
        <v>1</v>
      </c>
      <c r="AT117" s="7" t="str">
        <f t="shared" si="14"/>
        <v>Medina</v>
      </c>
      <c r="AU117" s="7" t="b">
        <f>C117='Gen Fd BS'!C117</f>
        <v>1</v>
      </c>
    </row>
    <row r="118" spans="1:47">
      <c r="A118" s="12" t="s">
        <v>865</v>
      </c>
      <c r="B118" s="12"/>
      <c r="C118" s="12" t="s">
        <v>79</v>
      </c>
      <c r="D118" s="12"/>
      <c r="E118" s="12">
        <v>45302</v>
      </c>
      <c r="G118" s="7">
        <v>8320194</v>
      </c>
      <c r="I118" s="7">
        <v>0</v>
      </c>
      <c r="K118" s="7">
        <v>10802601</v>
      </c>
      <c r="M118" s="7">
        <v>8933</v>
      </c>
      <c r="O118" s="7">
        <f>776088+48197</f>
        <v>824285</v>
      </c>
      <c r="Q118" s="7">
        <v>25214</v>
      </c>
      <c r="S118" s="7">
        <v>219498</v>
      </c>
      <c r="U118" s="7">
        <v>0</v>
      </c>
      <c r="W118" s="7">
        <v>157122</v>
      </c>
      <c r="Y118" s="2">
        <f t="shared" si="20"/>
        <v>20357847</v>
      </c>
      <c r="AA118" s="7">
        <v>0</v>
      </c>
      <c r="AC118" s="7">
        <v>0</v>
      </c>
      <c r="AE118" s="7">
        <v>0</v>
      </c>
      <c r="AG118" s="7">
        <v>19634</v>
      </c>
      <c r="AI118" s="7">
        <v>0</v>
      </c>
      <c r="AK118" s="7">
        <f t="shared" si="21"/>
        <v>19634</v>
      </c>
      <c r="AM118" s="7">
        <f t="shared" si="22"/>
        <v>20377481</v>
      </c>
      <c r="AP118" s="7" t="str">
        <f t="shared" si="15"/>
        <v>Clyde-Green Springs Exempted Village SD</v>
      </c>
      <c r="AQ118" s="7" t="str">
        <f>'Gen Fd BS'!A118</f>
        <v>Clyde-Green Springs Exempted Village SD</v>
      </c>
      <c r="AR118" s="7" t="b">
        <f t="shared" si="16"/>
        <v>1</v>
      </c>
      <c r="AT118" s="7" t="str">
        <f t="shared" si="14"/>
        <v>Sandusky</v>
      </c>
      <c r="AU118" s="7" t="b">
        <f>C118='Gen Fd BS'!C118</f>
        <v>1</v>
      </c>
    </row>
    <row r="119" spans="1:47" hidden="1">
      <c r="A119" s="12" t="s">
        <v>685</v>
      </c>
      <c r="B119" s="12"/>
      <c r="C119" s="12" t="s">
        <v>435</v>
      </c>
      <c r="D119" s="12"/>
      <c r="E119" s="12"/>
      <c r="Y119" s="2">
        <f t="shared" si="20"/>
        <v>0</v>
      </c>
      <c r="AI119" s="7">
        <v>0</v>
      </c>
      <c r="AM119" s="7">
        <f t="shared" si="22"/>
        <v>0</v>
      </c>
      <c r="AO119" s="7" t="s">
        <v>778</v>
      </c>
      <c r="AP119" s="7" t="str">
        <f t="shared" si="15"/>
        <v>Coldwater Exempted Village SD (CASH)</v>
      </c>
      <c r="AQ119" s="7" t="str">
        <f>'Gen Fd BS'!A119</f>
        <v>Coldwater Exempted Village SD (CASH)</v>
      </c>
      <c r="AR119" s="7" t="b">
        <f t="shared" si="16"/>
        <v>1</v>
      </c>
      <c r="AT119" s="7" t="str">
        <f t="shared" si="14"/>
        <v>Mercer</v>
      </c>
      <c r="AU119" s="7" t="b">
        <f>C119='Gen Fd BS'!C119</f>
        <v>1</v>
      </c>
    </row>
    <row r="120" spans="1:47" hidden="1">
      <c r="A120" s="12" t="s">
        <v>636</v>
      </c>
      <c r="B120" s="12"/>
      <c r="C120" s="12" t="s">
        <v>57</v>
      </c>
      <c r="D120" s="12"/>
      <c r="E120" s="12">
        <v>64964</v>
      </c>
      <c r="Y120" s="2">
        <f t="shared" si="20"/>
        <v>0</v>
      </c>
      <c r="AI120" s="7">
        <v>0</v>
      </c>
      <c r="AK120" s="7">
        <f t="shared" si="21"/>
        <v>0</v>
      </c>
      <c r="AM120" s="7">
        <f t="shared" si="22"/>
        <v>0</v>
      </c>
      <c r="AO120" s="7" t="s">
        <v>778</v>
      </c>
      <c r="AP120" s="7" t="str">
        <f t="shared" si="15"/>
        <v>College Corner Local SD (CASH)</v>
      </c>
      <c r="AQ120" s="7" t="str">
        <f>'Gen Fd BS'!A120</f>
        <v>College Corner Local SD (CASH)</v>
      </c>
      <c r="AR120" s="7" t="b">
        <f t="shared" si="16"/>
        <v>1</v>
      </c>
      <c r="AT120" s="7" t="str">
        <f t="shared" si="14"/>
        <v>Preble</v>
      </c>
      <c r="AU120" s="7" t="b">
        <f>C120='Gen Fd BS'!C120</f>
        <v>1</v>
      </c>
    </row>
    <row r="121" spans="1:47">
      <c r="A121" s="12" t="s">
        <v>264</v>
      </c>
      <c r="B121" s="12"/>
      <c r="C121" s="12" t="s">
        <v>111</v>
      </c>
      <c r="D121" s="12"/>
      <c r="E121" s="12">
        <v>46516</v>
      </c>
      <c r="F121" s="10"/>
      <c r="G121" s="7">
        <v>2279315</v>
      </c>
      <c r="I121" s="7">
        <v>1445080</v>
      </c>
      <c r="K121" s="7">
        <f>14297+3817487+26768</f>
        <v>3858552</v>
      </c>
      <c r="M121" s="7">
        <v>13651</v>
      </c>
      <c r="O121" s="7">
        <f>921397+6215+57831</f>
        <v>985443</v>
      </c>
      <c r="Q121" s="7">
        <v>17585</v>
      </c>
      <c r="S121" s="7">
        <v>0</v>
      </c>
      <c r="U121" s="7">
        <v>3448</v>
      </c>
      <c r="W121" s="7">
        <f>14414+3090+972</f>
        <v>18476</v>
      </c>
      <c r="Y121" s="2">
        <f t="shared" si="20"/>
        <v>8621550</v>
      </c>
      <c r="AA121" s="7">
        <v>0</v>
      </c>
      <c r="AC121" s="7">
        <v>0</v>
      </c>
      <c r="AE121" s="7">
        <v>0</v>
      </c>
      <c r="AG121" s="7">
        <v>750</v>
      </c>
      <c r="AI121" s="7">
        <v>0</v>
      </c>
      <c r="AK121" s="7">
        <f t="shared" si="21"/>
        <v>750</v>
      </c>
      <c r="AM121" s="7">
        <f t="shared" si="22"/>
        <v>8622300</v>
      </c>
      <c r="AP121" s="7" t="str">
        <f t="shared" si="15"/>
        <v>Colonel Crawford Local SD</v>
      </c>
      <c r="AQ121" s="7" t="str">
        <f>'Gen Fd BS'!A121</f>
        <v>Colonel Crawford Local SD</v>
      </c>
      <c r="AR121" s="7" t="b">
        <f t="shared" si="16"/>
        <v>1</v>
      </c>
      <c r="AT121" s="7" t="str">
        <f t="shared" si="14"/>
        <v>Crawford</v>
      </c>
      <c r="AU121" s="7" t="b">
        <f>C121='Gen Fd BS'!C121</f>
        <v>1</v>
      </c>
    </row>
    <row r="122" spans="1:47">
      <c r="A122" s="12" t="s">
        <v>395</v>
      </c>
      <c r="B122" s="12"/>
      <c r="C122" s="12" t="s">
        <v>44</v>
      </c>
      <c r="D122" s="12"/>
      <c r="E122" s="12">
        <v>48140</v>
      </c>
      <c r="G122" s="7">
        <v>5883969</v>
      </c>
      <c r="I122" s="7">
        <v>0</v>
      </c>
      <c r="K122" s="7">
        <v>3331547</v>
      </c>
      <c r="M122" s="7">
        <v>2022</v>
      </c>
      <c r="O122" s="7">
        <f>516577+52240</f>
        <v>568817</v>
      </c>
      <c r="Q122" s="7">
        <v>13554</v>
      </c>
      <c r="S122" s="7">
        <v>0</v>
      </c>
      <c r="U122" s="7">
        <v>8269</v>
      </c>
      <c r="W122" s="7">
        <f>96135+19169</f>
        <v>115304</v>
      </c>
      <c r="Y122" s="2">
        <f t="shared" si="20"/>
        <v>9923482</v>
      </c>
      <c r="AA122" s="7">
        <v>0</v>
      </c>
      <c r="AC122" s="7">
        <v>0</v>
      </c>
      <c r="AE122" s="7">
        <v>0</v>
      </c>
      <c r="AG122" s="7">
        <v>39174</v>
      </c>
      <c r="AI122" s="7">
        <v>0</v>
      </c>
      <c r="AK122" s="7">
        <f t="shared" si="21"/>
        <v>39174</v>
      </c>
      <c r="AM122" s="7">
        <f t="shared" si="22"/>
        <v>9962656</v>
      </c>
      <c r="AP122" s="7" t="str">
        <f t="shared" si="15"/>
        <v>Columbia Local SD</v>
      </c>
      <c r="AQ122" s="7" t="str">
        <f>'Gen Fd BS'!A122</f>
        <v>Columbia Local SD</v>
      </c>
      <c r="AR122" s="7" t="b">
        <f t="shared" si="16"/>
        <v>1</v>
      </c>
      <c r="AT122" s="7" t="str">
        <f t="shared" si="14"/>
        <v>Lorain</v>
      </c>
      <c r="AU122" s="7" t="b">
        <f>C122='Gen Fd BS'!C122</f>
        <v>1</v>
      </c>
    </row>
    <row r="123" spans="1:47">
      <c r="A123" s="12" t="s">
        <v>866</v>
      </c>
      <c r="B123" s="12"/>
      <c r="C123" s="12" t="s">
        <v>112</v>
      </c>
      <c r="D123" s="12"/>
      <c r="E123" s="12">
        <v>45328</v>
      </c>
      <c r="F123" s="10"/>
      <c r="G123" s="7">
        <v>3145649</v>
      </c>
      <c r="I123" s="7">
        <v>1534889</v>
      </c>
      <c r="K123" s="7">
        <v>3059433</v>
      </c>
      <c r="M123" s="7">
        <v>59905</v>
      </c>
      <c r="O123" s="7">
        <v>1076943</v>
      </c>
      <c r="Q123" s="7">
        <v>60408</v>
      </c>
      <c r="S123" s="7">
        <v>0</v>
      </c>
      <c r="U123" s="7">
        <v>8384</v>
      </c>
      <c r="W123" s="7">
        <f>92173+9697</f>
        <v>101870</v>
      </c>
      <c r="Y123" s="2">
        <f t="shared" si="20"/>
        <v>9047481</v>
      </c>
      <c r="AA123" s="7">
        <v>0</v>
      </c>
      <c r="AC123" s="7">
        <v>0</v>
      </c>
      <c r="AE123" s="7">
        <v>0</v>
      </c>
      <c r="AG123" s="7">
        <v>0</v>
      </c>
      <c r="AI123" s="7">
        <v>0</v>
      </c>
      <c r="AK123" s="7">
        <f t="shared" si="21"/>
        <v>0</v>
      </c>
      <c r="AM123" s="7">
        <f t="shared" si="22"/>
        <v>9047481</v>
      </c>
      <c r="AP123" s="7" t="str">
        <f t="shared" si="15"/>
        <v>Columbiana Exempted Village SD</v>
      </c>
      <c r="AQ123" s="7" t="str">
        <f>'Gen Fd BS'!A123</f>
        <v>Columbiana Exempted Village SD</v>
      </c>
      <c r="AR123" s="7" t="b">
        <f t="shared" si="16"/>
        <v>1</v>
      </c>
      <c r="AT123" s="7" t="str">
        <f t="shared" si="14"/>
        <v>Columbiana</v>
      </c>
      <c r="AU123" s="7" t="b">
        <f>C123='Gen Fd BS'!C123</f>
        <v>1</v>
      </c>
    </row>
    <row r="124" spans="1:47">
      <c r="A124" s="12" t="s">
        <v>307</v>
      </c>
      <c r="B124" s="12"/>
      <c r="C124" s="12" t="s">
        <v>27</v>
      </c>
      <c r="D124" s="12"/>
      <c r="E124" s="12">
        <v>43802</v>
      </c>
      <c r="G124" s="7">
        <v>358946886</v>
      </c>
      <c r="I124" s="7">
        <v>0</v>
      </c>
      <c r="K124" s="7">
        <v>327387794</v>
      </c>
      <c r="M124" s="7">
        <v>551419</v>
      </c>
      <c r="O124" s="7">
        <v>3714287</v>
      </c>
      <c r="Q124" s="7">
        <v>405243</v>
      </c>
      <c r="S124" s="7">
        <v>38140408</v>
      </c>
      <c r="U124" s="7">
        <v>241592</v>
      </c>
      <c r="W124" s="7">
        <f>3791141+636223+1785087</f>
        <v>6212451</v>
      </c>
      <c r="Y124" s="2">
        <f t="shared" si="20"/>
        <v>735600080</v>
      </c>
      <c r="AA124" s="7">
        <v>4170</v>
      </c>
      <c r="AC124" s="7">
        <v>0</v>
      </c>
      <c r="AE124" s="7">
        <v>157500</v>
      </c>
      <c r="AG124" s="7">
        <v>0</v>
      </c>
      <c r="AI124" s="7">
        <v>0</v>
      </c>
      <c r="AK124" s="7">
        <f t="shared" si="21"/>
        <v>161670</v>
      </c>
      <c r="AM124" s="7">
        <f t="shared" si="22"/>
        <v>735761750</v>
      </c>
      <c r="AP124" s="7" t="str">
        <f t="shared" si="15"/>
        <v>Columbus City SD</v>
      </c>
      <c r="AQ124" s="7" t="str">
        <f>'Gen Fd BS'!A124</f>
        <v>Columbus City SD</v>
      </c>
      <c r="AR124" s="7" t="b">
        <f t="shared" si="16"/>
        <v>1</v>
      </c>
      <c r="AT124" s="7" t="str">
        <f t="shared" si="14"/>
        <v>Franklin</v>
      </c>
      <c r="AU124" s="7" t="b">
        <f>C124='Gen Fd BS'!C124</f>
        <v>1</v>
      </c>
    </row>
    <row r="125" spans="1:47" hidden="1">
      <c r="A125" s="12" t="s">
        <v>637</v>
      </c>
      <c r="B125" s="12"/>
      <c r="C125" s="12" t="s">
        <v>482</v>
      </c>
      <c r="D125" s="12"/>
      <c r="E125" s="12">
        <v>49312</v>
      </c>
      <c r="Y125" s="2">
        <f t="shared" si="20"/>
        <v>0</v>
      </c>
      <c r="AI125" s="7">
        <v>0</v>
      </c>
      <c r="AK125" s="7">
        <f t="shared" si="21"/>
        <v>0</v>
      </c>
      <c r="AM125" s="7">
        <f t="shared" si="22"/>
        <v>0</v>
      </c>
      <c r="AO125" s="7" t="s">
        <v>778</v>
      </c>
      <c r="AP125" s="7" t="str">
        <f t="shared" si="15"/>
        <v>Columbus Grove Local SD (CASH)</v>
      </c>
      <c r="AQ125" s="7" t="str">
        <f>'Gen Fd BS'!A125</f>
        <v>Columbus Grove Local SD (CASH)</v>
      </c>
      <c r="AR125" s="7" t="b">
        <f t="shared" si="16"/>
        <v>1</v>
      </c>
      <c r="AT125" s="7" t="str">
        <f t="shared" si="14"/>
        <v>Putnam</v>
      </c>
      <c r="AU125" s="7" t="b">
        <f>C125='Gen Fd BS'!C125</f>
        <v>1</v>
      </c>
    </row>
    <row r="126" spans="1:47">
      <c r="A126" s="12" t="s">
        <v>208</v>
      </c>
      <c r="B126" s="12"/>
      <c r="C126" s="12" t="s">
        <v>12</v>
      </c>
      <c r="D126" s="12"/>
      <c r="E126" s="12">
        <v>43810</v>
      </c>
      <c r="F126" s="10"/>
      <c r="G126" s="7">
        <v>3574204</v>
      </c>
      <c r="I126" s="7">
        <v>0</v>
      </c>
      <c r="K126" s="7">
        <v>12471850</v>
      </c>
      <c r="M126" s="7">
        <v>7869</v>
      </c>
      <c r="O126" s="7">
        <v>161399</v>
      </c>
      <c r="Q126" s="7">
        <v>0</v>
      </c>
      <c r="S126" s="7">
        <v>0</v>
      </c>
      <c r="U126" s="7">
        <v>4965</v>
      </c>
      <c r="W126" s="7">
        <f>124563+776+1413</f>
        <v>126752</v>
      </c>
      <c r="Y126" s="2">
        <f t="shared" si="20"/>
        <v>16347039</v>
      </c>
      <c r="AA126" s="7">
        <v>0</v>
      </c>
      <c r="AC126" s="7">
        <v>0</v>
      </c>
      <c r="AE126" s="7">
        <v>0</v>
      </c>
      <c r="AG126" s="7">
        <v>0</v>
      </c>
      <c r="AI126" s="7">
        <v>0</v>
      </c>
      <c r="AK126" s="7">
        <f t="shared" si="21"/>
        <v>0</v>
      </c>
      <c r="AM126" s="7">
        <f t="shared" si="22"/>
        <v>16347039</v>
      </c>
      <c r="AP126" s="7" t="str">
        <f t="shared" si="15"/>
        <v>Conneaut Area City SD</v>
      </c>
      <c r="AQ126" s="7" t="str">
        <f>'Gen Fd BS'!A126</f>
        <v>Conneaut Area City SD</v>
      </c>
      <c r="AR126" s="7" t="b">
        <f t="shared" si="16"/>
        <v>1</v>
      </c>
      <c r="AT126" s="7" t="str">
        <f t="shared" si="14"/>
        <v>Ashtabula</v>
      </c>
      <c r="AU126" s="7" t="b">
        <f>C126='Gen Fd BS'!C126</f>
        <v>1</v>
      </c>
    </row>
    <row r="127" spans="1:47">
      <c r="A127" s="12" t="s">
        <v>351</v>
      </c>
      <c r="B127" s="12"/>
      <c r="C127" s="12" t="s">
        <v>352</v>
      </c>
      <c r="D127" s="12"/>
      <c r="E127" s="12">
        <v>47548</v>
      </c>
      <c r="G127" s="7">
        <v>2173506</v>
      </c>
      <c r="I127" s="7">
        <v>0</v>
      </c>
      <c r="K127" s="7">
        <v>2662536</v>
      </c>
      <c r="M127" s="7">
        <v>1582</v>
      </c>
      <c r="O127" s="7">
        <v>402491</v>
      </c>
      <c r="Q127" s="7">
        <v>13433</v>
      </c>
      <c r="S127" s="7">
        <v>0</v>
      </c>
      <c r="U127" s="7">
        <v>232</v>
      </c>
      <c r="W127" s="7">
        <v>4767</v>
      </c>
      <c r="Y127" s="2">
        <f t="shared" si="20"/>
        <v>5258547</v>
      </c>
      <c r="AA127" s="7">
        <v>0</v>
      </c>
      <c r="AC127" s="7">
        <v>0</v>
      </c>
      <c r="AE127" s="7">
        <v>0</v>
      </c>
      <c r="AG127" s="7">
        <v>0</v>
      </c>
      <c r="AI127" s="7">
        <v>0</v>
      </c>
      <c r="AK127" s="7">
        <f t="shared" si="21"/>
        <v>0</v>
      </c>
      <c r="AM127" s="7">
        <f t="shared" si="22"/>
        <v>5258547</v>
      </c>
      <c r="AP127" s="7" t="str">
        <f t="shared" si="15"/>
        <v>Conotton Valley Union Local SD</v>
      </c>
      <c r="AQ127" s="7" t="str">
        <f>'Gen Fd BS'!A127</f>
        <v>Conotton Valley Union Local SD</v>
      </c>
      <c r="AR127" s="7" t="b">
        <f t="shared" si="16"/>
        <v>1</v>
      </c>
      <c r="AT127" s="7" t="str">
        <f t="shared" si="14"/>
        <v>Harrison</v>
      </c>
      <c r="AU127" s="7" t="b">
        <f>C127='Gen Fd BS'!C127</f>
        <v>1</v>
      </c>
    </row>
    <row r="128" spans="1:47" hidden="1">
      <c r="A128" s="12" t="s">
        <v>709</v>
      </c>
      <c r="B128" s="12"/>
      <c r="C128" s="12" t="s">
        <v>482</v>
      </c>
      <c r="D128" s="12"/>
      <c r="E128" s="12">
        <v>49320</v>
      </c>
      <c r="Y128" s="2">
        <f t="shared" si="20"/>
        <v>0</v>
      </c>
      <c r="AI128" s="7">
        <v>0</v>
      </c>
      <c r="AK128" s="7">
        <f t="shared" si="21"/>
        <v>0</v>
      </c>
      <c r="AM128" s="7">
        <f t="shared" si="22"/>
        <v>0</v>
      </c>
      <c r="AO128" s="7" t="s">
        <v>778</v>
      </c>
      <c r="AP128" s="7" t="str">
        <f t="shared" si="15"/>
        <v>Continental Local SD (CASH) Two year Audit</v>
      </c>
      <c r="AQ128" s="7" t="str">
        <f>'Gen Fd BS'!A128</f>
        <v>Continental Local SD (CASH) Two year Audit</v>
      </c>
      <c r="AR128" s="7" t="b">
        <f t="shared" si="16"/>
        <v>1</v>
      </c>
      <c r="AT128" s="7" t="str">
        <f t="shared" si="14"/>
        <v>Putnam</v>
      </c>
      <c r="AU128" s="7" t="b">
        <f>C128='Gen Fd BS'!C128</f>
        <v>1</v>
      </c>
    </row>
    <row r="129" spans="1:47">
      <c r="A129" s="12" t="s">
        <v>524</v>
      </c>
      <c r="B129" s="12"/>
      <c r="C129" s="12" t="s">
        <v>63</v>
      </c>
      <c r="D129" s="12"/>
      <c r="E129" s="12">
        <v>49981</v>
      </c>
      <c r="G129" s="7">
        <v>24333747</v>
      </c>
      <c r="I129" s="7">
        <v>0</v>
      </c>
      <c r="K129" s="7">
        <v>7434825</v>
      </c>
      <c r="M129" s="7">
        <v>24096</v>
      </c>
      <c r="O129" s="7">
        <v>541969</v>
      </c>
      <c r="Q129" s="7">
        <v>0</v>
      </c>
      <c r="S129" s="7">
        <v>0</v>
      </c>
      <c r="U129" s="7">
        <v>24308</v>
      </c>
      <c r="W129" s="7">
        <f>199919+31232+26184</f>
        <v>257335</v>
      </c>
      <c r="Y129" s="2">
        <f t="shared" si="20"/>
        <v>32616280</v>
      </c>
      <c r="AA129" s="7">
        <v>0</v>
      </c>
      <c r="AC129" s="7">
        <v>0</v>
      </c>
      <c r="AE129" s="7">
        <v>0</v>
      </c>
      <c r="AG129" s="7">
        <v>0</v>
      </c>
      <c r="AI129" s="7">
        <v>0</v>
      </c>
      <c r="AK129" s="7">
        <f t="shared" si="21"/>
        <v>0</v>
      </c>
      <c r="AM129" s="7">
        <f t="shared" si="22"/>
        <v>32616280</v>
      </c>
      <c r="AP129" s="7" t="str">
        <f t="shared" si="15"/>
        <v>Copley-Fairlawn City SD</v>
      </c>
      <c r="AQ129" s="7" t="str">
        <f>'Gen Fd BS'!A129</f>
        <v>Copley-Fairlawn City SD</v>
      </c>
      <c r="AR129" s="7" t="b">
        <f t="shared" si="16"/>
        <v>1</v>
      </c>
      <c r="AT129" s="7" t="str">
        <f t="shared" si="14"/>
        <v>Summit</v>
      </c>
      <c r="AU129" s="7" t="b">
        <f>C129='Gen Fd BS'!C129</f>
        <v>1</v>
      </c>
    </row>
    <row r="130" spans="1:47">
      <c r="A130" s="12" t="s">
        <v>345</v>
      </c>
      <c r="B130" s="12"/>
      <c r="C130" s="12" t="s">
        <v>33</v>
      </c>
      <c r="D130" s="12"/>
      <c r="E130" s="12">
        <v>47431</v>
      </c>
      <c r="G130" s="7">
        <v>1662471</v>
      </c>
      <c r="I130" s="7">
        <v>1399348</v>
      </c>
      <c r="K130" s="7">
        <v>3084406</v>
      </c>
      <c r="M130" s="7">
        <v>1549</v>
      </c>
      <c r="O130" s="7">
        <v>374864</v>
      </c>
      <c r="Q130" s="7">
        <v>0</v>
      </c>
      <c r="S130" s="7">
        <v>6220</v>
      </c>
      <c r="U130" s="7">
        <v>50164</v>
      </c>
      <c r="W130" s="7">
        <v>9080</v>
      </c>
      <c r="Y130" s="2">
        <f t="shared" si="20"/>
        <v>6588102</v>
      </c>
      <c r="AA130" s="7">
        <v>0</v>
      </c>
      <c r="AC130" s="7">
        <v>0</v>
      </c>
      <c r="AE130" s="7">
        <v>0</v>
      </c>
      <c r="AG130" s="7">
        <v>255</v>
      </c>
      <c r="AI130" s="7">
        <v>0</v>
      </c>
      <c r="AK130" s="7">
        <f t="shared" si="21"/>
        <v>255</v>
      </c>
      <c r="AM130" s="7">
        <f t="shared" si="22"/>
        <v>6588357</v>
      </c>
      <c r="AP130" s="7" t="str">
        <f t="shared" si="15"/>
        <v>Cory-Rawson Local SD</v>
      </c>
      <c r="AQ130" s="7" t="str">
        <f>'Gen Fd BS'!A130</f>
        <v>Cory-Rawson Local SD</v>
      </c>
      <c r="AR130" s="7" t="b">
        <f t="shared" si="16"/>
        <v>1</v>
      </c>
      <c r="AT130" s="7" t="str">
        <f t="shared" si="14"/>
        <v>Hancock</v>
      </c>
      <c r="AU130" s="7" t="b">
        <f>C130='Gen Fd BS'!C130</f>
        <v>1</v>
      </c>
    </row>
    <row r="131" spans="1:47">
      <c r="A131" s="12" t="s">
        <v>259</v>
      </c>
      <c r="B131" s="12"/>
      <c r="C131" s="12" t="s">
        <v>19</v>
      </c>
      <c r="D131" s="12"/>
      <c r="E131" s="12">
        <v>43828</v>
      </c>
      <c r="F131" s="10"/>
      <c r="G131" s="7">
        <v>4566602</v>
      </c>
      <c r="I131" s="7">
        <v>0</v>
      </c>
      <c r="K131" s="7">
        <v>9794598</v>
      </c>
      <c r="M131" s="7">
        <v>131184</v>
      </c>
      <c r="O131" s="7">
        <f>987149+26337</f>
        <v>1013486</v>
      </c>
      <c r="Q131" s="7">
        <v>41642</v>
      </c>
      <c r="S131" s="7">
        <v>0</v>
      </c>
      <c r="U131" s="7">
        <v>0</v>
      </c>
      <c r="W131" s="7">
        <v>19774</v>
      </c>
      <c r="Y131" s="2">
        <f t="shared" si="20"/>
        <v>15567286</v>
      </c>
      <c r="AA131" s="7">
        <v>0</v>
      </c>
      <c r="AC131" s="7">
        <v>0</v>
      </c>
      <c r="AE131" s="7">
        <v>195315</v>
      </c>
      <c r="AG131" s="7">
        <v>63</v>
      </c>
      <c r="AI131" s="7">
        <v>0</v>
      </c>
      <c r="AK131" s="7">
        <f>SUM(AA131:AJ131)</f>
        <v>195378</v>
      </c>
      <c r="AM131" s="7">
        <f t="shared" si="22"/>
        <v>15762664</v>
      </c>
      <c r="AP131" s="7" t="str">
        <f t="shared" si="15"/>
        <v>Coshocton City SD</v>
      </c>
      <c r="AQ131" s="7" t="str">
        <f>'Gen Fd BS'!A131</f>
        <v>Coshocton City SD</v>
      </c>
      <c r="AR131" s="7" t="b">
        <f t="shared" si="16"/>
        <v>1</v>
      </c>
      <c r="AT131" s="7" t="str">
        <f t="shared" si="14"/>
        <v>Coshocton</v>
      </c>
      <c r="AU131" s="7" t="b">
        <f>C131='Gen Fd BS'!C131</f>
        <v>1</v>
      </c>
    </row>
    <row r="132" spans="1:47">
      <c r="A132" s="12" t="s">
        <v>629</v>
      </c>
      <c r="B132" s="12"/>
      <c r="C132" s="12" t="s">
        <v>63</v>
      </c>
      <c r="D132" s="12"/>
      <c r="E132" s="12"/>
      <c r="F132" s="10"/>
      <c r="G132" s="7">
        <v>9537635</v>
      </c>
      <c r="I132" s="7">
        <v>0</v>
      </c>
      <c r="K132" s="7">
        <v>5791494</v>
      </c>
      <c r="M132" s="7">
        <v>0</v>
      </c>
      <c r="O132" s="7">
        <v>4653320</v>
      </c>
      <c r="Q132" s="7">
        <v>158925</v>
      </c>
      <c r="S132" s="7">
        <v>0</v>
      </c>
      <c r="U132" s="7">
        <v>3227</v>
      </c>
      <c r="W132" s="7">
        <f>69055+13792+7024</f>
        <v>89871</v>
      </c>
      <c r="Y132" s="2">
        <f t="shared" si="20"/>
        <v>20234472</v>
      </c>
      <c r="AA132" s="7">
        <v>7343</v>
      </c>
      <c r="AC132" s="7">
        <v>0</v>
      </c>
      <c r="AE132" s="7">
        <v>0</v>
      </c>
      <c r="AG132" s="7">
        <v>0</v>
      </c>
      <c r="AI132" s="7">
        <v>0</v>
      </c>
      <c r="AK132" s="7">
        <f t="shared" si="21"/>
        <v>7343</v>
      </c>
      <c r="AM132" s="7">
        <f t="shared" si="22"/>
        <v>20241815</v>
      </c>
      <c r="AP132" s="7" t="str">
        <f t="shared" si="15"/>
        <v>Coventry Local SD</v>
      </c>
      <c r="AQ132" s="7" t="str">
        <f>'Gen Fd BS'!A132</f>
        <v>Coventry Local SD</v>
      </c>
      <c r="AR132" s="7" t="b">
        <f t="shared" si="16"/>
        <v>1</v>
      </c>
      <c r="AT132" s="7" t="str">
        <f t="shared" si="14"/>
        <v>Summit</v>
      </c>
      <c r="AU132" s="7" t="b">
        <f>C132='Gen Fd BS'!C132</f>
        <v>1</v>
      </c>
    </row>
    <row r="133" spans="1:47">
      <c r="A133" s="12" t="s">
        <v>867</v>
      </c>
      <c r="B133" s="12"/>
      <c r="C133" s="12" t="s">
        <v>48</v>
      </c>
      <c r="D133" s="12"/>
      <c r="E133" s="12">
        <v>45336</v>
      </c>
      <c r="G133" s="7">
        <v>1818008</v>
      </c>
      <c r="I133" s="7">
        <v>1607107</v>
      </c>
      <c r="K133" s="7">
        <f>3376155+3142</f>
        <v>3379297</v>
      </c>
      <c r="M133" s="7">
        <v>3954</v>
      </c>
      <c r="O133" s="7">
        <f>462025+38128</f>
        <v>500153</v>
      </c>
      <c r="Q133" s="7">
        <v>16453</v>
      </c>
      <c r="S133" s="7">
        <v>0</v>
      </c>
      <c r="U133" s="7">
        <v>15823</v>
      </c>
      <c r="W133" s="7">
        <f>5529+17259</f>
        <v>22788</v>
      </c>
      <c r="Y133" s="2">
        <f t="shared" si="20"/>
        <v>7363583</v>
      </c>
      <c r="AA133" s="7">
        <v>8</v>
      </c>
      <c r="AC133" s="7">
        <v>0</v>
      </c>
      <c r="AE133" s="7">
        <v>0</v>
      </c>
      <c r="AG133" s="7">
        <v>0</v>
      </c>
      <c r="AI133" s="7">
        <v>0</v>
      </c>
      <c r="AK133" s="7">
        <f t="shared" si="21"/>
        <v>8</v>
      </c>
      <c r="AM133" s="7">
        <f t="shared" si="22"/>
        <v>7363591</v>
      </c>
      <c r="AP133" s="7" t="str">
        <f t="shared" si="15"/>
        <v>Covington Exempted Village SD</v>
      </c>
      <c r="AQ133" s="7" t="str">
        <f>'Gen Fd BS'!A133</f>
        <v>Covington Exempted Village SD</v>
      </c>
      <c r="AR133" s="7" t="b">
        <f t="shared" si="16"/>
        <v>1</v>
      </c>
      <c r="AT133" s="7" t="str">
        <f t="shared" si="14"/>
        <v>Miami</v>
      </c>
      <c r="AU133" s="7" t="b">
        <f>C133='Gen Fd BS'!C133</f>
        <v>1</v>
      </c>
    </row>
    <row r="134" spans="1:47" hidden="1">
      <c r="A134" s="12" t="s">
        <v>982</v>
      </c>
      <c r="B134" s="12"/>
      <c r="C134" s="12" t="s">
        <v>111</v>
      </c>
      <c r="D134" s="12"/>
      <c r="E134" s="12">
        <v>45344</v>
      </c>
      <c r="Y134" s="2">
        <f t="shared" si="20"/>
        <v>0</v>
      </c>
      <c r="AI134" s="7">
        <v>0</v>
      </c>
      <c r="AK134" s="7">
        <f t="shared" si="21"/>
        <v>0</v>
      </c>
      <c r="AM134" s="7">
        <f t="shared" si="22"/>
        <v>0</v>
      </c>
      <c r="AO134" s="7" t="s">
        <v>903</v>
      </c>
      <c r="AP134" s="7" t="str">
        <f t="shared" si="15"/>
        <v>Crestline Exempted Village SD (CASH)</v>
      </c>
      <c r="AQ134" s="7" t="str">
        <f>'Gen Fd BS'!A134</f>
        <v>Crestline Exempted Village SD (CASH)</v>
      </c>
      <c r="AR134" s="7" t="b">
        <f t="shared" si="16"/>
        <v>1</v>
      </c>
      <c r="AT134" s="7" t="str">
        <f t="shared" si="14"/>
        <v>Crawford</v>
      </c>
      <c r="AU134" s="7" t="b">
        <f>C134='Gen Fd BS'!C134</f>
        <v>1</v>
      </c>
    </row>
    <row r="135" spans="1:47">
      <c r="A135" s="12" t="s">
        <v>253</v>
      </c>
      <c r="B135" s="12"/>
      <c r="C135" s="12" t="s">
        <v>112</v>
      </c>
      <c r="D135" s="12"/>
      <c r="E135" s="12">
        <v>46433</v>
      </c>
      <c r="F135" s="10"/>
      <c r="G135" s="7">
        <v>1888636</v>
      </c>
      <c r="I135" s="7">
        <v>1076029</v>
      </c>
      <c r="K135" s="7">
        <v>4670114</v>
      </c>
      <c r="M135" s="7">
        <v>31229</v>
      </c>
      <c r="O135" s="7">
        <v>2448281</v>
      </c>
      <c r="Q135" s="7">
        <v>57670</v>
      </c>
      <c r="S135" s="7">
        <v>0</v>
      </c>
      <c r="U135" s="7">
        <v>1854</v>
      </c>
      <c r="W135" s="7">
        <f>127691+2525</f>
        <v>130216</v>
      </c>
      <c r="Y135" s="2">
        <f t="shared" si="20"/>
        <v>10304029</v>
      </c>
      <c r="AA135" s="7">
        <v>0</v>
      </c>
      <c r="AC135" s="7">
        <v>0</v>
      </c>
      <c r="AE135" s="7">
        <v>0</v>
      </c>
      <c r="AG135" s="7">
        <v>0</v>
      </c>
      <c r="AI135" s="7">
        <v>0</v>
      </c>
      <c r="AK135" s="7">
        <f t="shared" si="21"/>
        <v>0</v>
      </c>
      <c r="AM135" s="7">
        <f t="shared" si="22"/>
        <v>10304029</v>
      </c>
      <c r="AP135" s="7" t="str">
        <f t="shared" si="15"/>
        <v>Crestview Local SD</v>
      </c>
      <c r="AQ135" s="7" t="str">
        <f>'Gen Fd BS'!A135</f>
        <v>Crestview Local SD</v>
      </c>
      <c r="AR135" s="7" t="b">
        <f t="shared" si="16"/>
        <v>1</v>
      </c>
      <c r="AT135" s="7" t="str">
        <f t="shared" si="14"/>
        <v>Columbiana</v>
      </c>
      <c r="AU135" s="7" t="b">
        <f>C135='Gen Fd BS'!C135</f>
        <v>1</v>
      </c>
    </row>
    <row r="136" spans="1:47">
      <c r="A136" s="12" t="s">
        <v>253</v>
      </c>
      <c r="B136" s="12"/>
      <c r="C136" s="12" t="s">
        <v>110</v>
      </c>
      <c r="D136" s="12"/>
      <c r="E136" s="12">
        <v>49429</v>
      </c>
      <c r="G136" s="7">
        <v>2406055</v>
      </c>
      <c r="I136" s="7">
        <v>0</v>
      </c>
      <c r="K136" s="7">
        <v>7075977</v>
      </c>
      <c r="M136" s="7">
        <v>140319</v>
      </c>
      <c r="O136" s="7">
        <f>80963+46378</f>
        <v>127341</v>
      </c>
      <c r="Q136" s="7">
        <v>13730</v>
      </c>
      <c r="S136" s="7">
        <v>0</v>
      </c>
      <c r="U136" s="7">
        <v>4407</v>
      </c>
      <c r="W136" s="7">
        <f>8514+1497</f>
        <v>10011</v>
      </c>
      <c r="Y136" s="2">
        <f t="shared" si="20"/>
        <v>9777840</v>
      </c>
      <c r="AA136" s="7">
        <v>0</v>
      </c>
      <c r="AC136" s="7">
        <v>0</v>
      </c>
      <c r="AE136" s="7">
        <v>0</v>
      </c>
      <c r="AG136" s="7">
        <v>0</v>
      </c>
      <c r="AI136" s="7">
        <v>0</v>
      </c>
      <c r="AK136" s="7">
        <f t="shared" si="21"/>
        <v>0</v>
      </c>
      <c r="AM136" s="7">
        <f t="shared" si="22"/>
        <v>9777840</v>
      </c>
      <c r="AP136" s="7" t="str">
        <f t="shared" si="15"/>
        <v>Crestview Local SD</v>
      </c>
      <c r="AQ136" s="7" t="str">
        <f>'Gen Fd BS'!A136</f>
        <v>Crestview Local SD</v>
      </c>
      <c r="AR136" s="7" t="b">
        <f t="shared" si="16"/>
        <v>1</v>
      </c>
      <c r="AT136" s="7" t="str">
        <f t="shared" si="14"/>
        <v>Richland</v>
      </c>
      <c r="AU136" s="7" t="b">
        <f>C136='Gen Fd BS'!C136</f>
        <v>1</v>
      </c>
    </row>
    <row r="137" spans="1:47" hidden="1">
      <c r="A137" s="12" t="s">
        <v>686</v>
      </c>
      <c r="B137" s="12"/>
      <c r="C137" s="12" t="s">
        <v>67</v>
      </c>
      <c r="D137" s="12"/>
      <c r="E137" s="12"/>
      <c r="Y137" s="2">
        <f t="shared" si="20"/>
        <v>0</v>
      </c>
      <c r="AI137" s="7">
        <v>0</v>
      </c>
      <c r="AM137" s="7">
        <f t="shared" si="22"/>
        <v>0</v>
      </c>
      <c r="AO137" s="7" t="s">
        <v>778</v>
      </c>
      <c r="AP137" s="7" t="str">
        <f t="shared" si="15"/>
        <v>Crestview Local SD (CASH)</v>
      </c>
      <c r="AQ137" s="7" t="str">
        <f>'Gen Fd BS'!A137</f>
        <v>Crestview Local SD (CASH)</v>
      </c>
      <c r="AR137" s="7" t="b">
        <f t="shared" si="16"/>
        <v>1</v>
      </c>
      <c r="AT137" s="7" t="str">
        <f t="shared" si="14"/>
        <v>Van Wert</v>
      </c>
      <c r="AU137" s="7" t="b">
        <f>C137='Gen Fd BS'!C137</f>
        <v>1</v>
      </c>
    </row>
    <row r="138" spans="1:47">
      <c r="A138" s="12" t="s">
        <v>758</v>
      </c>
      <c r="B138" s="12"/>
      <c r="C138" s="12" t="s">
        <v>56</v>
      </c>
      <c r="D138" s="12"/>
      <c r="E138" s="12">
        <v>49189</v>
      </c>
      <c r="G138" s="7">
        <v>4815915</v>
      </c>
      <c r="I138" s="7">
        <v>0</v>
      </c>
      <c r="K138" s="7">
        <v>12194274</v>
      </c>
      <c r="M138" s="7">
        <v>17855</v>
      </c>
      <c r="O138" s="7">
        <v>1195438</v>
      </c>
      <c r="Q138" s="7">
        <v>171295</v>
      </c>
      <c r="S138" s="7">
        <v>0</v>
      </c>
      <c r="U138" s="7">
        <v>26451</v>
      </c>
      <c r="W138" s="7">
        <f>248716+549+3540</f>
        <v>252805</v>
      </c>
      <c r="Y138" s="2">
        <f t="shared" si="20"/>
        <v>18674033</v>
      </c>
      <c r="AA138" s="7">
        <v>0</v>
      </c>
      <c r="AC138" s="7">
        <v>0</v>
      </c>
      <c r="AE138" s="7">
        <v>5603</v>
      </c>
      <c r="AG138" s="7">
        <v>0</v>
      </c>
      <c r="AI138" s="7">
        <v>0</v>
      </c>
      <c r="AK138" s="7">
        <f t="shared" si="21"/>
        <v>5603</v>
      </c>
      <c r="AM138" s="7">
        <f t="shared" si="22"/>
        <v>18679636</v>
      </c>
      <c r="AP138" s="7" t="str">
        <f t="shared" si="15"/>
        <v xml:space="preserve">Crestwood Local SD </v>
      </c>
      <c r="AQ138" s="7" t="str">
        <f>'Gen Fd BS'!A138</f>
        <v xml:space="preserve">Crestwood Local SD </v>
      </c>
      <c r="AR138" s="7" t="b">
        <f t="shared" si="16"/>
        <v>1</v>
      </c>
      <c r="AT138" s="7" t="str">
        <f t="shared" si="14"/>
        <v>Portage</v>
      </c>
      <c r="AU138" s="7" t="b">
        <f>C138='Gen Fd BS'!C138</f>
        <v>1</v>
      </c>
    </row>
    <row r="139" spans="1:47">
      <c r="A139" s="12" t="s">
        <v>868</v>
      </c>
      <c r="B139" s="12"/>
      <c r="C139" s="12" t="s">
        <v>466</v>
      </c>
      <c r="D139" s="12"/>
      <c r="E139" s="12"/>
      <c r="G139" s="7">
        <v>805439</v>
      </c>
      <c r="I139" s="7">
        <v>0</v>
      </c>
      <c r="K139" s="7">
        <f>7180289+41764</f>
        <v>7222053</v>
      </c>
      <c r="M139" s="7">
        <v>15268</v>
      </c>
      <c r="O139" s="7">
        <f>591340+2775</f>
        <v>594115</v>
      </c>
      <c r="Q139" s="7">
        <v>53252</v>
      </c>
      <c r="S139" s="7">
        <v>0</v>
      </c>
      <c r="U139" s="7">
        <v>0</v>
      </c>
      <c r="W139" s="7">
        <v>59407</v>
      </c>
      <c r="Y139" s="2">
        <f t="shared" si="20"/>
        <v>8749534</v>
      </c>
      <c r="AA139" s="7">
        <v>0</v>
      </c>
      <c r="AC139" s="7">
        <v>0</v>
      </c>
      <c r="AE139" s="7">
        <v>0</v>
      </c>
      <c r="AG139" s="7">
        <v>50015</v>
      </c>
      <c r="AI139" s="7">
        <v>0</v>
      </c>
      <c r="AK139" s="7">
        <f t="shared" si="21"/>
        <v>50015</v>
      </c>
      <c r="AM139" s="7">
        <f t="shared" si="22"/>
        <v>8799549</v>
      </c>
      <c r="AP139" s="7" t="str">
        <f t="shared" si="15"/>
        <v>Crooksville Exempted Village SD</v>
      </c>
      <c r="AQ139" s="7" t="str">
        <f>'Gen Fd BS'!A139</f>
        <v>Crooksville Exempted Village SD</v>
      </c>
      <c r="AR139" s="7" t="b">
        <f t="shared" si="16"/>
        <v>1</v>
      </c>
      <c r="AT139" s="7" t="str">
        <f t="shared" si="14"/>
        <v>Perry</v>
      </c>
      <c r="AU139" s="7" t="b">
        <f>C139='Gen Fd BS'!C139</f>
        <v>1</v>
      </c>
    </row>
    <row r="140" spans="1:47">
      <c r="A140" s="12" t="s">
        <v>687</v>
      </c>
      <c r="B140" s="12"/>
      <c r="C140" s="12" t="s">
        <v>63</v>
      </c>
      <c r="D140" s="12"/>
      <c r="E140" s="12">
        <v>43836</v>
      </c>
      <c r="G140" s="7">
        <v>25530747</v>
      </c>
      <c r="I140" s="7">
        <v>0</v>
      </c>
      <c r="K140" s="7">
        <f>17312336+157590</f>
        <v>17469926</v>
      </c>
      <c r="M140" s="7">
        <v>9405</v>
      </c>
      <c r="O140" s="7">
        <f>2263145+154931+24980</f>
        <v>2443056</v>
      </c>
      <c r="Q140" s="7">
        <v>171536</v>
      </c>
      <c r="S140" s="7">
        <v>0</v>
      </c>
      <c r="U140" s="7">
        <v>0</v>
      </c>
      <c r="W140" s="7">
        <f>230741+9556</f>
        <v>240297</v>
      </c>
      <c r="Y140" s="2">
        <f t="shared" si="20"/>
        <v>45864967</v>
      </c>
      <c r="AA140" s="7">
        <v>0</v>
      </c>
      <c r="AC140" s="7">
        <v>0</v>
      </c>
      <c r="AE140" s="7">
        <v>0</v>
      </c>
      <c r="AG140" s="7">
        <v>46455</v>
      </c>
      <c r="AI140" s="7">
        <v>0</v>
      </c>
      <c r="AK140" s="7">
        <f t="shared" si="21"/>
        <v>46455</v>
      </c>
      <c r="AM140" s="7">
        <f t="shared" ref="AM140:AM172" si="23">+AK140+Y140</f>
        <v>45911422</v>
      </c>
      <c r="AP140" s="7" t="str">
        <f t="shared" si="15"/>
        <v xml:space="preserve">Cuyahoga Falls City SD </v>
      </c>
      <c r="AQ140" s="7" t="str">
        <f>'Gen Fd BS'!A140</f>
        <v xml:space="preserve">Cuyahoga Falls City SD </v>
      </c>
      <c r="AR140" s="7" t="b">
        <f t="shared" si="16"/>
        <v>1</v>
      </c>
      <c r="AT140" s="7" t="str">
        <f t="shared" ref="AT140:AT203" si="24">C140</f>
        <v>Summit</v>
      </c>
      <c r="AU140" s="7" t="b">
        <f>C140='Gen Fd BS'!C140</f>
        <v>1</v>
      </c>
    </row>
    <row r="141" spans="1:47">
      <c r="A141" s="12" t="s">
        <v>759</v>
      </c>
      <c r="B141" s="12"/>
      <c r="C141" s="12" t="s">
        <v>20</v>
      </c>
      <c r="D141" s="12"/>
      <c r="E141" s="12">
        <v>46557</v>
      </c>
      <c r="G141" s="7">
        <v>7533909</v>
      </c>
      <c r="I141" s="7">
        <v>0</v>
      </c>
      <c r="K141" s="7">
        <v>5135971</v>
      </c>
      <c r="M141" s="7">
        <v>11576</v>
      </c>
      <c r="O141" s="7">
        <v>503659</v>
      </c>
      <c r="Q141" s="7">
        <v>76970</v>
      </c>
      <c r="S141" s="7">
        <v>0</v>
      </c>
      <c r="U141" s="7">
        <v>5126</v>
      </c>
      <c r="W141" s="7">
        <f>106621+2075</f>
        <v>108696</v>
      </c>
      <c r="Y141" s="2">
        <f t="shared" si="20"/>
        <v>13375907</v>
      </c>
      <c r="AA141" s="7">
        <v>24889</v>
      </c>
      <c r="AC141" s="7">
        <v>0</v>
      </c>
      <c r="AE141" s="7">
        <v>0</v>
      </c>
      <c r="AG141" s="7">
        <v>0</v>
      </c>
      <c r="AI141" s="7">
        <v>0</v>
      </c>
      <c r="AK141" s="7">
        <f t="shared" si="21"/>
        <v>24889</v>
      </c>
      <c r="AM141" s="7">
        <f t="shared" si="23"/>
        <v>13400796</v>
      </c>
      <c r="AP141" s="7" t="str">
        <f t="shared" ref="AP141:AP204" si="25">A141</f>
        <v xml:space="preserve">Cuyahoga Heights Local SD </v>
      </c>
      <c r="AQ141" s="7" t="str">
        <f>'Gen Fd BS'!A141</f>
        <v xml:space="preserve">Cuyahoga Heights Local SD </v>
      </c>
      <c r="AR141" s="7" t="b">
        <f t="shared" ref="AR141:AR204" si="26">AP141=AQ141</f>
        <v>1</v>
      </c>
      <c r="AT141" s="7" t="str">
        <f t="shared" si="24"/>
        <v>Cuyahoga</v>
      </c>
      <c r="AU141" s="7" t="b">
        <f>C141='Gen Fd BS'!C141</f>
        <v>1</v>
      </c>
    </row>
    <row r="142" spans="1:47">
      <c r="A142" s="12" t="s">
        <v>635</v>
      </c>
      <c r="B142" s="12"/>
      <c r="C142" s="12" t="s">
        <v>71</v>
      </c>
      <c r="D142" s="12"/>
      <c r="E142" s="12">
        <v>48934</v>
      </c>
      <c r="G142" s="7">
        <v>2526774</v>
      </c>
      <c r="I142" s="7">
        <v>959203</v>
      </c>
      <c r="K142" s="7">
        <f>9133+3611024+1953</f>
        <v>3622110</v>
      </c>
      <c r="M142" s="7">
        <v>2367</v>
      </c>
      <c r="O142" s="7">
        <f>420703+1200</f>
        <v>421903</v>
      </c>
      <c r="Q142" s="7">
        <v>89635</v>
      </c>
      <c r="S142" s="7">
        <v>0</v>
      </c>
      <c r="U142" s="7">
        <v>75</v>
      </c>
      <c r="W142" s="7">
        <f>2147+51454</f>
        <v>53601</v>
      </c>
      <c r="Y142" s="2">
        <f t="shared" si="20"/>
        <v>7675668</v>
      </c>
      <c r="AA142" s="7">
        <v>0</v>
      </c>
      <c r="AC142" s="7">
        <v>0</v>
      </c>
      <c r="AE142" s="7">
        <v>0</v>
      </c>
      <c r="AG142" s="7">
        <v>0</v>
      </c>
      <c r="AI142" s="7">
        <v>0</v>
      </c>
      <c r="AK142" s="7">
        <f t="shared" si="21"/>
        <v>0</v>
      </c>
      <c r="AM142" s="7">
        <f t="shared" si="23"/>
        <v>7675668</v>
      </c>
      <c r="AP142" s="7" t="str">
        <f t="shared" si="25"/>
        <v>Dalton Local SD</v>
      </c>
      <c r="AQ142" s="7" t="str">
        <f>'Gen Fd BS'!A142</f>
        <v>Dalton Local SD</v>
      </c>
      <c r="AR142" s="7" t="b">
        <f t="shared" si="26"/>
        <v>1</v>
      </c>
      <c r="AT142" s="7" t="str">
        <f t="shared" si="24"/>
        <v>Wayne</v>
      </c>
      <c r="AU142" s="7" t="b">
        <f>C142='Gen Fd BS'!C142</f>
        <v>1</v>
      </c>
    </row>
    <row r="143" spans="1:47" hidden="1">
      <c r="A143" s="12" t="s">
        <v>838</v>
      </c>
      <c r="B143" s="12"/>
      <c r="C143" s="12" t="s">
        <v>53</v>
      </c>
      <c r="D143" s="12"/>
      <c r="E143" s="12">
        <v>48934</v>
      </c>
      <c r="Y143" s="2">
        <f t="shared" si="20"/>
        <v>0</v>
      </c>
      <c r="AI143" s="7">
        <v>0</v>
      </c>
      <c r="AK143" s="7">
        <f t="shared" si="21"/>
        <v>0</v>
      </c>
      <c r="AM143" s="7">
        <f t="shared" si="23"/>
        <v>0</v>
      </c>
      <c r="AO143" s="7" t="s">
        <v>837</v>
      </c>
      <c r="AP143" s="7" t="str">
        <f t="shared" si="25"/>
        <v>Danbury Local SD (CASH)</v>
      </c>
      <c r="AQ143" s="7" t="str">
        <f>'Gen Fd BS'!A143</f>
        <v>Danbury Local SD (CASH)</v>
      </c>
      <c r="AR143" s="7" t="b">
        <f t="shared" si="26"/>
        <v>1</v>
      </c>
      <c r="AT143" s="7" t="str">
        <f t="shared" si="24"/>
        <v>Ottawa</v>
      </c>
      <c r="AU143" s="7" t="b">
        <f>C143='Gen Fd BS'!C143</f>
        <v>1</v>
      </c>
    </row>
    <row r="144" spans="1:47" hidden="1">
      <c r="A144" s="12" t="s">
        <v>688</v>
      </c>
      <c r="B144" s="12"/>
      <c r="C144" s="12" t="s">
        <v>40</v>
      </c>
      <c r="D144" s="12"/>
      <c r="E144" s="12">
        <v>47837</v>
      </c>
      <c r="Y144" s="2">
        <f t="shared" si="20"/>
        <v>0</v>
      </c>
      <c r="AI144" s="7">
        <v>0</v>
      </c>
      <c r="AK144" s="7">
        <f t="shared" si="21"/>
        <v>0</v>
      </c>
      <c r="AM144" s="7">
        <f t="shared" si="23"/>
        <v>0</v>
      </c>
      <c r="AO144" s="7" t="s">
        <v>839</v>
      </c>
      <c r="AP144" s="7" t="str">
        <f t="shared" si="25"/>
        <v>Danville Local SD (CASH)</v>
      </c>
      <c r="AQ144" s="7" t="str">
        <f>'Gen Fd BS'!A144</f>
        <v>Danville Local SD (CASH)</v>
      </c>
      <c r="AR144" s="7" t="b">
        <f t="shared" si="26"/>
        <v>1</v>
      </c>
      <c r="AT144" s="7" t="str">
        <f t="shared" si="24"/>
        <v>Knox</v>
      </c>
      <c r="AU144" s="7" t="b">
        <f>C144='Gen Fd BS'!C144</f>
        <v>1</v>
      </c>
    </row>
    <row r="145" spans="1:47">
      <c r="A145" s="12" t="s">
        <v>378</v>
      </c>
      <c r="B145" s="12"/>
      <c r="C145" s="12" t="s">
        <v>377</v>
      </c>
      <c r="D145" s="12"/>
      <c r="E145" s="12">
        <v>47928</v>
      </c>
      <c r="G145" s="7">
        <v>1139193</v>
      </c>
      <c r="I145" s="7">
        <v>0</v>
      </c>
      <c r="K145" s="7">
        <v>8339748</v>
      </c>
      <c r="M145" s="7">
        <v>17662</v>
      </c>
      <c r="O145" s="7">
        <v>908058</v>
      </c>
      <c r="Q145" s="7">
        <v>73558</v>
      </c>
      <c r="S145" s="7">
        <v>0</v>
      </c>
      <c r="U145" s="7">
        <v>0</v>
      </c>
      <c r="W145" s="7">
        <f>6885+9093</f>
        <v>15978</v>
      </c>
      <c r="Y145" s="2">
        <f t="shared" si="20"/>
        <v>10494197</v>
      </c>
      <c r="AA145" s="7">
        <v>0</v>
      </c>
      <c r="AC145" s="7">
        <v>0</v>
      </c>
      <c r="AE145" s="7">
        <v>0</v>
      </c>
      <c r="AG145" s="7">
        <v>6058</v>
      </c>
      <c r="AI145" s="7">
        <v>0</v>
      </c>
      <c r="AK145" s="7">
        <f t="shared" si="21"/>
        <v>6058</v>
      </c>
      <c r="AM145" s="7">
        <f t="shared" si="23"/>
        <v>10500255</v>
      </c>
      <c r="AP145" s="7" t="str">
        <f t="shared" si="25"/>
        <v>Dawson-Bryant Local SD</v>
      </c>
      <c r="AQ145" s="7" t="str">
        <f>'Gen Fd BS'!A145</f>
        <v>Dawson-Bryant Local SD</v>
      </c>
      <c r="AR145" s="7" t="b">
        <f t="shared" si="26"/>
        <v>1</v>
      </c>
      <c r="AT145" s="7" t="str">
        <f t="shared" si="24"/>
        <v>Lawrence</v>
      </c>
      <c r="AU145" s="7" t="b">
        <f>C145='Gen Fd BS'!C145</f>
        <v>1</v>
      </c>
    </row>
    <row r="146" spans="1:47">
      <c r="A146" s="12" t="s">
        <v>442</v>
      </c>
      <c r="B146" s="12"/>
      <c r="C146" s="12" t="s">
        <v>50</v>
      </c>
      <c r="D146" s="12"/>
      <c r="E146" s="12">
        <v>43844</v>
      </c>
      <c r="G146" s="7">
        <v>59974430</v>
      </c>
      <c r="I146" s="7">
        <v>0</v>
      </c>
      <c r="K146" s="7">
        <v>149417045</v>
      </c>
      <c r="M146" s="7">
        <v>434535</v>
      </c>
      <c r="O146" s="7">
        <v>2764195</v>
      </c>
      <c r="Q146" s="7">
        <v>602972</v>
      </c>
      <c r="S146" s="7">
        <v>0</v>
      </c>
      <c r="U146" s="7">
        <v>0</v>
      </c>
      <c r="W146" s="7">
        <f>4468481+207709+608231</f>
        <v>5284421</v>
      </c>
      <c r="Y146" s="2">
        <f t="shared" si="20"/>
        <v>218477598</v>
      </c>
      <c r="AA146" s="7">
        <v>0</v>
      </c>
      <c r="AC146" s="7">
        <v>0</v>
      </c>
      <c r="AE146" s="7">
        <v>0</v>
      </c>
      <c r="AG146" s="7">
        <v>0</v>
      </c>
      <c r="AI146" s="7">
        <v>0</v>
      </c>
      <c r="AK146" s="7">
        <f t="shared" si="21"/>
        <v>0</v>
      </c>
      <c r="AM146" s="7">
        <f t="shared" si="23"/>
        <v>218477598</v>
      </c>
      <c r="AO146" s="7" t="s">
        <v>843</v>
      </c>
      <c r="AP146" s="7" t="str">
        <f t="shared" si="25"/>
        <v>Dayton City SD</v>
      </c>
      <c r="AQ146" s="7" t="str">
        <f>'Gen Fd BS'!A146</f>
        <v>Dayton City SD</v>
      </c>
      <c r="AR146" s="7" t="b">
        <f t="shared" si="26"/>
        <v>1</v>
      </c>
      <c r="AT146" s="7" t="str">
        <f t="shared" si="24"/>
        <v>Montgomery</v>
      </c>
      <c r="AU146" s="7" t="b">
        <f>C146='Gen Fd BS'!C146</f>
        <v>1</v>
      </c>
    </row>
    <row r="147" spans="1:47">
      <c r="A147" s="12" t="s">
        <v>689</v>
      </c>
      <c r="B147" s="12"/>
      <c r="C147" s="12" t="s">
        <v>32</v>
      </c>
      <c r="D147" s="12"/>
      <c r="E147" s="12">
        <v>43851</v>
      </c>
      <c r="G147" s="7">
        <v>8277249</v>
      </c>
      <c r="I147" s="7">
        <v>0</v>
      </c>
      <c r="K147" s="7">
        <v>4921271</v>
      </c>
      <c r="M147" s="7">
        <v>36557</v>
      </c>
      <c r="O147" s="7">
        <v>145316</v>
      </c>
      <c r="Q147" s="7">
        <v>42259</v>
      </c>
      <c r="S147" s="7">
        <v>546467</v>
      </c>
      <c r="U147" s="7">
        <v>0</v>
      </c>
      <c r="W147" s="7">
        <f>16750+136671</f>
        <v>153421</v>
      </c>
      <c r="Y147" s="2">
        <f t="shared" si="20"/>
        <v>14122540</v>
      </c>
      <c r="AA147" s="7">
        <v>0</v>
      </c>
      <c r="AC147" s="7">
        <v>0</v>
      </c>
      <c r="AE147" s="7">
        <v>0</v>
      </c>
      <c r="AG147" s="7">
        <v>567</v>
      </c>
      <c r="AI147" s="7">
        <v>0</v>
      </c>
      <c r="AK147" s="7">
        <f t="shared" si="21"/>
        <v>567</v>
      </c>
      <c r="AM147" s="7">
        <f t="shared" si="23"/>
        <v>14123107</v>
      </c>
      <c r="AP147" s="7" t="str">
        <f t="shared" si="25"/>
        <v>Deer Park City SD</v>
      </c>
      <c r="AQ147" s="7" t="str">
        <f>'Gen Fd BS'!A147</f>
        <v>Deer Park City SD</v>
      </c>
      <c r="AR147" s="7" t="b">
        <f t="shared" si="26"/>
        <v>1</v>
      </c>
      <c r="AT147" s="7" t="str">
        <f t="shared" si="24"/>
        <v>Hamilton</v>
      </c>
      <c r="AU147" s="7" t="b">
        <f>C147='Gen Fd BS'!C147</f>
        <v>1</v>
      </c>
    </row>
    <row r="148" spans="1:47" hidden="1">
      <c r="A148" s="12" t="s">
        <v>690</v>
      </c>
      <c r="B148" s="12"/>
      <c r="C148" s="12" t="s">
        <v>22</v>
      </c>
      <c r="D148" s="12"/>
      <c r="E148" s="12">
        <v>43869</v>
      </c>
      <c r="Y148" s="2">
        <f t="shared" si="20"/>
        <v>0</v>
      </c>
      <c r="AI148" s="7">
        <v>0</v>
      </c>
      <c r="AK148" s="7">
        <f t="shared" si="21"/>
        <v>0</v>
      </c>
      <c r="AM148" s="7">
        <f t="shared" si="23"/>
        <v>0</v>
      </c>
      <c r="AO148" s="7" t="s">
        <v>839</v>
      </c>
      <c r="AP148" s="7" t="str">
        <f t="shared" si="25"/>
        <v>Defiance City SD (CASH)</v>
      </c>
      <c r="AQ148" s="7" t="str">
        <f>'Gen Fd BS'!A148</f>
        <v>Defiance City SD (CASH)</v>
      </c>
      <c r="AR148" s="7" t="b">
        <f t="shared" si="26"/>
        <v>1</v>
      </c>
      <c r="AT148" s="7" t="str">
        <f t="shared" si="24"/>
        <v>Defiance</v>
      </c>
      <c r="AU148" s="7" t="b">
        <f>C148='Gen Fd BS'!C148</f>
        <v>1</v>
      </c>
    </row>
    <row r="149" spans="1:47">
      <c r="A149" s="12" t="s">
        <v>840</v>
      </c>
      <c r="B149" s="12"/>
      <c r="C149" s="12" t="s">
        <v>23</v>
      </c>
      <c r="D149" s="12"/>
      <c r="E149" s="12"/>
      <c r="G149" s="7">
        <v>23287863</v>
      </c>
      <c r="I149" s="7">
        <v>0</v>
      </c>
      <c r="K149" s="7">
        <v>17225068</v>
      </c>
      <c r="M149" s="7">
        <v>14316</v>
      </c>
      <c r="O149" s="7">
        <v>1360505</v>
      </c>
      <c r="Q149" s="7">
        <v>95100</v>
      </c>
      <c r="S149" s="7">
        <v>0</v>
      </c>
      <c r="U149" s="7">
        <v>17584</v>
      </c>
      <c r="W149" s="7">
        <f>18971+17088+259800</f>
        <v>295859</v>
      </c>
      <c r="Y149" s="2">
        <f t="shared" si="20"/>
        <v>42296295</v>
      </c>
      <c r="AA149" s="7">
        <v>0</v>
      </c>
      <c r="AC149" s="7">
        <v>0</v>
      </c>
      <c r="AE149" s="7">
        <v>0</v>
      </c>
      <c r="AG149" s="7">
        <v>0</v>
      </c>
      <c r="AI149" s="7">
        <v>0</v>
      </c>
      <c r="AM149" s="7">
        <f t="shared" si="23"/>
        <v>42296295</v>
      </c>
      <c r="AP149" s="7" t="str">
        <f t="shared" si="25"/>
        <v>Delaware City SD</v>
      </c>
      <c r="AQ149" s="7" t="str">
        <f>'Gen Fd BS'!A149</f>
        <v>Delaware City SD</v>
      </c>
      <c r="AR149" s="7" t="b">
        <f t="shared" si="26"/>
        <v>1</v>
      </c>
      <c r="AT149" s="7" t="str">
        <f t="shared" si="24"/>
        <v>Delaware</v>
      </c>
      <c r="AU149" s="7" t="b">
        <f>C149='Gen Fd BS'!C149</f>
        <v>1</v>
      </c>
    </row>
    <row r="150" spans="1:47">
      <c r="A150" s="12" t="s">
        <v>202</v>
      </c>
      <c r="B150" s="12"/>
      <c r="C150" s="12" t="s">
        <v>10</v>
      </c>
      <c r="D150" s="12"/>
      <c r="E150" s="12">
        <v>43885</v>
      </c>
      <c r="F150" s="10"/>
      <c r="G150" s="7">
        <v>3509304</v>
      </c>
      <c r="I150" s="7">
        <v>0</v>
      </c>
      <c r="K150" s="7">
        <v>4112866</v>
      </c>
      <c r="M150" s="7">
        <v>22939</v>
      </c>
      <c r="O150" s="7">
        <v>759045</v>
      </c>
      <c r="Q150" s="7">
        <v>0</v>
      </c>
      <c r="S150" s="7">
        <v>38562</v>
      </c>
      <c r="U150" s="7">
        <v>6232</v>
      </c>
      <c r="W150" s="7">
        <v>89685</v>
      </c>
      <c r="Y150" s="2">
        <f t="shared" si="20"/>
        <v>8538633</v>
      </c>
      <c r="AA150" s="7">
        <v>0</v>
      </c>
      <c r="AC150" s="7">
        <v>0</v>
      </c>
      <c r="AE150" s="7">
        <v>0</v>
      </c>
      <c r="AG150" s="7">
        <v>0</v>
      </c>
      <c r="AI150" s="7">
        <v>0</v>
      </c>
      <c r="AK150" s="7">
        <f t="shared" ref="AK150:AK196" si="27">SUM(AA150:AJ150)</f>
        <v>0</v>
      </c>
      <c r="AM150" s="7">
        <f t="shared" si="23"/>
        <v>8538633</v>
      </c>
      <c r="AP150" s="7" t="str">
        <f t="shared" si="25"/>
        <v>Delphos City SD</v>
      </c>
      <c r="AQ150" s="7" t="str">
        <f>'Gen Fd BS'!A150</f>
        <v>Delphos City SD</v>
      </c>
      <c r="AR150" s="7" t="b">
        <f t="shared" si="26"/>
        <v>1</v>
      </c>
      <c r="AT150" s="7" t="str">
        <f t="shared" si="24"/>
        <v>Allen</v>
      </c>
      <c r="AU150" s="7" t="b">
        <f>C150='Gen Fd BS'!C150</f>
        <v>1</v>
      </c>
    </row>
    <row r="151" spans="1:47">
      <c r="A151" s="12" t="s">
        <v>550</v>
      </c>
      <c r="B151" s="12"/>
      <c r="C151" s="12" t="s">
        <v>65</v>
      </c>
      <c r="D151" s="12"/>
      <c r="E151" s="12">
        <v>43893</v>
      </c>
      <c r="G151" s="7">
        <v>11142486</v>
      </c>
      <c r="I151" s="7">
        <v>0</v>
      </c>
      <c r="K151" s="7">
        <v>9497536</v>
      </c>
      <c r="M151" s="7">
        <v>6703</v>
      </c>
      <c r="O151" s="7">
        <v>123721</v>
      </c>
      <c r="Q151" s="7">
        <v>149731</v>
      </c>
      <c r="S151" s="7">
        <v>0</v>
      </c>
      <c r="U151" s="7">
        <v>42627</v>
      </c>
      <c r="W151" s="7">
        <v>86921</v>
      </c>
      <c r="Y151" s="2">
        <f t="shared" si="20"/>
        <v>21049725</v>
      </c>
      <c r="AA151" s="7">
        <v>0</v>
      </c>
      <c r="AC151" s="7">
        <v>0</v>
      </c>
      <c r="AE151" s="7">
        <v>0</v>
      </c>
      <c r="AG151" s="7">
        <v>0</v>
      </c>
      <c r="AI151" s="7">
        <v>0</v>
      </c>
      <c r="AK151" s="7">
        <f t="shared" si="27"/>
        <v>0</v>
      </c>
      <c r="AM151" s="7">
        <f t="shared" si="23"/>
        <v>21049725</v>
      </c>
      <c r="AP151" s="7" t="str">
        <f t="shared" si="25"/>
        <v>Dover City SD</v>
      </c>
      <c r="AQ151" s="7" t="str">
        <f>'Gen Fd BS'!A151</f>
        <v>Dover City SD</v>
      </c>
      <c r="AR151" s="7" t="b">
        <f t="shared" si="26"/>
        <v>1</v>
      </c>
      <c r="AT151" s="7" t="str">
        <f t="shared" si="24"/>
        <v>Tuscarawas</v>
      </c>
      <c r="AU151" s="7" t="b">
        <f>C151='Gen Fd BS'!C151</f>
        <v>1</v>
      </c>
    </row>
    <row r="152" spans="1:47">
      <c r="A152" s="12" t="s">
        <v>308</v>
      </c>
      <c r="B152" s="12"/>
      <c r="C152" s="12" t="s">
        <v>27</v>
      </c>
      <c r="D152" s="12"/>
      <c r="E152" s="12">
        <v>47027</v>
      </c>
      <c r="G152" s="7">
        <v>125886079</v>
      </c>
      <c r="I152" s="7">
        <v>0</v>
      </c>
      <c r="K152" s="7">
        <v>34560435</v>
      </c>
      <c r="M152" s="7">
        <v>1028157</v>
      </c>
      <c r="O152" s="7">
        <v>478307</v>
      </c>
      <c r="Q152" s="7">
        <v>0</v>
      </c>
      <c r="S152" s="7">
        <v>0</v>
      </c>
      <c r="U152" s="7">
        <v>0</v>
      </c>
      <c r="W152" s="7">
        <f>1415379+8340</f>
        <v>1423719</v>
      </c>
      <c r="Y152" s="2">
        <f t="shared" si="20"/>
        <v>163376697</v>
      </c>
      <c r="AA152" s="7">
        <v>0</v>
      </c>
      <c r="AC152" s="7">
        <v>0</v>
      </c>
      <c r="AE152" s="7">
        <v>0</v>
      </c>
      <c r="AG152" s="7">
        <v>0</v>
      </c>
      <c r="AI152" s="7">
        <v>0</v>
      </c>
      <c r="AK152" s="7">
        <f t="shared" si="27"/>
        <v>0</v>
      </c>
      <c r="AM152" s="7">
        <f t="shared" si="23"/>
        <v>163376697</v>
      </c>
      <c r="AP152" s="7" t="str">
        <f t="shared" si="25"/>
        <v>Dublin City SD</v>
      </c>
      <c r="AQ152" s="7" t="str">
        <f>'Gen Fd BS'!A152</f>
        <v>Dublin City SD</v>
      </c>
      <c r="AR152" s="7" t="b">
        <f t="shared" si="26"/>
        <v>1</v>
      </c>
      <c r="AT152" s="7" t="str">
        <f t="shared" si="24"/>
        <v>Franklin</v>
      </c>
      <c r="AU152" s="7" t="b">
        <f>C152='Gen Fd BS'!C152</f>
        <v>1</v>
      </c>
    </row>
    <row r="153" spans="1:47">
      <c r="A153" s="12" t="s">
        <v>272</v>
      </c>
      <c r="B153" s="12"/>
      <c r="C153" s="12" t="s">
        <v>20</v>
      </c>
      <c r="D153" s="12"/>
      <c r="E153" s="12">
        <v>43901</v>
      </c>
      <c r="G153" s="7">
        <v>7452416</v>
      </c>
      <c r="I153" s="7">
        <v>0</v>
      </c>
      <c r="K153" s="7">
        <v>34872922</v>
      </c>
      <c r="M153" s="7">
        <v>294722</v>
      </c>
      <c r="O153" s="7">
        <v>4283098</v>
      </c>
      <c r="Q153" s="7">
        <v>12432</v>
      </c>
      <c r="S153" s="7">
        <v>0</v>
      </c>
      <c r="U153" s="7">
        <v>10682</v>
      </c>
      <c r="W153" s="7">
        <f>1535+1062645</f>
        <v>1064180</v>
      </c>
      <c r="Y153" s="2">
        <f t="shared" si="20"/>
        <v>47990452</v>
      </c>
      <c r="AA153" s="7">
        <v>0</v>
      </c>
      <c r="AC153" s="7">
        <v>0</v>
      </c>
      <c r="AE153" s="7">
        <v>0</v>
      </c>
      <c r="AG153" s="7">
        <v>0</v>
      </c>
      <c r="AI153" s="7">
        <v>0</v>
      </c>
      <c r="AK153" s="7">
        <f t="shared" si="27"/>
        <v>0</v>
      </c>
      <c r="AM153" s="7">
        <f t="shared" si="23"/>
        <v>47990452</v>
      </c>
      <c r="AO153" s="7" t="s">
        <v>843</v>
      </c>
      <c r="AP153" s="7" t="str">
        <f t="shared" si="25"/>
        <v>East Cleveland City SD</v>
      </c>
      <c r="AQ153" s="7" t="str">
        <f>'Gen Fd BS'!A153</f>
        <v>East Cleveland City SD</v>
      </c>
      <c r="AR153" s="7" t="b">
        <f t="shared" si="26"/>
        <v>1</v>
      </c>
      <c r="AT153" s="7" t="str">
        <f t="shared" si="24"/>
        <v>Cuyahoga</v>
      </c>
      <c r="AU153" s="7" t="b">
        <f>C153='Gen Fd BS'!C153</f>
        <v>1</v>
      </c>
    </row>
    <row r="154" spans="1:47">
      <c r="A154" s="12" t="s">
        <v>250</v>
      </c>
      <c r="B154" s="12"/>
      <c r="C154" s="12" t="s">
        <v>18</v>
      </c>
      <c r="D154" s="12"/>
      <c r="E154" s="12">
        <v>46409</v>
      </c>
      <c r="F154" s="10"/>
      <c r="G154" s="7">
        <v>2328422</v>
      </c>
      <c r="I154" s="7">
        <v>0</v>
      </c>
      <c r="K154" s="7">
        <v>8216389</v>
      </c>
      <c r="M154" s="7">
        <v>59841</v>
      </c>
      <c r="O154" s="7">
        <v>581231</v>
      </c>
      <c r="Q154" s="7">
        <v>0</v>
      </c>
      <c r="S154" s="7">
        <v>0</v>
      </c>
      <c r="U154" s="7">
        <v>0</v>
      </c>
      <c r="W154" s="7">
        <f>2925+72258</f>
        <v>75183</v>
      </c>
      <c r="Y154" s="2">
        <f t="shared" si="20"/>
        <v>11261066</v>
      </c>
      <c r="AA154" s="7">
        <v>0</v>
      </c>
      <c r="AC154" s="7">
        <v>0</v>
      </c>
      <c r="AE154" s="7">
        <v>0</v>
      </c>
      <c r="AG154" s="7">
        <v>7485</v>
      </c>
      <c r="AI154" s="7">
        <v>0</v>
      </c>
      <c r="AK154" s="7">
        <f t="shared" si="27"/>
        <v>7485</v>
      </c>
      <c r="AM154" s="7">
        <f t="shared" si="23"/>
        <v>11268551</v>
      </c>
      <c r="AP154" s="7" t="str">
        <f t="shared" si="25"/>
        <v>East Clinton Local SD</v>
      </c>
      <c r="AQ154" s="7" t="str">
        <f>'Gen Fd BS'!A154</f>
        <v>East Clinton Local SD</v>
      </c>
      <c r="AR154" s="7" t="b">
        <f t="shared" si="26"/>
        <v>1</v>
      </c>
      <c r="AT154" s="7" t="str">
        <f t="shared" si="24"/>
        <v>Clinton</v>
      </c>
      <c r="AU154" s="7" t="b">
        <f>C154='Gen Fd BS'!C154</f>
        <v>1</v>
      </c>
    </row>
    <row r="155" spans="1:47">
      <c r="A155" s="12" t="s">
        <v>328</v>
      </c>
      <c r="B155" s="12"/>
      <c r="C155" s="12" t="s">
        <v>31</v>
      </c>
      <c r="D155" s="12"/>
      <c r="E155" s="12">
        <v>69682</v>
      </c>
      <c r="G155" s="7">
        <v>2554464</v>
      </c>
      <c r="I155" s="7">
        <v>0</v>
      </c>
      <c r="K155" s="7">
        <v>6579153</v>
      </c>
      <c r="M155" s="7">
        <v>6682</v>
      </c>
      <c r="O155" s="7">
        <v>993726</v>
      </c>
      <c r="Q155" s="7">
        <v>139368</v>
      </c>
      <c r="S155" s="7">
        <v>0</v>
      </c>
      <c r="U155" s="7">
        <v>48337</v>
      </c>
      <c r="W155" s="7">
        <f>2283+71898</f>
        <v>74181</v>
      </c>
      <c r="Y155" s="2">
        <f t="shared" ref="Y155:Y204" si="28">SUM(G155:X155)</f>
        <v>10395911</v>
      </c>
      <c r="AA155" s="7">
        <v>0</v>
      </c>
      <c r="AC155" s="7">
        <v>0</v>
      </c>
      <c r="AE155" s="7">
        <v>0</v>
      </c>
      <c r="AG155" s="7">
        <v>0</v>
      </c>
      <c r="AI155" s="7">
        <v>0</v>
      </c>
      <c r="AK155" s="7">
        <f t="shared" si="27"/>
        <v>0</v>
      </c>
      <c r="AM155" s="7">
        <f t="shared" si="23"/>
        <v>10395911</v>
      </c>
      <c r="AP155" s="7" t="str">
        <f t="shared" si="25"/>
        <v>East Guernsey Local SD</v>
      </c>
      <c r="AQ155" s="7" t="str">
        <f>'Gen Fd BS'!A155</f>
        <v>East Guernsey Local SD</v>
      </c>
      <c r="AR155" s="7" t="b">
        <f t="shared" si="26"/>
        <v>1</v>
      </c>
      <c r="AT155" s="7" t="str">
        <f t="shared" si="24"/>
        <v>Guernsey</v>
      </c>
      <c r="AU155" s="7" t="b">
        <f>C155='Gen Fd BS'!C155</f>
        <v>1</v>
      </c>
    </row>
    <row r="156" spans="1:47">
      <c r="A156" s="12" t="s">
        <v>363</v>
      </c>
      <c r="B156" s="12"/>
      <c r="C156" s="12" t="s">
        <v>36</v>
      </c>
      <c r="D156" s="12"/>
      <c r="E156" s="12">
        <v>47688</v>
      </c>
      <c r="G156" s="7">
        <v>7670930</v>
      </c>
      <c r="I156" s="7">
        <v>0</v>
      </c>
      <c r="K156" s="7">
        <v>6105132</v>
      </c>
      <c r="M156" s="7">
        <v>71069</v>
      </c>
      <c r="O156" s="7">
        <v>689214</v>
      </c>
      <c r="Q156" s="7">
        <v>214327</v>
      </c>
      <c r="S156" s="7">
        <v>0</v>
      </c>
      <c r="U156" s="7">
        <v>14246</v>
      </c>
      <c r="W156" s="7">
        <f>8291+72295</f>
        <v>80586</v>
      </c>
      <c r="Y156" s="2">
        <f t="shared" si="28"/>
        <v>14845504</v>
      </c>
      <c r="AA156" s="7">
        <v>0</v>
      </c>
      <c r="AC156" s="7">
        <v>0</v>
      </c>
      <c r="AE156" s="7">
        <v>0</v>
      </c>
      <c r="AG156" s="7">
        <v>6821</v>
      </c>
      <c r="AI156" s="7">
        <v>0</v>
      </c>
      <c r="AK156" s="7">
        <f t="shared" si="27"/>
        <v>6821</v>
      </c>
      <c r="AM156" s="7">
        <f t="shared" si="23"/>
        <v>14852325</v>
      </c>
      <c r="AO156" s="7" t="s">
        <v>843</v>
      </c>
      <c r="AP156" s="7" t="str">
        <f t="shared" si="25"/>
        <v>East Holmes Local SD</v>
      </c>
      <c r="AQ156" s="7" t="str">
        <f>'Gen Fd BS'!A156</f>
        <v>East Holmes Local SD</v>
      </c>
      <c r="AR156" s="7" t="b">
        <f t="shared" si="26"/>
        <v>1</v>
      </c>
      <c r="AT156" s="7" t="str">
        <f t="shared" si="24"/>
        <v>Holmes</v>
      </c>
      <c r="AU156" s="7" t="b">
        <f>C156='Gen Fd BS'!C156</f>
        <v>1</v>
      </c>
    </row>
    <row r="157" spans="1:47" hidden="1">
      <c r="A157" s="12" t="s">
        <v>691</v>
      </c>
      <c r="B157" s="12"/>
      <c r="C157" s="12" t="s">
        <v>40</v>
      </c>
      <c r="D157" s="12"/>
      <c r="E157" s="12"/>
      <c r="Y157" s="2">
        <f t="shared" si="28"/>
        <v>0</v>
      </c>
      <c r="AI157" s="7">
        <v>0</v>
      </c>
      <c r="AM157" s="7">
        <f t="shared" si="23"/>
        <v>0</v>
      </c>
      <c r="AO157" s="7" t="s">
        <v>839</v>
      </c>
      <c r="AP157" s="7" t="str">
        <f t="shared" si="25"/>
        <v>East Knox Local SD (CASH)</v>
      </c>
      <c r="AQ157" s="7" t="str">
        <f>'Gen Fd BS'!A157</f>
        <v>East Knox Local SD (CASH)</v>
      </c>
      <c r="AR157" s="7" t="b">
        <f t="shared" si="26"/>
        <v>1</v>
      </c>
      <c r="AT157" s="7" t="str">
        <f t="shared" si="24"/>
        <v>Knox</v>
      </c>
      <c r="AU157" s="7" t="b">
        <f>C157='Gen Fd BS'!C157</f>
        <v>1</v>
      </c>
    </row>
    <row r="158" spans="1:47">
      <c r="A158" s="12" t="s">
        <v>254</v>
      </c>
      <c r="B158" s="12"/>
      <c r="C158" s="12" t="s">
        <v>112</v>
      </c>
      <c r="D158" s="12"/>
      <c r="E158" s="12">
        <v>43919</v>
      </c>
      <c r="F158" s="10"/>
      <c r="G158" s="7">
        <v>3450530</v>
      </c>
      <c r="I158" s="7">
        <v>0</v>
      </c>
      <c r="K158" s="7">
        <v>17580428</v>
      </c>
      <c r="M158" s="7">
        <v>50070</v>
      </c>
      <c r="O158" s="7">
        <v>694899</v>
      </c>
      <c r="Q158" s="7">
        <v>25560</v>
      </c>
      <c r="S158" s="7">
        <v>0</v>
      </c>
      <c r="U158" s="7">
        <v>5788</v>
      </c>
      <c r="W158" s="7">
        <f>6659+88110</f>
        <v>94769</v>
      </c>
      <c r="Y158" s="2">
        <f t="shared" si="28"/>
        <v>21902044</v>
      </c>
      <c r="AA158" s="7">
        <v>0</v>
      </c>
      <c r="AC158" s="7">
        <v>0</v>
      </c>
      <c r="AE158" s="7">
        <v>0</v>
      </c>
      <c r="AG158" s="7">
        <v>16006</v>
      </c>
      <c r="AI158" s="7">
        <v>0</v>
      </c>
      <c r="AK158" s="7">
        <f t="shared" si="27"/>
        <v>16006</v>
      </c>
      <c r="AM158" s="7">
        <f t="shared" si="23"/>
        <v>21918050</v>
      </c>
      <c r="AP158" s="7" t="str">
        <f t="shared" si="25"/>
        <v>East Liverpool City SD</v>
      </c>
      <c r="AQ158" s="7" t="str">
        <f>'Gen Fd BS'!A158</f>
        <v>East Liverpool City SD</v>
      </c>
      <c r="AR158" s="7" t="b">
        <f t="shared" si="26"/>
        <v>1</v>
      </c>
      <c r="AT158" s="7" t="str">
        <f t="shared" si="24"/>
        <v>Columbiana</v>
      </c>
      <c r="AU158" s="7" t="b">
        <f>C158='Gen Fd BS'!C158</f>
        <v>1</v>
      </c>
    </row>
    <row r="159" spans="1:47">
      <c r="A159" s="12" t="s">
        <v>456</v>
      </c>
      <c r="B159" s="12"/>
      <c r="C159" s="12" t="s">
        <v>51</v>
      </c>
      <c r="D159" s="12"/>
      <c r="E159" s="12">
        <v>48835</v>
      </c>
      <c r="G159" s="7">
        <v>5549686</v>
      </c>
      <c r="I159" s="7">
        <v>0</v>
      </c>
      <c r="K159" s="7">
        <v>9477552</v>
      </c>
      <c r="M159" s="7">
        <v>79150</v>
      </c>
      <c r="O159" s="7">
        <v>1372644</v>
      </c>
      <c r="Q159" s="7">
        <v>0</v>
      </c>
      <c r="S159" s="7">
        <v>68040</v>
      </c>
      <c r="U159" s="7">
        <v>6225</v>
      </c>
      <c r="W159" s="7">
        <f>8479+102723</f>
        <v>111202</v>
      </c>
      <c r="Y159" s="2">
        <f t="shared" si="28"/>
        <v>16664499</v>
      </c>
      <c r="AA159" s="7">
        <v>0</v>
      </c>
      <c r="AC159" s="7">
        <v>0</v>
      </c>
      <c r="AE159" s="7">
        <v>9513</v>
      </c>
      <c r="AG159" s="7">
        <v>0</v>
      </c>
      <c r="AI159" s="7">
        <v>0</v>
      </c>
      <c r="AK159" s="7">
        <f t="shared" si="27"/>
        <v>9513</v>
      </c>
      <c r="AM159" s="7">
        <f t="shared" si="23"/>
        <v>16674012</v>
      </c>
      <c r="AP159" s="7" t="str">
        <f t="shared" si="25"/>
        <v>East Muskingum Local SD</v>
      </c>
      <c r="AQ159" s="7" t="str">
        <f>'Gen Fd BS'!A159</f>
        <v>East Muskingum Local SD</v>
      </c>
      <c r="AR159" s="7" t="b">
        <f t="shared" si="26"/>
        <v>1</v>
      </c>
      <c r="AT159" s="7" t="str">
        <f t="shared" si="24"/>
        <v>Muskingum</v>
      </c>
      <c r="AU159" s="7" t="b">
        <f>C159='Gen Fd BS'!C159</f>
        <v>1</v>
      </c>
    </row>
    <row r="160" spans="1:47">
      <c r="A160" s="12" t="s">
        <v>255</v>
      </c>
      <c r="B160" s="12"/>
      <c r="C160" s="12" t="s">
        <v>112</v>
      </c>
      <c r="D160" s="12"/>
      <c r="E160" s="12">
        <v>43927</v>
      </c>
      <c r="F160" s="10"/>
      <c r="G160" s="7">
        <v>2239446</v>
      </c>
      <c r="I160" s="7">
        <v>0</v>
      </c>
      <c r="K160" s="7">
        <v>6861407</v>
      </c>
      <c r="M160" s="7">
        <v>0</v>
      </c>
      <c r="O160" s="7">
        <v>346602</v>
      </c>
      <c r="Q160" s="7">
        <v>48067</v>
      </c>
      <c r="S160" s="7">
        <v>0</v>
      </c>
      <c r="U160" s="7">
        <v>177421</v>
      </c>
      <c r="W160" s="7">
        <f>79597+30465</f>
        <v>110062</v>
      </c>
      <c r="Y160" s="2">
        <f t="shared" si="28"/>
        <v>9783005</v>
      </c>
      <c r="AA160" s="7">
        <v>344871</v>
      </c>
      <c r="AC160" s="7">
        <v>0</v>
      </c>
      <c r="AE160" s="7">
        <v>0</v>
      </c>
      <c r="AG160" s="7">
        <v>0</v>
      </c>
      <c r="AI160" s="7">
        <v>0</v>
      </c>
      <c r="AK160" s="7">
        <f t="shared" si="27"/>
        <v>344871</v>
      </c>
      <c r="AM160" s="7">
        <f t="shared" si="23"/>
        <v>10127876</v>
      </c>
      <c r="AP160" s="7" t="str">
        <f t="shared" si="25"/>
        <v>East Palestine City SD</v>
      </c>
      <c r="AQ160" s="7" t="str">
        <f>'Gen Fd BS'!A160</f>
        <v>East Palestine City SD</v>
      </c>
      <c r="AR160" s="7" t="b">
        <f t="shared" si="26"/>
        <v>1</v>
      </c>
      <c r="AT160" s="7" t="str">
        <f t="shared" si="24"/>
        <v>Columbiana</v>
      </c>
      <c r="AU160" s="7" t="b">
        <f>C160='Gen Fd BS'!C160</f>
        <v>1</v>
      </c>
    </row>
    <row r="161" spans="1:47">
      <c r="A161" s="12" t="s">
        <v>220</v>
      </c>
      <c r="B161" s="12"/>
      <c r="C161" s="12" t="s">
        <v>77</v>
      </c>
      <c r="D161" s="12"/>
      <c r="E161" s="12">
        <v>46037</v>
      </c>
      <c r="F161" s="10"/>
      <c r="G161" s="7">
        <v>3119806</v>
      </c>
      <c r="I161" s="7">
        <v>0</v>
      </c>
      <c r="K161" s="7">
        <v>7284017</v>
      </c>
      <c r="M161" s="7">
        <v>127</v>
      </c>
      <c r="O161" s="7">
        <v>671429</v>
      </c>
      <c r="Q161" s="7">
        <v>200</v>
      </c>
      <c r="S161" s="7">
        <v>42303</v>
      </c>
      <c r="U161" s="7">
        <v>19538</v>
      </c>
      <c r="W161" s="7">
        <f>14302+400+75694</f>
        <v>90396</v>
      </c>
      <c r="Y161" s="2">
        <f t="shared" si="28"/>
        <v>11227816</v>
      </c>
      <c r="AA161" s="7">
        <v>0</v>
      </c>
      <c r="AC161" s="7">
        <v>0</v>
      </c>
      <c r="AE161" s="7">
        <v>0</v>
      </c>
      <c r="AG161" s="7">
        <v>0</v>
      </c>
      <c r="AI161" s="7">
        <v>0</v>
      </c>
      <c r="AK161" s="7">
        <f t="shared" si="27"/>
        <v>0</v>
      </c>
      <c r="AM161" s="7">
        <f t="shared" si="23"/>
        <v>11227816</v>
      </c>
      <c r="AP161" s="7" t="str">
        <f t="shared" si="25"/>
        <v>Eastern Local SD</v>
      </c>
      <c r="AQ161" s="7" t="str">
        <f>'Gen Fd BS'!A161</f>
        <v>Eastern Local SD</v>
      </c>
      <c r="AR161" s="7" t="b">
        <f t="shared" si="26"/>
        <v>1</v>
      </c>
      <c r="AT161" s="7" t="str">
        <f t="shared" si="24"/>
        <v>Brown</v>
      </c>
      <c r="AU161" s="7" t="b">
        <f>C161='Gen Fd BS'!C161</f>
        <v>1</v>
      </c>
    </row>
    <row r="162" spans="1:47">
      <c r="A162" s="12" t="s">
        <v>220</v>
      </c>
      <c r="B162" s="12"/>
      <c r="C162" s="12" t="s">
        <v>433</v>
      </c>
      <c r="D162" s="12"/>
      <c r="E162" s="12">
        <v>48512</v>
      </c>
      <c r="F162" s="10"/>
      <c r="G162" s="7">
        <v>1514034</v>
      </c>
      <c r="I162" s="7">
        <v>0</v>
      </c>
      <c r="K162" s="7">
        <v>5164428</v>
      </c>
      <c r="M162" s="7">
        <v>6352</v>
      </c>
      <c r="O162" s="7">
        <v>616993</v>
      </c>
      <c r="Q162" s="7">
        <v>785</v>
      </c>
      <c r="S162" s="7">
        <v>0</v>
      </c>
      <c r="U162" s="7">
        <v>120297</v>
      </c>
      <c r="W162" s="7">
        <f>26418+26995</f>
        <v>53413</v>
      </c>
      <c r="Y162" s="2">
        <f t="shared" si="28"/>
        <v>7476302</v>
      </c>
      <c r="AA162" s="7">
        <v>0</v>
      </c>
      <c r="AC162" s="7">
        <v>0</v>
      </c>
      <c r="AE162" s="7">
        <v>0</v>
      </c>
      <c r="AG162" s="7">
        <v>0</v>
      </c>
      <c r="AI162" s="7">
        <v>0</v>
      </c>
      <c r="AK162" s="7">
        <f t="shared" si="27"/>
        <v>0</v>
      </c>
      <c r="AM162" s="7">
        <f t="shared" si="23"/>
        <v>7476302</v>
      </c>
      <c r="AP162" s="7" t="str">
        <f t="shared" si="25"/>
        <v>Eastern Local SD</v>
      </c>
      <c r="AQ162" s="7" t="str">
        <f>'Gen Fd BS'!A162</f>
        <v>Eastern Local SD</v>
      </c>
      <c r="AR162" s="7" t="b">
        <f t="shared" si="26"/>
        <v>1</v>
      </c>
      <c r="AT162" s="7" t="str">
        <f t="shared" si="24"/>
        <v>Meigs</v>
      </c>
      <c r="AU162" s="7" t="b">
        <f>C162='Gen Fd BS'!C162</f>
        <v>1</v>
      </c>
    </row>
    <row r="163" spans="1:47" hidden="1">
      <c r="A163" s="12" t="s">
        <v>692</v>
      </c>
      <c r="B163" s="12"/>
      <c r="C163" s="12" t="s">
        <v>55</v>
      </c>
      <c r="D163" s="12"/>
      <c r="E163" s="12">
        <v>49122</v>
      </c>
      <c r="Y163" s="2">
        <f t="shared" si="28"/>
        <v>0</v>
      </c>
      <c r="AK163" s="7">
        <f t="shared" si="27"/>
        <v>0</v>
      </c>
      <c r="AM163" s="7">
        <f t="shared" si="23"/>
        <v>0</v>
      </c>
      <c r="AO163" s="7" t="s">
        <v>839</v>
      </c>
      <c r="AP163" s="7" t="str">
        <f t="shared" si="25"/>
        <v>Eastern Local SD (CASH)</v>
      </c>
      <c r="AQ163" s="7" t="str">
        <f>'Gen Fd BS'!A163</f>
        <v>Eastern Local SD (CASH)</v>
      </c>
      <c r="AR163" s="7" t="b">
        <f t="shared" si="26"/>
        <v>1</v>
      </c>
      <c r="AT163" s="7" t="str">
        <f t="shared" si="24"/>
        <v>Pike</v>
      </c>
      <c r="AU163" s="7" t="b">
        <f>C163='Gen Fd BS'!C163</f>
        <v>1</v>
      </c>
    </row>
    <row r="164" spans="1:47">
      <c r="A164" s="12" t="s">
        <v>573</v>
      </c>
      <c r="B164" s="12"/>
      <c r="C164" s="12" t="s">
        <v>72</v>
      </c>
      <c r="D164" s="12"/>
      <c r="E164" s="12">
        <v>50674</v>
      </c>
      <c r="G164" s="7">
        <v>4863618</v>
      </c>
      <c r="I164" s="7">
        <v>1721819</v>
      </c>
      <c r="K164" s="7">
        <v>7182289</v>
      </c>
      <c r="M164" s="7">
        <v>125899</v>
      </c>
      <c r="O164" s="7">
        <v>492364</v>
      </c>
      <c r="Q164" s="7">
        <v>56528</v>
      </c>
      <c r="S164" s="7">
        <v>480000</v>
      </c>
      <c r="U164" s="7">
        <v>0</v>
      </c>
      <c r="W164" s="7">
        <v>6610</v>
      </c>
      <c r="Y164" s="2">
        <f t="shared" si="28"/>
        <v>14929127</v>
      </c>
      <c r="AA164" s="7">
        <v>0</v>
      </c>
      <c r="AC164" s="7">
        <v>0</v>
      </c>
      <c r="AE164" s="7">
        <v>0</v>
      </c>
      <c r="AG164" s="7">
        <v>0</v>
      </c>
      <c r="AI164" s="7">
        <v>0</v>
      </c>
      <c r="AK164" s="7">
        <f t="shared" si="27"/>
        <v>0</v>
      </c>
      <c r="AM164" s="7">
        <f t="shared" si="23"/>
        <v>14929127</v>
      </c>
      <c r="AO164" s="7" t="s">
        <v>845</v>
      </c>
      <c r="AP164" s="7" t="str">
        <f t="shared" si="25"/>
        <v>Eastwood Local SD</v>
      </c>
      <c r="AQ164" s="7" t="str">
        <f>'Gen Fd BS'!A164</f>
        <v>Eastwood Local SD</v>
      </c>
      <c r="AR164" s="7" t="b">
        <f t="shared" si="26"/>
        <v>1</v>
      </c>
      <c r="AT164" s="7" t="str">
        <f t="shared" si="24"/>
        <v>Wood</v>
      </c>
      <c r="AU164" s="7" t="b">
        <f>C164='Gen Fd BS'!C164</f>
        <v>1</v>
      </c>
    </row>
    <row r="165" spans="1:47">
      <c r="A165" s="12" t="s">
        <v>712</v>
      </c>
      <c r="B165" s="12"/>
      <c r="C165" s="12" t="s">
        <v>57</v>
      </c>
      <c r="D165" s="12"/>
      <c r="E165" s="12">
        <v>43935</v>
      </c>
      <c r="G165" s="7">
        <v>8952680</v>
      </c>
      <c r="I165" s="7">
        <v>0</v>
      </c>
      <c r="K165" s="7">
        <f>8926075+31668</f>
        <v>8957743</v>
      </c>
      <c r="M165" s="7">
        <v>79125</v>
      </c>
      <c r="O165" s="7">
        <f>222441+9159+66815</f>
        <v>298415</v>
      </c>
      <c r="Q165" s="7">
        <v>35328</v>
      </c>
      <c r="S165" s="7">
        <v>0</v>
      </c>
      <c r="U165" s="7">
        <v>0</v>
      </c>
      <c r="W165" s="7">
        <f>26721+69747</f>
        <v>96468</v>
      </c>
      <c r="Y165" s="2">
        <f t="shared" si="28"/>
        <v>18419759</v>
      </c>
      <c r="AA165" s="7">
        <v>0</v>
      </c>
      <c r="AC165" s="7">
        <v>0</v>
      </c>
      <c r="AE165" s="7">
        <v>2897</v>
      </c>
      <c r="AG165" s="7">
        <v>1968</v>
      </c>
      <c r="AI165" s="7">
        <v>0</v>
      </c>
      <c r="AK165" s="7">
        <f t="shared" si="27"/>
        <v>4865</v>
      </c>
      <c r="AM165" s="7">
        <f t="shared" si="23"/>
        <v>18424624</v>
      </c>
      <c r="AO165" s="7" t="s">
        <v>846</v>
      </c>
      <c r="AP165" s="7" t="str">
        <f t="shared" si="25"/>
        <v>Eaton Community SD</v>
      </c>
      <c r="AQ165" s="7" t="str">
        <f>'Gen Fd BS'!A165</f>
        <v>Eaton Community SD</v>
      </c>
      <c r="AR165" s="7" t="b">
        <f t="shared" si="26"/>
        <v>1</v>
      </c>
      <c r="AT165" s="7" t="str">
        <f t="shared" si="24"/>
        <v>Preble</v>
      </c>
      <c r="AU165" s="7" t="b">
        <f>C165='Gen Fd BS'!C165</f>
        <v>1</v>
      </c>
    </row>
    <row r="166" spans="1:47" hidden="1">
      <c r="A166" s="12" t="s">
        <v>693</v>
      </c>
      <c r="B166" s="12"/>
      <c r="C166" s="12" t="s">
        <v>570</v>
      </c>
      <c r="D166" s="12"/>
      <c r="E166" s="12">
        <v>50617</v>
      </c>
      <c r="Y166" s="2">
        <f t="shared" si="28"/>
        <v>0</v>
      </c>
      <c r="AK166" s="7">
        <f t="shared" si="27"/>
        <v>0</v>
      </c>
      <c r="AM166" s="7">
        <f t="shared" si="23"/>
        <v>0</v>
      </c>
      <c r="AO166" s="7" t="s">
        <v>839</v>
      </c>
      <c r="AP166" s="7" t="str">
        <f t="shared" si="25"/>
        <v>Edgerton Local SD (CASH)</v>
      </c>
      <c r="AQ166" s="7" t="str">
        <f>'Gen Fd BS'!A166</f>
        <v>Edgerton Local SD (CASH)</v>
      </c>
      <c r="AR166" s="7" t="b">
        <f t="shared" si="26"/>
        <v>1</v>
      </c>
      <c r="AT166" s="7" t="str">
        <f t="shared" si="24"/>
        <v>Williams</v>
      </c>
      <c r="AU166" s="7" t="b">
        <f>C166='Gen Fd BS'!C166</f>
        <v>1</v>
      </c>
    </row>
    <row r="167" spans="1:47">
      <c r="A167" s="12" t="s">
        <v>694</v>
      </c>
      <c r="B167" s="12"/>
      <c r="C167" s="12" t="s">
        <v>223</v>
      </c>
      <c r="D167" s="12"/>
      <c r="E167" s="12">
        <v>46094</v>
      </c>
      <c r="F167" s="10"/>
      <c r="G167" s="7">
        <v>10756738</v>
      </c>
      <c r="I167" s="7">
        <v>0</v>
      </c>
      <c r="K167" s="7">
        <f>16322361+106398</f>
        <v>16428759</v>
      </c>
      <c r="M167" s="7">
        <v>6461</v>
      </c>
      <c r="O167" s="7">
        <f>377109+2654+271618</f>
        <v>651381</v>
      </c>
      <c r="Q167" s="7">
        <v>85415</v>
      </c>
      <c r="S167" s="7">
        <v>686505</v>
      </c>
      <c r="U167" s="7">
        <v>8442</v>
      </c>
      <c r="W167" s="7">
        <f>685+14297+109521</f>
        <v>124503</v>
      </c>
      <c r="Y167" s="2">
        <f t="shared" si="28"/>
        <v>28748204</v>
      </c>
      <c r="AA167" s="7">
        <v>0</v>
      </c>
      <c r="AC167" s="7">
        <v>0</v>
      </c>
      <c r="AE167" s="7">
        <v>0</v>
      </c>
      <c r="AG167" s="7">
        <f>2011+9415</f>
        <v>11426</v>
      </c>
      <c r="AI167" s="7">
        <v>0</v>
      </c>
      <c r="AK167" s="7">
        <f t="shared" si="27"/>
        <v>11426</v>
      </c>
      <c r="AM167" s="7">
        <f t="shared" si="23"/>
        <v>28759630</v>
      </c>
      <c r="AP167" s="7" t="str">
        <f t="shared" si="25"/>
        <v xml:space="preserve">Edgewood City SD </v>
      </c>
      <c r="AQ167" s="7" t="str">
        <f>'Gen Fd BS'!A167</f>
        <v xml:space="preserve">Edgewood City SD </v>
      </c>
      <c r="AR167" s="7" t="b">
        <f>AP167=AQ167</f>
        <v>1</v>
      </c>
      <c r="AT167" s="7" t="str">
        <f t="shared" si="24"/>
        <v>Butler</v>
      </c>
      <c r="AU167" s="7" t="b">
        <f>C167='Gen Fd BS'!C167</f>
        <v>1</v>
      </c>
    </row>
    <row r="168" spans="1:47">
      <c r="A168" s="12" t="s">
        <v>372</v>
      </c>
      <c r="B168" s="12"/>
      <c r="C168" s="12" t="s">
        <v>39</v>
      </c>
      <c r="D168" s="12"/>
      <c r="E168" s="12">
        <v>47795</v>
      </c>
      <c r="G168" s="7">
        <v>7482002</v>
      </c>
      <c r="I168" s="7">
        <v>0</v>
      </c>
      <c r="K168" s="7">
        <v>9045314</v>
      </c>
      <c r="M168" s="7">
        <v>2477</v>
      </c>
      <c r="O168" s="7">
        <f>895909+17496</f>
        <v>913405</v>
      </c>
      <c r="Q168" s="7">
        <v>33917</v>
      </c>
      <c r="S168" s="7">
        <v>0</v>
      </c>
      <c r="U168" s="7">
        <v>58803</v>
      </c>
      <c r="W168" s="7">
        <f>2425+769+79733</f>
        <v>82927</v>
      </c>
      <c r="Y168" s="2">
        <f t="shared" si="28"/>
        <v>17618845</v>
      </c>
      <c r="AA168" s="7">
        <v>0</v>
      </c>
      <c r="AC168" s="7">
        <v>0</v>
      </c>
      <c r="AE168" s="7">
        <v>221313</v>
      </c>
      <c r="AG168" s="7">
        <v>0</v>
      </c>
      <c r="AI168" s="7">
        <v>0</v>
      </c>
      <c r="AK168" s="7">
        <f t="shared" si="27"/>
        <v>221313</v>
      </c>
      <c r="AM168" s="7">
        <f t="shared" si="23"/>
        <v>17840158</v>
      </c>
      <c r="AP168" s="7" t="str">
        <f t="shared" si="25"/>
        <v>Edison Local SD</v>
      </c>
      <c r="AQ168" s="7" t="str">
        <f>'Gen Fd BS'!A168</f>
        <v>Edison Local SD</v>
      </c>
      <c r="AR168" s="7" t="b">
        <f t="shared" si="26"/>
        <v>1</v>
      </c>
      <c r="AT168" s="7" t="str">
        <f t="shared" si="24"/>
        <v>Jefferson</v>
      </c>
      <c r="AU168" s="7" t="b">
        <f>C168='Gen Fd BS'!C168</f>
        <v>1</v>
      </c>
    </row>
    <row r="169" spans="1:47" hidden="1">
      <c r="A169" s="12" t="s">
        <v>847</v>
      </c>
      <c r="B169" s="12"/>
      <c r="C169" s="12" t="s">
        <v>570</v>
      </c>
      <c r="D169" s="12"/>
      <c r="E169" s="12">
        <v>50625</v>
      </c>
      <c r="Y169" s="2">
        <f t="shared" si="28"/>
        <v>0</v>
      </c>
      <c r="AK169" s="7">
        <f t="shared" si="27"/>
        <v>0</v>
      </c>
      <c r="AM169" s="7">
        <f t="shared" si="23"/>
        <v>0</v>
      </c>
      <c r="AO169" s="7" t="s">
        <v>837</v>
      </c>
      <c r="AP169" s="7" t="str">
        <f t="shared" si="25"/>
        <v>Edon-Northwest Local SD (CASH)</v>
      </c>
      <c r="AQ169" s="7" t="str">
        <f>'Gen Fd BS'!A169</f>
        <v>Edon-Northwest Local SD (CASH)</v>
      </c>
      <c r="AR169" s="7" t="b">
        <f t="shared" si="26"/>
        <v>1</v>
      </c>
      <c r="AT169" s="7" t="str">
        <f t="shared" si="24"/>
        <v>Williams</v>
      </c>
      <c r="AU169" s="7" t="b">
        <f>C169='Gen Fd BS'!C169</f>
        <v>1</v>
      </c>
    </row>
    <row r="170" spans="1:47" hidden="1">
      <c r="A170" s="12" t="s">
        <v>695</v>
      </c>
      <c r="B170" s="12"/>
      <c r="C170" s="12" t="s">
        <v>10</v>
      </c>
      <c r="D170" s="12"/>
      <c r="E170" s="12"/>
      <c r="Y170" s="2">
        <f t="shared" si="28"/>
        <v>0</v>
      </c>
      <c r="AM170" s="7">
        <f t="shared" si="23"/>
        <v>0</v>
      </c>
      <c r="AO170" s="7" t="s">
        <v>839</v>
      </c>
      <c r="AP170" s="7" t="str">
        <f t="shared" si="25"/>
        <v>Elida Local SD (CASH)</v>
      </c>
      <c r="AQ170" s="7" t="str">
        <f>'Gen Fd BS'!A170</f>
        <v>Elida Local SD (CASH)</v>
      </c>
      <c r="AR170" s="7" t="b">
        <f>AP170=AQ170</f>
        <v>1</v>
      </c>
      <c r="AT170" s="7" t="str">
        <f t="shared" si="24"/>
        <v>Allen</v>
      </c>
      <c r="AU170" s="7" t="b">
        <f>C170='Gen Fd BS'!C170</f>
        <v>1</v>
      </c>
    </row>
    <row r="171" spans="1:47">
      <c r="A171" s="12" t="s">
        <v>713</v>
      </c>
      <c r="B171" s="12"/>
      <c r="C171" s="12" t="s">
        <v>46</v>
      </c>
      <c r="D171" s="12"/>
      <c r="E171" s="12">
        <v>48413</v>
      </c>
      <c r="G171" s="7">
        <v>3383725</v>
      </c>
      <c r="I171" s="7">
        <v>752754</v>
      </c>
      <c r="K171" s="7">
        <v>7242798</v>
      </c>
      <c r="M171" s="7">
        <v>10448</v>
      </c>
      <c r="O171" s="7">
        <v>1332151</v>
      </c>
      <c r="Q171" s="7">
        <v>42007</v>
      </c>
      <c r="S171" s="7">
        <v>28000</v>
      </c>
      <c r="U171" s="7">
        <v>8872</v>
      </c>
      <c r="W171" s="7">
        <v>138799</v>
      </c>
      <c r="Y171" s="2">
        <f t="shared" ref="Y171:Y172" si="29">SUM(G171:X171)</f>
        <v>12939554</v>
      </c>
      <c r="AA171" s="7">
        <v>0</v>
      </c>
      <c r="AC171" s="7">
        <v>0</v>
      </c>
      <c r="AE171" s="7">
        <v>0</v>
      </c>
      <c r="AG171" s="7">
        <v>1454</v>
      </c>
      <c r="AI171" s="7">
        <v>0</v>
      </c>
      <c r="AK171" s="7">
        <f t="shared" ref="AK171:AK172" si="30">SUM(AA171:AJ171)</f>
        <v>1454</v>
      </c>
      <c r="AM171" s="7">
        <f t="shared" si="23"/>
        <v>12941008</v>
      </c>
      <c r="AP171" s="7" t="str">
        <f t="shared" ref="AP171" si="31">A171</f>
        <v xml:space="preserve">Elgin Local SD </v>
      </c>
      <c r="AQ171" s="7" t="str">
        <f>'Gen Fd BS'!A171</f>
        <v xml:space="preserve">Elgin Local SD </v>
      </c>
      <c r="AR171" s="7" t="b">
        <f t="shared" ref="AR171" si="32">AP171=AQ171</f>
        <v>1</v>
      </c>
      <c r="AT171" s="7" t="str">
        <f t="shared" si="24"/>
        <v>Marion</v>
      </c>
      <c r="AU171" s="7" t="b">
        <f>C171='Gen Fd BS'!C171</f>
        <v>1</v>
      </c>
    </row>
    <row r="172" spans="1:47" hidden="1">
      <c r="A172" s="12" t="s">
        <v>728</v>
      </c>
      <c r="B172" s="12"/>
      <c r="C172" s="12" t="s">
        <v>72</v>
      </c>
      <c r="D172" s="12"/>
      <c r="E172" s="12"/>
      <c r="Y172" s="2">
        <f t="shared" si="29"/>
        <v>0</v>
      </c>
      <c r="AK172" s="7">
        <f t="shared" si="30"/>
        <v>0</v>
      </c>
      <c r="AM172" s="7">
        <f t="shared" si="23"/>
        <v>0</v>
      </c>
      <c r="AO172" s="7" t="s">
        <v>839</v>
      </c>
      <c r="AP172" s="7" t="str">
        <f t="shared" si="25"/>
        <v>Elmwood Local SD (CASH)</v>
      </c>
      <c r="AQ172" s="7" t="str">
        <f>'Gen Fd BS'!A172</f>
        <v>Elmwood Local SD (CASH)</v>
      </c>
      <c r="AR172" s="7" t="b">
        <f t="shared" si="26"/>
        <v>1</v>
      </c>
      <c r="AT172" s="7" t="str">
        <f t="shared" si="24"/>
        <v>Wood</v>
      </c>
      <c r="AU172" s="7" t="b">
        <f>C172='Gen Fd BS'!C172</f>
        <v>1</v>
      </c>
    </row>
    <row r="173" spans="1:47">
      <c r="A173" s="12" t="s">
        <v>396</v>
      </c>
      <c r="B173" s="12"/>
      <c r="C173" s="12" t="s">
        <v>44</v>
      </c>
      <c r="D173" s="12"/>
      <c r="E173" s="12">
        <v>43943</v>
      </c>
      <c r="G173" s="7">
        <v>29049176</v>
      </c>
      <c r="I173" s="7">
        <v>0</v>
      </c>
      <c r="K173" s="7">
        <v>41376306</v>
      </c>
      <c r="M173" s="7">
        <v>52585</v>
      </c>
      <c r="O173" s="7">
        <v>1591906</v>
      </c>
      <c r="Q173" s="7">
        <v>131573</v>
      </c>
      <c r="S173" s="7">
        <v>0</v>
      </c>
      <c r="U173" s="7">
        <v>17908</v>
      </c>
      <c r="W173" s="7">
        <f>75965+487070</f>
        <v>563035</v>
      </c>
      <c r="Y173" s="2">
        <f t="shared" si="28"/>
        <v>72782489</v>
      </c>
      <c r="AA173" s="7">
        <v>0</v>
      </c>
      <c r="AC173" s="7">
        <v>0</v>
      </c>
      <c r="AE173" s="7">
        <v>0</v>
      </c>
      <c r="AG173" s="7">
        <v>0</v>
      </c>
      <c r="AI173" s="7">
        <v>7295</v>
      </c>
      <c r="AK173" s="7">
        <f t="shared" si="27"/>
        <v>7295</v>
      </c>
      <c r="AM173" s="7">
        <f t="shared" ref="AM173:AM204" si="33">+AK173+Y173</f>
        <v>72789784</v>
      </c>
      <c r="AP173" s="7" t="str">
        <f t="shared" si="25"/>
        <v>Elyria City SD</v>
      </c>
      <c r="AQ173" s="7" t="str">
        <f>'Gen Fd BS'!A173</f>
        <v>Elyria City SD</v>
      </c>
      <c r="AR173" s="7" t="b">
        <f t="shared" si="26"/>
        <v>1</v>
      </c>
      <c r="AT173" s="7" t="str">
        <f t="shared" si="24"/>
        <v>Lorain</v>
      </c>
      <c r="AU173" s="7" t="b">
        <f>C173='Gen Fd BS'!C173</f>
        <v>1</v>
      </c>
    </row>
    <row r="174" spans="1:47">
      <c r="A174" s="12" t="s">
        <v>273</v>
      </c>
      <c r="B174" s="12"/>
      <c r="C174" s="12" t="s">
        <v>20</v>
      </c>
      <c r="D174" s="12"/>
      <c r="E174" s="12">
        <v>43950</v>
      </c>
      <c r="G174" s="7">
        <v>40134438</v>
      </c>
      <c r="I174" s="7">
        <v>0</v>
      </c>
      <c r="K174" s="7">
        <v>30687625</v>
      </c>
      <c r="M174" s="7">
        <v>33824</v>
      </c>
      <c r="O174" s="7">
        <f>461653+108075</f>
        <v>569728</v>
      </c>
      <c r="Q174" s="7">
        <v>78772</v>
      </c>
      <c r="S174" s="7">
        <v>0</v>
      </c>
      <c r="U174" s="7">
        <v>0</v>
      </c>
      <c r="W174" s="7">
        <f>104477+17738</f>
        <v>122215</v>
      </c>
      <c r="Y174" s="2">
        <f t="shared" si="28"/>
        <v>71626602</v>
      </c>
      <c r="AA174" s="7">
        <v>0</v>
      </c>
      <c r="AC174" s="7">
        <v>0</v>
      </c>
      <c r="AE174" s="7">
        <v>0</v>
      </c>
      <c r="AG174" s="7">
        <v>6007</v>
      </c>
      <c r="AI174" s="7">
        <v>0</v>
      </c>
      <c r="AK174" s="7">
        <f t="shared" si="27"/>
        <v>6007</v>
      </c>
      <c r="AM174" s="7">
        <f t="shared" si="33"/>
        <v>71632609</v>
      </c>
      <c r="AP174" s="7" t="str">
        <f t="shared" si="25"/>
        <v>Euclid City SD</v>
      </c>
      <c r="AQ174" s="7" t="str">
        <f>'Gen Fd BS'!A174</f>
        <v>Euclid City SD</v>
      </c>
      <c r="AR174" s="7" t="b">
        <f t="shared" si="26"/>
        <v>1</v>
      </c>
      <c r="AT174" s="7" t="str">
        <f t="shared" si="24"/>
        <v>Cuyahoga</v>
      </c>
      <c r="AU174" s="7" t="b">
        <f>C174='Gen Fd BS'!C174</f>
        <v>1</v>
      </c>
    </row>
    <row r="175" spans="1:47" hidden="1">
      <c r="A175" s="12" t="s">
        <v>646</v>
      </c>
      <c r="B175" s="12"/>
      <c r="C175" s="12" t="s">
        <v>28</v>
      </c>
      <c r="D175" s="12"/>
      <c r="E175" s="12">
        <v>47050</v>
      </c>
      <c r="S175" s="7">
        <v>0</v>
      </c>
      <c r="Y175" s="2">
        <f t="shared" si="28"/>
        <v>0</v>
      </c>
      <c r="AK175" s="7">
        <f t="shared" si="27"/>
        <v>0</v>
      </c>
      <c r="AM175" s="7">
        <f t="shared" si="33"/>
        <v>0</v>
      </c>
      <c r="AO175" s="7" t="s">
        <v>839</v>
      </c>
      <c r="AP175" s="7" t="str">
        <f t="shared" si="25"/>
        <v>Evergreen Local SD (CASH)</v>
      </c>
      <c r="AQ175" s="7" t="str">
        <f>'Gen Fd BS'!A175</f>
        <v>Evergreen Local SD (CASH)</v>
      </c>
      <c r="AR175" s="7" t="b">
        <f t="shared" si="26"/>
        <v>1</v>
      </c>
      <c r="AT175" s="7" t="str">
        <f t="shared" si="24"/>
        <v>Fulton</v>
      </c>
      <c r="AU175" s="7" t="b">
        <f>C175='Gen Fd BS'!C175</f>
        <v>1</v>
      </c>
    </row>
    <row r="176" spans="1:47">
      <c r="A176" s="12" t="s">
        <v>555</v>
      </c>
      <c r="B176" s="12"/>
      <c r="C176" s="12" t="s">
        <v>66</v>
      </c>
      <c r="D176" s="12"/>
      <c r="E176" s="12">
        <v>50328</v>
      </c>
      <c r="G176" s="7">
        <v>6225277</v>
      </c>
      <c r="I176" s="7">
        <v>0</v>
      </c>
      <c r="K176" s="7">
        <f>1931+3088571</f>
        <v>3090502</v>
      </c>
      <c r="M176" s="7">
        <v>36999</v>
      </c>
      <c r="O176" s="7">
        <f>93587+10886+34780</f>
        <v>139253</v>
      </c>
      <c r="Q176" s="7">
        <v>0</v>
      </c>
      <c r="S176" s="7">
        <v>0</v>
      </c>
      <c r="U176" s="7">
        <v>0</v>
      </c>
      <c r="W176" s="7">
        <v>71466</v>
      </c>
      <c r="Y176" s="2">
        <f t="shared" si="28"/>
        <v>9563497</v>
      </c>
      <c r="AA176" s="7">
        <v>0</v>
      </c>
      <c r="AC176" s="7">
        <v>0</v>
      </c>
      <c r="AE176" s="7">
        <v>0</v>
      </c>
      <c r="AG176" s="7">
        <v>0</v>
      </c>
      <c r="AI176" s="7">
        <v>0</v>
      </c>
      <c r="AK176" s="7">
        <f t="shared" si="27"/>
        <v>0</v>
      </c>
      <c r="AM176" s="7">
        <f t="shared" si="33"/>
        <v>9563497</v>
      </c>
      <c r="AP176" s="7" t="str">
        <f t="shared" si="25"/>
        <v>Fairbanks Local SD</v>
      </c>
      <c r="AQ176" s="7" t="str">
        <f>'Gen Fd BS'!A176</f>
        <v>Fairbanks Local SD</v>
      </c>
      <c r="AR176" s="7" t="b">
        <f t="shared" si="26"/>
        <v>1</v>
      </c>
      <c r="AT176" s="7" t="str">
        <f t="shared" si="24"/>
        <v>Union</v>
      </c>
      <c r="AU176" s="7" t="b">
        <f>C176='Gen Fd BS'!C176</f>
        <v>1</v>
      </c>
    </row>
    <row r="177" spans="1:47">
      <c r="A177" s="12" t="s">
        <v>653</v>
      </c>
      <c r="B177" s="12"/>
      <c r="C177" s="12" t="s">
        <v>114</v>
      </c>
      <c r="D177" s="12"/>
      <c r="E177" s="12">
        <v>46102</v>
      </c>
      <c r="F177" s="10"/>
      <c r="G177" s="7">
        <v>19476805</v>
      </c>
      <c r="I177" s="7">
        <v>0</v>
      </c>
      <c r="K177" s="7">
        <v>20770793</v>
      </c>
      <c r="M177" s="7">
        <v>85131</v>
      </c>
      <c r="O177" s="7">
        <v>541026</v>
      </c>
      <c r="Q177" s="7">
        <v>140704</v>
      </c>
      <c r="S177" s="7">
        <v>180808</v>
      </c>
      <c r="U177" s="7">
        <v>0</v>
      </c>
      <c r="W177" s="7">
        <f>214066+250007</f>
        <v>464073</v>
      </c>
      <c r="Y177" s="2">
        <f>SUM(G177:X177)</f>
        <v>41659340</v>
      </c>
      <c r="AA177" s="7">
        <v>0</v>
      </c>
      <c r="AC177" s="7">
        <v>0</v>
      </c>
      <c r="AE177" s="7">
        <v>0</v>
      </c>
      <c r="AG177" s="7">
        <v>0</v>
      </c>
      <c r="AI177" s="7">
        <v>0</v>
      </c>
      <c r="AK177" s="7">
        <f>SUM(AA177:AJ177)</f>
        <v>0</v>
      </c>
      <c r="AM177" s="7">
        <f t="shared" si="33"/>
        <v>41659340</v>
      </c>
      <c r="AP177" s="7" t="str">
        <f t="shared" si="25"/>
        <v>Fairborn City SD</v>
      </c>
      <c r="AQ177" s="7" t="str">
        <f>'Gen Fd BS'!A177</f>
        <v>Fairborn City SD</v>
      </c>
      <c r="AR177" s="7" t="b">
        <f t="shared" si="26"/>
        <v>1</v>
      </c>
      <c r="AT177" s="7" t="str">
        <f t="shared" si="24"/>
        <v>Greene</v>
      </c>
      <c r="AU177" s="7" t="b">
        <f>C177='Gen Fd BS'!C177</f>
        <v>1</v>
      </c>
    </row>
    <row r="178" spans="1:47">
      <c r="A178" s="12" t="s">
        <v>224</v>
      </c>
      <c r="B178" s="12"/>
      <c r="C178" s="12" t="s">
        <v>223</v>
      </c>
      <c r="D178" s="12"/>
      <c r="E178" s="12">
        <v>46102</v>
      </c>
      <c r="F178" s="10"/>
      <c r="G178" s="7">
        <v>36046748</v>
      </c>
      <c r="I178" s="7">
        <v>0</v>
      </c>
      <c r="K178" s="7">
        <v>31403893</v>
      </c>
      <c r="M178" s="7">
        <v>38292</v>
      </c>
      <c r="O178" s="7">
        <v>1901613</v>
      </c>
      <c r="Q178" s="7">
        <v>224946</v>
      </c>
      <c r="S178" s="7">
        <v>1645045</v>
      </c>
      <c r="U178" s="7">
        <v>0</v>
      </c>
      <c r="W178" s="7">
        <f>698303+641645</f>
        <v>1339948</v>
      </c>
      <c r="Y178" s="2">
        <f t="shared" si="28"/>
        <v>72600485</v>
      </c>
      <c r="AA178" s="7">
        <v>0</v>
      </c>
      <c r="AC178" s="7">
        <v>0</v>
      </c>
      <c r="AE178" s="7">
        <v>0</v>
      </c>
      <c r="AG178" s="7">
        <v>1430</v>
      </c>
      <c r="AI178" s="7">
        <v>0</v>
      </c>
      <c r="AK178" s="7">
        <f t="shared" si="27"/>
        <v>1430</v>
      </c>
      <c r="AM178" s="7">
        <f t="shared" si="33"/>
        <v>72601915</v>
      </c>
      <c r="AP178" s="7" t="str">
        <f t="shared" si="25"/>
        <v>Fairfield City SD</v>
      </c>
      <c r="AQ178" s="7" t="str">
        <f>'Gen Fd BS'!A178</f>
        <v>Fairfield City SD</v>
      </c>
      <c r="AR178" s="7" t="b">
        <f t="shared" si="26"/>
        <v>1</v>
      </c>
      <c r="AT178" s="7" t="str">
        <f t="shared" si="24"/>
        <v>Butler</v>
      </c>
      <c r="AU178" s="7" t="b">
        <f>C178='Gen Fd BS'!C178</f>
        <v>1</v>
      </c>
    </row>
    <row r="179" spans="1:47">
      <c r="A179" s="12" t="s">
        <v>359</v>
      </c>
      <c r="B179" s="12"/>
      <c r="C179" s="12" t="s">
        <v>358</v>
      </c>
      <c r="D179" s="12"/>
      <c r="E179" s="12">
        <v>47621</v>
      </c>
      <c r="G179" s="7">
        <v>1200080</v>
      </c>
      <c r="I179" s="7">
        <v>0</v>
      </c>
      <c r="K179" s="7">
        <v>5045535</v>
      </c>
      <c r="M179" s="7">
        <v>14239</v>
      </c>
      <c r="O179" s="7">
        <v>409181</v>
      </c>
      <c r="Q179" s="7">
        <v>7537</v>
      </c>
      <c r="S179" s="7">
        <v>0</v>
      </c>
      <c r="U179" s="7">
        <v>14671</v>
      </c>
      <c r="W179" s="7">
        <f>80492+2393+21959</f>
        <v>104844</v>
      </c>
      <c r="Y179" s="2">
        <f t="shared" si="28"/>
        <v>6796087</v>
      </c>
      <c r="AA179" s="7">
        <v>0</v>
      </c>
      <c r="AC179" s="7">
        <v>0</v>
      </c>
      <c r="AE179" s="7">
        <v>0</v>
      </c>
      <c r="AG179" s="7">
        <v>0</v>
      </c>
      <c r="AI179" s="7">
        <v>0</v>
      </c>
      <c r="AK179" s="7">
        <f t="shared" si="27"/>
        <v>0</v>
      </c>
      <c r="AM179" s="7">
        <f t="shared" si="33"/>
        <v>6796087</v>
      </c>
      <c r="AP179" s="7" t="str">
        <f t="shared" si="25"/>
        <v>Fairfield Local SD</v>
      </c>
      <c r="AQ179" s="7" t="str">
        <f>'Gen Fd BS'!A179</f>
        <v>Fairfield Local SD</v>
      </c>
      <c r="AR179" s="7" t="b">
        <f t="shared" si="26"/>
        <v>1</v>
      </c>
      <c r="AT179" s="7" t="str">
        <f t="shared" si="24"/>
        <v>Highland</v>
      </c>
      <c r="AU179" s="7" t="b">
        <f>C179='Gen Fd BS'!C179</f>
        <v>1</v>
      </c>
    </row>
    <row r="180" spans="1:47">
      <c r="A180" s="12" t="s">
        <v>300</v>
      </c>
      <c r="B180" s="12"/>
      <c r="C180" s="12" t="s">
        <v>25</v>
      </c>
      <c r="D180" s="12"/>
      <c r="E180" s="12">
        <v>46870</v>
      </c>
      <c r="G180" s="7">
        <v>4036584</v>
      </c>
      <c r="I180" s="7">
        <v>4375535</v>
      </c>
      <c r="K180" s="7">
        <f>9079820+25474</f>
        <v>9105294</v>
      </c>
      <c r="M180" s="7">
        <v>26050</v>
      </c>
      <c r="O180" s="7">
        <f>1237756+44656</f>
        <v>1282412</v>
      </c>
      <c r="Q180" s="7">
        <v>52089</v>
      </c>
      <c r="S180" s="7">
        <v>0</v>
      </c>
      <c r="U180" s="7">
        <v>0</v>
      </c>
      <c r="W180" s="7">
        <f>42727+15807</f>
        <v>58534</v>
      </c>
      <c r="Y180" s="2">
        <f t="shared" si="28"/>
        <v>18936498</v>
      </c>
      <c r="AA180" s="7">
        <v>0</v>
      </c>
      <c r="AC180" s="7">
        <v>0</v>
      </c>
      <c r="AE180" s="7">
        <v>0</v>
      </c>
      <c r="AG180" s="7">
        <v>7049</v>
      </c>
      <c r="AI180" s="7">
        <v>0</v>
      </c>
      <c r="AK180" s="7">
        <f t="shared" si="27"/>
        <v>7049</v>
      </c>
      <c r="AM180" s="7">
        <f t="shared" si="33"/>
        <v>18943547</v>
      </c>
      <c r="AP180" s="7" t="str">
        <f t="shared" si="25"/>
        <v>Fairfield Union Local SD</v>
      </c>
      <c r="AQ180" s="7" t="str">
        <f>'Gen Fd BS'!A180</f>
        <v>Fairfield Union Local SD</v>
      </c>
      <c r="AR180" s="7" t="b">
        <f t="shared" si="26"/>
        <v>1</v>
      </c>
      <c r="AT180" s="7" t="str">
        <f t="shared" si="24"/>
        <v>Fairfield</v>
      </c>
      <c r="AU180" s="7" t="b">
        <f>C180='Gen Fd BS'!C180</f>
        <v>1</v>
      </c>
    </row>
    <row r="181" spans="1:47" s="32" customFormat="1">
      <c r="A181" s="31" t="s">
        <v>379</v>
      </c>
      <c r="B181" s="31"/>
      <c r="C181" s="31" t="s">
        <v>377</v>
      </c>
      <c r="D181" s="31"/>
      <c r="E181" s="31">
        <v>47936</v>
      </c>
      <c r="G181" s="32">
        <v>3002737</v>
      </c>
      <c r="I181" s="32">
        <v>0</v>
      </c>
      <c r="K181" s="32">
        <v>8790975</v>
      </c>
      <c r="M181" s="32">
        <v>28894</v>
      </c>
      <c r="O181" s="32">
        <v>842158</v>
      </c>
      <c r="Q181" s="32">
        <v>74539</v>
      </c>
      <c r="S181" s="32">
        <v>0</v>
      </c>
      <c r="U181" s="32">
        <v>15443</v>
      </c>
      <c r="W181" s="32">
        <f>49928+21736</f>
        <v>71664</v>
      </c>
      <c r="Y181" s="34">
        <f t="shared" si="28"/>
        <v>12826410</v>
      </c>
      <c r="AA181" s="32">
        <v>0</v>
      </c>
      <c r="AC181" s="32">
        <v>0</v>
      </c>
      <c r="AE181" s="32">
        <v>0</v>
      </c>
      <c r="AG181" s="32">
        <v>1255</v>
      </c>
      <c r="AI181" s="32">
        <v>16759</v>
      </c>
      <c r="AK181" s="32">
        <f t="shared" si="27"/>
        <v>18014</v>
      </c>
      <c r="AM181" s="32">
        <f t="shared" si="33"/>
        <v>12844424</v>
      </c>
      <c r="AP181" s="32" t="str">
        <f t="shared" si="25"/>
        <v>Fairland Local SD</v>
      </c>
      <c r="AQ181" s="32" t="str">
        <f>'Gen Fd BS'!A181</f>
        <v>Fairland Local SD</v>
      </c>
      <c r="AR181" s="32" t="b">
        <f t="shared" si="26"/>
        <v>1</v>
      </c>
      <c r="AT181" s="32" t="str">
        <f t="shared" si="24"/>
        <v>Lawrence</v>
      </c>
      <c r="AU181" s="32" t="b">
        <f>C181='Gen Fd BS'!C181</f>
        <v>1</v>
      </c>
    </row>
    <row r="182" spans="1:47" hidden="1">
      <c r="A182" s="12" t="s">
        <v>647</v>
      </c>
      <c r="B182" s="12"/>
      <c r="C182" s="12" t="s">
        <v>61</v>
      </c>
      <c r="D182" s="12"/>
      <c r="E182" s="12">
        <v>49775</v>
      </c>
      <c r="Y182" s="2">
        <f t="shared" si="28"/>
        <v>0</v>
      </c>
      <c r="AK182" s="7">
        <f t="shared" si="27"/>
        <v>0</v>
      </c>
      <c r="AM182" s="7">
        <f t="shared" si="33"/>
        <v>0</v>
      </c>
      <c r="AO182" s="7" t="s">
        <v>839</v>
      </c>
      <c r="AP182" s="7" t="str">
        <f t="shared" si="25"/>
        <v>Fairlawn Local SD (CASH)</v>
      </c>
      <c r="AQ182" s="7" t="str">
        <f>'Gen Fd BS'!A182</f>
        <v>Fairlawn Local SD (CASH)</v>
      </c>
      <c r="AR182" s="7" t="b">
        <f t="shared" si="26"/>
        <v>1</v>
      </c>
      <c r="AT182" s="7" t="str">
        <f t="shared" si="24"/>
        <v>Shelby</v>
      </c>
      <c r="AU182" s="7" t="b">
        <f>C182='Gen Fd BS'!C182</f>
        <v>1</v>
      </c>
    </row>
    <row r="183" spans="1:47">
      <c r="A183" s="12" t="s">
        <v>511</v>
      </c>
      <c r="B183" s="12"/>
      <c r="C183" s="12" t="s">
        <v>62</v>
      </c>
      <c r="D183" s="12"/>
      <c r="E183" s="12">
        <v>49841</v>
      </c>
      <c r="G183" s="7">
        <v>5785116</v>
      </c>
      <c r="I183" s="7">
        <v>0</v>
      </c>
      <c r="K183" s="7">
        <v>8990218</v>
      </c>
      <c r="M183" s="7">
        <v>5895</v>
      </c>
      <c r="O183" s="7">
        <v>516458</v>
      </c>
      <c r="Q183" s="7">
        <v>106564</v>
      </c>
      <c r="S183" s="7">
        <v>0</v>
      </c>
      <c r="U183" s="7">
        <v>120</v>
      </c>
      <c r="W183" s="7">
        <f>37000+175789</f>
        <v>212789</v>
      </c>
      <c r="Y183" s="2">
        <f t="shared" si="28"/>
        <v>15617160</v>
      </c>
      <c r="AA183" s="7">
        <v>0</v>
      </c>
      <c r="AC183" s="7">
        <v>0</v>
      </c>
      <c r="AE183" s="7">
        <v>0</v>
      </c>
      <c r="AG183" s="7">
        <v>0</v>
      </c>
      <c r="AI183" s="7">
        <v>0</v>
      </c>
      <c r="AK183" s="7">
        <f t="shared" si="27"/>
        <v>0</v>
      </c>
      <c r="AM183" s="7">
        <f t="shared" si="33"/>
        <v>15617160</v>
      </c>
      <c r="AP183" s="7" t="str">
        <f t="shared" si="25"/>
        <v>Fairless Local SD</v>
      </c>
      <c r="AQ183" s="7" t="str">
        <f>'Gen Fd BS'!A183</f>
        <v>Fairless Local SD</v>
      </c>
      <c r="AR183" s="7" t="b">
        <f t="shared" si="26"/>
        <v>1</v>
      </c>
      <c r="AT183" s="7" t="str">
        <f t="shared" si="24"/>
        <v>Stark</v>
      </c>
      <c r="AU183" s="7" t="b">
        <f>C183='Gen Fd BS'!C183</f>
        <v>1</v>
      </c>
    </row>
    <row r="184" spans="1:47" hidden="1">
      <c r="A184" s="12" t="s">
        <v>711</v>
      </c>
      <c r="B184" s="12"/>
      <c r="C184" s="12" t="s">
        <v>41</v>
      </c>
      <c r="D184" s="12"/>
      <c r="E184" s="12">
        <v>45369</v>
      </c>
      <c r="Y184" s="2">
        <f t="shared" si="28"/>
        <v>0</v>
      </c>
      <c r="AK184" s="7">
        <f t="shared" si="27"/>
        <v>0</v>
      </c>
      <c r="AM184" s="7">
        <f t="shared" si="33"/>
        <v>0</v>
      </c>
      <c r="AO184" s="7" t="s">
        <v>848</v>
      </c>
      <c r="AP184" s="7" t="str">
        <f t="shared" si="25"/>
        <v>Fairport Harbor Ex Vill SD - Two Year Audit</v>
      </c>
      <c r="AQ184" s="7" t="str">
        <f>'Gen Fd BS'!A184</f>
        <v>Fairport Harbor Ex Vill SD - Two Year Audit</v>
      </c>
      <c r="AR184" s="7" t="b">
        <f t="shared" si="26"/>
        <v>1</v>
      </c>
      <c r="AT184" s="7" t="str">
        <f t="shared" si="24"/>
        <v>Lake</v>
      </c>
      <c r="AU184" s="7" t="b">
        <f>C184='Gen Fd BS'!C184</f>
        <v>1</v>
      </c>
    </row>
    <row r="185" spans="1:47">
      <c r="A185" s="12" t="s">
        <v>274</v>
      </c>
      <c r="B185" s="12"/>
      <c r="C185" s="12" t="s">
        <v>20</v>
      </c>
      <c r="D185" s="12"/>
      <c r="E185" s="12">
        <v>43976</v>
      </c>
      <c r="G185" s="7">
        <v>14993555</v>
      </c>
      <c r="I185" s="7">
        <v>0</v>
      </c>
      <c r="K185" s="7">
        <f>14938+4892538+31960</f>
        <v>4939436</v>
      </c>
      <c r="M185" s="7">
        <v>118106</v>
      </c>
      <c r="O185" s="7">
        <f>195792+21541+102833</f>
        <v>320166</v>
      </c>
      <c r="Q185" s="7">
        <v>68263</v>
      </c>
      <c r="S185" s="7">
        <v>0</v>
      </c>
      <c r="U185" s="7">
        <v>8198</v>
      </c>
      <c r="W185" s="7">
        <f>103635+53465</f>
        <v>157100</v>
      </c>
      <c r="Y185" s="2">
        <f t="shared" si="28"/>
        <v>20604824</v>
      </c>
      <c r="AA185" s="7">
        <v>33695</v>
      </c>
      <c r="AC185" s="7">
        <v>0</v>
      </c>
      <c r="AE185" s="7">
        <v>0</v>
      </c>
      <c r="AG185" s="7">
        <v>0</v>
      </c>
      <c r="AI185" s="7">
        <v>0</v>
      </c>
      <c r="AK185" s="7">
        <f t="shared" si="27"/>
        <v>33695</v>
      </c>
      <c r="AM185" s="7">
        <f t="shared" si="33"/>
        <v>20638519</v>
      </c>
      <c r="AP185" s="7" t="str">
        <f t="shared" si="25"/>
        <v>Fairview Park City SD</v>
      </c>
      <c r="AQ185" s="7" t="str">
        <f>'Gen Fd BS'!A185</f>
        <v>Fairview Park City SD</v>
      </c>
      <c r="AR185" s="7" t="b">
        <f t="shared" si="26"/>
        <v>1</v>
      </c>
      <c r="AT185" s="7" t="str">
        <f t="shared" si="24"/>
        <v>Cuyahoga</v>
      </c>
      <c r="AU185" s="7" t="b">
        <f>C185='Gen Fd BS'!C185</f>
        <v>1</v>
      </c>
    </row>
    <row r="186" spans="1:47" hidden="1">
      <c r="A186" s="12" t="s">
        <v>849</v>
      </c>
      <c r="B186" s="12"/>
      <c r="C186" s="12" t="s">
        <v>28</v>
      </c>
      <c r="D186" s="12"/>
      <c r="E186" s="12">
        <v>47068</v>
      </c>
      <c r="Y186" s="2">
        <f t="shared" si="28"/>
        <v>0</v>
      </c>
      <c r="AK186" s="7">
        <f t="shared" si="27"/>
        <v>0</v>
      </c>
      <c r="AM186" s="7">
        <f t="shared" si="33"/>
        <v>0</v>
      </c>
      <c r="AO186" s="7" t="s">
        <v>837</v>
      </c>
      <c r="AP186" s="7" t="str">
        <f t="shared" si="25"/>
        <v>Fayette Local SD (CASH)</v>
      </c>
      <c r="AQ186" s="7" t="str">
        <f>'Gen Fd BS'!A186</f>
        <v>Fayette Local SD (CASH)</v>
      </c>
      <c r="AR186" s="7" t="b">
        <f t="shared" si="26"/>
        <v>1</v>
      </c>
      <c r="AT186" s="7" t="str">
        <f t="shared" si="24"/>
        <v>Fulton</v>
      </c>
      <c r="AU186" s="7" t="b">
        <f>C186='Gen Fd BS'!C186</f>
        <v>1</v>
      </c>
    </row>
    <row r="187" spans="1:47">
      <c r="A187" s="12" t="s">
        <v>221</v>
      </c>
      <c r="B187" s="12"/>
      <c r="C187" s="12" t="s">
        <v>77</v>
      </c>
      <c r="D187" s="12"/>
      <c r="E187" s="12">
        <v>46045</v>
      </c>
      <c r="F187" s="10"/>
      <c r="G187" s="7">
        <v>1782093</v>
      </c>
      <c r="I187" s="7">
        <v>0</v>
      </c>
      <c r="K187" s="7">
        <v>4640264</v>
      </c>
      <c r="M187" s="7">
        <v>15149</v>
      </c>
      <c r="O187" s="7">
        <v>953515</v>
      </c>
      <c r="Q187" s="7">
        <v>0</v>
      </c>
      <c r="S187" s="7">
        <v>0</v>
      </c>
      <c r="U187" s="7">
        <v>9752</v>
      </c>
      <c r="W187" s="7">
        <v>76364</v>
      </c>
      <c r="Y187" s="2">
        <f t="shared" si="28"/>
        <v>7477137</v>
      </c>
      <c r="AA187" s="7">
        <v>0</v>
      </c>
      <c r="AC187" s="7">
        <v>0</v>
      </c>
      <c r="AE187" s="7">
        <v>0</v>
      </c>
      <c r="AG187" s="7">
        <v>0</v>
      </c>
      <c r="AI187" s="7">
        <v>0</v>
      </c>
      <c r="AK187" s="7">
        <f t="shared" si="27"/>
        <v>0</v>
      </c>
      <c r="AM187" s="7">
        <f t="shared" si="33"/>
        <v>7477137</v>
      </c>
      <c r="AO187" s="7" t="s">
        <v>850</v>
      </c>
      <c r="AP187" s="7" t="str">
        <f t="shared" si="25"/>
        <v>Fayetteville-Perry Local SD</v>
      </c>
      <c r="AQ187" s="7" t="str">
        <f>'Gen Fd BS'!A187</f>
        <v>Fayetteville-Perry Local SD</v>
      </c>
      <c r="AR187" s="7" t="b">
        <f t="shared" si="26"/>
        <v>1</v>
      </c>
      <c r="AT187" s="7" t="str">
        <f t="shared" si="24"/>
        <v>Brown</v>
      </c>
      <c r="AU187" s="7" t="b">
        <f>C187='Gen Fd BS'!C187</f>
        <v>1</v>
      </c>
    </row>
    <row r="188" spans="1:47">
      <c r="A188" s="12" t="s">
        <v>841</v>
      </c>
      <c r="B188" s="12"/>
      <c r="C188" s="12" t="s">
        <v>13</v>
      </c>
      <c r="D188" s="12"/>
      <c r="E188" s="12"/>
      <c r="F188" s="10"/>
      <c r="G188" s="7">
        <v>2553032</v>
      </c>
      <c r="I188" s="7">
        <v>0</v>
      </c>
      <c r="K188" s="7">
        <v>7927250</v>
      </c>
      <c r="M188" s="7">
        <v>2502</v>
      </c>
      <c r="O188" s="7">
        <v>397885</v>
      </c>
      <c r="Q188" s="7">
        <v>20928</v>
      </c>
      <c r="S188" s="7">
        <v>0</v>
      </c>
      <c r="U188" s="7">
        <v>40835</v>
      </c>
      <c r="W188" s="7">
        <f>5418+3115+5097</f>
        <v>13630</v>
      </c>
      <c r="Y188" s="2">
        <f t="shared" si="28"/>
        <v>10956062</v>
      </c>
      <c r="AA188" s="7">
        <v>0</v>
      </c>
      <c r="AC188" s="7">
        <v>0</v>
      </c>
      <c r="AE188" s="7">
        <v>0</v>
      </c>
      <c r="AG188" s="7">
        <v>4103</v>
      </c>
      <c r="AI188" s="7">
        <v>0</v>
      </c>
      <c r="AK188" s="7">
        <f t="shared" si="27"/>
        <v>4103</v>
      </c>
      <c r="AM188" s="7">
        <f t="shared" si="33"/>
        <v>10960165</v>
      </c>
      <c r="AP188" s="7" t="str">
        <f t="shared" si="25"/>
        <v>Federal Hocking Local SD</v>
      </c>
      <c r="AQ188" s="7" t="str">
        <f>'Gen Fd BS'!A188</f>
        <v>Federal Hocking Local SD</v>
      </c>
      <c r="AR188" s="7" t="b">
        <f t="shared" si="26"/>
        <v>1</v>
      </c>
      <c r="AT188" s="7" t="str">
        <f t="shared" si="24"/>
        <v>Athens</v>
      </c>
      <c r="AU188" s="7" t="b">
        <f>C188='Gen Fd BS'!C188</f>
        <v>1</v>
      </c>
    </row>
    <row r="189" spans="1:47">
      <c r="A189" s="12" t="s">
        <v>244</v>
      </c>
      <c r="B189" s="12"/>
      <c r="C189" s="12" t="s">
        <v>113</v>
      </c>
      <c r="D189" s="12"/>
      <c r="E189" s="12">
        <v>46334</v>
      </c>
      <c r="F189" s="10"/>
      <c r="G189" s="7">
        <v>1616924</v>
      </c>
      <c r="I189" s="7">
        <v>0</v>
      </c>
      <c r="K189" s="7">
        <v>6825467</v>
      </c>
      <c r="M189" s="7">
        <v>6978</v>
      </c>
      <c r="O189" s="7">
        <v>461897</v>
      </c>
      <c r="Q189" s="7">
        <v>0</v>
      </c>
      <c r="S189" s="7">
        <v>0</v>
      </c>
      <c r="U189" s="7">
        <v>0</v>
      </c>
      <c r="W189" s="7">
        <v>101910</v>
      </c>
      <c r="Y189" s="2">
        <f t="shared" si="28"/>
        <v>9013176</v>
      </c>
      <c r="AA189" s="7">
        <v>0</v>
      </c>
      <c r="AC189" s="7">
        <v>0</v>
      </c>
      <c r="AE189" s="7">
        <v>54730</v>
      </c>
      <c r="AG189" s="7">
        <v>0</v>
      </c>
      <c r="AI189" s="7">
        <v>0</v>
      </c>
      <c r="AK189" s="7">
        <f t="shared" si="27"/>
        <v>54730</v>
      </c>
      <c r="AM189" s="7">
        <f t="shared" si="33"/>
        <v>9067906</v>
      </c>
      <c r="AP189" s="7" t="str">
        <f t="shared" si="25"/>
        <v>Felicity-Franklin Local SD</v>
      </c>
      <c r="AQ189" s="7" t="str">
        <f>'Gen Fd BS'!A189</f>
        <v>Felicity-Franklin Local SD</v>
      </c>
      <c r="AR189" s="7" t="b">
        <f t="shared" si="26"/>
        <v>1</v>
      </c>
      <c r="AT189" s="7" t="str">
        <f t="shared" si="24"/>
        <v>Clermont</v>
      </c>
      <c r="AU189" s="7" t="b">
        <f>C189='Gen Fd BS'!C189</f>
        <v>1</v>
      </c>
    </row>
    <row r="190" spans="1:47">
      <c r="A190" s="12" t="s">
        <v>760</v>
      </c>
      <c r="B190" s="12"/>
      <c r="C190" s="12" t="s">
        <v>56</v>
      </c>
      <c r="D190" s="12"/>
      <c r="E190" s="12">
        <v>49197</v>
      </c>
      <c r="G190" s="7">
        <v>7604579</v>
      </c>
      <c r="I190" s="7">
        <v>0</v>
      </c>
      <c r="K190" s="7">
        <v>8316475</v>
      </c>
      <c r="M190" s="7">
        <v>3290</v>
      </c>
      <c r="O190" s="7">
        <v>1343268</v>
      </c>
      <c r="Q190" s="7">
        <v>0</v>
      </c>
      <c r="S190" s="7">
        <v>501598</v>
      </c>
      <c r="U190" s="7">
        <v>0</v>
      </c>
      <c r="W190" s="7">
        <f>758456+74154+141164</f>
        <v>973774</v>
      </c>
      <c r="Y190" s="2">
        <f t="shared" si="28"/>
        <v>18742984</v>
      </c>
      <c r="AA190" s="7">
        <v>0</v>
      </c>
      <c r="AC190" s="7">
        <v>0</v>
      </c>
      <c r="AE190" s="7">
        <v>0</v>
      </c>
      <c r="AG190" s="7">
        <v>0</v>
      </c>
      <c r="AI190" s="7">
        <v>0</v>
      </c>
      <c r="AK190" s="7">
        <f t="shared" si="27"/>
        <v>0</v>
      </c>
      <c r="AM190" s="7">
        <f t="shared" si="33"/>
        <v>18742984</v>
      </c>
      <c r="AO190" s="7" t="s">
        <v>850</v>
      </c>
      <c r="AP190" s="7" t="str">
        <f t="shared" si="25"/>
        <v xml:space="preserve">Field Local SD </v>
      </c>
      <c r="AQ190" s="7" t="str">
        <f>'Gen Fd BS'!A190</f>
        <v xml:space="preserve">Field Local SD </v>
      </c>
      <c r="AR190" s="7" t="b">
        <f t="shared" si="26"/>
        <v>1</v>
      </c>
      <c r="AT190" s="7" t="str">
        <f t="shared" si="24"/>
        <v>Portage</v>
      </c>
      <c r="AU190" s="7" t="b">
        <f>C190='Gen Fd BS'!C190</f>
        <v>1</v>
      </c>
    </row>
    <row r="191" spans="1:47">
      <c r="A191" s="12" t="s">
        <v>346</v>
      </c>
      <c r="B191" s="12"/>
      <c r="C191" s="12" t="s">
        <v>33</v>
      </c>
      <c r="D191" s="12"/>
      <c r="E191" s="12">
        <v>43984</v>
      </c>
      <c r="G191" s="7">
        <v>25036006</v>
      </c>
      <c r="I191" s="7">
        <v>0</v>
      </c>
      <c r="K191" s="7">
        <f>27322684+349152</f>
        <v>27671836</v>
      </c>
      <c r="M191" s="7">
        <v>259077</v>
      </c>
      <c r="O191" s="7">
        <f>2922363+372291</f>
        <v>3294654</v>
      </c>
      <c r="Q191" s="7">
        <v>13016</v>
      </c>
      <c r="S191" s="7">
        <v>140151</v>
      </c>
      <c r="U191" s="7">
        <v>10008</v>
      </c>
      <c r="W191" s="7">
        <f>31541+45454+266660</f>
        <v>343655</v>
      </c>
      <c r="Y191" s="2">
        <f t="shared" si="28"/>
        <v>56768403</v>
      </c>
      <c r="AA191" s="7">
        <v>0</v>
      </c>
      <c r="AC191" s="7">
        <v>0</v>
      </c>
      <c r="AE191" s="7">
        <v>0</v>
      </c>
      <c r="AG191" s="7">
        <v>20</v>
      </c>
      <c r="AI191" s="7">
        <v>0</v>
      </c>
      <c r="AK191" s="7">
        <f t="shared" si="27"/>
        <v>20</v>
      </c>
      <c r="AM191" s="7">
        <f t="shared" si="33"/>
        <v>56768423</v>
      </c>
      <c r="AP191" s="7" t="str">
        <f t="shared" si="25"/>
        <v>Findlay City SD</v>
      </c>
      <c r="AQ191" s="7" t="str">
        <f>'Gen Fd BS'!A191</f>
        <v>Findlay City SD</v>
      </c>
      <c r="AR191" s="7" t="b">
        <f t="shared" si="26"/>
        <v>1</v>
      </c>
      <c r="AT191" s="7" t="str">
        <f t="shared" si="24"/>
        <v>Hancock</v>
      </c>
      <c r="AU191" s="7" t="b">
        <f>C191='Gen Fd BS'!C191</f>
        <v>1</v>
      </c>
    </row>
    <row r="192" spans="1:47">
      <c r="A192" s="12" t="s">
        <v>330</v>
      </c>
      <c r="B192" s="12"/>
      <c r="C192" s="12" t="s">
        <v>32</v>
      </c>
      <c r="D192" s="12"/>
      <c r="E192" s="12">
        <v>47332</v>
      </c>
      <c r="G192" s="7">
        <v>10157930</v>
      </c>
      <c r="I192" s="7">
        <v>0</v>
      </c>
      <c r="K192" s="7">
        <v>7364680</v>
      </c>
      <c r="M192" s="7">
        <v>12473</v>
      </c>
      <c r="O192" s="7">
        <v>450387</v>
      </c>
      <c r="Q192" s="7">
        <v>9483</v>
      </c>
      <c r="S192" s="7">
        <v>161333</v>
      </c>
      <c r="U192" s="7">
        <v>0</v>
      </c>
      <c r="W192" s="7">
        <f>54007+125142</f>
        <v>179149</v>
      </c>
      <c r="Y192" s="2">
        <f t="shared" si="28"/>
        <v>18335435</v>
      </c>
      <c r="AA192" s="7">
        <v>0</v>
      </c>
      <c r="AC192" s="7">
        <v>0</v>
      </c>
      <c r="AE192" s="7">
        <v>59752</v>
      </c>
      <c r="AG192" s="7">
        <v>42</v>
      </c>
      <c r="AI192" s="7">
        <v>0</v>
      </c>
      <c r="AK192" s="7">
        <f t="shared" si="27"/>
        <v>59794</v>
      </c>
      <c r="AM192" s="7">
        <f t="shared" si="33"/>
        <v>18395229</v>
      </c>
      <c r="AO192" s="7" t="s">
        <v>850</v>
      </c>
      <c r="AP192" s="7" t="str">
        <f t="shared" si="25"/>
        <v>Finneytown Local SD</v>
      </c>
      <c r="AQ192" s="7" t="str">
        <f>'Gen Fd BS'!A192</f>
        <v>Finneytown Local SD</v>
      </c>
      <c r="AR192" s="7" t="b">
        <f t="shared" si="26"/>
        <v>1</v>
      </c>
      <c r="AT192" s="7" t="str">
        <f t="shared" si="24"/>
        <v>Hamilton</v>
      </c>
      <c r="AU192" s="7" t="b">
        <f>C192='Gen Fd BS'!C192</f>
        <v>1</v>
      </c>
    </row>
    <row r="193" spans="1:47">
      <c r="A193" s="12" t="s">
        <v>397</v>
      </c>
      <c r="B193" s="12"/>
      <c r="C193" s="12" t="s">
        <v>44</v>
      </c>
      <c r="D193" s="12"/>
      <c r="E193" s="12">
        <v>48157</v>
      </c>
      <c r="G193" s="7">
        <v>6725771</v>
      </c>
      <c r="I193" s="7">
        <v>0</v>
      </c>
      <c r="K193" s="7">
        <f>8419807+39352</f>
        <v>8459159</v>
      </c>
      <c r="M193" s="7">
        <v>56114</v>
      </c>
      <c r="O193" s="7">
        <f>775696+11064+82300</f>
        <v>869060</v>
      </c>
      <c r="Q193" s="7">
        <v>189866</v>
      </c>
      <c r="S193" s="7">
        <v>0</v>
      </c>
      <c r="U193" s="7">
        <v>7708</v>
      </c>
      <c r="W193" s="7">
        <f>29977+2850+107594</f>
        <v>140421</v>
      </c>
      <c r="Y193" s="2">
        <f t="shared" si="28"/>
        <v>16448099</v>
      </c>
      <c r="AA193" s="7">
        <v>0</v>
      </c>
      <c r="AC193" s="7">
        <v>0</v>
      </c>
      <c r="AE193" s="7">
        <v>0</v>
      </c>
      <c r="AG193" s="7">
        <v>0</v>
      </c>
      <c r="AI193" s="7">
        <v>0</v>
      </c>
      <c r="AK193" s="7">
        <f t="shared" si="27"/>
        <v>0</v>
      </c>
      <c r="AM193" s="7">
        <f t="shared" si="33"/>
        <v>16448099</v>
      </c>
      <c r="AP193" s="7" t="str">
        <f t="shared" si="25"/>
        <v>Firelands Local SD</v>
      </c>
      <c r="AQ193" s="7" t="str">
        <f>'Gen Fd BS'!A193</f>
        <v>Firelands Local SD</v>
      </c>
      <c r="AR193" s="7" t="b">
        <f t="shared" si="26"/>
        <v>1</v>
      </c>
      <c r="AT193" s="7" t="str">
        <f t="shared" si="24"/>
        <v>Lorain</v>
      </c>
      <c r="AU193" s="7" t="b">
        <f>C193='Gen Fd BS'!C193</f>
        <v>1</v>
      </c>
    </row>
    <row r="194" spans="1:47">
      <c r="A194" s="12" t="s">
        <v>331</v>
      </c>
      <c r="B194" s="12"/>
      <c r="C194" s="12" t="s">
        <v>32</v>
      </c>
      <c r="D194" s="12"/>
      <c r="E194" s="12">
        <v>47340</v>
      </c>
      <c r="G194" s="7">
        <v>37843289</v>
      </c>
      <c r="I194" s="7">
        <v>0</v>
      </c>
      <c r="K194" s="7">
        <v>24928645</v>
      </c>
      <c r="M194" s="7">
        <v>17060</v>
      </c>
      <c r="O194" s="7">
        <v>1096365</v>
      </c>
      <c r="Q194" s="7">
        <v>0</v>
      </c>
      <c r="S194" s="7">
        <v>6478054</v>
      </c>
      <c r="U194" s="7">
        <v>0</v>
      </c>
      <c r="W194" s="7">
        <v>1059550</v>
      </c>
      <c r="Y194" s="2">
        <f t="shared" si="28"/>
        <v>71422963</v>
      </c>
      <c r="AA194" s="7">
        <v>0</v>
      </c>
      <c r="AC194" s="7">
        <v>0</v>
      </c>
      <c r="AE194" s="7">
        <v>0</v>
      </c>
      <c r="AG194" s="7">
        <v>8520</v>
      </c>
      <c r="AI194" s="7">
        <v>0</v>
      </c>
      <c r="AK194" s="7">
        <f t="shared" si="27"/>
        <v>8520</v>
      </c>
      <c r="AM194" s="7">
        <f t="shared" si="33"/>
        <v>71431483</v>
      </c>
      <c r="AO194" s="7" t="s">
        <v>852</v>
      </c>
      <c r="AP194" s="7" t="str">
        <f t="shared" si="25"/>
        <v>Forest Hills Local SD</v>
      </c>
      <c r="AQ194" s="7" t="str">
        <f>'Gen Fd BS'!A194</f>
        <v>Forest Hills Local SD</v>
      </c>
      <c r="AR194" s="7" t="b">
        <f t="shared" si="26"/>
        <v>1</v>
      </c>
      <c r="AT194" s="7" t="str">
        <f t="shared" si="24"/>
        <v>Hamilton</v>
      </c>
      <c r="AU194" s="7" t="b">
        <f>C194='Gen Fd BS'!C194</f>
        <v>1</v>
      </c>
    </row>
    <row r="195" spans="1:47" hidden="1">
      <c r="A195" s="12" t="s">
        <v>642</v>
      </c>
      <c r="B195" s="12"/>
      <c r="C195" s="12" t="s">
        <v>70</v>
      </c>
      <c r="D195" s="12"/>
      <c r="E195" s="12">
        <v>50484</v>
      </c>
      <c r="Y195" s="2">
        <f t="shared" si="28"/>
        <v>0</v>
      </c>
      <c r="AK195" s="7">
        <f t="shared" si="27"/>
        <v>0</v>
      </c>
      <c r="AM195" s="7">
        <f t="shared" si="33"/>
        <v>0</v>
      </c>
      <c r="AO195" s="7" t="s">
        <v>839</v>
      </c>
      <c r="AP195" s="7" t="str">
        <f t="shared" si="25"/>
        <v>Fort Frye Local SD (CASH)</v>
      </c>
      <c r="AQ195" s="7" t="str">
        <f>'Gen Fd BS'!A195</f>
        <v>Fort Frye Local SD (CASH)</v>
      </c>
      <c r="AR195" s="7" t="b">
        <f t="shared" si="26"/>
        <v>1</v>
      </c>
      <c r="AT195" s="7" t="str">
        <f t="shared" si="24"/>
        <v>Washington</v>
      </c>
      <c r="AU195" s="7" t="b">
        <f>C195='Gen Fd BS'!C195</f>
        <v>1</v>
      </c>
    </row>
    <row r="196" spans="1:47">
      <c r="A196" s="12" t="s">
        <v>505</v>
      </c>
      <c r="B196" s="12"/>
      <c r="C196" s="12" t="s">
        <v>61</v>
      </c>
      <c r="D196" s="12"/>
      <c r="E196" s="12">
        <v>49783</v>
      </c>
      <c r="G196" s="7">
        <v>1562610</v>
      </c>
      <c r="I196" s="7">
        <v>1453279</v>
      </c>
      <c r="K196" s="7">
        <v>3586671</v>
      </c>
      <c r="M196" s="7">
        <v>13274</v>
      </c>
      <c r="O196" s="7">
        <v>110713</v>
      </c>
      <c r="Q196" s="7">
        <v>105525</v>
      </c>
      <c r="S196" s="7">
        <v>0</v>
      </c>
      <c r="U196" s="7">
        <v>12487</v>
      </c>
      <c r="W196" s="7">
        <f>11846+5033</f>
        <v>16879</v>
      </c>
      <c r="Y196" s="2">
        <f t="shared" si="28"/>
        <v>6861438</v>
      </c>
      <c r="AA196" s="7">
        <v>0</v>
      </c>
      <c r="AC196" s="7">
        <v>0</v>
      </c>
      <c r="AE196" s="7">
        <v>0</v>
      </c>
      <c r="AG196" s="7">
        <v>0</v>
      </c>
      <c r="AI196" s="7">
        <v>0</v>
      </c>
      <c r="AK196" s="7">
        <f t="shared" si="27"/>
        <v>0</v>
      </c>
      <c r="AM196" s="7">
        <f t="shared" si="33"/>
        <v>6861438</v>
      </c>
      <c r="AO196" s="7" t="s">
        <v>853</v>
      </c>
      <c r="AP196" s="7" t="str">
        <f t="shared" si="25"/>
        <v>Fort Loramie Local SD</v>
      </c>
      <c r="AQ196" s="7" t="str">
        <f>'Gen Fd BS'!A196</f>
        <v>Fort Loramie Local SD</v>
      </c>
      <c r="AR196" s="7" t="b">
        <f t="shared" si="26"/>
        <v>1</v>
      </c>
      <c r="AT196" s="7" t="str">
        <f t="shared" si="24"/>
        <v>Shelby</v>
      </c>
      <c r="AU196" s="7" t="b">
        <f>C196='Gen Fd BS'!C196</f>
        <v>1</v>
      </c>
    </row>
    <row r="197" spans="1:47" hidden="1">
      <c r="A197" s="12" t="s">
        <v>873</v>
      </c>
      <c r="B197" s="12"/>
      <c r="C197" s="12" t="s">
        <v>435</v>
      </c>
      <c r="D197" s="12"/>
      <c r="E197" s="12"/>
      <c r="Y197" s="2">
        <f t="shared" si="28"/>
        <v>0</v>
      </c>
      <c r="AM197" s="7">
        <f t="shared" si="33"/>
        <v>0</v>
      </c>
      <c r="AO197" s="7" t="s">
        <v>839</v>
      </c>
      <c r="AP197" s="7" t="str">
        <f t="shared" si="25"/>
        <v>Fort Recovery Local SD (CASH)</v>
      </c>
      <c r="AQ197" s="7" t="str">
        <f>'Gen Fd BS'!A197</f>
        <v>Fort Recovery Local SD (CASH)</v>
      </c>
      <c r="AR197" s="7" t="b">
        <f t="shared" si="26"/>
        <v>1</v>
      </c>
      <c r="AT197" s="7" t="str">
        <f t="shared" si="24"/>
        <v>Mercer</v>
      </c>
      <c r="AU197" s="7" t="b">
        <f>C197='Gen Fd BS'!C197</f>
        <v>1</v>
      </c>
    </row>
    <row r="198" spans="1:47" hidden="1">
      <c r="A198" s="12" t="s">
        <v>854</v>
      </c>
      <c r="B198" s="12"/>
      <c r="C198" s="12" t="s">
        <v>60</v>
      </c>
      <c r="D198" s="12"/>
      <c r="E198" s="12">
        <v>43992</v>
      </c>
      <c r="Y198" s="2">
        <f t="shared" si="28"/>
        <v>0</v>
      </c>
      <c r="AK198" s="7">
        <f t="shared" ref="AK198:AK219" si="34">SUM(AA198:AJ198)</f>
        <v>0</v>
      </c>
      <c r="AM198" s="7">
        <f t="shared" si="33"/>
        <v>0</v>
      </c>
      <c r="AO198" s="7" t="s">
        <v>855</v>
      </c>
      <c r="AP198" s="7" t="str">
        <f t="shared" si="25"/>
        <v>Fostoria City SD (CASH)</v>
      </c>
      <c r="AQ198" s="7" t="str">
        <f>'Gen Fd BS'!A198</f>
        <v>Fostoria City SD (CASH)</v>
      </c>
      <c r="AR198" s="7" t="b">
        <f t="shared" si="26"/>
        <v>1</v>
      </c>
      <c r="AT198" s="7" t="str">
        <f t="shared" si="24"/>
        <v>Seneca</v>
      </c>
      <c r="AU198" s="7" t="b">
        <f>C198='Gen Fd BS'!C198</f>
        <v>1</v>
      </c>
    </row>
    <row r="199" spans="1:47">
      <c r="A199" s="12" t="s">
        <v>561</v>
      </c>
      <c r="B199" s="12"/>
      <c r="C199" s="12" t="s">
        <v>69</v>
      </c>
      <c r="D199" s="12"/>
      <c r="E199" s="12">
        <v>44008</v>
      </c>
      <c r="G199" s="7">
        <v>11659569</v>
      </c>
      <c r="I199" s="7">
        <v>0</v>
      </c>
      <c r="K199" s="7">
        <v>13724647</v>
      </c>
      <c r="M199" s="7">
        <v>21720</v>
      </c>
      <c r="O199" s="7">
        <v>902438</v>
      </c>
      <c r="Q199" s="7">
        <v>30470</v>
      </c>
      <c r="S199" s="7">
        <v>203075</v>
      </c>
      <c r="U199" s="7">
        <v>51472</v>
      </c>
      <c r="W199" s="7">
        <f>5238+92939</f>
        <v>98177</v>
      </c>
      <c r="Y199" s="2">
        <f t="shared" si="28"/>
        <v>26691568</v>
      </c>
      <c r="AA199" s="7">
        <v>0</v>
      </c>
      <c r="AC199" s="7">
        <v>0</v>
      </c>
      <c r="AE199" s="7">
        <v>0</v>
      </c>
      <c r="AG199" s="7">
        <v>717</v>
      </c>
      <c r="AI199" s="7">
        <v>0</v>
      </c>
      <c r="AK199" s="7">
        <f t="shared" si="34"/>
        <v>717</v>
      </c>
      <c r="AM199" s="7">
        <f t="shared" si="33"/>
        <v>26692285</v>
      </c>
      <c r="AP199" s="7" t="str">
        <f t="shared" si="25"/>
        <v>Franklin City SD</v>
      </c>
      <c r="AQ199" s="7" t="str">
        <f>'Gen Fd BS'!A199</f>
        <v>Franklin City SD</v>
      </c>
      <c r="AR199" s="7" t="b">
        <f t="shared" si="26"/>
        <v>1</v>
      </c>
      <c r="AT199" s="7" t="str">
        <f t="shared" si="24"/>
        <v>Warren</v>
      </c>
      <c r="AU199" s="7" t="b">
        <f>C199='Gen Fd BS'!C199</f>
        <v>1</v>
      </c>
    </row>
    <row r="200" spans="1:47">
      <c r="A200" s="12" t="s">
        <v>457</v>
      </c>
      <c r="B200" s="12"/>
      <c r="C200" s="12" t="s">
        <v>51</v>
      </c>
      <c r="D200" s="12"/>
      <c r="E200" s="12">
        <v>48843</v>
      </c>
      <c r="G200" s="7">
        <v>4546317</v>
      </c>
      <c r="I200" s="7">
        <v>0</v>
      </c>
      <c r="K200" s="7">
        <v>12894230</v>
      </c>
      <c r="M200" s="7">
        <v>190184</v>
      </c>
      <c r="O200" s="7">
        <v>1186495</v>
      </c>
      <c r="Q200" s="7">
        <v>23378</v>
      </c>
      <c r="S200" s="7">
        <v>1843</v>
      </c>
      <c r="U200" s="7">
        <v>1365</v>
      </c>
      <c r="W200" s="7">
        <v>104</v>
      </c>
      <c r="Y200" s="2">
        <f t="shared" si="28"/>
        <v>18843916</v>
      </c>
      <c r="AA200" s="7">
        <v>0</v>
      </c>
      <c r="AC200" s="7">
        <v>0</v>
      </c>
      <c r="AE200" s="7">
        <v>0</v>
      </c>
      <c r="AG200" s="7">
        <v>5000</v>
      </c>
      <c r="AI200" s="7">
        <v>0</v>
      </c>
      <c r="AK200" s="7">
        <f t="shared" si="34"/>
        <v>5000</v>
      </c>
      <c r="AM200" s="7">
        <f t="shared" si="33"/>
        <v>18848916</v>
      </c>
      <c r="AP200" s="7" t="str">
        <f t="shared" si="25"/>
        <v>Franklin Local SD</v>
      </c>
      <c r="AQ200" s="7" t="str">
        <f>'Gen Fd BS'!A200</f>
        <v>Franklin Local SD</v>
      </c>
      <c r="AR200" s="7" t="b">
        <f t="shared" si="26"/>
        <v>1</v>
      </c>
      <c r="AT200" s="7" t="str">
        <f t="shared" si="24"/>
        <v>Muskingum</v>
      </c>
      <c r="AU200" s="7" t="b">
        <f>C200='Gen Fd BS'!C200</f>
        <v>1</v>
      </c>
    </row>
    <row r="201" spans="1:47" hidden="1">
      <c r="A201" s="12" t="s">
        <v>641</v>
      </c>
      <c r="B201" s="12"/>
      <c r="C201" s="12" t="s">
        <v>21</v>
      </c>
      <c r="D201" s="12"/>
      <c r="E201" s="12">
        <v>46649</v>
      </c>
      <c r="Y201" s="2">
        <f t="shared" si="28"/>
        <v>0</v>
      </c>
      <c r="AK201" s="7">
        <f t="shared" si="34"/>
        <v>0</v>
      </c>
      <c r="AM201" s="7">
        <f t="shared" si="33"/>
        <v>0</v>
      </c>
      <c r="AO201" s="7" t="s">
        <v>839</v>
      </c>
      <c r="AP201" s="7" t="str">
        <f t="shared" si="25"/>
        <v>Franklin Monroe Local SD (CASH)</v>
      </c>
      <c r="AQ201" s="7" t="str">
        <f>'Gen Fd BS'!A201</f>
        <v>Franklin Monroe Local SD (CASH)</v>
      </c>
      <c r="AR201" s="7" t="b">
        <f t="shared" si="26"/>
        <v>1</v>
      </c>
      <c r="AT201" s="7" t="str">
        <f t="shared" si="24"/>
        <v>Darke</v>
      </c>
      <c r="AU201" s="7" t="b">
        <f>C201='Gen Fd BS'!C201</f>
        <v>1</v>
      </c>
    </row>
    <row r="202" spans="1:47" hidden="1">
      <c r="A202" s="12" t="s">
        <v>696</v>
      </c>
      <c r="B202" s="12"/>
      <c r="C202" s="12" t="s">
        <v>40</v>
      </c>
      <c r="D202" s="12"/>
      <c r="E202" s="12">
        <v>47852</v>
      </c>
      <c r="Y202" s="2">
        <f t="shared" si="28"/>
        <v>0</v>
      </c>
      <c r="AK202" s="7">
        <f t="shared" si="34"/>
        <v>0</v>
      </c>
      <c r="AM202" s="7">
        <f t="shared" si="33"/>
        <v>0</v>
      </c>
      <c r="AO202" s="7" t="s">
        <v>839</v>
      </c>
      <c r="AP202" s="7" t="str">
        <f t="shared" si="25"/>
        <v>Fredericktown Local SD (CASH)</v>
      </c>
      <c r="AQ202" s="7" t="str">
        <f>'Gen Fd BS'!A202</f>
        <v>Fredericktown Local SD (CASH)</v>
      </c>
      <c r="AR202" s="7" t="b">
        <f t="shared" si="26"/>
        <v>1</v>
      </c>
      <c r="AT202" s="7" t="str">
        <f t="shared" si="24"/>
        <v>Knox</v>
      </c>
      <c r="AU202" s="7" t="b">
        <f>C202='Gen Fd BS'!C202</f>
        <v>1</v>
      </c>
    </row>
    <row r="203" spans="1:47">
      <c r="A203" s="12" t="s">
        <v>673</v>
      </c>
      <c r="B203" s="12"/>
      <c r="C203" s="12" t="s">
        <v>79</v>
      </c>
      <c r="D203" s="12"/>
      <c r="E203" s="12">
        <v>44016</v>
      </c>
      <c r="G203" s="7">
        <v>10363754</v>
      </c>
      <c r="I203" s="7">
        <v>6232621</v>
      </c>
      <c r="K203" s="7">
        <v>16468636</v>
      </c>
      <c r="M203" s="7">
        <v>120973</v>
      </c>
      <c r="O203" s="7">
        <v>570677</v>
      </c>
      <c r="Q203" s="7">
        <v>97427</v>
      </c>
      <c r="S203" s="7">
        <v>0</v>
      </c>
      <c r="U203" s="7">
        <v>904</v>
      </c>
      <c r="W203" s="7">
        <f>25692+16315+79071</f>
        <v>121078</v>
      </c>
      <c r="Y203" s="2">
        <f t="shared" si="28"/>
        <v>33976070</v>
      </c>
      <c r="AA203" s="7">
        <v>0</v>
      </c>
      <c r="AC203" s="7">
        <v>0</v>
      </c>
      <c r="AE203" s="7">
        <v>16401</v>
      </c>
      <c r="AG203" s="7">
        <v>0</v>
      </c>
      <c r="AI203" s="7">
        <v>0</v>
      </c>
      <c r="AK203" s="7">
        <f t="shared" si="34"/>
        <v>16401</v>
      </c>
      <c r="AM203" s="7">
        <f t="shared" si="33"/>
        <v>33992471</v>
      </c>
      <c r="AP203" s="7" t="str">
        <f t="shared" si="25"/>
        <v xml:space="preserve">Fremont City SD </v>
      </c>
      <c r="AQ203" s="7" t="str">
        <f>'Gen Fd BS'!A203</f>
        <v xml:space="preserve">Fremont City SD </v>
      </c>
      <c r="AR203" s="7" t="b">
        <f t="shared" si="26"/>
        <v>1</v>
      </c>
      <c r="AT203" s="7" t="str">
        <f t="shared" si="24"/>
        <v>Sandusky</v>
      </c>
      <c r="AU203" s="7" t="b">
        <f>C203='Gen Fd BS'!C203</f>
        <v>1</v>
      </c>
    </row>
    <row r="204" spans="1:47">
      <c r="A204" s="12" t="s">
        <v>565</v>
      </c>
      <c r="B204" s="12"/>
      <c r="C204" s="12" t="s">
        <v>70</v>
      </c>
      <c r="D204" s="12"/>
      <c r="E204" s="12">
        <v>50492</v>
      </c>
      <c r="G204" s="7">
        <v>1123192</v>
      </c>
      <c r="I204" s="7">
        <v>0</v>
      </c>
      <c r="K204" s="7">
        <f>76887+5156890</f>
        <v>5233777</v>
      </c>
      <c r="M204" s="7">
        <v>8788</v>
      </c>
      <c r="O204" s="7">
        <f>158272+13533</f>
        <v>171805</v>
      </c>
      <c r="Q204" s="7">
        <v>0</v>
      </c>
      <c r="S204" s="7">
        <v>0</v>
      </c>
      <c r="U204" s="7">
        <v>10495</v>
      </c>
      <c r="W204" s="7">
        <v>11260</v>
      </c>
      <c r="Y204" s="2">
        <f t="shared" si="28"/>
        <v>6559317</v>
      </c>
      <c r="AA204" s="7">
        <v>0</v>
      </c>
      <c r="AC204" s="7">
        <v>0</v>
      </c>
      <c r="AE204" s="7">
        <v>0</v>
      </c>
      <c r="AG204" s="7">
        <v>0</v>
      </c>
      <c r="AI204" s="7">
        <v>0</v>
      </c>
      <c r="AK204" s="7">
        <f t="shared" si="34"/>
        <v>0</v>
      </c>
      <c r="AM204" s="7">
        <f t="shared" si="33"/>
        <v>6559317</v>
      </c>
      <c r="AP204" s="7" t="str">
        <f t="shared" si="25"/>
        <v>Frontier Local SD</v>
      </c>
      <c r="AQ204" s="7" t="str">
        <f>'Gen Fd BS'!A204</f>
        <v>Frontier Local SD</v>
      </c>
      <c r="AR204" s="7" t="b">
        <f t="shared" si="26"/>
        <v>1</v>
      </c>
      <c r="AT204" s="7" t="str">
        <f t="shared" ref="AT204:AT267" si="35">C204</f>
        <v>Washington</v>
      </c>
      <c r="AU204" s="7" t="b">
        <f>C204='Gen Fd BS'!C204</f>
        <v>1</v>
      </c>
    </row>
    <row r="205" spans="1:47">
      <c r="A205" s="12" t="s">
        <v>670</v>
      </c>
      <c r="B205" s="12"/>
      <c r="C205" s="12" t="s">
        <v>27</v>
      </c>
      <c r="D205" s="12"/>
      <c r="E205" s="12">
        <v>46961</v>
      </c>
      <c r="G205" s="7">
        <v>46143070</v>
      </c>
      <c r="I205" s="7">
        <v>0</v>
      </c>
      <c r="K205" s="7">
        <v>20989418</v>
      </c>
      <c r="M205" s="7">
        <v>57886</v>
      </c>
      <c r="O205" s="7">
        <v>165944</v>
      </c>
      <c r="Q205" s="7">
        <v>0</v>
      </c>
      <c r="S205" s="7">
        <v>5381328</v>
      </c>
      <c r="U205" s="7">
        <v>0</v>
      </c>
      <c r="W205" s="7">
        <v>1600463</v>
      </c>
      <c r="Y205" s="2">
        <f t="shared" ref="Y205:Y219" si="36">SUM(G205:X205)</f>
        <v>74338109</v>
      </c>
      <c r="AA205" s="7">
        <v>0</v>
      </c>
      <c r="AC205" s="7">
        <v>0</v>
      </c>
      <c r="AE205" s="7">
        <v>2350330</v>
      </c>
      <c r="AG205" s="7">
        <v>85420</v>
      </c>
      <c r="AI205" s="7">
        <v>0</v>
      </c>
      <c r="AK205" s="7">
        <f t="shared" si="34"/>
        <v>2435750</v>
      </c>
      <c r="AM205" s="7">
        <f t="shared" ref="AM205:AM236" si="37">+AK205+Y205</f>
        <v>76773859</v>
      </c>
      <c r="AP205" s="7" t="str">
        <f t="shared" ref="AP205:AP268" si="38">A205</f>
        <v xml:space="preserve">Gahanna-Jefferson City SD </v>
      </c>
      <c r="AQ205" s="7" t="str">
        <f>'Gen Fd BS'!A205</f>
        <v xml:space="preserve">Gahanna-Jefferson City SD </v>
      </c>
      <c r="AR205" s="7" t="b">
        <f t="shared" ref="AR205:AR268" si="39">AP205=AQ205</f>
        <v>1</v>
      </c>
      <c r="AT205" s="7" t="str">
        <f t="shared" si="35"/>
        <v>Franklin</v>
      </c>
      <c r="AU205" s="7" t="b">
        <f>C205='Gen Fd BS'!C205</f>
        <v>1</v>
      </c>
    </row>
    <row r="206" spans="1:47">
      <c r="A206" s="12" t="s">
        <v>265</v>
      </c>
      <c r="B206" s="12"/>
      <c r="C206" s="12" t="s">
        <v>111</v>
      </c>
      <c r="D206" s="12"/>
      <c r="E206" s="12">
        <v>44024</v>
      </c>
      <c r="G206" s="7">
        <v>4428269</v>
      </c>
      <c r="I206" s="7">
        <v>0</v>
      </c>
      <c r="K206" s="7">
        <v>10906559</v>
      </c>
      <c r="M206" s="7">
        <v>2981</v>
      </c>
      <c r="O206" s="7">
        <v>466388</v>
      </c>
      <c r="Q206" s="7">
        <v>7762</v>
      </c>
      <c r="S206" s="7">
        <v>0</v>
      </c>
      <c r="U206" s="7">
        <v>12772</v>
      </c>
      <c r="W206" s="7">
        <v>137892</v>
      </c>
      <c r="Y206" s="2">
        <f t="shared" si="36"/>
        <v>15962623</v>
      </c>
      <c r="AA206" s="7">
        <v>0</v>
      </c>
      <c r="AC206" s="7">
        <v>0</v>
      </c>
      <c r="AE206" s="7">
        <v>0</v>
      </c>
      <c r="AG206" s="7">
        <v>0</v>
      </c>
      <c r="AI206" s="7">
        <v>0</v>
      </c>
      <c r="AK206" s="7">
        <f t="shared" si="34"/>
        <v>0</v>
      </c>
      <c r="AM206" s="7">
        <f t="shared" si="37"/>
        <v>15962623</v>
      </c>
      <c r="AP206" s="7" t="str">
        <f t="shared" si="38"/>
        <v>Galion City SD</v>
      </c>
      <c r="AQ206" s="7" t="str">
        <f>'Gen Fd BS'!A206</f>
        <v>Galion City SD</v>
      </c>
      <c r="AR206" s="7" t="b">
        <f t="shared" si="39"/>
        <v>1</v>
      </c>
      <c r="AT206" s="7" t="str">
        <f t="shared" si="35"/>
        <v>Crawford</v>
      </c>
      <c r="AU206" s="7" t="b">
        <f>C206='Gen Fd BS'!C206</f>
        <v>1</v>
      </c>
    </row>
    <row r="207" spans="1:47" ht="12" hidden="1" customHeight="1">
      <c r="A207" s="12" t="s">
        <v>671</v>
      </c>
      <c r="B207" s="12"/>
      <c r="C207" s="12" t="s">
        <v>29</v>
      </c>
      <c r="D207" s="12"/>
      <c r="E207" s="12">
        <v>65680</v>
      </c>
      <c r="Y207" s="2">
        <f t="shared" si="36"/>
        <v>0</v>
      </c>
      <c r="AK207" s="7">
        <f t="shared" si="34"/>
        <v>0</v>
      </c>
      <c r="AM207" s="7">
        <f t="shared" si="37"/>
        <v>0</v>
      </c>
      <c r="AO207" s="7" t="s">
        <v>856</v>
      </c>
      <c r="AP207" s="7" t="str">
        <f t="shared" si="38"/>
        <v xml:space="preserve">Gallia County Local SD </v>
      </c>
      <c r="AQ207" s="7" t="str">
        <f>'Gen Fd BS'!A207</f>
        <v xml:space="preserve">Gallia County Local SD </v>
      </c>
      <c r="AR207" s="7" t="b">
        <f t="shared" si="39"/>
        <v>1</v>
      </c>
      <c r="AT207" s="7" t="str">
        <f t="shared" si="35"/>
        <v>Gallia</v>
      </c>
      <c r="AU207" s="7" t="b">
        <f>C207='Gen Fd BS'!C207</f>
        <v>1</v>
      </c>
    </row>
    <row r="208" spans="1:47">
      <c r="A208" s="12" t="s">
        <v>320</v>
      </c>
      <c r="B208" s="12"/>
      <c r="C208" s="12" t="s">
        <v>29</v>
      </c>
      <c r="D208" s="12"/>
      <c r="E208" s="12">
        <v>44032</v>
      </c>
      <c r="G208" s="7">
        <v>4345368</v>
      </c>
      <c r="I208" s="7">
        <v>0</v>
      </c>
      <c r="K208" s="7">
        <v>12221503</v>
      </c>
      <c r="M208" s="7">
        <v>109751</v>
      </c>
      <c r="O208" s="7">
        <f>1237196+94263+33454</f>
        <v>1364913</v>
      </c>
      <c r="Q208" s="7">
        <v>3177</v>
      </c>
      <c r="S208" s="7">
        <v>0</v>
      </c>
      <c r="U208" s="7">
        <v>9847</v>
      </c>
      <c r="W208" s="7">
        <f>217+77180</f>
        <v>77397</v>
      </c>
      <c r="Y208" s="2">
        <f t="shared" si="36"/>
        <v>18131956</v>
      </c>
      <c r="AA208" s="7">
        <v>0</v>
      </c>
      <c r="AC208" s="7">
        <v>0</v>
      </c>
      <c r="AE208" s="7">
        <v>0</v>
      </c>
      <c r="AG208" s="7">
        <v>136695</v>
      </c>
      <c r="AI208" s="7">
        <v>0</v>
      </c>
      <c r="AK208" s="7">
        <f t="shared" si="34"/>
        <v>136695</v>
      </c>
      <c r="AM208" s="7">
        <f t="shared" si="37"/>
        <v>18268651</v>
      </c>
      <c r="AP208" s="7" t="str">
        <f t="shared" si="38"/>
        <v>Gallipolis City SD</v>
      </c>
      <c r="AQ208" s="7" t="str">
        <f>'Gen Fd BS'!A208</f>
        <v>Gallipolis City SD</v>
      </c>
      <c r="AR208" s="7" t="b">
        <f t="shared" si="39"/>
        <v>1</v>
      </c>
      <c r="AT208" s="7" t="str">
        <f t="shared" si="35"/>
        <v>Gallia</v>
      </c>
      <c r="AU208" s="7" t="b">
        <f>C208='Gen Fd BS'!C208</f>
        <v>1</v>
      </c>
    </row>
    <row r="209" spans="1:47">
      <c r="A209" s="12" t="s">
        <v>551</v>
      </c>
      <c r="B209" s="12"/>
      <c r="C209" s="12" t="s">
        <v>65</v>
      </c>
      <c r="D209" s="12"/>
      <c r="E209" s="12">
        <v>50278</v>
      </c>
      <c r="G209" s="7">
        <v>4943352</v>
      </c>
      <c r="I209" s="7">
        <v>0</v>
      </c>
      <c r="K209" s="7">
        <f>4465047+1629</f>
        <v>4466676</v>
      </c>
      <c r="M209" s="7">
        <v>8823</v>
      </c>
      <c r="O209" s="7">
        <f>607598+47508+57638</f>
        <v>712744</v>
      </c>
      <c r="Q209" s="7">
        <v>45955</v>
      </c>
      <c r="S209" s="7">
        <v>0</v>
      </c>
      <c r="U209" s="7">
        <v>100</v>
      </c>
      <c r="W209" s="7">
        <f>128+27347</f>
        <v>27475</v>
      </c>
      <c r="Y209" s="2">
        <f t="shared" si="36"/>
        <v>10205125</v>
      </c>
      <c r="AA209" s="7">
        <v>0</v>
      </c>
      <c r="AC209" s="7">
        <v>0</v>
      </c>
      <c r="AE209" s="7">
        <v>0</v>
      </c>
      <c r="AG209" s="7">
        <v>0</v>
      </c>
      <c r="AI209" s="7">
        <v>0</v>
      </c>
      <c r="AK209" s="7">
        <f t="shared" si="34"/>
        <v>0</v>
      </c>
      <c r="AM209" s="7">
        <f t="shared" si="37"/>
        <v>10205125</v>
      </c>
      <c r="AP209" s="7" t="str">
        <f t="shared" si="38"/>
        <v>Garaway Local SD</v>
      </c>
      <c r="AQ209" s="7" t="str">
        <f>'Gen Fd BS'!A209</f>
        <v>Garaway Local SD</v>
      </c>
      <c r="AR209" s="7" t="b">
        <f t="shared" si="39"/>
        <v>1</v>
      </c>
      <c r="AT209" s="7" t="str">
        <f t="shared" si="35"/>
        <v>Tuscarawas</v>
      </c>
      <c r="AU209" s="7" t="b">
        <f>C209='Gen Fd BS'!C209</f>
        <v>1</v>
      </c>
    </row>
    <row r="210" spans="1:47">
      <c r="A210" s="12" t="s">
        <v>714</v>
      </c>
      <c r="B210" s="12"/>
      <c r="C210" s="12" t="s">
        <v>20</v>
      </c>
      <c r="D210" s="12"/>
      <c r="E210" s="12">
        <v>44040</v>
      </c>
      <c r="G210" s="7">
        <v>13290026</v>
      </c>
      <c r="I210" s="7">
        <v>0</v>
      </c>
      <c r="K210" s="7">
        <v>19169081</v>
      </c>
      <c r="M210" s="7">
        <v>158033</v>
      </c>
      <c r="O210" s="7">
        <v>331034</v>
      </c>
      <c r="Q210" s="7">
        <v>0</v>
      </c>
      <c r="S210" s="7">
        <v>0</v>
      </c>
      <c r="U210" s="7">
        <v>0</v>
      </c>
      <c r="W210" s="7">
        <f>55082+23844+28004</f>
        <v>106930</v>
      </c>
      <c r="Y210" s="2">
        <f t="shared" si="36"/>
        <v>33055104</v>
      </c>
      <c r="AA210" s="7">
        <v>0</v>
      </c>
      <c r="AC210" s="7">
        <v>0</v>
      </c>
      <c r="AE210" s="7">
        <v>0</v>
      </c>
      <c r="AG210" s="7">
        <v>0</v>
      </c>
      <c r="AI210" s="7">
        <v>0</v>
      </c>
      <c r="AK210" s="7">
        <f t="shared" si="34"/>
        <v>0</v>
      </c>
      <c r="AM210" s="7">
        <f t="shared" si="37"/>
        <v>33055104</v>
      </c>
      <c r="AO210" s="7" t="s">
        <v>850</v>
      </c>
      <c r="AP210" s="7" t="str">
        <f t="shared" si="38"/>
        <v xml:space="preserve">Garfield Heights City SD </v>
      </c>
      <c r="AQ210" s="7" t="str">
        <f>'Gen Fd BS'!A210</f>
        <v xml:space="preserve">Garfield Heights City SD </v>
      </c>
      <c r="AR210" s="7" t="b">
        <f t="shared" si="39"/>
        <v>1</v>
      </c>
      <c r="AT210" s="7" t="str">
        <f t="shared" si="35"/>
        <v>Cuyahoga</v>
      </c>
      <c r="AU210" s="7" t="b">
        <f>C210='Gen Fd BS'!C210</f>
        <v>1</v>
      </c>
    </row>
    <row r="211" spans="1:47">
      <c r="A211" s="12" t="s">
        <v>672</v>
      </c>
      <c r="B211" s="12"/>
      <c r="C211" s="12" t="s">
        <v>12</v>
      </c>
      <c r="D211" s="12"/>
      <c r="E211" s="12">
        <v>44057</v>
      </c>
      <c r="F211" s="10"/>
      <c r="G211" s="7">
        <v>6530096</v>
      </c>
      <c r="I211" s="7">
        <v>0</v>
      </c>
      <c r="K211" s="7">
        <v>13181198</v>
      </c>
      <c r="M211" s="7">
        <v>87953</v>
      </c>
      <c r="O211" s="7">
        <v>1461576</v>
      </c>
      <c r="Q211" s="7">
        <v>0</v>
      </c>
      <c r="S211" s="7">
        <v>141103</v>
      </c>
      <c r="U211" s="7">
        <v>2802</v>
      </c>
      <c r="W211" s="7">
        <f>13087+510+4714</f>
        <v>18311</v>
      </c>
      <c r="Y211" s="2">
        <f t="shared" si="36"/>
        <v>21423039</v>
      </c>
      <c r="AA211" s="7">
        <v>0</v>
      </c>
      <c r="AC211" s="7">
        <v>0</v>
      </c>
      <c r="AE211" s="7">
        <v>0</v>
      </c>
      <c r="AG211" s="7">
        <v>0</v>
      </c>
      <c r="AI211" s="7">
        <v>0</v>
      </c>
      <c r="AK211" s="7">
        <f t="shared" si="34"/>
        <v>0</v>
      </c>
      <c r="AM211" s="7">
        <f t="shared" si="37"/>
        <v>21423039</v>
      </c>
      <c r="AP211" s="7" t="str">
        <f t="shared" si="38"/>
        <v>Geneva Area City SD</v>
      </c>
      <c r="AQ211" s="7" t="str">
        <f>'Gen Fd BS'!A211</f>
        <v>Geneva Area City SD</v>
      </c>
      <c r="AR211" s="7" t="b">
        <f t="shared" si="39"/>
        <v>1</v>
      </c>
      <c r="AT211" s="7" t="str">
        <f t="shared" si="35"/>
        <v>Ashtabula</v>
      </c>
      <c r="AU211" s="7" t="b">
        <f>C211='Gen Fd BS'!C211</f>
        <v>1</v>
      </c>
    </row>
    <row r="212" spans="1:47" hidden="1">
      <c r="A212" s="12" t="s">
        <v>983</v>
      </c>
      <c r="B212" s="12"/>
      <c r="C212" s="12" t="s">
        <v>53</v>
      </c>
      <c r="D212" s="12"/>
      <c r="E212" s="12">
        <v>48942</v>
      </c>
      <c r="Y212" s="2">
        <f t="shared" si="36"/>
        <v>0</v>
      </c>
      <c r="AK212" s="7">
        <f t="shared" si="34"/>
        <v>0</v>
      </c>
      <c r="AM212" s="7">
        <f t="shared" si="37"/>
        <v>0</v>
      </c>
      <c r="AO212" s="7" t="s">
        <v>984</v>
      </c>
      <c r="AP212" s="7" t="str">
        <f t="shared" si="38"/>
        <v>Genoa Area Local SD (CASH)</v>
      </c>
      <c r="AQ212" s="7" t="str">
        <f>'Gen Fd BS'!A212</f>
        <v>Genoa Area Local SD (CASH)</v>
      </c>
      <c r="AR212" s="7" t="b">
        <f t="shared" si="39"/>
        <v>1</v>
      </c>
      <c r="AT212" s="7" t="str">
        <f t="shared" si="35"/>
        <v>Ottawa</v>
      </c>
      <c r="AU212" s="7" t="b">
        <f>C212='Gen Fd BS'!C212</f>
        <v>1</v>
      </c>
    </row>
    <row r="213" spans="1:47" hidden="1">
      <c r="A213" s="12" t="s">
        <v>697</v>
      </c>
      <c r="B213" s="12"/>
      <c r="C213" s="12" t="s">
        <v>77</v>
      </c>
      <c r="D213" s="12"/>
      <c r="E213" s="12">
        <v>45377</v>
      </c>
      <c r="F213" s="10"/>
      <c r="Y213" s="2">
        <f t="shared" si="36"/>
        <v>0</v>
      </c>
      <c r="AK213" s="7">
        <f t="shared" si="34"/>
        <v>0</v>
      </c>
      <c r="AM213" s="7">
        <f t="shared" si="37"/>
        <v>0</v>
      </c>
      <c r="AO213" s="7" t="s">
        <v>839</v>
      </c>
      <c r="AP213" s="7" t="str">
        <f t="shared" si="38"/>
        <v>Georgetown Exempted Village SD (CASH)</v>
      </c>
      <c r="AQ213" s="7" t="str">
        <f>'Gen Fd BS'!A213</f>
        <v>Georgetown Exempted Village SD (CASH)</v>
      </c>
      <c r="AR213" s="7" t="b">
        <f t="shared" si="39"/>
        <v>1</v>
      </c>
      <c r="AT213" s="7" t="str">
        <f t="shared" si="35"/>
        <v>Brown</v>
      </c>
      <c r="AU213" s="7" t="b">
        <f>C213='Gen Fd BS'!C213</f>
        <v>1</v>
      </c>
    </row>
    <row r="214" spans="1:47">
      <c r="A214" s="12" t="s">
        <v>857</v>
      </c>
      <c r="B214" s="12"/>
      <c r="C214" s="12" t="s">
        <v>79</v>
      </c>
      <c r="D214" s="12"/>
      <c r="E214" s="12">
        <v>45385</v>
      </c>
      <c r="G214" s="7">
        <v>2012943</v>
      </c>
      <c r="I214" s="7">
        <v>0</v>
      </c>
      <c r="K214" s="7">
        <v>5553919</v>
      </c>
      <c r="M214" s="7">
        <v>12273</v>
      </c>
      <c r="O214" s="7">
        <f>454295+39162</f>
        <v>493457</v>
      </c>
      <c r="Q214" s="7">
        <v>6393</v>
      </c>
      <c r="S214" s="7">
        <v>0</v>
      </c>
      <c r="U214" s="7">
        <v>7374</v>
      </c>
      <c r="W214" s="7">
        <f>990+11607</f>
        <v>12597</v>
      </c>
      <c r="Y214" s="2">
        <f t="shared" si="36"/>
        <v>8098956</v>
      </c>
      <c r="AA214" s="7">
        <v>0</v>
      </c>
      <c r="AC214" s="7">
        <v>0</v>
      </c>
      <c r="AE214" s="7">
        <v>0</v>
      </c>
      <c r="AG214" s="7">
        <v>0</v>
      </c>
      <c r="AI214" s="7">
        <v>0</v>
      </c>
      <c r="AK214" s="7">
        <f t="shared" si="34"/>
        <v>0</v>
      </c>
      <c r="AM214" s="7">
        <f t="shared" si="37"/>
        <v>8098956</v>
      </c>
      <c r="AP214" s="7" t="str">
        <f t="shared" si="38"/>
        <v>Gibsonburg Exempted Village SD</v>
      </c>
      <c r="AQ214" s="7" t="str">
        <f>'Gen Fd BS'!A214</f>
        <v>Gibsonburg Exempted Village SD</v>
      </c>
      <c r="AR214" s="7" t="b">
        <f t="shared" si="39"/>
        <v>1</v>
      </c>
      <c r="AT214" s="7" t="str">
        <f t="shared" si="35"/>
        <v>Sandusky</v>
      </c>
      <c r="AU214" s="7" t="b">
        <f>C214='Gen Fd BS'!C214</f>
        <v>1</v>
      </c>
    </row>
    <row r="215" spans="1:47">
      <c r="A215" s="12" t="s">
        <v>537</v>
      </c>
      <c r="B215" s="12"/>
      <c r="C215" s="12" t="s">
        <v>64</v>
      </c>
      <c r="D215" s="12"/>
      <c r="E215" s="12">
        <v>44065</v>
      </c>
      <c r="G215" s="7">
        <v>3619404</v>
      </c>
      <c r="I215" s="7">
        <v>0</v>
      </c>
      <c r="K215" s="7">
        <f>8676110+351</f>
        <v>8676461</v>
      </c>
      <c r="M215" s="7">
        <v>45101</v>
      </c>
      <c r="O215" s="7">
        <f>448450+11341+4378</f>
        <v>464169</v>
      </c>
      <c r="Q215" s="7">
        <v>10025</v>
      </c>
      <c r="S215" s="7">
        <v>0</v>
      </c>
      <c r="U215" s="7">
        <v>0</v>
      </c>
      <c r="W215" s="7">
        <v>139247</v>
      </c>
      <c r="Y215" s="2">
        <f t="shared" si="36"/>
        <v>12954407</v>
      </c>
      <c r="AA215" s="7">
        <v>0</v>
      </c>
      <c r="AC215" s="7">
        <v>0</v>
      </c>
      <c r="AE215" s="7">
        <v>0</v>
      </c>
      <c r="AG215" s="7">
        <v>43316</v>
      </c>
      <c r="AI215" s="7">
        <v>0</v>
      </c>
      <c r="AK215" s="7">
        <f t="shared" si="34"/>
        <v>43316</v>
      </c>
      <c r="AM215" s="7">
        <f t="shared" si="37"/>
        <v>12997723</v>
      </c>
      <c r="AP215" s="7" t="str">
        <f t="shared" si="38"/>
        <v>Girard City SD</v>
      </c>
      <c r="AQ215" s="7" t="str">
        <f>'Gen Fd BS'!A215</f>
        <v>Girard City SD</v>
      </c>
      <c r="AR215" s="7" t="b">
        <f t="shared" si="39"/>
        <v>1</v>
      </c>
      <c r="AT215" s="7" t="str">
        <f t="shared" si="35"/>
        <v>Trumbull</v>
      </c>
      <c r="AU215" s="7" t="b">
        <f>C215='Gen Fd BS'!C215</f>
        <v>1</v>
      </c>
    </row>
    <row r="216" spans="1:47" hidden="1">
      <c r="A216" s="12" t="s">
        <v>735</v>
      </c>
      <c r="B216" s="12"/>
      <c r="C216" s="12" t="s">
        <v>28</v>
      </c>
      <c r="D216" s="12"/>
      <c r="E216" s="12">
        <v>47068</v>
      </c>
      <c r="Y216" s="2">
        <f t="shared" si="36"/>
        <v>0</v>
      </c>
      <c r="AK216" s="7">
        <f t="shared" si="34"/>
        <v>0</v>
      </c>
      <c r="AM216" s="7">
        <f t="shared" si="37"/>
        <v>0</v>
      </c>
      <c r="AO216" s="14" t="s">
        <v>787</v>
      </c>
      <c r="AP216" s="7" t="str">
        <f t="shared" si="38"/>
        <v>Gorham Fayette Local SD - name changed to Fayette Local.  See below</v>
      </c>
      <c r="AQ216" s="7" t="str">
        <f>'Gen Fd BS'!A216</f>
        <v>Gorham Fayette Local SD - name changed to Fayette Local.  See below</v>
      </c>
      <c r="AR216" s="7" t="b">
        <f t="shared" si="39"/>
        <v>1</v>
      </c>
      <c r="AT216" s="7" t="str">
        <f t="shared" si="35"/>
        <v>Fulton</v>
      </c>
      <c r="AU216" s="7" t="b">
        <f>C216='Gen Fd BS'!C216</f>
        <v>1</v>
      </c>
    </row>
    <row r="217" spans="1:47">
      <c r="A217" s="12" t="s">
        <v>245</v>
      </c>
      <c r="B217" s="12"/>
      <c r="C217" s="12" t="s">
        <v>113</v>
      </c>
      <c r="D217" s="12"/>
      <c r="E217" s="12">
        <v>46342</v>
      </c>
      <c r="F217" s="10"/>
      <c r="G217" s="7">
        <v>5303187</v>
      </c>
      <c r="I217" s="7">
        <v>2745933</v>
      </c>
      <c r="K217" s="7">
        <v>12245747</v>
      </c>
      <c r="M217" s="7">
        <v>11180</v>
      </c>
      <c r="O217" s="7">
        <v>1319096</v>
      </c>
      <c r="Q217" s="7">
        <v>64868</v>
      </c>
      <c r="S217" s="7">
        <v>66476</v>
      </c>
      <c r="U217" s="7">
        <v>0</v>
      </c>
      <c r="W217" s="7">
        <f>21620+41775+339369</f>
        <v>402764</v>
      </c>
      <c r="Y217" s="2">
        <f t="shared" si="36"/>
        <v>22159251</v>
      </c>
      <c r="AA217" s="7">
        <v>0</v>
      </c>
      <c r="AC217" s="7">
        <v>0</v>
      </c>
      <c r="AE217" s="7">
        <v>0</v>
      </c>
      <c r="AG217" s="7">
        <v>0</v>
      </c>
      <c r="AI217" s="7">
        <v>0</v>
      </c>
      <c r="AK217" s="7">
        <f t="shared" si="34"/>
        <v>0</v>
      </c>
      <c r="AM217" s="7">
        <f t="shared" si="37"/>
        <v>22159251</v>
      </c>
      <c r="AP217" s="7" t="str">
        <f t="shared" si="38"/>
        <v>Goshen Local SD</v>
      </c>
      <c r="AQ217" s="7" t="str">
        <f>'Gen Fd BS'!A217</f>
        <v>Goshen Local SD</v>
      </c>
      <c r="AR217" s="7" t="b">
        <f t="shared" si="39"/>
        <v>1</v>
      </c>
      <c r="AT217" s="7" t="str">
        <f t="shared" si="35"/>
        <v>Clermont</v>
      </c>
      <c r="AU217" s="7" t="b">
        <f>C217='Gen Fd BS'!C217</f>
        <v>1</v>
      </c>
    </row>
    <row r="218" spans="1:47" hidden="1">
      <c r="A218" s="12" t="s">
        <v>902</v>
      </c>
      <c r="B218" s="12"/>
      <c r="C218" s="12" t="s">
        <v>232</v>
      </c>
      <c r="D218" s="12"/>
      <c r="E218" s="12">
        <v>46193</v>
      </c>
      <c r="F218" s="10"/>
      <c r="Y218" s="2">
        <f t="shared" si="36"/>
        <v>0</v>
      </c>
      <c r="AK218" s="7">
        <f t="shared" si="34"/>
        <v>0</v>
      </c>
      <c r="AM218" s="7">
        <f t="shared" si="37"/>
        <v>0</v>
      </c>
      <c r="AO218" s="7" t="s">
        <v>901</v>
      </c>
      <c r="AP218" s="7" t="str">
        <f t="shared" si="38"/>
        <v>Graham Local SD (CASH)</v>
      </c>
      <c r="AQ218" s="7" t="str">
        <f>'Gen Fd BS'!A218</f>
        <v>Graham Local SD (CASH)</v>
      </c>
      <c r="AR218" s="7" t="b">
        <f t="shared" si="39"/>
        <v>1</v>
      </c>
      <c r="AT218" s="7" t="str">
        <f t="shared" si="35"/>
        <v>Champaign</v>
      </c>
      <c r="AU218" s="7" t="b">
        <f>C218='Gen Fd BS'!C218</f>
        <v>1</v>
      </c>
    </row>
    <row r="219" spans="1:47">
      <c r="A219" s="12" t="s">
        <v>209</v>
      </c>
      <c r="B219" s="12"/>
      <c r="C219" s="12" t="s">
        <v>12</v>
      </c>
      <c r="D219" s="12"/>
      <c r="E219" s="12">
        <v>45864</v>
      </c>
      <c r="F219" s="10"/>
      <c r="G219" s="7">
        <v>3340050</v>
      </c>
      <c r="I219" s="7">
        <v>0</v>
      </c>
      <c r="K219" s="7">
        <v>6471091</v>
      </c>
      <c r="M219" s="7">
        <v>26608</v>
      </c>
      <c r="O219" s="7">
        <v>640548</v>
      </c>
      <c r="Q219" s="7">
        <v>50739</v>
      </c>
      <c r="S219" s="7">
        <v>0</v>
      </c>
      <c r="U219" s="7">
        <v>0</v>
      </c>
      <c r="W219" s="7">
        <f>18457+94016</f>
        <v>112473</v>
      </c>
      <c r="Y219" s="2">
        <f t="shared" si="36"/>
        <v>10641509</v>
      </c>
      <c r="AA219" s="7">
        <v>0</v>
      </c>
      <c r="AC219" s="7">
        <v>0</v>
      </c>
      <c r="AE219" s="7">
        <v>0</v>
      </c>
      <c r="AG219" s="7">
        <v>0</v>
      </c>
      <c r="AI219" s="7">
        <v>0</v>
      </c>
      <c r="AK219" s="7">
        <f t="shared" si="34"/>
        <v>0</v>
      </c>
      <c r="AM219" s="7">
        <f t="shared" si="37"/>
        <v>10641509</v>
      </c>
      <c r="AP219" s="7" t="str">
        <f t="shared" si="38"/>
        <v>Grand Valley Local SD</v>
      </c>
      <c r="AQ219" s="7" t="str">
        <f>'Gen Fd BS'!A219</f>
        <v>Grand Valley Local SD</v>
      </c>
      <c r="AR219" s="7" t="b">
        <f t="shared" si="39"/>
        <v>1</v>
      </c>
      <c r="AT219" s="7" t="str">
        <f t="shared" si="35"/>
        <v>Ashtabula</v>
      </c>
      <c r="AU219" s="7" t="b">
        <f>C219='Gen Fd BS'!C219</f>
        <v>1</v>
      </c>
    </row>
    <row r="220" spans="1:47">
      <c r="A220" s="12" t="s">
        <v>309</v>
      </c>
      <c r="B220" s="12"/>
      <c r="C220" s="12" t="s">
        <v>27</v>
      </c>
      <c r="D220" s="12"/>
      <c r="E220" s="12">
        <v>44073</v>
      </c>
      <c r="G220" s="7">
        <v>11281123</v>
      </c>
      <c r="I220" s="7">
        <v>0</v>
      </c>
      <c r="K220" s="7">
        <v>4436223</v>
      </c>
      <c r="M220" s="7">
        <v>29271</v>
      </c>
      <c r="O220" s="7">
        <v>225747</v>
      </c>
      <c r="Q220" s="7">
        <v>0</v>
      </c>
      <c r="S220" s="7">
        <v>0</v>
      </c>
      <c r="U220" s="7">
        <v>0</v>
      </c>
      <c r="W220" s="7">
        <v>157743</v>
      </c>
      <c r="Y220" s="2">
        <f t="shared" ref="Y220:Y283" si="40">SUM(G220:X220)</f>
        <v>16130107</v>
      </c>
      <c r="AA220" s="7">
        <v>0</v>
      </c>
      <c r="AC220" s="7">
        <v>0</v>
      </c>
      <c r="AE220" s="7">
        <v>0</v>
      </c>
      <c r="AG220" s="7">
        <v>241064</v>
      </c>
      <c r="AI220" s="7">
        <v>0</v>
      </c>
      <c r="AK220" s="7">
        <f t="shared" ref="AK220:AK283" si="41">SUM(AA220:AJ220)</f>
        <v>241064</v>
      </c>
      <c r="AM220" s="7">
        <f t="shared" si="37"/>
        <v>16371171</v>
      </c>
      <c r="AP220" s="7" t="str">
        <f t="shared" si="38"/>
        <v>Grandview Heights City SD</v>
      </c>
      <c r="AQ220" s="7" t="str">
        <f>'Gen Fd BS'!A220</f>
        <v>Grandview Heights City SD</v>
      </c>
      <c r="AR220" s="7" t="b">
        <f t="shared" si="39"/>
        <v>1</v>
      </c>
      <c r="AT220" s="7" t="str">
        <f t="shared" si="35"/>
        <v>Franklin</v>
      </c>
      <c r="AU220" s="7" t="b">
        <f>C220='Gen Fd BS'!C220</f>
        <v>1</v>
      </c>
    </row>
    <row r="221" spans="1:47">
      <c r="A221" s="12" t="s">
        <v>698</v>
      </c>
      <c r="B221" s="12"/>
      <c r="C221" s="12" t="s">
        <v>42</v>
      </c>
      <c r="D221" s="12"/>
      <c r="E221" s="12">
        <v>45393</v>
      </c>
      <c r="G221" s="7">
        <v>13244681</v>
      </c>
      <c r="I221" s="7">
        <v>0</v>
      </c>
      <c r="K221" s="7">
        <v>7646090</v>
      </c>
      <c r="M221" s="7">
        <v>14046</v>
      </c>
      <c r="O221" s="7">
        <v>144491</v>
      </c>
      <c r="Q221" s="7">
        <v>172292</v>
      </c>
      <c r="S221" s="7">
        <v>98410</v>
      </c>
      <c r="U221" s="7">
        <v>48742</v>
      </c>
      <c r="W221" s="7">
        <v>148032</v>
      </c>
      <c r="Y221" s="2">
        <f t="shared" si="40"/>
        <v>21516784</v>
      </c>
      <c r="AA221" s="7">
        <v>0</v>
      </c>
      <c r="AC221" s="7">
        <v>0</v>
      </c>
      <c r="AE221" s="7">
        <v>0</v>
      </c>
      <c r="AG221" s="7">
        <v>5116</v>
      </c>
      <c r="AI221" s="7">
        <v>0</v>
      </c>
      <c r="AK221" s="7">
        <f t="shared" si="41"/>
        <v>5116</v>
      </c>
      <c r="AM221" s="7">
        <f t="shared" si="37"/>
        <v>21521900</v>
      </c>
      <c r="AP221" s="7" t="str">
        <f t="shared" si="38"/>
        <v>Granville Exempted Village SD</v>
      </c>
      <c r="AQ221" s="7" t="str">
        <f>'Gen Fd BS'!A221</f>
        <v>Granville Exempted Village SD</v>
      </c>
      <c r="AR221" s="7" t="b">
        <f t="shared" si="39"/>
        <v>1</v>
      </c>
      <c r="AT221" s="7" t="str">
        <f t="shared" si="35"/>
        <v>Licking</v>
      </c>
      <c r="AU221" s="7" t="b">
        <f>C221='Gen Fd BS'!C221</f>
        <v>1</v>
      </c>
    </row>
    <row r="222" spans="1:47">
      <c r="A222" s="12" t="s">
        <v>496</v>
      </c>
      <c r="B222" s="12"/>
      <c r="C222" s="12" t="s">
        <v>59</v>
      </c>
      <c r="D222" s="12"/>
      <c r="E222" s="12">
        <v>49619</v>
      </c>
      <c r="G222" s="7">
        <v>1254469</v>
      </c>
      <c r="I222" s="7">
        <v>0</v>
      </c>
      <c r="K222" s="7">
        <v>3718438</v>
      </c>
      <c r="M222" s="7">
        <v>1392</v>
      </c>
      <c r="O222" s="7">
        <v>435689</v>
      </c>
      <c r="Q222" s="7">
        <v>18916</v>
      </c>
      <c r="S222" s="7">
        <v>105699</v>
      </c>
      <c r="U222" s="7">
        <v>27359</v>
      </c>
      <c r="W222" s="7">
        <f>24588+180305</f>
        <v>204893</v>
      </c>
      <c r="Y222" s="2">
        <f t="shared" si="40"/>
        <v>5766855</v>
      </c>
      <c r="AA222" s="7">
        <v>0</v>
      </c>
      <c r="AC222" s="7">
        <v>0</v>
      </c>
      <c r="AE222" s="7">
        <v>182961</v>
      </c>
      <c r="AG222" s="7">
        <v>0</v>
      </c>
      <c r="AI222" s="7">
        <v>0</v>
      </c>
      <c r="AK222" s="7">
        <f t="shared" si="41"/>
        <v>182961</v>
      </c>
      <c r="AM222" s="7">
        <f t="shared" si="37"/>
        <v>5949816</v>
      </c>
      <c r="AP222" s="7" t="str">
        <f t="shared" si="38"/>
        <v>Green Local SD</v>
      </c>
      <c r="AQ222" s="7" t="str">
        <f>'Gen Fd BS'!A222</f>
        <v>Green Local SD</v>
      </c>
      <c r="AR222" s="7" t="b">
        <f t="shared" si="39"/>
        <v>1</v>
      </c>
      <c r="AT222" s="7" t="str">
        <f t="shared" si="35"/>
        <v>Scioto</v>
      </c>
      <c r="AU222" s="7" t="b">
        <f>C222='Gen Fd BS'!C222</f>
        <v>1</v>
      </c>
    </row>
    <row r="223" spans="1:47">
      <c r="A223" s="12" t="s">
        <v>496</v>
      </c>
      <c r="B223" s="12"/>
      <c r="C223" s="12" t="s">
        <v>63</v>
      </c>
      <c r="D223" s="12"/>
      <c r="E223" s="12">
        <v>50013</v>
      </c>
      <c r="G223" s="7">
        <v>16829980</v>
      </c>
      <c r="I223" s="7">
        <v>0</v>
      </c>
      <c r="K223" s="7">
        <v>13361874</v>
      </c>
      <c r="M223" s="7">
        <v>9379</v>
      </c>
      <c r="O223" s="7">
        <f>951250+16872</f>
        <v>968122</v>
      </c>
      <c r="Q223" s="7">
        <v>308467</v>
      </c>
      <c r="S223" s="7">
        <v>0</v>
      </c>
      <c r="U223" s="7">
        <v>0</v>
      </c>
      <c r="W223" s="7">
        <v>87381</v>
      </c>
      <c r="Y223" s="2">
        <f t="shared" si="40"/>
        <v>31565203</v>
      </c>
      <c r="AA223" s="7">
        <v>0</v>
      </c>
      <c r="AC223" s="7">
        <v>0</v>
      </c>
      <c r="AE223" s="7">
        <v>0</v>
      </c>
      <c r="AG223" s="7">
        <v>2421</v>
      </c>
      <c r="AI223" s="7">
        <v>0</v>
      </c>
      <c r="AK223" s="7">
        <f t="shared" si="41"/>
        <v>2421</v>
      </c>
      <c r="AM223" s="7">
        <f t="shared" si="37"/>
        <v>31567624</v>
      </c>
      <c r="AP223" s="7" t="str">
        <f t="shared" si="38"/>
        <v>Green Local SD</v>
      </c>
      <c r="AQ223" s="7" t="str">
        <f>'Gen Fd BS'!A223</f>
        <v>Green Local SD</v>
      </c>
      <c r="AR223" s="7" t="b">
        <f t="shared" si="39"/>
        <v>1</v>
      </c>
      <c r="AT223" s="7" t="str">
        <f t="shared" si="35"/>
        <v>Summit</v>
      </c>
      <c r="AU223" s="7" t="b">
        <f>C223='Gen Fd BS'!C223</f>
        <v>1</v>
      </c>
    </row>
    <row r="224" spans="1:47" hidden="1">
      <c r="A224" s="12" t="s">
        <v>496</v>
      </c>
      <c r="B224" s="12"/>
      <c r="C224" s="12" t="s">
        <v>71</v>
      </c>
      <c r="D224" s="12"/>
      <c r="E224" s="12">
        <v>50559</v>
      </c>
      <c r="Y224" s="2">
        <f t="shared" si="40"/>
        <v>0</v>
      </c>
      <c r="AK224" s="7">
        <f t="shared" si="41"/>
        <v>0</v>
      </c>
      <c r="AM224" s="7">
        <f t="shared" si="37"/>
        <v>0</v>
      </c>
      <c r="AO224" s="7" t="s">
        <v>839</v>
      </c>
      <c r="AP224" s="7" t="str">
        <f t="shared" si="38"/>
        <v>Green Local SD</v>
      </c>
      <c r="AQ224" s="7" t="str">
        <f>'Gen Fd BS'!A224</f>
        <v>Green Local SD</v>
      </c>
      <c r="AR224" s="7" t="b">
        <f t="shared" si="39"/>
        <v>1</v>
      </c>
      <c r="AT224" s="7" t="str">
        <f t="shared" si="35"/>
        <v>Wayne</v>
      </c>
      <c r="AU224" s="7" t="b">
        <f>C224='Gen Fd BS'!C224</f>
        <v>1</v>
      </c>
    </row>
    <row r="225" spans="1:47">
      <c r="A225" s="12" t="s">
        <v>326</v>
      </c>
      <c r="B225" s="12"/>
      <c r="C225" s="12" t="s">
        <v>114</v>
      </c>
      <c r="D225" s="12"/>
      <c r="E225" s="12">
        <v>47266</v>
      </c>
      <c r="G225" s="7">
        <v>3596559</v>
      </c>
      <c r="I225" s="7">
        <v>1638158</v>
      </c>
      <c r="K225" s="7">
        <v>5900349</v>
      </c>
      <c r="M225" s="7">
        <v>27235</v>
      </c>
      <c r="O225" s="7">
        <f>675194+3101+6383</f>
        <v>684678</v>
      </c>
      <c r="Q225" s="7">
        <v>53920</v>
      </c>
      <c r="S225" s="7">
        <v>0</v>
      </c>
      <c r="U225" s="7">
        <v>7960</v>
      </c>
      <c r="W225" s="7">
        <v>25138</v>
      </c>
      <c r="Y225" s="2">
        <f t="shared" si="40"/>
        <v>11933997</v>
      </c>
      <c r="AA225" s="7">
        <v>0</v>
      </c>
      <c r="AC225" s="7">
        <v>0</v>
      </c>
      <c r="AE225" s="7">
        <v>0</v>
      </c>
      <c r="AG225" s="7">
        <v>2762</v>
      </c>
      <c r="AI225" s="7">
        <v>0</v>
      </c>
      <c r="AK225" s="7">
        <f t="shared" si="41"/>
        <v>2762</v>
      </c>
      <c r="AM225" s="7">
        <f t="shared" si="37"/>
        <v>11936759</v>
      </c>
      <c r="AP225" s="7" t="str">
        <f t="shared" si="38"/>
        <v>Greeneview Local SD</v>
      </c>
      <c r="AQ225" s="7" t="str">
        <f>'Gen Fd BS'!A225</f>
        <v>Greeneview Local SD</v>
      </c>
      <c r="AR225" s="7" t="b">
        <f t="shared" si="39"/>
        <v>1</v>
      </c>
      <c r="AT225" s="7" t="str">
        <f t="shared" si="35"/>
        <v>Greene</v>
      </c>
      <c r="AU225" s="7" t="b">
        <f>C225='Gen Fd BS'!C225</f>
        <v>1</v>
      </c>
    </row>
    <row r="226" spans="1:47">
      <c r="A226" s="12" t="s">
        <v>869</v>
      </c>
      <c r="B226" s="12"/>
      <c r="C226" s="12" t="s">
        <v>358</v>
      </c>
      <c r="D226" s="12"/>
      <c r="E226" s="12">
        <v>45401</v>
      </c>
      <c r="G226" s="7">
        <v>2895850</v>
      </c>
      <c r="I226" s="7">
        <v>1616251</v>
      </c>
      <c r="K226" s="7">
        <v>12211222</v>
      </c>
      <c r="M226" s="7">
        <v>117484</v>
      </c>
      <c r="O226" s="7">
        <f>607934+3020+36768</f>
        <v>647722</v>
      </c>
      <c r="Q226" s="7">
        <v>0</v>
      </c>
      <c r="S226" s="7">
        <v>0</v>
      </c>
      <c r="U226" s="7">
        <v>0</v>
      </c>
      <c r="W226" s="7">
        <v>183213</v>
      </c>
      <c r="Y226" s="2">
        <f t="shared" si="40"/>
        <v>17671742</v>
      </c>
      <c r="AA226" s="7">
        <v>0</v>
      </c>
      <c r="AC226" s="7">
        <v>0</v>
      </c>
      <c r="AE226" s="7">
        <v>0</v>
      </c>
      <c r="AG226" s="7">
        <v>0</v>
      </c>
      <c r="AI226" s="7">
        <v>0</v>
      </c>
      <c r="AK226" s="7">
        <f t="shared" si="41"/>
        <v>0</v>
      </c>
      <c r="AM226" s="7">
        <f t="shared" si="37"/>
        <v>17671742</v>
      </c>
      <c r="AP226" s="7" t="str">
        <f t="shared" si="38"/>
        <v>Greenfield Exempted Village SD</v>
      </c>
      <c r="AQ226" s="7" t="str">
        <f>'Gen Fd BS'!A226</f>
        <v>Greenfield Exempted Village SD</v>
      </c>
      <c r="AR226" s="7" t="b">
        <f t="shared" si="39"/>
        <v>1</v>
      </c>
      <c r="AT226" s="7" t="str">
        <f t="shared" si="35"/>
        <v>Highland</v>
      </c>
      <c r="AU226" s="7" t="b">
        <f>C226='Gen Fd BS'!C226</f>
        <v>1</v>
      </c>
    </row>
    <row r="227" spans="1:47">
      <c r="A227" s="12" t="s">
        <v>237</v>
      </c>
      <c r="B227" s="12"/>
      <c r="C227" s="12" t="s">
        <v>17</v>
      </c>
      <c r="D227" s="12"/>
      <c r="E227" s="12">
        <v>46235</v>
      </c>
      <c r="F227" s="10"/>
      <c r="G227" s="7">
        <v>6441174</v>
      </c>
      <c r="I227" s="7">
        <v>0</v>
      </c>
      <c r="K227" s="7">
        <v>7678447</v>
      </c>
      <c r="M227" s="7">
        <v>7868</v>
      </c>
      <c r="O227" s="7">
        <f>677965+9945</f>
        <v>687910</v>
      </c>
      <c r="Q227" s="7">
        <v>162032</v>
      </c>
      <c r="S227" s="7">
        <v>0</v>
      </c>
      <c r="U227" s="7">
        <v>0</v>
      </c>
      <c r="W227" s="7">
        <v>31433</v>
      </c>
      <c r="Y227" s="2">
        <f t="shared" si="40"/>
        <v>15008864</v>
      </c>
      <c r="AA227" s="7">
        <v>0</v>
      </c>
      <c r="AC227" s="7">
        <v>0</v>
      </c>
      <c r="AE227" s="7">
        <v>0</v>
      </c>
      <c r="AG227" s="7">
        <v>12933</v>
      </c>
      <c r="AI227" s="7">
        <v>0</v>
      </c>
      <c r="AK227" s="7">
        <f t="shared" si="41"/>
        <v>12933</v>
      </c>
      <c r="AM227" s="7">
        <f t="shared" si="37"/>
        <v>15021797</v>
      </c>
      <c r="AO227" s="14"/>
      <c r="AP227" s="7" t="str">
        <f t="shared" si="38"/>
        <v>Greenon Local SD</v>
      </c>
      <c r="AQ227" s="7" t="str">
        <f>'Gen Fd BS'!A227</f>
        <v>Greenon Local SD</v>
      </c>
      <c r="AR227" s="7" t="b">
        <f t="shared" si="39"/>
        <v>1</v>
      </c>
      <c r="AT227" s="7" t="str">
        <f t="shared" si="35"/>
        <v>Clark</v>
      </c>
      <c r="AU227" s="7" t="b">
        <f>C227='Gen Fd BS'!C227</f>
        <v>1</v>
      </c>
    </row>
    <row r="228" spans="1:47">
      <c r="A228" s="12" t="s">
        <v>288</v>
      </c>
      <c r="B228" s="12"/>
      <c r="C228" s="12" t="s">
        <v>21</v>
      </c>
      <c r="D228" s="12"/>
      <c r="E228" s="12">
        <v>44099</v>
      </c>
      <c r="G228" s="7">
        <v>9660914</v>
      </c>
      <c r="I228" s="7">
        <v>1767661</v>
      </c>
      <c r="K228" s="7">
        <v>13668303</v>
      </c>
      <c r="M228" s="7">
        <v>17668</v>
      </c>
      <c r="O228" s="7">
        <f>556958+29574+13426</f>
        <v>599958</v>
      </c>
      <c r="Q228" s="7">
        <v>106627</v>
      </c>
      <c r="S228" s="7">
        <v>41706</v>
      </c>
      <c r="U228" s="7">
        <v>16452</v>
      </c>
      <c r="W228" s="7">
        <v>78262</v>
      </c>
      <c r="Y228" s="2">
        <f>SUM(G228:X228)</f>
        <v>25957551</v>
      </c>
      <c r="AA228" s="7">
        <v>0</v>
      </c>
      <c r="AC228" s="7">
        <v>0</v>
      </c>
      <c r="AE228" s="7">
        <v>0</v>
      </c>
      <c r="AG228" s="7">
        <v>7539</v>
      </c>
      <c r="AI228" s="7">
        <v>0</v>
      </c>
      <c r="AK228" s="7">
        <f t="shared" si="41"/>
        <v>7539</v>
      </c>
      <c r="AM228" s="7">
        <f t="shared" si="37"/>
        <v>25965090</v>
      </c>
      <c r="AP228" s="7" t="str">
        <f t="shared" si="38"/>
        <v>Greenville City SD</v>
      </c>
      <c r="AQ228" s="7" t="str">
        <f>'Gen Fd BS'!A228</f>
        <v>Greenville City SD</v>
      </c>
      <c r="AR228" s="7" t="b">
        <f t="shared" si="39"/>
        <v>1</v>
      </c>
      <c r="AT228" s="7" t="str">
        <f t="shared" si="35"/>
        <v>Darke</v>
      </c>
      <c r="AU228" s="7" t="b">
        <f>C228='Gen Fd BS'!C228</f>
        <v>1</v>
      </c>
    </row>
    <row r="229" spans="1:47">
      <c r="A229" s="12" t="s">
        <v>310</v>
      </c>
      <c r="B229" s="12"/>
      <c r="C229" s="12" t="s">
        <v>27</v>
      </c>
      <c r="D229" s="12"/>
      <c r="E229" s="12">
        <v>46979</v>
      </c>
      <c r="G229" s="7">
        <v>27325426</v>
      </c>
      <c r="I229" s="7">
        <v>0</v>
      </c>
      <c r="K229" s="7">
        <v>33110460</v>
      </c>
      <c r="M229" s="7">
        <v>4594</v>
      </c>
      <c r="O229" s="7">
        <f>634410+721863</f>
        <v>1356273</v>
      </c>
      <c r="Q229" s="7">
        <v>52234</v>
      </c>
      <c r="S229" s="7">
        <v>258301</v>
      </c>
      <c r="U229" s="7">
        <v>3128</v>
      </c>
      <c r="W229" s="7">
        <v>269752</v>
      </c>
      <c r="Y229" s="2">
        <f t="shared" si="40"/>
        <v>62380168</v>
      </c>
      <c r="AA229" s="7">
        <v>0</v>
      </c>
      <c r="AC229" s="7">
        <v>0</v>
      </c>
      <c r="AE229" s="7">
        <v>0</v>
      </c>
      <c r="AG229" s="7">
        <v>3300</v>
      </c>
      <c r="AI229" s="7">
        <v>0</v>
      </c>
      <c r="AK229" s="7">
        <f t="shared" si="41"/>
        <v>3300</v>
      </c>
      <c r="AM229" s="7">
        <f t="shared" si="37"/>
        <v>62383468</v>
      </c>
      <c r="AO229" s="14"/>
      <c r="AP229" s="7" t="str">
        <f t="shared" si="38"/>
        <v>Groveport Madison Local SD</v>
      </c>
      <c r="AQ229" s="7" t="str">
        <f>'Gen Fd BS'!A229</f>
        <v>Groveport Madison Local SD</v>
      </c>
      <c r="AR229" s="7" t="b">
        <f t="shared" si="39"/>
        <v>1</v>
      </c>
      <c r="AT229" s="7" t="str">
        <f t="shared" si="35"/>
        <v>Franklin</v>
      </c>
      <c r="AU229" s="7" t="b">
        <f>C229='Gen Fd BS'!C229</f>
        <v>1</v>
      </c>
    </row>
    <row r="230" spans="1:47" hidden="1">
      <c r="A230" s="12" t="s">
        <v>225</v>
      </c>
      <c r="B230" s="12"/>
      <c r="C230" s="12" t="s">
        <v>223</v>
      </c>
      <c r="D230" s="12"/>
      <c r="E230" s="12">
        <v>44107</v>
      </c>
      <c r="F230" s="10"/>
      <c r="Y230" s="2">
        <f t="shared" si="40"/>
        <v>0</v>
      </c>
      <c r="AK230" s="7">
        <f t="shared" si="41"/>
        <v>0</v>
      </c>
      <c r="AM230" s="7">
        <f t="shared" si="37"/>
        <v>0</v>
      </c>
      <c r="AO230" s="7" t="s">
        <v>903</v>
      </c>
      <c r="AP230" s="7" t="str">
        <f t="shared" si="38"/>
        <v>Hamilton City SD</v>
      </c>
      <c r="AQ230" s="7" t="str">
        <f>'Gen Fd BS'!A230</f>
        <v>Hamilton City SD</v>
      </c>
      <c r="AR230" s="7" t="b">
        <f t="shared" si="39"/>
        <v>1</v>
      </c>
      <c r="AT230" s="7" t="str">
        <f t="shared" si="35"/>
        <v>Butler</v>
      </c>
      <c r="AU230" s="7" t="b">
        <f>C230='Gen Fd BS'!C230</f>
        <v>1</v>
      </c>
    </row>
    <row r="231" spans="1:47">
      <c r="A231" s="12" t="s">
        <v>925</v>
      </c>
      <c r="B231" s="12"/>
      <c r="C231" s="12" t="s">
        <v>27</v>
      </c>
      <c r="D231" s="12"/>
      <c r="E231" s="12">
        <v>46953</v>
      </c>
      <c r="G231" s="7">
        <v>4877984</v>
      </c>
      <c r="I231" s="7">
        <v>0</v>
      </c>
      <c r="K231" s="7">
        <v>17432271</v>
      </c>
      <c r="M231" s="7">
        <v>12190</v>
      </c>
      <c r="O231" s="7">
        <v>20785</v>
      </c>
      <c r="Q231" s="7">
        <v>156292</v>
      </c>
      <c r="S231" s="7">
        <v>0</v>
      </c>
      <c r="U231" s="7">
        <v>0</v>
      </c>
      <c r="W231" s="7">
        <v>139719</v>
      </c>
      <c r="Y231" s="2">
        <f t="shared" si="40"/>
        <v>22639241</v>
      </c>
      <c r="AA231" s="7">
        <v>0</v>
      </c>
      <c r="AC231" s="7">
        <v>0</v>
      </c>
      <c r="AE231" s="7">
        <v>0</v>
      </c>
      <c r="AG231" s="7">
        <v>0</v>
      </c>
      <c r="AI231" s="7">
        <v>0</v>
      </c>
      <c r="AK231" s="7">
        <f t="shared" si="41"/>
        <v>0</v>
      </c>
      <c r="AM231" s="7">
        <f t="shared" si="37"/>
        <v>22639241</v>
      </c>
      <c r="AP231" s="7" t="str">
        <f t="shared" si="38"/>
        <v>Hamilton Local SD</v>
      </c>
      <c r="AQ231" s="7" t="str">
        <f>'Gen Fd BS'!A231</f>
        <v>Hamilton Local SD</v>
      </c>
      <c r="AR231" s="7" t="b">
        <f t="shared" si="39"/>
        <v>1</v>
      </c>
      <c r="AT231" s="7" t="str">
        <f t="shared" si="35"/>
        <v>Franklin</v>
      </c>
      <c r="AU231" s="7" t="b">
        <f>C231='Gen Fd BS'!C231</f>
        <v>1</v>
      </c>
    </row>
    <row r="232" spans="1:47">
      <c r="A232" s="12" t="s">
        <v>349</v>
      </c>
      <c r="B232" s="12"/>
      <c r="C232" s="12" t="s">
        <v>348</v>
      </c>
      <c r="D232" s="12"/>
      <c r="E232" s="12">
        <v>47498</v>
      </c>
      <c r="G232" s="7">
        <v>962394</v>
      </c>
      <c r="I232" s="7">
        <v>852004</v>
      </c>
      <c r="K232" s="7">
        <v>2360152</v>
      </c>
      <c r="M232" s="7">
        <v>723</v>
      </c>
      <c r="O232" s="7">
        <f>407317+13253</f>
        <v>420570</v>
      </c>
      <c r="Q232" s="7">
        <v>0</v>
      </c>
      <c r="S232" s="7">
        <v>0</v>
      </c>
      <c r="U232" s="7">
        <v>0</v>
      </c>
      <c r="W232" s="7">
        <v>16379</v>
      </c>
      <c r="Y232" s="2">
        <f t="shared" si="40"/>
        <v>4612222</v>
      </c>
      <c r="AA232" s="7">
        <v>0</v>
      </c>
      <c r="AC232" s="7">
        <v>0</v>
      </c>
      <c r="AE232" s="7">
        <v>0</v>
      </c>
      <c r="AG232" s="7">
        <v>0</v>
      </c>
      <c r="AI232" s="7">
        <v>0</v>
      </c>
      <c r="AK232" s="7">
        <f t="shared" si="41"/>
        <v>0</v>
      </c>
      <c r="AM232" s="7">
        <f t="shared" si="37"/>
        <v>4612222</v>
      </c>
      <c r="AO232" s="14"/>
      <c r="AP232" s="7" t="str">
        <f t="shared" si="38"/>
        <v>Hardin Northern Local SD</v>
      </c>
      <c r="AQ232" s="7" t="str">
        <f>'Gen Fd BS'!A232</f>
        <v>Hardin Northern Local SD</v>
      </c>
      <c r="AR232" s="7" t="b">
        <f t="shared" si="39"/>
        <v>1</v>
      </c>
      <c r="AT232" s="7" t="str">
        <f t="shared" si="35"/>
        <v>Hardin</v>
      </c>
      <c r="AU232" s="7" t="b">
        <f>C232='Gen Fd BS'!C232</f>
        <v>1</v>
      </c>
    </row>
    <row r="233" spans="1:47">
      <c r="A233" s="12" t="s">
        <v>506</v>
      </c>
      <c r="B233" s="12"/>
      <c r="C233" s="12" t="s">
        <v>61</v>
      </c>
      <c r="D233" s="12"/>
      <c r="E233" s="12">
        <v>49791</v>
      </c>
      <c r="G233" s="7">
        <v>1587426</v>
      </c>
      <c r="I233" s="7">
        <v>440335</v>
      </c>
      <c r="K233" s="7">
        <v>4079931</v>
      </c>
      <c r="M233" s="7">
        <v>11863</v>
      </c>
      <c r="O233" s="7">
        <f>805536+5150</f>
        <v>810686</v>
      </c>
      <c r="Q233" s="7">
        <v>18277</v>
      </c>
      <c r="S233" s="7">
        <v>0</v>
      </c>
      <c r="U233" s="7">
        <v>2000</v>
      </c>
      <c r="W233" s="7">
        <v>33184</v>
      </c>
      <c r="Y233" s="2">
        <f t="shared" si="40"/>
        <v>6983702</v>
      </c>
      <c r="AA233" s="7">
        <v>0</v>
      </c>
      <c r="AC233" s="7">
        <v>0</v>
      </c>
      <c r="AE233" s="7">
        <v>0</v>
      </c>
      <c r="AG233" s="7">
        <v>0</v>
      </c>
      <c r="AI233" s="7">
        <v>0</v>
      </c>
      <c r="AK233" s="7">
        <f t="shared" si="41"/>
        <v>0</v>
      </c>
      <c r="AM233" s="7">
        <f t="shared" si="37"/>
        <v>6983702</v>
      </c>
      <c r="AP233" s="7" t="str">
        <f t="shared" si="38"/>
        <v>Hardin-Houston Local SD</v>
      </c>
      <c r="AQ233" s="7" t="str">
        <f>'Gen Fd BS'!A233</f>
        <v>Hardin-Houston Local SD</v>
      </c>
      <c r="AR233" s="7" t="b">
        <f t="shared" si="39"/>
        <v>1</v>
      </c>
      <c r="AT233" s="7" t="str">
        <f t="shared" si="35"/>
        <v>Shelby</v>
      </c>
      <c r="AU233" s="7" t="b">
        <f>C233='Gen Fd BS'!C233</f>
        <v>1</v>
      </c>
    </row>
    <row r="234" spans="1:47" hidden="1">
      <c r="A234" s="12" t="s">
        <v>353</v>
      </c>
      <c r="B234" s="12"/>
      <c r="C234" s="12" t="s">
        <v>352</v>
      </c>
      <c r="D234" s="12"/>
      <c r="E234" s="12">
        <v>45245</v>
      </c>
      <c r="Y234" s="2">
        <f t="shared" si="40"/>
        <v>0</v>
      </c>
      <c r="AK234" s="7">
        <f t="shared" si="41"/>
        <v>0</v>
      </c>
      <c r="AM234" s="7">
        <f t="shared" si="37"/>
        <v>0</v>
      </c>
      <c r="AO234" s="7" t="s">
        <v>903</v>
      </c>
      <c r="AP234" s="7" t="str">
        <f t="shared" si="38"/>
        <v>Harrison Hills City SD</v>
      </c>
      <c r="AQ234" s="7" t="str">
        <f>'Gen Fd BS'!A234</f>
        <v>Harrison Hills City SD</v>
      </c>
      <c r="AR234" s="7" t="b">
        <f t="shared" si="39"/>
        <v>1</v>
      </c>
      <c r="AT234" s="7" t="str">
        <f t="shared" si="35"/>
        <v>Harrison</v>
      </c>
      <c r="AU234" s="7" t="b">
        <f>C234='Gen Fd BS'!C234</f>
        <v>1</v>
      </c>
    </row>
    <row r="235" spans="1:47">
      <c r="A235" s="12" t="s">
        <v>384</v>
      </c>
      <c r="B235" s="12"/>
      <c r="C235" s="12" t="s">
        <v>42</v>
      </c>
      <c r="D235" s="12"/>
      <c r="E235" s="12">
        <v>44115</v>
      </c>
      <c r="G235" s="7">
        <v>6905663</v>
      </c>
      <c r="I235" s="7">
        <v>0</v>
      </c>
      <c r="K235" s="7">
        <v>6071807</v>
      </c>
      <c r="M235" s="7">
        <v>5500</v>
      </c>
      <c r="O235" s="7">
        <f>86905+72703</f>
        <v>159608</v>
      </c>
      <c r="Q235" s="7">
        <v>0</v>
      </c>
      <c r="S235" s="7">
        <v>0</v>
      </c>
      <c r="U235" s="7">
        <v>0</v>
      </c>
      <c r="W235" s="7">
        <v>530514</v>
      </c>
      <c r="Y235" s="2">
        <f t="shared" si="40"/>
        <v>13673092</v>
      </c>
      <c r="AA235" s="7">
        <v>0</v>
      </c>
      <c r="AC235" s="7">
        <v>0</v>
      </c>
      <c r="AE235" s="7">
        <v>0</v>
      </c>
      <c r="AG235" s="7">
        <v>0</v>
      </c>
      <c r="AI235" s="7">
        <v>0</v>
      </c>
      <c r="AK235" s="7">
        <f t="shared" si="41"/>
        <v>0</v>
      </c>
      <c r="AM235" s="7">
        <f t="shared" si="37"/>
        <v>13673092</v>
      </c>
      <c r="AP235" s="7" t="str">
        <f t="shared" si="38"/>
        <v>Heath City SD</v>
      </c>
      <c r="AQ235" s="7" t="str">
        <f>'Gen Fd BS'!A235</f>
        <v>Heath City SD</v>
      </c>
      <c r="AR235" s="7" t="b">
        <f t="shared" si="39"/>
        <v>1</v>
      </c>
      <c r="AT235" s="7" t="str">
        <f t="shared" si="35"/>
        <v>Licking</v>
      </c>
      <c r="AU235" s="7" t="b">
        <f>C235='Gen Fd BS'!C235</f>
        <v>1</v>
      </c>
    </row>
    <row r="236" spans="1:47" hidden="1">
      <c r="A236" s="12" t="s">
        <v>699</v>
      </c>
      <c r="B236" s="12"/>
      <c r="C236" s="12" t="s">
        <v>22</v>
      </c>
      <c r="D236" s="12"/>
      <c r="E236" s="12">
        <v>45419</v>
      </c>
      <c r="Y236" s="2">
        <f t="shared" si="40"/>
        <v>0</v>
      </c>
      <c r="AK236" s="7">
        <f t="shared" si="41"/>
        <v>0</v>
      </c>
      <c r="AM236" s="7">
        <f t="shared" si="37"/>
        <v>0</v>
      </c>
      <c r="AO236" s="7" t="s">
        <v>904</v>
      </c>
      <c r="AP236" s="7" t="str">
        <f t="shared" si="38"/>
        <v>Hicksville Ex Vill SD  (CASH)</v>
      </c>
      <c r="AQ236" s="7" t="str">
        <f>'Gen Fd BS'!A236</f>
        <v>Hicksville Ex Vill SD  (CASH)</v>
      </c>
      <c r="AR236" s="7" t="b">
        <f t="shared" si="39"/>
        <v>1</v>
      </c>
      <c r="AT236" s="7" t="str">
        <f t="shared" si="35"/>
        <v>Defiance</v>
      </c>
      <c r="AU236" s="7" t="b">
        <f>C236='Gen Fd BS'!C236</f>
        <v>1</v>
      </c>
    </row>
    <row r="237" spans="1:47">
      <c r="A237" s="12" t="s">
        <v>430</v>
      </c>
      <c r="B237" s="12"/>
      <c r="C237" s="12" t="s">
        <v>47</v>
      </c>
      <c r="D237" s="12"/>
      <c r="E237" s="12">
        <v>48496</v>
      </c>
      <c r="G237" s="7">
        <v>14647280</v>
      </c>
      <c r="I237" s="7">
        <v>0</v>
      </c>
      <c r="K237" s="7">
        <v>7625490</v>
      </c>
      <c r="M237" s="7">
        <v>72367</v>
      </c>
      <c r="O237" s="7">
        <f>656457+29362</f>
        <v>685819</v>
      </c>
      <c r="Q237" s="7">
        <v>375797</v>
      </c>
      <c r="S237" s="7">
        <v>0</v>
      </c>
      <c r="U237" s="7">
        <v>2725</v>
      </c>
      <c r="W237" s="7">
        <v>77386</v>
      </c>
      <c r="Y237" s="2">
        <f t="shared" si="40"/>
        <v>23486864</v>
      </c>
      <c r="AA237" s="7">
        <v>0</v>
      </c>
      <c r="AC237" s="7">
        <v>0</v>
      </c>
      <c r="AE237" s="7">
        <v>0</v>
      </c>
      <c r="AG237" s="7">
        <v>0</v>
      </c>
      <c r="AI237" s="7">
        <v>0</v>
      </c>
      <c r="AK237" s="7">
        <f t="shared" si="41"/>
        <v>0</v>
      </c>
      <c r="AM237" s="7">
        <f t="shared" ref="AM237:AM268" si="42">+AK237+Y237</f>
        <v>23486864</v>
      </c>
      <c r="AP237" s="7" t="str">
        <f t="shared" si="38"/>
        <v>Highland Local SD</v>
      </c>
      <c r="AQ237" s="7" t="str">
        <f>'Gen Fd BS'!A237</f>
        <v>Highland Local SD</v>
      </c>
      <c r="AR237" s="7" t="b">
        <f t="shared" si="39"/>
        <v>1</v>
      </c>
      <c r="AT237" s="7" t="str">
        <f t="shared" si="35"/>
        <v>Medina</v>
      </c>
      <c r="AU237" s="7" t="b">
        <f>C237='Gen Fd BS'!C237</f>
        <v>1</v>
      </c>
    </row>
    <row r="238" spans="1:47">
      <c r="A238" s="12" t="s">
        <v>430</v>
      </c>
      <c r="B238" s="12"/>
      <c r="C238" s="12" t="s">
        <v>78</v>
      </c>
      <c r="D238" s="12"/>
      <c r="E238" s="12">
        <v>48801</v>
      </c>
      <c r="G238" s="7">
        <v>3291603</v>
      </c>
      <c r="I238" s="7">
        <v>920591</v>
      </c>
      <c r="K238" s="7">
        <v>8995768</v>
      </c>
      <c r="M238" s="7">
        <v>28969</v>
      </c>
      <c r="O238" s="7">
        <v>28471</v>
      </c>
      <c r="Q238" s="7">
        <v>5518</v>
      </c>
      <c r="S238" s="7">
        <v>0</v>
      </c>
      <c r="U238" s="7">
        <v>6415</v>
      </c>
      <c r="W238" s="7">
        <v>434457</v>
      </c>
      <c r="Y238" s="2">
        <f t="shared" si="40"/>
        <v>13711792</v>
      </c>
      <c r="AA238" s="7">
        <v>0</v>
      </c>
      <c r="AC238" s="7">
        <v>0</v>
      </c>
      <c r="AE238" s="7">
        <v>0</v>
      </c>
      <c r="AG238" s="7">
        <v>56345</v>
      </c>
      <c r="AI238" s="7">
        <v>0</v>
      </c>
      <c r="AK238" s="7">
        <f t="shared" si="41"/>
        <v>56345</v>
      </c>
      <c r="AM238" s="7">
        <f t="shared" si="42"/>
        <v>13768137</v>
      </c>
      <c r="AP238" s="7" t="str">
        <f t="shared" si="38"/>
        <v>Highland Local SD</v>
      </c>
      <c r="AQ238" s="7" t="str">
        <f>'Gen Fd BS'!A238</f>
        <v>Highland Local SD</v>
      </c>
      <c r="AR238" s="7" t="b">
        <f t="shared" si="39"/>
        <v>1</v>
      </c>
      <c r="AT238" s="7" t="str">
        <f t="shared" si="35"/>
        <v>Morrow</v>
      </c>
      <c r="AU238" s="7" t="b">
        <f>C238='Gen Fd BS'!C238</f>
        <v>1</v>
      </c>
    </row>
    <row r="239" spans="1:47">
      <c r="A239" s="12" t="s">
        <v>311</v>
      </c>
      <c r="B239" s="12"/>
      <c r="C239" s="12" t="s">
        <v>27</v>
      </c>
      <c r="D239" s="12"/>
      <c r="E239" s="12">
        <v>47019</v>
      </c>
      <c r="G239" s="7">
        <f>93730048</f>
        <v>93730048</v>
      </c>
      <c r="I239" s="7">
        <v>0</v>
      </c>
      <c r="K239" s="7">
        <f>55957340+208854</f>
        <v>56166194</v>
      </c>
      <c r="M239" s="7">
        <v>256127</v>
      </c>
      <c r="O239" s="7">
        <f>775969+934866</f>
        <v>1710835</v>
      </c>
      <c r="Q239" s="7">
        <v>41921</v>
      </c>
      <c r="S239" s="7">
        <v>0</v>
      </c>
      <c r="U239" s="7">
        <v>0</v>
      </c>
      <c r="W239" s="7">
        <f>3069468</f>
        <v>3069468</v>
      </c>
      <c r="Y239" s="2">
        <f t="shared" si="40"/>
        <v>154974593</v>
      </c>
      <c r="AA239" s="7">
        <v>0</v>
      </c>
      <c r="AC239" s="7">
        <v>0</v>
      </c>
      <c r="AE239" s="7">
        <v>0</v>
      </c>
      <c r="AG239" s="7">
        <v>0</v>
      </c>
      <c r="AI239" s="7">
        <v>22370</v>
      </c>
      <c r="AK239" s="7">
        <f t="shared" si="41"/>
        <v>22370</v>
      </c>
      <c r="AM239" s="7">
        <f t="shared" si="42"/>
        <v>154996963</v>
      </c>
      <c r="AP239" s="7" t="str">
        <f t="shared" si="38"/>
        <v>Hilliard City SD</v>
      </c>
      <c r="AQ239" s="7" t="str">
        <f>'Gen Fd BS'!A239</f>
        <v>Hilliard City SD</v>
      </c>
      <c r="AR239" s="7" t="b">
        <f t="shared" si="39"/>
        <v>1</v>
      </c>
      <c r="AT239" s="7" t="str">
        <f t="shared" si="35"/>
        <v>Franklin</v>
      </c>
      <c r="AU239" s="7" t="b">
        <f>C239='Gen Fd BS'!C239</f>
        <v>1</v>
      </c>
    </row>
    <row r="240" spans="1:47">
      <c r="A240" s="12" t="s">
        <v>360</v>
      </c>
      <c r="B240" s="12"/>
      <c r="C240" s="12" t="s">
        <v>358</v>
      </c>
      <c r="D240" s="12"/>
      <c r="E240" s="12">
        <v>44123</v>
      </c>
      <c r="G240" s="7">
        <v>4971977</v>
      </c>
      <c r="I240" s="7">
        <v>2273943</v>
      </c>
      <c r="K240" s="7">
        <v>12733110</v>
      </c>
      <c r="M240" s="7">
        <v>97648</v>
      </c>
      <c r="O240" s="7">
        <f>1198657+57321+14170</f>
        <v>1270148</v>
      </c>
      <c r="Q240" s="7">
        <v>50722</v>
      </c>
      <c r="S240" s="7">
        <v>0</v>
      </c>
      <c r="U240" s="7">
        <v>7351</v>
      </c>
      <c r="W240" s="7">
        <v>177455</v>
      </c>
      <c r="Y240" s="2">
        <f t="shared" si="40"/>
        <v>21582354</v>
      </c>
      <c r="AA240" s="7">
        <v>0</v>
      </c>
      <c r="AC240" s="7">
        <v>0</v>
      </c>
      <c r="AE240" s="7">
        <v>0</v>
      </c>
      <c r="AG240" s="7">
        <v>0</v>
      </c>
      <c r="AI240" s="7">
        <v>0</v>
      </c>
      <c r="AK240" s="7">
        <f t="shared" si="41"/>
        <v>0</v>
      </c>
      <c r="AM240" s="7">
        <f t="shared" si="42"/>
        <v>21582354</v>
      </c>
      <c r="AP240" s="7" t="str">
        <f t="shared" si="38"/>
        <v>Hillsboro City SD</v>
      </c>
      <c r="AQ240" s="7" t="str">
        <f>'Gen Fd BS'!A240</f>
        <v>Hillsboro City SD</v>
      </c>
      <c r="AR240" s="7" t="b">
        <f t="shared" si="39"/>
        <v>1</v>
      </c>
      <c r="AT240" s="7" t="str">
        <f t="shared" si="35"/>
        <v>Highland</v>
      </c>
      <c r="AU240" s="7" t="b">
        <f>C240='Gen Fd BS'!C240</f>
        <v>1</v>
      </c>
    </row>
    <row r="241" spans="1:47">
      <c r="A241" s="12" t="s">
        <v>205</v>
      </c>
      <c r="B241" s="12"/>
      <c r="C241" s="12" t="s">
        <v>11</v>
      </c>
      <c r="D241" s="12"/>
      <c r="E241" s="12">
        <v>45823</v>
      </c>
      <c r="F241" s="10"/>
      <c r="G241" s="7">
        <v>3981902</v>
      </c>
      <c r="I241" s="7">
        <v>0</v>
      </c>
      <c r="K241" s="7">
        <f>4499167+1420</f>
        <v>4500587</v>
      </c>
      <c r="M241" s="7">
        <v>5465</v>
      </c>
      <c r="O241" s="7">
        <f>333717+36644</f>
        <v>370361</v>
      </c>
      <c r="Q241" s="7">
        <v>0</v>
      </c>
      <c r="S241" s="7">
        <v>0</v>
      </c>
      <c r="U241" s="7">
        <v>29830</v>
      </c>
      <c r="W241" s="7">
        <v>64521</v>
      </c>
      <c r="Y241" s="2">
        <f t="shared" si="40"/>
        <v>8952666</v>
      </c>
      <c r="AA241" s="7">
        <v>0</v>
      </c>
      <c r="AC241" s="7">
        <v>0</v>
      </c>
      <c r="AE241" s="7">
        <v>0</v>
      </c>
      <c r="AG241" s="7">
        <v>0</v>
      </c>
      <c r="AI241" s="7">
        <v>0</v>
      </c>
      <c r="AK241" s="7">
        <f t="shared" si="41"/>
        <v>0</v>
      </c>
      <c r="AM241" s="7">
        <f t="shared" si="42"/>
        <v>8952666</v>
      </c>
      <c r="AP241" s="7" t="str">
        <f t="shared" si="38"/>
        <v>Hillsdale Local SD</v>
      </c>
      <c r="AQ241" s="7" t="str">
        <f>'Gen Fd BS'!A241</f>
        <v>Hillsdale Local SD</v>
      </c>
      <c r="AR241" s="7" t="b">
        <f t="shared" si="39"/>
        <v>1</v>
      </c>
      <c r="AT241" s="7" t="str">
        <f t="shared" si="35"/>
        <v>Ashland</v>
      </c>
      <c r="AU241" s="7" t="b">
        <f>C241='Gen Fd BS'!C241</f>
        <v>1</v>
      </c>
    </row>
    <row r="242" spans="1:47">
      <c r="A242" s="12" t="s">
        <v>354</v>
      </c>
      <c r="B242" s="12"/>
      <c r="C242" s="12" t="s">
        <v>34</v>
      </c>
      <c r="D242" s="12"/>
      <c r="E242" s="12">
        <v>47571</v>
      </c>
      <c r="G242" s="7">
        <v>776758</v>
      </c>
      <c r="I242" s="7">
        <v>689446</v>
      </c>
      <c r="K242" s="7">
        <v>2523678</v>
      </c>
      <c r="M242" s="7">
        <v>26688</v>
      </c>
      <c r="O242" s="7">
        <v>418972</v>
      </c>
      <c r="Q242" s="7">
        <v>1910</v>
      </c>
      <c r="S242" s="7">
        <v>1653</v>
      </c>
      <c r="U242" s="7">
        <v>1415</v>
      </c>
      <c r="W242" s="7">
        <v>46667</v>
      </c>
      <c r="Y242" s="2">
        <f t="shared" si="40"/>
        <v>4487187</v>
      </c>
      <c r="AA242" s="7">
        <v>0</v>
      </c>
      <c r="AC242" s="7">
        <v>0</v>
      </c>
      <c r="AE242" s="7">
        <v>0</v>
      </c>
      <c r="AG242" s="7">
        <v>0</v>
      </c>
      <c r="AI242" s="7">
        <v>0</v>
      </c>
      <c r="AK242" s="7">
        <f t="shared" si="41"/>
        <v>0</v>
      </c>
      <c r="AM242" s="7">
        <f t="shared" si="42"/>
        <v>4487187</v>
      </c>
      <c r="AP242" s="7" t="str">
        <f t="shared" si="38"/>
        <v>Holgate Local SD</v>
      </c>
      <c r="AQ242" s="7" t="str">
        <f>'Gen Fd BS'!A242</f>
        <v>Holgate Local SD</v>
      </c>
      <c r="AR242" s="7" t="b">
        <f t="shared" si="39"/>
        <v>1</v>
      </c>
      <c r="AT242" s="7" t="str">
        <f t="shared" si="35"/>
        <v>Henry</v>
      </c>
      <c r="AU242" s="7" t="b">
        <f>C242='Gen Fd BS'!C242</f>
        <v>1</v>
      </c>
    </row>
    <row r="243" spans="1:47">
      <c r="A243" s="12" t="s">
        <v>538</v>
      </c>
      <c r="B243" s="12"/>
      <c r="C243" s="12" t="s">
        <v>64</v>
      </c>
      <c r="D243" s="12"/>
      <c r="E243" s="12">
        <v>50161</v>
      </c>
      <c r="G243" s="7">
        <v>16117920</v>
      </c>
      <c r="I243" s="7">
        <v>0</v>
      </c>
      <c r="K243" s="7">
        <v>10989852</v>
      </c>
      <c r="M243" s="7">
        <v>16007</v>
      </c>
      <c r="O243" s="7">
        <f>1341469+17800+585+63436+700</f>
        <v>1423990</v>
      </c>
      <c r="Q243" s="7">
        <v>100627</v>
      </c>
      <c r="S243" s="7">
        <v>0</v>
      </c>
      <c r="U243" s="7">
        <v>15226</v>
      </c>
      <c r="W243" s="7">
        <v>115388</v>
      </c>
      <c r="Y243" s="2">
        <f t="shared" si="40"/>
        <v>28779010</v>
      </c>
      <c r="AA243" s="7">
        <v>0</v>
      </c>
      <c r="AC243" s="7">
        <v>0</v>
      </c>
      <c r="AE243" s="7">
        <v>0</v>
      </c>
      <c r="AG243" s="7">
        <v>0</v>
      </c>
      <c r="AI243" s="7">
        <v>0</v>
      </c>
      <c r="AK243" s="7">
        <f t="shared" si="41"/>
        <v>0</v>
      </c>
      <c r="AM243" s="7">
        <f t="shared" si="42"/>
        <v>28779010</v>
      </c>
      <c r="AP243" s="7" t="str">
        <f t="shared" si="38"/>
        <v>Howland Local SD</v>
      </c>
      <c r="AQ243" s="7" t="str">
        <f>'Gen Fd BS'!A243</f>
        <v>Howland Local SD</v>
      </c>
      <c r="AR243" s="7" t="b">
        <f t="shared" si="39"/>
        <v>1</v>
      </c>
      <c r="AT243" s="7" t="str">
        <f t="shared" si="35"/>
        <v>Trumbull</v>
      </c>
      <c r="AU243" s="7" t="b">
        <f>C243='Gen Fd BS'!C243</f>
        <v>1</v>
      </c>
    </row>
    <row r="244" spans="1:47">
      <c r="A244" s="12" t="s">
        <v>870</v>
      </c>
      <c r="B244" s="12"/>
      <c r="C244" s="12" t="s">
        <v>64</v>
      </c>
      <c r="D244" s="12"/>
      <c r="E244" s="12">
        <v>45427</v>
      </c>
      <c r="G244" s="7">
        <v>5654474</v>
      </c>
      <c r="I244" s="7">
        <v>0</v>
      </c>
      <c r="K244" s="7">
        <v>10114846</v>
      </c>
      <c r="M244" s="7">
        <v>0</v>
      </c>
      <c r="O244" s="7">
        <f>1116428+49823</f>
        <v>1166251</v>
      </c>
      <c r="Q244" s="7">
        <v>4049</v>
      </c>
      <c r="S244" s="7">
        <v>0</v>
      </c>
      <c r="U244" s="7">
        <v>24273</v>
      </c>
      <c r="W244" s="7">
        <v>449033</v>
      </c>
      <c r="Y244" s="2">
        <f t="shared" si="40"/>
        <v>17412926</v>
      </c>
      <c r="AA244" s="7">
        <v>0</v>
      </c>
      <c r="AC244" s="7">
        <v>0</v>
      </c>
      <c r="AE244" s="7">
        <v>0</v>
      </c>
      <c r="AG244" s="7">
        <v>0</v>
      </c>
      <c r="AI244" s="7">
        <v>0</v>
      </c>
      <c r="AK244" s="7">
        <f t="shared" si="41"/>
        <v>0</v>
      </c>
      <c r="AM244" s="7">
        <f t="shared" si="42"/>
        <v>17412926</v>
      </c>
      <c r="AP244" s="7" t="str">
        <f t="shared" si="38"/>
        <v>Hubbard Exempted Village SD</v>
      </c>
      <c r="AQ244" s="7" t="str">
        <f>'Gen Fd BS'!A244</f>
        <v>Hubbard Exempted Village SD</v>
      </c>
      <c r="AR244" s="7" t="b">
        <f t="shared" si="39"/>
        <v>1</v>
      </c>
      <c r="AT244" s="7" t="str">
        <f t="shared" si="35"/>
        <v>Trumbull</v>
      </c>
      <c r="AU244" s="7" t="b">
        <f>C244='Gen Fd BS'!C244</f>
        <v>1</v>
      </c>
    </row>
    <row r="245" spans="1:47">
      <c r="A245" s="12" t="s">
        <v>443</v>
      </c>
      <c r="B245" s="12"/>
      <c r="C245" s="12" t="s">
        <v>50</v>
      </c>
      <c r="D245" s="12"/>
      <c r="E245" s="12">
        <v>48751</v>
      </c>
      <c r="G245" s="7">
        <v>26770892</v>
      </c>
      <c r="I245" s="7">
        <v>0</v>
      </c>
      <c r="K245" s="7">
        <f>31118196+288297</f>
        <v>31406493</v>
      </c>
      <c r="M245" s="7">
        <v>49678</v>
      </c>
      <c r="O245" s="7">
        <f>609846+304334</f>
        <v>914180</v>
      </c>
      <c r="Q245" s="7">
        <v>379617</v>
      </c>
      <c r="S245" s="7">
        <v>0</v>
      </c>
      <c r="U245" s="7">
        <v>0</v>
      </c>
      <c r="W245" s="7">
        <v>276880</v>
      </c>
      <c r="Y245" s="2">
        <f t="shared" si="40"/>
        <v>59797740</v>
      </c>
      <c r="AA245" s="7">
        <v>0</v>
      </c>
      <c r="AC245" s="7">
        <v>0</v>
      </c>
      <c r="AE245" s="7">
        <v>0</v>
      </c>
      <c r="AG245" s="7">
        <v>0</v>
      </c>
      <c r="AI245" s="7">
        <v>0</v>
      </c>
      <c r="AK245" s="7">
        <f t="shared" si="41"/>
        <v>0</v>
      </c>
      <c r="AM245" s="7">
        <f t="shared" si="42"/>
        <v>59797740</v>
      </c>
      <c r="AP245" s="7" t="str">
        <f t="shared" si="38"/>
        <v>Huber Heights City SD</v>
      </c>
      <c r="AQ245" s="7" t="str">
        <f>'Gen Fd BS'!A245</f>
        <v>Huber Heights City SD</v>
      </c>
      <c r="AR245" s="7" t="b">
        <f t="shared" si="39"/>
        <v>1</v>
      </c>
      <c r="AT245" s="7" t="str">
        <f t="shared" si="35"/>
        <v>Montgomery</v>
      </c>
      <c r="AU245" s="7" t="b">
        <f>C245='Gen Fd BS'!C245</f>
        <v>1</v>
      </c>
    </row>
    <row r="246" spans="1:47">
      <c r="A246" s="12" t="s">
        <v>525</v>
      </c>
      <c r="B246" s="12"/>
      <c r="C246" s="12" t="s">
        <v>63</v>
      </c>
      <c r="D246" s="12"/>
      <c r="E246" s="12">
        <v>50021</v>
      </c>
      <c r="G246" s="7">
        <v>37205157</v>
      </c>
      <c r="I246" s="7">
        <v>0</v>
      </c>
      <c r="K246" s="7">
        <v>19170565</v>
      </c>
      <c r="M246" s="7">
        <v>130603</v>
      </c>
      <c r="O246" s="7">
        <f>102236+33815+4981+302976</f>
        <v>444008</v>
      </c>
      <c r="Q246" s="7">
        <v>607779</v>
      </c>
      <c r="S246" s="7">
        <v>314000</v>
      </c>
      <c r="U246" s="7">
        <v>0</v>
      </c>
      <c r="W246" s="7">
        <v>195816</v>
      </c>
      <c r="Y246" s="2">
        <f t="shared" si="40"/>
        <v>58067928</v>
      </c>
      <c r="AA246" s="7">
        <v>0</v>
      </c>
      <c r="AC246" s="7">
        <v>0</v>
      </c>
      <c r="AE246" s="7">
        <v>854187</v>
      </c>
      <c r="AG246" s="7">
        <v>12105</v>
      </c>
      <c r="AI246" s="7">
        <v>0</v>
      </c>
      <c r="AK246" s="7">
        <f t="shared" si="41"/>
        <v>866292</v>
      </c>
      <c r="AM246" s="7">
        <f t="shared" si="42"/>
        <v>58934220</v>
      </c>
      <c r="AP246" s="7" t="str">
        <f t="shared" si="38"/>
        <v>Hudson City SD</v>
      </c>
      <c r="AQ246" s="7" t="str">
        <f>'Gen Fd BS'!A246</f>
        <v>Hudson City SD</v>
      </c>
      <c r="AR246" s="7" t="b">
        <f t="shared" si="39"/>
        <v>1</v>
      </c>
      <c r="AT246" s="7" t="str">
        <f t="shared" si="35"/>
        <v>Summit</v>
      </c>
      <c r="AU246" s="7" t="b">
        <f>C246='Gen Fd BS'!C246</f>
        <v>1</v>
      </c>
    </row>
    <row r="247" spans="1:47">
      <c r="A247" s="12" t="s">
        <v>489</v>
      </c>
      <c r="B247" s="12"/>
      <c r="C247" s="12" t="s">
        <v>58</v>
      </c>
      <c r="D247" s="12"/>
      <c r="E247" s="12">
        <v>49502</v>
      </c>
      <c r="G247" s="7">
        <v>1216119</v>
      </c>
      <c r="I247" s="7">
        <v>0</v>
      </c>
      <c r="K247" s="7">
        <v>8806510</v>
      </c>
      <c r="M247" s="7">
        <f>5233</f>
        <v>5233</v>
      </c>
      <c r="O247" s="7">
        <f>9678+8700+22232</f>
        <v>40610</v>
      </c>
      <c r="Q247" s="7">
        <v>23111</v>
      </c>
      <c r="S247" s="7">
        <v>0</v>
      </c>
      <c r="U247" s="7">
        <v>0</v>
      </c>
      <c r="W247" s="7">
        <v>70842</v>
      </c>
      <c r="Y247" s="2">
        <f t="shared" si="40"/>
        <v>10162425</v>
      </c>
      <c r="AA247" s="7">
        <v>3524</v>
      </c>
      <c r="AC247" s="7">
        <v>0</v>
      </c>
      <c r="AE247" s="7">
        <v>2090</v>
      </c>
      <c r="AG247" s="7">
        <v>0</v>
      </c>
      <c r="AI247" s="7">
        <v>0</v>
      </c>
      <c r="AK247" s="7">
        <f t="shared" si="41"/>
        <v>5614</v>
      </c>
      <c r="AM247" s="7">
        <f t="shared" si="42"/>
        <v>10168039</v>
      </c>
      <c r="AP247" s="7" t="str">
        <f t="shared" si="38"/>
        <v>Huntington Local SD</v>
      </c>
      <c r="AQ247" s="7" t="str">
        <f>'Gen Fd BS'!A247</f>
        <v>Huntington Local SD</v>
      </c>
      <c r="AR247" s="7" t="b">
        <f t="shared" si="39"/>
        <v>1</v>
      </c>
      <c r="AT247" s="7" t="str">
        <f t="shared" si="35"/>
        <v>Ross</v>
      </c>
      <c r="AU247" s="7" t="b">
        <f>C247='Gen Fd BS'!C247</f>
        <v>1</v>
      </c>
    </row>
    <row r="248" spans="1:47">
      <c r="A248" s="12" t="s">
        <v>292</v>
      </c>
      <c r="B248" s="12"/>
      <c r="C248" s="12" t="s">
        <v>24</v>
      </c>
      <c r="D248" s="12"/>
      <c r="E248" s="12">
        <v>44131</v>
      </c>
      <c r="G248" s="7">
        <v>9741245</v>
      </c>
      <c r="I248" s="7">
        <v>0</v>
      </c>
      <c r="K248" s="7">
        <v>5275892</v>
      </c>
      <c r="M248" s="7">
        <v>41782</v>
      </c>
      <c r="O248" s="7">
        <f>223684+55088+58438</f>
        <v>337210</v>
      </c>
      <c r="Q248" s="7">
        <v>13832</v>
      </c>
      <c r="S248" s="7">
        <v>0</v>
      </c>
      <c r="U248" s="7">
        <v>23187</v>
      </c>
      <c r="W248" s="7">
        <v>107215</v>
      </c>
      <c r="Y248" s="2">
        <f t="shared" si="40"/>
        <v>15540363</v>
      </c>
      <c r="AA248" s="7">
        <v>0</v>
      </c>
      <c r="AC248" s="7">
        <v>0</v>
      </c>
      <c r="AE248" s="7">
        <v>0</v>
      </c>
      <c r="AG248" s="7">
        <v>0</v>
      </c>
      <c r="AI248" s="7">
        <v>0</v>
      </c>
      <c r="AK248" s="7">
        <f t="shared" si="41"/>
        <v>0</v>
      </c>
      <c r="AM248" s="7">
        <f t="shared" si="42"/>
        <v>15540363</v>
      </c>
      <c r="AP248" s="7" t="str">
        <f t="shared" si="38"/>
        <v>Huron City SD</v>
      </c>
      <c r="AQ248" s="7" t="str">
        <f>'Gen Fd BS'!A248</f>
        <v>Huron City SD</v>
      </c>
      <c r="AR248" s="7" t="b">
        <f t="shared" si="39"/>
        <v>1</v>
      </c>
      <c r="AT248" s="7" t="str">
        <f t="shared" si="35"/>
        <v>Erie</v>
      </c>
      <c r="AU248" s="7" t="b">
        <f>C248='Gen Fd BS'!C248</f>
        <v>1</v>
      </c>
    </row>
    <row r="249" spans="1:47">
      <c r="A249" s="12" t="s">
        <v>275</v>
      </c>
      <c r="B249" s="12"/>
      <c r="C249" s="12" t="s">
        <v>20</v>
      </c>
      <c r="D249" s="12"/>
      <c r="E249" s="12">
        <v>46565</v>
      </c>
      <c r="G249" s="7">
        <v>13113098</v>
      </c>
      <c r="I249" s="7">
        <v>0</v>
      </c>
      <c r="K249" s="7">
        <v>2905093</v>
      </c>
      <c r="M249" s="7">
        <v>19780</v>
      </c>
      <c r="O249" s="7">
        <f>141355+45618+510</f>
        <v>187483</v>
      </c>
      <c r="Q249" s="7">
        <v>97991</v>
      </c>
      <c r="S249" s="7">
        <v>0</v>
      </c>
      <c r="U249" s="7">
        <v>588</v>
      </c>
      <c r="W249" s="7">
        <v>79362</v>
      </c>
      <c r="Y249" s="2">
        <f t="shared" si="40"/>
        <v>16403395</v>
      </c>
      <c r="AA249" s="7">
        <v>0</v>
      </c>
      <c r="AC249" s="7">
        <v>0</v>
      </c>
      <c r="AE249" s="7">
        <v>0</v>
      </c>
      <c r="AG249" s="7">
        <v>133</v>
      </c>
      <c r="AI249" s="7">
        <v>0</v>
      </c>
      <c r="AK249" s="7">
        <f t="shared" si="41"/>
        <v>133</v>
      </c>
      <c r="AM249" s="7">
        <f t="shared" si="42"/>
        <v>16403528</v>
      </c>
      <c r="AP249" s="7" t="str">
        <f t="shared" si="38"/>
        <v>Independence Local SD</v>
      </c>
      <c r="AQ249" s="7" t="str">
        <f>'Gen Fd BS'!A249</f>
        <v>Independence Local SD</v>
      </c>
      <c r="AR249" s="7" t="b">
        <f t="shared" si="39"/>
        <v>1</v>
      </c>
      <c r="AT249" s="7" t="str">
        <f t="shared" si="35"/>
        <v>Cuyahoga</v>
      </c>
      <c r="AU249" s="7" t="b">
        <f>C249='Gen Fd BS'!C249</f>
        <v>1</v>
      </c>
    </row>
    <row r="250" spans="1:47">
      <c r="A250" s="12" t="s">
        <v>373</v>
      </c>
      <c r="B250" s="12"/>
      <c r="C250" s="12" t="s">
        <v>39</v>
      </c>
      <c r="D250" s="12"/>
      <c r="E250" s="12">
        <v>47803</v>
      </c>
      <c r="G250" s="7">
        <v>6377382</v>
      </c>
      <c r="I250" s="7">
        <v>0</v>
      </c>
      <c r="K250" s="7">
        <v>9596805</v>
      </c>
      <c r="M250" s="7">
        <v>2215</v>
      </c>
      <c r="O250" s="7">
        <f>3817+1953427+50</f>
        <v>1957294</v>
      </c>
      <c r="Q250" s="7">
        <v>55851</v>
      </c>
      <c r="S250" s="7">
        <v>0</v>
      </c>
      <c r="U250" s="7">
        <v>100222</v>
      </c>
      <c r="W250" s="7">
        <v>57385</v>
      </c>
      <c r="Y250" s="2">
        <f t="shared" si="40"/>
        <v>18147154</v>
      </c>
      <c r="AA250" s="7">
        <v>0</v>
      </c>
      <c r="AC250" s="7">
        <v>0</v>
      </c>
      <c r="AE250" s="7">
        <v>0</v>
      </c>
      <c r="AG250" s="7">
        <v>0</v>
      </c>
      <c r="AI250" s="7">
        <v>0</v>
      </c>
      <c r="AK250" s="7">
        <f t="shared" si="41"/>
        <v>0</v>
      </c>
      <c r="AM250" s="7">
        <f t="shared" si="42"/>
        <v>18147154</v>
      </c>
      <c r="AP250" s="7" t="str">
        <f t="shared" si="38"/>
        <v>Indian Creek Local SD</v>
      </c>
      <c r="AQ250" s="7" t="str">
        <f>'Gen Fd BS'!A250</f>
        <v>Indian Creek Local SD</v>
      </c>
      <c r="AR250" s="7" t="b">
        <f t="shared" si="39"/>
        <v>1</v>
      </c>
      <c r="AT250" s="7" t="str">
        <f t="shared" si="35"/>
        <v>Jefferson</v>
      </c>
      <c r="AU250" s="7" t="b">
        <f>C250='Gen Fd BS'!C250</f>
        <v>1</v>
      </c>
    </row>
    <row r="251" spans="1:47">
      <c r="A251" s="12" t="s">
        <v>871</v>
      </c>
      <c r="B251" s="12"/>
      <c r="C251" s="12" t="s">
        <v>32</v>
      </c>
      <c r="D251" s="12"/>
      <c r="E251" s="12">
        <v>45435</v>
      </c>
      <c r="G251" s="7">
        <v>23862634</v>
      </c>
      <c r="I251" s="7">
        <v>0</v>
      </c>
      <c r="K251" s="7">
        <v>5295069</v>
      </c>
      <c r="M251" s="7">
        <v>154365</v>
      </c>
      <c r="O251" s="7">
        <f>19050+8500</f>
        <v>27550</v>
      </c>
      <c r="Q251" s="7">
        <v>6760</v>
      </c>
      <c r="S251" s="7">
        <v>3468895</v>
      </c>
      <c r="U251" s="7">
        <v>2038</v>
      </c>
      <c r="W251" s="7">
        <v>27379</v>
      </c>
      <c r="Y251" s="2">
        <f t="shared" si="40"/>
        <v>32844690</v>
      </c>
      <c r="AA251" s="7">
        <v>0</v>
      </c>
      <c r="AC251" s="7">
        <v>0</v>
      </c>
      <c r="AE251" s="7">
        <v>591000</v>
      </c>
      <c r="AG251" s="7">
        <v>0</v>
      </c>
      <c r="AI251" s="7">
        <v>0</v>
      </c>
      <c r="AK251" s="7">
        <f t="shared" si="41"/>
        <v>591000</v>
      </c>
      <c r="AM251" s="7">
        <f t="shared" si="42"/>
        <v>33435690</v>
      </c>
      <c r="AP251" s="7" t="str">
        <f t="shared" si="38"/>
        <v>Indian Hill Exempted Village SD</v>
      </c>
      <c r="AQ251" s="7" t="str">
        <f>'Gen Fd BS'!A251</f>
        <v>Indian Hill Exempted Village SD</v>
      </c>
      <c r="AR251" s="7" t="b">
        <f t="shared" si="39"/>
        <v>1</v>
      </c>
      <c r="AT251" s="7" t="str">
        <f t="shared" si="35"/>
        <v>Hamilton</v>
      </c>
      <c r="AU251" s="7" t="b">
        <f>C251='Gen Fd BS'!C251</f>
        <v>1</v>
      </c>
    </row>
    <row r="252" spans="1:47" hidden="1">
      <c r="A252" s="12" t="s">
        <v>909</v>
      </c>
      <c r="B252" s="12"/>
      <c r="C252" s="12" t="s">
        <v>43</v>
      </c>
      <c r="D252" s="12"/>
      <c r="E252" s="12"/>
      <c r="Y252" s="2">
        <f t="shared" si="40"/>
        <v>0</v>
      </c>
      <c r="AC252" s="7">
        <v>0</v>
      </c>
      <c r="AI252" s="7">
        <v>0</v>
      </c>
      <c r="AM252" s="7">
        <f t="shared" si="42"/>
        <v>0</v>
      </c>
      <c r="AO252" s="7" t="s">
        <v>904</v>
      </c>
      <c r="AP252" s="7" t="str">
        <f t="shared" si="38"/>
        <v>Indian Lake Local SD (CASH)</v>
      </c>
      <c r="AQ252" s="7" t="str">
        <f>'Gen Fd BS'!A252</f>
        <v>Indian Lake Local SD (CASH)</v>
      </c>
      <c r="AR252" s="7" t="b">
        <f t="shared" si="39"/>
        <v>1</v>
      </c>
      <c r="AT252" s="7" t="str">
        <f t="shared" si="35"/>
        <v>Logan</v>
      </c>
      <c r="AU252" s="7" t="b">
        <f>C252='Gen Fd BS'!C252</f>
        <v>1</v>
      </c>
    </row>
    <row r="253" spans="1:47">
      <c r="A253" s="12" t="s">
        <v>552</v>
      </c>
      <c r="B253" s="12"/>
      <c r="C253" s="12" t="s">
        <v>65</v>
      </c>
      <c r="D253" s="12"/>
      <c r="E253" s="12">
        <v>50286</v>
      </c>
      <c r="G253" s="7">
        <v>3783540</v>
      </c>
      <c r="I253" s="7">
        <v>0</v>
      </c>
      <c r="K253" s="7">
        <v>8842126</v>
      </c>
      <c r="M253" s="7">
        <v>5751</v>
      </c>
      <c r="O253" s="7">
        <f>1620358+5178</f>
        <v>1625536</v>
      </c>
      <c r="Q253" s="7">
        <v>92477</v>
      </c>
      <c r="S253" s="7">
        <v>0</v>
      </c>
      <c r="U253" s="7">
        <v>71225</v>
      </c>
      <c r="W253" s="7">
        <v>8303</v>
      </c>
      <c r="Y253" s="2">
        <f t="shared" si="40"/>
        <v>14428958</v>
      </c>
      <c r="AA253" s="7">
        <v>157146</v>
      </c>
      <c r="AC253" s="7">
        <v>0</v>
      </c>
      <c r="AE253" s="7">
        <v>114800</v>
      </c>
      <c r="AG253" s="7">
        <v>0</v>
      </c>
      <c r="AI253" s="7">
        <v>0</v>
      </c>
      <c r="AK253" s="7">
        <f t="shared" si="41"/>
        <v>271946</v>
      </c>
      <c r="AM253" s="7">
        <f t="shared" si="42"/>
        <v>14700904</v>
      </c>
      <c r="AO253" s="14"/>
      <c r="AP253" s="7" t="str">
        <f t="shared" si="38"/>
        <v>Indian Valley Local SD</v>
      </c>
      <c r="AQ253" s="7" t="str">
        <f>'Gen Fd BS'!A253</f>
        <v>Indian Valley Local SD</v>
      </c>
      <c r="AR253" s="7" t="b">
        <f t="shared" si="39"/>
        <v>1</v>
      </c>
      <c r="AT253" s="7" t="str">
        <f t="shared" si="35"/>
        <v>Tuscarawas</v>
      </c>
      <c r="AU253" s="7" t="b">
        <f>C253='Gen Fd BS'!C253</f>
        <v>1</v>
      </c>
    </row>
    <row r="254" spans="1:47">
      <c r="A254" s="12" t="s">
        <v>380</v>
      </c>
      <c r="B254" s="12"/>
      <c r="C254" s="12" t="s">
        <v>377</v>
      </c>
      <c r="D254" s="12"/>
      <c r="E254" s="12">
        <v>44149</v>
      </c>
      <c r="G254" s="7">
        <v>2141178</v>
      </c>
      <c r="I254" s="7">
        <v>0</v>
      </c>
      <c r="K254" s="7">
        <v>8052519</v>
      </c>
      <c r="M254" s="7">
        <v>19745</v>
      </c>
      <c r="O254" s="7">
        <f>1154979+16905+99969</f>
        <v>1271853</v>
      </c>
      <c r="Q254" s="7">
        <v>40316</v>
      </c>
      <c r="S254" s="7">
        <v>0</v>
      </c>
      <c r="U254" s="7">
        <v>0</v>
      </c>
      <c r="W254" s="7">
        <v>41093</v>
      </c>
      <c r="Y254" s="2">
        <f t="shared" si="40"/>
        <v>11566704</v>
      </c>
      <c r="AA254" s="7">
        <v>0</v>
      </c>
      <c r="AC254" s="7">
        <v>0</v>
      </c>
      <c r="AE254" s="7">
        <v>0</v>
      </c>
      <c r="AG254" s="7">
        <v>3500</v>
      </c>
      <c r="AI254" s="7">
        <v>0</v>
      </c>
      <c r="AK254" s="7">
        <f t="shared" si="41"/>
        <v>3500</v>
      </c>
      <c r="AM254" s="7">
        <f t="shared" si="42"/>
        <v>11570204</v>
      </c>
      <c r="AP254" s="7" t="str">
        <f t="shared" si="38"/>
        <v>Ironton City SD</v>
      </c>
      <c r="AQ254" s="7" t="str">
        <f>'Gen Fd BS'!A254</f>
        <v>Ironton City SD</v>
      </c>
      <c r="AR254" s="7" t="b">
        <f t="shared" si="39"/>
        <v>1</v>
      </c>
      <c r="AT254" s="7" t="str">
        <f t="shared" si="35"/>
        <v>Lawrence</v>
      </c>
      <c r="AU254" s="7" t="b">
        <f>C254='Gen Fd BS'!C254</f>
        <v>1</v>
      </c>
    </row>
    <row r="255" spans="1:47" hidden="1">
      <c r="A255" s="12" t="s">
        <v>700</v>
      </c>
      <c r="B255" s="12"/>
      <c r="C255" s="12" t="s">
        <v>61</v>
      </c>
      <c r="D255" s="12"/>
      <c r="E255" s="12">
        <v>49809</v>
      </c>
      <c r="Y255" s="2">
        <f t="shared" si="40"/>
        <v>0</v>
      </c>
      <c r="AC255" s="7">
        <v>0</v>
      </c>
      <c r="AI255" s="7">
        <v>0</v>
      </c>
      <c r="AK255" s="7">
        <f t="shared" si="41"/>
        <v>0</v>
      </c>
      <c r="AM255" s="7">
        <f t="shared" si="42"/>
        <v>0</v>
      </c>
      <c r="AO255" s="7" t="s">
        <v>904</v>
      </c>
      <c r="AP255" s="7" t="str">
        <f t="shared" si="38"/>
        <v>Jackson Center Local SD (CASH)</v>
      </c>
      <c r="AQ255" s="7" t="str">
        <f>'Gen Fd BS'!A255</f>
        <v>Jackson Center Local SD (CASH)</v>
      </c>
      <c r="AR255" s="7" t="b">
        <f t="shared" si="39"/>
        <v>1</v>
      </c>
      <c r="AT255" s="7" t="str">
        <f t="shared" si="35"/>
        <v>Shelby</v>
      </c>
      <c r="AU255" s="7" t="b">
        <f>C255='Gen Fd BS'!C255</f>
        <v>1</v>
      </c>
    </row>
    <row r="256" spans="1:47" hidden="1">
      <c r="A256" s="12" t="s">
        <v>715</v>
      </c>
      <c r="B256" s="12"/>
      <c r="C256" s="12" t="s">
        <v>38</v>
      </c>
      <c r="D256" s="12"/>
      <c r="E256" s="12"/>
      <c r="Y256" s="2">
        <f>SUM(G256:X256)</f>
        <v>0</v>
      </c>
      <c r="AC256" s="7">
        <v>0</v>
      </c>
      <c r="AI256" s="7">
        <v>0</v>
      </c>
      <c r="AK256" s="7">
        <f>SUM(AA256:AJ256)</f>
        <v>0</v>
      </c>
      <c r="AM256" s="7">
        <f t="shared" si="42"/>
        <v>0</v>
      </c>
      <c r="AO256" s="7" t="s">
        <v>904</v>
      </c>
      <c r="AP256" s="7" t="str">
        <f t="shared" si="38"/>
        <v>Jackson City SD (CASH)</v>
      </c>
      <c r="AQ256" s="7" t="str">
        <f>'Gen Fd BS'!A256</f>
        <v>Jackson City SD (CASH)</v>
      </c>
      <c r="AR256" s="7" t="b">
        <f t="shared" si="39"/>
        <v>1</v>
      </c>
      <c r="AT256" s="7" t="str">
        <f t="shared" si="35"/>
        <v>Jackson</v>
      </c>
      <c r="AU256" s="7" t="b">
        <f>C256='Gen Fd BS'!C256</f>
        <v>1</v>
      </c>
    </row>
    <row r="257" spans="1:47">
      <c r="A257" s="12" t="s">
        <v>512</v>
      </c>
      <c r="B257" s="12"/>
      <c r="C257" s="12" t="s">
        <v>62</v>
      </c>
      <c r="D257" s="12"/>
      <c r="E257" s="12">
        <v>49858</v>
      </c>
      <c r="G257" s="7">
        <v>40477272</v>
      </c>
      <c r="I257" s="7">
        <v>0</v>
      </c>
      <c r="K257" s="7">
        <f>32823+13331712+91638</f>
        <v>13456173</v>
      </c>
      <c r="M257" s="7">
        <v>114227</v>
      </c>
      <c r="O257" s="7">
        <f>344913+11653+211578+24303+211141</f>
        <v>803588</v>
      </c>
      <c r="Q257" s="7">
        <v>251307</v>
      </c>
      <c r="S257" s="7">
        <v>42850</v>
      </c>
      <c r="U257" s="7">
        <v>62231</v>
      </c>
      <c r="W257" s="7">
        <v>158900</v>
      </c>
      <c r="Y257" s="2">
        <f t="shared" si="40"/>
        <v>55366548</v>
      </c>
      <c r="AA257" s="7">
        <v>0</v>
      </c>
      <c r="AC257" s="7">
        <v>0</v>
      </c>
      <c r="AE257" s="7">
        <v>0</v>
      </c>
      <c r="AG257" s="7">
        <f>7620+64092</f>
        <v>71712</v>
      </c>
      <c r="AI257" s="7">
        <v>0</v>
      </c>
      <c r="AK257" s="7">
        <f t="shared" si="41"/>
        <v>71712</v>
      </c>
      <c r="AM257" s="7">
        <f t="shared" si="42"/>
        <v>55438260</v>
      </c>
      <c r="AP257" s="7" t="str">
        <f t="shared" si="38"/>
        <v>Jackson Local SD</v>
      </c>
      <c r="AQ257" s="7" t="str">
        <f>'Gen Fd BS'!A257</f>
        <v>Jackson Local SD</v>
      </c>
      <c r="AR257" s="7" t="b">
        <f t="shared" si="39"/>
        <v>1</v>
      </c>
      <c r="AT257" s="7" t="str">
        <f t="shared" si="35"/>
        <v>Stark</v>
      </c>
      <c r="AU257" s="7" t="b">
        <f>C257='Gen Fd BS'!C257</f>
        <v>1</v>
      </c>
    </row>
    <row r="258" spans="1:47">
      <c r="A258" s="12" t="s">
        <v>417</v>
      </c>
      <c r="B258" s="12"/>
      <c r="C258" s="12" t="s">
        <v>45</v>
      </c>
      <c r="D258" s="12"/>
      <c r="E258" s="12">
        <v>48322</v>
      </c>
      <c r="G258" s="7">
        <v>3163156</v>
      </c>
      <c r="I258" s="7">
        <v>0</v>
      </c>
      <c r="K258" s="7">
        <f>20262+3323524</f>
        <v>3343786</v>
      </c>
      <c r="M258" s="7">
        <v>2520</v>
      </c>
      <c r="O258" s="7">
        <f>421068+9345</f>
        <v>430413</v>
      </c>
      <c r="Q258" s="7">
        <v>16411</v>
      </c>
      <c r="S258" s="7">
        <v>0</v>
      </c>
      <c r="U258" s="7">
        <v>6132</v>
      </c>
      <c r="W258" s="7">
        <v>76360</v>
      </c>
      <c r="Y258" s="2">
        <f t="shared" si="40"/>
        <v>7038778</v>
      </c>
      <c r="AA258" s="7">
        <v>0</v>
      </c>
      <c r="AC258" s="7">
        <v>0</v>
      </c>
      <c r="AE258" s="7">
        <v>0</v>
      </c>
      <c r="AG258" s="7">
        <v>0</v>
      </c>
      <c r="AI258" s="7">
        <v>0</v>
      </c>
      <c r="AK258" s="7">
        <f t="shared" si="41"/>
        <v>0</v>
      </c>
      <c r="AM258" s="7">
        <f t="shared" si="42"/>
        <v>7038778</v>
      </c>
      <c r="AP258" s="7" t="str">
        <f t="shared" si="38"/>
        <v>Jackson-Milton Local SD</v>
      </c>
      <c r="AQ258" s="7" t="str">
        <f>'Gen Fd BS'!A258</f>
        <v>Jackson-Milton Local SD</v>
      </c>
      <c r="AR258" s="7" t="b">
        <f t="shared" si="39"/>
        <v>1</v>
      </c>
      <c r="AT258" s="7" t="str">
        <f t="shared" si="35"/>
        <v>Mahoning</v>
      </c>
      <c r="AU258" s="7" t="b">
        <f>C258='Gen Fd BS'!C258</f>
        <v>1</v>
      </c>
    </row>
    <row r="259" spans="1:47">
      <c r="A259" s="12" t="s">
        <v>475</v>
      </c>
      <c r="B259" s="12"/>
      <c r="C259" s="12" t="s">
        <v>56</v>
      </c>
      <c r="D259" s="12"/>
      <c r="E259" s="12">
        <v>49205</v>
      </c>
      <c r="G259" s="7">
        <v>3523841</v>
      </c>
      <c r="I259" s="7">
        <v>0</v>
      </c>
      <c r="K259" s="7">
        <f>6335251+57404</f>
        <v>6392655</v>
      </c>
      <c r="M259" s="7">
        <v>17544</v>
      </c>
      <c r="O259" s="7">
        <f>1128902+2930+16062</f>
        <v>1147894</v>
      </c>
      <c r="Q259" s="7">
        <v>27014</v>
      </c>
      <c r="S259" s="7">
        <v>0</v>
      </c>
      <c r="U259" s="7">
        <v>0</v>
      </c>
      <c r="W259" s="7">
        <v>64174</v>
      </c>
      <c r="Y259" s="2">
        <f t="shared" si="40"/>
        <v>11173122</v>
      </c>
      <c r="AA259" s="7">
        <v>0</v>
      </c>
      <c r="AC259" s="7">
        <v>0</v>
      </c>
      <c r="AE259" s="7">
        <v>0</v>
      </c>
      <c r="AG259" s="7">
        <v>1592</v>
      </c>
      <c r="AI259" s="7">
        <v>0</v>
      </c>
      <c r="AK259" s="7">
        <f t="shared" si="41"/>
        <v>1592</v>
      </c>
      <c r="AM259" s="7">
        <f t="shared" si="42"/>
        <v>11174714</v>
      </c>
      <c r="AP259" s="7" t="str">
        <f t="shared" si="38"/>
        <v>James A Garfield Local SD</v>
      </c>
      <c r="AQ259" s="7" t="str">
        <f>'Gen Fd BS'!A259</f>
        <v>James A Garfield Local SD</v>
      </c>
      <c r="AR259" s="7" t="b">
        <f t="shared" si="39"/>
        <v>1</v>
      </c>
      <c r="AT259" s="7" t="str">
        <f t="shared" si="35"/>
        <v>Portage</v>
      </c>
      <c r="AU259" s="7" t="b">
        <f>C259='Gen Fd BS'!C259</f>
        <v>1</v>
      </c>
    </row>
    <row r="260" spans="1:47">
      <c r="A260" s="12" t="s">
        <v>210</v>
      </c>
      <c r="B260" s="12"/>
      <c r="C260" s="12" t="s">
        <v>12</v>
      </c>
      <c r="D260" s="12"/>
      <c r="E260" s="12">
        <v>45872</v>
      </c>
      <c r="F260" s="10"/>
      <c r="G260" s="7">
        <v>5035325</v>
      </c>
      <c r="I260" s="7">
        <v>0</v>
      </c>
      <c r="K260" s="7">
        <v>9164763</v>
      </c>
      <c r="M260" s="7">
        <v>2295</v>
      </c>
      <c r="O260" s="7">
        <f>1491049</f>
        <v>1491049</v>
      </c>
      <c r="Q260" s="7">
        <v>54267</v>
      </c>
      <c r="S260" s="7">
        <v>0</v>
      </c>
      <c r="U260" s="7">
        <v>5100</v>
      </c>
      <c r="W260" s="7">
        <v>256393</v>
      </c>
      <c r="Y260" s="2">
        <f t="shared" si="40"/>
        <v>16009192</v>
      </c>
      <c r="AA260" s="7">
        <v>0</v>
      </c>
      <c r="AC260" s="7">
        <v>0</v>
      </c>
      <c r="AE260" s="7">
        <v>0</v>
      </c>
      <c r="AG260" s="7">
        <v>0</v>
      </c>
      <c r="AI260" s="7">
        <v>0</v>
      </c>
      <c r="AK260" s="7">
        <f t="shared" si="41"/>
        <v>0</v>
      </c>
      <c r="AM260" s="7">
        <f t="shared" si="42"/>
        <v>16009192</v>
      </c>
      <c r="AP260" s="7" t="str">
        <f t="shared" si="38"/>
        <v>Jefferson Area Local SD</v>
      </c>
      <c r="AQ260" s="7" t="str">
        <f>'Gen Fd BS'!A260</f>
        <v>Jefferson Area Local SD</v>
      </c>
      <c r="AR260" s="7" t="b">
        <f t="shared" si="39"/>
        <v>1</v>
      </c>
      <c r="AT260" s="7" t="str">
        <f t="shared" si="35"/>
        <v>Ashtabula</v>
      </c>
      <c r="AU260" s="7" t="b">
        <f>C260='Gen Fd BS'!C260</f>
        <v>1</v>
      </c>
    </row>
    <row r="261" spans="1:47">
      <c r="A261" s="12" t="s">
        <v>410</v>
      </c>
      <c r="B261" s="12"/>
      <c r="C261" s="12" t="s">
        <v>411</v>
      </c>
      <c r="D261" s="12"/>
      <c r="E261" s="12">
        <v>48256</v>
      </c>
      <c r="G261" s="7">
        <v>4009584</v>
      </c>
      <c r="I261" s="7">
        <v>729591</v>
      </c>
      <c r="K261" s="7">
        <f>1801+4627643+36518</f>
        <v>4665962</v>
      </c>
      <c r="M261" s="7">
        <v>8655</v>
      </c>
      <c r="O261" s="7">
        <f>714767+30791+4324</f>
        <v>749882</v>
      </c>
      <c r="Q261" s="7">
        <v>39126</v>
      </c>
      <c r="S261" s="7">
        <v>569509</v>
      </c>
      <c r="U261" s="7">
        <v>8289</v>
      </c>
      <c r="W261" s="7">
        <v>5534</v>
      </c>
      <c r="Y261" s="2">
        <f t="shared" si="40"/>
        <v>10786132</v>
      </c>
      <c r="AA261" s="7">
        <v>0</v>
      </c>
      <c r="AC261" s="7">
        <v>0</v>
      </c>
      <c r="AE261" s="7">
        <v>0</v>
      </c>
      <c r="AG261" s="7">
        <v>0</v>
      </c>
      <c r="AI261" s="7">
        <v>0</v>
      </c>
      <c r="AK261" s="7">
        <f t="shared" si="41"/>
        <v>0</v>
      </c>
      <c r="AM261" s="7">
        <f t="shared" si="42"/>
        <v>10786132</v>
      </c>
      <c r="AP261" s="7" t="str">
        <f t="shared" si="38"/>
        <v>Jefferson Local SD</v>
      </c>
      <c r="AQ261" s="7" t="str">
        <f>'Gen Fd BS'!A261</f>
        <v>Jefferson Local SD</v>
      </c>
      <c r="AR261" s="7" t="b">
        <f t="shared" si="39"/>
        <v>1</v>
      </c>
      <c r="AT261" s="7" t="str">
        <f t="shared" si="35"/>
        <v>Madison</v>
      </c>
      <c r="AU261" s="7" t="b">
        <f>C261='Gen Fd BS'!C261</f>
        <v>1</v>
      </c>
    </row>
    <row r="262" spans="1:47">
      <c r="A262" s="12" t="s">
        <v>716</v>
      </c>
      <c r="B262" s="12"/>
      <c r="C262" s="12" t="s">
        <v>50</v>
      </c>
      <c r="D262" s="12"/>
      <c r="E262" s="12">
        <v>48686</v>
      </c>
      <c r="G262" s="7">
        <v>2817997</v>
      </c>
      <c r="I262" s="7">
        <v>0</v>
      </c>
      <c r="K262" s="7">
        <v>4262139</v>
      </c>
      <c r="M262" s="7">
        <v>2589</v>
      </c>
      <c r="O262" s="7">
        <f>457313+1450</f>
        <v>458763</v>
      </c>
      <c r="Q262" s="7">
        <v>147</v>
      </c>
      <c r="S262" s="7">
        <v>6462</v>
      </c>
      <c r="U262" s="7">
        <v>18938</v>
      </c>
      <c r="W262" s="7">
        <v>92768</v>
      </c>
      <c r="Y262" s="2">
        <f t="shared" si="40"/>
        <v>7659803</v>
      </c>
      <c r="AA262" s="7">
        <v>0</v>
      </c>
      <c r="AC262" s="7">
        <v>0</v>
      </c>
      <c r="AE262" s="7">
        <v>0</v>
      </c>
      <c r="AG262" s="7">
        <v>0</v>
      </c>
      <c r="AI262" s="7">
        <v>0</v>
      </c>
      <c r="AK262" s="7">
        <f t="shared" si="41"/>
        <v>0</v>
      </c>
      <c r="AM262" s="7">
        <f t="shared" si="42"/>
        <v>7659803</v>
      </c>
      <c r="AP262" s="7" t="str">
        <f t="shared" si="38"/>
        <v xml:space="preserve">Jefferson Township Local SD </v>
      </c>
      <c r="AQ262" s="7" t="str">
        <f>'Gen Fd BS'!A262</f>
        <v xml:space="preserve">Jefferson Township Local SD </v>
      </c>
      <c r="AR262" s="7" t="b">
        <f t="shared" si="39"/>
        <v>1</v>
      </c>
      <c r="AT262" s="7" t="str">
        <f t="shared" si="35"/>
        <v>Montgomery</v>
      </c>
      <c r="AU262" s="7" t="b">
        <f>C262='Gen Fd BS'!C262</f>
        <v>1</v>
      </c>
    </row>
    <row r="263" spans="1:47" hidden="1">
      <c r="A263" s="12" t="s">
        <v>910</v>
      </c>
      <c r="B263" s="12"/>
      <c r="C263" s="12" t="s">
        <v>482</v>
      </c>
      <c r="D263" s="12"/>
      <c r="E263" s="12"/>
      <c r="Y263" s="2">
        <f t="shared" si="40"/>
        <v>0</v>
      </c>
      <c r="AC263" s="7">
        <v>0</v>
      </c>
      <c r="AI263" s="7">
        <v>0</v>
      </c>
      <c r="AM263" s="7">
        <f t="shared" si="42"/>
        <v>0</v>
      </c>
      <c r="AO263" s="7" t="s">
        <v>904</v>
      </c>
      <c r="AP263" s="7" t="str">
        <f t="shared" si="38"/>
        <v xml:space="preserve">Jennings Local SD (CASH) </v>
      </c>
      <c r="AQ263" s="7" t="str">
        <f>'Gen Fd BS'!A263</f>
        <v xml:space="preserve">Jennings Local SD (CASH) </v>
      </c>
      <c r="AR263" s="7" t="b">
        <f t="shared" si="39"/>
        <v>1</v>
      </c>
      <c r="AT263" s="7" t="str">
        <f t="shared" si="35"/>
        <v>Putnam</v>
      </c>
      <c r="AU263" s="7" t="b">
        <f>C263='Gen Fd BS'!C263</f>
        <v>1</v>
      </c>
    </row>
    <row r="264" spans="1:47">
      <c r="A264" s="12" t="s">
        <v>385</v>
      </c>
      <c r="B264" s="12"/>
      <c r="C264" s="12" t="s">
        <v>42</v>
      </c>
      <c r="D264" s="12"/>
      <c r="E264" s="12">
        <v>47985</v>
      </c>
      <c r="G264" s="7">
        <v>5409487</v>
      </c>
      <c r="I264" s="7">
        <v>2184088</v>
      </c>
      <c r="K264" s="7">
        <v>5590674</v>
      </c>
      <c r="M264" s="7">
        <v>21985</v>
      </c>
      <c r="O264" s="7">
        <f>196088+94229+2385</f>
        <v>292702</v>
      </c>
      <c r="Q264" s="7">
        <v>52789</v>
      </c>
      <c r="S264" s="7">
        <v>0</v>
      </c>
      <c r="U264" s="7">
        <v>20881</v>
      </c>
      <c r="W264" s="7">
        <v>36055</v>
      </c>
      <c r="Y264" s="2">
        <f t="shared" si="40"/>
        <v>13608661</v>
      </c>
      <c r="AA264" s="7">
        <v>7068</v>
      </c>
      <c r="AC264" s="7">
        <v>0</v>
      </c>
      <c r="AE264" s="7">
        <v>0</v>
      </c>
      <c r="AG264" s="7">
        <v>981</v>
      </c>
      <c r="AI264" s="7">
        <v>0</v>
      </c>
      <c r="AK264" s="7">
        <f t="shared" si="41"/>
        <v>8049</v>
      </c>
      <c r="AM264" s="7">
        <f t="shared" si="42"/>
        <v>13616710</v>
      </c>
      <c r="AP264" s="7" t="str">
        <f t="shared" si="38"/>
        <v>Johnstown-Monroe Local SD</v>
      </c>
      <c r="AQ264" s="7" t="str">
        <f>'Gen Fd BS'!A264</f>
        <v>Johnstown-Monroe Local SD</v>
      </c>
      <c r="AR264" s="7" t="b">
        <f t="shared" si="39"/>
        <v>1</v>
      </c>
      <c r="AT264" s="7" t="str">
        <f t="shared" si="35"/>
        <v>Licking</v>
      </c>
      <c r="AU264" s="7" t="b">
        <f>C264='Gen Fd BS'!C264</f>
        <v>1</v>
      </c>
    </row>
    <row r="265" spans="1:47">
      <c r="A265" s="12" t="s">
        <v>412</v>
      </c>
      <c r="B265" s="12"/>
      <c r="C265" s="12" t="s">
        <v>411</v>
      </c>
      <c r="D265" s="12"/>
      <c r="E265" s="12">
        <v>48264</v>
      </c>
      <c r="G265" s="7">
        <v>5222880</v>
      </c>
      <c r="I265" s="7">
        <v>1952963</v>
      </c>
      <c r="K265" s="7">
        <v>7552935</v>
      </c>
      <c r="M265" s="7">
        <v>11373</v>
      </c>
      <c r="O265" s="7">
        <f>957111+101313+6140</f>
        <v>1064564</v>
      </c>
      <c r="Q265" s="7">
        <v>152715</v>
      </c>
      <c r="S265" s="7">
        <v>0</v>
      </c>
      <c r="U265" s="7">
        <v>0</v>
      </c>
      <c r="W265" s="7">
        <v>48867</v>
      </c>
      <c r="Y265" s="2">
        <f t="shared" si="40"/>
        <v>16006297</v>
      </c>
      <c r="AA265" s="7">
        <v>0</v>
      </c>
      <c r="AC265" s="7">
        <v>0</v>
      </c>
      <c r="AE265" s="7">
        <v>0</v>
      </c>
      <c r="AG265" s="7">
        <v>0</v>
      </c>
      <c r="AI265" s="7">
        <v>0</v>
      </c>
      <c r="AK265" s="7">
        <f t="shared" si="41"/>
        <v>0</v>
      </c>
      <c r="AM265" s="7">
        <f t="shared" si="42"/>
        <v>16006297</v>
      </c>
      <c r="AP265" s="7" t="str">
        <f t="shared" si="38"/>
        <v>Jonathan Alder Local SD</v>
      </c>
      <c r="AQ265" s="7" t="str">
        <f>'Gen Fd BS'!A265</f>
        <v>Jonathan Alder Local SD</v>
      </c>
      <c r="AR265" s="7" t="b">
        <f t="shared" si="39"/>
        <v>1</v>
      </c>
      <c r="AT265" s="7" t="str">
        <f t="shared" si="35"/>
        <v>Madison</v>
      </c>
      <c r="AU265" s="7" t="b">
        <f>C265='Gen Fd BS'!C265</f>
        <v>1</v>
      </c>
    </row>
    <row r="266" spans="1:47">
      <c r="A266" s="12" t="s">
        <v>539</v>
      </c>
      <c r="B266" s="12"/>
      <c r="C266" s="12" t="s">
        <v>64</v>
      </c>
      <c r="D266" s="12"/>
      <c r="E266" s="12">
        <v>50179</v>
      </c>
      <c r="G266" s="7">
        <v>2749820</v>
      </c>
      <c r="I266" s="7">
        <v>0</v>
      </c>
      <c r="K266" s="7">
        <v>4581420</v>
      </c>
      <c r="M266" s="7">
        <v>9407</v>
      </c>
      <c r="O266" s="7">
        <f>256825+11792</f>
        <v>268617</v>
      </c>
      <c r="Q266" s="7">
        <v>18262</v>
      </c>
      <c r="S266" s="7">
        <v>0</v>
      </c>
      <c r="U266" s="7">
        <v>4728</v>
      </c>
      <c r="W266" s="7">
        <v>68812</v>
      </c>
      <c r="Y266" s="2">
        <f t="shared" si="40"/>
        <v>7701066</v>
      </c>
      <c r="AA266" s="7">
        <v>0</v>
      </c>
      <c r="AC266" s="7">
        <v>0</v>
      </c>
      <c r="AE266" s="7">
        <v>0</v>
      </c>
      <c r="AG266" s="7">
        <v>0</v>
      </c>
      <c r="AI266" s="7">
        <v>0</v>
      </c>
      <c r="AK266" s="7">
        <f t="shared" si="41"/>
        <v>0</v>
      </c>
      <c r="AM266" s="7">
        <f t="shared" si="42"/>
        <v>7701066</v>
      </c>
      <c r="AP266" s="7" t="str">
        <f t="shared" si="38"/>
        <v>Joseph Badger Local SD</v>
      </c>
      <c r="AQ266" s="7" t="str">
        <f>'Gen Fd BS'!A266</f>
        <v>Joseph Badger Local SD</v>
      </c>
      <c r="AR266" s="7" t="b">
        <f t="shared" si="39"/>
        <v>1</v>
      </c>
      <c r="AT266" s="7" t="str">
        <f t="shared" si="35"/>
        <v>Trumbull</v>
      </c>
      <c r="AU266" s="7" t="b">
        <f>C266='Gen Fd BS'!C266</f>
        <v>1</v>
      </c>
    </row>
    <row r="267" spans="1:47">
      <c r="A267" s="12" t="s">
        <v>293</v>
      </c>
      <c r="B267" s="12"/>
      <c r="C267" s="12" t="s">
        <v>24</v>
      </c>
      <c r="D267" s="12"/>
      <c r="E267" s="12">
        <v>46797</v>
      </c>
      <c r="G267" s="7">
        <v>873723</v>
      </c>
      <c r="I267" s="7">
        <v>0</v>
      </c>
      <c r="K267" s="7">
        <v>118963</v>
      </c>
      <c r="M267" s="7">
        <v>5595</v>
      </c>
      <c r="O267" s="7">
        <v>0</v>
      </c>
      <c r="Q267" s="7">
        <v>0</v>
      </c>
      <c r="S267" s="7">
        <v>0</v>
      </c>
      <c r="U267" s="7">
        <v>0</v>
      </c>
      <c r="W267" s="7">
        <v>15</v>
      </c>
      <c r="Y267" s="2">
        <f t="shared" si="40"/>
        <v>998296</v>
      </c>
      <c r="AA267" s="7">
        <v>155410</v>
      </c>
      <c r="AC267" s="7">
        <v>0</v>
      </c>
      <c r="AE267" s="7">
        <v>0</v>
      </c>
      <c r="AG267" s="7">
        <v>0</v>
      </c>
      <c r="AI267" s="7">
        <v>0</v>
      </c>
      <c r="AK267" s="7">
        <f t="shared" si="41"/>
        <v>155410</v>
      </c>
      <c r="AM267" s="7">
        <f t="shared" si="42"/>
        <v>1153706</v>
      </c>
      <c r="AP267" s="7" t="str">
        <f t="shared" si="38"/>
        <v>Kelleys Island Local SD</v>
      </c>
      <c r="AQ267" s="7" t="str">
        <f>'Gen Fd BS'!A267</f>
        <v>Kelleys Island Local SD</v>
      </c>
      <c r="AR267" s="7" t="b">
        <f t="shared" si="39"/>
        <v>1</v>
      </c>
      <c r="AT267" s="7" t="str">
        <f t="shared" si="35"/>
        <v>Erie</v>
      </c>
      <c r="AU267" s="7" t="b">
        <f>C267='Gen Fd BS'!C267</f>
        <v>1</v>
      </c>
    </row>
    <row r="268" spans="1:47">
      <c r="A268" s="12" t="s">
        <v>321</v>
      </c>
      <c r="B268" s="12"/>
      <c r="C268" s="12" t="s">
        <v>30</v>
      </c>
      <c r="D268" s="12"/>
      <c r="E268" s="12">
        <v>47191</v>
      </c>
      <c r="G268" s="7">
        <v>24186020</v>
      </c>
      <c r="I268" s="7">
        <v>0</v>
      </c>
      <c r="K268" s="7">
        <v>10574227</v>
      </c>
      <c r="M268" s="7">
        <v>56228</v>
      </c>
      <c r="O268" s="7">
        <v>161709</v>
      </c>
      <c r="Q268" s="7">
        <v>379635</v>
      </c>
      <c r="S268" s="7">
        <v>0</v>
      </c>
      <c r="U268" s="7">
        <v>0</v>
      </c>
      <c r="W268" s="7">
        <v>123813</v>
      </c>
      <c r="Y268" s="2">
        <f t="shared" si="40"/>
        <v>35481632</v>
      </c>
      <c r="AA268" s="7">
        <v>0</v>
      </c>
      <c r="AC268" s="7">
        <v>0</v>
      </c>
      <c r="AE268" s="7">
        <v>0</v>
      </c>
      <c r="AG268" s="7">
        <f>10000+47</f>
        <v>10047</v>
      </c>
      <c r="AI268" s="7">
        <v>0</v>
      </c>
      <c r="AK268" s="7">
        <f t="shared" si="41"/>
        <v>10047</v>
      </c>
      <c r="AM268" s="7">
        <f t="shared" si="42"/>
        <v>35491679</v>
      </c>
      <c r="AP268" s="7" t="str">
        <f t="shared" si="38"/>
        <v>Kenston Local SD</v>
      </c>
      <c r="AQ268" s="7" t="str">
        <f>'Gen Fd BS'!A268</f>
        <v>Kenston Local SD</v>
      </c>
      <c r="AR268" s="7" t="b">
        <f t="shared" si="39"/>
        <v>1</v>
      </c>
      <c r="AT268" s="7" t="str">
        <f t="shared" ref="AT268:AT332" si="43">C268</f>
        <v>Geauga</v>
      </c>
      <c r="AU268" s="7" t="b">
        <f>C268='Gen Fd BS'!C268</f>
        <v>1</v>
      </c>
    </row>
    <row r="269" spans="1:47">
      <c r="A269" s="12" t="s">
        <v>476</v>
      </c>
      <c r="B269" s="12"/>
      <c r="C269" s="12" t="s">
        <v>56</v>
      </c>
      <c r="D269" s="12"/>
      <c r="E269" s="12">
        <v>44164</v>
      </c>
      <c r="G269" s="7">
        <v>18492597</v>
      </c>
      <c r="I269" s="7">
        <v>0</v>
      </c>
      <c r="K269" s="7">
        <v>17702403</v>
      </c>
      <c r="M269" s="7">
        <v>31616</v>
      </c>
      <c r="O269" s="7">
        <f>3150334+107185+178014</f>
        <v>3435533</v>
      </c>
      <c r="Q269" s="7">
        <v>59301</v>
      </c>
      <c r="S269" s="7">
        <v>0</v>
      </c>
      <c r="U269" s="7">
        <v>39546</v>
      </c>
      <c r="W269" s="7">
        <v>96615</v>
      </c>
      <c r="Y269" s="2">
        <f t="shared" si="40"/>
        <v>39857611</v>
      </c>
      <c r="AA269" s="7">
        <v>0</v>
      </c>
      <c r="AC269" s="7">
        <v>0</v>
      </c>
      <c r="AE269" s="7">
        <v>0</v>
      </c>
      <c r="AG269" s="7">
        <v>0</v>
      </c>
      <c r="AI269" s="7">
        <v>0</v>
      </c>
      <c r="AK269" s="7">
        <f t="shared" si="41"/>
        <v>0</v>
      </c>
      <c r="AM269" s="7">
        <f t="shared" ref="AM269:AM285" si="44">+AK269+Y269</f>
        <v>39857611</v>
      </c>
      <c r="AP269" s="7" t="str">
        <f t="shared" ref="AP269:AP334" si="45">A269</f>
        <v>Kent City SD</v>
      </c>
      <c r="AQ269" s="7" t="str">
        <f>'Gen Fd BS'!A269</f>
        <v>Kent City SD</v>
      </c>
      <c r="AR269" s="7" t="b">
        <f t="shared" ref="AR269:AR334" si="46">AP269=AQ269</f>
        <v>1</v>
      </c>
      <c r="AT269" s="7" t="str">
        <f t="shared" si="43"/>
        <v>Portage</v>
      </c>
      <c r="AU269" s="7" t="b">
        <f>C269='Gen Fd BS'!C269</f>
        <v>1</v>
      </c>
    </row>
    <row r="270" spans="1:47">
      <c r="A270" s="12" t="s">
        <v>350</v>
      </c>
      <c r="B270" s="12"/>
      <c r="C270" s="12" t="s">
        <v>348</v>
      </c>
      <c r="D270" s="12"/>
      <c r="E270" s="12">
        <v>44172</v>
      </c>
      <c r="G270" s="7">
        <v>3490258</v>
      </c>
      <c r="I270" s="7">
        <v>1921556</v>
      </c>
      <c r="K270" s="7">
        <v>9790386</v>
      </c>
      <c r="M270" s="7">
        <v>8356</v>
      </c>
      <c r="O270" s="7">
        <v>757858</v>
      </c>
      <c r="Q270" s="7">
        <v>0</v>
      </c>
      <c r="S270" s="7">
        <v>0</v>
      </c>
      <c r="U270" s="7">
        <v>0</v>
      </c>
      <c r="W270" s="7">
        <v>201468</v>
      </c>
      <c r="Y270" s="2">
        <f t="shared" si="40"/>
        <v>16169882</v>
      </c>
      <c r="AA270" s="7">
        <v>0</v>
      </c>
      <c r="AC270" s="7">
        <v>0</v>
      </c>
      <c r="AE270" s="7">
        <v>0</v>
      </c>
      <c r="AG270" s="7">
        <v>319</v>
      </c>
      <c r="AI270" s="7">
        <v>0</v>
      </c>
      <c r="AK270" s="7">
        <f t="shared" si="41"/>
        <v>319</v>
      </c>
      <c r="AM270" s="7">
        <f t="shared" si="44"/>
        <v>16170201</v>
      </c>
      <c r="AP270" s="7" t="str">
        <f t="shared" si="45"/>
        <v>Kenton City SD</v>
      </c>
      <c r="AQ270" s="7" t="str">
        <f>'Gen Fd BS'!A270</f>
        <v>Kenton City SD</v>
      </c>
      <c r="AR270" s="7" t="b">
        <f t="shared" si="46"/>
        <v>1</v>
      </c>
      <c r="AT270" s="7" t="str">
        <f t="shared" si="43"/>
        <v>Hardin</v>
      </c>
      <c r="AU270" s="7" t="b">
        <f>C270='Gen Fd BS'!C270</f>
        <v>1</v>
      </c>
    </row>
    <row r="271" spans="1:47" s="32" customFormat="1">
      <c r="A271" s="31" t="s">
        <v>444</v>
      </c>
      <c r="B271" s="31"/>
      <c r="C271" s="31" t="s">
        <v>50</v>
      </c>
      <c r="D271" s="31"/>
      <c r="E271" s="31">
        <v>44180</v>
      </c>
      <c r="G271" s="32">
        <v>53859786</v>
      </c>
      <c r="I271" s="32">
        <v>0</v>
      </c>
      <c r="K271" s="32">
        <v>26565957</v>
      </c>
      <c r="M271" s="32">
        <v>64159</v>
      </c>
      <c r="O271" s="32">
        <f>327383+36955+179143</f>
        <v>543481</v>
      </c>
      <c r="Q271" s="32">
        <v>283492</v>
      </c>
      <c r="S271" s="32">
        <v>0</v>
      </c>
      <c r="U271" s="32">
        <v>0</v>
      </c>
      <c r="W271" s="32">
        <v>1170453</v>
      </c>
      <c r="Y271" s="34">
        <f t="shared" si="40"/>
        <v>82487328</v>
      </c>
      <c r="AA271" s="32">
        <v>0</v>
      </c>
      <c r="AC271" s="32">
        <v>0</v>
      </c>
      <c r="AE271" s="32">
        <v>0</v>
      </c>
      <c r="AG271" s="32">
        <v>0</v>
      </c>
      <c r="AI271" s="32">
        <v>0</v>
      </c>
      <c r="AK271" s="32">
        <f t="shared" si="41"/>
        <v>0</v>
      </c>
      <c r="AM271" s="32">
        <f t="shared" si="44"/>
        <v>82487328</v>
      </c>
      <c r="AP271" s="32" t="str">
        <f t="shared" si="45"/>
        <v>Kettering City SD</v>
      </c>
      <c r="AQ271" s="32" t="str">
        <f>'Gen Fd BS'!A271</f>
        <v>Kettering City SD</v>
      </c>
      <c r="AR271" s="32" t="b">
        <f t="shared" si="46"/>
        <v>1</v>
      </c>
      <c r="AT271" s="32" t="str">
        <f t="shared" si="43"/>
        <v>Montgomery</v>
      </c>
      <c r="AU271" s="32" t="b">
        <f>C271='Gen Fd BS'!C271</f>
        <v>1</v>
      </c>
    </row>
    <row r="272" spans="1:47">
      <c r="A272" s="12" t="s">
        <v>666</v>
      </c>
      <c r="B272" s="12"/>
      <c r="C272" s="12" t="s">
        <v>44</v>
      </c>
      <c r="D272" s="12"/>
      <c r="E272" s="12">
        <v>48165</v>
      </c>
      <c r="G272" s="7">
        <v>5311279</v>
      </c>
      <c r="I272" s="7">
        <v>0</v>
      </c>
      <c r="K272" s="7">
        <f>7332186+48592</f>
        <v>7380778</v>
      </c>
      <c r="M272" s="7">
        <v>25930</v>
      </c>
      <c r="O272" s="7">
        <f>603722+62951+5826+7888</f>
        <v>680387</v>
      </c>
      <c r="Q272" s="7">
        <v>8179</v>
      </c>
      <c r="S272" s="7">
        <v>0</v>
      </c>
      <c r="U272" s="7">
        <v>100</v>
      </c>
      <c r="W272" s="7">
        <v>336453</v>
      </c>
      <c r="Y272" s="2">
        <f t="shared" si="40"/>
        <v>13743106</v>
      </c>
      <c r="AA272" s="7">
        <v>0</v>
      </c>
      <c r="AC272" s="7">
        <v>0</v>
      </c>
      <c r="AE272" s="7">
        <v>372368</v>
      </c>
      <c r="AG272" s="7">
        <v>0</v>
      </c>
      <c r="AI272" s="7">
        <v>0</v>
      </c>
      <c r="AK272" s="7">
        <f t="shared" si="41"/>
        <v>372368</v>
      </c>
      <c r="AM272" s="7">
        <f t="shared" si="44"/>
        <v>14115474</v>
      </c>
      <c r="AP272" s="7" t="str">
        <f t="shared" si="45"/>
        <v xml:space="preserve">Keystone Local SD </v>
      </c>
      <c r="AQ272" s="7" t="str">
        <f>'Gen Fd BS'!A272</f>
        <v xml:space="preserve">Keystone Local SD </v>
      </c>
      <c r="AR272" s="7" t="b">
        <f t="shared" si="46"/>
        <v>1</v>
      </c>
      <c r="AT272" s="7" t="str">
        <f t="shared" si="43"/>
        <v>Lorain</v>
      </c>
      <c r="AU272" s="7" t="b">
        <f>C272='Gen Fd BS'!C272</f>
        <v>1</v>
      </c>
    </row>
    <row r="273" spans="1:47">
      <c r="A273" s="12" t="s">
        <v>761</v>
      </c>
      <c r="B273" s="12"/>
      <c r="C273" s="12" t="s">
        <v>69</v>
      </c>
      <c r="D273" s="12"/>
      <c r="E273" s="12">
        <v>50435</v>
      </c>
      <c r="G273" s="7">
        <v>22580483</v>
      </c>
      <c r="I273" s="7">
        <v>0</v>
      </c>
      <c r="K273" s="7">
        <v>13280031</v>
      </c>
      <c r="M273" s="7">
        <v>12400</v>
      </c>
      <c r="O273" s="7">
        <f>631865+128207+18584</f>
        <v>778656</v>
      </c>
      <c r="Q273" s="7">
        <v>16250</v>
      </c>
      <c r="S273" s="7">
        <v>1914186</v>
      </c>
      <c r="U273" s="7">
        <v>42239</v>
      </c>
      <c r="W273" s="7">
        <v>346844</v>
      </c>
      <c r="Y273" s="2">
        <f t="shared" si="40"/>
        <v>38971089</v>
      </c>
      <c r="AA273" s="7">
        <v>0</v>
      </c>
      <c r="AC273" s="7">
        <v>0</v>
      </c>
      <c r="AE273" s="7">
        <v>0</v>
      </c>
      <c r="AG273" s="7">
        <v>0</v>
      </c>
      <c r="AI273" s="7">
        <v>0</v>
      </c>
      <c r="AK273" s="7">
        <f t="shared" si="41"/>
        <v>0</v>
      </c>
      <c r="AM273" s="7">
        <f t="shared" si="44"/>
        <v>38971089</v>
      </c>
      <c r="AO273" s="14"/>
      <c r="AP273" s="7" t="str">
        <f t="shared" si="45"/>
        <v xml:space="preserve">Kings Local SD  </v>
      </c>
      <c r="AQ273" s="7" t="str">
        <f>'Gen Fd BS'!A273</f>
        <v xml:space="preserve">Kings Local SD  </v>
      </c>
      <c r="AR273" s="7" t="b">
        <f t="shared" si="46"/>
        <v>1</v>
      </c>
      <c r="AT273" s="7" t="str">
        <f t="shared" si="43"/>
        <v>Warren</v>
      </c>
      <c r="AU273" s="7" t="b">
        <f>C273='Gen Fd BS'!C273</f>
        <v>1</v>
      </c>
    </row>
    <row r="274" spans="1:47" s="10" customFormat="1" hidden="1">
      <c r="A274" s="93" t="s">
        <v>729</v>
      </c>
      <c r="B274" s="93"/>
      <c r="C274" s="93" t="s">
        <v>41</v>
      </c>
      <c r="D274" s="93"/>
      <c r="E274" s="93">
        <v>47878</v>
      </c>
      <c r="Y274" s="2">
        <f t="shared" si="40"/>
        <v>0</v>
      </c>
      <c r="AC274" s="7">
        <v>0</v>
      </c>
      <c r="AI274" s="7">
        <v>0</v>
      </c>
      <c r="AK274" s="10">
        <f t="shared" si="41"/>
        <v>0</v>
      </c>
      <c r="AM274" s="10">
        <f t="shared" si="44"/>
        <v>0</v>
      </c>
      <c r="AO274" s="7" t="s">
        <v>911</v>
      </c>
      <c r="AP274" s="10" t="str">
        <f t="shared" si="45"/>
        <v>Kirtland Local SD (CASH)</v>
      </c>
      <c r="AQ274" s="10" t="str">
        <f>'Gen Fd BS'!A274</f>
        <v>Kirtland Local SD (CASH)</v>
      </c>
      <c r="AR274" s="10" t="b">
        <f t="shared" si="46"/>
        <v>1</v>
      </c>
      <c r="AT274" s="10" t="str">
        <f t="shared" si="43"/>
        <v>Lake</v>
      </c>
      <c r="AU274" s="10" t="b">
        <f>C274='Gen Fd BS'!C274</f>
        <v>1</v>
      </c>
    </row>
    <row r="275" spans="1:47">
      <c r="A275" s="12" t="s">
        <v>540</v>
      </c>
      <c r="B275" s="12"/>
      <c r="C275" s="12" t="s">
        <v>64</v>
      </c>
      <c r="D275" s="12"/>
      <c r="E275" s="12">
        <v>50245</v>
      </c>
      <c r="G275" s="7">
        <v>2399122</v>
      </c>
      <c r="I275" s="7">
        <v>0</v>
      </c>
      <c r="K275" s="7">
        <v>8160950</v>
      </c>
      <c r="M275" s="7">
        <v>13756</v>
      </c>
      <c r="O275" s="7">
        <f>1212643+29941+50215+4000</f>
        <v>1296799</v>
      </c>
      <c r="Q275" s="7">
        <v>90472</v>
      </c>
      <c r="S275" s="7">
        <v>0</v>
      </c>
      <c r="U275" s="7">
        <v>13302</v>
      </c>
      <c r="W275" s="7">
        <v>67648</v>
      </c>
      <c r="Y275" s="2">
        <f t="shared" si="40"/>
        <v>12042049</v>
      </c>
      <c r="AA275" s="7">
        <v>0</v>
      </c>
      <c r="AC275" s="7">
        <v>0</v>
      </c>
      <c r="AE275" s="7">
        <v>0</v>
      </c>
      <c r="AG275" s="7">
        <v>0</v>
      </c>
      <c r="AI275" s="7">
        <v>0</v>
      </c>
      <c r="AK275" s="7">
        <f t="shared" si="41"/>
        <v>0</v>
      </c>
      <c r="AM275" s="7">
        <f t="shared" si="44"/>
        <v>12042049</v>
      </c>
      <c r="AP275" s="7" t="str">
        <f t="shared" si="45"/>
        <v>LaBrae Local SD</v>
      </c>
      <c r="AQ275" s="7" t="str">
        <f>'Gen Fd BS'!A275</f>
        <v>LaBrae Local SD</v>
      </c>
      <c r="AR275" s="7" t="b">
        <f t="shared" si="46"/>
        <v>1</v>
      </c>
      <c r="AT275" s="7" t="str">
        <f t="shared" si="43"/>
        <v>Trumbull</v>
      </c>
      <c r="AU275" s="7" t="b">
        <f>C275='Gen Fd BS'!C275</f>
        <v>1</v>
      </c>
    </row>
    <row r="276" spans="1:47">
      <c r="A276" s="12" t="s">
        <v>513</v>
      </c>
      <c r="B276" s="12"/>
      <c r="C276" s="12" t="s">
        <v>62</v>
      </c>
      <c r="D276" s="12"/>
      <c r="E276" s="12">
        <v>49866</v>
      </c>
      <c r="G276" s="7">
        <v>13751630</v>
      </c>
      <c r="I276" s="7">
        <v>0</v>
      </c>
      <c r="K276" s="7">
        <v>15770377</v>
      </c>
      <c r="M276" s="7">
        <v>10322</v>
      </c>
      <c r="O276" s="7">
        <f>209580+140488</f>
        <v>350068</v>
      </c>
      <c r="Q276" s="7">
        <v>156373</v>
      </c>
      <c r="S276" s="7">
        <v>0</v>
      </c>
      <c r="U276" s="7">
        <v>0</v>
      </c>
      <c r="W276" s="7">
        <v>16727</v>
      </c>
      <c r="Y276" s="2">
        <f t="shared" si="40"/>
        <v>30055497</v>
      </c>
      <c r="AA276" s="7">
        <v>0</v>
      </c>
      <c r="AC276" s="7">
        <v>0</v>
      </c>
      <c r="AE276" s="7">
        <v>0</v>
      </c>
      <c r="AG276" s="7">
        <v>21350</v>
      </c>
      <c r="AI276" s="7">
        <v>0</v>
      </c>
      <c r="AK276" s="7">
        <f t="shared" si="41"/>
        <v>21350</v>
      </c>
      <c r="AM276" s="7">
        <f t="shared" si="44"/>
        <v>30076847</v>
      </c>
      <c r="AP276" s="7" t="str">
        <f t="shared" si="45"/>
        <v>Lake Local SD</v>
      </c>
      <c r="AQ276" s="7" t="str">
        <f>'Gen Fd BS'!A276</f>
        <v>Lake Local SD</v>
      </c>
      <c r="AR276" s="7" t="b">
        <f t="shared" si="46"/>
        <v>1</v>
      </c>
      <c r="AT276" s="7" t="str">
        <f t="shared" si="43"/>
        <v>Stark</v>
      </c>
      <c r="AU276" s="7" t="b">
        <f>C276='Gen Fd BS'!C276</f>
        <v>1</v>
      </c>
    </row>
    <row r="277" spans="1:47" hidden="1">
      <c r="A277" s="12" t="s">
        <v>913</v>
      </c>
      <c r="B277" s="12"/>
      <c r="C277" s="12" t="s">
        <v>72</v>
      </c>
      <c r="D277" s="12"/>
      <c r="E277" s="12">
        <v>50690</v>
      </c>
      <c r="Y277" s="2">
        <f t="shared" si="40"/>
        <v>0</v>
      </c>
      <c r="AC277" s="7">
        <v>0</v>
      </c>
      <c r="AI277" s="7">
        <v>0</v>
      </c>
      <c r="AK277" s="7">
        <f t="shared" si="41"/>
        <v>0</v>
      </c>
      <c r="AM277" s="7">
        <f t="shared" si="44"/>
        <v>0</v>
      </c>
      <c r="AO277" s="7" t="s">
        <v>912</v>
      </c>
      <c r="AP277" s="7" t="str">
        <f t="shared" si="45"/>
        <v>Lake Local SD (CASH)</v>
      </c>
      <c r="AQ277" s="7" t="str">
        <f>'Gen Fd BS'!A277</f>
        <v>Lake Local SD (CASH)</v>
      </c>
      <c r="AR277" s="7" t="b">
        <f t="shared" si="46"/>
        <v>1</v>
      </c>
      <c r="AT277" s="7" t="str">
        <f t="shared" si="43"/>
        <v>Wood</v>
      </c>
      <c r="AU277" s="7" t="b">
        <f>C277='Gen Fd BS'!C277</f>
        <v>1</v>
      </c>
    </row>
    <row r="278" spans="1:47">
      <c r="A278" s="12" t="s">
        <v>541</v>
      </c>
      <c r="B278" s="12"/>
      <c r="C278" s="12" t="s">
        <v>64</v>
      </c>
      <c r="D278" s="12"/>
      <c r="E278" s="12">
        <v>50187</v>
      </c>
      <c r="G278" s="7">
        <v>5820354</v>
      </c>
      <c r="I278" s="7">
        <v>0</v>
      </c>
      <c r="K278" s="7">
        <v>7914585</v>
      </c>
      <c r="M278" s="7">
        <v>10638</v>
      </c>
      <c r="O278" s="7">
        <f>680042+8106</f>
        <v>688148</v>
      </c>
      <c r="Q278" s="7">
        <v>45385</v>
      </c>
      <c r="S278" s="7">
        <v>0</v>
      </c>
      <c r="U278" s="7">
        <v>11789</v>
      </c>
      <c r="W278" s="7">
        <v>21004</v>
      </c>
      <c r="Y278" s="2">
        <f t="shared" si="40"/>
        <v>14511903</v>
      </c>
      <c r="AA278" s="7">
        <v>0</v>
      </c>
      <c r="AC278" s="7">
        <v>0</v>
      </c>
      <c r="AE278" s="7">
        <v>0</v>
      </c>
      <c r="AG278" s="7">
        <v>0</v>
      </c>
      <c r="AI278" s="7">
        <v>0</v>
      </c>
      <c r="AK278" s="7">
        <f t="shared" si="41"/>
        <v>0</v>
      </c>
      <c r="AM278" s="7">
        <f t="shared" si="44"/>
        <v>14511903</v>
      </c>
      <c r="AP278" s="7" t="str">
        <f t="shared" si="45"/>
        <v>Lakeview Local SD</v>
      </c>
      <c r="AQ278" s="7" t="str">
        <f>'Gen Fd BS'!A278</f>
        <v>Lakeview Local SD</v>
      </c>
      <c r="AR278" s="7" t="b">
        <f t="shared" si="46"/>
        <v>1</v>
      </c>
      <c r="AT278" s="7" t="str">
        <f t="shared" si="43"/>
        <v>Trumbull</v>
      </c>
      <c r="AU278" s="7" t="b">
        <f>C278='Gen Fd BS'!C278</f>
        <v>1</v>
      </c>
    </row>
    <row r="279" spans="1:47">
      <c r="A279" s="12" t="s">
        <v>276</v>
      </c>
      <c r="B279" s="12"/>
      <c r="C279" s="12" t="s">
        <v>20</v>
      </c>
      <c r="D279" s="12"/>
      <c r="E279" s="12">
        <v>44198</v>
      </c>
      <c r="G279" s="7">
        <v>37585043</v>
      </c>
      <c r="I279" s="7">
        <v>0</v>
      </c>
      <c r="K279" s="7">
        <f>24979974+293468</f>
        <v>25273442</v>
      </c>
      <c r="M279" s="7">
        <v>169073</v>
      </c>
      <c r="O279" s="7">
        <f>2299013+117092+280406+1030527</f>
        <v>3727038</v>
      </c>
      <c r="Q279" s="7">
        <v>524240</v>
      </c>
      <c r="S279" s="7">
        <v>67210</v>
      </c>
      <c r="U279" s="7">
        <v>1915</v>
      </c>
      <c r="W279" s="7">
        <v>88637</v>
      </c>
      <c r="Y279" s="2">
        <f t="shared" si="40"/>
        <v>67436598</v>
      </c>
      <c r="AA279" s="7">
        <v>0</v>
      </c>
      <c r="AC279" s="7">
        <v>0</v>
      </c>
      <c r="AE279" s="7">
        <v>0</v>
      </c>
      <c r="AG279" s="7">
        <v>0</v>
      </c>
      <c r="AI279" s="7">
        <v>0</v>
      </c>
      <c r="AK279" s="7">
        <f t="shared" si="41"/>
        <v>0</v>
      </c>
      <c r="AM279" s="7">
        <f t="shared" si="44"/>
        <v>67436598</v>
      </c>
      <c r="AO279" s="7" t="s">
        <v>914</v>
      </c>
      <c r="AP279" s="7" t="str">
        <f t="shared" si="45"/>
        <v>Lakewood City SD</v>
      </c>
      <c r="AQ279" s="7" t="str">
        <f>'Gen Fd BS'!A279</f>
        <v>Lakewood City SD</v>
      </c>
      <c r="AR279" s="7" t="b">
        <f t="shared" si="46"/>
        <v>1</v>
      </c>
      <c r="AT279" s="7" t="str">
        <f t="shared" si="43"/>
        <v>Cuyahoga</v>
      </c>
      <c r="AU279" s="7" t="b">
        <f>C279='Gen Fd BS'!C279</f>
        <v>1</v>
      </c>
    </row>
    <row r="280" spans="1:47">
      <c r="A280" s="12" t="s">
        <v>657</v>
      </c>
      <c r="B280" s="12"/>
      <c r="C280" s="12" t="s">
        <v>42</v>
      </c>
      <c r="D280" s="12"/>
      <c r="E280" s="12">
        <v>47993</v>
      </c>
      <c r="G280" s="7">
        <v>9928777</v>
      </c>
      <c r="I280" s="7">
        <v>0</v>
      </c>
      <c r="K280" s="7">
        <f>8564940+69181</f>
        <v>8634121</v>
      </c>
      <c r="M280" s="7">
        <v>36866</v>
      </c>
      <c r="O280" s="7">
        <f>337206+46764</f>
        <v>383970</v>
      </c>
      <c r="Q280" s="7">
        <v>0</v>
      </c>
      <c r="S280" s="7">
        <v>0</v>
      </c>
      <c r="U280" s="7">
        <v>0</v>
      </c>
      <c r="W280" s="7">
        <v>156143</v>
      </c>
      <c r="Y280" s="2">
        <f t="shared" si="40"/>
        <v>19139877</v>
      </c>
      <c r="AA280" s="7">
        <v>0</v>
      </c>
      <c r="AC280" s="7">
        <v>0</v>
      </c>
      <c r="AE280" s="7">
        <v>58218</v>
      </c>
      <c r="AG280" s="7">
        <v>19614</v>
      </c>
      <c r="AI280" s="7">
        <v>0</v>
      </c>
      <c r="AK280" s="7">
        <f t="shared" si="41"/>
        <v>77832</v>
      </c>
      <c r="AM280" s="7">
        <f t="shared" si="44"/>
        <v>19217709</v>
      </c>
      <c r="AP280" s="7" t="str">
        <f t="shared" si="45"/>
        <v>Lakewood Local  SD</v>
      </c>
      <c r="AQ280" s="7" t="str">
        <f>'Gen Fd BS'!A280</f>
        <v>Lakewood Local  SD</v>
      </c>
      <c r="AR280" s="7" t="b">
        <f t="shared" si="46"/>
        <v>1</v>
      </c>
      <c r="AT280" s="7" t="str">
        <f t="shared" si="43"/>
        <v>Licking</v>
      </c>
      <c r="AU280" s="7" t="b">
        <f>C280='Gen Fd BS'!C280</f>
        <v>1</v>
      </c>
    </row>
    <row r="281" spans="1:47">
      <c r="A281" s="12" t="s">
        <v>226</v>
      </c>
      <c r="B281" s="12"/>
      <c r="C281" s="12" t="s">
        <v>223</v>
      </c>
      <c r="D281" s="12"/>
      <c r="E281" s="12">
        <v>46110</v>
      </c>
      <c r="F281" s="10"/>
      <c r="G281" s="7">
        <v>69841467</v>
      </c>
      <c r="I281" s="7">
        <v>0</v>
      </c>
      <c r="K281" s="7">
        <v>59705843</v>
      </c>
      <c r="M281" s="7">
        <v>92094</v>
      </c>
      <c r="O281" s="7">
        <f>865429+945043</f>
        <v>1810472</v>
      </c>
      <c r="Q281" s="7">
        <v>729251</v>
      </c>
      <c r="S281" s="7">
        <v>9382046</v>
      </c>
      <c r="U281" s="7">
        <v>0</v>
      </c>
      <c r="W281" s="7">
        <v>864075</v>
      </c>
      <c r="Y281" s="2">
        <f t="shared" si="40"/>
        <v>142425248</v>
      </c>
      <c r="AA281" s="7">
        <v>0</v>
      </c>
      <c r="AC281" s="7">
        <v>0</v>
      </c>
      <c r="AE281" s="7">
        <v>0</v>
      </c>
      <c r="AG281" s="7">
        <v>198120</v>
      </c>
      <c r="AI281" s="7">
        <v>0</v>
      </c>
      <c r="AK281" s="7">
        <f t="shared" si="41"/>
        <v>198120</v>
      </c>
      <c r="AM281" s="7">
        <f t="shared" si="44"/>
        <v>142623368</v>
      </c>
      <c r="AP281" s="7" t="str">
        <f t="shared" si="45"/>
        <v>Lakota Local SD</v>
      </c>
      <c r="AQ281" s="7" t="str">
        <f>'Gen Fd BS'!A281</f>
        <v>Lakota Local SD</v>
      </c>
      <c r="AR281" s="7" t="b">
        <f t="shared" si="46"/>
        <v>1</v>
      </c>
      <c r="AT281" s="7" t="str">
        <f t="shared" si="43"/>
        <v>Butler</v>
      </c>
      <c r="AU281" s="7" t="b">
        <f>C281='Gen Fd BS'!C281</f>
        <v>1</v>
      </c>
    </row>
    <row r="282" spans="1:47" hidden="1">
      <c r="A282" s="12" t="s">
        <v>915</v>
      </c>
      <c r="B282" s="12"/>
      <c r="C282" s="12" t="s">
        <v>79</v>
      </c>
      <c r="D282" s="12"/>
      <c r="E282" s="12">
        <v>49569</v>
      </c>
      <c r="Y282" s="2">
        <f t="shared" si="40"/>
        <v>0</v>
      </c>
      <c r="AC282" s="7">
        <v>0</v>
      </c>
      <c r="AI282" s="7">
        <v>0</v>
      </c>
      <c r="AK282" s="7">
        <f t="shared" si="41"/>
        <v>0</v>
      </c>
      <c r="AM282" s="7">
        <f t="shared" si="44"/>
        <v>0</v>
      </c>
      <c r="AO282" s="7" t="s">
        <v>903</v>
      </c>
      <c r="AP282" s="7" t="str">
        <f t="shared" si="45"/>
        <v>Lakota Local SD (CASH)</v>
      </c>
      <c r="AQ282" s="7" t="str">
        <f>'Gen Fd BS'!A282</f>
        <v>Lakota Local SD (CASH)</v>
      </c>
      <c r="AR282" s="7" t="b">
        <f t="shared" si="46"/>
        <v>1</v>
      </c>
      <c r="AT282" s="7" t="str">
        <f t="shared" si="43"/>
        <v>Sandusky</v>
      </c>
      <c r="AU282" s="7" t="b">
        <f>C282='Gen Fd BS'!C282</f>
        <v>1</v>
      </c>
    </row>
    <row r="283" spans="1:47">
      <c r="A283" s="12" t="s">
        <v>301</v>
      </c>
      <c r="B283" s="12"/>
      <c r="C283" s="12" t="s">
        <v>25</v>
      </c>
      <c r="D283" s="12"/>
      <c r="E283" s="12">
        <v>44206</v>
      </c>
      <c r="G283" s="7">
        <v>19451956</v>
      </c>
      <c r="I283" s="7">
        <v>9992256</v>
      </c>
      <c r="K283" s="7">
        <v>24970385</v>
      </c>
      <c r="M283" s="7">
        <v>189852</v>
      </c>
      <c r="O283" s="7">
        <f>1018673+126770</f>
        <v>1145443</v>
      </c>
      <c r="Q283" s="7">
        <v>230366</v>
      </c>
      <c r="S283" s="7">
        <v>104608</v>
      </c>
      <c r="U283" s="7">
        <v>8734</v>
      </c>
      <c r="W283" s="7">
        <v>155477</v>
      </c>
      <c r="Y283" s="2">
        <f t="shared" si="40"/>
        <v>56249077</v>
      </c>
      <c r="AA283" s="7">
        <v>0</v>
      </c>
      <c r="AC283" s="7">
        <v>0</v>
      </c>
      <c r="AE283" s="7">
        <v>0</v>
      </c>
      <c r="AG283" s="7">
        <v>11898</v>
      </c>
      <c r="AI283" s="7">
        <v>0</v>
      </c>
      <c r="AK283" s="7">
        <f t="shared" si="41"/>
        <v>11898</v>
      </c>
      <c r="AM283" s="7">
        <f t="shared" si="44"/>
        <v>56260975</v>
      </c>
      <c r="AP283" s="7" t="str">
        <f t="shared" si="45"/>
        <v>Lancaster City SD</v>
      </c>
      <c r="AQ283" s="7" t="str">
        <f>'Gen Fd BS'!A283</f>
        <v>Lancaster City SD</v>
      </c>
      <c r="AR283" s="7" t="b">
        <f t="shared" si="46"/>
        <v>1</v>
      </c>
      <c r="AT283" s="7" t="str">
        <f t="shared" si="43"/>
        <v>Fairfield</v>
      </c>
      <c r="AU283" s="7" t="b">
        <f>C283='Gen Fd BS'!C283</f>
        <v>1</v>
      </c>
    </row>
    <row r="284" spans="1:47" hidden="1">
      <c r="A284" s="12" t="s">
        <v>771</v>
      </c>
      <c r="B284" s="12"/>
      <c r="C284" s="12" t="s">
        <v>69</v>
      </c>
      <c r="D284" s="12"/>
      <c r="E284" s="12">
        <v>44214</v>
      </c>
      <c r="Y284" s="2">
        <f>SUM(G284:X284)</f>
        <v>0</v>
      </c>
      <c r="AC284" s="7">
        <v>0</v>
      </c>
      <c r="AI284" s="7">
        <v>0</v>
      </c>
      <c r="AK284" s="7">
        <f>SUM(AA284:AJ284)</f>
        <v>0</v>
      </c>
      <c r="AM284" s="7">
        <f t="shared" si="44"/>
        <v>0</v>
      </c>
      <c r="AO284" s="7" t="s">
        <v>839</v>
      </c>
      <c r="AP284" s="7" t="str">
        <f t="shared" si="45"/>
        <v xml:space="preserve">Lebanon City SD (CASH) </v>
      </c>
      <c r="AQ284" s="7" t="str">
        <f>'Gen Fd BS'!A284</f>
        <v xml:space="preserve">Lebanon City SD (CASH) </v>
      </c>
      <c r="AR284" s="7" t="b">
        <f t="shared" si="46"/>
        <v>1</v>
      </c>
      <c r="AT284" s="7" t="str">
        <f t="shared" si="43"/>
        <v>Warren</v>
      </c>
      <c r="AU284" s="7" t="b">
        <f>C284='Gen Fd BS'!C284</f>
        <v>1</v>
      </c>
    </row>
    <row r="285" spans="1:47">
      <c r="A285" s="12" t="s">
        <v>322</v>
      </c>
      <c r="B285" s="12"/>
      <c r="C285" s="12" t="s">
        <v>30</v>
      </c>
      <c r="D285" s="12"/>
      <c r="E285" s="12">
        <v>47209</v>
      </c>
      <c r="G285" s="7">
        <v>1955625</v>
      </c>
      <c r="I285" s="7">
        <v>220984</v>
      </c>
      <c r="K285" s="7">
        <v>2580700</v>
      </c>
      <c r="M285" s="7">
        <v>1315</v>
      </c>
      <c r="O285" s="7">
        <f>202001+10570</f>
        <v>212571</v>
      </c>
      <c r="Q285" s="7">
        <v>21972</v>
      </c>
      <c r="S285" s="7">
        <v>0</v>
      </c>
      <c r="U285" s="7">
        <v>7726</v>
      </c>
      <c r="W285" s="7">
        <v>7857</v>
      </c>
      <c r="Y285" s="2">
        <f>SUM(G285:X285)</f>
        <v>5008750</v>
      </c>
      <c r="AA285" s="7">
        <v>0</v>
      </c>
      <c r="AC285" s="7">
        <v>0</v>
      </c>
      <c r="AE285" s="7">
        <v>0</v>
      </c>
      <c r="AG285" s="7">
        <v>0</v>
      </c>
      <c r="AI285" s="7">
        <v>0</v>
      </c>
      <c r="AK285" s="7">
        <f>SUM(AA285:AJ285)</f>
        <v>0</v>
      </c>
      <c r="AM285" s="7">
        <f t="shared" si="44"/>
        <v>5008750</v>
      </c>
      <c r="AP285" s="7" t="str">
        <f t="shared" si="45"/>
        <v>Ledgemont Local SD</v>
      </c>
      <c r="AQ285" s="7" t="str">
        <f>'Gen Fd BS'!A285</f>
        <v>Ledgemont Local SD</v>
      </c>
      <c r="AR285" s="7" t="b">
        <f t="shared" si="46"/>
        <v>1</v>
      </c>
      <c r="AT285" s="7" t="str">
        <f t="shared" si="43"/>
        <v>Geauga</v>
      </c>
      <c r="AU285" s="7" t="b">
        <f>C285='Gen Fd BS'!C285</f>
        <v>1</v>
      </c>
    </row>
    <row r="286" spans="1:47" hidden="1">
      <c r="A286" s="12" t="s">
        <v>872</v>
      </c>
      <c r="B286" s="12"/>
      <c r="C286" s="12" t="s">
        <v>112</v>
      </c>
      <c r="D286" s="12"/>
      <c r="E286" s="12"/>
      <c r="Y286" s="2"/>
      <c r="AC286" s="7">
        <v>0</v>
      </c>
      <c r="AI286" s="7">
        <v>0</v>
      </c>
      <c r="AK286" s="7">
        <f>SUM(AA286:AJ286)</f>
        <v>0</v>
      </c>
      <c r="AO286" s="7" t="s">
        <v>917</v>
      </c>
      <c r="AP286" s="7" t="str">
        <f t="shared" ref="AP286" si="47">A286</f>
        <v>Leetonia Exempted Village SD (CASH)</v>
      </c>
      <c r="AQ286" s="7" t="str">
        <f>'Gen Fd BS'!A286</f>
        <v>Leetonia Exempted Village SD (CASH)</v>
      </c>
      <c r="AR286" s="7" t="b">
        <f t="shared" ref="AR286" si="48">AP286=AQ286</f>
        <v>1</v>
      </c>
      <c r="AT286" s="7" t="str">
        <f t="shared" si="43"/>
        <v>Columbiana</v>
      </c>
      <c r="AU286" s="7" t="b">
        <f>C286='Gen Fd BS'!C286</f>
        <v>1</v>
      </c>
    </row>
    <row r="287" spans="1:47" hidden="1">
      <c r="A287" s="12" t="s">
        <v>717</v>
      </c>
      <c r="B287" s="12"/>
      <c r="C287" s="12" t="s">
        <v>482</v>
      </c>
      <c r="D287" s="12"/>
      <c r="E287" s="12">
        <v>49353</v>
      </c>
      <c r="Y287" s="2">
        <f>SUM(G287:X287)</f>
        <v>0</v>
      </c>
      <c r="AC287" s="7">
        <v>0</v>
      </c>
      <c r="AI287" s="7">
        <v>0</v>
      </c>
      <c r="AK287" s="7">
        <f>SUM(AA287:AJ287)</f>
        <v>0</v>
      </c>
      <c r="AM287" s="7">
        <f t="shared" ref="AM287:AM319" si="49">+AK287+Y287</f>
        <v>0</v>
      </c>
      <c r="AO287" s="7" t="s">
        <v>839</v>
      </c>
      <c r="AP287" s="7" t="str">
        <f t="shared" si="45"/>
        <v>Leipsic Local SD (CASH)</v>
      </c>
      <c r="AQ287" s="7" t="str">
        <f>'Gen Fd BS'!A287</f>
        <v>Leipsic Local SD (CASH)</v>
      </c>
      <c r="AR287" s="7" t="b">
        <f t="shared" si="46"/>
        <v>1</v>
      </c>
      <c r="AT287" s="7" t="str">
        <f t="shared" si="43"/>
        <v>Putnam</v>
      </c>
      <c r="AU287" s="7" t="b">
        <f>C287='Gen Fd BS'!C287</f>
        <v>1</v>
      </c>
    </row>
    <row r="288" spans="1:47" hidden="1">
      <c r="A288" s="12" t="s">
        <v>918</v>
      </c>
      <c r="B288" s="12"/>
      <c r="C288" s="12" t="s">
        <v>110</v>
      </c>
      <c r="D288" s="12"/>
      <c r="E288" s="12">
        <v>49437</v>
      </c>
      <c r="Y288" s="2">
        <f t="shared" ref="Y288:Y310" si="50">SUM(G288:X288)</f>
        <v>0</v>
      </c>
      <c r="AC288" s="7">
        <v>0</v>
      </c>
      <c r="AI288" s="7">
        <v>0</v>
      </c>
      <c r="AK288" s="7">
        <f t="shared" ref="AK288:AK310" si="51">SUM(AA288:AJ288)</f>
        <v>0</v>
      </c>
      <c r="AM288" s="7">
        <f t="shared" si="49"/>
        <v>0</v>
      </c>
      <c r="AO288" s="7" t="s">
        <v>912</v>
      </c>
      <c r="AP288" s="7" t="str">
        <f t="shared" si="45"/>
        <v>Lexington Local SD (CASH)</v>
      </c>
      <c r="AQ288" s="7" t="str">
        <f>'Gen Fd BS'!A288</f>
        <v>Lexington Local SD (CASH)</v>
      </c>
      <c r="AR288" s="7" t="b">
        <f t="shared" si="46"/>
        <v>1</v>
      </c>
      <c r="AT288" s="7" t="str">
        <f t="shared" si="43"/>
        <v>Richland</v>
      </c>
      <c r="AU288" s="7" t="b">
        <f>C288='Gen Fd BS'!C288</f>
        <v>1</v>
      </c>
    </row>
    <row r="289" spans="1:47">
      <c r="A289" s="12" t="s">
        <v>920</v>
      </c>
      <c r="B289" s="12"/>
      <c r="C289" s="12" t="s">
        <v>33</v>
      </c>
      <c r="D289" s="12"/>
      <c r="E289" s="12">
        <v>47449</v>
      </c>
      <c r="G289" s="7">
        <v>4094648</v>
      </c>
      <c r="I289" s="7">
        <v>1280244</v>
      </c>
      <c r="K289" s="7">
        <v>5742798</v>
      </c>
      <c r="M289" s="7">
        <v>13042</v>
      </c>
      <c r="O289" s="7">
        <v>853807</v>
      </c>
      <c r="Q289" s="7">
        <v>0</v>
      </c>
      <c r="S289" s="7">
        <v>11622</v>
      </c>
      <c r="U289" s="7">
        <v>3398</v>
      </c>
      <c r="W289" s="7">
        <v>67525</v>
      </c>
      <c r="Y289" s="2">
        <f>SUM(G289:X289)</f>
        <v>12067084</v>
      </c>
      <c r="AA289" s="7">
        <v>0</v>
      </c>
      <c r="AC289" s="7">
        <v>0</v>
      </c>
      <c r="AE289" s="7">
        <v>0</v>
      </c>
      <c r="AG289" s="7">
        <v>0</v>
      </c>
      <c r="AI289" s="7">
        <v>0</v>
      </c>
      <c r="AK289" s="7">
        <f>SUM(AA289:AJ289)</f>
        <v>0</v>
      </c>
      <c r="AM289" s="7">
        <f>+AK289+Y289</f>
        <v>12067084</v>
      </c>
      <c r="AP289" s="7" t="str">
        <f>A289</f>
        <v>Liberty Benton Local SD</v>
      </c>
      <c r="AQ289" s="7" t="str">
        <f>'Gen Fd BS'!A289</f>
        <v>Liberty Benton Local SD</v>
      </c>
      <c r="AR289" s="7" t="b">
        <f>AP289=AQ289</f>
        <v>1</v>
      </c>
      <c r="AT289" s="7" t="str">
        <f>C289</f>
        <v>Hancock</v>
      </c>
      <c r="AU289" s="7" t="b">
        <f>C289='Gen Fd BS'!C289</f>
        <v>1</v>
      </c>
    </row>
    <row r="290" spans="1:47">
      <c r="A290" s="12" t="s">
        <v>355</v>
      </c>
      <c r="B290" s="12"/>
      <c r="C290" s="12" t="s">
        <v>34</v>
      </c>
      <c r="D290" s="12"/>
      <c r="E290" s="12">
        <v>47589</v>
      </c>
      <c r="G290" s="7">
        <v>2341892</v>
      </c>
      <c r="I290" s="7">
        <v>1899127</v>
      </c>
      <c r="K290" s="7">
        <v>5914618</v>
      </c>
      <c r="M290" s="7">
        <v>51231</v>
      </c>
      <c r="O290" s="7">
        <f>1221682+48673</f>
        <v>1270355</v>
      </c>
      <c r="Q290" s="7">
        <v>0</v>
      </c>
      <c r="S290" s="7">
        <v>0</v>
      </c>
      <c r="U290" s="7">
        <v>66396</v>
      </c>
      <c r="W290" s="7">
        <v>3433</v>
      </c>
      <c r="Y290" s="2">
        <f t="shared" si="50"/>
        <v>11547052</v>
      </c>
      <c r="AA290" s="7">
        <v>0</v>
      </c>
      <c r="AC290" s="7">
        <v>0</v>
      </c>
      <c r="AE290" s="7">
        <v>0</v>
      </c>
      <c r="AG290" s="7">
        <v>0</v>
      </c>
      <c r="AI290" s="7">
        <v>0</v>
      </c>
      <c r="AK290" s="7">
        <f t="shared" si="51"/>
        <v>0</v>
      </c>
      <c r="AM290" s="7">
        <f t="shared" si="49"/>
        <v>11547052</v>
      </c>
      <c r="AP290" s="7" t="str">
        <f t="shared" si="45"/>
        <v>Liberty Center Local SD</v>
      </c>
      <c r="AQ290" s="7" t="str">
        <f>'Gen Fd BS'!A290</f>
        <v>Liberty Center Local SD</v>
      </c>
      <c r="AR290" s="7" t="b">
        <f t="shared" si="46"/>
        <v>1</v>
      </c>
      <c r="AT290" s="7" t="str">
        <f t="shared" si="43"/>
        <v>Henry</v>
      </c>
      <c r="AU290" s="7" t="b">
        <f>C290='Gen Fd BS'!C290</f>
        <v>1</v>
      </c>
    </row>
    <row r="291" spans="1:47">
      <c r="A291" s="12" t="s">
        <v>542</v>
      </c>
      <c r="B291" s="12"/>
      <c r="C291" s="12" t="s">
        <v>64</v>
      </c>
      <c r="D291" s="12"/>
      <c r="E291" s="12">
        <v>50195</v>
      </c>
      <c r="G291" s="7">
        <v>7618675</v>
      </c>
      <c r="I291" s="7">
        <v>0</v>
      </c>
      <c r="K291" s="7">
        <v>6672949</v>
      </c>
      <c r="M291" s="7">
        <v>17553</v>
      </c>
      <c r="O291" s="7">
        <f>576829+56984</f>
        <v>633813</v>
      </c>
      <c r="Q291" s="7">
        <v>0</v>
      </c>
      <c r="S291" s="7">
        <v>0</v>
      </c>
      <c r="U291" s="7">
        <v>0</v>
      </c>
      <c r="W291" s="7">
        <v>185839</v>
      </c>
      <c r="Y291" s="2">
        <f t="shared" si="50"/>
        <v>15128829</v>
      </c>
      <c r="AA291" s="7">
        <v>0</v>
      </c>
      <c r="AC291" s="7">
        <v>0</v>
      </c>
      <c r="AE291" s="7">
        <v>0</v>
      </c>
      <c r="AG291" s="7">
        <v>0</v>
      </c>
      <c r="AI291" s="7">
        <v>0</v>
      </c>
      <c r="AK291" s="7">
        <f t="shared" si="51"/>
        <v>0</v>
      </c>
      <c r="AM291" s="7">
        <f t="shared" si="49"/>
        <v>15128829</v>
      </c>
      <c r="AP291" s="7" t="str">
        <f t="shared" si="45"/>
        <v>Liberty Local SD</v>
      </c>
      <c r="AQ291" s="7" t="str">
        <f>'Gen Fd BS'!A291</f>
        <v>Liberty Local SD</v>
      </c>
      <c r="AR291" s="7" t="b">
        <f t="shared" si="46"/>
        <v>1</v>
      </c>
      <c r="AT291" s="7" t="str">
        <f t="shared" si="43"/>
        <v>Trumbull</v>
      </c>
      <c r="AU291" s="7" t="b">
        <f>C291='Gen Fd BS'!C291</f>
        <v>1</v>
      </c>
    </row>
    <row r="292" spans="1:47">
      <c r="A292" s="12" t="s">
        <v>842</v>
      </c>
      <c r="B292" s="12"/>
      <c r="C292" s="12" t="s">
        <v>25</v>
      </c>
      <c r="D292" s="12"/>
      <c r="E292" s="12">
        <v>46888</v>
      </c>
      <c r="G292" s="7">
        <v>2812695</v>
      </c>
      <c r="I292" s="7">
        <v>2842895</v>
      </c>
      <c r="K292" s="7">
        <v>5756383</v>
      </c>
      <c r="M292" s="7">
        <v>18251</v>
      </c>
      <c r="O292" s="7">
        <f>378246</f>
        <v>378246</v>
      </c>
      <c r="Q292" s="7">
        <v>17141</v>
      </c>
      <c r="S292" s="7">
        <v>0</v>
      </c>
      <c r="U292" s="7">
        <v>37158</v>
      </c>
      <c r="W292" s="7">
        <v>102172</v>
      </c>
      <c r="Y292" s="2">
        <f t="shared" si="50"/>
        <v>11964941</v>
      </c>
      <c r="AA292" s="7">
        <v>0</v>
      </c>
      <c r="AC292" s="7">
        <v>0</v>
      </c>
      <c r="AE292" s="7">
        <v>0</v>
      </c>
      <c r="AG292" s="7">
        <v>0</v>
      </c>
      <c r="AI292" s="7">
        <v>0</v>
      </c>
      <c r="AK292" s="7">
        <f t="shared" si="51"/>
        <v>0</v>
      </c>
      <c r="AM292" s="7">
        <f t="shared" si="49"/>
        <v>11964941</v>
      </c>
      <c r="AP292" s="7" t="str">
        <f t="shared" si="45"/>
        <v>Liberty Union-Thurston Local SD</v>
      </c>
      <c r="AQ292" s="7" t="str">
        <f>'Gen Fd BS'!A292</f>
        <v>Liberty Union-Thurston Local SD</v>
      </c>
      <c r="AR292" s="7" t="b">
        <f t="shared" si="46"/>
        <v>1</v>
      </c>
      <c r="AT292" s="7" t="str">
        <f t="shared" si="43"/>
        <v>Fairfield</v>
      </c>
      <c r="AU292" s="7" t="b">
        <f>C292='Gen Fd BS'!C292</f>
        <v>1</v>
      </c>
    </row>
    <row r="293" spans="1:47">
      <c r="A293" s="12" t="s">
        <v>386</v>
      </c>
      <c r="B293" s="12"/>
      <c r="C293" s="12" t="s">
        <v>42</v>
      </c>
      <c r="D293" s="12"/>
      <c r="E293" s="12">
        <v>48009</v>
      </c>
      <c r="G293" s="7">
        <v>12387011</v>
      </c>
      <c r="I293" s="7">
        <v>0</v>
      </c>
      <c r="K293" s="7">
        <v>9807938</v>
      </c>
      <c r="M293" s="7">
        <v>10131</v>
      </c>
      <c r="O293" s="7">
        <f>390031+17075</f>
        <v>407106</v>
      </c>
      <c r="Q293" s="7">
        <v>154817</v>
      </c>
      <c r="S293" s="7">
        <v>2671150</v>
      </c>
      <c r="U293" s="7">
        <v>34465</v>
      </c>
      <c r="W293" s="7">
        <v>39235</v>
      </c>
      <c r="Y293" s="2">
        <f t="shared" si="50"/>
        <v>25511853</v>
      </c>
      <c r="AA293" s="7">
        <v>0</v>
      </c>
      <c r="AC293" s="7">
        <v>0</v>
      </c>
      <c r="AE293" s="7">
        <v>0</v>
      </c>
      <c r="AG293" s="7">
        <f>4297+13048</f>
        <v>17345</v>
      </c>
      <c r="AI293" s="7">
        <v>0</v>
      </c>
      <c r="AK293" s="7">
        <f t="shared" si="51"/>
        <v>17345</v>
      </c>
      <c r="AM293" s="7">
        <f t="shared" si="49"/>
        <v>25529198</v>
      </c>
      <c r="AP293" s="7" t="str">
        <f t="shared" si="45"/>
        <v>Licking Heights Local SD</v>
      </c>
      <c r="AQ293" s="7" t="str">
        <f>'Gen Fd BS'!A293</f>
        <v>Licking Heights Local SD</v>
      </c>
      <c r="AR293" s="7" t="b">
        <f t="shared" si="46"/>
        <v>1</v>
      </c>
      <c r="AT293" s="7" t="str">
        <f t="shared" si="43"/>
        <v>Licking</v>
      </c>
      <c r="AU293" s="7" t="b">
        <f>C293='Gen Fd BS'!C293</f>
        <v>1</v>
      </c>
    </row>
    <row r="294" spans="1:47">
      <c r="A294" s="12" t="s">
        <v>387</v>
      </c>
      <c r="B294" s="12"/>
      <c r="C294" s="12" t="s">
        <v>42</v>
      </c>
      <c r="D294" s="12"/>
      <c r="E294" s="12">
        <v>48017</v>
      </c>
      <c r="G294" s="7">
        <v>3332277</v>
      </c>
      <c r="I294" s="7">
        <v>1870661</v>
      </c>
      <c r="K294" s="7">
        <v>9413814</v>
      </c>
      <c r="M294" s="7">
        <v>11969</v>
      </c>
      <c r="O294" s="7">
        <f>825834</f>
        <v>825834</v>
      </c>
      <c r="Q294" s="7">
        <v>52872</v>
      </c>
      <c r="S294" s="7">
        <v>41302</v>
      </c>
      <c r="U294" s="7">
        <v>50833</v>
      </c>
      <c r="W294" s="7">
        <v>117889</v>
      </c>
      <c r="Y294" s="2">
        <f t="shared" si="50"/>
        <v>15717451</v>
      </c>
      <c r="AA294" s="7">
        <v>0</v>
      </c>
      <c r="AC294" s="7">
        <v>0</v>
      </c>
      <c r="AE294" s="7">
        <v>0</v>
      </c>
      <c r="AG294" s="7">
        <f>151281+442728+119341</f>
        <v>713350</v>
      </c>
      <c r="AI294" s="7">
        <v>0</v>
      </c>
      <c r="AK294" s="7">
        <f t="shared" si="51"/>
        <v>713350</v>
      </c>
      <c r="AM294" s="7">
        <f t="shared" si="49"/>
        <v>16430801</v>
      </c>
      <c r="AO294" s="83"/>
      <c r="AP294" s="7" t="str">
        <f t="shared" si="45"/>
        <v>Licking Valley Local SD</v>
      </c>
      <c r="AQ294" s="7" t="str">
        <f>'Gen Fd BS'!A294</f>
        <v>Licking Valley Local SD</v>
      </c>
      <c r="AR294" s="7" t="b">
        <f t="shared" si="46"/>
        <v>1</v>
      </c>
      <c r="AT294" s="7" t="str">
        <f t="shared" si="43"/>
        <v>Licking</v>
      </c>
      <c r="AU294" s="7" t="b">
        <f>C294='Gen Fd BS'!C294</f>
        <v>1</v>
      </c>
    </row>
    <row r="295" spans="1:47" hidden="1">
      <c r="A295" s="12" t="s">
        <v>718</v>
      </c>
      <c r="B295" s="12"/>
      <c r="C295" s="12" t="s">
        <v>10</v>
      </c>
      <c r="D295" s="12"/>
      <c r="E295" s="12"/>
      <c r="Y295" s="2">
        <f t="shared" si="50"/>
        <v>0</v>
      </c>
      <c r="AC295" s="7">
        <v>0</v>
      </c>
      <c r="AI295" s="7">
        <v>0</v>
      </c>
      <c r="AK295" s="7">
        <f t="shared" si="51"/>
        <v>0</v>
      </c>
      <c r="AM295" s="7">
        <f t="shared" si="49"/>
        <v>0</v>
      </c>
      <c r="AO295" s="7" t="s">
        <v>921</v>
      </c>
      <c r="AP295" s="7" t="str">
        <f t="shared" si="45"/>
        <v>Lima City School District (CASH)</v>
      </c>
      <c r="AQ295" s="7" t="str">
        <f>'Gen Fd BS'!A295</f>
        <v>Lima City School District (CASH)</v>
      </c>
      <c r="AR295" s="7" t="b">
        <f t="shared" si="46"/>
        <v>1</v>
      </c>
      <c r="AT295" s="7" t="str">
        <f t="shared" si="43"/>
        <v>Allen</v>
      </c>
      <c r="AU295" s="7" t="b">
        <f>C295='Gen Fd BS'!C295</f>
        <v>1</v>
      </c>
    </row>
    <row r="296" spans="1:47">
      <c r="A296" s="12" t="s">
        <v>557</v>
      </c>
      <c r="B296" s="12"/>
      <c r="C296" s="12" t="s">
        <v>67</v>
      </c>
      <c r="D296" s="12"/>
      <c r="E296" s="12">
        <v>50369</v>
      </c>
      <c r="G296" s="7">
        <v>2083323</v>
      </c>
      <c r="I296" s="7">
        <v>0</v>
      </c>
      <c r="K296" s="7">
        <f>4111807+5137</f>
        <v>4116944</v>
      </c>
      <c r="M296" s="7">
        <v>81910</v>
      </c>
      <c r="O296" s="7">
        <f>2060777+43893</f>
        <v>2104670</v>
      </c>
      <c r="Q296" s="7">
        <v>0</v>
      </c>
      <c r="S296" s="7">
        <v>0</v>
      </c>
      <c r="U296" s="7">
        <v>0</v>
      </c>
      <c r="W296" s="7">
        <v>183654</v>
      </c>
      <c r="Y296" s="2">
        <f t="shared" si="50"/>
        <v>8570501</v>
      </c>
      <c r="AA296" s="7">
        <v>0</v>
      </c>
      <c r="AC296" s="7">
        <v>0</v>
      </c>
      <c r="AE296" s="7">
        <v>0</v>
      </c>
      <c r="AG296" s="7">
        <v>0</v>
      </c>
      <c r="AI296" s="7">
        <v>0</v>
      </c>
      <c r="AK296" s="7">
        <f t="shared" si="51"/>
        <v>0</v>
      </c>
      <c r="AM296" s="7">
        <f t="shared" si="49"/>
        <v>8570501</v>
      </c>
      <c r="AP296" s="7" t="str">
        <f t="shared" si="45"/>
        <v>Lincolnview Local SD</v>
      </c>
      <c r="AQ296" s="7" t="str">
        <f>'Gen Fd BS'!A296</f>
        <v>Lincolnview Local SD</v>
      </c>
      <c r="AR296" s="7" t="b">
        <f t="shared" si="46"/>
        <v>1</v>
      </c>
      <c r="AT296" s="7" t="str">
        <f t="shared" si="43"/>
        <v>Van Wert</v>
      </c>
      <c r="AU296" s="7" t="b">
        <f>C296='Gen Fd BS'!C296</f>
        <v>1</v>
      </c>
    </row>
    <row r="297" spans="1:47">
      <c r="A297" s="12" t="s">
        <v>875</v>
      </c>
      <c r="B297" s="12"/>
      <c r="C297" s="12" t="s">
        <v>112</v>
      </c>
      <c r="D297" s="12"/>
      <c r="E297" s="12">
        <v>45450</v>
      </c>
      <c r="F297" s="10"/>
      <c r="G297" s="7">
        <v>1450180</v>
      </c>
      <c r="I297" s="7">
        <v>0</v>
      </c>
      <c r="K297" s="7">
        <v>5317030</v>
      </c>
      <c r="M297" s="7">
        <v>85485</v>
      </c>
      <c r="O297" s="7">
        <f>87650+1093759+20527</f>
        <v>1201936</v>
      </c>
      <c r="Q297" s="7">
        <v>42549</v>
      </c>
      <c r="S297" s="7">
        <v>0</v>
      </c>
      <c r="U297" s="7">
        <v>5818</v>
      </c>
      <c r="W297" s="7">
        <v>0</v>
      </c>
      <c r="Y297" s="2">
        <f t="shared" si="50"/>
        <v>8102998</v>
      </c>
      <c r="AA297" s="7">
        <v>0</v>
      </c>
      <c r="AC297" s="7">
        <v>0</v>
      </c>
      <c r="AE297" s="7">
        <v>1215000</v>
      </c>
      <c r="AG297" s="7">
        <v>0</v>
      </c>
      <c r="AI297" s="7">
        <v>0</v>
      </c>
      <c r="AK297" s="7">
        <f t="shared" si="51"/>
        <v>1215000</v>
      </c>
      <c r="AM297" s="7">
        <f t="shared" si="49"/>
        <v>9317998</v>
      </c>
      <c r="AP297" s="7" t="str">
        <f t="shared" si="45"/>
        <v>Lisbon Exempted Village SD</v>
      </c>
      <c r="AQ297" s="7" t="str">
        <f>'Gen Fd BS'!A297</f>
        <v>Lisbon Exempted Village SD</v>
      </c>
      <c r="AR297" s="7" t="b">
        <f t="shared" si="46"/>
        <v>1</v>
      </c>
      <c r="AT297" s="7" t="str">
        <f t="shared" si="43"/>
        <v>Columbiana</v>
      </c>
      <c r="AU297" s="7" t="b">
        <f>C297='Gen Fd BS'!C297</f>
        <v>1</v>
      </c>
    </row>
    <row r="298" spans="1:47">
      <c r="A298" s="12" t="s">
        <v>562</v>
      </c>
      <c r="B298" s="12"/>
      <c r="C298" s="12" t="s">
        <v>69</v>
      </c>
      <c r="D298" s="12"/>
      <c r="E298" s="12">
        <v>50443</v>
      </c>
      <c r="G298" s="7">
        <v>15896421</v>
      </c>
      <c r="I298" s="7">
        <v>0</v>
      </c>
      <c r="K298" s="7">
        <v>11924971</v>
      </c>
      <c r="M298" s="7">
        <v>22374</v>
      </c>
      <c r="O298" s="7">
        <f>567229+25000</f>
        <v>592229</v>
      </c>
      <c r="Q298" s="7">
        <v>520892</v>
      </c>
      <c r="S298" s="7">
        <v>0</v>
      </c>
      <c r="U298" s="7">
        <v>0</v>
      </c>
      <c r="W298" s="7">
        <v>143268</v>
      </c>
      <c r="Y298" s="2">
        <f t="shared" si="50"/>
        <v>29100155</v>
      </c>
      <c r="AA298" s="7">
        <v>0</v>
      </c>
      <c r="AC298" s="7">
        <v>0</v>
      </c>
      <c r="AE298" s="7">
        <v>0</v>
      </c>
      <c r="AG298" s="7">
        <v>0</v>
      </c>
      <c r="AI298" s="7">
        <v>0</v>
      </c>
      <c r="AK298" s="7">
        <f t="shared" si="51"/>
        <v>0</v>
      </c>
      <c r="AM298" s="7">
        <f t="shared" si="49"/>
        <v>29100155</v>
      </c>
      <c r="AO298" s="83"/>
      <c r="AP298" s="7" t="str">
        <f t="shared" si="45"/>
        <v>Little Miami Local SD</v>
      </c>
      <c r="AQ298" s="7" t="str">
        <f>'Gen Fd BS'!A298</f>
        <v>Little Miami Local SD</v>
      </c>
      <c r="AR298" s="7" t="b">
        <f t="shared" si="46"/>
        <v>1</v>
      </c>
      <c r="AT298" s="7" t="str">
        <f t="shared" si="43"/>
        <v>Warren</v>
      </c>
      <c r="AU298" s="7" t="b">
        <f>C298='Gen Fd BS'!C298</f>
        <v>1</v>
      </c>
    </row>
    <row r="299" spans="1:47" hidden="1">
      <c r="A299" s="12" t="s">
        <v>922</v>
      </c>
      <c r="B299" s="12"/>
      <c r="C299" s="12" t="s">
        <v>32</v>
      </c>
      <c r="D299" s="12"/>
      <c r="E299" s="12">
        <v>44230</v>
      </c>
      <c r="Y299" s="2">
        <f t="shared" si="50"/>
        <v>0</v>
      </c>
      <c r="AA299" s="7">
        <v>0</v>
      </c>
      <c r="AC299" s="7">
        <v>0</v>
      </c>
      <c r="AI299" s="7">
        <v>0</v>
      </c>
      <c r="AK299" s="7">
        <f t="shared" si="51"/>
        <v>0</v>
      </c>
      <c r="AM299" s="7">
        <f t="shared" si="49"/>
        <v>0</v>
      </c>
      <c r="AO299" s="7" t="s">
        <v>839</v>
      </c>
      <c r="AP299" s="7" t="str">
        <f t="shared" si="45"/>
        <v>Lockland Local SD (CASH)</v>
      </c>
      <c r="AQ299" s="7" t="str">
        <f>'Gen Fd BS'!A299</f>
        <v>Lockland Local SD (CASH)</v>
      </c>
      <c r="AR299" s="7" t="b">
        <f t="shared" si="46"/>
        <v>1</v>
      </c>
      <c r="AT299" s="7" t="str">
        <f t="shared" si="43"/>
        <v>Hamilton</v>
      </c>
      <c r="AU299" s="7" t="b">
        <f>C299='Gen Fd BS'!C299</f>
        <v>1</v>
      </c>
    </row>
    <row r="300" spans="1:47">
      <c r="A300" s="12" t="s">
        <v>468</v>
      </c>
      <c r="B300" s="12"/>
      <c r="C300" s="12" t="s">
        <v>54</v>
      </c>
      <c r="D300" s="12"/>
      <c r="E300" s="12">
        <v>49080</v>
      </c>
      <c r="G300" s="7">
        <v>7088646</v>
      </c>
      <c r="I300" s="7">
        <v>2392754</v>
      </c>
      <c r="K300" s="7">
        <f>9179177+31176</f>
        <v>9210353</v>
      </c>
      <c r="M300" s="7">
        <v>21990</v>
      </c>
      <c r="O300" s="7">
        <f>711691+9403+41278+2208</f>
        <v>764580</v>
      </c>
      <c r="Q300" s="7">
        <v>103461</v>
      </c>
      <c r="S300" s="7">
        <v>0</v>
      </c>
      <c r="U300" s="7">
        <v>500</v>
      </c>
      <c r="W300" s="7">
        <v>17169</v>
      </c>
      <c r="Y300" s="2">
        <f t="shared" si="50"/>
        <v>19599453</v>
      </c>
      <c r="AA300" s="7">
        <v>0</v>
      </c>
      <c r="AC300" s="7">
        <v>0</v>
      </c>
      <c r="AE300" s="7">
        <v>0</v>
      </c>
      <c r="AG300" s="7">
        <v>0</v>
      </c>
      <c r="AI300" s="7">
        <v>0</v>
      </c>
      <c r="AK300" s="7">
        <f t="shared" si="51"/>
        <v>0</v>
      </c>
      <c r="AM300" s="7">
        <f t="shared" si="49"/>
        <v>19599453</v>
      </c>
      <c r="AP300" s="7" t="str">
        <f t="shared" si="45"/>
        <v>Logan Elm Local SD</v>
      </c>
      <c r="AQ300" s="7" t="str">
        <f>'Gen Fd BS'!A300</f>
        <v>Logan Elm Local SD</v>
      </c>
      <c r="AR300" s="7" t="b">
        <f t="shared" si="46"/>
        <v>1</v>
      </c>
      <c r="AT300" s="7" t="str">
        <f t="shared" si="43"/>
        <v>Pickaway</v>
      </c>
      <c r="AU300" s="7" t="b">
        <f>C300='Gen Fd BS'!C300</f>
        <v>1</v>
      </c>
    </row>
    <row r="301" spans="1:47">
      <c r="A301" s="12" t="s">
        <v>362</v>
      </c>
      <c r="B301" s="12"/>
      <c r="C301" s="12" t="s">
        <v>35</v>
      </c>
      <c r="D301" s="12"/>
      <c r="E301" s="12">
        <v>44248</v>
      </c>
      <c r="G301" s="7">
        <v>9504157</v>
      </c>
      <c r="I301" s="7">
        <v>0</v>
      </c>
      <c r="K301" s="7">
        <f>21057494+209720</f>
        <v>21267214</v>
      </c>
      <c r="M301" s="7">
        <v>421708</v>
      </c>
      <c r="O301" s="7">
        <f>1127303+4122</f>
        <v>1131425</v>
      </c>
      <c r="Q301" s="7">
        <v>54122</v>
      </c>
      <c r="S301" s="7">
        <v>0</v>
      </c>
      <c r="U301" s="7">
        <v>0</v>
      </c>
      <c r="W301" s="7">
        <v>44907</v>
      </c>
      <c r="Y301" s="2">
        <f t="shared" si="50"/>
        <v>32423533</v>
      </c>
      <c r="AA301" s="7">
        <v>65000</v>
      </c>
      <c r="AC301" s="7">
        <v>0</v>
      </c>
      <c r="AE301" s="7">
        <v>0</v>
      </c>
      <c r="AG301" s="7">
        <v>0</v>
      </c>
      <c r="AI301" s="7">
        <v>0</v>
      </c>
      <c r="AK301" s="7">
        <f t="shared" si="51"/>
        <v>65000</v>
      </c>
      <c r="AM301" s="7">
        <f t="shared" si="49"/>
        <v>32488533</v>
      </c>
      <c r="AP301" s="7" t="str">
        <f t="shared" si="45"/>
        <v>Logan-Hocking Local SD</v>
      </c>
      <c r="AQ301" s="7" t="str">
        <f>'Gen Fd BS'!A301</f>
        <v>Logan-Hocking Local SD</v>
      </c>
      <c r="AR301" s="7" t="b">
        <f t="shared" si="46"/>
        <v>1</v>
      </c>
      <c r="AT301" s="7" t="str">
        <f t="shared" si="43"/>
        <v>Hocking</v>
      </c>
      <c r="AU301" s="7" t="b">
        <f>C301='Gen Fd BS'!C301</f>
        <v>1</v>
      </c>
    </row>
    <row r="302" spans="1:47">
      <c r="A302" s="12" t="s">
        <v>413</v>
      </c>
      <c r="B302" s="12"/>
      <c r="C302" s="12" t="s">
        <v>411</v>
      </c>
      <c r="D302" s="12"/>
      <c r="E302" s="12">
        <v>44255</v>
      </c>
      <c r="G302" s="7">
        <v>6490485</v>
      </c>
      <c r="I302" s="7">
        <v>2819864</v>
      </c>
      <c r="K302" s="7">
        <v>8782741</v>
      </c>
      <c r="M302" s="7">
        <v>11713</v>
      </c>
      <c r="O302" s="7">
        <f>471725+1883260+4010</f>
        <v>2358995</v>
      </c>
      <c r="Q302" s="7">
        <v>25364</v>
      </c>
      <c r="S302" s="7">
        <v>231927</v>
      </c>
      <c r="U302" s="7">
        <v>29458</v>
      </c>
      <c r="W302" s="7">
        <v>148105</v>
      </c>
      <c r="Y302" s="2">
        <f t="shared" si="50"/>
        <v>20898652</v>
      </c>
      <c r="AA302" s="7">
        <v>0</v>
      </c>
      <c r="AC302" s="7">
        <v>0</v>
      </c>
      <c r="AE302" s="7">
        <v>257337</v>
      </c>
      <c r="AG302" s="7">
        <v>0</v>
      </c>
      <c r="AI302" s="7">
        <v>0</v>
      </c>
      <c r="AK302" s="7">
        <f t="shared" si="51"/>
        <v>257337</v>
      </c>
      <c r="AM302" s="7">
        <f t="shared" si="49"/>
        <v>21155989</v>
      </c>
      <c r="AP302" s="7" t="str">
        <f t="shared" si="45"/>
        <v>London City SD</v>
      </c>
      <c r="AQ302" s="7" t="str">
        <f>'Gen Fd BS'!A302</f>
        <v>London City SD</v>
      </c>
      <c r="AR302" s="7" t="b">
        <f t="shared" si="46"/>
        <v>1</v>
      </c>
      <c r="AT302" s="7" t="str">
        <f t="shared" si="43"/>
        <v>Madison</v>
      </c>
      <c r="AU302" s="7" t="b">
        <f>C302='Gen Fd BS'!C302</f>
        <v>1</v>
      </c>
    </row>
    <row r="303" spans="1:47">
      <c r="A303" s="12" t="s">
        <v>398</v>
      </c>
      <c r="B303" s="12"/>
      <c r="C303" s="12" t="s">
        <v>44</v>
      </c>
      <c r="D303" s="12"/>
      <c r="E303" s="12">
        <v>44263</v>
      </c>
      <c r="G303" s="7">
        <v>16557608</v>
      </c>
      <c r="I303" s="7">
        <v>0</v>
      </c>
      <c r="K303" s="7">
        <v>66526989</v>
      </c>
      <c r="M303" s="7">
        <v>154621</v>
      </c>
      <c r="O303" s="7">
        <f>1155567+115491+24385</f>
        <v>1295443</v>
      </c>
      <c r="Q303" s="7">
        <v>153170</v>
      </c>
      <c r="S303" s="7">
        <v>0</v>
      </c>
      <c r="U303" s="7">
        <v>2183</v>
      </c>
      <c r="W303" s="7">
        <v>224764</v>
      </c>
      <c r="Y303" s="2">
        <f t="shared" si="50"/>
        <v>84914778</v>
      </c>
      <c r="AA303" s="7">
        <v>0</v>
      </c>
      <c r="AC303" s="7">
        <v>0</v>
      </c>
      <c r="AE303" s="7">
        <v>0</v>
      </c>
      <c r="AG303" s="7">
        <v>8252</v>
      </c>
      <c r="AI303" s="7">
        <v>0</v>
      </c>
      <c r="AK303" s="7">
        <f t="shared" si="51"/>
        <v>8252</v>
      </c>
      <c r="AM303" s="7">
        <f t="shared" si="49"/>
        <v>84923030</v>
      </c>
      <c r="AO303" s="83"/>
      <c r="AP303" s="7" t="str">
        <f t="shared" si="45"/>
        <v>Lorain City SD</v>
      </c>
      <c r="AQ303" s="7" t="str">
        <f>'Gen Fd BS'!A303</f>
        <v>Lorain City SD</v>
      </c>
      <c r="AR303" s="7" t="b">
        <f t="shared" si="46"/>
        <v>1</v>
      </c>
      <c r="AT303" s="7" t="str">
        <f t="shared" si="43"/>
        <v>Lorain</v>
      </c>
      <c r="AU303" s="7" t="b">
        <f>C303='Gen Fd BS'!C303</f>
        <v>1</v>
      </c>
    </row>
    <row r="304" spans="1:47">
      <c r="A304" s="12" t="s">
        <v>543</v>
      </c>
      <c r="B304" s="12"/>
      <c r="C304" s="12" t="s">
        <v>64</v>
      </c>
      <c r="D304" s="12"/>
      <c r="E304" s="12">
        <v>50203</v>
      </c>
      <c r="G304" s="7">
        <v>2221986</v>
      </c>
      <c r="I304" s="7">
        <v>0</v>
      </c>
      <c r="K304" s="7">
        <v>2743251</v>
      </c>
      <c r="M304" s="7">
        <v>1762</v>
      </c>
      <c r="O304" s="7">
        <f>411743+13514+63535</f>
        <v>488792</v>
      </c>
      <c r="Q304" s="7">
        <v>0</v>
      </c>
      <c r="S304" s="7">
        <v>0</v>
      </c>
      <c r="U304" s="7">
        <v>70</v>
      </c>
      <c r="W304" s="7">
        <v>151762</v>
      </c>
      <c r="Y304" s="2">
        <f t="shared" si="50"/>
        <v>5607623</v>
      </c>
      <c r="AA304" s="7">
        <v>933</v>
      </c>
      <c r="AC304" s="7">
        <v>0</v>
      </c>
      <c r="AE304" s="7">
        <v>0</v>
      </c>
      <c r="AG304" s="7">
        <v>0</v>
      </c>
      <c r="AI304" s="7">
        <v>0</v>
      </c>
      <c r="AK304" s="7">
        <f t="shared" si="51"/>
        <v>933</v>
      </c>
      <c r="AM304" s="7">
        <f t="shared" si="49"/>
        <v>5608556</v>
      </c>
      <c r="AP304" s="7" t="str">
        <f t="shared" si="45"/>
        <v>Lordstown Local SD</v>
      </c>
      <c r="AQ304" s="7" t="str">
        <f>'Gen Fd BS'!A304</f>
        <v>Lordstown Local SD</v>
      </c>
      <c r="AR304" s="7" t="b">
        <f t="shared" si="46"/>
        <v>1</v>
      </c>
      <c r="AT304" s="7" t="str">
        <f t="shared" si="43"/>
        <v>Trumbull</v>
      </c>
      <c r="AU304" s="7" t="b">
        <f>C304='Gen Fd BS'!C304</f>
        <v>1</v>
      </c>
    </row>
    <row r="305" spans="1:47">
      <c r="A305" s="12" t="s">
        <v>719</v>
      </c>
      <c r="B305" s="12"/>
      <c r="C305" s="12" t="s">
        <v>11</v>
      </c>
      <c r="D305" s="12"/>
      <c r="E305" s="12">
        <v>45468</v>
      </c>
      <c r="F305" s="10"/>
      <c r="G305" s="7">
        <v>4648077</v>
      </c>
      <c r="I305" s="7">
        <v>1460253</v>
      </c>
      <c r="K305" s="7">
        <f>5011296+23020</f>
        <v>5034316</v>
      </c>
      <c r="M305" s="7">
        <v>40864</v>
      </c>
      <c r="O305" s="7">
        <f>439248+2750+34948+822</f>
        <v>477768</v>
      </c>
      <c r="Q305" s="7">
        <v>36963</v>
      </c>
      <c r="S305" s="7">
        <v>0</v>
      </c>
      <c r="U305" s="7">
        <v>0</v>
      </c>
      <c r="W305" s="7">
        <v>13713</v>
      </c>
      <c r="Y305" s="2">
        <f t="shared" si="50"/>
        <v>11711954</v>
      </c>
      <c r="AA305" s="7">
        <v>0</v>
      </c>
      <c r="AC305" s="7">
        <v>0</v>
      </c>
      <c r="AE305" s="7">
        <v>0</v>
      </c>
      <c r="AG305" s="7">
        <v>2092</v>
      </c>
      <c r="AI305" s="7">
        <v>0</v>
      </c>
      <c r="AK305" s="7">
        <f t="shared" si="51"/>
        <v>2092</v>
      </c>
      <c r="AM305" s="7">
        <f t="shared" si="49"/>
        <v>11714046</v>
      </c>
      <c r="AO305" s="7" t="s">
        <v>914</v>
      </c>
      <c r="AP305" s="7" t="str">
        <f t="shared" si="45"/>
        <v>Loudonville-Perrysville Exempted Village SD</v>
      </c>
      <c r="AQ305" s="7" t="str">
        <f>'Gen Fd BS'!A305</f>
        <v>Loudonville-Perrysville Exempted Village SD</v>
      </c>
      <c r="AR305" s="7" t="b">
        <f t="shared" si="46"/>
        <v>1</v>
      </c>
      <c r="AT305" s="7" t="str">
        <f t="shared" si="43"/>
        <v>Ashland</v>
      </c>
      <c r="AU305" s="7" t="b">
        <f>C305='Gen Fd BS'!C305</f>
        <v>1</v>
      </c>
    </row>
    <row r="306" spans="1:47">
      <c r="A306" s="12" t="s">
        <v>514</v>
      </c>
      <c r="B306" s="12"/>
      <c r="C306" s="12" t="s">
        <v>62</v>
      </c>
      <c r="D306" s="12"/>
      <c r="E306" s="12">
        <v>49874</v>
      </c>
      <c r="G306" s="7">
        <v>6955354</v>
      </c>
      <c r="I306" s="7">
        <v>0</v>
      </c>
      <c r="K306" s="7">
        <v>15268762</v>
      </c>
      <c r="M306" s="7">
        <v>10410</v>
      </c>
      <c r="O306" s="7">
        <f>618895+32340+34339</f>
        <v>685574</v>
      </c>
      <c r="Q306" s="7">
        <v>127538</v>
      </c>
      <c r="S306" s="7">
        <v>34971</v>
      </c>
      <c r="U306" s="7">
        <v>5657</v>
      </c>
      <c r="W306" s="7">
        <v>100564</v>
      </c>
      <c r="Y306" s="2">
        <f t="shared" si="50"/>
        <v>23188830</v>
      </c>
      <c r="AA306" s="7">
        <v>0</v>
      </c>
      <c r="AC306" s="7">
        <v>0</v>
      </c>
      <c r="AE306" s="7">
        <v>0</v>
      </c>
      <c r="AG306" s="7">
        <v>0</v>
      </c>
      <c r="AI306" s="7">
        <v>0</v>
      </c>
      <c r="AK306" s="7">
        <f t="shared" si="51"/>
        <v>0</v>
      </c>
      <c r="AM306" s="7">
        <f t="shared" si="49"/>
        <v>23188830</v>
      </c>
      <c r="AO306" s="7" t="s">
        <v>923</v>
      </c>
      <c r="AP306" s="7" t="str">
        <f t="shared" si="45"/>
        <v>Louisville City SD</v>
      </c>
      <c r="AQ306" s="7" t="str">
        <f>'Gen Fd BS'!A306</f>
        <v>Louisville City SD</v>
      </c>
      <c r="AR306" s="7" t="b">
        <f t="shared" si="46"/>
        <v>1</v>
      </c>
      <c r="AT306" s="7" t="str">
        <f t="shared" si="43"/>
        <v>Stark</v>
      </c>
      <c r="AU306" s="7" t="b">
        <f>C306='Gen Fd BS'!C306</f>
        <v>1</v>
      </c>
    </row>
    <row r="307" spans="1:47">
      <c r="A307" s="12" t="s">
        <v>332</v>
      </c>
      <c r="B307" s="12"/>
      <c r="C307" s="12" t="s">
        <v>32</v>
      </c>
      <c r="D307" s="12"/>
      <c r="E307" s="12">
        <v>44271</v>
      </c>
      <c r="G307" s="7">
        <v>24476091</v>
      </c>
      <c r="I307" s="7">
        <v>0</v>
      </c>
      <c r="K307" s="7">
        <v>14434131</v>
      </c>
      <c r="M307" s="7">
        <v>24156</v>
      </c>
      <c r="O307" s="7">
        <f>736703+14866</f>
        <v>751569</v>
      </c>
      <c r="Q307" s="7">
        <v>249379</v>
      </c>
      <c r="S307" s="7">
        <v>67765</v>
      </c>
      <c r="U307" s="7">
        <v>0</v>
      </c>
      <c r="W307" s="7">
        <v>118745</v>
      </c>
      <c r="Y307" s="2">
        <f t="shared" si="50"/>
        <v>40121836</v>
      </c>
      <c r="AA307" s="7">
        <v>0</v>
      </c>
      <c r="AC307" s="7">
        <v>0</v>
      </c>
      <c r="AE307" s="7">
        <v>0</v>
      </c>
      <c r="AG307" s="7">
        <v>1467</v>
      </c>
      <c r="AI307" s="7">
        <v>0</v>
      </c>
      <c r="AK307" s="7">
        <f t="shared" si="51"/>
        <v>1467</v>
      </c>
      <c r="AM307" s="7">
        <f t="shared" si="49"/>
        <v>40123303</v>
      </c>
      <c r="AP307" s="7" t="str">
        <f t="shared" si="45"/>
        <v>Loveland City SD</v>
      </c>
      <c r="AQ307" s="7" t="str">
        <f>'Gen Fd BS'!A307</f>
        <v>Loveland City SD</v>
      </c>
      <c r="AR307" s="7" t="b">
        <f t="shared" si="46"/>
        <v>1</v>
      </c>
      <c r="AT307" s="7" t="str">
        <f t="shared" si="43"/>
        <v>Hamilton</v>
      </c>
      <c r="AU307" s="7" t="b">
        <f>C307='Gen Fd BS'!C307</f>
        <v>1</v>
      </c>
    </row>
    <row r="308" spans="1:47">
      <c r="A308" s="12" t="s">
        <v>720</v>
      </c>
      <c r="B308" s="12"/>
      <c r="C308" s="12" t="s">
        <v>45</v>
      </c>
      <c r="D308" s="12"/>
      <c r="E308" s="12">
        <v>48330</v>
      </c>
      <c r="G308" s="7">
        <v>832308</v>
      </c>
      <c r="I308" s="7">
        <v>0</v>
      </c>
      <c r="K308" s="7">
        <v>2313926</v>
      </c>
      <c r="M308" s="7">
        <v>17140</v>
      </c>
      <c r="O308" s="7">
        <f>1414117+620</f>
        <v>1414737</v>
      </c>
      <c r="Q308" s="7">
        <v>8921</v>
      </c>
      <c r="S308" s="7">
        <v>0</v>
      </c>
      <c r="U308" s="7">
        <v>2985</v>
      </c>
      <c r="W308" s="7">
        <v>22450</v>
      </c>
      <c r="Y308" s="2">
        <f t="shared" si="50"/>
        <v>4612467</v>
      </c>
      <c r="AA308" s="7">
        <v>0</v>
      </c>
      <c r="AC308" s="7">
        <v>0</v>
      </c>
      <c r="AE308" s="7">
        <v>0</v>
      </c>
      <c r="AG308" s="7">
        <v>0</v>
      </c>
      <c r="AI308" s="7">
        <v>0</v>
      </c>
      <c r="AK308" s="7">
        <f t="shared" si="51"/>
        <v>0</v>
      </c>
      <c r="AM308" s="7">
        <f t="shared" si="49"/>
        <v>4612467</v>
      </c>
      <c r="AP308" s="7" t="str">
        <f t="shared" si="45"/>
        <v xml:space="preserve">Lowellville Local SD </v>
      </c>
      <c r="AQ308" s="7" t="str">
        <f>'Gen Fd BS'!A308</f>
        <v xml:space="preserve">Lowellville Local SD </v>
      </c>
      <c r="AR308" s="7" t="b">
        <f t="shared" si="46"/>
        <v>1</v>
      </c>
      <c r="AT308" s="7" t="str">
        <f t="shared" si="43"/>
        <v>Mahoning</v>
      </c>
      <c r="AU308" s="7" t="b">
        <f>C308='Gen Fd BS'!C308</f>
        <v>1</v>
      </c>
    </row>
    <row r="309" spans="1:47">
      <c r="A309" s="12" t="s">
        <v>924</v>
      </c>
      <c r="B309" s="12"/>
      <c r="C309" s="12" t="s">
        <v>110</v>
      </c>
      <c r="D309" s="12"/>
      <c r="E309" s="12">
        <v>49445</v>
      </c>
      <c r="G309" s="7">
        <v>3060986</v>
      </c>
      <c r="I309" s="7">
        <v>0</v>
      </c>
      <c r="K309" s="7">
        <v>2358046</v>
      </c>
      <c r="M309" s="7">
        <v>919</v>
      </c>
      <c r="O309" s="7">
        <f>118402+16067+1558</f>
        <v>136027</v>
      </c>
      <c r="Q309" s="7">
        <v>22904</v>
      </c>
      <c r="S309" s="7">
        <v>0</v>
      </c>
      <c r="U309" s="7">
        <v>5936</v>
      </c>
      <c r="W309" s="7">
        <v>6039</v>
      </c>
      <c r="Y309" s="2">
        <f t="shared" si="50"/>
        <v>5590857</v>
      </c>
      <c r="AA309" s="7">
        <v>0</v>
      </c>
      <c r="AC309" s="7">
        <v>0</v>
      </c>
      <c r="AE309" s="7">
        <v>0</v>
      </c>
      <c r="AG309" s="7">
        <v>0</v>
      </c>
      <c r="AI309" s="7">
        <v>0</v>
      </c>
      <c r="AK309" s="7">
        <f t="shared" si="51"/>
        <v>0</v>
      </c>
      <c r="AM309" s="7">
        <f t="shared" si="49"/>
        <v>5590857</v>
      </c>
      <c r="AP309" s="7" t="str">
        <f t="shared" si="45"/>
        <v>Lucas Local SD</v>
      </c>
      <c r="AQ309" s="7" t="str">
        <f>'Gen Fd BS'!A309</f>
        <v>Lucas Local SD</v>
      </c>
      <c r="AR309" s="7" t="b">
        <f t="shared" si="46"/>
        <v>1</v>
      </c>
      <c r="AT309" s="7" t="str">
        <f t="shared" si="43"/>
        <v>Richland</v>
      </c>
      <c r="AU309" s="7" t="b">
        <f>C309='Gen Fd BS'!C309</f>
        <v>1</v>
      </c>
    </row>
    <row r="310" spans="1:47">
      <c r="A310" s="12" t="s">
        <v>361</v>
      </c>
      <c r="B310" s="12"/>
      <c r="C310" s="12" t="s">
        <v>358</v>
      </c>
      <c r="D310" s="12"/>
      <c r="E310" s="12">
        <v>47639</v>
      </c>
      <c r="G310" s="7">
        <v>1692875</v>
      </c>
      <c r="I310" s="7">
        <v>0</v>
      </c>
      <c r="K310" s="7">
        <v>7856491</v>
      </c>
      <c r="M310" s="7">
        <v>97100</v>
      </c>
      <c r="O310" s="7">
        <f>688222+9000</f>
        <v>697222</v>
      </c>
      <c r="Q310" s="7">
        <v>4949</v>
      </c>
      <c r="S310" s="7">
        <v>0</v>
      </c>
      <c r="U310" s="7">
        <v>9623</v>
      </c>
      <c r="W310" s="7">
        <v>107104</v>
      </c>
      <c r="Y310" s="2">
        <f t="shared" si="50"/>
        <v>10465364</v>
      </c>
      <c r="AA310" s="7">
        <v>0</v>
      </c>
      <c r="AC310" s="7">
        <v>0</v>
      </c>
      <c r="AE310" s="7">
        <v>0</v>
      </c>
      <c r="AG310" s="7">
        <f>359922+11546</f>
        <v>371468</v>
      </c>
      <c r="AI310" s="7">
        <v>0</v>
      </c>
      <c r="AK310" s="7">
        <f t="shared" si="51"/>
        <v>371468</v>
      </c>
      <c r="AM310" s="7">
        <f t="shared" si="49"/>
        <v>10836832</v>
      </c>
      <c r="AO310" s="7" t="s">
        <v>927</v>
      </c>
      <c r="AP310" s="7" t="str">
        <f t="shared" si="45"/>
        <v>Lynchburg-Clay Local SD</v>
      </c>
      <c r="AQ310" s="7" t="str">
        <f>'Gen Fd BS'!A310</f>
        <v>Lynchburg-Clay Local SD</v>
      </c>
      <c r="AR310" s="7" t="b">
        <f t="shared" si="46"/>
        <v>1</v>
      </c>
      <c r="AT310" s="7" t="str">
        <f t="shared" si="43"/>
        <v>Highland</v>
      </c>
      <c r="AU310" s="7" t="b">
        <f>C310='Gen Fd BS'!C310</f>
        <v>1</v>
      </c>
    </row>
    <row r="311" spans="1:47">
      <c r="A311" s="12" t="s">
        <v>750</v>
      </c>
      <c r="B311" s="12"/>
      <c r="C311" s="12" t="s">
        <v>50</v>
      </c>
      <c r="D311" s="12"/>
      <c r="E311" s="12">
        <v>48702</v>
      </c>
      <c r="G311" s="7">
        <v>8482783</v>
      </c>
      <c r="I311" s="7">
        <v>0</v>
      </c>
      <c r="K311" s="7">
        <v>24313054</v>
      </c>
      <c r="M311" s="7">
        <v>74216</v>
      </c>
      <c r="O311" s="7">
        <f>554854+100361</f>
        <v>655215</v>
      </c>
      <c r="Q311" s="7">
        <v>100016</v>
      </c>
      <c r="S311" s="7">
        <v>0</v>
      </c>
      <c r="U311" s="7">
        <v>0</v>
      </c>
      <c r="W311" s="7">
        <v>152594</v>
      </c>
      <c r="Y311" s="2">
        <f t="shared" ref="Y311:Y365" si="52">SUM(G311:X311)</f>
        <v>33777878</v>
      </c>
      <c r="AA311" s="7">
        <v>0</v>
      </c>
      <c r="AC311" s="7">
        <v>0</v>
      </c>
      <c r="AE311" s="7">
        <v>0</v>
      </c>
      <c r="AG311" s="7">
        <v>40268</v>
      </c>
      <c r="AI311" s="7">
        <v>0</v>
      </c>
      <c r="AK311" s="7">
        <f t="shared" ref="AK311:AK357" si="53">SUM(AA311:AJ311)</f>
        <v>40268</v>
      </c>
      <c r="AM311" s="7">
        <f t="shared" si="49"/>
        <v>33818146</v>
      </c>
      <c r="AO311" s="14"/>
      <c r="AP311" s="7" t="str">
        <f t="shared" si="45"/>
        <v xml:space="preserve">Mad River Local SD </v>
      </c>
      <c r="AQ311" s="7" t="str">
        <f>'Gen Fd BS'!A311</f>
        <v xml:space="preserve">Mad River Local SD </v>
      </c>
      <c r="AR311" s="7" t="b">
        <f t="shared" si="46"/>
        <v>1</v>
      </c>
      <c r="AT311" s="7" t="str">
        <f t="shared" si="43"/>
        <v>Montgomery</v>
      </c>
      <c r="AU311" s="7" t="b">
        <f>C311='Gen Fd BS'!C311</f>
        <v>1</v>
      </c>
    </row>
    <row r="312" spans="1:47">
      <c r="A312" s="12" t="s">
        <v>333</v>
      </c>
      <c r="B312" s="12"/>
      <c r="C312" s="12" t="s">
        <v>32</v>
      </c>
      <c r="D312" s="12"/>
      <c r="E312" s="12">
        <v>44289</v>
      </c>
      <c r="G312" s="7">
        <v>10762885</v>
      </c>
      <c r="I312" s="7">
        <v>0</v>
      </c>
      <c r="K312" s="7">
        <v>4578873</v>
      </c>
      <c r="M312" s="7">
        <v>11639</v>
      </c>
      <c r="O312" s="7">
        <f>30547+10116</f>
        <v>40663</v>
      </c>
      <c r="Q312" s="7">
        <v>80080</v>
      </c>
      <c r="S312" s="7">
        <v>383076</v>
      </c>
      <c r="U312" s="7">
        <v>0</v>
      </c>
      <c r="W312" s="7">
        <v>72732</v>
      </c>
      <c r="Y312" s="2">
        <f t="shared" si="52"/>
        <v>15929948</v>
      </c>
      <c r="AA312" s="7">
        <v>0</v>
      </c>
      <c r="AC312" s="7">
        <v>0</v>
      </c>
      <c r="AE312" s="7">
        <v>220000</v>
      </c>
      <c r="AG312" s="7">
        <v>0</v>
      </c>
      <c r="AI312" s="7">
        <v>0</v>
      </c>
      <c r="AK312" s="7">
        <f t="shared" si="53"/>
        <v>220000</v>
      </c>
      <c r="AM312" s="7">
        <f t="shared" si="49"/>
        <v>16149948</v>
      </c>
      <c r="AP312" s="7" t="str">
        <f t="shared" si="45"/>
        <v>Madeira City SD</v>
      </c>
      <c r="AQ312" s="7" t="str">
        <f>'Gen Fd BS'!A312</f>
        <v>Madeira City SD</v>
      </c>
      <c r="AR312" s="7" t="b">
        <f t="shared" si="46"/>
        <v>1</v>
      </c>
      <c r="AT312" s="7" t="str">
        <f t="shared" si="43"/>
        <v>Hamilton</v>
      </c>
      <c r="AU312" s="7" t="b">
        <f>C312='Gen Fd BS'!C312</f>
        <v>1</v>
      </c>
    </row>
    <row r="313" spans="1:47">
      <c r="A313" s="12" t="s">
        <v>227</v>
      </c>
      <c r="B313" s="12"/>
      <c r="C313" s="12" t="s">
        <v>223</v>
      </c>
      <c r="D313" s="12"/>
      <c r="E313" s="12">
        <v>46128</v>
      </c>
      <c r="F313" s="10"/>
      <c r="G313" s="7">
        <v>3520970</v>
      </c>
      <c r="I313" s="7">
        <v>0</v>
      </c>
      <c r="K313" s="7">
        <f>6256819+12904</f>
        <v>6269723</v>
      </c>
      <c r="M313" s="7">
        <v>7357</v>
      </c>
      <c r="O313" s="7">
        <f>914740+53693</f>
        <v>968433</v>
      </c>
      <c r="Q313" s="7">
        <v>58787</v>
      </c>
      <c r="S313" s="7">
        <v>0</v>
      </c>
      <c r="U313" s="7">
        <v>0</v>
      </c>
      <c r="W313" s="7">
        <f>378+437993</f>
        <v>438371</v>
      </c>
      <c r="Y313" s="2">
        <f t="shared" si="52"/>
        <v>11263641</v>
      </c>
      <c r="AA313" s="7">
        <v>0</v>
      </c>
      <c r="AC313" s="7">
        <v>0</v>
      </c>
      <c r="AE313" s="7">
        <v>0</v>
      </c>
      <c r="AG313" s="7">
        <v>0</v>
      </c>
      <c r="AI313" s="7">
        <v>0</v>
      </c>
      <c r="AK313" s="7">
        <f t="shared" si="53"/>
        <v>0</v>
      </c>
      <c r="AM313" s="7">
        <f t="shared" si="49"/>
        <v>11263641</v>
      </c>
      <c r="AP313" s="7" t="str">
        <f t="shared" si="45"/>
        <v>Madison Local SD</v>
      </c>
      <c r="AQ313" s="7" t="str">
        <f>'Gen Fd BS'!A313</f>
        <v>Madison Local SD</v>
      </c>
      <c r="AR313" s="7" t="b">
        <f t="shared" si="46"/>
        <v>1</v>
      </c>
      <c r="AT313" s="7" t="str">
        <f t="shared" si="43"/>
        <v>Butler</v>
      </c>
      <c r="AU313" s="7" t="b">
        <f>C313='Gen Fd BS'!C313</f>
        <v>1</v>
      </c>
    </row>
    <row r="314" spans="1:47" hidden="1">
      <c r="A314" s="12" t="s">
        <v>772</v>
      </c>
      <c r="B314" s="12"/>
      <c r="C314" s="12" t="s">
        <v>41</v>
      </c>
      <c r="D314" s="12"/>
      <c r="E314" s="12"/>
      <c r="F314" s="10"/>
      <c r="I314" s="7">
        <v>0</v>
      </c>
      <c r="Y314" s="2">
        <f t="shared" si="52"/>
        <v>0</v>
      </c>
      <c r="AA314" s="7">
        <v>0</v>
      </c>
      <c r="AC314" s="7">
        <v>0</v>
      </c>
      <c r="AI314" s="7">
        <v>0</v>
      </c>
      <c r="AK314" s="7">
        <f t="shared" si="53"/>
        <v>0</v>
      </c>
      <c r="AM314" s="7">
        <f t="shared" si="49"/>
        <v>0</v>
      </c>
      <c r="AO314" s="7" t="s">
        <v>839</v>
      </c>
      <c r="AP314" s="7" t="str">
        <f t="shared" si="45"/>
        <v xml:space="preserve">Madison Local SD (CASH)  </v>
      </c>
      <c r="AQ314" s="7" t="str">
        <f>'Gen Fd BS'!A314</f>
        <v xml:space="preserve">Madison Local SD (CASH)  </v>
      </c>
      <c r="AR314" s="7" t="b">
        <f t="shared" si="46"/>
        <v>1</v>
      </c>
      <c r="AT314" s="7" t="str">
        <f t="shared" si="43"/>
        <v>Lake</v>
      </c>
      <c r="AU314" s="7" t="b">
        <f>C314='Gen Fd BS'!C314</f>
        <v>1</v>
      </c>
    </row>
    <row r="315" spans="1:47">
      <c r="A315" s="12" t="s">
        <v>227</v>
      </c>
      <c r="B315" s="12"/>
      <c r="C315" s="12" t="s">
        <v>110</v>
      </c>
      <c r="D315" s="12"/>
      <c r="E315" s="12">
        <v>49452</v>
      </c>
      <c r="G315" s="7">
        <v>10198545</v>
      </c>
      <c r="I315" s="7">
        <v>0</v>
      </c>
      <c r="K315" s="7">
        <f>16827115+10831</f>
        <v>16837946</v>
      </c>
      <c r="M315" s="7">
        <v>81603</v>
      </c>
      <c r="O315" s="7">
        <f>1555383+20140+112454+3950+100459</f>
        <v>1792386</v>
      </c>
      <c r="Q315" s="7">
        <v>2871</v>
      </c>
      <c r="S315" s="7">
        <v>233634</v>
      </c>
      <c r="U315" s="7">
        <v>2500</v>
      </c>
      <c r="W315" s="7">
        <v>217811</v>
      </c>
      <c r="Y315" s="2">
        <f t="shared" si="52"/>
        <v>29367296</v>
      </c>
      <c r="AA315" s="7">
        <v>0</v>
      </c>
      <c r="AC315" s="7">
        <v>0</v>
      </c>
      <c r="AE315" s="7">
        <v>0</v>
      </c>
      <c r="AG315" s="7">
        <v>30362</v>
      </c>
      <c r="AI315" s="7">
        <v>0</v>
      </c>
      <c r="AK315" s="7">
        <f t="shared" si="53"/>
        <v>30362</v>
      </c>
      <c r="AM315" s="7">
        <f t="shared" si="49"/>
        <v>29397658</v>
      </c>
      <c r="AP315" s="7" t="str">
        <f t="shared" si="45"/>
        <v>Madison Local SD</v>
      </c>
      <c r="AQ315" s="7" t="str">
        <f>'Gen Fd BS'!A315</f>
        <v>Madison Local SD</v>
      </c>
      <c r="AR315" s="7" t="b">
        <f t="shared" si="46"/>
        <v>1</v>
      </c>
      <c r="AT315" s="7" t="str">
        <f t="shared" si="43"/>
        <v>Richland</v>
      </c>
      <c r="AU315" s="7" t="b">
        <f>C315='Gen Fd BS'!C315</f>
        <v>1</v>
      </c>
    </row>
    <row r="316" spans="1:47">
      <c r="A316" s="12" t="s">
        <v>730</v>
      </c>
      <c r="B316" s="12"/>
      <c r="C316" s="12" t="s">
        <v>411</v>
      </c>
      <c r="D316" s="12"/>
      <c r="E316" s="12"/>
      <c r="G316" s="7">
        <v>5879563</v>
      </c>
      <c r="I316" s="7">
        <v>0</v>
      </c>
      <c r="K316" s="7">
        <v>6231520</v>
      </c>
      <c r="M316" s="7">
        <v>48317</v>
      </c>
      <c r="O316" s="7">
        <f>911117+225</f>
        <v>911342</v>
      </c>
      <c r="Q316" s="7">
        <v>16467</v>
      </c>
      <c r="S316" s="7">
        <v>19519</v>
      </c>
      <c r="U316" s="7">
        <v>2177</v>
      </c>
      <c r="W316" s="7">
        <v>257215</v>
      </c>
      <c r="Y316" s="2">
        <f t="shared" si="52"/>
        <v>13366120</v>
      </c>
      <c r="AA316" s="7">
        <v>2740</v>
      </c>
      <c r="AC316" s="7">
        <v>0</v>
      </c>
      <c r="AE316" s="7">
        <v>0</v>
      </c>
      <c r="AG316" s="7">
        <v>0</v>
      </c>
      <c r="AI316" s="7">
        <v>0</v>
      </c>
      <c r="AK316" s="7">
        <f t="shared" si="53"/>
        <v>2740</v>
      </c>
      <c r="AM316" s="7">
        <f t="shared" si="49"/>
        <v>13368860</v>
      </c>
      <c r="AP316" s="7" t="str">
        <f t="shared" si="45"/>
        <v xml:space="preserve">Madison Plains Local SD </v>
      </c>
      <c r="AQ316" s="7" t="str">
        <f>'Gen Fd BS'!A316</f>
        <v xml:space="preserve">Madison Plains Local SD </v>
      </c>
      <c r="AR316" s="7" t="b">
        <f t="shared" si="46"/>
        <v>1</v>
      </c>
      <c r="AT316" s="7" t="str">
        <f t="shared" si="43"/>
        <v>Madison</v>
      </c>
      <c r="AU316" s="7" t="b">
        <f>C316='Gen Fd BS'!C316</f>
        <v>1</v>
      </c>
    </row>
    <row r="317" spans="1:47">
      <c r="A317" s="12" t="s">
        <v>630</v>
      </c>
      <c r="B317" s="12"/>
      <c r="C317" s="12" t="s">
        <v>201</v>
      </c>
      <c r="D317" s="12"/>
      <c r="E317" s="12"/>
      <c r="G317" s="7">
        <v>6752173</v>
      </c>
      <c r="I317" s="7">
        <v>0</v>
      </c>
      <c r="K317" s="7">
        <v>4693480</v>
      </c>
      <c r="M317" s="7">
        <v>49458</v>
      </c>
      <c r="O317" s="7">
        <f>460380+140</f>
        <v>460520</v>
      </c>
      <c r="Q317" s="7">
        <v>0</v>
      </c>
      <c r="S317" s="7">
        <v>0</v>
      </c>
      <c r="U317" s="7">
        <v>1308</v>
      </c>
      <c r="W317" s="7">
        <v>66887</v>
      </c>
      <c r="Y317" s="2">
        <f t="shared" si="52"/>
        <v>12023826</v>
      </c>
      <c r="AA317" s="7">
        <v>0</v>
      </c>
      <c r="AC317" s="7">
        <v>0</v>
      </c>
      <c r="AE317" s="7">
        <v>175610</v>
      </c>
      <c r="AG317" s="7">
        <v>8952</v>
      </c>
      <c r="AI317" s="7">
        <v>0</v>
      </c>
      <c r="AK317" s="7">
        <f t="shared" si="53"/>
        <v>184562</v>
      </c>
      <c r="AM317" s="7">
        <f t="shared" si="49"/>
        <v>12208388</v>
      </c>
      <c r="AP317" s="7" t="str">
        <f t="shared" si="45"/>
        <v>Manchester Local SD</v>
      </c>
      <c r="AQ317" s="7" t="str">
        <f>'Gen Fd BS'!A317</f>
        <v>Manchester Local SD</v>
      </c>
      <c r="AR317" s="7" t="b">
        <f t="shared" si="46"/>
        <v>1</v>
      </c>
      <c r="AT317" s="7" t="str">
        <f t="shared" si="43"/>
        <v>Adams</v>
      </c>
      <c r="AU317" s="7" t="b">
        <f>C317='Gen Fd BS'!C317</f>
        <v>1</v>
      </c>
    </row>
    <row r="318" spans="1:47" hidden="1">
      <c r="A318" s="12" t="s">
        <v>930</v>
      </c>
      <c r="B318" s="12"/>
      <c r="C318" s="12" t="s">
        <v>63</v>
      </c>
      <c r="D318" s="12"/>
      <c r="E318" s="12"/>
      <c r="I318" s="7">
        <v>0</v>
      </c>
      <c r="Y318" s="2">
        <f t="shared" ref="Y318" si="54">SUM(G318:X318)</f>
        <v>0</v>
      </c>
      <c r="AA318" s="7">
        <v>0</v>
      </c>
      <c r="AC318" s="7">
        <v>0</v>
      </c>
      <c r="AI318" s="7">
        <v>0</v>
      </c>
      <c r="AK318" s="7">
        <f t="shared" ref="AK318" si="55">SUM(AA318:AJ318)</f>
        <v>0</v>
      </c>
      <c r="AM318" s="7">
        <f t="shared" ref="AM318" si="56">+AK318+Y318</f>
        <v>0</v>
      </c>
      <c r="AO318" s="7" t="s">
        <v>931</v>
      </c>
      <c r="AP318" s="7" t="str">
        <f t="shared" ref="AP318" si="57">A318</f>
        <v>Manchester Local SD (CASH)</v>
      </c>
      <c r="AQ318" s="7" t="str">
        <f>'Gen Fd BS'!A318</f>
        <v>Manchester Local SD (CASH)</v>
      </c>
      <c r="AR318" s="7" t="b">
        <f t="shared" ref="AR318" si="58">AP318=AQ318</f>
        <v>1</v>
      </c>
      <c r="AT318" s="7" t="str">
        <f t="shared" ref="AT318" si="59">C318</f>
        <v>Summit</v>
      </c>
      <c r="AU318" s="7" t="b">
        <f>C318='Gen Fd BS'!C318</f>
        <v>1</v>
      </c>
    </row>
    <row r="319" spans="1:47">
      <c r="A319" s="12" t="s">
        <v>484</v>
      </c>
      <c r="B319" s="12"/>
      <c r="C319" s="12" t="s">
        <v>110</v>
      </c>
      <c r="D319" s="12"/>
      <c r="E319" s="12">
        <v>44297</v>
      </c>
      <c r="G319" s="7">
        <v>15581917</v>
      </c>
      <c r="I319" s="7">
        <v>0</v>
      </c>
      <c r="K319" s="7">
        <f>33402202+78389</f>
        <v>33480591</v>
      </c>
      <c r="M319" s="7">
        <v>137592</v>
      </c>
      <c r="O319" s="7">
        <f>671862+74852+75306+8361+93718</f>
        <v>924099</v>
      </c>
      <c r="Q319" s="7">
        <v>167238</v>
      </c>
      <c r="S319" s="7">
        <v>0</v>
      </c>
      <c r="U319" s="7">
        <v>33428</v>
      </c>
      <c r="W319" s="7">
        <v>1476353</v>
      </c>
      <c r="Y319" s="2">
        <f t="shared" si="52"/>
        <v>51801218</v>
      </c>
      <c r="AA319" s="7">
        <v>0</v>
      </c>
      <c r="AC319" s="7">
        <v>0</v>
      </c>
      <c r="AE319" s="7">
        <v>0</v>
      </c>
      <c r="AG319" s="7">
        <v>1187</v>
      </c>
      <c r="AI319" s="7">
        <v>0</v>
      </c>
      <c r="AK319" s="7">
        <f t="shared" si="53"/>
        <v>1187</v>
      </c>
      <c r="AM319" s="7">
        <f t="shared" si="49"/>
        <v>51802405</v>
      </c>
      <c r="AP319" s="7" t="str">
        <f t="shared" si="45"/>
        <v>Mansfield City SD</v>
      </c>
      <c r="AQ319" s="7" t="str">
        <f>'Gen Fd BS'!A319</f>
        <v>Mansfield City SD</v>
      </c>
      <c r="AR319" s="7" t="b">
        <f t="shared" si="46"/>
        <v>1</v>
      </c>
      <c r="AT319" s="7" t="str">
        <f t="shared" si="43"/>
        <v>Richland</v>
      </c>
      <c r="AU319" s="7" t="b">
        <f>C319='Gen Fd BS'!C319</f>
        <v>1</v>
      </c>
    </row>
    <row r="320" spans="1:47">
      <c r="A320" s="12" t="s">
        <v>762</v>
      </c>
      <c r="B320" s="12"/>
      <c r="C320" s="12" t="s">
        <v>20</v>
      </c>
      <c r="D320" s="12"/>
      <c r="E320" s="12">
        <v>44305</v>
      </c>
      <c r="G320" s="7">
        <v>14121848</v>
      </c>
      <c r="I320" s="7">
        <v>0</v>
      </c>
      <c r="K320" s="7">
        <v>20961125</v>
      </c>
      <c r="M320" s="7">
        <v>11527</v>
      </c>
      <c r="O320" s="7">
        <f>17805+1149140</f>
        <v>1166945</v>
      </c>
      <c r="Q320" s="7">
        <v>41855</v>
      </c>
      <c r="S320" s="7">
        <v>0</v>
      </c>
      <c r="U320" s="7">
        <v>48946</v>
      </c>
      <c r="W320" s="7">
        <v>163294</v>
      </c>
      <c r="Y320" s="2">
        <f t="shared" si="52"/>
        <v>36515540</v>
      </c>
      <c r="AA320" s="7">
        <v>0</v>
      </c>
      <c r="AC320" s="7">
        <v>0</v>
      </c>
      <c r="AE320" s="7">
        <v>0</v>
      </c>
      <c r="AG320" s="7">
        <v>0</v>
      </c>
      <c r="AI320" s="7">
        <v>0</v>
      </c>
      <c r="AK320" s="7">
        <f t="shared" si="53"/>
        <v>0</v>
      </c>
      <c r="AM320" s="7">
        <f t="shared" ref="AM320:AM352" si="60">+AK320+Y320</f>
        <v>36515540</v>
      </c>
      <c r="AO320" s="14"/>
      <c r="AP320" s="7" t="str">
        <f t="shared" si="45"/>
        <v xml:space="preserve">Maple Heights City SD </v>
      </c>
      <c r="AQ320" s="7" t="str">
        <f>'Gen Fd BS'!A320</f>
        <v xml:space="preserve">Maple Heights City SD </v>
      </c>
      <c r="AR320" s="7" t="b">
        <f t="shared" si="46"/>
        <v>1</v>
      </c>
      <c r="AT320" s="7" t="str">
        <f t="shared" si="43"/>
        <v>Cuyahoga</v>
      </c>
      <c r="AU320" s="7" t="b">
        <f>C320='Gen Fd BS'!C320</f>
        <v>1</v>
      </c>
    </row>
    <row r="321" spans="1:47">
      <c r="A321" s="12" t="s">
        <v>206</v>
      </c>
      <c r="B321" s="12"/>
      <c r="C321" s="12" t="s">
        <v>11</v>
      </c>
      <c r="D321" s="12"/>
      <c r="E321" s="12">
        <v>45831</v>
      </c>
      <c r="F321" s="10"/>
      <c r="G321" s="7">
        <v>2317209</v>
      </c>
      <c r="I321" s="7">
        <v>0</v>
      </c>
      <c r="K321" s="7">
        <v>4740958</v>
      </c>
      <c r="M321" s="7">
        <v>2655</v>
      </c>
      <c r="O321" s="7">
        <f>605556+16641+32036</f>
        <v>654233</v>
      </c>
      <c r="Q321" s="7">
        <v>66573</v>
      </c>
      <c r="S321" s="7">
        <v>0</v>
      </c>
      <c r="U321" s="7">
        <v>2409</v>
      </c>
      <c r="W321" s="7">
        <v>8676</v>
      </c>
      <c r="Y321" s="2">
        <f t="shared" si="52"/>
        <v>7792713</v>
      </c>
      <c r="AA321" s="7">
        <v>0</v>
      </c>
      <c r="AC321" s="7">
        <v>0</v>
      </c>
      <c r="AE321" s="7">
        <v>0</v>
      </c>
      <c r="AG321" s="7">
        <v>0</v>
      </c>
      <c r="AI321" s="7">
        <v>0</v>
      </c>
      <c r="AK321" s="7">
        <f t="shared" si="53"/>
        <v>0</v>
      </c>
      <c r="AM321" s="7">
        <f t="shared" si="60"/>
        <v>7792713</v>
      </c>
      <c r="AP321" s="7" t="str">
        <f t="shared" si="45"/>
        <v>Mapleton Local SD</v>
      </c>
      <c r="AQ321" s="7" t="str">
        <f>'Gen Fd BS'!A321</f>
        <v>Mapleton Local SD</v>
      </c>
      <c r="AR321" s="7" t="b">
        <f t="shared" si="46"/>
        <v>1</v>
      </c>
      <c r="AT321" s="7" t="str">
        <f t="shared" si="43"/>
        <v>Ashland</v>
      </c>
      <c r="AU321" s="7" t="b">
        <f>C321='Gen Fd BS'!C321</f>
        <v>1</v>
      </c>
    </row>
    <row r="322" spans="1:47">
      <c r="A322" s="12" t="s">
        <v>544</v>
      </c>
      <c r="B322" s="12"/>
      <c r="C322" s="12" t="s">
        <v>64</v>
      </c>
      <c r="D322" s="12"/>
      <c r="E322" s="12">
        <v>50211</v>
      </c>
      <c r="G322" s="7">
        <v>2309811</v>
      </c>
      <c r="I322" s="7">
        <v>0</v>
      </c>
      <c r="K322" s="7">
        <v>5572961</v>
      </c>
      <c r="M322" s="7">
        <v>10716</v>
      </c>
      <c r="O322" s="7">
        <f>367683</f>
        <v>367683</v>
      </c>
      <c r="Q322" s="7">
        <v>33232</v>
      </c>
      <c r="S322" s="7">
        <v>0</v>
      </c>
      <c r="U322" s="7">
        <v>1031</v>
      </c>
      <c r="W322" s="7">
        <v>50987</v>
      </c>
      <c r="Y322" s="2">
        <f t="shared" si="52"/>
        <v>8346421</v>
      </c>
      <c r="AA322" s="7">
        <v>0</v>
      </c>
      <c r="AC322" s="7">
        <v>0</v>
      </c>
      <c r="AE322" s="7">
        <v>0</v>
      </c>
      <c r="AG322" s="7">
        <v>0</v>
      </c>
      <c r="AI322" s="7">
        <v>0</v>
      </c>
      <c r="AK322" s="7">
        <f t="shared" si="53"/>
        <v>0</v>
      </c>
      <c r="AM322" s="7">
        <f t="shared" si="60"/>
        <v>8346421</v>
      </c>
      <c r="AP322" s="7" t="str">
        <f t="shared" si="45"/>
        <v>Maplewood Local SD</v>
      </c>
      <c r="AQ322" s="7" t="str">
        <f>'Gen Fd BS'!A322</f>
        <v>Maplewood Local SD</v>
      </c>
      <c r="AR322" s="7" t="b">
        <f t="shared" si="46"/>
        <v>1</v>
      </c>
      <c r="AT322" s="7" t="str">
        <f t="shared" si="43"/>
        <v>Trumbull</v>
      </c>
      <c r="AU322" s="7" t="b">
        <f>C322='Gen Fd BS'!C322</f>
        <v>1</v>
      </c>
    </row>
    <row r="323" spans="1:47">
      <c r="A323" s="12" t="s">
        <v>294</v>
      </c>
      <c r="B323" s="12"/>
      <c r="C323" s="12" t="s">
        <v>24</v>
      </c>
      <c r="D323" s="12"/>
      <c r="E323" s="12">
        <v>46805</v>
      </c>
      <c r="G323" s="7">
        <v>5361409</v>
      </c>
      <c r="I323" s="7">
        <v>0</v>
      </c>
      <c r="K323" s="7">
        <f>6417523+33583</f>
        <v>6451106</v>
      </c>
      <c r="M323" s="7">
        <v>944</v>
      </c>
      <c r="O323" s="7">
        <f>509324+45717+42520+22118</f>
        <v>619679</v>
      </c>
      <c r="Q323" s="7">
        <v>126223</v>
      </c>
      <c r="S323" s="7">
        <v>0</v>
      </c>
      <c r="U323" s="7">
        <v>0</v>
      </c>
      <c r="W323" s="7">
        <v>27969</v>
      </c>
      <c r="Y323" s="2">
        <f t="shared" si="52"/>
        <v>12587330</v>
      </c>
      <c r="AA323" s="7">
        <v>0</v>
      </c>
      <c r="AC323" s="7">
        <v>0</v>
      </c>
      <c r="AE323" s="7">
        <v>0</v>
      </c>
      <c r="AG323" s="7">
        <v>0</v>
      </c>
      <c r="AI323" s="7">
        <v>0</v>
      </c>
      <c r="AK323" s="7">
        <f t="shared" si="53"/>
        <v>0</v>
      </c>
      <c r="AM323" s="7">
        <f t="shared" si="60"/>
        <v>12587330</v>
      </c>
      <c r="AP323" s="7" t="str">
        <f t="shared" si="45"/>
        <v>Margaretta Local SD</v>
      </c>
      <c r="AQ323" s="7" t="str">
        <f>'Gen Fd BS'!A323</f>
        <v>Margaretta Local SD</v>
      </c>
      <c r="AR323" s="7" t="b">
        <f t="shared" si="46"/>
        <v>1</v>
      </c>
      <c r="AT323" s="7" t="str">
        <f t="shared" si="43"/>
        <v>Erie</v>
      </c>
      <c r="AU323" s="7" t="b">
        <f>C323='Gen Fd BS'!C323</f>
        <v>1</v>
      </c>
    </row>
    <row r="324" spans="1:47">
      <c r="A324" s="12" t="s">
        <v>334</v>
      </c>
      <c r="B324" s="12"/>
      <c r="C324" s="12" t="s">
        <v>32</v>
      </c>
      <c r="D324" s="12"/>
      <c r="E324" s="12">
        <v>44313</v>
      </c>
      <c r="G324" s="7">
        <v>15363019</v>
      </c>
      <c r="I324" s="7">
        <v>0</v>
      </c>
      <c r="K324" s="7">
        <v>6374506</v>
      </c>
      <c r="M324" s="7">
        <v>46294</v>
      </c>
      <c r="O324" s="7">
        <f>128180+4164</f>
        <v>132344</v>
      </c>
      <c r="Q324" s="7">
        <v>46547</v>
      </c>
      <c r="S324" s="7">
        <v>0</v>
      </c>
      <c r="U324" s="7">
        <v>0</v>
      </c>
      <c r="W324" s="7">
        <v>42951</v>
      </c>
      <c r="Y324" s="2">
        <f t="shared" si="52"/>
        <v>22005661</v>
      </c>
      <c r="AA324" s="7">
        <v>0</v>
      </c>
      <c r="AC324" s="7">
        <v>0</v>
      </c>
      <c r="AE324" s="7">
        <v>0</v>
      </c>
      <c r="AG324" s="7">
        <v>0</v>
      </c>
      <c r="AI324" s="7">
        <v>0</v>
      </c>
      <c r="AK324" s="7">
        <f t="shared" si="53"/>
        <v>0</v>
      </c>
      <c r="AM324" s="7">
        <f t="shared" si="60"/>
        <v>22005661</v>
      </c>
      <c r="AO324" s="7" t="s">
        <v>914</v>
      </c>
      <c r="AP324" s="7" t="str">
        <f t="shared" si="45"/>
        <v>Mariemont City SD</v>
      </c>
      <c r="AQ324" s="7" t="str">
        <f>'Gen Fd BS'!A324</f>
        <v>Mariemont City SD</v>
      </c>
      <c r="AR324" s="7" t="b">
        <f t="shared" si="46"/>
        <v>1</v>
      </c>
      <c r="AT324" s="7" t="str">
        <f t="shared" si="43"/>
        <v>Hamilton</v>
      </c>
      <c r="AU324" s="7" t="b">
        <f>C324='Gen Fd BS'!C324</f>
        <v>1</v>
      </c>
    </row>
    <row r="325" spans="1:47" hidden="1">
      <c r="A325" s="12" t="s">
        <v>638</v>
      </c>
      <c r="B325" s="12"/>
      <c r="C325" s="12" t="s">
        <v>70</v>
      </c>
      <c r="D325" s="12"/>
      <c r="E325" s="12">
        <v>44321</v>
      </c>
      <c r="I325" s="7">
        <v>0</v>
      </c>
      <c r="Y325" s="2">
        <f t="shared" si="52"/>
        <v>0</v>
      </c>
      <c r="AA325" s="7">
        <v>0</v>
      </c>
      <c r="AC325" s="7">
        <v>0</v>
      </c>
      <c r="AI325" s="7">
        <v>0</v>
      </c>
      <c r="AK325" s="7">
        <f t="shared" si="53"/>
        <v>0</v>
      </c>
      <c r="AM325" s="7">
        <f t="shared" si="60"/>
        <v>0</v>
      </c>
      <c r="AO325" s="7" t="s">
        <v>839</v>
      </c>
      <c r="AP325" s="7" t="str">
        <f t="shared" si="45"/>
        <v>Marietta City SD (CASH)</v>
      </c>
      <c r="AQ325" s="7" t="str">
        <f>'Gen Fd BS'!A325</f>
        <v>Marietta City SD (CASH)</v>
      </c>
      <c r="AR325" s="7" t="b">
        <f t="shared" si="46"/>
        <v>1</v>
      </c>
      <c r="AT325" s="7" t="str">
        <f t="shared" si="43"/>
        <v>Washington</v>
      </c>
      <c r="AU325" s="7" t="b">
        <f>C325='Gen Fd BS'!C325</f>
        <v>1</v>
      </c>
    </row>
    <row r="326" spans="1:47">
      <c r="A326" s="12" t="s">
        <v>423</v>
      </c>
      <c r="B326" s="12"/>
      <c r="C326" s="12" t="s">
        <v>46</v>
      </c>
      <c r="D326" s="12"/>
      <c r="E326" s="12">
        <v>44339</v>
      </c>
      <c r="G326" s="7">
        <v>7753351</v>
      </c>
      <c r="I326" s="7">
        <v>0</v>
      </c>
      <c r="K326" s="7">
        <v>32050298</v>
      </c>
      <c r="M326" s="7">
        <v>111401</v>
      </c>
      <c r="O326" s="7">
        <f>1746095+917196</f>
        <v>2663291</v>
      </c>
      <c r="Q326" s="7">
        <v>42539</v>
      </c>
      <c r="S326" s="7">
        <v>93519</v>
      </c>
      <c r="U326" s="7">
        <v>1837</v>
      </c>
      <c r="W326" s="7">
        <v>246540</v>
      </c>
      <c r="Y326" s="2">
        <f t="shared" si="52"/>
        <v>42962776</v>
      </c>
      <c r="AA326" s="7">
        <v>0</v>
      </c>
      <c r="AC326" s="7">
        <v>0</v>
      </c>
      <c r="AE326" s="7">
        <v>0</v>
      </c>
      <c r="AG326" s="7">
        <v>0</v>
      </c>
      <c r="AI326" s="7">
        <v>0</v>
      </c>
      <c r="AK326" s="7">
        <f t="shared" si="53"/>
        <v>0</v>
      </c>
      <c r="AM326" s="7">
        <f t="shared" si="60"/>
        <v>42962776</v>
      </c>
      <c r="AP326" s="7" t="str">
        <f t="shared" si="45"/>
        <v>Marion City SD</v>
      </c>
      <c r="AQ326" s="7" t="str">
        <f>'Gen Fd BS'!A326</f>
        <v>Marion City SD</v>
      </c>
      <c r="AR326" s="7" t="b">
        <f t="shared" si="46"/>
        <v>1</v>
      </c>
      <c r="AT326" s="7" t="str">
        <f t="shared" si="43"/>
        <v>Marion</v>
      </c>
      <c r="AU326" s="7" t="b">
        <f>C326='Gen Fd BS'!C326</f>
        <v>1</v>
      </c>
    </row>
    <row r="327" spans="1:47" hidden="1">
      <c r="A327" s="12" t="s">
        <v>721</v>
      </c>
      <c r="B327" s="12"/>
      <c r="C327" s="12" t="s">
        <v>435</v>
      </c>
      <c r="D327" s="12"/>
      <c r="E327" s="12"/>
      <c r="I327" s="7">
        <v>0</v>
      </c>
      <c r="Y327" s="2">
        <f t="shared" si="52"/>
        <v>0</v>
      </c>
      <c r="AA327" s="7">
        <v>0</v>
      </c>
      <c r="AC327" s="7">
        <v>0</v>
      </c>
      <c r="AI327" s="7">
        <v>0</v>
      </c>
      <c r="AM327" s="7">
        <f t="shared" si="60"/>
        <v>0</v>
      </c>
      <c r="AO327" s="7" t="s">
        <v>839</v>
      </c>
      <c r="AP327" s="7" t="str">
        <f t="shared" si="45"/>
        <v>Marion Local SD (CASH)</v>
      </c>
      <c r="AQ327" s="7" t="str">
        <f>'Gen Fd BS'!A327</f>
        <v>Marion Local SD (CASH)</v>
      </c>
      <c r="AR327" s="7" t="b">
        <f t="shared" si="46"/>
        <v>1</v>
      </c>
      <c r="AT327" s="7" t="str">
        <f t="shared" si="43"/>
        <v>Mercer</v>
      </c>
      <c r="AU327" s="7" t="b">
        <f>C327='Gen Fd BS'!C327</f>
        <v>1</v>
      </c>
    </row>
    <row r="328" spans="1:47">
      <c r="A328" s="12" t="s">
        <v>515</v>
      </c>
      <c r="B328" s="12"/>
      <c r="C328" s="12" t="s">
        <v>62</v>
      </c>
      <c r="D328" s="12"/>
      <c r="E328" s="12">
        <v>49882</v>
      </c>
      <c r="G328" s="7">
        <v>8764109</v>
      </c>
      <c r="I328" s="7">
        <v>0</v>
      </c>
      <c r="K328" s="7">
        <f>2999+11867838+144298</f>
        <v>12015135</v>
      </c>
      <c r="M328" s="7">
        <v>38099</v>
      </c>
      <c r="O328" s="7">
        <f>607710+1373+121043+19150</f>
        <v>749276</v>
      </c>
      <c r="Q328" s="7">
        <v>103009</v>
      </c>
      <c r="S328" s="7">
        <v>0</v>
      </c>
      <c r="U328" s="7">
        <v>58444</v>
      </c>
      <c r="W328" s="7">
        <v>103340</v>
      </c>
      <c r="Y328" s="2">
        <f t="shared" si="52"/>
        <v>21831412</v>
      </c>
      <c r="AA328" s="7">
        <v>0</v>
      </c>
      <c r="AC328" s="7">
        <v>0</v>
      </c>
      <c r="AE328" s="7">
        <v>0</v>
      </c>
      <c r="AG328" s="7">
        <f>4088+75687</f>
        <v>79775</v>
      </c>
      <c r="AI328" s="7">
        <v>0</v>
      </c>
      <c r="AK328" s="7">
        <f t="shared" si="53"/>
        <v>79775</v>
      </c>
      <c r="AM328" s="7">
        <f t="shared" si="60"/>
        <v>21911187</v>
      </c>
      <c r="AP328" s="7" t="str">
        <f t="shared" si="45"/>
        <v>Marlington Local SD</v>
      </c>
      <c r="AQ328" s="7" t="str">
        <f>'Gen Fd BS'!A328</f>
        <v>Marlington Local SD</v>
      </c>
      <c r="AR328" s="7" t="b">
        <f t="shared" si="46"/>
        <v>1</v>
      </c>
      <c r="AT328" s="7" t="str">
        <f t="shared" si="43"/>
        <v>Stark</v>
      </c>
      <c r="AU328" s="7" t="b">
        <f>C328='Gen Fd BS'!C328</f>
        <v>1</v>
      </c>
    </row>
    <row r="329" spans="1:47">
      <c r="A329" s="12" t="s">
        <v>217</v>
      </c>
      <c r="B329" s="12"/>
      <c r="C329" s="12" t="s">
        <v>15</v>
      </c>
      <c r="D329" s="12"/>
      <c r="E329" s="12">
        <v>44347</v>
      </c>
      <c r="F329" s="10"/>
      <c r="G329" s="7">
        <v>2166319</v>
      </c>
      <c r="I329" s="7">
        <v>0</v>
      </c>
      <c r="K329" s="7">
        <v>8673707</v>
      </c>
      <c r="M329" s="7">
        <v>421</v>
      </c>
      <c r="O329" s="7">
        <f>976295+14963</f>
        <v>991258</v>
      </c>
      <c r="Q329" s="7">
        <v>0</v>
      </c>
      <c r="S329" s="7">
        <v>0</v>
      </c>
      <c r="U329" s="7">
        <v>0</v>
      </c>
      <c r="W329" s="7">
        <v>12847</v>
      </c>
      <c r="Y329" s="2">
        <f t="shared" si="52"/>
        <v>11844552</v>
      </c>
      <c r="AA329" s="7">
        <v>1858</v>
      </c>
      <c r="AC329" s="7">
        <v>0</v>
      </c>
      <c r="AE329" s="7">
        <v>0</v>
      </c>
      <c r="AG329" s="7">
        <v>0</v>
      </c>
      <c r="AI329" s="7">
        <v>0</v>
      </c>
      <c r="AK329" s="7">
        <f t="shared" si="53"/>
        <v>1858</v>
      </c>
      <c r="AM329" s="7">
        <f t="shared" si="60"/>
        <v>11846410</v>
      </c>
      <c r="AP329" s="7" t="str">
        <f t="shared" si="45"/>
        <v>Martins Ferry City SD</v>
      </c>
      <c r="AQ329" s="7" t="str">
        <f>'Gen Fd BS'!A329</f>
        <v>Martins Ferry City SD</v>
      </c>
      <c r="AR329" s="7" t="b">
        <f t="shared" si="46"/>
        <v>1</v>
      </c>
      <c r="AT329" s="7" t="str">
        <f t="shared" si="43"/>
        <v>Belmont</v>
      </c>
      <c r="AU329" s="7" t="b">
        <f>C329='Gen Fd BS'!C329</f>
        <v>1</v>
      </c>
    </row>
    <row r="330" spans="1:47">
      <c r="A330" s="12" t="s">
        <v>876</v>
      </c>
      <c r="B330" s="12"/>
      <c r="C330" s="12" t="s">
        <v>66</v>
      </c>
      <c r="D330" s="12"/>
      <c r="E330" s="12">
        <v>45476</v>
      </c>
      <c r="G330" s="7">
        <v>19065961</v>
      </c>
      <c r="I330" s="7">
        <v>0</v>
      </c>
      <c r="K330" s="7">
        <f>23567386+89451</f>
        <v>23656837</v>
      </c>
      <c r="M330" s="7">
        <v>37934</v>
      </c>
      <c r="O330" s="7">
        <f>345687+24285+259521+131633</f>
        <v>761126</v>
      </c>
      <c r="Q330" s="7">
        <v>341569</v>
      </c>
      <c r="S330" s="7">
        <v>60000</v>
      </c>
      <c r="U330" s="7">
        <v>9684</v>
      </c>
      <c r="W330" s="7">
        <v>207456</v>
      </c>
      <c r="Y330" s="2">
        <f t="shared" si="52"/>
        <v>44140567</v>
      </c>
      <c r="AA330" s="7">
        <v>0</v>
      </c>
      <c r="AC330" s="7">
        <v>0</v>
      </c>
      <c r="AE330" s="7">
        <v>0</v>
      </c>
      <c r="AG330" s="7">
        <v>1700</v>
      </c>
      <c r="AI330" s="7">
        <v>0</v>
      </c>
      <c r="AK330" s="7">
        <f t="shared" si="53"/>
        <v>1700</v>
      </c>
      <c r="AM330" s="7">
        <f t="shared" si="60"/>
        <v>44142267</v>
      </c>
      <c r="AP330" s="7" t="str">
        <f t="shared" si="45"/>
        <v>Marysville Exempted Village SD</v>
      </c>
      <c r="AQ330" s="7" t="str">
        <f>'Gen Fd BS'!A330</f>
        <v>Marysville Exempted Village SD</v>
      </c>
      <c r="AR330" s="7" t="b">
        <f t="shared" si="46"/>
        <v>1</v>
      </c>
      <c r="AT330" s="7" t="str">
        <f t="shared" si="43"/>
        <v>Union</v>
      </c>
      <c r="AU330" s="7" t="b">
        <f>C330='Gen Fd BS'!C330</f>
        <v>1</v>
      </c>
    </row>
    <row r="331" spans="1:47">
      <c r="A331" s="12" t="s">
        <v>563</v>
      </c>
      <c r="B331" s="12"/>
      <c r="C331" s="12" t="s">
        <v>69</v>
      </c>
      <c r="D331" s="12"/>
      <c r="E331" s="12">
        <v>50450</v>
      </c>
      <c r="G331" s="7">
        <v>51241889</v>
      </c>
      <c r="I331" s="7">
        <v>0</v>
      </c>
      <c r="K331" s="7">
        <v>43490573</v>
      </c>
      <c r="M331" s="7">
        <v>181577</v>
      </c>
      <c r="O331" s="7">
        <f>2236180+924657</f>
        <v>3160837</v>
      </c>
      <c r="Q331" s="7">
        <v>541827</v>
      </c>
      <c r="S331" s="7">
        <v>0</v>
      </c>
      <c r="U331" s="7">
        <v>0</v>
      </c>
      <c r="W331" s="7">
        <v>261286</v>
      </c>
      <c r="Y331" s="2">
        <f t="shared" si="52"/>
        <v>98877989</v>
      </c>
      <c r="AA331" s="7">
        <v>0</v>
      </c>
      <c r="AC331" s="7">
        <v>0</v>
      </c>
      <c r="AE331" s="7">
        <v>0</v>
      </c>
      <c r="AG331" s="7">
        <v>0</v>
      </c>
      <c r="AI331" s="7">
        <v>0</v>
      </c>
      <c r="AK331" s="7">
        <f t="shared" si="53"/>
        <v>0</v>
      </c>
      <c r="AM331" s="7">
        <f t="shared" si="60"/>
        <v>98877989</v>
      </c>
      <c r="AP331" s="7" t="str">
        <f t="shared" si="45"/>
        <v>Mason City SD</v>
      </c>
      <c r="AQ331" s="7" t="str">
        <f>'Gen Fd BS'!A331</f>
        <v>Mason City SD</v>
      </c>
      <c r="AR331" s="7" t="b">
        <f t="shared" si="46"/>
        <v>1</v>
      </c>
      <c r="AT331" s="7" t="str">
        <f t="shared" si="43"/>
        <v>Warren</v>
      </c>
      <c r="AU331" s="7" t="b">
        <f>C331='Gen Fd BS'!C331</f>
        <v>1</v>
      </c>
    </row>
    <row r="332" spans="1:47">
      <c r="A332" s="12" t="s">
        <v>516</v>
      </c>
      <c r="B332" s="12"/>
      <c r="C332" s="12" t="s">
        <v>62</v>
      </c>
      <c r="D332" s="12"/>
      <c r="E332" s="12">
        <v>44354</v>
      </c>
      <c r="G332" s="7">
        <v>13562453</v>
      </c>
      <c r="I332" s="7">
        <v>21546</v>
      </c>
      <c r="K332" s="7">
        <v>23509546</v>
      </c>
      <c r="M332" s="7">
        <v>46300</v>
      </c>
      <c r="O332" s="7">
        <f>1730817+32216+432268</f>
        <v>2195301</v>
      </c>
      <c r="Q332" s="7">
        <v>68494</v>
      </c>
      <c r="S332" s="7">
        <v>0</v>
      </c>
      <c r="U332" s="7">
        <v>9212</v>
      </c>
      <c r="W332" s="7">
        <v>126987</v>
      </c>
      <c r="Y332" s="2">
        <f t="shared" si="52"/>
        <v>39539839</v>
      </c>
      <c r="AA332" s="7">
        <v>2981</v>
      </c>
      <c r="AC332" s="7">
        <v>0</v>
      </c>
      <c r="AE332" s="7">
        <v>0</v>
      </c>
      <c r="AG332" s="7">
        <v>3203</v>
      </c>
      <c r="AI332" s="7">
        <v>0</v>
      </c>
      <c r="AK332" s="7">
        <f t="shared" si="53"/>
        <v>6184</v>
      </c>
      <c r="AM332" s="7">
        <f t="shared" si="60"/>
        <v>39546023</v>
      </c>
      <c r="AP332" s="7" t="str">
        <f t="shared" si="45"/>
        <v>Massillon City SD</v>
      </c>
      <c r="AQ332" s="7" t="str">
        <f>'Gen Fd BS'!A332</f>
        <v>Massillon City SD</v>
      </c>
      <c r="AR332" s="7" t="b">
        <f t="shared" si="46"/>
        <v>1</v>
      </c>
      <c r="AT332" s="7" t="str">
        <f t="shared" si="43"/>
        <v>Stark</v>
      </c>
      <c r="AU332" s="7" t="b">
        <f>C332='Gen Fd BS'!C332</f>
        <v>1</v>
      </c>
    </row>
    <row r="333" spans="1:47">
      <c r="A333" s="12" t="s">
        <v>545</v>
      </c>
      <c r="B333" s="12"/>
      <c r="C333" s="12" t="s">
        <v>64</v>
      </c>
      <c r="D333" s="12"/>
      <c r="E333" s="12">
        <v>50153</v>
      </c>
      <c r="G333" s="7">
        <v>4139388</v>
      </c>
      <c r="I333" s="7">
        <v>0</v>
      </c>
      <c r="K333" s="7">
        <f>3652977+21309</f>
        <v>3674286</v>
      </c>
      <c r="M333" s="7">
        <v>9411</v>
      </c>
      <c r="O333" s="7">
        <f>477975+2848+21867</f>
        <v>502690</v>
      </c>
      <c r="Q333" s="7">
        <v>31921</v>
      </c>
      <c r="S333" s="7">
        <v>0</v>
      </c>
      <c r="U333" s="7">
        <v>0</v>
      </c>
      <c r="W333" s="7">
        <v>40926</v>
      </c>
      <c r="Y333" s="2">
        <f t="shared" si="52"/>
        <v>8398622</v>
      </c>
      <c r="AA333" s="7">
        <v>0</v>
      </c>
      <c r="AC333" s="7">
        <v>0</v>
      </c>
      <c r="AE333" s="7">
        <v>0</v>
      </c>
      <c r="AG333" s="7">
        <v>17877</v>
      </c>
      <c r="AI333" s="7">
        <v>0</v>
      </c>
      <c r="AK333" s="7">
        <f t="shared" si="53"/>
        <v>17877</v>
      </c>
      <c r="AM333" s="7">
        <f t="shared" si="60"/>
        <v>8416499</v>
      </c>
      <c r="AP333" s="7" t="str">
        <f t="shared" si="45"/>
        <v>Mathews Local SD</v>
      </c>
      <c r="AQ333" s="7" t="str">
        <f>'Gen Fd BS'!A333</f>
        <v>Mathews Local SD</v>
      </c>
      <c r="AR333" s="7" t="b">
        <f t="shared" si="46"/>
        <v>1</v>
      </c>
      <c r="AT333" s="7" t="str">
        <f t="shared" ref="AT333:AT397" si="61">C333</f>
        <v>Trumbull</v>
      </c>
      <c r="AU333" s="7" t="b">
        <f>C333='Gen Fd BS'!C333</f>
        <v>1</v>
      </c>
    </row>
    <row r="334" spans="1:47">
      <c r="A334" s="12" t="s">
        <v>403</v>
      </c>
      <c r="B334" s="12"/>
      <c r="C334" s="12" t="s">
        <v>115</v>
      </c>
      <c r="D334" s="12"/>
      <c r="E334" s="12">
        <v>44362</v>
      </c>
      <c r="G334" s="7">
        <v>17439451</v>
      </c>
      <c r="I334" s="7">
        <v>0</v>
      </c>
      <c r="K334" s="7">
        <v>10111934</v>
      </c>
      <c r="M334" s="7">
        <v>19803</v>
      </c>
      <c r="O334" s="7">
        <f>395629+186879</f>
        <v>582508</v>
      </c>
      <c r="Q334" s="7">
        <v>1864</v>
      </c>
      <c r="S334" s="7">
        <v>0</v>
      </c>
      <c r="U334" s="7">
        <v>0</v>
      </c>
      <c r="W334" s="7">
        <v>349334</v>
      </c>
      <c r="Y334" s="2">
        <f t="shared" si="52"/>
        <v>28504894</v>
      </c>
      <c r="AA334" s="7">
        <v>0</v>
      </c>
      <c r="AC334" s="7">
        <v>0</v>
      </c>
      <c r="AE334" s="7">
        <v>0</v>
      </c>
      <c r="AG334" s="7">
        <v>236</v>
      </c>
      <c r="AI334" s="7">
        <v>0</v>
      </c>
      <c r="AK334" s="7">
        <f t="shared" si="53"/>
        <v>236</v>
      </c>
      <c r="AM334" s="7">
        <f t="shared" si="60"/>
        <v>28505130</v>
      </c>
      <c r="AP334" s="7" t="str">
        <f t="shared" si="45"/>
        <v>Maumee City SD</v>
      </c>
      <c r="AQ334" s="7" t="str">
        <f>'Gen Fd BS'!A334</f>
        <v>Maumee City SD</v>
      </c>
      <c r="AR334" s="7" t="b">
        <f t="shared" si="46"/>
        <v>1</v>
      </c>
      <c r="AT334" s="7" t="str">
        <f t="shared" si="61"/>
        <v>Lucas</v>
      </c>
      <c r="AU334" s="7" t="b">
        <f>C334='Gen Fd BS'!C334</f>
        <v>1</v>
      </c>
    </row>
    <row r="335" spans="1:47">
      <c r="A335" s="12" t="s">
        <v>763</v>
      </c>
      <c r="B335" s="12"/>
      <c r="C335" s="12" t="s">
        <v>20</v>
      </c>
      <c r="D335" s="12"/>
      <c r="E335" s="12">
        <v>44370</v>
      </c>
      <c r="G335" s="7">
        <v>45045744</v>
      </c>
      <c r="I335" s="7">
        <v>0</v>
      </c>
      <c r="K335" s="7">
        <v>12941117</v>
      </c>
      <c r="M335" s="7">
        <v>290364</v>
      </c>
      <c r="O335" s="7">
        <f>730273+3060+69691</f>
        <v>803024</v>
      </c>
      <c r="Q335" s="7">
        <v>25853</v>
      </c>
      <c r="S335" s="7">
        <v>1815006</v>
      </c>
      <c r="U335" s="7">
        <v>23177</v>
      </c>
      <c r="W335" s="7">
        <v>330537</v>
      </c>
      <c r="Y335" s="2">
        <f t="shared" si="52"/>
        <v>61274822</v>
      </c>
      <c r="AA335" s="7">
        <v>0</v>
      </c>
      <c r="AC335" s="7">
        <v>0</v>
      </c>
      <c r="AE335" s="7">
        <v>0</v>
      </c>
      <c r="AG335" s="7">
        <v>0</v>
      </c>
      <c r="AI335" s="7">
        <v>0</v>
      </c>
      <c r="AK335" s="7">
        <f t="shared" si="53"/>
        <v>0</v>
      </c>
      <c r="AM335" s="7">
        <f t="shared" si="60"/>
        <v>61274822</v>
      </c>
      <c r="AP335" s="7" t="str">
        <f t="shared" ref="AP335:AP401" si="62">A335</f>
        <v xml:space="preserve">Mayfield City SD </v>
      </c>
      <c r="AQ335" s="7" t="str">
        <f>'Gen Fd BS'!A335</f>
        <v xml:space="preserve">Mayfield City SD </v>
      </c>
      <c r="AR335" s="7" t="b">
        <f t="shared" ref="AR335:AR401" si="63">AP335=AQ335</f>
        <v>1</v>
      </c>
      <c r="AT335" s="7" t="str">
        <f t="shared" si="61"/>
        <v>Cuyahoga</v>
      </c>
      <c r="AU335" s="7" t="b">
        <f>C335='Gen Fd BS'!C335</f>
        <v>1</v>
      </c>
    </row>
    <row r="336" spans="1:47">
      <c r="A336" s="12" t="s">
        <v>458</v>
      </c>
      <c r="B336" s="12"/>
      <c r="C336" s="12" t="s">
        <v>51</v>
      </c>
      <c r="D336" s="12"/>
      <c r="E336" s="12">
        <v>48850</v>
      </c>
      <c r="G336" s="7">
        <v>3222750</v>
      </c>
      <c r="I336" s="7">
        <v>0</v>
      </c>
      <c r="K336" s="7">
        <v>11658361</v>
      </c>
      <c r="M336" s="7">
        <v>0</v>
      </c>
      <c r="O336" s="7">
        <f>2239572+9646+739112</f>
        <v>2988330</v>
      </c>
      <c r="Q336" s="7">
        <v>52581</v>
      </c>
      <c r="S336" s="7">
        <v>3312</v>
      </c>
      <c r="U336" s="7">
        <v>2016</v>
      </c>
      <c r="W336" s="7">
        <v>32511</v>
      </c>
      <c r="Y336" s="2">
        <f t="shared" si="52"/>
        <v>17959861</v>
      </c>
      <c r="AA336" s="7">
        <v>0</v>
      </c>
      <c r="AC336" s="7">
        <v>0</v>
      </c>
      <c r="AE336" s="7">
        <v>0</v>
      </c>
      <c r="AG336" s="7">
        <v>0</v>
      </c>
      <c r="AI336" s="7">
        <v>0</v>
      </c>
      <c r="AK336" s="7">
        <f t="shared" si="53"/>
        <v>0</v>
      </c>
      <c r="AM336" s="7">
        <f t="shared" si="60"/>
        <v>17959861</v>
      </c>
      <c r="AP336" s="7" t="str">
        <f t="shared" si="62"/>
        <v>Maysville Local SD</v>
      </c>
      <c r="AQ336" s="7" t="str">
        <f>'Gen Fd BS'!A336</f>
        <v>Maysville Local SD</v>
      </c>
      <c r="AR336" s="7" t="b">
        <f t="shared" si="63"/>
        <v>1</v>
      </c>
      <c r="AT336" s="7" t="str">
        <f t="shared" si="61"/>
        <v>Muskingum</v>
      </c>
      <c r="AU336" s="7" t="b">
        <f>C336='Gen Fd BS'!C336</f>
        <v>1</v>
      </c>
    </row>
    <row r="337" spans="1:47" hidden="1">
      <c r="A337" s="12" t="s">
        <v>932</v>
      </c>
      <c r="B337" s="12"/>
      <c r="C337" s="12" t="s">
        <v>33</v>
      </c>
      <c r="D337" s="12"/>
      <c r="E337" s="12">
        <v>47456</v>
      </c>
      <c r="I337" s="7">
        <v>0</v>
      </c>
      <c r="Y337" s="2">
        <f t="shared" si="52"/>
        <v>0</v>
      </c>
      <c r="AC337" s="7">
        <v>0</v>
      </c>
      <c r="AI337" s="7">
        <v>0</v>
      </c>
      <c r="AK337" s="7">
        <f t="shared" si="53"/>
        <v>0</v>
      </c>
      <c r="AM337" s="7">
        <f t="shared" si="60"/>
        <v>0</v>
      </c>
      <c r="AO337" s="7" t="s">
        <v>839</v>
      </c>
      <c r="AP337" s="7" t="str">
        <f t="shared" si="62"/>
        <v>McComb Local SD (CASH)</v>
      </c>
      <c r="AQ337" s="7" t="str">
        <f>'Gen Fd BS'!A337</f>
        <v>McComb Local SD (CASH)</v>
      </c>
      <c r="AR337" s="7" t="b">
        <f t="shared" si="63"/>
        <v>1</v>
      </c>
      <c r="AT337" s="7" t="str">
        <f t="shared" si="61"/>
        <v>Hancock</v>
      </c>
      <c r="AU337" s="7" t="b">
        <f>C337='Gen Fd BS'!C337</f>
        <v>1</v>
      </c>
    </row>
    <row r="338" spans="1:47">
      <c r="A338" s="12" t="s">
        <v>667</v>
      </c>
      <c r="B338" s="12"/>
      <c r="C338" s="12" t="s">
        <v>64</v>
      </c>
      <c r="D338" s="12"/>
      <c r="E338" s="12">
        <v>50229</v>
      </c>
      <c r="G338" s="7">
        <v>1362579</v>
      </c>
      <c r="I338" s="7">
        <v>0</v>
      </c>
      <c r="K338" s="7">
        <v>3765879</v>
      </c>
      <c r="M338" s="7">
        <v>2323</v>
      </c>
      <c r="O338" s="7">
        <f>1034915+4744+250</f>
        <v>1039909</v>
      </c>
      <c r="Q338" s="7">
        <v>4553</v>
      </c>
      <c r="S338" s="7">
        <v>0</v>
      </c>
      <c r="U338" s="7">
        <v>50</v>
      </c>
      <c r="W338" s="7">
        <v>0</v>
      </c>
      <c r="Y338" s="2">
        <f t="shared" si="52"/>
        <v>6175293</v>
      </c>
      <c r="AA338" s="7">
        <v>0</v>
      </c>
      <c r="AC338" s="7">
        <v>0</v>
      </c>
      <c r="AE338" s="7">
        <v>98123</v>
      </c>
      <c r="AG338" s="7">
        <v>0</v>
      </c>
      <c r="AI338" s="7">
        <v>0</v>
      </c>
      <c r="AK338" s="7">
        <f t="shared" si="53"/>
        <v>98123</v>
      </c>
      <c r="AM338" s="7">
        <f t="shared" si="60"/>
        <v>6273416</v>
      </c>
      <c r="AP338" s="7" t="str">
        <f t="shared" si="62"/>
        <v>McDonald Local SD</v>
      </c>
      <c r="AQ338" s="7" t="str">
        <f>'Gen Fd BS'!A338</f>
        <v>McDonald Local SD</v>
      </c>
      <c r="AR338" s="7" t="b">
        <f t="shared" si="63"/>
        <v>1</v>
      </c>
      <c r="AT338" s="7" t="str">
        <f t="shared" si="61"/>
        <v>Trumbull</v>
      </c>
      <c r="AU338" s="7" t="b">
        <f>C338='Gen Fd BS'!C338</f>
        <v>1</v>
      </c>
    </row>
    <row r="339" spans="1:47">
      <c r="A339" s="12" t="s">
        <v>877</v>
      </c>
      <c r="B339" s="12"/>
      <c r="C339" s="12" t="s">
        <v>232</v>
      </c>
      <c r="D339" s="12"/>
      <c r="E339" s="12">
        <v>45484</v>
      </c>
      <c r="F339" s="10"/>
      <c r="G339" s="7">
        <v>2945023</v>
      </c>
      <c r="I339" s="7">
        <v>0</v>
      </c>
      <c r="K339" s="7">
        <f>4427470+31388</f>
        <v>4458858</v>
      </c>
      <c r="M339" s="7">
        <v>7257</v>
      </c>
      <c r="O339" s="7">
        <f>618505+28998</f>
        <v>647503</v>
      </c>
      <c r="Q339" s="7">
        <v>28852</v>
      </c>
      <c r="S339" s="7">
        <v>0</v>
      </c>
      <c r="U339" s="7">
        <v>0</v>
      </c>
      <c r="W339" s="7">
        <v>368345</v>
      </c>
      <c r="Y339" s="2">
        <f t="shared" si="52"/>
        <v>8455838</v>
      </c>
      <c r="AA339" s="7">
        <v>0</v>
      </c>
      <c r="AC339" s="7">
        <v>0</v>
      </c>
      <c r="AE339" s="7">
        <v>715000</v>
      </c>
      <c r="AG339" s="7">
        <v>8428</v>
      </c>
      <c r="AI339" s="7">
        <v>0</v>
      </c>
      <c r="AK339" s="7">
        <f t="shared" si="53"/>
        <v>723428</v>
      </c>
      <c r="AM339" s="7">
        <f t="shared" si="60"/>
        <v>9179266</v>
      </c>
      <c r="AP339" s="7" t="str">
        <f t="shared" si="62"/>
        <v>Mechanicsburg Exempted Village SD</v>
      </c>
      <c r="AQ339" s="7" t="str">
        <f>'Gen Fd BS'!A339</f>
        <v>Mechanicsburg Exempted Village SD</v>
      </c>
      <c r="AR339" s="7" t="b">
        <f t="shared" si="63"/>
        <v>1</v>
      </c>
      <c r="AT339" s="7" t="str">
        <f t="shared" si="61"/>
        <v>Champaign</v>
      </c>
      <c r="AU339" s="7" t="b">
        <f>C339='Gen Fd BS'!C339</f>
        <v>1</v>
      </c>
    </row>
    <row r="340" spans="1:47">
      <c r="A340" s="12" t="s">
        <v>431</v>
      </c>
      <c r="B340" s="12"/>
      <c r="C340" s="12" t="s">
        <v>47</v>
      </c>
      <c r="D340" s="12"/>
      <c r="E340" s="12">
        <v>44388</v>
      </c>
      <c r="G340" s="7">
        <v>38897766</v>
      </c>
      <c r="I340" s="7">
        <v>0</v>
      </c>
      <c r="K340" s="7">
        <v>26702359</v>
      </c>
      <c r="M340" s="7">
        <v>30699</v>
      </c>
      <c r="O340" s="7">
        <f>657771+26060+470454</f>
        <v>1154285</v>
      </c>
      <c r="Q340" s="7">
        <v>1143854</v>
      </c>
      <c r="S340" s="7">
        <v>0</v>
      </c>
      <c r="U340" s="7">
        <v>151833</v>
      </c>
      <c r="W340" s="7">
        <v>144551</v>
      </c>
      <c r="Y340" s="2">
        <f t="shared" si="52"/>
        <v>68225347</v>
      </c>
      <c r="AA340" s="7">
        <v>0</v>
      </c>
      <c r="AC340" s="7">
        <v>0</v>
      </c>
      <c r="AE340" s="7">
        <v>0</v>
      </c>
      <c r="AG340" s="7">
        <v>75999</v>
      </c>
      <c r="AI340" s="7">
        <v>0</v>
      </c>
      <c r="AK340" s="7">
        <f t="shared" si="53"/>
        <v>75999</v>
      </c>
      <c r="AM340" s="7">
        <f t="shared" si="60"/>
        <v>68301346</v>
      </c>
      <c r="AP340" s="7" t="str">
        <f t="shared" si="62"/>
        <v>Medina City SD</v>
      </c>
      <c r="AQ340" s="7" t="str">
        <f>'Gen Fd BS'!A340</f>
        <v>Medina City SD</v>
      </c>
      <c r="AR340" s="7" t="b">
        <f t="shared" si="63"/>
        <v>1</v>
      </c>
      <c r="AT340" s="7" t="str">
        <f t="shared" si="61"/>
        <v>Medina</v>
      </c>
      <c r="AU340" s="7" t="b">
        <f>C340='Gen Fd BS'!C340</f>
        <v>1</v>
      </c>
    </row>
    <row r="341" spans="1:47">
      <c r="A341" s="12" t="s">
        <v>434</v>
      </c>
      <c r="B341" s="12"/>
      <c r="C341" s="12" t="s">
        <v>433</v>
      </c>
      <c r="D341" s="12"/>
      <c r="E341" s="12">
        <v>48520</v>
      </c>
      <c r="G341" s="7">
        <v>2413234</v>
      </c>
      <c r="I341" s="7">
        <v>0</v>
      </c>
      <c r="K341" s="7">
        <v>13998492</v>
      </c>
      <c r="M341" s="7">
        <v>31034</v>
      </c>
      <c r="O341" s="7">
        <f>661750+5770+1409</f>
        <v>668929</v>
      </c>
      <c r="Q341" s="7">
        <v>17884</v>
      </c>
      <c r="S341" s="7">
        <v>0</v>
      </c>
      <c r="U341" s="7">
        <v>10576</v>
      </c>
      <c r="W341" s="7">
        <v>37032</v>
      </c>
      <c r="Y341" s="2">
        <f t="shared" si="52"/>
        <v>17177181</v>
      </c>
      <c r="AA341" s="7">
        <v>0</v>
      </c>
      <c r="AC341" s="7">
        <v>0</v>
      </c>
      <c r="AE341" s="7">
        <v>0</v>
      </c>
      <c r="AG341" s="7">
        <v>2700</v>
      </c>
      <c r="AI341" s="7">
        <v>0</v>
      </c>
      <c r="AK341" s="7">
        <f t="shared" si="53"/>
        <v>2700</v>
      </c>
      <c r="AM341" s="7">
        <f t="shared" si="60"/>
        <v>17179881</v>
      </c>
      <c r="AO341" s="7" t="s">
        <v>933</v>
      </c>
      <c r="AP341" s="7" t="str">
        <f t="shared" si="62"/>
        <v>Meigs Local SD</v>
      </c>
      <c r="AQ341" s="7" t="str">
        <f>'Gen Fd BS'!A341</f>
        <v>Meigs Local SD</v>
      </c>
      <c r="AR341" s="7" t="b">
        <f t="shared" si="63"/>
        <v>1</v>
      </c>
      <c r="AT341" s="7" t="str">
        <f t="shared" si="61"/>
        <v>Meigs</v>
      </c>
      <c r="AU341" s="7" t="b">
        <f>C341='Gen Fd BS'!C341</f>
        <v>1</v>
      </c>
    </row>
    <row r="342" spans="1:47">
      <c r="A342" s="12" t="s">
        <v>878</v>
      </c>
      <c r="B342" s="12"/>
      <c r="C342" s="12" t="s">
        <v>41</v>
      </c>
      <c r="D342" s="12"/>
      <c r="E342" s="12">
        <v>45492</v>
      </c>
      <c r="G342" s="7">
        <v>59681556</v>
      </c>
      <c r="I342" s="7">
        <v>0</v>
      </c>
      <c r="K342" s="7">
        <v>33686992</v>
      </c>
      <c r="M342" s="7">
        <v>373442</v>
      </c>
      <c r="O342" s="7">
        <f>1821658+33279+49964</f>
        <v>1904901</v>
      </c>
      <c r="Q342" s="7">
        <v>493494</v>
      </c>
      <c r="S342" s="7">
        <v>316236</v>
      </c>
      <c r="U342" s="7">
        <v>51347</v>
      </c>
      <c r="W342" s="7">
        <v>391775</v>
      </c>
      <c r="Y342" s="2">
        <f t="shared" si="52"/>
        <v>96899743</v>
      </c>
      <c r="AA342" s="7">
        <v>150</v>
      </c>
      <c r="AC342" s="7">
        <v>0</v>
      </c>
      <c r="AE342" s="7">
        <v>0</v>
      </c>
      <c r="AG342" s="7">
        <v>15578</v>
      </c>
      <c r="AI342" s="7">
        <v>0</v>
      </c>
      <c r="AK342" s="7">
        <f t="shared" si="53"/>
        <v>15728</v>
      </c>
      <c r="AM342" s="7">
        <f t="shared" si="60"/>
        <v>96915471</v>
      </c>
      <c r="AP342" s="7" t="str">
        <f t="shared" si="62"/>
        <v>Mentor Exempted Village SD</v>
      </c>
      <c r="AQ342" s="7" t="str">
        <f>'Gen Fd BS'!A342</f>
        <v>Mentor Exempted Village SD</v>
      </c>
      <c r="AR342" s="7" t="b">
        <f t="shared" si="63"/>
        <v>1</v>
      </c>
      <c r="AT342" s="7" t="str">
        <f t="shared" si="61"/>
        <v>Lake</v>
      </c>
      <c r="AU342" s="7" t="b">
        <f>C342='Gen Fd BS'!C342</f>
        <v>1</v>
      </c>
    </row>
    <row r="343" spans="1:47">
      <c r="A343" s="12" t="s">
        <v>437</v>
      </c>
      <c r="B343" s="12"/>
      <c r="C343" s="12" t="s">
        <v>48</v>
      </c>
      <c r="D343" s="12"/>
      <c r="E343" s="12">
        <v>48629</v>
      </c>
      <c r="G343" s="7">
        <v>3523722</v>
      </c>
      <c r="I343" s="7">
        <v>1747249</v>
      </c>
      <c r="K343" s="7">
        <v>5031806</v>
      </c>
      <c r="M343" s="7">
        <v>2229</v>
      </c>
      <c r="O343" s="7">
        <f>613276+104+13965</f>
        <v>627345</v>
      </c>
      <c r="Q343" s="7">
        <v>19767</v>
      </c>
      <c r="S343" s="7">
        <v>0</v>
      </c>
      <c r="U343" s="7">
        <v>7349</v>
      </c>
      <c r="W343" s="7">
        <v>55275</v>
      </c>
      <c r="Y343" s="2">
        <f t="shared" si="52"/>
        <v>11014742</v>
      </c>
      <c r="AA343" s="7">
        <v>0</v>
      </c>
      <c r="AC343" s="7">
        <v>0</v>
      </c>
      <c r="AE343" s="7">
        <v>0</v>
      </c>
      <c r="AG343" s="7">
        <v>7388</v>
      </c>
      <c r="AI343" s="7">
        <v>0</v>
      </c>
      <c r="AK343" s="7">
        <f t="shared" si="53"/>
        <v>7388</v>
      </c>
      <c r="AM343" s="7">
        <f t="shared" si="60"/>
        <v>11022130</v>
      </c>
      <c r="AP343" s="7" t="str">
        <f t="shared" si="62"/>
        <v>Miami East Local SD</v>
      </c>
      <c r="AQ343" s="7" t="str">
        <f>'Gen Fd BS'!A343</f>
        <v>Miami East Local SD</v>
      </c>
      <c r="AR343" s="7" t="b">
        <f t="shared" si="63"/>
        <v>1</v>
      </c>
      <c r="AT343" s="7" t="str">
        <f t="shared" si="61"/>
        <v>Miami</v>
      </c>
      <c r="AU343" s="7" t="b">
        <f>C343='Gen Fd BS'!C343</f>
        <v>1</v>
      </c>
    </row>
    <row r="344" spans="1:47">
      <c r="A344" s="12" t="s">
        <v>303</v>
      </c>
      <c r="B344" s="12"/>
      <c r="C344" s="12" t="s">
        <v>26</v>
      </c>
      <c r="D344" s="12"/>
      <c r="E344" s="12">
        <v>46920</v>
      </c>
      <c r="G344" s="7">
        <v>10719165</v>
      </c>
      <c r="I344" s="7">
        <v>0</v>
      </c>
      <c r="K344" s="7">
        <v>11390745</v>
      </c>
      <c r="M344" s="7">
        <v>14559</v>
      </c>
      <c r="O344" s="7">
        <f>1285990+1132</f>
        <v>1287122</v>
      </c>
      <c r="Q344" s="7">
        <v>123640</v>
      </c>
      <c r="S344" s="7">
        <v>0</v>
      </c>
      <c r="U344" s="7">
        <v>0</v>
      </c>
      <c r="W344" s="7">
        <v>481350</v>
      </c>
      <c r="Y344" s="2">
        <f t="shared" si="52"/>
        <v>24016581</v>
      </c>
      <c r="AA344" s="7">
        <v>0</v>
      </c>
      <c r="AC344" s="7">
        <v>0</v>
      </c>
      <c r="AE344" s="7">
        <v>0</v>
      </c>
      <c r="AG344" s="7">
        <v>39892</v>
      </c>
      <c r="AI344" s="7">
        <v>0</v>
      </c>
      <c r="AK344" s="7">
        <f t="shared" si="53"/>
        <v>39892</v>
      </c>
      <c r="AM344" s="7">
        <f t="shared" si="60"/>
        <v>24056473</v>
      </c>
      <c r="AP344" s="7" t="str">
        <f t="shared" si="62"/>
        <v>Miami Trace Local SD</v>
      </c>
      <c r="AQ344" s="7" t="str">
        <f>'Gen Fd BS'!A344</f>
        <v>Miami Trace Local SD</v>
      </c>
      <c r="AR344" s="7" t="b">
        <f t="shared" si="63"/>
        <v>1</v>
      </c>
      <c r="AT344" s="7" t="str">
        <f t="shared" si="61"/>
        <v>Fayette</v>
      </c>
      <c r="AU344" s="7" t="b">
        <f>C344='Gen Fd BS'!C344</f>
        <v>1</v>
      </c>
    </row>
    <row r="345" spans="1:47">
      <c r="A345" s="12" t="s">
        <v>445</v>
      </c>
      <c r="B345" s="12"/>
      <c r="C345" s="12" t="s">
        <v>50</v>
      </c>
      <c r="D345" s="12"/>
      <c r="E345" s="12">
        <v>44396</v>
      </c>
      <c r="G345" s="7">
        <v>27517969</v>
      </c>
      <c r="I345" s="7">
        <v>0</v>
      </c>
      <c r="K345" s="7">
        <v>18412739</v>
      </c>
      <c r="M345" s="7">
        <v>46817</v>
      </c>
      <c r="O345" s="7">
        <f>555973+37993+69854</f>
        <v>663820</v>
      </c>
      <c r="Q345" s="7">
        <v>83224</v>
      </c>
      <c r="S345" s="7">
        <v>78368</v>
      </c>
      <c r="U345" s="7">
        <v>31049</v>
      </c>
      <c r="W345" s="7">
        <v>16221</v>
      </c>
      <c r="Y345" s="2">
        <f t="shared" si="52"/>
        <v>46850207</v>
      </c>
      <c r="AA345" s="7">
        <v>0</v>
      </c>
      <c r="AC345" s="7">
        <v>0</v>
      </c>
      <c r="AE345" s="7">
        <v>0</v>
      </c>
      <c r="AG345" s="7">
        <v>414426</v>
      </c>
      <c r="AI345" s="7">
        <v>0</v>
      </c>
      <c r="AK345" s="7">
        <f t="shared" si="53"/>
        <v>414426</v>
      </c>
      <c r="AM345" s="7">
        <f t="shared" si="60"/>
        <v>47264633</v>
      </c>
      <c r="AP345" s="7" t="str">
        <f t="shared" si="62"/>
        <v>Miamisburg City SD</v>
      </c>
      <c r="AQ345" s="7" t="str">
        <f>'Gen Fd BS'!A345</f>
        <v>Miamisburg City SD</v>
      </c>
      <c r="AR345" s="7" t="b">
        <f t="shared" si="63"/>
        <v>1</v>
      </c>
      <c r="AT345" s="7" t="str">
        <f t="shared" si="61"/>
        <v>Montgomery</v>
      </c>
      <c r="AU345" s="7" t="b">
        <f>C345='Gen Fd BS'!C345</f>
        <v>1</v>
      </c>
    </row>
    <row r="346" spans="1:47" hidden="1">
      <c r="A346" s="12" t="s">
        <v>942</v>
      </c>
      <c r="B346" s="12"/>
      <c r="C346" s="12" t="s">
        <v>53</v>
      </c>
      <c r="D346" s="12"/>
      <c r="E346" s="12"/>
      <c r="I346" s="7">
        <v>0</v>
      </c>
      <c r="Y346" s="2">
        <f t="shared" si="52"/>
        <v>0</v>
      </c>
      <c r="AC346" s="7">
        <v>0</v>
      </c>
      <c r="AI346" s="7">
        <v>0</v>
      </c>
      <c r="AK346" s="7">
        <f t="shared" ref="AK346" si="64">SUM(AA346:AJ346)</f>
        <v>0</v>
      </c>
      <c r="AM346" s="7">
        <f t="shared" ref="AM346" si="65">+AK346+Y346</f>
        <v>0</v>
      </c>
      <c r="AO346" s="7" t="s">
        <v>931</v>
      </c>
      <c r="AP346" s="7" t="str">
        <f t="shared" ref="AP346" si="66">A346</f>
        <v>Middle Bass Local SD (Two year Audit - CASH)</v>
      </c>
      <c r="AQ346" s="7" t="str">
        <f>'Gen Fd BS'!A346</f>
        <v>Middle Bass Local SD (Two year Audit - CASH)</v>
      </c>
      <c r="AR346" s="7" t="b">
        <f t="shared" ref="AR346" si="67">AP346=AQ346</f>
        <v>1</v>
      </c>
      <c r="AT346" s="7" t="str">
        <f t="shared" ref="AT346" si="68">C346</f>
        <v>Ottawa</v>
      </c>
      <c r="AU346" s="7" t="b">
        <f>C346='Gen Fd BS'!C346</f>
        <v>1</v>
      </c>
    </row>
    <row r="347" spans="1:47">
      <c r="A347" s="12" t="s">
        <v>228</v>
      </c>
      <c r="B347" s="12"/>
      <c r="C347" s="12" t="s">
        <v>223</v>
      </c>
      <c r="D347" s="12"/>
      <c r="E347" s="12">
        <v>44404</v>
      </c>
      <c r="F347" s="10"/>
      <c r="G347" s="7">
        <v>27457256</v>
      </c>
      <c r="I347" s="7">
        <v>0</v>
      </c>
      <c r="K347" s="7">
        <f>34099448+385997</f>
        <v>34485445</v>
      </c>
      <c r="M347" s="7">
        <v>20229</v>
      </c>
      <c r="O347" s="7">
        <f>525839+65664+138801+2684+80454</f>
        <v>813442</v>
      </c>
      <c r="Q347" s="7">
        <v>84848</v>
      </c>
      <c r="S347" s="7">
        <v>279392</v>
      </c>
      <c r="U347" s="7">
        <v>6469</v>
      </c>
      <c r="W347" s="7">
        <v>76481</v>
      </c>
      <c r="Y347" s="2">
        <f t="shared" si="52"/>
        <v>63223562</v>
      </c>
      <c r="AA347" s="7">
        <v>0</v>
      </c>
      <c r="AC347" s="7">
        <v>0</v>
      </c>
      <c r="AE347" s="7">
        <v>871059</v>
      </c>
      <c r="AG347" s="7">
        <v>46120</v>
      </c>
      <c r="AI347" s="7">
        <v>0</v>
      </c>
      <c r="AK347" s="7">
        <f t="shared" si="53"/>
        <v>917179</v>
      </c>
      <c r="AM347" s="7">
        <f t="shared" si="60"/>
        <v>64140741</v>
      </c>
      <c r="AP347" s="7" t="str">
        <f t="shared" si="62"/>
        <v>Middletown City SD</v>
      </c>
      <c r="AQ347" s="7" t="str">
        <f>'Gen Fd BS'!A347</f>
        <v>Middletown City SD</v>
      </c>
      <c r="AR347" s="7" t="b">
        <f t="shared" si="63"/>
        <v>1</v>
      </c>
      <c r="AT347" s="7" t="str">
        <f t="shared" si="61"/>
        <v>Butler</v>
      </c>
      <c r="AU347" s="7" t="b">
        <f>C347='Gen Fd BS'!C347</f>
        <v>1</v>
      </c>
    </row>
    <row r="348" spans="1:47">
      <c r="A348" s="12" t="s">
        <v>399</v>
      </c>
      <c r="B348" s="12"/>
      <c r="C348" s="12" t="s">
        <v>44</v>
      </c>
      <c r="D348" s="12"/>
      <c r="E348" s="12">
        <v>48173</v>
      </c>
      <c r="G348" s="7">
        <v>10058881</v>
      </c>
      <c r="I348" s="7">
        <v>0</v>
      </c>
      <c r="K348" s="7">
        <v>14870500</v>
      </c>
      <c r="M348" s="7">
        <v>15255</v>
      </c>
      <c r="O348" s="7">
        <v>257534</v>
      </c>
      <c r="Q348" s="7">
        <v>377432</v>
      </c>
      <c r="S348" s="7">
        <v>0</v>
      </c>
      <c r="U348" s="7">
        <v>0</v>
      </c>
      <c r="W348" s="7">
        <v>255536</v>
      </c>
      <c r="Y348" s="2">
        <f t="shared" si="52"/>
        <v>25835138</v>
      </c>
      <c r="AA348" s="7">
        <v>0</v>
      </c>
      <c r="AC348" s="7">
        <v>0</v>
      </c>
      <c r="AE348" s="7">
        <v>0</v>
      </c>
      <c r="AG348" s="7">
        <v>30778</v>
      </c>
      <c r="AI348" s="7">
        <v>0</v>
      </c>
      <c r="AK348" s="7">
        <f t="shared" si="53"/>
        <v>30778</v>
      </c>
      <c r="AM348" s="7">
        <f t="shared" si="60"/>
        <v>25865916</v>
      </c>
      <c r="AO348" s="7" t="s">
        <v>933</v>
      </c>
      <c r="AP348" s="7" t="str">
        <f t="shared" si="62"/>
        <v>Midview Local SD</v>
      </c>
      <c r="AQ348" s="7" t="str">
        <f>'Gen Fd BS'!A348</f>
        <v>Midview Local SD</v>
      </c>
      <c r="AR348" s="7" t="b">
        <f t="shared" si="63"/>
        <v>1</v>
      </c>
      <c r="AT348" s="7" t="str">
        <f t="shared" si="61"/>
        <v>Lorain</v>
      </c>
      <c r="AU348" s="7" t="b">
        <f>C348='Gen Fd BS'!C348</f>
        <v>1</v>
      </c>
    </row>
    <row r="349" spans="1:47">
      <c r="A349" s="12" t="s">
        <v>879</v>
      </c>
      <c r="B349" s="12"/>
      <c r="C349" s="12" t="s">
        <v>113</v>
      </c>
      <c r="D349" s="12"/>
      <c r="E349" s="12">
        <v>45500</v>
      </c>
      <c r="F349" s="10"/>
      <c r="G349" s="7">
        <v>31383676</v>
      </c>
      <c r="I349" s="7">
        <v>0</v>
      </c>
      <c r="K349" s="7">
        <v>22822683</v>
      </c>
      <c r="M349" s="7">
        <v>49000</v>
      </c>
      <c r="O349" s="7">
        <v>2293849</v>
      </c>
      <c r="Q349" s="7">
        <v>138019</v>
      </c>
      <c r="S349" s="7">
        <v>1632213</v>
      </c>
      <c r="U349" s="7">
        <v>0</v>
      </c>
      <c r="W349" s="7">
        <v>761776</v>
      </c>
      <c r="Y349" s="2">
        <f t="shared" si="52"/>
        <v>59081216</v>
      </c>
      <c r="AA349" s="7">
        <v>0</v>
      </c>
      <c r="AC349" s="7">
        <v>0</v>
      </c>
      <c r="AE349" s="7">
        <v>0</v>
      </c>
      <c r="AG349" s="7">
        <v>41417</v>
      </c>
      <c r="AI349" s="7">
        <v>0</v>
      </c>
      <c r="AK349" s="7">
        <f t="shared" si="53"/>
        <v>41417</v>
      </c>
      <c r="AM349" s="7">
        <f t="shared" si="60"/>
        <v>59122633</v>
      </c>
      <c r="AP349" s="7" t="str">
        <f t="shared" si="62"/>
        <v>Milford Exempted Village SD</v>
      </c>
      <c r="AQ349" s="7" t="str">
        <f>'Gen Fd BS'!A349</f>
        <v>Milford Exempted Village SD</v>
      </c>
      <c r="AR349" s="7" t="b">
        <f t="shared" si="63"/>
        <v>1</v>
      </c>
      <c r="AT349" s="7" t="str">
        <f t="shared" si="61"/>
        <v>Clermont</v>
      </c>
      <c r="AU349" s="7" t="b">
        <f>C349='Gen Fd BS'!C349</f>
        <v>1</v>
      </c>
    </row>
    <row r="350" spans="1:47" hidden="1">
      <c r="A350" s="12" t="s">
        <v>639</v>
      </c>
      <c r="B350" s="12"/>
      <c r="C350" s="12" t="s">
        <v>570</v>
      </c>
      <c r="D350" s="12"/>
      <c r="E350" s="12">
        <v>50633</v>
      </c>
      <c r="I350" s="7">
        <v>0</v>
      </c>
      <c r="Y350" s="2">
        <f t="shared" si="52"/>
        <v>0</v>
      </c>
      <c r="AC350" s="7">
        <v>0</v>
      </c>
      <c r="AI350" s="7">
        <v>0</v>
      </c>
      <c r="AK350" s="7">
        <f t="shared" si="53"/>
        <v>0</v>
      </c>
      <c r="AM350" s="7">
        <f t="shared" si="60"/>
        <v>0</v>
      </c>
      <c r="AO350" s="7" t="s">
        <v>839</v>
      </c>
      <c r="AP350" s="7" t="str">
        <f t="shared" si="62"/>
        <v>Millcreek-West Unity Local SD (CASH)</v>
      </c>
      <c r="AQ350" s="7" t="str">
        <f>'Gen Fd BS'!A350</f>
        <v>Millcreek-West Unity Local SD (CASH)</v>
      </c>
      <c r="AR350" s="7" t="b">
        <f t="shared" si="63"/>
        <v>1</v>
      </c>
      <c r="AT350" s="7" t="str">
        <f t="shared" si="61"/>
        <v>Williams</v>
      </c>
      <c r="AU350" s="7" t="b">
        <f>C350='Gen Fd BS'!C350</f>
        <v>1</v>
      </c>
    </row>
    <row r="351" spans="1:47" hidden="1">
      <c r="A351" s="12" t="s">
        <v>934</v>
      </c>
      <c r="B351" s="12"/>
      <c r="C351" s="12" t="s">
        <v>482</v>
      </c>
      <c r="D351" s="12"/>
      <c r="E351" s="12">
        <v>49361</v>
      </c>
      <c r="I351" s="7">
        <v>0</v>
      </c>
      <c r="Y351" s="2">
        <f t="shared" si="52"/>
        <v>0</v>
      </c>
      <c r="AC351" s="7">
        <v>0</v>
      </c>
      <c r="AI351" s="7">
        <v>0</v>
      </c>
      <c r="AK351" s="7">
        <f t="shared" si="53"/>
        <v>0</v>
      </c>
      <c r="AM351" s="7">
        <f t="shared" si="60"/>
        <v>0</v>
      </c>
      <c r="AO351" s="7" t="s">
        <v>839</v>
      </c>
      <c r="AP351" s="7" t="str">
        <f t="shared" si="62"/>
        <v>Miller City-New Cleveland Local (Two year Audit - CASH)</v>
      </c>
      <c r="AQ351" s="7" t="str">
        <f>'Gen Fd BS'!A351</f>
        <v>Miller City-New Cleveland Local (Two year Audit - CASH)</v>
      </c>
      <c r="AR351" s="7" t="b">
        <f t="shared" si="63"/>
        <v>1</v>
      </c>
      <c r="AT351" s="7" t="str">
        <f t="shared" si="61"/>
        <v>Putnam</v>
      </c>
      <c r="AU351" s="7" t="b">
        <f>C351='Gen Fd BS'!C351</f>
        <v>1</v>
      </c>
    </row>
    <row r="352" spans="1:47" hidden="1">
      <c r="A352" s="12" t="s">
        <v>935</v>
      </c>
      <c r="B352" s="12"/>
      <c r="C352" s="12" t="s">
        <v>48</v>
      </c>
      <c r="D352" s="12"/>
      <c r="E352" s="12">
        <v>45518</v>
      </c>
      <c r="I352" s="7">
        <v>0</v>
      </c>
      <c r="Y352" s="2">
        <f t="shared" si="52"/>
        <v>0</v>
      </c>
      <c r="AC352" s="7">
        <v>0</v>
      </c>
      <c r="AI352" s="7">
        <v>0</v>
      </c>
      <c r="AK352" s="7">
        <f t="shared" si="53"/>
        <v>0</v>
      </c>
      <c r="AM352" s="7">
        <f t="shared" si="60"/>
        <v>0</v>
      </c>
      <c r="AO352" s="7" t="s">
        <v>903</v>
      </c>
      <c r="AP352" s="7" t="str">
        <f t="shared" si="62"/>
        <v>Milton-Union Exempted Village SD (CASH)</v>
      </c>
      <c r="AQ352" s="7" t="str">
        <f>'Gen Fd BS'!A352</f>
        <v>Milton-Union Exempted Village SD (CASH)</v>
      </c>
      <c r="AR352" s="7" t="b">
        <f t="shared" si="63"/>
        <v>1</v>
      </c>
      <c r="AT352" s="7" t="str">
        <f t="shared" si="61"/>
        <v>Miami</v>
      </c>
      <c r="AU352" s="7" t="b">
        <f>C352='Gen Fd BS'!C352</f>
        <v>1</v>
      </c>
    </row>
    <row r="353" spans="1:47">
      <c r="A353" s="12" t="s">
        <v>517</v>
      </c>
      <c r="B353" s="12"/>
      <c r="C353" s="12" t="s">
        <v>62</v>
      </c>
      <c r="D353" s="12"/>
      <c r="E353" s="12">
        <v>49890</v>
      </c>
      <c r="G353" s="7">
        <v>5653540</v>
      </c>
      <c r="I353" s="7">
        <v>0</v>
      </c>
      <c r="K353" s="7">
        <v>10025384</v>
      </c>
      <c r="M353" s="7">
        <v>4756</v>
      </c>
      <c r="O353" s="7">
        <f>886960+14402</f>
        <v>901362</v>
      </c>
      <c r="Q353" s="7">
        <v>100543</v>
      </c>
      <c r="S353" s="7">
        <v>0</v>
      </c>
      <c r="U353" s="7">
        <v>15627</v>
      </c>
      <c r="W353" s="7">
        <v>41585</v>
      </c>
      <c r="Y353" s="2">
        <f t="shared" si="52"/>
        <v>16742797</v>
      </c>
      <c r="AA353" s="7">
        <v>0</v>
      </c>
      <c r="AC353" s="7">
        <v>0</v>
      </c>
      <c r="AE353" s="7">
        <v>208257</v>
      </c>
      <c r="AG353" s="7">
        <v>0</v>
      </c>
      <c r="AI353" s="7">
        <v>0</v>
      </c>
      <c r="AK353" s="7">
        <f t="shared" si="53"/>
        <v>208257</v>
      </c>
      <c r="AM353" s="7">
        <f t="shared" ref="AM353:AM366" si="69">+AK353+Y353</f>
        <v>16951054</v>
      </c>
      <c r="AP353" s="7" t="str">
        <f t="shared" si="62"/>
        <v>Minerva Local SD</v>
      </c>
      <c r="AQ353" s="7" t="str">
        <f>'Gen Fd BS'!A353</f>
        <v>Minerva Local SD</v>
      </c>
      <c r="AR353" s="7" t="b">
        <f t="shared" si="63"/>
        <v>1</v>
      </c>
      <c r="AT353" s="7" t="str">
        <f t="shared" si="61"/>
        <v>Stark</v>
      </c>
      <c r="AU353" s="7" t="b">
        <f>C353='Gen Fd BS'!C353</f>
        <v>1</v>
      </c>
    </row>
    <row r="354" spans="1:47">
      <c r="A354" s="12" t="s">
        <v>497</v>
      </c>
      <c r="B354" s="12"/>
      <c r="C354" s="12" t="s">
        <v>59</v>
      </c>
      <c r="D354" s="12"/>
      <c r="E354" s="12">
        <v>49627</v>
      </c>
      <c r="G354" s="7">
        <v>1607474</v>
      </c>
      <c r="I354" s="7">
        <v>0</v>
      </c>
      <c r="K354" s="7">
        <v>9208616</v>
      </c>
      <c r="M354" s="7">
        <v>0</v>
      </c>
      <c r="O354" s="7">
        <f>1825106+885</f>
        <v>1825991</v>
      </c>
      <c r="Q354" s="7">
        <v>196588</v>
      </c>
      <c r="S354" s="7">
        <v>0</v>
      </c>
      <c r="U354" s="7">
        <v>6305</v>
      </c>
      <c r="W354" s="7">
        <v>128203</v>
      </c>
      <c r="Y354" s="2">
        <f t="shared" si="52"/>
        <v>12973177</v>
      </c>
      <c r="AA354" s="7">
        <v>0</v>
      </c>
      <c r="AC354" s="7">
        <v>0</v>
      </c>
      <c r="AE354" s="7">
        <v>0</v>
      </c>
      <c r="AG354" s="7">
        <v>2151</v>
      </c>
      <c r="AI354" s="7">
        <v>0</v>
      </c>
      <c r="AK354" s="7">
        <f t="shared" si="53"/>
        <v>2151</v>
      </c>
      <c r="AM354" s="7">
        <f t="shared" si="69"/>
        <v>12975328</v>
      </c>
      <c r="AP354" s="7" t="str">
        <f t="shared" si="62"/>
        <v>Minford Local SD</v>
      </c>
      <c r="AQ354" s="7" t="str">
        <f>'Gen Fd BS'!A354</f>
        <v>Minford Local SD</v>
      </c>
      <c r="AR354" s="7" t="b">
        <f t="shared" si="63"/>
        <v>1</v>
      </c>
      <c r="AT354" s="7" t="str">
        <f t="shared" si="61"/>
        <v>Scioto</v>
      </c>
      <c r="AU354" s="7" t="b">
        <f>C354='Gen Fd BS'!C354</f>
        <v>1</v>
      </c>
    </row>
    <row r="355" spans="1:47">
      <c r="A355" s="12" t="s">
        <v>214</v>
      </c>
      <c r="B355" s="12"/>
      <c r="C355" s="12" t="s">
        <v>14</v>
      </c>
      <c r="D355" s="12"/>
      <c r="E355" s="12">
        <v>45948</v>
      </c>
      <c r="F355" s="10"/>
      <c r="G355" s="7">
        <v>3208282</v>
      </c>
      <c r="I355" s="7">
        <v>553667</v>
      </c>
      <c r="K355" s="7">
        <v>3725014</v>
      </c>
      <c r="M355" s="7">
        <v>6663</v>
      </c>
      <c r="O355" s="7">
        <f>82738</f>
        <v>82738</v>
      </c>
      <c r="Q355" s="7">
        <v>0</v>
      </c>
      <c r="S355" s="7">
        <v>0</v>
      </c>
      <c r="U355" s="7">
        <v>6193</v>
      </c>
      <c r="W355" s="7">
        <v>119700</v>
      </c>
      <c r="Y355" s="2">
        <f t="shared" si="52"/>
        <v>7702257</v>
      </c>
      <c r="AA355" s="7">
        <v>0</v>
      </c>
      <c r="AC355" s="7">
        <v>0</v>
      </c>
      <c r="AE355" s="7">
        <v>0</v>
      </c>
      <c r="AG355" s="7">
        <v>0</v>
      </c>
      <c r="AI355" s="7">
        <v>0</v>
      </c>
      <c r="AK355" s="7">
        <f t="shared" si="53"/>
        <v>0</v>
      </c>
      <c r="AM355" s="7">
        <f t="shared" si="69"/>
        <v>7702257</v>
      </c>
      <c r="AP355" s="7" t="str">
        <f t="shared" si="62"/>
        <v>Minster Local SD</v>
      </c>
      <c r="AQ355" s="7" t="str">
        <f>'Gen Fd BS'!A355</f>
        <v>Minster Local SD</v>
      </c>
      <c r="AR355" s="7" t="b">
        <f t="shared" si="63"/>
        <v>1</v>
      </c>
      <c r="AT355" s="7" t="str">
        <f t="shared" si="61"/>
        <v>Auglaize</v>
      </c>
      <c r="AU355" s="7" t="b">
        <f>C355='Gen Fd BS'!C355</f>
        <v>1</v>
      </c>
    </row>
    <row r="356" spans="1:47" hidden="1">
      <c r="A356" s="12" t="s">
        <v>669</v>
      </c>
      <c r="B356" s="12"/>
      <c r="C356" s="12" t="s">
        <v>21</v>
      </c>
      <c r="D356" s="12"/>
      <c r="E356" s="12">
        <v>46672</v>
      </c>
      <c r="Y356" s="2">
        <f t="shared" si="52"/>
        <v>0</v>
      </c>
      <c r="AC356" s="7">
        <v>0</v>
      </c>
      <c r="AI356" s="7">
        <v>0</v>
      </c>
      <c r="AK356" s="7">
        <f t="shared" si="53"/>
        <v>0</v>
      </c>
      <c r="AM356" s="7">
        <f t="shared" si="69"/>
        <v>0</v>
      </c>
      <c r="AO356" s="7" t="s">
        <v>839</v>
      </c>
      <c r="AP356" s="7" t="str">
        <f t="shared" si="62"/>
        <v>Mississinawa Valley Local SD  (CASH)</v>
      </c>
      <c r="AQ356" s="7" t="str">
        <f>'Gen Fd BS'!A356</f>
        <v>Mississinawa Valley Local SD  (CASH)</v>
      </c>
      <c r="AR356" s="7" t="b">
        <f t="shared" si="63"/>
        <v>1</v>
      </c>
      <c r="AT356" s="7" t="str">
        <f t="shared" si="61"/>
        <v>Darke</v>
      </c>
      <c r="AU356" s="7" t="b">
        <f>C356='Gen Fd BS'!C356</f>
        <v>1</v>
      </c>
    </row>
    <row r="357" spans="1:47">
      <c r="A357" s="12" t="s">
        <v>526</v>
      </c>
      <c r="B357" s="12"/>
      <c r="C357" s="12" t="s">
        <v>63</v>
      </c>
      <c r="D357" s="12"/>
      <c r="E357" s="12">
        <v>50039</v>
      </c>
      <c r="G357" s="7">
        <v>2429634</v>
      </c>
      <c r="I357" s="7">
        <v>0</v>
      </c>
      <c r="K357" s="7">
        <v>4073806</v>
      </c>
      <c r="M357" s="7">
        <v>91409</v>
      </c>
      <c r="O357" s="7">
        <f>1242290</f>
        <v>1242290</v>
      </c>
      <c r="Q357" s="7">
        <v>52655</v>
      </c>
      <c r="S357" s="7">
        <v>0</v>
      </c>
      <c r="U357" s="7">
        <v>1077</v>
      </c>
      <c r="W357" s="7">
        <v>14574</v>
      </c>
      <c r="Y357" s="2">
        <f t="shared" si="52"/>
        <v>7905445</v>
      </c>
      <c r="AA357" s="7">
        <v>11549</v>
      </c>
      <c r="AC357" s="7">
        <v>0</v>
      </c>
      <c r="AE357" s="7">
        <v>0</v>
      </c>
      <c r="AG357" s="7">
        <v>0</v>
      </c>
      <c r="AI357" s="7">
        <v>0</v>
      </c>
      <c r="AK357" s="7">
        <f t="shared" si="53"/>
        <v>11549</v>
      </c>
      <c r="AM357" s="7">
        <f t="shared" si="69"/>
        <v>7916994</v>
      </c>
      <c r="AP357" s="7" t="str">
        <f t="shared" si="62"/>
        <v>Mogadore Local SD</v>
      </c>
      <c r="AQ357" s="7" t="str">
        <f>'Gen Fd BS'!A357</f>
        <v>Mogadore Local SD</v>
      </c>
      <c r="AR357" s="7" t="b">
        <f t="shared" si="63"/>
        <v>1</v>
      </c>
      <c r="AT357" s="7" t="str">
        <f t="shared" si="61"/>
        <v>Summit</v>
      </c>
      <c r="AU357" s="7" t="b">
        <f>C357='Gen Fd BS'!C357</f>
        <v>1</v>
      </c>
    </row>
    <row r="358" spans="1:47" hidden="1">
      <c r="A358" s="12" t="s">
        <v>648</v>
      </c>
      <c r="B358" s="12"/>
      <c r="C358" s="12" t="s">
        <v>577</v>
      </c>
      <c r="D358" s="12"/>
      <c r="E358" s="12">
        <v>50740</v>
      </c>
      <c r="I358" s="7">
        <v>0</v>
      </c>
      <c r="Y358" s="2">
        <f t="shared" si="52"/>
        <v>0</v>
      </c>
      <c r="AC358" s="7">
        <v>0</v>
      </c>
      <c r="AI358" s="7">
        <v>0</v>
      </c>
      <c r="AK358" s="7">
        <f t="shared" ref="AK358:AK365" si="70">SUM(AA358:AJ358)</f>
        <v>0</v>
      </c>
      <c r="AM358" s="7">
        <f t="shared" si="69"/>
        <v>0</v>
      </c>
      <c r="AO358" s="7" t="s">
        <v>839</v>
      </c>
      <c r="AP358" s="7" t="str">
        <f t="shared" si="62"/>
        <v>Mohawk Local SD (CASH)</v>
      </c>
      <c r="AQ358" s="7" t="str">
        <f>'Gen Fd BS'!A358</f>
        <v>Mohawk Local SD (CASH)</v>
      </c>
      <c r="AR358" s="7" t="b">
        <f t="shared" si="63"/>
        <v>1</v>
      </c>
      <c r="AT358" s="7" t="str">
        <f t="shared" si="61"/>
        <v>Wyandot</v>
      </c>
      <c r="AU358" s="7" t="b">
        <f>C358='Gen Fd BS'!C358</f>
        <v>1</v>
      </c>
    </row>
    <row r="359" spans="1:47">
      <c r="A359" s="12" t="s">
        <v>229</v>
      </c>
      <c r="B359" s="12"/>
      <c r="C359" s="12" t="s">
        <v>223</v>
      </c>
      <c r="D359" s="12"/>
      <c r="E359" s="12">
        <v>139303</v>
      </c>
      <c r="F359" s="10"/>
      <c r="G359" s="7">
        <v>8626052</v>
      </c>
      <c r="I359" s="7">
        <v>0</v>
      </c>
      <c r="K359" s="7">
        <v>6427944</v>
      </c>
      <c r="M359" s="7">
        <v>4664</v>
      </c>
      <c r="O359" s="7">
        <v>528937</v>
      </c>
      <c r="Q359" s="7">
        <v>88284</v>
      </c>
      <c r="S359" s="7">
        <v>1679193</v>
      </c>
      <c r="U359" s="7">
        <v>0</v>
      </c>
      <c r="W359" s="7">
        <v>97089</v>
      </c>
      <c r="Y359" s="2">
        <f t="shared" si="52"/>
        <v>17452163</v>
      </c>
      <c r="AA359" s="7">
        <v>2967</v>
      </c>
      <c r="AC359" s="7">
        <v>0</v>
      </c>
      <c r="AE359" s="7">
        <v>0</v>
      </c>
      <c r="AG359" s="7">
        <v>0</v>
      </c>
      <c r="AI359" s="7">
        <v>0</v>
      </c>
      <c r="AK359" s="7">
        <f t="shared" si="70"/>
        <v>2967</v>
      </c>
      <c r="AM359" s="7">
        <f t="shared" si="69"/>
        <v>17455130</v>
      </c>
      <c r="AO359" s="7" t="s">
        <v>936</v>
      </c>
      <c r="AP359" s="7" t="str">
        <f t="shared" si="62"/>
        <v>Monroe Local SD</v>
      </c>
      <c r="AQ359" s="7" t="str">
        <f>'Gen Fd BS'!A359</f>
        <v>Monroe Local SD</v>
      </c>
      <c r="AR359" s="7" t="b">
        <f t="shared" si="63"/>
        <v>1</v>
      </c>
      <c r="AT359" s="7" t="str">
        <f t="shared" si="61"/>
        <v>Butler</v>
      </c>
      <c r="AU359" s="7" t="b">
        <f>C359='Gen Fd BS'!C359</f>
        <v>1</v>
      </c>
    </row>
    <row r="360" spans="1:47" s="32" customFormat="1">
      <c r="A360" s="31" t="s">
        <v>366</v>
      </c>
      <c r="B360" s="31"/>
      <c r="C360" s="31" t="s">
        <v>37</v>
      </c>
      <c r="D360" s="31"/>
      <c r="E360" s="31">
        <v>47712</v>
      </c>
      <c r="G360" s="32">
        <v>3193241</v>
      </c>
      <c r="I360" s="32">
        <v>0</v>
      </c>
      <c r="K360" s="32">
        <v>2650948</v>
      </c>
      <c r="M360" s="32">
        <v>1713</v>
      </c>
      <c r="O360" s="32">
        <f>319256+44686</f>
        <v>363942</v>
      </c>
      <c r="Q360" s="32">
        <v>12664</v>
      </c>
      <c r="S360" s="32">
        <v>0</v>
      </c>
      <c r="U360" s="32">
        <v>0</v>
      </c>
      <c r="W360" s="32">
        <v>29285</v>
      </c>
      <c r="Y360" s="34">
        <f t="shared" si="52"/>
        <v>6251793</v>
      </c>
      <c r="AA360" s="32">
        <v>0</v>
      </c>
      <c r="AC360" s="32">
        <v>0</v>
      </c>
      <c r="AE360" s="32">
        <v>89791</v>
      </c>
      <c r="AG360" s="32">
        <v>0</v>
      </c>
      <c r="AI360" s="32">
        <v>0</v>
      </c>
      <c r="AK360" s="32">
        <f t="shared" si="70"/>
        <v>89791</v>
      </c>
      <c r="AM360" s="32">
        <f t="shared" si="69"/>
        <v>6341584</v>
      </c>
      <c r="AP360" s="32" t="str">
        <f t="shared" si="62"/>
        <v>Monroeville Local SD</v>
      </c>
      <c r="AQ360" s="32" t="str">
        <f>'Gen Fd BS'!A360</f>
        <v>Monroeville Local SD</v>
      </c>
      <c r="AR360" s="32" t="b">
        <f t="shared" si="63"/>
        <v>1</v>
      </c>
      <c r="AT360" s="32" t="str">
        <f t="shared" si="61"/>
        <v>Huron</v>
      </c>
      <c r="AU360" s="32" t="b">
        <f>C360='Gen Fd BS'!C360</f>
        <v>1</v>
      </c>
    </row>
    <row r="361" spans="1:47" hidden="1">
      <c r="A361" s="12" t="s">
        <v>937</v>
      </c>
      <c r="B361" s="12"/>
      <c r="C361" s="12" t="s">
        <v>570</v>
      </c>
      <c r="D361" s="12"/>
      <c r="E361" s="12">
        <v>45526</v>
      </c>
      <c r="I361" s="7">
        <v>0</v>
      </c>
      <c r="Y361" s="2">
        <f t="shared" si="52"/>
        <v>0</v>
      </c>
      <c r="AC361" s="7">
        <v>0</v>
      </c>
      <c r="AI361" s="7">
        <v>0</v>
      </c>
      <c r="AK361" s="7">
        <f t="shared" si="70"/>
        <v>0</v>
      </c>
      <c r="AM361" s="7">
        <f t="shared" si="69"/>
        <v>0</v>
      </c>
      <c r="AO361" s="7" t="s">
        <v>912</v>
      </c>
      <c r="AP361" s="7" t="str">
        <f t="shared" si="62"/>
        <v>Montpelier Exempted Village SD (CASH)</v>
      </c>
      <c r="AQ361" s="7" t="str">
        <f>'Gen Fd BS'!A361</f>
        <v>Montpelier Exempted Village SD (CASH)</v>
      </c>
      <c r="AR361" s="7" t="b">
        <f t="shared" si="63"/>
        <v>1</v>
      </c>
      <c r="AT361" s="7" t="str">
        <f t="shared" si="61"/>
        <v>Williams</v>
      </c>
      <c r="AU361" s="7" t="b">
        <f>C361='Gen Fd BS'!C361</f>
        <v>1</v>
      </c>
    </row>
    <row r="362" spans="1:47">
      <c r="A362" s="12" t="s">
        <v>452</v>
      </c>
      <c r="B362" s="12"/>
      <c r="C362" s="12" t="s">
        <v>453</v>
      </c>
      <c r="D362" s="12"/>
      <c r="E362" s="12">
        <v>48777</v>
      </c>
      <c r="G362" s="7">
        <v>3471615</v>
      </c>
      <c r="I362" s="7">
        <v>0</v>
      </c>
      <c r="K362" s="7">
        <v>14429371</v>
      </c>
      <c r="M362" s="7">
        <v>107749</v>
      </c>
      <c r="O362" s="7">
        <f>951+356269+1626</f>
        <v>358846</v>
      </c>
      <c r="Q362" s="7">
        <v>0</v>
      </c>
      <c r="S362" s="7">
        <v>0</v>
      </c>
      <c r="U362" s="7">
        <v>0</v>
      </c>
      <c r="W362" s="7">
        <v>145146</v>
      </c>
      <c r="Y362" s="2">
        <f t="shared" si="52"/>
        <v>18512727</v>
      </c>
      <c r="AA362" s="7">
        <v>0</v>
      </c>
      <c r="AC362" s="7">
        <v>0</v>
      </c>
      <c r="AE362" s="7">
        <v>0</v>
      </c>
      <c r="AG362" s="7">
        <v>250</v>
      </c>
      <c r="AI362" s="7">
        <v>0</v>
      </c>
      <c r="AK362" s="7">
        <f t="shared" si="70"/>
        <v>250</v>
      </c>
      <c r="AM362" s="7">
        <f t="shared" si="69"/>
        <v>18512977</v>
      </c>
      <c r="AP362" s="7" t="str">
        <f t="shared" si="62"/>
        <v>Morgan Local SD</v>
      </c>
      <c r="AQ362" s="7" t="str">
        <f>'Gen Fd BS'!A362</f>
        <v>Morgan Local SD</v>
      </c>
      <c r="AR362" s="7" t="b">
        <f t="shared" si="63"/>
        <v>1</v>
      </c>
      <c r="AT362" s="7" t="str">
        <f t="shared" si="61"/>
        <v>Morgan</v>
      </c>
      <c r="AU362" s="7" t="b">
        <f>C362='Gen Fd BS'!C362</f>
        <v>1</v>
      </c>
    </row>
    <row r="363" spans="1:47">
      <c r="A363" s="12" t="s">
        <v>880</v>
      </c>
      <c r="B363" s="12"/>
      <c r="C363" s="12" t="s">
        <v>78</v>
      </c>
      <c r="D363" s="12"/>
      <c r="E363" s="12">
        <v>45534</v>
      </c>
      <c r="G363" s="7">
        <v>3744177</v>
      </c>
      <c r="I363" s="7">
        <v>0</v>
      </c>
      <c r="K363" s="7">
        <v>6236253</v>
      </c>
      <c r="M363" s="7">
        <v>16128</v>
      </c>
      <c r="O363" s="7">
        <f>851277+48152</f>
        <v>899429</v>
      </c>
      <c r="Q363" s="7">
        <v>68862</v>
      </c>
      <c r="S363" s="7">
        <v>0</v>
      </c>
      <c r="U363" s="7">
        <v>0</v>
      </c>
      <c r="W363" s="7">
        <v>660514</v>
      </c>
      <c r="Y363" s="2">
        <f t="shared" si="52"/>
        <v>11625363</v>
      </c>
      <c r="AA363" s="7">
        <v>233043</v>
      </c>
      <c r="AC363" s="7">
        <v>0</v>
      </c>
      <c r="AE363" s="7">
        <v>0</v>
      </c>
      <c r="AG363" s="7">
        <v>0</v>
      </c>
      <c r="AI363" s="7">
        <v>0</v>
      </c>
      <c r="AK363" s="7">
        <f t="shared" si="70"/>
        <v>233043</v>
      </c>
      <c r="AM363" s="7">
        <f t="shared" si="69"/>
        <v>11858406</v>
      </c>
      <c r="AP363" s="7" t="str">
        <f t="shared" si="62"/>
        <v>Mount Gilead Exempted Village SD</v>
      </c>
      <c r="AQ363" s="7" t="str">
        <f>'Gen Fd BS'!A363</f>
        <v>Mount Gilead Exempted Village SD</v>
      </c>
      <c r="AR363" s="7" t="b">
        <f t="shared" si="63"/>
        <v>1</v>
      </c>
      <c r="AT363" s="7" t="str">
        <f t="shared" si="61"/>
        <v>Morrow</v>
      </c>
      <c r="AU363" s="7" t="b">
        <f>C363='Gen Fd BS'!C363</f>
        <v>1</v>
      </c>
    </row>
    <row r="364" spans="1:47">
      <c r="A364" s="12" t="s">
        <v>375</v>
      </c>
      <c r="B364" s="12"/>
      <c r="C364" s="12" t="s">
        <v>40</v>
      </c>
      <c r="D364" s="12"/>
      <c r="E364" s="12">
        <v>44420</v>
      </c>
      <c r="G364" s="7">
        <v>12550198</v>
      </c>
      <c r="I364" s="7">
        <v>0</v>
      </c>
      <c r="K364" s="7">
        <v>15409826</v>
      </c>
      <c r="M364" s="7">
        <v>14845</v>
      </c>
      <c r="O364" s="7">
        <f>1474771+2439+99054+21507</f>
        <v>1597771</v>
      </c>
      <c r="Q364" s="7">
        <v>23115</v>
      </c>
      <c r="S364" s="7">
        <v>446185</v>
      </c>
      <c r="U364" s="7">
        <v>16004</v>
      </c>
      <c r="W364" s="7">
        <v>31248</v>
      </c>
      <c r="Y364" s="2">
        <f t="shared" si="52"/>
        <v>30089192</v>
      </c>
      <c r="AA364" s="7">
        <v>0</v>
      </c>
      <c r="AC364" s="7">
        <v>0</v>
      </c>
      <c r="AE364" s="7">
        <v>22623</v>
      </c>
      <c r="AG364" s="7">
        <v>0</v>
      </c>
      <c r="AI364" s="7">
        <v>0</v>
      </c>
      <c r="AK364" s="7">
        <f t="shared" si="70"/>
        <v>22623</v>
      </c>
      <c r="AM364" s="7">
        <f t="shared" si="69"/>
        <v>30111815</v>
      </c>
      <c r="AP364" s="7" t="str">
        <f t="shared" si="62"/>
        <v>Mount Vernon City SD</v>
      </c>
      <c r="AQ364" s="7" t="str">
        <f>'Gen Fd BS'!A364</f>
        <v>Mount Vernon City SD</v>
      </c>
      <c r="AR364" s="7" t="b">
        <f t="shared" si="63"/>
        <v>1</v>
      </c>
      <c r="AT364" s="7" t="str">
        <f t="shared" si="61"/>
        <v>Knox</v>
      </c>
      <c r="AU364" s="7" t="b">
        <f>C364='Gen Fd BS'!C364</f>
        <v>1</v>
      </c>
    </row>
    <row r="365" spans="1:47">
      <c r="A365" s="12" t="s">
        <v>751</v>
      </c>
      <c r="B365" s="12"/>
      <c r="C365" s="12" t="s">
        <v>32</v>
      </c>
      <c r="D365" s="12"/>
      <c r="E365" s="12">
        <v>44412</v>
      </c>
      <c r="G365" s="7">
        <v>11497153</v>
      </c>
      <c r="I365" s="7">
        <v>0</v>
      </c>
      <c r="K365" s="7">
        <v>22294429</v>
      </c>
      <c r="M365" s="7">
        <v>95443</v>
      </c>
      <c r="O365" s="7">
        <f>818107</f>
        <v>818107</v>
      </c>
      <c r="Q365" s="7">
        <v>70536</v>
      </c>
      <c r="S365" s="7">
        <v>0</v>
      </c>
      <c r="U365" s="7">
        <v>0</v>
      </c>
      <c r="W365" s="7">
        <v>116398</v>
      </c>
      <c r="Y365" s="2">
        <f t="shared" si="52"/>
        <v>34892066</v>
      </c>
      <c r="AA365" s="7">
        <v>0</v>
      </c>
      <c r="AC365" s="7">
        <v>0</v>
      </c>
      <c r="AE365" s="7">
        <v>0</v>
      </c>
      <c r="AG365" s="7">
        <v>8156</v>
      </c>
      <c r="AI365" s="7">
        <v>0</v>
      </c>
      <c r="AK365" s="7">
        <f t="shared" si="70"/>
        <v>8156</v>
      </c>
      <c r="AM365" s="7">
        <f t="shared" si="69"/>
        <v>34900222</v>
      </c>
      <c r="AP365" s="7" t="str">
        <f t="shared" si="62"/>
        <v xml:space="preserve">Mt. Healthy City SD </v>
      </c>
      <c r="AQ365" s="7" t="str">
        <f>'Gen Fd BS'!A365</f>
        <v xml:space="preserve">Mt. Healthy City SD </v>
      </c>
      <c r="AR365" s="7" t="b">
        <f t="shared" si="63"/>
        <v>1</v>
      </c>
      <c r="AT365" s="7" t="str">
        <f t="shared" si="61"/>
        <v>Hamilton</v>
      </c>
      <c r="AU365" s="7" t="b">
        <f>C365='Gen Fd BS'!C365</f>
        <v>1</v>
      </c>
    </row>
    <row r="366" spans="1:47">
      <c r="A366" s="12" t="s">
        <v>356</v>
      </c>
      <c r="B366" s="12"/>
      <c r="C366" s="12" t="s">
        <v>34</v>
      </c>
      <c r="D366" s="12"/>
      <c r="E366" s="12">
        <v>44438</v>
      </c>
      <c r="G366" s="7">
        <v>7336853</v>
      </c>
      <c r="I366" s="7">
        <v>0</v>
      </c>
      <c r="K366" s="7">
        <v>11278496</v>
      </c>
      <c r="M366" s="7">
        <v>83989</v>
      </c>
      <c r="O366" s="7">
        <f>811141+3105+58256</f>
        <v>872502</v>
      </c>
      <c r="Q366" s="7">
        <v>84043</v>
      </c>
      <c r="S366" s="7">
        <v>215307</v>
      </c>
      <c r="U366" s="7">
        <v>21642</v>
      </c>
      <c r="W366" s="7">
        <v>32532</v>
      </c>
      <c r="Y366" s="2">
        <f t="shared" ref="Y366:Y379" si="71">SUM(G366:X366)</f>
        <v>19925364</v>
      </c>
      <c r="AA366" s="7">
        <v>0</v>
      </c>
      <c r="AC366" s="7">
        <v>0</v>
      </c>
      <c r="AE366" s="7">
        <v>0</v>
      </c>
      <c r="AG366" s="7">
        <v>0</v>
      </c>
      <c r="AI366" s="7">
        <v>0</v>
      </c>
      <c r="AK366" s="7">
        <f t="shared" ref="AK366:AK379" si="72">SUM(AA366:AJ366)</f>
        <v>0</v>
      </c>
      <c r="AM366" s="7">
        <f t="shared" si="69"/>
        <v>19925364</v>
      </c>
      <c r="AP366" s="7" t="str">
        <f t="shared" si="62"/>
        <v>Napoleon Area City SD</v>
      </c>
      <c r="AQ366" s="7" t="str">
        <f>'Gen Fd BS'!A366</f>
        <v>Napoleon Area City SD</v>
      </c>
      <c r="AR366" s="7" t="b">
        <f t="shared" si="63"/>
        <v>1</v>
      </c>
      <c r="AT366" s="7" t="str">
        <f t="shared" si="61"/>
        <v>Henry</v>
      </c>
      <c r="AU366" s="7" t="b">
        <f>C366='Gen Fd BS'!C366</f>
        <v>1</v>
      </c>
    </row>
    <row r="367" spans="1:47" hidden="1">
      <c r="A367" s="12" t="s">
        <v>874</v>
      </c>
      <c r="B367" s="12"/>
      <c r="C367" s="12" t="s">
        <v>57</v>
      </c>
      <c r="D367" s="12"/>
      <c r="E367" s="12"/>
      <c r="I367" s="7">
        <v>0</v>
      </c>
      <c r="Y367" s="2"/>
      <c r="AC367" s="7">
        <v>0</v>
      </c>
      <c r="AI367" s="7">
        <v>0</v>
      </c>
      <c r="AO367" s="7" t="s">
        <v>938</v>
      </c>
      <c r="AP367" s="7" t="str">
        <f t="shared" ref="AP367" si="73">A367</f>
        <v>National Trail Local SD (CASH)</v>
      </c>
      <c r="AQ367" s="7" t="str">
        <f>'Gen Fd BS'!A367</f>
        <v>National Trail Local SD (CASH)</v>
      </c>
      <c r="AR367" s="7" t="b">
        <f t="shared" ref="AR367" si="74">AP367=AQ367</f>
        <v>1</v>
      </c>
      <c r="AT367" s="7" t="str">
        <f t="shared" si="61"/>
        <v>Preble</v>
      </c>
      <c r="AU367" s="7" t="b">
        <f>C367='Gen Fd BS'!C367</f>
        <v>1</v>
      </c>
    </row>
    <row r="368" spans="1:47">
      <c r="A368" s="12" t="s">
        <v>212</v>
      </c>
      <c r="B368" s="12"/>
      <c r="C368" s="12" t="s">
        <v>13</v>
      </c>
      <c r="D368" s="12"/>
      <c r="E368" s="12">
        <v>44446</v>
      </c>
      <c r="F368" s="10"/>
      <c r="G368" s="7">
        <v>1903590</v>
      </c>
      <c r="I368" s="7">
        <v>0</v>
      </c>
      <c r="K368" s="7">
        <v>8447761</v>
      </c>
      <c r="M368" s="7">
        <v>5252</v>
      </c>
      <c r="O368" s="7">
        <f>494766</f>
        <v>494766</v>
      </c>
      <c r="Q368" s="7">
        <v>0</v>
      </c>
      <c r="S368" s="7">
        <v>0</v>
      </c>
      <c r="U368" s="7">
        <v>49940</v>
      </c>
      <c r="W368" s="7">
        <v>37844</v>
      </c>
      <c r="Y368" s="2">
        <f t="shared" si="71"/>
        <v>10939153</v>
      </c>
      <c r="AA368" s="7">
        <v>0</v>
      </c>
      <c r="AC368" s="7">
        <v>0</v>
      </c>
      <c r="AE368" s="7">
        <v>0</v>
      </c>
      <c r="AG368" s="7">
        <v>0</v>
      </c>
      <c r="AI368" s="7">
        <v>0</v>
      </c>
      <c r="AK368" s="7">
        <f>SUM(AA368:AJ368)</f>
        <v>0</v>
      </c>
      <c r="AM368" s="7">
        <f t="shared" ref="AM368:AM408" si="75">+AK368+Y368</f>
        <v>10939153</v>
      </c>
      <c r="AP368" s="7" t="str">
        <f t="shared" si="62"/>
        <v>Nelsonville-York City SD</v>
      </c>
      <c r="AQ368" s="7" t="str">
        <f>'Gen Fd BS'!A368</f>
        <v>Nelsonville-York City SD</v>
      </c>
      <c r="AR368" s="7" t="b">
        <f t="shared" si="63"/>
        <v>1</v>
      </c>
      <c r="AT368" s="7" t="str">
        <f t="shared" si="61"/>
        <v>Athens</v>
      </c>
      <c r="AU368" s="7" t="b">
        <f>C368='Gen Fd BS'!C368</f>
        <v>1</v>
      </c>
    </row>
    <row r="369" spans="1:47">
      <c r="A369" s="12" t="s">
        <v>633</v>
      </c>
      <c r="B369" s="12"/>
      <c r="C369" s="12" t="s">
        <v>27</v>
      </c>
      <c r="D369" s="12"/>
      <c r="E369" s="12">
        <v>44461</v>
      </c>
      <c r="G369" s="7">
        <v>41376063</v>
      </c>
      <c r="I369" s="7">
        <v>0</v>
      </c>
      <c r="K369" s="7">
        <v>7568586</v>
      </c>
      <c r="M369" s="7">
        <v>71386</v>
      </c>
      <c r="O369" s="7">
        <v>376304</v>
      </c>
      <c r="Q369" s="7">
        <v>462045</v>
      </c>
      <c r="S369" s="7">
        <v>0</v>
      </c>
      <c r="U369" s="7">
        <v>0</v>
      </c>
      <c r="W369" s="7">
        <v>419982</v>
      </c>
      <c r="Y369" s="2">
        <f t="shared" si="71"/>
        <v>50274366</v>
      </c>
      <c r="AA369" s="7">
        <v>0</v>
      </c>
      <c r="AC369" s="7">
        <v>0</v>
      </c>
      <c r="AE369" s="7">
        <v>0</v>
      </c>
      <c r="AG369" s="7">
        <v>0</v>
      </c>
      <c r="AI369" s="7">
        <v>0</v>
      </c>
      <c r="AK369" s="7">
        <f t="shared" si="72"/>
        <v>0</v>
      </c>
      <c r="AM369" s="7">
        <f t="shared" si="75"/>
        <v>50274366</v>
      </c>
      <c r="AP369" s="7" t="str">
        <f t="shared" si="62"/>
        <v>New Albany-Plain Local SD</v>
      </c>
      <c r="AQ369" s="7" t="str">
        <f>'Gen Fd BS'!A369</f>
        <v>New Albany-Plain Local SD</v>
      </c>
      <c r="AR369" s="7" t="b">
        <f t="shared" si="63"/>
        <v>1</v>
      </c>
      <c r="AT369" s="7" t="str">
        <f t="shared" si="61"/>
        <v>Franklin</v>
      </c>
      <c r="AU369" s="7" t="b">
        <f>C369='Gen Fd BS'!C369</f>
        <v>1</v>
      </c>
    </row>
    <row r="370" spans="1:47">
      <c r="A370" s="12" t="s">
        <v>498</v>
      </c>
      <c r="B370" s="12"/>
      <c r="C370" s="12" t="s">
        <v>59</v>
      </c>
      <c r="D370" s="12"/>
      <c r="E370" s="12">
        <v>44461</v>
      </c>
      <c r="G370" s="7">
        <v>842277</v>
      </c>
      <c r="I370" s="7">
        <v>0</v>
      </c>
      <c r="K370" s="7">
        <v>1861145</v>
      </c>
      <c r="M370" s="7">
        <v>36105</v>
      </c>
      <c r="O370" s="7">
        <f>1052970+36000</f>
        <v>1088970</v>
      </c>
      <c r="Q370" s="7">
        <v>0</v>
      </c>
      <c r="S370" s="7">
        <v>0</v>
      </c>
      <c r="U370" s="7">
        <v>2595</v>
      </c>
      <c r="W370" s="7">
        <v>184232</v>
      </c>
      <c r="Y370" s="2">
        <f t="shared" si="71"/>
        <v>4015324</v>
      </c>
      <c r="AA370" s="7">
        <v>0</v>
      </c>
      <c r="AC370" s="7">
        <v>0</v>
      </c>
      <c r="AE370" s="7">
        <v>0</v>
      </c>
      <c r="AG370" s="7">
        <v>0</v>
      </c>
      <c r="AI370" s="7">
        <v>0</v>
      </c>
      <c r="AK370" s="7">
        <f t="shared" si="72"/>
        <v>0</v>
      </c>
      <c r="AM370" s="7">
        <f t="shared" si="75"/>
        <v>4015324</v>
      </c>
      <c r="AP370" s="7" t="str">
        <f t="shared" si="62"/>
        <v>New Boston Local SD</v>
      </c>
      <c r="AQ370" s="7" t="str">
        <f>'Gen Fd BS'!A370</f>
        <v>New Boston Local SD</v>
      </c>
      <c r="AR370" s="7" t="b">
        <f t="shared" si="63"/>
        <v>1</v>
      </c>
      <c r="AT370" s="7" t="str">
        <f t="shared" si="61"/>
        <v>Scioto</v>
      </c>
      <c r="AU370" s="7" t="b">
        <f>C370='Gen Fd BS'!C370</f>
        <v>1</v>
      </c>
    </row>
    <row r="371" spans="1:47">
      <c r="A371" s="12" t="s">
        <v>215</v>
      </c>
      <c r="B371" s="12"/>
      <c r="C371" s="12" t="s">
        <v>14</v>
      </c>
      <c r="D371" s="12"/>
      <c r="E371" s="12">
        <v>45955</v>
      </c>
      <c r="F371" s="10"/>
      <c r="G371" s="7">
        <v>1901413</v>
      </c>
      <c r="I371" s="7">
        <v>1626600</v>
      </c>
      <c r="K371" s="7">
        <v>4211348</v>
      </c>
      <c r="M371" s="7">
        <v>75347</v>
      </c>
      <c r="O371" s="7">
        <v>275954</v>
      </c>
      <c r="Q371" s="7">
        <v>0</v>
      </c>
      <c r="S371" s="7">
        <v>30952</v>
      </c>
      <c r="U371" s="7">
        <v>66500</v>
      </c>
      <c r="W371" s="7">
        <v>32626</v>
      </c>
      <c r="Y371" s="2">
        <f t="shared" si="71"/>
        <v>8220740</v>
      </c>
      <c r="AA371" s="7">
        <v>0</v>
      </c>
      <c r="AC371" s="7">
        <v>0</v>
      </c>
      <c r="AE371" s="7">
        <v>0</v>
      </c>
      <c r="AG371" s="7">
        <v>0</v>
      </c>
      <c r="AI371" s="7">
        <v>0</v>
      </c>
      <c r="AK371" s="7">
        <f t="shared" si="72"/>
        <v>0</v>
      </c>
      <c r="AM371" s="7">
        <f t="shared" si="75"/>
        <v>8220740</v>
      </c>
      <c r="AP371" s="7" t="str">
        <f t="shared" si="62"/>
        <v>New Bremen Local SD</v>
      </c>
      <c r="AQ371" s="7" t="str">
        <f>'Gen Fd BS'!A371</f>
        <v>New Bremen Local SD</v>
      </c>
      <c r="AR371" s="7" t="b">
        <f t="shared" si="63"/>
        <v>1</v>
      </c>
      <c r="AT371" s="7" t="str">
        <f t="shared" si="61"/>
        <v>Auglaize</v>
      </c>
      <c r="AU371" s="7" t="b">
        <f>C371='Gen Fd BS'!C371</f>
        <v>1</v>
      </c>
    </row>
    <row r="372" spans="1:47" hidden="1">
      <c r="A372" s="12" t="s">
        <v>745</v>
      </c>
      <c r="B372" s="12"/>
      <c r="C372" s="12" t="s">
        <v>14</v>
      </c>
      <c r="D372" s="12"/>
      <c r="E372" s="12">
        <v>45963</v>
      </c>
      <c r="F372" s="10"/>
      <c r="Y372" s="2">
        <f t="shared" si="71"/>
        <v>0</v>
      </c>
      <c r="AC372" s="7">
        <v>0</v>
      </c>
      <c r="AI372" s="7">
        <v>0</v>
      </c>
      <c r="AK372" s="7">
        <f t="shared" si="72"/>
        <v>0</v>
      </c>
      <c r="AM372" s="7">
        <f t="shared" si="75"/>
        <v>0</v>
      </c>
      <c r="AO372" s="7" t="s">
        <v>839</v>
      </c>
      <c r="AP372" s="7" t="str">
        <f t="shared" si="62"/>
        <v>New Knoxville Local SD (CASH)</v>
      </c>
      <c r="AQ372" s="7" t="str">
        <f>'Gen Fd BS'!A372</f>
        <v>New Knoxville Local SD (CASH)</v>
      </c>
      <c r="AR372" s="7" t="b">
        <f t="shared" si="63"/>
        <v>1</v>
      </c>
      <c r="AT372" s="7" t="str">
        <f t="shared" si="61"/>
        <v>Auglaize</v>
      </c>
      <c r="AU372" s="7" t="b">
        <f>C372='Gen Fd BS'!C372</f>
        <v>1</v>
      </c>
    </row>
    <row r="373" spans="1:47">
      <c r="A373" s="12" t="s">
        <v>446</v>
      </c>
      <c r="B373" s="12"/>
      <c r="C373" s="12" t="s">
        <v>50</v>
      </c>
      <c r="D373" s="12"/>
      <c r="E373" s="12">
        <v>48710</v>
      </c>
      <c r="G373" s="7">
        <v>3582352</v>
      </c>
      <c r="I373" s="7">
        <v>0</v>
      </c>
      <c r="K373" s="7">
        <f>10480+5987999+19146</f>
        <v>6017625</v>
      </c>
      <c r="M373" s="7">
        <v>10924</v>
      </c>
      <c r="O373" s="7">
        <f>478488+37014</f>
        <v>515502</v>
      </c>
      <c r="Q373" s="7">
        <v>27682</v>
      </c>
      <c r="S373" s="7">
        <v>0</v>
      </c>
      <c r="U373" s="7">
        <v>0</v>
      </c>
      <c r="W373" s="7">
        <v>102887</v>
      </c>
      <c r="Y373" s="2">
        <f t="shared" si="71"/>
        <v>10256972</v>
      </c>
      <c r="AA373" s="7">
        <v>287454</v>
      </c>
      <c r="AC373" s="7">
        <v>0</v>
      </c>
      <c r="AE373" s="7">
        <v>0</v>
      </c>
      <c r="AG373" s="7">
        <v>0</v>
      </c>
      <c r="AI373" s="7">
        <v>0</v>
      </c>
      <c r="AK373" s="7">
        <f t="shared" si="72"/>
        <v>287454</v>
      </c>
      <c r="AM373" s="7">
        <f t="shared" si="75"/>
        <v>10544426</v>
      </c>
      <c r="AP373" s="7" t="str">
        <f t="shared" si="62"/>
        <v>New Lebanon Local SD</v>
      </c>
      <c r="AQ373" s="7" t="str">
        <f>'Gen Fd BS'!A373</f>
        <v>New Lebanon Local SD</v>
      </c>
      <c r="AR373" s="7" t="b">
        <f t="shared" si="63"/>
        <v>1</v>
      </c>
      <c r="AT373" s="7" t="str">
        <f t="shared" si="61"/>
        <v>Montgomery</v>
      </c>
      <c r="AU373" s="7" t="b">
        <f>C373='Gen Fd BS'!C373</f>
        <v>1</v>
      </c>
    </row>
    <row r="374" spans="1:47" hidden="1">
      <c r="A374" s="12" t="s">
        <v>939</v>
      </c>
      <c r="B374" s="12"/>
      <c r="C374" s="12" t="s">
        <v>466</v>
      </c>
      <c r="D374" s="12"/>
      <c r="E374" s="12">
        <v>44479</v>
      </c>
      <c r="Y374" s="2">
        <f t="shared" si="71"/>
        <v>0</v>
      </c>
      <c r="AC374" s="7">
        <v>0</v>
      </c>
      <c r="AI374" s="7">
        <v>0</v>
      </c>
      <c r="AK374" s="7">
        <f t="shared" si="72"/>
        <v>0</v>
      </c>
      <c r="AM374" s="7">
        <f t="shared" si="75"/>
        <v>0</v>
      </c>
      <c r="AO374" s="7" t="s">
        <v>839</v>
      </c>
      <c r="AP374" s="7" t="str">
        <f t="shared" si="62"/>
        <v>New Lexington City SD (CASH)</v>
      </c>
      <c r="AQ374" s="7" t="str">
        <f>'Gen Fd BS'!A374</f>
        <v>New Lexington City SD (CASH)</v>
      </c>
      <c r="AR374" s="7" t="b">
        <f t="shared" si="63"/>
        <v>1</v>
      </c>
      <c r="AT374" s="7" t="str">
        <f t="shared" si="61"/>
        <v>Perry</v>
      </c>
      <c r="AU374" s="7" t="b">
        <f>C374='Gen Fd BS'!C374</f>
        <v>1</v>
      </c>
    </row>
    <row r="375" spans="1:47">
      <c r="A375" s="12" t="s">
        <v>367</v>
      </c>
      <c r="B375" s="12"/>
      <c r="C375" s="12" t="s">
        <v>37</v>
      </c>
      <c r="D375" s="12"/>
      <c r="E375" s="12">
        <v>47720</v>
      </c>
      <c r="G375" s="7">
        <v>2987756</v>
      </c>
      <c r="I375" s="7">
        <v>0</v>
      </c>
      <c r="K375" s="7">
        <f>5600505+28414</f>
        <v>5628919</v>
      </c>
      <c r="M375" s="7">
        <v>19775</v>
      </c>
      <c r="O375" s="7">
        <f>371840+29209</f>
        <v>401049</v>
      </c>
      <c r="Q375" s="7">
        <v>45705</v>
      </c>
      <c r="S375" s="7">
        <v>0</v>
      </c>
      <c r="U375" s="7">
        <v>0</v>
      </c>
      <c r="W375" s="7">
        <v>3447</v>
      </c>
      <c r="Y375" s="2">
        <f t="shared" si="71"/>
        <v>9086651</v>
      </c>
      <c r="AA375" s="7">
        <v>0</v>
      </c>
      <c r="AC375" s="7">
        <v>0</v>
      </c>
      <c r="AE375" s="7">
        <v>39400</v>
      </c>
      <c r="AG375" s="7">
        <v>0</v>
      </c>
      <c r="AI375" s="7">
        <v>0</v>
      </c>
      <c r="AK375" s="7">
        <f t="shared" si="72"/>
        <v>39400</v>
      </c>
      <c r="AM375" s="7">
        <f t="shared" si="75"/>
        <v>9126051</v>
      </c>
      <c r="AP375" s="7" t="str">
        <f t="shared" si="62"/>
        <v>New London Local SD</v>
      </c>
      <c r="AQ375" s="7" t="str">
        <f>'Gen Fd BS'!A375</f>
        <v>New London Local SD</v>
      </c>
      <c r="AR375" s="7" t="b">
        <f t="shared" si="63"/>
        <v>1</v>
      </c>
      <c r="AT375" s="7" t="str">
        <f t="shared" si="61"/>
        <v>Huron</v>
      </c>
      <c r="AU375" s="7" t="b">
        <f>C375='Gen Fd BS'!C375</f>
        <v>1</v>
      </c>
    </row>
    <row r="376" spans="1:47">
      <c r="A376" s="12" t="s">
        <v>230</v>
      </c>
      <c r="B376" s="12"/>
      <c r="C376" s="12" t="s">
        <v>223</v>
      </c>
      <c r="D376" s="12"/>
      <c r="E376" s="12">
        <v>46136</v>
      </c>
      <c r="F376" s="10"/>
      <c r="G376" s="7">
        <v>1380099</v>
      </c>
      <c r="I376" s="7">
        <v>0</v>
      </c>
      <c r="K376" s="7">
        <v>4535422</v>
      </c>
      <c r="M376" s="7">
        <v>7833</v>
      </c>
      <c r="O376" s="7">
        <f>14262</f>
        <v>14262</v>
      </c>
      <c r="Q376" s="7">
        <v>0</v>
      </c>
      <c r="S376" s="7">
        <v>0</v>
      </c>
      <c r="U376" s="7">
        <v>0</v>
      </c>
      <c r="W376" s="7">
        <v>71926</v>
      </c>
      <c r="Y376" s="2">
        <f t="shared" si="71"/>
        <v>6009542</v>
      </c>
      <c r="AA376" s="7">
        <v>0</v>
      </c>
      <c r="AC376" s="7">
        <v>0</v>
      </c>
      <c r="AE376" s="7">
        <v>0</v>
      </c>
      <c r="AG376" s="7">
        <v>0</v>
      </c>
      <c r="AI376" s="7">
        <v>0</v>
      </c>
      <c r="AK376" s="7">
        <f t="shared" si="72"/>
        <v>0</v>
      </c>
      <c r="AM376" s="7">
        <f t="shared" si="75"/>
        <v>6009542</v>
      </c>
      <c r="AP376" s="7" t="str">
        <f t="shared" si="62"/>
        <v>New Miami Local SD</v>
      </c>
      <c r="AQ376" s="7" t="str">
        <f>'Gen Fd BS'!A376</f>
        <v>New Miami Local SD</v>
      </c>
      <c r="AR376" s="7" t="b">
        <f t="shared" si="63"/>
        <v>1</v>
      </c>
      <c r="AT376" s="7" t="str">
        <f t="shared" si="61"/>
        <v>Butler</v>
      </c>
      <c r="AU376" s="7" t="b">
        <f>C376='Gen Fd BS'!C376</f>
        <v>1</v>
      </c>
    </row>
    <row r="377" spans="1:47">
      <c r="A377" s="12" t="s">
        <v>553</v>
      </c>
      <c r="B377" s="12"/>
      <c r="C377" s="12" t="s">
        <v>65</v>
      </c>
      <c r="D377" s="12"/>
      <c r="E377" s="12">
        <v>44487</v>
      </c>
      <c r="G377" s="7">
        <v>10835851</v>
      </c>
      <c r="I377" s="7">
        <v>0</v>
      </c>
      <c r="K377" s="7">
        <v>11190814</v>
      </c>
      <c r="M377" s="7">
        <v>45867</v>
      </c>
      <c r="O377" s="7">
        <f>85831</f>
        <v>85831</v>
      </c>
      <c r="Q377" s="7">
        <v>154129</v>
      </c>
      <c r="S377" s="7">
        <v>0</v>
      </c>
      <c r="U377" s="7">
        <v>0</v>
      </c>
      <c r="W377" s="7">
        <v>558237</v>
      </c>
      <c r="Y377" s="2">
        <f t="shared" si="71"/>
        <v>22870729</v>
      </c>
      <c r="AA377" s="7">
        <v>0</v>
      </c>
      <c r="AC377" s="7">
        <v>0</v>
      </c>
      <c r="AE377" s="7">
        <v>0</v>
      </c>
      <c r="AG377" s="7">
        <v>0</v>
      </c>
      <c r="AI377" s="7">
        <v>0</v>
      </c>
      <c r="AK377" s="7">
        <f t="shared" si="72"/>
        <v>0</v>
      </c>
      <c r="AM377" s="7">
        <f t="shared" si="75"/>
        <v>22870729</v>
      </c>
      <c r="AP377" s="7" t="str">
        <f t="shared" si="62"/>
        <v>New Philadelphia City SD</v>
      </c>
      <c r="AQ377" s="7" t="str">
        <f>'Gen Fd BS'!A377</f>
        <v>New Philadelphia City SD</v>
      </c>
      <c r="AR377" s="7" t="b">
        <f t="shared" si="63"/>
        <v>1</v>
      </c>
      <c r="AT377" s="7" t="str">
        <f t="shared" si="61"/>
        <v>Tuscarawas</v>
      </c>
      <c r="AU377" s="7" t="b">
        <f>C377='Gen Fd BS'!C377</f>
        <v>1</v>
      </c>
    </row>
    <row r="378" spans="1:47">
      <c r="A378" s="12" t="s">
        <v>881</v>
      </c>
      <c r="B378" s="12"/>
      <c r="C378" s="12" t="s">
        <v>113</v>
      </c>
      <c r="D378" s="12"/>
      <c r="E378" s="12">
        <v>45559</v>
      </c>
      <c r="F378" s="10"/>
      <c r="G378" s="7">
        <v>14149048</v>
      </c>
      <c r="I378" s="7">
        <v>0</v>
      </c>
      <c r="K378" s="7">
        <v>12863701</v>
      </c>
      <c r="M378" s="7">
        <v>117056</v>
      </c>
      <c r="O378" s="7">
        <v>1142294</v>
      </c>
      <c r="Q378" s="7">
        <v>0</v>
      </c>
      <c r="S378" s="7">
        <v>0</v>
      </c>
      <c r="U378" s="7">
        <v>0</v>
      </c>
      <c r="W378" s="7">
        <v>88901</v>
      </c>
      <c r="Y378" s="2">
        <f t="shared" si="71"/>
        <v>28361000</v>
      </c>
      <c r="AA378" s="7">
        <v>0</v>
      </c>
      <c r="AC378" s="7">
        <v>0</v>
      </c>
      <c r="AE378" s="7">
        <v>0</v>
      </c>
      <c r="AG378" s="7">
        <v>0</v>
      </c>
      <c r="AI378" s="7">
        <v>0</v>
      </c>
      <c r="AK378" s="7">
        <f t="shared" si="72"/>
        <v>0</v>
      </c>
      <c r="AM378" s="7">
        <f t="shared" si="75"/>
        <v>28361000</v>
      </c>
      <c r="AP378" s="7" t="str">
        <f t="shared" si="62"/>
        <v>New Richmond Exempted Village SD</v>
      </c>
      <c r="AQ378" s="7" t="str">
        <f>'Gen Fd BS'!A378</f>
        <v>New Richmond Exempted Village SD</v>
      </c>
      <c r="AR378" s="7" t="b">
        <f t="shared" si="63"/>
        <v>1</v>
      </c>
      <c r="AT378" s="7" t="str">
        <f t="shared" si="61"/>
        <v>Clermont</v>
      </c>
      <c r="AU378" s="7" t="b">
        <f>C378='Gen Fd BS'!C378</f>
        <v>1</v>
      </c>
    </row>
    <row r="379" spans="1:47" hidden="1">
      <c r="A379" s="12" t="s">
        <v>940</v>
      </c>
      <c r="B379" s="12"/>
      <c r="C379" s="12" t="s">
        <v>60</v>
      </c>
      <c r="D379" s="12"/>
      <c r="E379" s="12">
        <v>49718</v>
      </c>
      <c r="Y379" s="2">
        <f t="shared" si="71"/>
        <v>0</v>
      </c>
      <c r="AC379" s="7">
        <v>0</v>
      </c>
      <c r="AK379" s="7">
        <f t="shared" si="72"/>
        <v>0</v>
      </c>
      <c r="AM379" s="7">
        <f t="shared" si="75"/>
        <v>0</v>
      </c>
      <c r="AO379" s="7" t="s">
        <v>839</v>
      </c>
      <c r="AP379" s="7" t="str">
        <f t="shared" si="62"/>
        <v>New Riegel Local SD (CASH)</v>
      </c>
      <c r="AQ379" s="7" t="str">
        <f>'Gen Fd BS'!A379</f>
        <v>New Riegel Local SD (CASH)</v>
      </c>
      <c r="AR379" s="7" t="b">
        <f t="shared" si="63"/>
        <v>1</v>
      </c>
      <c r="AT379" s="7" t="str">
        <f t="shared" si="61"/>
        <v>Seneca</v>
      </c>
      <c r="AU379" s="7" t="b">
        <f>C379='Gen Fd BS'!C379</f>
        <v>1</v>
      </c>
    </row>
    <row r="380" spans="1:47">
      <c r="A380" s="12" t="s">
        <v>388</v>
      </c>
      <c r="B380" s="12"/>
      <c r="C380" s="12" t="s">
        <v>42</v>
      </c>
      <c r="D380" s="12"/>
      <c r="E380" s="12">
        <v>44453</v>
      </c>
      <c r="G380" s="7">
        <v>17284059</v>
      </c>
      <c r="I380" s="7">
        <v>7461866</v>
      </c>
      <c r="K380" s="7">
        <f>28181582+231064</f>
        <v>28412646</v>
      </c>
      <c r="M380" s="7">
        <v>45461</v>
      </c>
      <c r="O380" s="7">
        <f>655273+102270+141145+22290+22408</f>
        <v>943386</v>
      </c>
      <c r="Q380" s="7">
        <v>248872</v>
      </c>
      <c r="S380" s="7">
        <v>6117</v>
      </c>
      <c r="U380" s="7">
        <v>158760</v>
      </c>
      <c r="W380" s="7">
        <v>389419</v>
      </c>
      <c r="Y380" s="2">
        <f>SUM(G380:X380)</f>
        <v>54950586</v>
      </c>
      <c r="AA380" s="7">
        <v>0</v>
      </c>
      <c r="AC380" s="7">
        <v>0</v>
      </c>
      <c r="AE380" s="7">
        <v>0</v>
      </c>
      <c r="AG380" s="7">
        <v>34419</v>
      </c>
      <c r="AI380" s="7">
        <v>0</v>
      </c>
      <c r="AK380" s="7">
        <f>SUM(AA380:AJ380)</f>
        <v>34419</v>
      </c>
      <c r="AM380" s="7">
        <f t="shared" si="75"/>
        <v>54985005</v>
      </c>
      <c r="AP380" s="7" t="str">
        <f t="shared" si="62"/>
        <v>Newark City SD</v>
      </c>
      <c r="AQ380" s="7" t="str">
        <f>'Gen Fd BS'!A380</f>
        <v>Newark City SD</v>
      </c>
      <c r="AR380" s="7" t="b">
        <f t="shared" si="63"/>
        <v>1</v>
      </c>
      <c r="AT380" s="7" t="str">
        <f t="shared" si="61"/>
        <v>Licking</v>
      </c>
      <c r="AU380" s="7" t="b">
        <f>C380='Gen Fd BS'!C380</f>
        <v>1</v>
      </c>
    </row>
    <row r="381" spans="1:47">
      <c r="A381" s="12" t="s">
        <v>323</v>
      </c>
      <c r="B381" s="12"/>
      <c r="C381" s="12" t="s">
        <v>30</v>
      </c>
      <c r="D381" s="12"/>
      <c r="E381" s="12">
        <v>47217</v>
      </c>
      <c r="G381" s="7">
        <v>4879490</v>
      </c>
      <c r="I381" s="7">
        <v>0</v>
      </c>
      <c r="K381" s="7">
        <v>2310024</v>
      </c>
      <c r="M381" s="7">
        <v>34485</v>
      </c>
      <c r="O381" s="7">
        <f>259265+10400</f>
        <v>269665</v>
      </c>
      <c r="Q381" s="7">
        <v>37805</v>
      </c>
      <c r="S381" s="7">
        <v>0</v>
      </c>
      <c r="U381" s="7">
        <v>550</v>
      </c>
      <c r="W381" s="7">
        <v>72796</v>
      </c>
      <c r="Y381" s="2">
        <f t="shared" ref="Y381:Y393" si="76">SUM(G381:X381)</f>
        <v>7604815</v>
      </c>
      <c r="AA381" s="7">
        <v>0</v>
      </c>
      <c r="AC381" s="7">
        <v>0</v>
      </c>
      <c r="AE381" s="7">
        <v>0</v>
      </c>
      <c r="AG381" s="7">
        <v>0</v>
      </c>
      <c r="AI381" s="7">
        <v>0</v>
      </c>
      <c r="AK381" s="7">
        <v>0</v>
      </c>
      <c r="AM381" s="7">
        <f t="shared" si="75"/>
        <v>7604815</v>
      </c>
      <c r="AO381" s="83"/>
      <c r="AP381" s="7" t="str">
        <f t="shared" si="62"/>
        <v>Newbury Local SD</v>
      </c>
      <c r="AQ381" s="7" t="str">
        <f>'Gen Fd BS'!A381</f>
        <v>Newbury Local SD</v>
      </c>
      <c r="AR381" s="7" t="b">
        <f t="shared" si="63"/>
        <v>1</v>
      </c>
      <c r="AT381" s="7" t="str">
        <f t="shared" si="61"/>
        <v>Geauga</v>
      </c>
      <c r="AU381" s="7" t="b">
        <f>C381='Gen Fd BS'!C381</f>
        <v>1</v>
      </c>
    </row>
    <row r="382" spans="1:47">
      <c r="A382" s="12" t="s">
        <v>882</v>
      </c>
      <c r="B382" s="12"/>
      <c r="C382" s="12" t="s">
        <v>65</v>
      </c>
      <c r="D382" s="12"/>
      <c r="E382" s="12">
        <v>45542</v>
      </c>
      <c r="G382" s="7">
        <v>2689323</v>
      </c>
      <c r="I382" s="7">
        <v>0</v>
      </c>
      <c r="K382" s="7">
        <v>6204506</v>
      </c>
      <c r="M382" s="7">
        <v>0</v>
      </c>
      <c r="O382" s="7">
        <f>778071+16518+325</f>
        <v>794914</v>
      </c>
      <c r="Q382" s="7">
        <v>50762</v>
      </c>
      <c r="S382" s="7">
        <v>0</v>
      </c>
      <c r="U382" s="7">
        <v>19193</v>
      </c>
      <c r="W382" s="7">
        <v>315203</v>
      </c>
      <c r="Y382" s="2">
        <f t="shared" si="76"/>
        <v>10073901</v>
      </c>
      <c r="AA382" s="7">
        <v>1453</v>
      </c>
      <c r="AC382" s="7">
        <v>0</v>
      </c>
      <c r="AE382" s="7">
        <v>21920</v>
      </c>
      <c r="AG382" s="7">
        <v>0</v>
      </c>
      <c r="AI382" s="7">
        <v>0</v>
      </c>
      <c r="AK382" s="7">
        <f t="shared" ref="AK382:AK393" si="77">SUM(AA382:AJ382)</f>
        <v>23373</v>
      </c>
      <c r="AM382" s="7">
        <f t="shared" si="75"/>
        <v>10097274</v>
      </c>
      <c r="AP382" s="7" t="str">
        <f t="shared" si="62"/>
        <v>Newcomerstown Exempted Village SD</v>
      </c>
      <c r="AQ382" s="7" t="str">
        <f>'Gen Fd BS'!A382</f>
        <v>Newcomerstown Exempted Village SD</v>
      </c>
      <c r="AR382" s="7" t="b">
        <f t="shared" si="63"/>
        <v>1</v>
      </c>
      <c r="AT382" s="7" t="str">
        <f t="shared" si="61"/>
        <v>Tuscarawas</v>
      </c>
      <c r="AU382" s="7" t="b">
        <f>C382='Gen Fd BS'!C382</f>
        <v>1</v>
      </c>
    </row>
    <row r="383" spans="1:47">
      <c r="A383" s="12" t="s">
        <v>883</v>
      </c>
      <c r="B383" s="12"/>
      <c r="C383" s="12" t="s">
        <v>64</v>
      </c>
      <c r="D383" s="12"/>
      <c r="E383" s="12">
        <v>45567</v>
      </c>
      <c r="G383" s="7">
        <v>2586611</v>
      </c>
      <c r="I383" s="7">
        <v>0</v>
      </c>
      <c r="K383" s="7">
        <v>7602034</v>
      </c>
      <c r="M383" s="7">
        <v>9127</v>
      </c>
      <c r="O383" s="7">
        <f>278588+1849</f>
        <v>280437</v>
      </c>
      <c r="Q383" s="7">
        <v>63770</v>
      </c>
      <c r="S383" s="7">
        <v>0</v>
      </c>
      <c r="U383" s="7">
        <v>0</v>
      </c>
      <c r="W383" s="7">
        <v>165629</v>
      </c>
      <c r="Y383" s="2">
        <f t="shared" si="76"/>
        <v>10707608</v>
      </c>
      <c r="AA383" s="7">
        <v>0</v>
      </c>
      <c r="AC383" s="7">
        <v>0</v>
      </c>
      <c r="AE383" s="7">
        <v>0</v>
      </c>
      <c r="AG383" s="7">
        <v>0</v>
      </c>
      <c r="AI383" s="7">
        <v>0</v>
      </c>
      <c r="AK383" s="7">
        <f t="shared" si="77"/>
        <v>0</v>
      </c>
      <c r="AM383" s="7">
        <f t="shared" si="75"/>
        <v>10707608</v>
      </c>
      <c r="AP383" s="7" t="str">
        <f t="shared" si="62"/>
        <v>Newton Falls Exempted Village SD</v>
      </c>
      <c r="AQ383" s="7" t="str">
        <f>'Gen Fd BS'!A383</f>
        <v>Newton Falls Exempted Village SD</v>
      </c>
      <c r="AR383" s="7" t="b">
        <f t="shared" si="63"/>
        <v>1</v>
      </c>
      <c r="AT383" s="7" t="str">
        <f t="shared" si="61"/>
        <v>Trumbull</v>
      </c>
      <c r="AU383" s="7" t="b">
        <f>C383='Gen Fd BS'!C383</f>
        <v>1</v>
      </c>
    </row>
    <row r="384" spans="1:47" hidden="1">
      <c r="A384" s="12" t="s">
        <v>941</v>
      </c>
      <c r="B384" s="12"/>
      <c r="C384" s="12" t="s">
        <v>48</v>
      </c>
      <c r="D384" s="12"/>
      <c r="E384" s="12">
        <v>48637</v>
      </c>
      <c r="Y384" s="2">
        <f t="shared" si="76"/>
        <v>0</v>
      </c>
      <c r="AC384" s="7">
        <v>0</v>
      </c>
      <c r="AI384" s="7">
        <v>0</v>
      </c>
      <c r="AK384" s="7">
        <f t="shared" si="77"/>
        <v>0</v>
      </c>
      <c r="AM384" s="7">
        <f t="shared" si="75"/>
        <v>0</v>
      </c>
      <c r="AO384" s="7" t="s">
        <v>912</v>
      </c>
      <c r="AP384" s="7" t="str">
        <f t="shared" si="62"/>
        <v>Newton Local SD (CASH)</v>
      </c>
      <c r="AQ384" s="7" t="str">
        <f>'Gen Fd BS'!A384</f>
        <v>Newton Local SD (CASH)</v>
      </c>
      <c r="AR384" s="7" t="b">
        <f t="shared" si="63"/>
        <v>1</v>
      </c>
      <c r="AT384" s="7" t="str">
        <f t="shared" si="61"/>
        <v>Miami</v>
      </c>
      <c r="AU384" s="7" t="b">
        <f>C384='Gen Fd BS'!C384</f>
        <v>1</v>
      </c>
    </row>
    <row r="385" spans="1:47">
      <c r="A385" s="12" t="s">
        <v>631</v>
      </c>
      <c r="B385" s="12"/>
      <c r="C385" s="12" t="s">
        <v>64</v>
      </c>
      <c r="D385" s="12"/>
      <c r="E385" s="12"/>
      <c r="G385" s="7">
        <v>6681041</v>
      </c>
      <c r="I385" s="7">
        <v>0</v>
      </c>
      <c r="K385" s="7">
        <v>14736616</v>
      </c>
      <c r="M385" s="7">
        <v>8051</v>
      </c>
      <c r="O385" s="7">
        <f>721042+82802+3819+24100+990</f>
        <v>832753</v>
      </c>
      <c r="Q385" s="7">
        <v>13983</v>
      </c>
      <c r="S385" s="7">
        <v>0</v>
      </c>
      <c r="U385" s="7">
        <v>4203</v>
      </c>
      <c r="W385" s="7">
        <v>328218</v>
      </c>
      <c r="Y385" s="2">
        <f t="shared" si="76"/>
        <v>22604865</v>
      </c>
      <c r="AA385" s="7">
        <v>0</v>
      </c>
      <c r="AC385" s="7">
        <v>0</v>
      </c>
      <c r="AE385" s="7">
        <v>0</v>
      </c>
      <c r="AG385" s="7">
        <v>0</v>
      </c>
      <c r="AI385" s="7">
        <v>0</v>
      </c>
      <c r="AK385" s="7">
        <f t="shared" si="77"/>
        <v>0</v>
      </c>
      <c r="AM385" s="7">
        <f t="shared" si="75"/>
        <v>22604865</v>
      </c>
      <c r="AP385" s="7" t="str">
        <f t="shared" si="62"/>
        <v>Niles City SD</v>
      </c>
      <c r="AQ385" s="7" t="str">
        <f>'Gen Fd BS'!A385</f>
        <v>Niles City SD</v>
      </c>
      <c r="AR385" s="7" t="b">
        <f t="shared" si="63"/>
        <v>1</v>
      </c>
      <c r="AT385" s="7" t="str">
        <f t="shared" si="61"/>
        <v>Trumbull</v>
      </c>
      <c r="AU385" s="7" t="b">
        <f>C385='Gen Fd BS'!C385</f>
        <v>1</v>
      </c>
    </row>
    <row r="386" spans="1:47">
      <c r="A386" s="12" t="s">
        <v>462</v>
      </c>
      <c r="B386" s="12"/>
      <c r="C386" s="12" t="s">
        <v>52</v>
      </c>
      <c r="D386" s="12"/>
      <c r="E386" s="12">
        <v>48900</v>
      </c>
      <c r="G386" s="7">
        <v>2858310</v>
      </c>
      <c r="I386" s="7">
        <v>0</v>
      </c>
      <c r="K386" s="7">
        <v>5708586</v>
      </c>
      <c r="M386" s="7">
        <v>25736</v>
      </c>
      <c r="O386" s="7">
        <f>763719+749</f>
        <v>764468</v>
      </c>
      <c r="Q386" s="7">
        <v>27185</v>
      </c>
      <c r="S386" s="7">
        <v>0</v>
      </c>
      <c r="U386" s="7">
        <v>900</v>
      </c>
      <c r="W386" s="7">
        <v>11177</v>
      </c>
      <c r="Y386" s="2">
        <f t="shared" si="76"/>
        <v>9396362</v>
      </c>
      <c r="AA386" s="7">
        <v>0</v>
      </c>
      <c r="AC386" s="7">
        <v>0</v>
      </c>
      <c r="AE386" s="7">
        <v>42267</v>
      </c>
      <c r="AG386" s="7">
        <v>0</v>
      </c>
      <c r="AI386" s="7">
        <v>0</v>
      </c>
      <c r="AK386" s="7">
        <f t="shared" si="77"/>
        <v>42267</v>
      </c>
      <c r="AM386" s="7">
        <f t="shared" si="75"/>
        <v>9438629</v>
      </c>
      <c r="AP386" s="7" t="str">
        <f t="shared" si="62"/>
        <v>Noble Local SD</v>
      </c>
      <c r="AQ386" s="7" t="str">
        <f>'Gen Fd BS'!A386</f>
        <v>Noble Local SD</v>
      </c>
      <c r="AR386" s="7" t="b">
        <f t="shared" si="63"/>
        <v>1</v>
      </c>
      <c r="AT386" s="7" t="str">
        <f t="shared" si="61"/>
        <v>Noble</v>
      </c>
      <c r="AU386" s="7" t="b">
        <f>C386='Gen Fd BS'!C386</f>
        <v>1</v>
      </c>
    </row>
    <row r="387" spans="1:47">
      <c r="A387" s="12" t="s">
        <v>527</v>
      </c>
      <c r="B387" s="12"/>
      <c r="C387" s="12" t="s">
        <v>63</v>
      </c>
      <c r="D387" s="12"/>
      <c r="E387" s="12">
        <v>50047</v>
      </c>
      <c r="G387" s="7">
        <v>24990066</v>
      </c>
      <c r="I387" s="7">
        <v>0</v>
      </c>
      <c r="K387" s="7">
        <v>11607442</v>
      </c>
      <c r="M387" s="7">
        <v>15790</v>
      </c>
      <c r="O387" s="7">
        <f>304951+135+100064</f>
        <v>405150</v>
      </c>
      <c r="Q387" s="7">
        <v>378259</v>
      </c>
      <c r="S387" s="7">
        <v>0</v>
      </c>
      <c r="U387" s="7">
        <v>3295</v>
      </c>
      <c r="W387" s="7">
        <v>55635</v>
      </c>
      <c r="Y387" s="2">
        <f t="shared" si="76"/>
        <v>37455637</v>
      </c>
      <c r="AA387" s="7">
        <v>0</v>
      </c>
      <c r="AC387" s="7">
        <v>0</v>
      </c>
      <c r="AE387" s="7">
        <v>0</v>
      </c>
      <c r="AG387" s="7">
        <v>0</v>
      </c>
      <c r="AI387" s="7">
        <v>0</v>
      </c>
      <c r="AK387" s="7">
        <f t="shared" si="77"/>
        <v>0</v>
      </c>
      <c r="AM387" s="7">
        <f t="shared" si="75"/>
        <v>37455637</v>
      </c>
      <c r="AP387" s="7" t="str">
        <f t="shared" si="62"/>
        <v>Nordonia Hills City SD</v>
      </c>
      <c r="AQ387" s="7" t="str">
        <f>'Gen Fd BS'!A387</f>
        <v>Nordonia Hills City SD</v>
      </c>
      <c r="AR387" s="7" t="b">
        <f t="shared" si="63"/>
        <v>1</v>
      </c>
      <c r="AT387" s="7" t="str">
        <f t="shared" si="61"/>
        <v>Summit</v>
      </c>
      <c r="AU387" s="7" t="b">
        <f>C387='Gen Fd BS'!C387</f>
        <v>1</v>
      </c>
    </row>
    <row r="388" spans="1:47">
      <c r="A388" s="12" t="s">
        <v>574</v>
      </c>
      <c r="B388" s="12"/>
      <c r="C388" s="12" t="s">
        <v>72</v>
      </c>
      <c r="D388" s="12"/>
      <c r="E388" s="12">
        <v>50708</v>
      </c>
      <c r="G388" s="7">
        <v>2939401</v>
      </c>
      <c r="I388" s="7">
        <v>0</v>
      </c>
      <c r="K388" s="7">
        <v>4411586</v>
      </c>
      <c r="M388" s="7">
        <v>2033</v>
      </c>
      <c r="O388" s="7">
        <v>277876</v>
      </c>
      <c r="Q388" s="7">
        <v>0</v>
      </c>
      <c r="S388" s="7">
        <v>0</v>
      </c>
      <c r="U388" s="7">
        <v>0</v>
      </c>
      <c r="W388" s="7">
        <v>160317</v>
      </c>
      <c r="Y388" s="2">
        <f t="shared" si="76"/>
        <v>7791213</v>
      </c>
      <c r="AA388" s="7">
        <v>0</v>
      </c>
      <c r="AC388" s="7">
        <v>0</v>
      </c>
      <c r="AE388" s="7">
        <v>0</v>
      </c>
      <c r="AG388" s="7">
        <v>0</v>
      </c>
      <c r="AI388" s="7">
        <v>0</v>
      </c>
      <c r="AK388" s="7">
        <f t="shared" si="77"/>
        <v>0</v>
      </c>
      <c r="AM388" s="7">
        <f t="shared" si="75"/>
        <v>7791213</v>
      </c>
      <c r="AP388" s="7" t="str">
        <f t="shared" si="62"/>
        <v>North Baltimore Local SD</v>
      </c>
      <c r="AQ388" s="7" t="str">
        <f>'Gen Fd BS'!A388</f>
        <v>North Baltimore Local SD</v>
      </c>
      <c r="AR388" s="7" t="b">
        <f t="shared" si="63"/>
        <v>1</v>
      </c>
      <c r="AT388" s="7" t="str">
        <f t="shared" si="61"/>
        <v>Wood</v>
      </c>
      <c r="AU388" s="7" t="b">
        <f>C388='Gen Fd BS'!C388</f>
        <v>1</v>
      </c>
    </row>
    <row r="389" spans="1:47" hidden="1">
      <c r="A389" s="12" t="s">
        <v>943</v>
      </c>
      <c r="B389" s="12"/>
      <c r="C389" s="12" t="s">
        <v>53</v>
      </c>
      <c r="D389" s="12"/>
      <c r="E389" s="12">
        <v>48967</v>
      </c>
      <c r="Y389" s="2">
        <f t="shared" si="76"/>
        <v>0</v>
      </c>
      <c r="AC389" s="7">
        <v>0</v>
      </c>
      <c r="AK389" s="7">
        <f t="shared" si="77"/>
        <v>0</v>
      </c>
      <c r="AM389" s="7">
        <f t="shared" si="75"/>
        <v>0</v>
      </c>
      <c r="AO389" s="7" t="s">
        <v>839</v>
      </c>
      <c r="AP389" s="7" t="str">
        <f t="shared" si="62"/>
        <v>North Bass Local SD (Two year Audit - CASH)</v>
      </c>
      <c r="AQ389" s="7" t="str">
        <f>'Gen Fd BS'!A389</f>
        <v>North Bass Local SD (Two year Audit - CASH)</v>
      </c>
      <c r="AR389" s="7" t="b">
        <f t="shared" si="63"/>
        <v>1</v>
      </c>
      <c r="AT389" s="7" t="str">
        <f t="shared" si="61"/>
        <v>Ottawa</v>
      </c>
      <c r="AU389" s="7" t="b">
        <f>C389='Gen Fd BS'!C389</f>
        <v>1</v>
      </c>
    </row>
    <row r="390" spans="1:47">
      <c r="A390" s="12" t="s">
        <v>518</v>
      </c>
      <c r="B390" s="12"/>
      <c r="C390" s="12" t="s">
        <v>62</v>
      </c>
      <c r="D390" s="12"/>
      <c r="E390" s="12">
        <v>44503</v>
      </c>
      <c r="G390" s="7">
        <v>24153665</v>
      </c>
      <c r="I390" s="7">
        <v>0</v>
      </c>
      <c r="K390" s="7">
        <f>17655949+4180</f>
        <v>17660129</v>
      </c>
      <c r="M390" s="7">
        <v>37502</v>
      </c>
      <c r="O390" s="7">
        <f>351743+16388+296974+126918+51818</f>
        <v>843841</v>
      </c>
      <c r="Q390" s="7">
        <v>110797</v>
      </c>
      <c r="S390" s="7">
        <v>0</v>
      </c>
      <c r="U390" s="7">
        <v>26117</v>
      </c>
      <c r="W390" s="7">
        <v>151434</v>
      </c>
      <c r="Y390" s="2">
        <f t="shared" si="76"/>
        <v>42983485</v>
      </c>
      <c r="AA390" s="7">
        <v>0</v>
      </c>
      <c r="AC390" s="7">
        <v>0</v>
      </c>
      <c r="AE390" s="7">
        <v>0</v>
      </c>
      <c r="AG390" s="7">
        <v>0</v>
      </c>
      <c r="AI390" s="7">
        <v>0</v>
      </c>
      <c r="AK390" s="7">
        <f t="shared" si="77"/>
        <v>0</v>
      </c>
      <c r="AM390" s="7">
        <f t="shared" si="75"/>
        <v>42983485</v>
      </c>
      <c r="AP390" s="7" t="str">
        <f t="shared" si="62"/>
        <v>North Canton City SD</v>
      </c>
      <c r="AQ390" s="7" t="str">
        <f>'Gen Fd BS'!A390</f>
        <v>North Canton City SD</v>
      </c>
      <c r="AR390" s="7" t="b">
        <f t="shared" si="63"/>
        <v>1</v>
      </c>
      <c r="AT390" s="7" t="str">
        <f t="shared" si="61"/>
        <v>Stark</v>
      </c>
      <c r="AU390" s="7" t="b">
        <f>C390='Gen Fd BS'!C390</f>
        <v>1</v>
      </c>
    </row>
    <row r="391" spans="1:47" hidden="1">
      <c r="A391" s="12" t="s">
        <v>944</v>
      </c>
      <c r="B391" s="12"/>
      <c r="C391" s="12" t="s">
        <v>570</v>
      </c>
      <c r="D391" s="12"/>
      <c r="E391" s="12">
        <v>50641</v>
      </c>
      <c r="Y391" s="2">
        <f t="shared" si="76"/>
        <v>0</v>
      </c>
      <c r="AC391" s="7">
        <v>0</v>
      </c>
      <c r="AI391" s="7">
        <v>0</v>
      </c>
      <c r="AK391" s="7">
        <f t="shared" si="77"/>
        <v>0</v>
      </c>
      <c r="AM391" s="7">
        <f t="shared" si="75"/>
        <v>0</v>
      </c>
      <c r="AO391" s="7" t="s">
        <v>839</v>
      </c>
      <c r="AP391" s="7" t="str">
        <f t="shared" si="62"/>
        <v>North Central Local SD (CASH)</v>
      </c>
      <c r="AQ391" s="7" t="str">
        <f>'Gen Fd BS'!A391</f>
        <v>North Central Local SD (CASH)</v>
      </c>
      <c r="AR391" s="7" t="b">
        <f t="shared" si="63"/>
        <v>1</v>
      </c>
      <c r="AT391" s="7" t="str">
        <f t="shared" si="61"/>
        <v>Williams</v>
      </c>
      <c r="AU391" s="7" t="b">
        <f>C391='Gen Fd BS'!C391</f>
        <v>1</v>
      </c>
    </row>
    <row r="392" spans="1:47">
      <c r="A392" s="12" t="s">
        <v>748</v>
      </c>
      <c r="B392" s="12"/>
      <c r="C392" s="12" t="s">
        <v>32</v>
      </c>
      <c r="D392" s="12"/>
      <c r="E392" s="12">
        <v>44511</v>
      </c>
      <c r="G392" s="7">
        <v>3785634</v>
      </c>
      <c r="I392" s="7">
        <v>0</v>
      </c>
      <c r="K392" s="7">
        <v>7676771</v>
      </c>
      <c r="M392" s="7">
        <v>0</v>
      </c>
      <c r="O392" s="7">
        <f>234434</f>
        <v>234434</v>
      </c>
      <c r="Q392" s="7">
        <v>8555</v>
      </c>
      <c r="S392" s="7">
        <v>0</v>
      </c>
      <c r="U392" s="7">
        <v>0</v>
      </c>
      <c r="W392" s="7">
        <v>80746</v>
      </c>
      <c r="Y392" s="2">
        <f t="shared" si="76"/>
        <v>11786140</v>
      </c>
      <c r="AA392" s="7">
        <v>0</v>
      </c>
      <c r="AC392" s="7">
        <v>0</v>
      </c>
      <c r="AE392" s="7">
        <v>0</v>
      </c>
      <c r="AG392" s="7">
        <v>0</v>
      </c>
      <c r="AI392" s="7">
        <v>0</v>
      </c>
      <c r="AK392" s="7">
        <f t="shared" si="77"/>
        <v>0</v>
      </c>
      <c r="AM392" s="7">
        <f t="shared" si="75"/>
        <v>11786140</v>
      </c>
      <c r="AO392" s="7" t="s">
        <v>945</v>
      </c>
      <c r="AP392" s="7" t="str">
        <f t="shared" si="62"/>
        <v xml:space="preserve">North College Hill City SD </v>
      </c>
      <c r="AQ392" s="7" t="str">
        <f>'Gen Fd BS'!A392</f>
        <v xml:space="preserve">North College Hill City SD </v>
      </c>
      <c r="AR392" s="7" t="b">
        <f t="shared" si="63"/>
        <v>1</v>
      </c>
      <c r="AT392" s="7" t="str">
        <f t="shared" si="61"/>
        <v>Hamilton</v>
      </c>
      <c r="AU392" s="7" t="b">
        <f>C392='Gen Fd BS'!C392</f>
        <v>1</v>
      </c>
    </row>
    <row r="393" spans="1:47">
      <c r="A393" s="12" t="s">
        <v>389</v>
      </c>
      <c r="B393" s="12"/>
      <c r="C393" s="12" t="s">
        <v>42</v>
      </c>
      <c r="D393" s="12"/>
      <c r="E393" s="12">
        <v>48025</v>
      </c>
      <c r="G393" s="7">
        <v>5474861</v>
      </c>
      <c r="I393" s="7">
        <v>0</v>
      </c>
      <c r="K393" s="7">
        <f>5000+8676691+35428</f>
        <v>8717119</v>
      </c>
      <c r="M393" s="7">
        <v>19415</v>
      </c>
      <c r="O393" s="7">
        <f>673226+2040+73882+20330</f>
        <v>769478</v>
      </c>
      <c r="Q393" s="7">
        <v>22791</v>
      </c>
      <c r="S393" s="7">
        <v>0</v>
      </c>
      <c r="U393" s="7">
        <v>19660</v>
      </c>
      <c r="W393" s="7">
        <v>8484</v>
      </c>
      <c r="Y393" s="2">
        <f t="shared" si="76"/>
        <v>15031808</v>
      </c>
      <c r="AA393" s="7">
        <v>0</v>
      </c>
      <c r="AC393" s="7">
        <v>0</v>
      </c>
      <c r="AE393" s="7">
        <v>1280000</v>
      </c>
      <c r="AG393" s="7">
        <v>13521</v>
      </c>
      <c r="AI393" s="7">
        <v>0</v>
      </c>
      <c r="AK393" s="7">
        <f t="shared" si="77"/>
        <v>1293521</v>
      </c>
      <c r="AM393" s="7">
        <f t="shared" si="75"/>
        <v>16325329</v>
      </c>
      <c r="AP393" s="7" t="str">
        <f t="shared" si="62"/>
        <v>North Fork Local SD</v>
      </c>
      <c r="AQ393" s="7" t="str">
        <f>'Gen Fd BS'!A393</f>
        <v>North Fork Local SD</v>
      </c>
      <c r="AR393" s="7" t="b">
        <f t="shared" si="63"/>
        <v>1</v>
      </c>
      <c r="AT393" s="7" t="str">
        <f t="shared" si="61"/>
        <v>Licking</v>
      </c>
      <c r="AU393" s="7" t="b">
        <f>C393='Gen Fd BS'!C393</f>
        <v>1</v>
      </c>
    </row>
    <row r="394" spans="1:47">
      <c r="A394" s="12" t="s">
        <v>277</v>
      </c>
      <c r="B394" s="12"/>
      <c r="C394" s="12" t="s">
        <v>20</v>
      </c>
      <c r="D394" s="12"/>
      <c r="E394" s="12">
        <v>44529</v>
      </c>
      <c r="G394" s="7">
        <v>38071303</v>
      </c>
      <c r="I394" s="7">
        <v>0</v>
      </c>
      <c r="K394" s="7">
        <v>14384631</v>
      </c>
      <c r="M394" s="7">
        <v>22863</v>
      </c>
      <c r="O394" s="7">
        <f>876716+29667</f>
        <v>906383</v>
      </c>
      <c r="Q394" s="7">
        <v>134359</v>
      </c>
      <c r="S394" s="7">
        <v>0</v>
      </c>
      <c r="U394" s="7">
        <v>0</v>
      </c>
      <c r="W394" s="7">
        <v>536723</v>
      </c>
      <c r="Y394" s="2">
        <f t="shared" ref="Y394:Y398" si="78">SUM(G394:X394)</f>
        <v>54056262</v>
      </c>
      <c r="AA394" s="7">
        <v>25000</v>
      </c>
      <c r="AC394" s="7">
        <v>0</v>
      </c>
      <c r="AE394" s="7">
        <v>0</v>
      </c>
      <c r="AG394" s="7">
        <v>0</v>
      </c>
      <c r="AI394" s="7">
        <v>0</v>
      </c>
      <c r="AK394" s="7">
        <f t="shared" ref="AK394:AK398" si="79">SUM(AA394:AJ394)</f>
        <v>25000</v>
      </c>
      <c r="AM394" s="7">
        <f t="shared" si="75"/>
        <v>54081262</v>
      </c>
      <c r="AP394" s="7" t="str">
        <f t="shared" si="62"/>
        <v>North Olmsted City SD</v>
      </c>
      <c r="AQ394" s="7" t="str">
        <f>'Gen Fd BS'!A394</f>
        <v>North Olmsted City SD</v>
      </c>
      <c r="AR394" s="7" t="b">
        <f t="shared" si="63"/>
        <v>1</v>
      </c>
      <c r="AT394" s="7" t="str">
        <f t="shared" si="61"/>
        <v>Cuyahoga</v>
      </c>
      <c r="AU394" s="7" t="b">
        <f>C394='Gen Fd BS'!C394</f>
        <v>1</v>
      </c>
    </row>
    <row r="395" spans="1:47">
      <c r="A395" s="12" t="s">
        <v>400</v>
      </c>
      <c r="B395" s="12"/>
      <c r="C395" s="12" t="s">
        <v>44</v>
      </c>
      <c r="D395" s="12"/>
      <c r="E395" s="12">
        <v>44537</v>
      </c>
      <c r="G395" s="7">
        <v>18657444</v>
      </c>
      <c r="I395" s="7">
        <v>0</v>
      </c>
      <c r="K395" s="7">
        <v>11487524</v>
      </c>
      <c r="M395" s="7">
        <v>6786</v>
      </c>
      <c r="O395" s="7">
        <f>455603+6561</f>
        <v>462164</v>
      </c>
      <c r="Q395" s="7">
        <v>80690</v>
      </c>
      <c r="S395" s="7">
        <v>0</v>
      </c>
      <c r="U395" s="7">
        <v>0</v>
      </c>
      <c r="W395" s="7">
        <v>337643</v>
      </c>
      <c r="Y395" s="2">
        <f t="shared" si="78"/>
        <v>31032251</v>
      </c>
      <c r="AA395" s="7">
        <v>0</v>
      </c>
      <c r="AC395" s="7">
        <v>0</v>
      </c>
      <c r="AE395" s="7">
        <v>0</v>
      </c>
      <c r="AG395" s="7">
        <v>0</v>
      </c>
      <c r="AI395" s="7">
        <v>0</v>
      </c>
      <c r="AK395" s="7">
        <f t="shared" si="79"/>
        <v>0</v>
      </c>
      <c r="AM395" s="7">
        <f t="shared" si="75"/>
        <v>31032251</v>
      </c>
      <c r="AP395" s="7" t="str">
        <f t="shared" si="62"/>
        <v>North Ridgeville City SD</v>
      </c>
      <c r="AQ395" s="7" t="str">
        <f>'Gen Fd BS'!A395</f>
        <v>North Ridgeville City SD</v>
      </c>
      <c r="AR395" s="7" t="b">
        <f t="shared" si="63"/>
        <v>1</v>
      </c>
      <c r="AT395" s="7" t="str">
        <f t="shared" si="61"/>
        <v>Lorain</v>
      </c>
      <c r="AU395" s="7" t="b">
        <f>C395='Gen Fd BS'!C395</f>
        <v>1</v>
      </c>
    </row>
    <row r="396" spans="1:47">
      <c r="A396" s="12" t="s">
        <v>278</v>
      </c>
      <c r="B396" s="12"/>
      <c r="C396" s="12" t="s">
        <v>20</v>
      </c>
      <c r="D396" s="12"/>
      <c r="E396" s="12">
        <v>44545</v>
      </c>
      <c r="G396" s="7">
        <v>35758675</v>
      </c>
      <c r="I396" s="7">
        <v>0</v>
      </c>
      <c r="K396" s="7">
        <v>11273655</v>
      </c>
      <c r="M396" s="7">
        <v>66076</v>
      </c>
      <c r="O396" s="7">
        <f>319092+45162</f>
        <v>364254</v>
      </c>
      <c r="Q396" s="7">
        <v>308831</v>
      </c>
      <c r="S396" s="7">
        <v>0</v>
      </c>
      <c r="U396" s="7">
        <v>21178</v>
      </c>
      <c r="W396" s="7">
        <v>107671</v>
      </c>
      <c r="Y396" s="2">
        <f t="shared" si="78"/>
        <v>47900340</v>
      </c>
      <c r="AA396" s="7">
        <v>0</v>
      </c>
      <c r="AC396" s="7">
        <v>0</v>
      </c>
      <c r="AE396" s="7">
        <v>0</v>
      </c>
      <c r="AG396" s="7">
        <v>0</v>
      </c>
      <c r="AI396" s="7">
        <v>0</v>
      </c>
      <c r="AK396" s="7">
        <f t="shared" si="79"/>
        <v>0</v>
      </c>
      <c r="AM396" s="7">
        <f t="shared" si="75"/>
        <v>47900340</v>
      </c>
      <c r="AP396" s="7" t="str">
        <f t="shared" si="62"/>
        <v>North Royalton City SD</v>
      </c>
      <c r="AQ396" s="7" t="str">
        <f>'Gen Fd BS'!A396</f>
        <v>North Royalton City SD</v>
      </c>
      <c r="AR396" s="7" t="b">
        <f t="shared" si="63"/>
        <v>1</v>
      </c>
      <c r="AT396" s="7" t="str">
        <f t="shared" si="61"/>
        <v>Cuyahoga</v>
      </c>
      <c r="AU396" s="7" t="b">
        <f>C396='Gen Fd BS'!C396</f>
        <v>1</v>
      </c>
    </row>
    <row r="397" spans="1:47">
      <c r="A397" s="12" t="s">
        <v>556</v>
      </c>
      <c r="B397" s="12"/>
      <c r="C397" s="12" t="s">
        <v>66</v>
      </c>
      <c r="D397" s="12"/>
      <c r="E397" s="12">
        <v>50336</v>
      </c>
      <c r="G397" s="7">
        <v>3714866</v>
      </c>
      <c r="I397" s="7">
        <v>1580642</v>
      </c>
      <c r="K397" s="7">
        <v>7331554</v>
      </c>
      <c r="M397" s="7">
        <v>242400</v>
      </c>
      <c r="O397" s="7">
        <f>589735</f>
        <v>589735</v>
      </c>
      <c r="Q397" s="7">
        <v>0</v>
      </c>
      <c r="S397" s="7">
        <v>0</v>
      </c>
      <c r="U397" s="7">
        <v>2000</v>
      </c>
      <c r="W397" s="7">
        <v>150988</v>
      </c>
      <c r="Y397" s="2">
        <f t="shared" si="78"/>
        <v>13612185</v>
      </c>
      <c r="AA397" s="7">
        <v>0</v>
      </c>
      <c r="AC397" s="7">
        <v>0</v>
      </c>
      <c r="AE397" s="7">
        <v>0</v>
      </c>
      <c r="AG397" s="7">
        <v>0</v>
      </c>
      <c r="AI397" s="7">
        <v>0</v>
      </c>
      <c r="AK397" s="7">
        <f t="shared" si="79"/>
        <v>0</v>
      </c>
      <c r="AM397" s="7">
        <f t="shared" si="75"/>
        <v>13612185</v>
      </c>
      <c r="AP397" s="7" t="str">
        <f t="shared" si="62"/>
        <v>North Union Local SD</v>
      </c>
      <c r="AQ397" s="7" t="str">
        <f>'Gen Fd BS'!A397</f>
        <v>North Union Local SD</v>
      </c>
      <c r="AR397" s="7" t="b">
        <f t="shared" si="63"/>
        <v>1</v>
      </c>
      <c r="AT397" s="7" t="str">
        <f t="shared" si="61"/>
        <v>Union</v>
      </c>
      <c r="AU397" s="7" t="b">
        <f>C397='Gen Fd BS'!C397</f>
        <v>1</v>
      </c>
    </row>
    <row r="398" spans="1:47">
      <c r="A398" s="12" t="s">
        <v>238</v>
      </c>
      <c r="B398" s="12"/>
      <c r="C398" s="12" t="s">
        <v>17</v>
      </c>
      <c r="D398" s="12"/>
      <c r="E398" s="12">
        <v>46250</v>
      </c>
      <c r="F398" s="10"/>
      <c r="G398" s="7">
        <v>10777320</v>
      </c>
      <c r="I398" s="7">
        <v>0</v>
      </c>
      <c r="K398" s="7">
        <v>15053590</v>
      </c>
      <c r="M398" s="7">
        <v>23464</v>
      </c>
      <c r="O398" s="7">
        <f>2015475+440+13203</f>
        <v>2029118</v>
      </c>
      <c r="Q398" s="7">
        <v>11552</v>
      </c>
      <c r="S398" s="7">
        <v>0</v>
      </c>
      <c r="U398" s="7">
        <v>10883</v>
      </c>
      <c r="W398" s="7">
        <v>42799</v>
      </c>
      <c r="Y398" s="2">
        <f t="shared" si="78"/>
        <v>27948726</v>
      </c>
      <c r="AA398" s="7">
        <v>0</v>
      </c>
      <c r="AC398" s="7">
        <v>0</v>
      </c>
      <c r="AE398" s="7">
        <v>129900</v>
      </c>
      <c r="AG398" s="7">
        <v>4010</v>
      </c>
      <c r="AI398" s="7">
        <v>0</v>
      </c>
      <c r="AK398" s="7">
        <f t="shared" si="79"/>
        <v>133910</v>
      </c>
      <c r="AM398" s="7">
        <f t="shared" si="75"/>
        <v>28082636</v>
      </c>
      <c r="AP398" s="7" t="str">
        <f t="shared" si="62"/>
        <v>Northeastern Local SD</v>
      </c>
      <c r="AQ398" s="7" t="str">
        <f>'Gen Fd BS'!A398</f>
        <v>Northeastern Local SD</v>
      </c>
      <c r="AR398" s="7" t="b">
        <f t="shared" si="63"/>
        <v>1</v>
      </c>
      <c r="AT398" s="7" t="str">
        <f t="shared" ref="AT398:AT463" si="80">C398</f>
        <v>Clark</v>
      </c>
      <c r="AU398" s="7" t="b">
        <f>C398='Gen Fd BS'!C398</f>
        <v>1</v>
      </c>
    </row>
    <row r="399" spans="1:47" hidden="1">
      <c r="A399" s="12" t="s">
        <v>946</v>
      </c>
      <c r="B399" s="12"/>
      <c r="C399" s="12" t="s">
        <v>22</v>
      </c>
      <c r="D399" s="12"/>
      <c r="E399" s="12">
        <v>46722</v>
      </c>
      <c r="Y399" s="2">
        <f t="shared" ref="Y399:Y448" si="81">SUM(G399:X399)</f>
        <v>0</v>
      </c>
      <c r="AC399" s="7">
        <v>0</v>
      </c>
      <c r="AI399" s="7">
        <v>0</v>
      </c>
      <c r="AK399" s="7">
        <f t="shared" ref="AK399:AK428" si="82">SUM(AA399:AJ399)</f>
        <v>0</v>
      </c>
      <c r="AM399" s="7">
        <f t="shared" si="75"/>
        <v>0</v>
      </c>
      <c r="AO399" s="7" t="s">
        <v>839</v>
      </c>
      <c r="AP399" s="7" t="str">
        <f t="shared" si="62"/>
        <v>Northeastern Local SD (CASH)</v>
      </c>
      <c r="AQ399" s="7" t="str">
        <f>'Gen Fd BS'!A399</f>
        <v>Northeastern Local SD (CASH)</v>
      </c>
      <c r="AR399" s="7" t="b">
        <f t="shared" si="63"/>
        <v>1</v>
      </c>
      <c r="AT399" s="7" t="str">
        <f t="shared" si="80"/>
        <v>Defiance</v>
      </c>
      <c r="AU399" s="7" t="b">
        <f>C399='Gen Fd BS'!C399</f>
        <v>1</v>
      </c>
    </row>
    <row r="400" spans="1:47" hidden="1">
      <c r="A400" s="12" t="s">
        <v>947</v>
      </c>
      <c r="B400" s="12"/>
      <c r="C400" s="12" t="s">
        <v>466</v>
      </c>
      <c r="D400" s="12"/>
      <c r="E400" s="12"/>
      <c r="Y400" s="2">
        <f t="shared" si="81"/>
        <v>0</v>
      </c>
      <c r="AC400" s="7">
        <v>0</v>
      </c>
      <c r="AI400" s="7">
        <v>0</v>
      </c>
      <c r="AK400" s="7">
        <f t="shared" ref="AK400" si="83">SUM(AA400:AJ400)</f>
        <v>0</v>
      </c>
      <c r="AM400" s="7">
        <f t="shared" ref="AM400" si="84">+AK400+Y400</f>
        <v>0</v>
      </c>
      <c r="AO400" s="7" t="s">
        <v>931</v>
      </c>
      <c r="AP400" s="7" t="str">
        <f t="shared" ref="AP400" si="85">A400</f>
        <v>Northern Local SD (CASH)</v>
      </c>
      <c r="AQ400" s="7" t="str">
        <f>'Gen Fd BS'!A400</f>
        <v>Northern Local SD (CASH)</v>
      </c>
      <c r="AR400" s="7" t="b">
        <f t="shared" ref="AR400" si="86">AP400=AQ400</f>
        <v>1</v>
      </c>
      <c r="AT400" s="7" t="str">
        <f t="shared" ref="AT400" si="87">C400</f>
        <v>Perry</v>
      </c>
      <c r="AU400" s="7" t="b">
        <f>C400='Gen Fd BS'!C400</f>
        <v>1</v>
      </c>
    </row>
    <row r="401" spans="1:47">
      <c r="A401" s="12" t="s">
        <v>447</v>
      </c>
      <c r="B401" s="12"/>
      <c r="C401" s="12" t="s">
        <v>50</v>
      </c>
      <c r="D401" s="12"/>
      <c r="E401" s="12">
        <v>48728</v>
      </c>
      <c r="G401" s="7">
        <v>24601338</v>
      </c>
      <c r="I401" s="7">
        <v>0</v>
      </c>
      <c r="K401" s="7">
        <v>23693473</v>
      </c>
      <c r="M401" s="7">
        <v>9881</v>
      </c>
      <c r="O401" s="7">
        <f>687088+264428</f>
        <v>951516</v>
      </c>
      <c r="Q401" s="7">
        <v>211260</v>
      </c>
      <c r="S401" s="7">
        <v>0</v>
      </c>
      <c r="U401" s="7">
        <v>0</v>
      </c>
      <c r="W401" s="7">
        <v>213333</v>
      </c>
      <c r="Y401" s="2">
        <f t="shared" si="81"/>
        <v>49680801</v>
      </c>
      <c r="AA401" s="7">
        <v>0</v>
      </c>
      <c r="AC401" s="7">
        <v>0</v>
      </c>
      <c r="AE401" s="7">
        <v>0</v>
      </c>
      <c r="AG401" s="7">
        <v>0</v>
      </c>
      <c r="AI401" s="7">
        <v>0</v>
      </c>
      <c r="AK401" s="7">
        <f t="shared" si="82"/>
        <v>0</v>
      </c>
      <c r="AM401" s="7">
        <f t="shared" si="75"/>
        <v>49680801</v>
      </c>
      <c r="AP401" s="7" t="str">
        <f t="shared" si="62"/>
        <v>Northmont City SD</v>
      </c>
      <c r="AQ401" s="7" t="str">
        <f>'Gen Fd BS'!A401</f>
        <v>Northmont City SD</v>
      </c>
      <c r="AR401" s="7" t="b">
        <f t="shared" si="63"/>
        <v>1</v>
      </c>
      <c r="AT401" s="7" t="str">
        <f t="shared" si="80"/>
        <v>Montgomery</v>
      </c>
      <c r="AU401" s="7" t="b">
        <f>C401='Gen Fd BS'!C401</f>
        <v>1</v>
      </c>
    </row>
    <row r="402" spans="1:47">
      <c r="A402" s="12" t="s">
        <v>455</v>
      </c>
      <c r="B402" s="12"/>
      <c r="C402" s="12" t="s">
        <v>78</v>
      </c>
      <c r="D402" s="12"/>
      <c r="E402" s="12">
        <v>48819</v>
      </c>
      <c r="G402" s="7">
        <v>2879851</v>
      </c>
      <c r="I402" s="7">
        <v>1357555</v>
      </c>
      <c r="K402" s="7">
        <v>5427231</v>
      </c>
      <c r="M402" s="7">
        <v>1684</v>
      </c>
      <c r="O402" s="7">
        <f>598269+23344+40</f>
        <v>621653</v>
      </c>
      <c r="Q402" s="7">
        <v>23936</v>
      </c>
      <c r="S402" s="7">
        <v>0</v>
      </c>
      <c r="U402" s="7">
        <v>300</v>
      </c>
      <c r="W402" s="7">
        <v>23626</v>
      </c>
      <c r="Y402" s="2">
        <f t="shared" si="81"/>
        <v>10335836</v>
      </c>
      <c r="AA402" s="7">
        <v>0</v>
      </c>
      <c r="AC402" s="7">
        <v>0</v>
      </c>
      <c r="AE402" s="7">
        <v>0</v>
      </c>
      <c r="AG402" s="7">
        <v>0</v>
      </c>
      <c r="AI402" s="7">
        <v>0</v>
      </c>
      <c r="AK402" s="7">
        <f t="shared" si="82"/>
        <v>0</v>
      </c>
      <c r="AM402" s="7">
        <f t="shared" si="75"/>
        <v>10335836</v>
      </c>
      <c r="AP402" s="7" t="str">
        <f t="shared" ref="AP402:AP468" si="88">A402</f>
        <v>Northmor Local SD</v>
      </c>
      <c r="AQ402" s="7" t="str">
        <f>'Gen Fd BS'!A402</f>
        <v>Northmor Local SD</v>
      </c>
      <c r="AR402" s="7" t="b">
        <f t="shared" ref="AR402:AR468" si="89">AP402=AQ402</f>
        <v>1</v>
      </c>
      <c r="AT402" s="7" t="str">
        <f t="shared" si="80"/>
        <v>Morrow</v>
      </c>
      <c r="AU402" s="7" t="b">
        <f>C402='Gen Fd BS'!C402</f>
        <v>1</v>
      </c>
    </row>
    <row r="403" spans="1:47">
      <c r="A403" s="12" t="s">
        <v>390</v>
      </c>
      <c r="B403" s="12"/>
      <c r="C403" s="12" t="s">
        <v>42</v>
      </c>
      <c r="D403" s="12"/>
      <c r="E403" s="12">
        <v>48033</v>
      </c>
      <c r="G403" s="7">
        <v>5726084</v>
      </c>
      <c r="I403" s="7">
        <v>1441024</v>
      </c>
      <c r="K403" s="7">
        <v>5234088</v>
      </c>
      <c r="M403" s="7">
        <v>11954</v>
      </c>
      <c r="O403" s="7">
        <f>685536+54731</f>
        <v>740267</v>
      </c>
      <c r="Q403" s="7">
        <v>88659</v>
      </c>
      <c r="S403" s="7">
        <v>0</v>
      </c>
      <c r="U403" s="7">
        <v>400</v>
      </c>
      <c r="W403" s="7">
        <v>3206</v>
      </c>
      <c r="Y403" s="2">
        <f t="shared" si="81"/>
        <v>13245682</v>
      </c>
      <c r="AA403" s="7">
        <v>0</v>
      </c>
      <c r="AC403" s="7">
        <v>0</v>
      </c>
      <c r="AE403" s="7">
        <v>164706</v>
      </c>
      <c r="AG403" s="7">
        <v>0</v>
      </c>
      <c r="AI403" s="7">
        <v>0</v>
      </c>
      <c r="AK403" s="7">
        <f t="shared" si="82"/>
        <v>164706</v>
      </c>
      <c r="AM403" s="7">
        <f t="shared" si="75"/>
        <v>13410388</v>
      </c>
      <c r="AO403" s="7" t="s">
        <v>948</v>
      </c>
      <c r="AP403" s="7" t="str">
        <f t="shared" si="88"/>
        <v>Northridge Local SD</v>
      </c>
      <c r="AQ403" s="7" t="str">
        <f>'Gen Fd BS'!A403</f>
        <v>Northridge Local SD</v>
      </c>
      <c r="AR403" s="7" t="b">
        <f t="shared" si="89"/>
        <v>1</v>
      </c>
      <c r="AT403" s="7" t="str">
        <f t="shared" si="80"/>
        <v>Licking</v>
      </c>
      <c r="AU403" s="7" t="b">
        <f>C403='Gen Fd BS'!C403</f>
        <v>1</v>
      </c>
    </row>
    <row r="404" spans="1:47">
      <c r="A404" s="12" t="s">
        <v>390</v>
      </c>
      <c r="B404" s="12"/>
      <c r="C404" s="12" t="s">
        <v>50</v>
      </c>
      <c r="D404" s="12"/>
      <c r="E404" s="12">
        <v>48736</v>
      </c>
      <c r="G404" s="7">
        <v>6511652</v>
      </c>
      <c r="I404" s="7">
        <v>0</v>
      </c>
      <c r="K404" s="7">
        <v>10839624</v>
      </c>
      <c r="M404" s="7">
        <v>82946</v>
      </c>
      <c r="O404" s="7">
        <f>1472464+88433</f>
        <v>1560897</v>
      </c>
      <c r="Q404" s="7">
        <v>15233</v>
      </c>
      <c r="S404" s="7">
        <v>0</v>
      </c>
      <c r="U404" s="7">
        <v>16825</v>
      </c>
      <c r="W404" s="7">
        <v>74066</v>
      </c>
      <c r="Y404" s="2">
        <f t="shared" si="81"/>
        <v>19101243</v>
      </c>
      <c r="AA404" s="7">
        <v>0</v>
      </c>
      <c r="AC404" s="7">
        <v>0</v>
      </c>
      <c r="AE404" s="7">
        <v>0</v>
      </c>
      <c r="AG404" s="7">
        <v>0</v>
      </c>
      <c r="AI404" s="7">
        <v>0</v>
      </c>
      <c r="AK404" s="7">
        <f t="shared" si="82"/>
        <v>0</v>
      </c>
      <c r="AM404" s="7">
        <f t="shared" si="75"/>
        <v>19101243</v>
      </c>
      <c r="AP404" s="7" t="str">
        <f t="shared" si="88"/>
        <v>Northridge Local SD</v>
      </c>
      <c r="AQ404" s="7" t="str">
        <f>'Gen Fd BS'!A404</f>
        <v>Northridge Local SD</v>
      </c>
      <c r="AR404" s="7" t="b">
        <f t="shared" si="89"/>
        <v>1</v>
      </c>
      <c r="AT404" s="7" t="str">
        <f t="shared" si="80"/>
        <v>Montgomery</v>
      </c>
      <c r="AU404" s="7" t="b">
        <f>C404='Gen Fd BS'!C404</f>
        <v>1</v>
      </c>
    </row>
    <row r="405" spans="1:47">
      <c r="A405" s="12" t="s">
        <v>335</v>
      </c>
      <c r="B405" s="12"/>
      <c r="C405" s="12" t="s">
        <v>32</v>
      </c>
      <c r="D405" s="12"/>
      <c r="E405" s="12">
        <v>47365</v>
      </c>
      <c r="G405" s="7">
        <v>41656112</v>
      </c>
      <c r="I405" s="7">
        <v>0</v>
      </c>
      <c r="K405" s="7">
        <v>34996386</v>
      </c>
      <c r="M405" s="7">
        <v>197365</v>
      </c>
      <c r="O405" s="7">
        <f>1699249+286784+706926</f>
        <v>2692959</v>
      </c>
      <c r="Q405" s="7">
        <v>87686</v>
      </c>
      <c r="S405" s="7">
        <v>0</v>
      </c>
      <c r="U405" s="7">
        <v>95113</v>
      </c>
      <c r="W405" s="7">
        <v>3437615</v>
      </c>
      <c r="Y405" s="2">
        <f t="shared" si="81"/>
        <v>83163236</v>
      </c>
      <c r="AA405" s="7">
        <v>95000</v>
      </c>
      <c r="AC405" s="7">
        <v>0</v>
      </c>
      <c r="AE405" s="7">
        <v>0</v>
      </c>
      <c r="AG405" s="7">
        <v>0</v>
      </c>
      <c r="AI405" s="7">
        <v>0</v>
      </c>
      <c r="AK405" s="7">
        <f t="shared" si="82"/>
        <v>95000</v>
      </c>
      <c r="AM405" s="7">
        <f t="shared" si="75"/>
        <v>83258236</v>
      </c>
      <c r="AP405" s="7" t="str">
        <f t="shared" si="88"/>
        <v>Northwest Local SD</v>
      </c>
      <c r="AQ405" s="7" t="str">
        <f>'Gen Fd BS'!A405</f>
        <v>Northwest Local SD</v>
      </c>
      <c r="AR405" s="7" t="b">
        <f t="shared" si="89"/>
        <v>1</v>
      </c>
      <c r="AT405" s="7" t="str">
        <f t="shared" si="80"/>
        <v>Hamilton</v>
      </c>
      <c r="AU405" s="7" t="b">
        <f>C405='Gen Fd BS'!C405</f>
        <v>1</v>
      </c>
    </row>
    <row r="406" spans="1:47">
      <c r="A406" s="12" t="s">
        <v>621</v>
      </c>
      <c r="B406" s="12"/>
      <c r="C406" s="12" t="s">
        <v>59</v>
      </c>
      <c r="D406" s="12"/>
      <c r="E406" s="12">
        <v>49635</v>
      </c>
      <c r="G406" s="7">
        <v>1679827</v>
      </c>
      <c r="I406" s="7">
        <v>0</v>
      </c>
      <c r="K406" s="7">
        <v>12234857</v>
      </c>
      <c r="M406" s="7">
        <v>792</v>
      </c>
      <c r="O406" s="7">
        <f>13790+128916</f>
        <v>142706</v>
      </c>
      <c r="Q406" s="7">
        <v>93305</v>
      </c>
      <c r="S406" s="7">
        <v>0</v>
      </c>
      <c r="U406" s="7">
        <v>845</v>
      </c>
      <c r="W406" s="7">
        <v>801</v>
      </c>
      <c r="Y406" s="2">
        <f t="shared" si="81"/>
        <v>14153133</v>
      </c>
      <c r="AA406" s="7">
        <v>0</v>
      </c>
      <c r="AC406" s="7">
        <v>0</v>
      </c>
      <c r="AE406" s="7">
        <v>0</v>
      </c>
      <c r="AG406" s="7">
        <v>965</v>
      </c>
      <c r="AI406" s="7">
        <v>0</v>
      </c>
      <c r="AK406" s="7">
        <f t="shared" si="82"/>
        <v>965</v>
      </c>
      <c r="AM406" s="7">
        <f t="shared" si="75"/>
        <v>14154098</v>
      </c>
      <c r="AP406" s="7" t="str">
        <f t="shared" si="88"/>
        <v xml:space="preserve">Northwest Local SD    </v>
      </c>
      <c r="AQ406" s="7" t="str">
        <f>'Gen Fd BS'!A406</f>
        <v xml:space="preserve">Northwest Local SD    </v>
      </c>
      <c r="AR406" s="7" t="b">
        <f t="shared" si="89"/>
        <v>1</v>
      </c>
      <c r="AT406" s="7" t="str">
        <f t="shared" si="80"/>
        <v>Scioto</v>
      </c>
      <c r="AU406" s="7" t="b">
        <f>C406='Gen Fd BS'!C406</f>
        <v>1</v>
      </c>
    </row>
    <row r="407" spans="1:47">
      <c r="A407" s="12" t="s">
        <v>335</v>
      </c>
      <c r="B407" s="12"/>
      <c r="C407" s="12" t="s">
        <v>62</v>
      </c>
      <c r="D407" s="12"/>
      <c r="E407" s="12">
        <v>49908</v>
      </c>
      <c r="G407" s="7">
        <v>6928245</v>
      </c>
      <c r="I407" s="7">
        <v>0</v>
      </c>
      <c r="K407" s="7">
        <f>21607+9673352</f>
        <v>9694959</v>
      </c>
      <c r="M407" s="7">
        <v>1145</v>
      </c>
      <c r="O407" s="7">
        <f>172612+274626</f>
        <v>447238</v>
      </c>
      <c r="Q407" s="7">
        <v>45079</v>
      </c>
      <c r="S407" s="7">
        <v>0</v>
      </c>
      <c r="U407" s="7">
        <v>0</v>
      </c>
      <c r="W407" s="7">
        <v>55169</v>
      </c>
      <c r="Y407" s="2">
        <f t="shared" si="81"/>
        <v>17171835</v>
      </c>
      <c r="AA407" s="7">
        <v>0</v>
      </c>
      <c r="AC407" s="7">
        <v>0</v>
      </c>
      <c r="AE407" s="7">
        <v>0</v>
      </c>
      <c r="AG407" s="7">
        <v>8844</v>
      </c>
      <c r="AI407" s="7">
        <v>0</v>
      </c>
      <c r="AK407" s="7">
        <f t="shared" si="82"/>
        <v>8844</v>
      </c>
      <c r="AM407" s="7">
        <f t="shared" si="75"/>
        <v>17180679</v>
      </c>
      <c r="AP407" s="7" t="str">
        <f t="shared" si="88"/>
        <v>Northwest Local SD</v>
      </c>
      <c r="AQ407" s="7" t="str">
        <f>'Gen Fd BS'!A407</f>
        <v>Northwest Local SD</v>
      </c>
      <c r="AR407" s="7" t="b">
        <f t="shared" si="89"/>
        <v>1</v>
      </c>
      <c r="AT407" s="7" t="str">
        <f t="shared" si="80"/>
        <v>Stark</v>
      </c>
      <c r="AU407" s="7" t="b">
        <f>C407='Gen Fd BS'!C407</f>
        <v>1</v>
      </c>
    </row>
    <row r="408" spans="1:47">
      <c r="A408" s="12" t="s">
        <v>239</v>
      </c>
      <c r="B408" s="12"/>
      <c r="C408" s="12" t="s">
        <v>17</v>
      </c>
      <c r="D408" s="12"/>
      <c r="E408" s="12">
        <v>46268</v>
      </c>
      <c r="G408" s="7">
        <v>5411780</v>
      </c>
      <c r="I408" s="7">
        <v>1600529</v>
      </c>
      <c r="K408" s="7">
        <v>6944128</v>
      </c>
      <c r="M408" s="7">
        <v>15623</v>
      </c>
      <c r="O408" s="7">
        <f>82643+1374718+793</f>
        <v>1458154</v>
      </c>
      <c r="Q408" s="7">
        <v>160711</v>
      </c>
      <c r="S408" s="7">
        <v>0</v>
      </c>
      <c r="U408" s="7">
        <v>0</v>
      </c>
      <c r="W408" s="7">
        <v>32458</v>
      </c>
      <c r="Y408" s="2">
        <f t="shared" si="81"/>
        <v>15623383</v>
      </c>
      <c r="AA408" s="7">
        <v>0</v>
      </c>
      <c r="AC408" s="7">
        <v>0</v>
      </c>
      <c r="AE408" s="7">
        <v>0</v>
      </c>
      <c r="AG408" s="7">
        <v>3383</v>
      </c>
      <c r="AI408" s="7">
        <v>0</v>
      </c>
      <c r="AK408" s="7">
        <f t="shared" si="82"/>
        <v>3383</v>
      </c>
      <c r="AM408" s="7">
        <f t="shared" si="75"/>
        <v>15626766</v>
      </c>
      <c r="AP408" s="7" t="str">
        <f t="shared" si="88"/>
        <v>Northwestern Local SD</v>
      </c>
      <c r="AQ408" s="7" t="str">
        <f>'Gen Fd BS'!A408</f>
        <v>Northwestern Local SD</v>
      </c>
      <c r="AR408" s="7" t="b">
        <f t="shared" si="89"/>
        <v>1</v>
      </c>
      <c r="AT408" s="7" t="str">
        <f t="shared" si="80"/>
        <v>Clark</v>
      </c>
      <c r="AU408" s="7" t="b">
        <f>C408='Gen Fd BS'!C408</f>
        <v>1</v>
      </c>
    </row>
    <row r="409" spans="1:47" hidden="1">
      <c r="A409" s="12" t="s">
        <v>801</v>
      </c>
      <c r="B409" s="12"/>
      <c r="C409" s="12" t="s">
        <v>71</v>
      </c>
      <c r="D409" s="12"/>
      <c r="E409" s="12"/>
      <c r="Y409" s="2"/>
      <c r="AC409" s="7">
        <v>0</v>
      </c>
      <c r="AI409" s="7">
        <v>0</v>
      </c>
      <c r="AO409" s="7" t="s">
        <v>938</v>
      </c>
      <c r="AP409" s="7" t="str">
        <f t="shared" ref="AP409" si="90">A409</f>
        <v>Northwestern Local SD (CASH)</v>
      </c>
      <c r="AQ409" s="7" t="str">
        <f>'Gen Fd BS'!A409</f>
        <v>Northwestern Local SD (CASH)</v>
      </c>
      <c r="AR409" s="7" t="b">
        <f t="shared" ref="AR409" si="91">AP409=AQ409</f>
        <v>1</v>
      </c>
      <c r="AT409" s="7" t="str">
        <f t="shared" si="80"/>
        <v>Wayne</v>
      </c>
      <c r="AU409" s="7" t="b">
        <f>C409='Gen Fd BS'!C409</f>
        <v>1</v>
      </c>
    </row>
    <row r="410" spans="1:47">
      <c r="A410" s="12" t="s">
        <v>575</v>
      </c>
      <c r="B410" s="12"/>
      <c r="C410" s="12" t="s">
        <v>72</v>
      </c>
      <c r="D410" s="12"/>
      <c r="E410" s="12">
        <v>50716</v>
      </c>
      <c r="G410" s="7">
        <v>5652770</v>
      </c>
      <c r="I410" s="7">
        <v>0</v>
      </c>
      <c r="K410" s="7">
        <v>3838519</v>
      </c>
      <c r="M410" s="7">
        <v>12187</v>
      </c>
      <c r="O410" s="7">
        <v>636366</v>
      </c>
      <c r="Q410" s="7">
        <v>0</v>
      </c>
      <c r="S410" s="7">
        <v>70408</v>
      </c>
      <c r="U410" s="7">
        <v>3524</v>
      </c>
      <c r="W410" s="7">
        <v>102323</v>
      </c>
      <c r="Y410" s="2">
        <f t="shared" si="81"/>
        <v>10316097</v>
      </c>
      <c r="AA410" s="7">
        <v>0</v>
      </c>
      <c r="AC410" s="7">
        <v>0</v>
      </c>
      <c r="AE410" s="7">
        <v>0</v>
      </c>
      <c r="AG410" s="7">
        <v>0</v>
      </c>
      <c r="AI410" s="7">
        <v>0</v>
      </c>
      <c r="AK410" s="7">
        <f t="shared" si="82"/>
        <v>0</v>
      </c>
      <c r="AM410" s="7">
        <f>+AK410+Y410</f>
        <v>10316097</v>
      </c>
      <c r="AP410" s="7" t="str">
        <f t="shared" si="88"/>
        <v>Northwood Local SD</v>
      </c>
      <c r="AQ410" s="7" t="str">
        <f>'Gen Fd BS'!A410</f>
        <v>Northwood Local SD</v>
      </c>
      <c r="AR410" s="7" t="b">
        <f t="shared" si="89"/>
        <v>1</v>
      </c>
      <c r="AT410" s="7" t="str">
        <f t="shared" si="80"/>
        <v>Wood</v>
      </c>
      <c r="AU410" s="7" t="b">
        <f>C410='Gen Fd BS'!C410</f>
        <v>1</v>
      </c>
    </row>
    <row r="411" spans="1:47">
      <c r="A411" s="12" t="s">
        <v>528</v>
      </c>
      <c r="B411" s="12"/>
      <c r="C411" s="12" t="s">
        <v>63</v>
      </c>
      <c r="D411" s="12"/>
      <c r="E411" s="12">
        <v>44552</v>
      </c>
      <c r="G411" s="7">
        <v>7863748</v>
      </c>
      <c r="I411" s="7">
        <v>0</v>
      </c>
      <c r="K411" s="7">
        <v>8747712</v>
      </c>
      <c r="M411" s="7">
        <v>15180</v>
      </c>
      <c r="O411" s="7">
        <f>3353691+147880+5063</f>
        <v>3506634</v>
      </c>
      <c r="Q411" s="7">
        <v>59112</v>
      </c>
      <c r="S411" s="7">
        <v>0</v>
      </c>
      <c r="U411" s="7">
        <v>11244</v>
      </c>
      <c r="W411" s="7">
        <v>755</v>
      </c>
      <c r="Y411" s="2">
        <f t="shared" si="81"/>
        <v>20204385</v>
      </c>
      <c r="AA411" s="7">
        <v>0</v>
      </c>
      <c r="AC411" s="7">
        <v>0</v>
      </c>
      <c r="AE411" s="7">
        <v>0</v>
      </c>
      <c r="AG411" s="7">
        <v>0</v>
      </c>
      <c r="AI411" s="7">
        <v>0</v>
      </c>
      <c r="AK411" s="7">
        <f t="shared" si="82"/>
        <v>0</v>
      </c>
      <c r="AM411" s="7">
        <f>+AK411+Y411</f>
        <v>20204385</v>
      </c>
      <c r="AO411" s="7" t="s">
        <v>949</v>
      </c>
      <c r="AP411" s="7" t="str">
        <f t="shared" si="88"/>
        <v>Norton City SD</v>
      </c>
      <c r="AQ411" s="7" t="str">
        <f>'Gen Fd BS'!A411</f>
        <v>Norton City SD</v>
      </c>
      <c r="AR411" s="7" t="b">
        <f t="shared" si="89"/>
        <v>1</v>
      </c>
      <c r="AT411" s="7" t="str">
        <f t="shared" si="80"/>
        <v>Summit</v>
      </c>
      <c r="AU411" s="7" t="b">
        <f>C411='Gen Fd BS'!C411</f>
        <v>1</v>
      </c>
    </row>
    <row r="412" spans="1:47">
      <c r="A412" s="12" t="s">
        <v>368</v>
      </c>
      <c r="B412" s="12"/>
      <c r="C412" s="12" t="s">
        <v>37</v>
      </c>
      <c r="D412" s="12"/>
      <c r="E412" s="12">
        <v>44560</v>
      </c>
      <c r="G412" s="7">
        <v>6292182</v>
      </c>
      <c r="I412" s="7">
        <v>1796429</v>
      </c>
      <c r="K412" s="7">
        <v>13091579</v>
      </c>
      <c r="M412" s="7">
        <v>104152</v>
      </c>
      <c r="O412" s="7">
        <f>930448+42352+29730</f>
        <v>1002530</v>
      </c>
      <c r="Q412" s="7">
        <v>26533</v>
      </c>
      <c r="S412" s="7">
        <v>0</v>
      </c>
      <c r="U412" s="7">
        <v>182</v>
      </c>
      <c r="W412" s="7">
        <v>104660</v>
      </c>
      <c r="Y412" s="2">
        <f t="shared" si="81"/>
        <v>22418247</v>
      </c>
      <c r="AA412" s="7">
        <v>0</v>
      </c>
      <c r="AC412" s="7">
        <v>0</v>
      </c>
      <c r="AE412" s="7">
        <v>0</v>
      </c>
      <c r="AG412" s="7">
        <v>0</v>
      </c>
      <c r="AI412" s="7">
        <v>0</v>
      </c>
      <c r="AK412" s="7">
        <f t="shared" si="82"/>
        <v>0</v>
      </c>
      <c r="AM412" s="7">
        <f>+AK412+Y412</f>
        <v>22418247</v>
      </c>
      <c r="AP412" s="7" t="str">
        <f t="shared" si="88"/>
        <v>Norwalk City SD</v>
      </c>
      <c r="AQ412" s="7" t="str">
        <f>'Gen Fd BS'!A412</f>
        <v>Norwalk City SD</v>
      </c>
      <c r="AR412" s="7" t="b">
        <f t="shared" si="89"/>
        <v>1</v>
      </c>
      <c r="AT412" s="7" t="str">
        <f t="shared" si="80"/>
        <v>Huron</v>
      </c>
      <c r="AU412" s="7" t="b">
        <f>C412='Gen Fd BS'!C412</f>
        <v>1</v>
      </c>
    </row>
    <row r="413" spans="1:47" hidden="1">
      <c r="A413" s="12" t="s">
        <v>950</v>
      </c>
      <c r="B413" s="12"/>
      <c r="C413" s="12" t="s">
        <v>71</v>
      </c>
      <c r="D413" s="12"/>
      <c r="E413" s="12"/>
      <c r="Y413" s="2">
        <f t="shared" ref="Y413" si="92">SUM(G413:X413)</f>
        <v>0</v>
      </c>
      <c r="AC413" s="7">
        <v>0</v>
      </c>
      <c r="AI413" s="7">
        <v>0</v>
      </c>
      <c r="AK413" s="7">
        <f t="shared" ref="AK413" si="93">SUM(AA413:AJ413)</f>
        <v>0</v>
      </c>
      <c r="AM413" s="7">
        <f>+AK413+Y413</f>
        <v>0</v>
      </c>
      <c r="AO413" s="7" t="s">
        <v>931</v>
      </c>
      <c r="AP413" s="7" t="str">
        <f t="shared" ref="AP413" si="94">A413</f>
        <v>Norwayne Local SD (CASH)</v>
      </c>
      <c r="AQ413" s="7" t="str">
        <f>'Gen Fd BS'!A413</f>
        <v>Norwayne Local SD (CASH)</v>
      </c>
      <c r="AR413" s="7" t="b">
        <f t="shared" ref="AR413" si="95">AP413=AQ413</f>
        <v>1</v>
      </c>
      <c r="AT413" s="7" t="str">
        <f t="shared" ref="AT413" si="96">C413</f>
        <v>Wayne</v>
      </c>
      <c r="AU413" s="7" t="b">
        <f>C413='Gen Fd BS'!C413</f>
        <v>1</v>
      </c>
    </row>
    <row r="414" spans="1:47">
      <c r="A414" s="12" t="s">
        <v>658</v>
      </c>
      <c r="B414" s="12"/>
      <c r="C414" s="12" t="s">
        <v>32</v>
      </c>
      <c r="D414" s="12"/>
      <c r="E414" s="12">
        <v>44578</v>
      </c>
      <c r="G414" s="7">
        <v>11701377</v>
      </c>
      <c r="I414" s="7">
        <v>0</v>
      </c>
      <c r="K414" s="7">
        <v>11960701</v>
      </c>
      <c r="M414" s="7">
        <v>2370</v>
      </c>
      <c r="O414" s="7">
        <f>271648+301156</f>
        <v>572804</v>
      </c>
      <c r="Q414" s="7">
        <v>62315</v>
      </c>
      <c r="S414" s="7">
        <v>321019</v>
      </c>
      <c r="U414" s="7">
        <v>0</v>
      </c>
      <c r="W414" s="7">
        <v>96059</v>
      </c>
      <c r="Y414" s="2">
        <f t="shared" si="81"/>
        <v>24716645</v>
      </c>
      <c r="AA414" s="7">
        <v>118</v>
      </c>
      <c r="AC414" s="7">
        <v>0</v>
      </c>
      <c r="AE414" s="7">
        <v>0</v>
      </c>
      <c r="AG414" s="7">
        <v>0</v>
      </c>
      <c r="AI414" s="7">
        <v>0</v>
      </c>
      <c r="AK414" s="7">
        <f t="shared" si="82"/>
        <v>118</v>
      </c>
      <c r="AM414" s="7">
        <f>+AK414+Y414</f>
        <v>24716763</v>
      </c>
      <c r="AP414" s="7" t="str">
        <f t="shared" si="88"/>
        <v>Norwood City SD</v>
      </c>
      <c r="AQ414" s="7" t="str">
        <f>'Gen Fd BS'!A414</f>
        <v>Norwood City SD</v>
      </c>
      <c r="AR414" s="7" t="b">
        <f t="shared" si="89"/>
        <v>1</v>
      </c>
      <c r="AT414" s="7" t="str">
        <f t="shared" si="80"/>
        <v>Hamilton</v>
      </c>
      <c r="AU414" s="7" t="b">
        <f>C414='Gen Fd BS'!C414</f>
        <v>1</v>
      </c>
    </row>
    <row r="415" spans="1:47" hidden="1">
      <c r="A415" s="12" t="s">
        <v>799</v>
      </c>
      <c r="B415" s="12"/>
      <c r="C415" s="12" t="s">
        <v>38</v>
      </c>
      <c r="D415" s="12"/>
      <c r="E415" s="12"/>
      <c r="Y415" s="2"/>
      <c r="AC415" s="7">
        <v>0</v>
      </c>
      <c r="AI415" s="7">
        <v>0</v>
      </c>
      <c r="AO415" s="7" t="s">
        <v>938</v>
      </c>
      <c r="AP415" s="7" t="str">
        <f t="shared" ref="AP415" si="97">A415</f>
        <v>Oak Hill Union Local SD (CASH)</v>
      </c>
      <c r="AQ415" s="7" t="str">
        <f>'Gen Fd BS'!A415</f>
        <v>Oak Hill Union Local SD (CASH)</v>
      </c>
      <c r="AR415" s="7" t="b">
        <f t="shared" ref="AR415" si="98">AP415=AQ415</f>
        <v>1</v>
      </c>
      <c r="AT415" s="7" t="str">
        <f t="shared" si="80"/>
        <v>Jackson</v>
      </c>
      <c r="AU415" s="7" t="b">
        <f>C415='Gen Fd BS'!C415</f>
        <v>1</v>
      </c>
    </row>
    <row r="416" spans="1:47">
      <c r="A416" s="12" t="s">
        <v>336</v>
      </c>
      <c r="B416" s="12"/>
      <c r="C416" s="12" t="s">
        <v>32</v>
      </c>
      <c r="D416" s="12"/>
      <c r="E416" s="12">
        <v>47373</v>
      </c>
      <c r="G416" s="7">
        <v>22133641</v>
      </c>
      <c r="I416" s="7">
        <v>0</v>
      </c>
      <c r="K416" s="7">
        <v>26846318</v>
      </c>
      <c r="M416" s="7">
        <v>351064</v>
      </c>
      <c r="O416" s="7">
        <f>1303814</f>
        <v>1303814</v>
      </c>
      <c r="Q416" s="7">
        <v>539128</v>
      </c>
      <c r="S416" s="7">
        <v>9577067</v>
      </c>
      <c r="U416" s="7">
        <v>0</v>
      </c>
      <c r="W416" s="7">
        <v>380808</v>
      </c>
      <c r="Y416" s="2">
        <f t="shared" si="81"/>
        <v>61131840</v>
      </c>
      <c r="AA416" s="7">
        <v>0</v>
      </c>
      <c r="AC416" s="7">
        <v>0</v>
      </c>
      <c r="AE416" s="7">
        <v>0</v>
      </c>
      <c r="AG416" s="7">
        <v>10347</v>
      </c>
      <c r="AI416" s="7">
        <v>0</v>
      </c>
      <c r="AK416" s="7">
        <f t="shared" si="82"/>
        <v>10347</v>
      </c>
      <c r="AM416" s="7">
        <f t="shared" ref="AM416:AM447" si="99">+AK416+Y416</f>
        <v>61142187</v>
      </c>
      <c r="AP416" s="7" t="str">
        <f t="shared" si="88"/>
        <v>Oak Hills Local SD</v>
      </c>
      <c r="AQ416" s="7" t="str">
        <f>'Gen Fd BS'!A416</f>
        <v>Oak Hills Local SD</v>
      </c>
      <c r="AR416" s="7" t="b">
        <f t="shared" si="89"/>
        <v>1</v>
      </c>
      <c r="AT416" s="7" t="str">
        <f t="shared" si="80"/>
        <v>Hamilton</v>
      </c>
      <c r="AU416" s="7" t="b">
        <f>C416='Gen Fd BS'!C416</f>
        <v>1</v>
      </c>
    </row>
    <row r="417" spans="1:47">
      <c r="A417" s="12" t="s">
        <v>448</v>
      </c>
      <c r="B417" s="12"/>
      <c r="C417" s="12" t="s">
        <v>50</v>
      </c>
      <c r="D417" s="12"/>
      <c r="E417" s="12">
        <v>44586</v>
      </c>
      <c r="G417" s="7">
        <v>13839346</v>
      </c>
      <c r="I417" s="7">
        <v>0</v>
      </c>
      <c r="K417" s="7">
        <v>7565831</v>
      </c>
      <c r="M417" s="7">
        <v>3535</v>
      </c>
      <c r="O417" s="7">
        <f>168859+1062</f>
        <v>169921</v>
      </c>
      <c r="Q417" s="7">
        <v>92709</v>
      </c>
      <c r="S417" s="7">
        <v>0</v>
      </c>
      <c r="U417" s="7">
        <v>5203</v>
      </c>
      <c r="W417" s="7">
        <v>71715</v>
      </c>
      <c r="Y417" s="2">
        <f t="shared" si="81"/>
        <v>21748260</v>
      </c>
      <c r="AA417" s="7">
        <v>1213258</v>
      </c>
      <c r="AC417" s="7">
        <v>0</v>
      </c>
      <c r="AE417" s="7">
        <v>0</v>
      </c>
      <c r="AG417" s="7">
        <v>0</v>
      </c>
      <c r="AI417" s="7">
        <v>0</v>
      </c>
      <c r="AK417" s="7">
        <f t="shared" si="82"/>
        <v>1213258</v>
      </c>
      <c r="AM417" s="7">
        <f t="shared" si="99"/>
        <v>22961518</v>
      </c>
      <c r="AP417" s="7" t="str">
        <f t="shared" si="88"/>
        <v>Oakwood City SD</v>
      </c>
      <c r="AQ417" s="7" t="str">
        <f>'Gen Fd BS'!A417</f>
        <v>Oakwood City SD</v>
      </c>
      <c r="AR417" s="7" t="b">
        <f t="shared" si="89"/>
        <v>1</v>
      </c>
      <c r="AT417" s="7" t="str">
        <f t="shared" si="80"/>
        <v>Montgomery</v>
      </c>
      <c r="AU417" s="7" t="b">
        <f>C417='Gen Fd BS'!C417</f>
        <v>1</v>
      </c>
    </row>
    <row r="418" spans="1:47">
      <c r="A418" s="12" t="s">
        <v>401</v>
      </c>
      <c r="B418" s="12"/>
      <c r="C418" s="12" t="s">
        <v>44</v>
      </c>
      <c r="D418" s="12"/>
      <c r="E418" s="12">
        <v>44594</v>
      </c>
      <c r="G418" s="7">
        <v>7274771</v>
      </c>
      <c r="I418" s="7">
        <v>0</v>
      </c>
      <c r="K418" s="7">
        <v>4345016</v>
      </c>
      <c r="M418" s="7">
        <v>1125</v>
      </c>
      <c r="O418" s="7">
        <f>342097+15942</f>
        <v>358039</v>
      </c>
      <c r="Q418" s="7">
        <v>0</v>
      </c>
      <c r="S418" s="7">
        <v>0</v>
      </c>
      <c r="U418" s="7">
        <v>0</v>
      </c>
      <c r="W418" s="7">
        <v>90129</v>
      </c>
      <c r="Y418" s="2">
        <f t="shared" si="81"/>
        <v>12069080</v>
      </c>
      <c r="AA418" s="7">
        <v>0</v>
      </c>
      <c r="AC418" s="7">
        <v>0</v>
      </c>
      <c r="AE418" s="7">
        <v>0</v>
      </c>
      <c r="AG418" s="7">
        <v>0</v>
      </c>
      <c r="AI418" s="7">
        <v>0</v>
      </c>
      <c r="AK418" s="7">
        <f t="shared" si="82"/>
        <v>0</v>
      </c>
      <c r="AM418" s="7">
        <f t="shared" si="99"/>
        <v>12069080</v>
      </c>
      <c r="AP418" s="7" t="str">
        <f t="shared" si="88"/>
        <v>Oberlin City SD</v>
      </c>
      <c r="AQ418" s="7" t="str">
        <f>'Gen Fd BS'!A418</f>
        <v>Oberlin City SD</v>
      </c>
      <c r="AR418" s="7" t="b">
        <f t="shared" si="89"/>
        <v>1</v>
      </c>
      <c r="AT418" s="7" t="str">
        <f t="shared" si="80"/>
        <v>Lorain</v>
      </c>
      <c r="AU418" s="7" t="b">
        <f>C418='Gen Fd BS'!C418</f>
        <v>1</v>
      </c>
    </row>
    <row r="419" spans="1:47" hidden="1">
      <c r="A419" s="12" t="s">
        <v>640</v>
      </c>
      <c r="B419" s="12"/>
      <c r="C419" s="12" t="s">
        <v>60</v>
      </c>
      <c r="D419" s="12"/>
      <c r="E419" s="12">
        <v>49726</v>
      </c>
      <c r="Y419" s="2">
        <f t="shared" si="81"/>
        <v>0</v>
      </c>
      <c r="AC419" s="7">
        <v>0</v>
      </c>
      <c r="AI419" s="7">
        <v>0</v>
      </c>
      <c r="AK419" s="7">
        <f t="shared" si="82"/>
        <v>0</v>
      </c>
      <c r="AM419" s="7">
        <f t="shared" si="99"/>
        <v>0</v>
      </c>
      <c r="AO419" s="7" t="s">
        <v>839</v>
      </c>
      <c r="AP419" s="7" t="str">
        <f t="shared" si="88"/>
        <v>Old Fort Local SD (CASH)</v>
      </c>
      <c r="AQ419" s="7" t="str">
        <f>'Gen Fd BS'!A419</f>
        <v>Old Fort Local SD (CASH)</v>
      </c>
      <c r="AR419" s="7" t="b">
        <f t="shared" si="89"/>
        <v>1</v>
      </c>
      <c r="AT419" s="7" t="str">
        <f t="shared" si="80"/>
        <v>Seneca</v>
      </c>
      <c r="AU419" s="7" t="b">
        <f>C419='Gen Fd BS'!C419</f>
        <v>1</v>
      </c>
    </row>
    <row r="420" spans="1:47">
      <c r="A420" s="12" t="s">
        <v>290</v>
      </c>
      <c r="B420" s="12"/>
      <c r="C420" s="12" t="s">
        <v>23</v>
      </c>
      <c r="D420" s="12"/>
      <c r="E420" s="12">
        <v>46763</v>
      </c>
      <c r="G420" s="7">
        <v>109159343</v>
      </c>
      <c r="I420" s="7">
        <v>0</v>
      </c>
      <c r="K420" s="7">
        <v>23937192</v>
      </c>
      <c r="M420" s="7">
        <v>280454</v>
      </c>
      <c r="O420" s="7">
        <v>1643236</v>
      </c>
      <c r="Q420" s="7">
        <v>0</v>
      </c>
      <c r="S420" s="7">
        <v>9792122</v>
      </c>
      <c r="U420" s="7">
        <v>0</v>
      </c>
      <c r="W420" s="7">
        <v>3538070</v>
      </c>
      <c r="Y420" s="2">
        <f t="shared" si="81"/>
        <v>148350417</v>
      </c>
      <c r="AA420" s="7">
        <v>0</v>
      </c>
      <c r="AC420" s="7">
        <v>0</v>
      </c>
      <c r="AE420" s="7">
        <v>128447</v>
      </c>
      <c r="AG420" s="7">
        <v>36617</v>
      </c>
      <c r="AI420" s="7">
        <v>0</v>
      </c>
      <c r="AK420" s="7">
        <f t="shared" si="82"/>
        <v>165064</v>
      </c>
      <c r="AM420" s="7">
        <f t="shared" si="99"/>
        <v>148515481</v>
      </c>
      <c r="AP420" s="7" t="str">
        <f t="shared" si="88"/>
        <v>Olentangy Local SD</v>
      </c>
      <c r="AQ420" s="7" t="str">
        <f>'Gen Fd BS'!A420</f>
        <v>Olentangy Local SD</v>
      </c>
      <c r="AR420" s="7" t="b">
        <f t="shared" si="89"/>
        <v>1</v>
      </c>
      <c r="AT420" s="7" t="str">
        <f t="shared" si="80"/>
        <v>Delaware</v>
      </c>
      <c r="AU420" s="7" t="b">
        <f>C420='Gen Fd BS'!C420</f>
        <v>1</v>
      </c>
    </row>
    <row r="421" spans="1:47">
      <c r="A421" s="12" t="s">
        <v>279</v>
      </c>
      <c r="B421" s="12"/>
      <c r="C421" s="12" t="s">
        <v>20</v>
      </c>
      <c r="D421" s="12"/>
      <c r="E421" s="12">
        <v>46573</v>
      </c>
      <c r="G421" s="7">
        <v>20987019</v>
      </c>
      <c r="I421" s="7">
        <v>0</v>
      </c>
      <c r="K421" s="7">
        <v>14279219</v>
      </c>
      <c r="M421" s="7">
        <v>32832</v>
      </c>
      <c r="O421" s="7">
        <f>449699+305080+18210</f>
        <v>772989</v>
      </c>
      <c r="Q421" s="7">
        <v>308862</v>
      </c>
      <c r="S421" s="7">
        <v>0</v>
      </c>
      <c r="U421" s="7">
        <v>16248</v>
      </c>
      <c r="W421" s="7">
        <v>253879</v>
      </c>
      <c r="Y421" s="2">
        <f t="shared" si="81"/>
        <v>36651048</v>
      </c>
      <c r="AA421" s="7">
        <v>0</v>
      </c>
      <c r="AC421" s="7">
        <v>0</v>
      </c>
      <c r="AE421" s="7">
        <v>0</v>
      </c>
      <c r="AG421" s="7">
        <v>0</v>
      </c>
      <c r="AI421" s="7">
        <v>0</v>
      </c>
      <c r="AK421" s="7">
        <f t="shared" si="82"/>
        <v>0</v>
      </c>
      <c r="AM421" s="7">
        <f t="shared" si="99"/>
        <v>36651048</v>
      </c>
      <c r="AP421" s="7" t="str">
        <f t="shared" si="88"/>
        <v>Olmsted Falls City SD</v>
      </c>
      <c r="AQ421" s="7" t="str">
        <f>'Gen Fd BS'!A421</f>
        <v>Olmsted Falls City SD</v>
      </c>
      <c r="AR421" s="7" t="b">
        <f t="shared" si="89"/>
        <v>1</v>
      </c>
      <c r="AT421" s="7" t="str">
        <f t="shared" si="80"/>
        <v>Cuyahoga</v>
      </c>
      <c r="AU421" s="7" t="b">
        <f>C421='Gen Fd BS'!C421</f>
        <v>1</v>
      </c>
    </row>
    <row r="422" spans="1:47">
      <c r="A422" s="12" t="s">
        <v>485</v>
      </c>
      <c r="B422" s="12"/>
      <c r="C422" s="12" t="s">
        <v>110</v>
      </c>
      <c r="D422" s="12"/>
      <c r="E422" s="12">
        <v>49478</v>
      </c>
      <c r="G422" s="7">
        <v>9185262</v>
      </c>
      <c r="I422" s="7">
        <v>0</v>
      </c>
      <c r="K422" s="7">
        <f>5331212+49354</f>
        <v>5380566</v>
      </c>
      <c r="M422" s="7">
        <v>83668</v>
      </c>
      <c r="O422" s="7">
        <f>129739+124938+23299</f>
        <v>277976</v>
      </c>
      <c r="Q422" s="7">
        <v>61589</v>
      </c>
      <c r="S422" s="7">
        <v>137232</v>
      </c>
      <c r="U422" s="7">
        <v>8488</v>
      </c>
      <c r="W422" s="7">
        <v>21023</v>
      </c>
      <c r="Y422" s="2">
        <f t="shared" si="81"/>
        <v>15155804</v>
      </c>
      <c r="AA422" s="7">
        <v>0</v>
      </c>
      <c r="AC422" s="7">
        <v>0</v>
      </c>
      <c r="AE422" s="7">
        <v>51968</v>
      </c>
      <c r="AG422" s="7">
        <v>0</v>
      </c>
      <c r="AI422" s="7">
        <v>0</v>
      </c>
      <c r="AK422" s="7">
        <f t="shared" si="82"/>
        <v>51968</v>
      </c>
      <c r="AM422" s="7">
        <f t="shared" si="99"/>
        <v>15207772</v>
      </c>
      <c r="AP422" s="7" t="str">
        <f t="shared" si="88"/>
        <v>Ontario Local SD</v>
      </c>
      <c r="AQ422" s="7" t="str">
        <f>'Gen Fd BS'!A422</f>
        <v>Ontario Local SD</v>
      </c>
      <c r="AR422" s="7" t="b">
        <f t="shared" si="89"/>
        <v>1</v>
      </c>
      <c r="AT422" s="7" t="str">
        <f t="shared" si="80"/>
        <v>Richland</v>
      </c>
      <c r="AU422" s="7" t="b">
        <f>C422='Gen Fd BS'!C422</f>
        <v>1</v>
      </c>
    </row>
    <row r="423" spans="1:47">
      <c r="A423" s="12" t="s">
        <v>280</v>
      </c>
      <c r="B423" s="12"/>
      <c r="C423" s="12" t="s">
        <v>20</v>
      </c>
      <c r="D423" s="12"/>
      <c r="E423" s="12">
        <v>46581</v>
      </c>
      <c r="G423" s="7">
        <v>34618686</v>
      </c>
      <c r="I423" s="7">
        <v>0</v>
      </c>
      <c r="K423" s="7">
        <v>8945974</v>
      </c>
      <c r="M423" s="7">
        <v>246977</v>
      </c>
      <c r="O423" s="7">
        <f>3983971+79681+7760+41621</f>
        <v>4113033</v>
      </c>
      <c r="Q423" s="7">
        <v>118770</v>
      </c>
      <c r="S423" s="7">
        <v>0</v>
      </c>
      <c r="U423" s="7">
        <v>7038</v>
      </c>
      <c r="W423" s="7">
        <v>71965</v>
      </c>
      <c r="Y423" s="2">
        <f t="shared" si="81"/>
        <v>48122443</v>
      </c>
      <c r="AA423" s="7">
        <v>0</v>
      </c>
      <c r="AC423" s="7">
        <v>0</v>
      </c>
      <c r="AE423" s="7">
        <v>0</v>
      </c>
      <c r="AG423" s="7">
        <v>0</v>
      </c>
      <c r="AI423" s="7">
        <v>0</v>
      </c>
      <c r="AK423" s="7">
        <f t="shared" si="82"/>
        <v>0</v>
      </c>
      <c r="AM423" s="7">
        <f t="shared" si="99"/>
        <v>48122443</v>
      </c>
      <c r="AP423" s="7" t="str">
        <f t="shared" si="88"/>
        <v>Orange City SD</v>
      </c>
      <c r="AQ423" s="7" t="str">
        <f>'Gen Fd BS'!A423</f>
        <v>Orange City SD</v>
      </c>
      <c r="AR423" s="7" t="b">
        <f t="shared" si="89"/>
        <v>1</v>
      </c>
      <c r="AT423" s="7" t="str">
        <f t="shared" si="80"/>
        <v>Cuyahoga</v>
      </c>
      <c r="AU423" s="7" t="b">
        <f>C423='Gen Fd BS'!C423</f>
        <v>1</v>
      </c>
    </row>
    <row r="424" spans="1:47">
      <c r="A424" s="12" t="s">
        <v>404</v>
      </c>
      <c r="B424" s="12"/>
      <c r="C424" s="12" t="s">
        <v>115</v>
      </c>
      <c r="D424" s="12"/>
      <c r="E424" s="12">
        <v>44602</v>
      </c>
      <c r="G424" s="7">
        <v>19048119</v>
      </c>
      <c r="I424" s="7">
        <v>0</v>
      </c>
      <c r="K424" s="7">
        <f>18084213+49025</f>
        <v>18133238</v>
      </c>
      <c r="M424" s="7">
        <v>44291</v>
      </c>
      <c r="O424" s="7">
        <f>1368207+166147</f>
        <v>1534354</v>
      </c>
      <c r="Q424" s="7">
        <v>60828</v>
      </c>
      <c r="S424" s="7">
        <v>200650</v>
      </c>
      <c r="U424" s="7">
        <v>0</v>
      </c>
      <c r="W424" s="7">
        <v>184764</v>
      </c>
      <c r="Y424" s="2">
        <f t="shared" si="81"/>
        <v>39206244</v>
      </c>
      <c r="AA424" s="7">
        <v>0</v>
      </c>
      <c r="AC424" s="7">
        <v>0</v>
      </c>
      <c r="AE424" s="7">
        <v>0</v>
      </c>
      <c r="AG424" s="7">
        <v>1582</v>
      </c>
      <c r="AI424" s="7">
        <v>0</v>
      </c>
      <c r="AK424" s="7">
        <f t="shared" si="82"/>
        <v>1582</v>
      </c>
      <c r="AM424" s="7">
        <f t="shared" si="99"/>
        <v>39207826</v>
      </c>
      <c r="AO424" s="7" t="s">
        <v>951</v>
      </c>
      <c r="AP424" s="7" t="str">
        <f t="shared" si="88"/>
        <v>Oregon City SD</v>
      </c>
      <c r="AQ424" s="7" t="str">
        <f>'Gen Fd BS'!A424</f>
        <v>Oregon City SD</v>
      </c>
      <c r="AR424" s="7" t="b">
        <f t="shared" si="89"/>
        <v>1</v>
      </c>
      <c r="AT424" s="7" t="str">
        <f t="shared" si="80"/>
        <v>Lucas</v>
      </c>
      <c r="AU424" s="7" t="b">
        <f>C424='Gen Fd BS'!C424</f>
        <v>1</v>
      </c>
    </row>
    <row r="425" spans="1:47" hidden="1">
      <c r="A425" s="12" t="s">
        <v>952</v>
      </c>
      <c r="B425" s="12"/>
      <c r="C425" s="12" t="s">
        <v>71</v>
      </c>
      <c r="D425" s="12"/>
      <c r="E425" s="12">
        <v>44610</v>
      </c>
      <c r="Y425" s="2">
        <f t="shared" si="81"/>
        <v>0</v>
      </c>
      <c r="AC425" s="7">
        <v>0</v>
      </c>
      <c r="AI425" s="7">
        <v>0</v>
      </c>
      <c r="AK425" s="7">
        <f t="shared" si="82"/>
        <v>0</v>
      </c>
      <c r="AM425" s="7">
        <f t="shared" si="99"/>
        <v>0</v>
      </c>
      <c r="AO425" s="7" t="s">
        <v>903</v>
      </c>
      <c r="AP425" s="7" t="str">
        <f t="shared" si="88"/>
        <v>Orrville City SD (CASH)</v>
      </c>
      <c r="AQ425" s="7" t="str">
        <f>'Gen Fd BS'!A425</f>
        <v>Orrville City SD (CASH)</v>
      </c>
      <c r="AR425" s="7" t="b">
        <f t="shared" si="89"/>
        <v>1</v>
      </c>
      <c r="AT425" s="7" t="str">
        <f t="shared" si="80"/>
        <v>Wayne</v>
      </c>
      <c r="AU425" s="7" t="b">
        <f>C425='Gen Fd BS'!C425</f>
        <v>1</v>
      </c>
    </row>
    <row r="426" spans="1:47">
      <c r="A426" s="12" t="s">
        <v>519</v>
      </c>
      <c r="B426" s="12"/>
      <c r="C426" s="12" t="s">
        <v>62</v>
      </c>
      <c r="D426" s="12"/>
      <c r="E426" s="12">
        <v>49916</v>
      </c>
      <c r="G426" s="7">
        <v>2446112</v>
      </c>
      <c r="I426" s="7">
        <v>0</v>
      </c>
      <c r="K426" s="7">
        <f>4187696+3496</f>
        <v>4191192</v>
      </c>
      <c r="M426" s="7">
        <v>38090</v>
      </c>
      <c r="O426" s="7">
        <f>509478+850+26794</f>
        <v>537122</v>
      </c>
      <c r="Q426" s="7">
        <v>49462</v>
      </c>
      <c r="S426" s="7">
        <v>0</v>
      </c>
      <c r="U426" s="7">
        <v>0</v>
      </c>
      <c r="W426" s="7">
        <v>88413</v>
      </c>
      <c r="Y426" s="2">
        <f t="shared" si="81"/>
        <v>7350391</v>
      </c>
      <c r="AA426" s="7">
        <v>0</v>
      </c>
      <c r="AC426" s="7">
        <v>0</v>
      </c>
      <c r="AE426" s="7">
        <v>0</v>
      </c>
      <c r="AG426" s="7">
        <v>41135</v>
      </c>
      <c r="AI426" s="7">
        <v>0</v>
      </c>
      <c r="AK426" s="7">
        <f t="shared" si="82"/>
        <v>41135</v>
      </c>
      <c r="AM426" s="7">
        <f t="shared" si="99"/>
        <v>7391526</v>
      </c>
      <c r="AP426" s="7" t="str">
        <f t="shared" si="88"/>
        <v>Osnaburg Local SD</v>
      </c>
      <c r="AQ426" s="7" t="str">
        <f>'Gen Fd BS'!A426</f>
        <v>Osnaburg Local SD</v>
      </c>
      <c r="AR426" s="7" t="b">
        <f t="shared" si="89"/>
        <v>1</v>
      </c>
      <c r="AT426" s="7" t="str">
        <f t="shared" si="80"/>
        <v>Stark</v>
      </c>
      <c r="AU426" s="7" t="b">
        <f>C426='Gen Fd BS'!C426</f>
        <v>1</v>
      </c>
    </row>
    <row r="427" spans="1:47">
      <c r="A427" s="12" t="s">
        <v>576</v>
      </c>
      <c r="B427" s="12"/>
      <c r="C427" s="12" t="s">
        <v>72</v>
      </c>
      <c r="D427" s="12"/>
      <c r="E427" s="12">
        <v>50724</v>
      </c>
      <c r="G427" s="7">
        <v>4313099</v>
      </c>
      <c r="I427" s="7">
        <v>2348549</v>
      </c>
      <c r="K427" s="7">
        <v>6007101</v>
      </c>
      <c r="M427" s="7">
        <v>2577</v>
      </c>
      <c r="O427" s="7">
        <f>501604</f>
        <v>501604</v>
      </c>
      <c r="Q427" s="7">
        <v>23510</v>
      </c>
      <c r="S427" s="7">
        <v>0</v>
      </c>
      <c r="U427" s="7">
        <v>8137</v>
      </c>
      <c r="W427" s="7">
        <v>95046</v>
      </c>
      <c r="Y427" s="2">
        <f t="shared" si="81"/>
        <v>13299623</v>
      </c>
      <c r="AA427" s="7">
        <v>0</v>
      </c>
      <c r="AC427" s="7">
        <v>0</v>
      </c>
      <c r="AE427" s="7">
        <v>0</v>
      </c>
      <c r="AG427" s="7">
        <v>500</v>
      </c>
      <c r="AI427" s="7">
        <v>0</v>
      </c>
      <c r="AK427" s="7">
        <f t="shared" si="82"/>
        <v>500</v>
      </c>
      <c r="AM427" s="7">
        <f t="shared" si="99"/>
        <v>13300123</v>
      </c>
      <c r="AP427" s="7" t="str">
        <f t="shared" si="88"/>
        <v>Otsego Local SD</v>
      </c>
      <c r="AQ427" s="7" t="str">
        <f>'Gen Fd BS'!A427</f>
        <v>Otsego Local SD</v>
      </c>
      <c r="AR427" s="7" t="b">
        <f t="shared" si="89"/>
        <v>1</v>
      </c>
      <c r="AT427" s="7" t="str">
        <f t="shared" si="80"/>
        <v>Wood</v>
      </c>
      <c r="AU427" s="7" t="b">
        <f>C427='Gen Fd BS'!C427</f>
        <v>1</v>
      </c>
    </row>
    <row r="428" spans="1:47">
      <c r="A428" s="12" t="s">
        <v>405</v>
      </c>
      <c r="B428" s="12"/>
      <c r="C428" s="12" t="s">
        <v>115</v>
      </c>
      <c r="D428" s="12"/>
      <c r="E428" s="12">
        <v>48215</v>
      </c>
      <c r="G428" s="7">
        <v>9203394</v>
      </c>
      <c r="I428" s="7">
        <v>0</v>
      </c>
      <c r="K428" s="7">
        <v>3132320</v>
      </c>
      <c r="M428" s="7">
        <v>32074</v>
      </c>
      <c r="O428" s="7">
        <f>80831+1168+76491</f>
        <v>158490</v>
      </c>
      <c r="Q428" s="7">
        <v>73093</v>
      </c>
      <c r="S428" s="7">
        <v>0</v>
      </c>
      <c r="U428" s="7">
        <v>0</v>
      </c>
      <c r="W428" s="7">
        <v>144772</v>
      </c>
      <c r="Y428" s="2">
        <f t="shared" si="81"/>
        <v>12744143</v>
      </c>
      <c r="AA428" s="7">
        <v>185000</v>
      </c>
      <c r="AC428" s="7">
        <v>0</v>
      </c>
      <c r="AE428" s="7">
        <v>0</v>
      </c>
      <c r="AG428" s="7">
        <f>160+16968</f>
        <v>17128</v>
      </c>
      <c r="AI428" s="7">
        <v>0</v>
      </c>
      <c r="AK428" s="7">
        <f t="shared" si="82"/>
        <v>202128</v>
      </c>
      <c r="AM428" s="7">
        <f t="shared" si="99"/>
        <v>12946271</v>
      </c>
      <c r="AP428" s="7" t="str">
        <f t="shared" si="88"/>
        <v>Ottawa Hills Local SD</v>
      </c>
      <c r="AQ428" s="7" t="str">
        <f>'Gen Fd BS'!A428</f>
        <v>Ottawa Hills Local SD</v>
      </c>
      <c r="AR428" s="7" t="b">
        <f t="shared" si="89"/>
        <v>1</v>
      </c>
      <c r="AT428" s="7" t="str">
        <f t="shared" si="80"/>
        <v>Lucas</v>
      </c>
      <c r="AU428" s="7" t="b">
        <f>C428='Gen Fd BS'!C428</f>
        <v>1</v>
      </c>
    </row>
    <row r="429" spans="1:47" hidden="1">
      <c r="A429" s="12" t="s">
        <v>749</v>
      </c>
      <c r="B429" s="12"/>
      <c r="C429" s="12" t="s">
        <v>482</v>
      </c>
      <c r="D429" s="12"/>
      <c r="E429" s="12">
        <v>49379</v>
      </c>
      <c r="Y429" s="2">
        <f t="shared" si="81"/>
        <v>0</v>
      </c>
      <c r="AC429" s="7">
        <v>0</v>
      </c>
      <c r="AI429" s="7">
        <v>0</v>
      </c>
      <c r="AK429" s="7">
        <f t="shared" ref="AK429:AK477" si="100">SUM(AA429:AJ429)</f>
        <v>0</v>
      </c>
      <c r="AM429" s="7">
        <f t="shared" si="99"/>
        <v>0</v>
      </c>
      <c r="AO429" s="7" t="s">
        <v>953</v>
      </c>
      <c r="AP429" s="7" t="str">
        <f t="shared" si="88"/>
        <v>Ottawa-Glandorf Local SD (CASH)</v>
      </c>
      <c r="AQ429" s="7" t="str">
        <f>'Gen Fd BS'!A429</f>
        <v>Ottawa-Glandorf Local SD (CASH)</v>
      </c>
      <c r="AR429" s="7" t="b">
        <f t="shared" si="89"/>
        <v>1</v>
      </c>
      <c r="AT429" s="7" t="str">
        <f t="shared" si="80"/>
        <v>Putnam</v>
      </c>
      <c r="AU429" s="7" t="b">
        <f>C429='Gen Fd BS'!C429</f>
        <v>1</v>
      </c>
    </row>
    <row r="430" spans="1:47" hidden="1">
      <c r="A430" s="12" t="s">
        <v>955</v>
      </c>
      <c r="B430" s="12"/>
      <c r="C430" s="12" t="s">
        <v>482</v>
      </c>
      <c r="D430" s="12"/>
      <c r="E430" s="12">
        <v>49387</v>
      </c>
      <c r="Y430" s="2">
        <f t="shared" si="81"/>
        <v>0</v>
      </c>
      <c r="AC430" s="7">
        <v>0</v>
      </c>
      <c r="AI430" s="7">
        <v>0</v>
      </c>
      <c r="AK430" s="7">
        <f t="shared" si="100"/>
        <v>0</v>
      </c>
      <c r="AM430" s="7">
        <f t="shared" si="99"/>
        <v>0</v>
      </c>
      <c r="AO430" s="7" t="s">
        <v>954</v>
      </c>
      <c r="AP430" s="7" t="str">
        <f t="shared" si="88"/>
        <v>Ottoville Local SD (NO REPORT) (Two year Audit)</v>
      </c>
      <c r="AQ430" s="7" t="str">
        <f>'Gen Fd BS'!A430</f>
        <v>Ottoville Local SD (NO REPORT) (Two year Audit)</v>
      </c>
      <c r="AR430" s="7" t="b">
        <f t="shared" si="89"/>
        <v>1</v>
      </c>
      <c r="AT430" s="7" t="str">
        <f t="shared" si="80"/>
        <v>Putnam</v>
      </c>
      <c r="AU430" s="7" t="b">
        <f>C430='Gen Fd BS'!C430</f>
        <v>1</v>
      </c>
    </row>
    <row r="431" spans="1:47" hidden="1">
      <c r="A431" s="12" t="s">
        <v>956</v>
      </c>
      <c r="B431" s="12"/>
      <c r="C431" s="12" t="s">
        <v>41</v>
      </c>
      <c r="D431" s="12"/>
      <c r="E431" s="12">
        <v>44628</v>
      </c>
      <c r="Y431" s="2">
        <f t="shared" si="81"/>
        <v>0</v>
      </c>
      <c r="AC431" s="7">
        <v>0</v>
      </c>
      <c r="AI431" s="7">
        <v>0</v>
      </c>
      <c r="AK431" s="7">
        <f t="shared" si="100"/>
        <v>0</v>
      </c>
      <c r="AM431" s="7">
        <f t="shared" si="99"/>
        <v>0</v>
      </c>
      <c r="AO431" s="7" t="s">
        <v>903</v>
      </c>
      <c r="AP431" s="7" t="str">
        <f t="shared" si="88"/>
        <v>Painesville City Local SD (CASH)</v>
      </c>
      <c r="AQ431" s="7" t="str">
        <f>'Gen Fd BS'!A431</f>
        <v>Painesville City Local SD (CASH)</v>
      </c>
      <c r="AR431" s="7" t="b">
        <f t="shared" si="89"/>
        <v>1</v>
      </c>
      <c r="AT431" s="7" t="str">
        <f t="shared" si="80"/>
        <v>Lake</v>
      </c>
      <c r="AU431" s="7" t="b">
        <f>C431='Gen Fd BS'!C431</f>
        <v>1</v>
      </c>
    </row>
    <row r="432" spans="1:47" hidden="1">
      <c r="A432" s="12" t="s">
        <v>893</v>
      </c>
      <c r="B432" s="12"/>
      <c r="C432" s="12" t="s">
        <v>41</v>
      </c>
      <c r="D432" s="12"/>
      <c r="E432" s="12">
        <v>47894</v>
      </c>
      <c r="Y432" s="2">
        <f t="shared" si="81"/>
        <v>0</v>
      </c>
      <c r="AC432" s="7">
        <v>0</v>
      </c>
      <c r="AI432" s="7">
        <v>0</v>
      </c>
      <c r="AK432" s="7">
        <f t="shared" si="100"/>
        <v>0</v>
      </c>
      <c r="AM432" s="7">
        <f t="shared" si="99"/>
        <v>0</v>
      </c>
      <c r="AO432" s="7" t="s">
        <v>790</v>
      </c>
      <c r="AP432" s="7" t="str">
        <f t="shared" si="88"/>
        <v>Painesville Township Local SD - now RIVERSIDE LOCAL SCHOOL DISTRICT since 2007</v>
      </c>
      <c r="AQ432" s="7" t="str">
        <f>'Gen Fd BS'!A432</f>
        <v>Painesville Township Local SD - now RIVERSIDE LOCAL SCHOOL DISTRICT since 2007</v>
      </c>
      <c r="AR432" s="7" t="b">
        <f t="shared" si="89"/>
        <v>1</v>
      </c>
      <c r="AT432" s="7" t="str">
        <f t="shared" si="80"/>
        <v>Lake</v>
      </c>
      <c r="AU432" s="7" t="b">
        <f>C432='Gen Fd BS'!C432</f>
        <v>1</v>
      </c>
    </row>
    <row r="433" spans="1:47">
      <c r="A433" s="12" t="s">
        <v>490</v>
      </c>
      <c r="B433" s="12"/>
      <c r="C433" s="12" t="s">
        <v>58</v>
      </c>
      <c r="D433" s="12"/>
      <c r="E433" s="12">
        <v>49510</v>
      </c>
      <c r="G433" s="7">
        <v>1596695</v>
      </c>
      <c r="I433" s="7">
        <v>0</v>
      </c>
      <c r="K433" s="7">
        <v>6729390</v>
      </c>
      <c r="M433" s="7">
        <v>7060</v>
      </c>
      <c r="O433" s="7">
        <f>707649+120</f>
        <v>707769</v>
      </c>
      <c r="Q433" s="7">
        <v>37395</v>
      </c>
      <c r="S433" s="7">
        <v>0</v>
      </c>
      <c r="U433" s="7">
        <v>0</v>
      </c>
      <c r="W433" s="7">
        <v>9832</v>
      </c>
      <c r="Y433" s="2">
        <f t="shared" si="81"/>
        <v>9088141</v>
      </c>
      <c r="AA433" s="7">
        <v>0</v>
      </c>
      <c r="AC433" s="7">
        <v>0</v>
      </c>
      <c r="AE433" s="7">
        <v>220144</v>
      </c>
      <c r="AG433" s="7">
        <v>150</v>
      </c>
      <c r="AI433" s="7">
        <v>0</v>
      </c>
      <c r="AK433" s="7">
        <f t="shared" si="100"/>
        <v>220294</v>
      </c>
      <c r="AM433" s="7">
        <f t="shared" si="99"/>
        <v>9308435</v>
      </c>
      <c r="AP433" s="7" t="str">
        <f t="shared" si="88"/>
        <v>Paint Valley Local SD</v>
      </c>
      <c r="AQ433" s="7" t="str">
        <f>'Gen Fd BS'!A433</f>
        <v>Paint Valley Local SD</v>
      </c>
      <c r="AR433" s="7" t="b">
        <f t="shared" si="89"/>
        <v>1</v>
      </c>
      <c r="AT433" s="7" t="str">
        <f t="shared" si="80"/>
        <v>Ross</v>
      </c>
      <c r="AU433" s="7" t="b">
        <f>C433='Gen Fd BS'!C433</f>
        <v>1</v>
      </c>
    </row>
    <row r="434" spans="1:47" hidden="1">
      <c r="A434" s="12" t="s">
        <v>722</v>
      </c>
      <c r="B434" s="12"/>
      <c r="C434" s="12" t="s">
        <v>482</v>
      </c>
      <c r="D434" s="12"/>
      <c r="E434" s="12">
        <v>49395</v>
      </c>
      <c r="Y434" s="2">
        <f t="shared" si="81"/>
        <v>0</v>
      </c>
      <c r="AC434" s="7">
        <v>0</v>
      </c>
      <c r="AI434" s="7">
        <v>0</v>
      </c>
      <c r="AK434" s="7">
        <f t="shared" si="100"/>
        <v>0</v>
      </c>
      <c r="AM434" s="7">
        <f t="shared" si="99"/>
        <v>0</v>
      </c>
      <c r="AO434" s="7" t="s">
        <v>958</v>
      </c>
      <c r="AP434" s="7" t="str">
        <f t="shared" si="88"/>
        <v>Pandora-Gilboa Local SD (CASH)  (Two year Audit)</v>
      </c>
      <c r="AQ434" s="7" t="str">
        <f>'Gen Fd BS'!A434</f>
        <v>Pandora-Gilboa Local SD (CASH)  (Two year Audit)</v>
      </c>
      <c r="AR434" s="7" t="b">
        <f t="shared" si="89"/>
        <v>1</v>
      </c>
      <c r="AT434" s="7" t="str">
        <f t="shared" si="80"/>
        <v>Putnam</v>
      </c>
      <c r="AU434" s="7" t="b">
        <f>C434='Gen Fd BS'!C434</f>
        <v>1</v>
      </c>
    </row>
    <row r="435" spans="1:47" hidden="1">
      <c r="A435" s="12" t="s">
        <v>723</v>
      </c>
      <c r="B435" s="12"/>
      <c r="C435" s="12" t="s">
        <v>435</v>
      </c>
      <c r="D435" s="12"/>
      <c r="E435" s="12">
        <v>48579</v>
      </c>
      <c r="Y435" s="2">
        <f t="shared" si="81"/>
        <v>0</v>
      </c>
      <c r="AC435" s="7">
        <v>0</v>
      </c>
      <c r="AI435" s="7">
        <v>0</v>
      </c>
      <c r="AK435" s="7">
        <f t="shared" si="100"/>
        <v>0</v>
      </c>
      <c r="AM435" s="7">
        <f t="shared" si="99"/>
        <v>0</v>
      </c>
      <c r="AO435" s="7" t="s">
        <v>839</v>
      </c>
      <c r="AP435" s="7" t="str">
        <f t="shared" si="88"/>
        <v>Parkway Local SD (CASH) (Two year Audit)</v>
      </c>
      <c r="AQ435" s="7" t="str">
        <f>'Gen Fd BS'!A435</f>
        <v>Parkway Local SD (CASH) (Two year Audit)</v>
      </c>
      <c r="AR435" s="7" t="b">
        <f t="shared" si="89"/>
        <v>1</v>
      </c>
      <c r="AT435" s="7" t="str">
        <f t="shared" si="80"/>
        <v>Mercer</v>
      </c>
      <c r="AU435" s="7" t="b">
        <f>C435='Gen Fd BS'!C435</f>
        <v>1</v>
      </c>
    </row>
    <row r="436" spans="1:47">
      <c r="A436" s="12" t="s">
        <v>281</v>
      </c>
      <c r="B436" s="12"/>
      <c r="C436" s="12" t="s">
        <v>20</v>
      </c>
      <c r="D436" s="12"/>
      <c r="E436" s="12">
        <v>44636</v>
      </c>
      <c r="G436" s="7">
        <v>80977793</v>
      </c>
      <c r="I436" s="7">
        <v>0</v>
      </c>
      <c r="K436" s="7">
        <v>42689299</v>
      </c>
      <c r="M436" s="7">
        <v>30815</v>
      </c>
      <c r="O436" s="7">
        <f>2215412+344936+1075448</f>
        <v>3635796</v>
      </c>
      <c r="Q436" s="7">
        <v>1286326</v>
      </c>
      <c r="S436" s="7">
        <v>0</v>
      </c>
      <c r="U436" s="7">
        <v>20835</v>
      </c>
      <c r="W436" s="7">
        <v>1683637</v>
      </c>
      <c r="Y436" s="2">
        <f t="shared" si="81"/>
        <v>130324501</v>
      </c>
      <c r="AA436" s="7">
        <v>0</v>
      </c>
      <c r="AC436" s="7">
        <v>0</v>
      </c>
      <c r="AE436" s="7">
        <v>0</v>
      </c>
      <c r="AG436" s="7">
        <v>125898</v>
      </c>
      <c r="AI436" s="7">
        <v>0</v>
      </c>
      <c r="AK436" s="7">
        <f t="shared" si="100"/>
        <v>125898</v>
      </c>
      <c r="AM436" s="7">
        <f t="shared" si="99"/>
        <v>130450399</v>
      </c>
      <c r="AO436" s="7" t="s">
        <v>951</v>
      </c>
      <c r="AP436" s="7" t="str">
        <f t="shared" si="88"/>
        <v>Parma City SD</v>
      </c>
      <c r="AQ436" s="7" t="str">
        <f>'Gen Fd BS'!A436</f>
        <v>Parma City SD</v>
      </c>
      <c r="AR436" s="7" t="b">
        <f t="shared" si="89"/>
        <v>1</v>
      </c>
      <c r="AT436" s="7" t="str">
        <f t="shared" si="80"/>
        <v>Cuyahoga</v>
      </c>
      <c r="AU436" s="7" t="b">
        <f>C436='Gen Fd BS'!C436</f>
        <v>1</v>
      </c>
    </row>
    <row r="437" spans="1:47">
      <c r="A437" s="12" t="s">
        <v>357</v>
      </c>
      <c r="B437" s="12"/>
      <c r="C437" s="12" t="s">
        <v>34</v>
      </c>
      <c r="D437" s="12"/>
      <c r="E437" s="12">
        <v>47597</v>
      </c>
      <c r="G437" s="7">
        <v>2156117</v>
      </c>
      <c r="I437" s="7">
        <v>1735795</v>
      </c>
      <c r="K437" s="7">
        <v>5071236</v>
      </c>
      <c r="M437" s="7">
        <v>8991</v>
      </c>
      <c r="O437" s="7">
        <f>506008</f>
        <v>506008</v>
      </c>
      <c r="Q437" s="7">
        <v>53702</v>
      </c>
      <c r="S437" s="7">
        <v>0</v>
      </c>
      <c r="U437" s="7">
        <v>0</v>
      </c>
      <c r="W437" s="7">
        <v>28014</v>
      </c>
      <c r="Y437" s="2">
        <f t="shared" si="81"/>
        <v>9559863</v>
      </c>
      <c r="AA437" s="7">
        <v>0</v>
      </c>
      <c r="AC437" s="7">
        <v>0</v>
      </c>
      <c r="AE437" s="7">
        <v>0</v>
      </c>
      <c r="AG437" s="7">
        <v>269</v>
      </c>
      <c r="AI437" s="7">
        <v>0</v>
      </c>
      <c r="AK437" s="7">
        <f t="shared" si="100"/>
        <v>269</v>
      </c>
      <c r="AM437" s="7">
        <f t="shared" si="99"/>
        <v>9560132</v>
      </c>
      <c r="AO437" s="7" t="s">
        <v>957</v>
      </c>
      <c r="AP437" s="7" t="str">
        <f t="shared" si="88"/>
        <v>Patrick Henry Local SD</v>
      </c>
      <c r="AQ437" s="7" t="str">
        <f>'Gen Fd BS'!A437</f>
        <v>Patrick Henry Local SD</v>
      </c>
      <c r="AR437" s="7" t="b">
        <f t="shared" si="89"/>
        <v>1</v>
      </c>
      <c r="AT437" s="7" t="str">
        <f t="shared" si="80"/>
        <v>Henry</v>
      </c>
      <c r="AU437" s="7" t="b">
        <f>C437='Gen Fd BS'!C437</f>
        <v>1</v>
      </c>
    </row>
    <row r="438" spans="1:47" hidden="1">
      <c r="A438" s="12" t="s">
        <v>884</v>
      </c>
      <c r="B438" s="12"/>
      <c r="C438" s="12" t="s">
        <v>465</v>
      </c>
      <c r="D438" s="12"/>
      <c r="E438" s="12">
        <v>45575</v>
      </c>
      <c r="Y438" s="2">
        <f t="shared" si="81"/>
        <v>0</v>
      </c>
      <c r="AC438" s="7">
        <v>0</v>
      </c>
      <c r="AI438" s="7">
        <v>0</v>
      </c>
      <c r="AK438" s="7">
        <f t="shared" si="100"/>
        <v>0</v>
      </c>
      <c r="AM438" s="7">
        <f t="shared" si="99"/>
        <v>0</v>
      </c>
      <c r="AO438" s="7" t="s">
        <v>839</v>
      </c>
      <c r="AP438" s="7" t="str">
        <f t="shared" si="88"/>
        <v>Paulding Exempted Village SD (CASH)</v>
      </c>
      <c r="AQ438" s="7" t="str">
        <f>'Gen Fd BS'!A438</f>
        <v>Paulding Exempted Village SD (CASH)</v>
      </c>
      <c r="AR438" s="7" t="b">
        <f t="shared" si="89"/>
        <v>1</v>
      </c>
      <c r="AT438" s="7" t="str">
        <f t="shared" si="80"/>
        <v>Paulding</v>
      </c>
      <c r="AU438" s="7" t="b">
        <f>C438='Gen Fd BS'!C438</f>
        <v>1</v>
      </c>
    </row>
    <row r="439" spans="1:47">
      <c r="A439" s="12" t="s">
        <v>295</v>
      </c>
      <c r="B439" s="12"/>
      <c r="C439" s="12" t="s">
        <v>24</v>
      </c>
      <c r="D439" s="12"/>
      <c r="E439" s="12">
        <v>46813</v>
      </c>
      <c r="G439" s="7">
        <v>11694403</v>
      </c>
      <c r="I439" s="7">
        <v>0</v>
      </c>
      <c r="K439" s="7">
        <f>7698732+57727</f>
        <v>7756459</v>
      </c>
      <c r="M439" s="7">
        <v>13648</v>
      </c>
      <c r="O439" s="7">
        <f>2832756+39549+136365+10285+24700</f>
        <v>3043655</v>
      </c>
      <c r="Q439" s="7">
        <v>36252</v>
      </c>
      <c r="S439" s="7">
        <v>0</v>
      </c>
      <c r="U439" s="7">
        <v>117513</v>
      </c>
      <c r="W439" s="7">
        <v>71026</v>
      </c>
      <c r="Y439" s="2">
        <f t="shared" si="81"/>
        <v>22732956</v>
      </c>
      <c r="AA439" s="7">
        <v>0</v>
      </c>
      <c r="AC439" s="7">
        <v>0</v>
      </c>
      <c r="AE439" s="7">
        <v>263726</v>
      </c>
      <c r="AG439" s="7">
        <v>0</v>
      </c>
      <c r="AI439" s="7">
        <v>0</v>
      </c>
      <c r="AK439" s="7">
        <f t="shared" si="100"/>
        <v>263726</v>
      </c>
      <c r="AM439" s="7">
        <f t="shared" si="99"/>
        <v>22996682</v>
      </c>
      <c r="AP439" s="7" t="str">
        <f t="shared" si="88"/>
        <v>Perkins Local SD</v>
      </c>
      <c r="AQ439" s="7" t="str">
        <f>'Gen Fd BS'!A439</f>
        <v>Perkins Local SD</v>
      </c>
      <c r="AR439" s="7" t="b">
        <f t="shared" si="89"/>
        <v>1</v>
      </c>
      <c r="AT439" s="7" t="str">
        <f t="shared" si="80"/>
        <v>Erie</v>
      </c>
      <c r="AU439" s="7" t="b">
        <f>C439='Gen Fd BS'!C439</f>
        <v>1</v>
      </c>
    </row>
    <row r="440" spans="1:47" hidden="1">
      <c r="A440" s="12" t="s">
        <v>724</v>
      </c>
      <c r="B440" s="12"/>
      <c r="C440" s="12" t="s">
        <v>10</v>
      </c>
      <c r="D440" s="12"/>
      <c r="E440" s="12"/>
      <c r="Y440" s="2">
        <f t="shared" si="81"/>
        <v>0</v>
      </c>
      <c r="AC440" s="7">
        <v>0</v>
      </c>
      <c r="AI440" s="7">
        <v>0</v>
      </c>
      <c r="AM440" s="7">
        <f t="shared" si="99"/>
        <v>0</v>
      </c>
      <c r="AO440" s="7" t="s">
        <v>959</v>
      </c>
      <c r="AP440" s="7" t="str">
        <f t="shared" si="88"/>
        <v>Perry Local SD (CASH)</v>
      </c>
      <c r="AQ440" s="7" t="str">
        <f>'Gen Fd BS'!A440</f>
        <v>Perry Local SD (CASH)</v>
      </c>
      <c r="AR440" s="7" t="b">
        <f t="shared" si="89"/>
        <v>1</v>
      </c>
      <c r="AT440" s="7" t="str">
        <f t="shared" si="80"/>
        <v>Allen</v>
      </c>
      <c r="AU440" s="7" t="b">
        <f>C440='Gen Fd BS'!C440</f>
        <v>1</v>
      </c>
    </row>
    <row r="441" spans="1:47">
      <c r="A441" s="12" t="s">
        <v>203</v>
      </c>
      <c r="B441" s="12"/>
      <c r="C441" s="12" t="s">
        <v>41</v>
      </c>
      <c r="D441" s="12"/>
      <c r="E441" s="12">
        <v>47902</v>
      </c>
      <c r="G441" s="7">
        <v>13410657</v>
      </c>
      <c r="I441" s="7">
        <v>0</v>
      </c>
      <c r="K441" s="7">
        <v>12023236</v>
      </c>
      <c r="M441" s="7">
        <v>93978</v>
      </c>
      <c r="O441" s="7">
        <f>77661+18016+24552</f>
        <v>120229</v>
      </c>
      <c r="Q441" s="7">
        <v>21062</v>
      </c>
      <c r="S441" s="7">
        <v>0</v>
      </c>
      <c r="U441" s="7">
        <v>79463</v>
      </c>
      <c r="W441" s="7">
        <v>156620</v>
      </c>
      <c r="Y441" s="2">
        <f t="shared" si="81"/>
        <v>25905245</v>
      </c>
      <c r="AA441" s="7">
        <v>0</v>
      </c>
      <c r="AC441" s="7">
        <v>0</v>
      </c>
      <c r="AE441" s="7">
        <v>0</v>
      </c>
      <c r="AG441" s="7">
        <v>0</v>
      </c>
      <c r="AI441" s="7">
        <v>0</v>
      </c>
      <c r="AK441" s="7">
        <f t="shared" si="100"/>
        <v>0</v>
      </c>
      <c r="AM441" s="7">
        <f t="shared" si="99"/>
        <v>25905245</v>
      </c>
      <c r="AP441" s="7" t="str">
        <f t="shared" si="88"/>
        <v>Perry Local SD</v>
      </c>
      <c r="AQ441" s="7" t="str">
        <f>'Gen Fd BS'!A441</f>
        <v>Perry Local SD</v>
      </c>
      <c r="AR441" s="7" t="b">
        <f t="shared" si="89"/>
        <v>1</v>
      </c>
      <c r="AT441" s="7" t="str">
        <f t="shared" si="80"/>
        <v>Lake</v>
      </c>
      <c r="AU441" s="7" t="b">
        <f>C441='Gen Fd BS'!C441</f>
        <v>1</v>
      </c>
    </row>
    <row r="442" spans="1:47">
      <c r="A442" s="12" t="s">
        <v>203</v>
      </c>
      <c r="B442" s="12"/>
      <c r="C442" s="12" t="s">
        <v>62</v>
      </c>
      <c r="D442" s="12"/>
      <c r="E442" s="12">
        <v>49924</v>
      </c>
      <c r="G442" s="7">
        <v>19979141</v>
      </c>
      <c r="I442" s="7">
        <v>0</v>
      </c>
      <c r="K442" s="7">
        <v>19370848</v>
      </c>
      <c r="M442" s="7">
        <v>157706</v>
      </c>
      <c r="O442" s="7">
        <f>2008262+22036+9569</f>
        <v>2039867</v>
      </c>
      <c r="Q442" s="7">
        <v>242148</v>
      </c>
      <c r="S442" s="7">
        <v>0</v>
      </c>
      <c r="U442" s="7">
        <v>132869</v>
      </c>
      <c r="W442" s="7">
        <v>322876</v>
      </c>
      <c r="Y442" s="2">
        <f t="shared" si="81"/>
        <v>42245455</v>
      </c>
      <c r="AA442" s="7">
        <v>0</v>
      </c>
      <c r="AC442" s="7">
        <v>0</v>
      </c>
      <c r="AE442" s="7">
        <v>0</v>
      </c>
      <c r="AG442" s="7">
        <v>0</v>
      </c>
      <c r="AI442" s="7">
        <v>0</v>
      </c>
      <c r="AK442" s="7">
        <f t="shared" si="100"/>
        <v>0</v>
      </c>
      <c r="AM442" s="7">
        <f t="shared" si="99"/>
        <v>42245455</v>
      </c>
      <c r="AO442" s="7" t="s">
        <v>951</v>
      </c>
      <c r="AP442" s="7" t="str">
        <f t="shared" si="88"/>
        <v>Perry Local SD</v>
      </c>
      <c r="AQ442" s="7" t="str">
        <f>'Gen Fd BS'!A442</f>
        <v>Perry Local SD</v>
      </c>
      <c r="AR442" s="7" t="b">
        <f t="shared" si="89"/>
        <v>1</v>
      </c>
      <c r="AT442" s="7" t="str">
        <f t="shared" si="80"/>
        <v>Stark</v>
      </c>
      <c r="AU442" s="7" t="b">
        <f>C442='Gen Fd BS'!C442</f>
        <v>1</v>
      </c>
    </row>
    <row r="443" spans="1:47" ht="11.25" customHeight="1">
      <c r="A443" s="12" t="s">
        <v>885</v>
      </c>
      <c r="B443" s="12"/>
      <c r="C443" s="12" t="s">
        <v>72</v>
      </c>
      <c r="D443" s="12"/>
      <c r="E443" s="12">
        <v>45583</v>
      </c>
      <c r="G443" s="7">
        <v>24154607</v>
      </c>
      <c r="I443" s="7">
        <v>5065661</v>
      </c>
      <c r="K443" s="7">
        <v>12572077</v>
      </c>
      <c r="M443" s="7">
        <v>14706</v>
      </c>
      <c r="O443" s="7">
        <f>419149+203145</f>
        <v>622294</v>
      </c>
      <c r="Q443" s="7">
        <v>171003</v>
      </c>
      <c r="S443" s="7">
        <v>189607</v>
      </c>
      <c r="U443" s="7">
        <v>0</v>
      </c>
      <c r="W443" s="7">
        <v>224944</v>
      </c>
      <c r="Y443" s="2">
        <f t="shared" si="81"/>
        <v>43014899</v>
      </c>
      <c r="AA443" s="7">
        <v>0</v>
      </c>
      <c r="AC443" s="7">
        <v>0</v>
      </c>
      <c r="AE443" s="7">
        <v>0</v>
      </c>
      <c r="AG443" s="7">
        <v>0</v>
      </c>
      <c r="AI443" s="7">
        <v>0</v>
      </c>
      <c r="AK443" s="7">
        <f t="shared" si="100"/>
        <v>0</v>
      </c>
      <c r="AM443" s="7">
        <f t="shared" si="99"/>
        <v>43014899</v>
      </c>
      <c r="AP443" s="7" t="str">
        <f t="shared" si="88"/>
        <v>Perrysburg Exempted Village SD</v>
      </c>
      <c r="AQ443" s="7" t="str">
        <f>'Gen Fd BS'!A443</f>
        <v>Perrysburg Exempted Village SD</v>
      </c>
      <c r="AR443" s="7" t="b">
        <f t="shared" si="89"/>
        <v>1</v>
      </c>
      <c r="AT443" s="7" t="str">
        <f t="shared" si="80"/>
        <v>Wood</v>
      </c>
      <c r="AU443" s="7" t="b">
        <f>C443='Gen Fd BS'!C443</f>
        <v>1</v>
      </c>
    </row>
    <row r="444" spans="1:47" hidden="1">
      <c r="A444" s="12" t="s">
        <v>894</v>
      </c>
      <c r="B444" s="12"/>
      <c r="C444" s="12" t="s">
        <v>28</v>
      </c>
      <c r="D444" s="12"/>
      <c r="E444" s="12">
        <v>47076</v>
      </c>
      <c r="Y444" s="2">
        <f t="shared" si="81"/>
        <v>0</v>
      </c>
      <c r="AC444" s="7">
        <v>0</v>
      </c>
      <c r="AI444" s="7">
        <v>0</v>
      </c>
      <c r="AK444" s="7">
        <f t="shared" si="100"/>
        <v>0</v>
      </c>
      <c r="AM444" s="7">
        <f t="shared" si="99"/>
        <v>0</v>
      </c>
      <c r="AO444" s="7" t="s">
        <v>966</v>
      </c>
      <c r="AP444" s="7" t="str">
        <f t="shared" si="88"/>
        <v>Pettisville Local SD</v>
      </c>
      <c r="AQ444" s="7" t="str">
        <f>'Gen Fd BS'!A444</f>
        <v>Pettisville Local SD</v>
      </c>
      <c r="AR444" s="7" t="b">
        <f t="shared" si="89"/>
        <v>1</v>
      </c>
      <c r="AT444" s="7" t="str">
        <f t="shared" si="80"/>
        <v>Fulton</v>
      </c>
      <c r="AU444" s="7" t="b">
        <f>C444='Gen Fd BS'!C444</f>
        <v>1</v>
      </c>
    </row>
    <row r="445" spans="1:47">
      <c r="A445" s="12" t="s">
        <v>302</v>
      </c>
      <c r="B445" s="12"/>
      <c r="C445" s="12" t="s">
        <v>25</v>
      </c>
      <c r="D445" s="12"/>
      <c r="E445" s="12">
        <v>46896</v>
      </c>
      <c r="G445" s="7">
        <v>27810974</v>
      </c>
      <c r="I445" s="7">
        <v>13600552</v>
      </c>
      <c r="K445" s="7">
        <f>45363202+165160</f>
        <v>45528362</v>
      </c>
      <c r="M445" s="7">
        <v>170053</v>
      </c>
      <c r="O445" s="7">
        <f>393460+436836+7222</f>
        <v>837518</v>
      </c>
      <c r="Q445" s="7">
        <v>0</v>
      </c>
      <c r="S445" s="7">
        <v>80184</v>
      </c>
      <c r="U445" s="7">
        <v>0</v>
      </c>
      <c r="W445" s="7">
        <v>92450</v>
      </c>
      <c r="Y445" s="2">
        <f t="shared" si="81"/>
        <v>88120093</v>
      </c>
      <c r="AA445" s="7">
        <v>0</v>
      </c>
      <c r="AC445" s="7">
        <v>0</v>
      </c>
      <c r="AE445" s="7">
        <v>0</v>
      </c>
      <c r="AG445" s="7">
        <v>0</v>
      </c>
      <c r="AI445" s="7">
        <v>0</v>
      </c>
      <c r="AK445" s="7">
        <f t="shared" si="100"/>
        <v>0</v>
      </c>
      <c r="AM445" s="7">
        <f t="shared" si="99"/>
        <v>88120093</v>
      </c>
      <c r="AP445" s="7" t="str">
        <f t="shared" si="88"/>
        <v>Pickerington Local SD</v>
      </c>
      <c r="AQ445" s="7" t="str">
        <f>'Gen Fd BS'!A445</f>
        <v>Pickerington Local SD</v>
      </c>
      <c r="AR445" s="7" t="b">
        <f t="shared" si="89"/>
        <v>1</v>
      </c>
      <c r="AT445" s="7" t="str">
        <f t="shared" si="80"/>
        <v>Fairfield</v>
      </c>
      <c r="AU445" s="7" t="b">
        <f>C445='Gen Fd BS'!C445</f>
        <v>1</v>
      </c>
    </row>
    <row r="446" spans="1:47" hidden="1">
      <c r="A446" s="12" t="s">
        <v>961</v>
      </c>
      <c r="B446" s="12"/>
      <c r="C446" s="12" t="s">
        <v>28</v>
      </c>
      <c r="D446" s="12"/>
      <c r="E446" s="12">
        <v>47084</v>
      </c>
      <c r="Y446" s="2">
        <f t="shared" si="81"/>
        <v>0</v>
      </c>
      <c r="AC446" s="7">
        <v>0</v>
      </c>
      <c r="AI446" s="7">
        <v>0</v>
      </c>
      <c r="AK446" s="7">
        <f t="shared" si="100"/>
        <v>0</v>
      </c>
      <c r="AM446" s="7">
        <f t="shared" si="99"/>
        <v>0</v>
      </c>
      <c r="AO446" s="7" t="s">
        <v>960</v>
      </c>
      <c r="AP446" s="7" t="str">
        <f t="shared" si="88"/>
        <v>Pike-Delta-York Local SD (CASH)</v>
      </c>
      <c r="AQ446" s="7" t="str">
        <f>'Gen Fd BS'!A446</f>
        <v>Pike-Delta-York Local SD (CASH)</v>
      </c>
      <c r="AR446" s="7" t="b">
        <f t="shared" si="89"/>
        <v>1</v>
      </c>
      <c r="AT446" s="7" t="str">
        <f t="shared" si="80"/>
        <v>Fulton</v>
      </c>
      <c r="AU446" s="7" t="b">
        <f>C446='Gen Fd BS'!C446</f>
        <v>1</v>
      </c>
    </row>
    <row r="447" spans="1:47">
      <c r="A447" s="12" t="s">
        <v>438</v>
      </c>
      <c r="B447" s="12"/>
      <c r="C447" s="12" t="s">
        <v>48</v>
      </c>
      <c r="D447" s="12"/>
      <c r="E447" s="12">
        <v>44644</v>
      </c>
      <c r="G447" s="7">
        <v>14467918</v>
      </c>
      <c r="I447" s="7">
        <v>0</v>
      </c>
      <c r="K447" s="7">
        <f>13911090+136729</f>
        <v>14047819</v>
      </c>
      <c r="M447" s="7">
        <v>277652</v>
      </c>
      <c r="O447" s="7">
        <f>3980+49763+124656</f>
        <v>178399</v>
      </c>
      <c r="Q447" s="7">
        <v>163294</v>
      </c>
      <c r="S447" s="7">
        <v>0</v>
      </c>
      <c r="U447" s="7">
        <v>0</v>
      </c>
      <c r="W447" s="7">
        <v>153592</v>
      </c>
      <c r="Y447" s="2">
        <f t="shared" si="81"/>
        <v>29288674</v>
      </c>
      <c r="AA447" s="7">
        <v>0</v>
      </c>
      <c r="AC447" s="7">
        <v>0</v>
      </c>
      <c r="AE447" s="7">
        <v>0</v>
      </c>
      <c r="AG447" s="7">
        <v>2292</v>
      </c>
      <c r="AI447" s="7">
        <v>0</v>
      </c>
      <c r="AK447" s="7">
        <f t="shared" si="100"/>
        <v>2292</v>
      </c>
      <c r="AM447" s="7">
        <f t="shared" si="99"/>
        <v>29290966</v>
      </c>
      <c r="AP447" s="7" t="str">
        <f t="shared" si="88"/>
        <v>Piqua City SD</v>
      </c>
      <c r="AQ447" s="7" t="str">
        <f>'Gen Fd BS'!A447</f>
        <v>Piqua City SD</v>
      </c>
      <c r="AR447" s="7" t="b">
        <f t="shared" si="89"/>
        <v>1</v>
      </c>
      <c r="AT447" s="7" t="str">
        <f t="shared" si="80"/>
        <v>Miami</v>
      </c>
      <c r="AU447" s="7" t="b">
        <f>C447='Gen Fd BS'!C447</f>
        <v>1</v>
      </c>
    </row>
    <row r="448" spans="1:47">
      <c r="A448" s="12" t="s">
        <v>312</v>
      </c>
      <c r="B448" s="12"/>
      <c r="C448" s="12" t="s">
        <v>62</v>
      </c>
      <c r="D448" s="12"/>
      <c r="E448" s="12">
        <v>49932</v>
      </c>
      <c r="G448" s="7">
        <v>29855766</v>
      </c>
      <c r="I448" s="7">
        <v>0</v>
      </c>
      <c r="K448" s="7">
        <f>20661796+84817</f>
        <v>20746613</v>
      </c>
      <c r="M448" s="7">
        <v>55388</v>
      </c>
      <c r="O448" s="7">
        <f>907835+126017+194119</f>
        <v>1227971</v>
      </c>
      <c r="Q448" s="7">
        <v>370621</v>
      </c>
      <c r="S448" s="7">
        <v>0</v>
      </c>
      <c r="U448" s="7">
        <v>0</v>
      </c>
      <c r="W448" s="7">
        <v>194036</v>
      </c>
      <c r="Y448" s="2">
        <f t="shared" si="81"/>
        <v>52450395</v>
      </c>
      <c r="AA448" s="7">
        <v>0</v>
      </c>
      <c r="AC448" s="7">
        <v>0</v>
      </c>
      <c r="AE448" s="7">
        <v>0</v>
      </c>
      <c r="AG448" s="7">
        <v>7998</v>
      </c>
      <c r="AI448" s="7">
        <v>0</v>
      </c>
      <c r="AK448" s="7">
        <f t="shared" si="100"/>
        <v>7998</v>
      </c>
      <c r="AM448" s="7">
        <f t="shared" ref="AM448:AM479" si="101">+AK448+Y448</f>
        <v>52458393</v>
      </c>
      <c r="AP448" s="7" t="str">
        <f t="shared" si="88"/>
        <v>Plain Local SD</v>
      </c>
      <c r="AQ448" s="7" t="str">
        <f>'Gen Fd BS'!A448</f>
        <v>Plain Local SD</v>
      </c>
      <c r="AR448" s="7" t="b">
        <f t="shared" si="89"/>
        <v>1</v>
      </c>
      <c r="AT448" s="7" t="str">
        <f t="shared" si="80"/>
        <v>Stark</v>
      </c>
      <c r="AU448" s="7" t="b">
        <f>C448='Gen Fd BS'!C448</f>
        <v>1</v>
      </c>
    </row>
    <row r="449" spans="1:47">
      <c r="A449" s="12" t="s">
        <v>424</v>
      </c>
      <c r="B449" s="12"/>
      <c r="C449" s="12" t="s">
        <v>46</v>
      </c>
      <c r="D449" s="12"/>
      <c r="E449" s="12">
        <v>48421</v>
      </c>
      <c r="G449" s="7">
        <v>4189593</v>
      </c>
      <c r="I449" s="7">
        <v>0</v>
      </c>
      <c r="K449" s="7">
        <v>4623591</v>
      </c>
      <c r="M449" s="7">
        <v>46432</v>
      </c>
      <c r="O449" s="7">
        <f>1885788+46213</f>
        <v>1932001</v>
      </c>
      <c r="Q449" s="7">
        <v>116824</v>
      </c>
      <c r="S449" s="7">
        <v>0</v>
      </c>
      <c r="U449" s="7">
        <v>16401</v>
      </c>
      <c r="W449" s="7">
        <v>86862</v>
      </c>
      <c r="Y449" s="2">
        <f t="shared" ref="Y449:Y477" si="102">SUM(G449:X449)</f>
        <v>11011704</v>
      </c>
      <c r="AA449" s="7">
        <v>0</v>
      </c>
      <c r="AC449" s="7">
        <v>0</v>
      </c>
      <c r="AE449" s="7">
        <v>87926</v>
      </c>
      <c r="AG449" s="7">
        <v>0</v>
      </c>
      <c r="AI449" s="7">
        <v>0</v>
      </c>
      <c r="AK449" s="7">
        <f t="shared" si="100"/>
        <v>87926</v>
      </c>
      <c r="AM449" s="7">
        <f t="shared" si="101"/>
        <v>11099630</v>
      </c>
      <c r="AP449" s="7" t="str">
        <f t="shared" si="88"/>
        <v>Pleasant Local SD</v>
      </c>
      <c r="AQ449" s="7" t="str">
        <f>'Gen Fd BS'!A449</f>
        <v>Pleasant Local SD</v>
      </c>
      <c r="AR449" s="7" t="b">
        <f t="shared" si="89"/>
        <v>1</v>
      </c>
      <c r="AT449" s="7" t="str">
        <f t="shared" si="80"/>
        <v>Marion</v>
      </c>
      <c r="AU449" s="7" t="b">
        <f>C449='Gen Fd BS'!C449</f>
        <v>1</v>
      </c>
    </row>
    <row r="450" spans="1:47">
      <c r="A450" s="12" t="s">
        <v>486</v>
      </c>
      <c r="B450" s="12"/>
      <c r="C450" s="12" t="s">
        <v>110</v>
      </c>
      <c r="D450" s="12"/>
      <c r="E450" s="12">
        <v>49460</v>
      </c>
      <c r="G450" s="7">
        <v>1530172</v>
      </c>
      <c r="I450" s="7">
        <v>742204</v>
      </c>
      <c r="K450" s="7">
        <v>5082400</v>
      </c>
      <c r="M450" s="7">
        <v>4974</v>
      </c>
      <c r="O450" s="7">
        <f>358915+21549+519</f>
        <v>380983</v>
      </c>
      <c r="Q450" s="7">
        <v>0</v>
      </c>
      <c r="S450" s="7">
        <v>0</v>
      </c>
      <c r="U450" s="7">
        <v>1810</v>
      </c>
      <c r="W450" s="7">
        <v>44088</v>
      </c>
      <c r="Y450" s="2">
        <f t="shared" si="102"/>
        <v>7786631</v>
      </c>
      <c r="AA450" s="7">
        <v>0</v>
      </c>
      <c r="AC450" s="7">
        <v>0</v>
      </c>
      <c r="AE450" s="7">
        <v>0</v>
      </c>
      <c r="AG450" s="7">
        <v>0</v>
      </c>
      <c r="AI450" s="7">
        <v>0</v>
      </c>
      <c r="AK450" s="7">
        <f t="shared" si="100"/>
        <v>0</v>
      </c>
      <c r="AM450" s="7">
        <f t="shared" si="101"/>
        <v>7786631</v>
      </c>
      <c r="AP450" s="7" t="str">
        <f t="shared" si="88"/>
        <v>Plymouth-Shiloh Local SD</v>
      </c>
      <c r="AQ450" s="7" t="str">
        <f>'Gen Fd BS'!A450</f>
        <v>Plymouth-Shiloh Local SD</v>
      </c>
      <c r="AR450" s="7" t="b">
        <f t="shared" si="89"/>
        <v>1</v>
      </c>
      <c r="AT450" s="7" t="str">
        <f t="shared" si="80"/>
        <v>Richland</v>
      </c>
      <c r="AU450" s="7" t="b">
        <f>C450='Gen Fd BS'!C450</f>
        <v>1</v>
      </c>
    </row>
    <row r="451" spans="1:47">
      <c r="A451" s="12" t="s">
        <v>764</v>
      </c>
      <c r="B451" s="12"/>
      <c r="C451" s="12" t="s">
        <v>45</v>
      </c>
      <c r="D451" s="12"/>
      <c r="E451" s="12">
        <v>48348</v>
      </c>
      <c r="G451" s="7">
        <v>10390013</v>
      </c>
      <c r="I451" s="7">
        <v>0</v>
      </c>
      <c r="K451" s="7">
        <v>7475636</v>
      </c>
      <c r="M451" s="7">
        <v>15876</v>
      </c>
      <c r="O451" s="7">
        <f>203437+15127</f>
        <v>218564</v>
      </c>
      <c r="Q451" s="7">
        <v>126783</v>
      </c>
      <c r="S451" s="7">
        <v>0</v>
      </c>
      <c r="U451" s="7">
        <v>12204</v>
      </c>
      <c r="W451" s="7">
        <v>33922</v>
      </c>
      <c r="Y451" s="2">
        <f t="shared" si="102"/>
        <v>18272998</v>
      </c>
      <c r="AA451" s="7">
        <v>0</v>
      </c>
      <c r="AC451" s="7">
        <v>0</v>
      </c>
      <c r="AE451" s="7">
        <v>0</v>
      </c>
      <c r="AG451" s="7">
        <v>0</v>
      </c>
      <c r="AI451" s="7">
        <v>0</v>
      </c>
      <c r="AK451" s="7">
        <f t="shared" si="100"/>
        <v>0</v>
      </c>
      <c r="AM451" s="7">
        <f t="shared" si="101"/>
        <v>18272998</v>
      </c>
      <c r="AP451" s="7" t="str">
        <f t="shared" si="88"/>
        <v xml:space="preserve">Poland Local SD </v>
      </c>
      <c r="AQ451" s="7" t="str">
        <f>'Gen Fd BS'!A451</f>
        <v xml:space="preserve">Poland Local SD </v>
      </c>
      <c r="AR451" s="7" t="b">
        <f t="shared" si="89"/>
        <v>1</v>
      </c>
      <c r="AT451" s="7" t="str">
        <f t="shared" si="80"/>
        <v>Mahoning</v>
      </c>
      <c r="AU451" s="7" t="b">
        <f>C451='Gen Fd BS'!C451</f>
        <v>1</v>
      </c>
    </row>
    <row r="452" spans="1:47" hidden="1">
      <c r="A452" s="12" t="s">
        <v>962</v>
      </c>
      <c r="B452" s="12"/>
      <c r="C452" s="12" t="s">
        <v>53</v>
      </c>
      <c r="D452" s="12"/>
      <c r="E452" s="12">
        <v>44651</v>
      </c>
      <c r="Y452" s="2">
        <f t="shared" si="102"/>
        <v>0</v>
      </c>
      <c r="AC452" s="7">
        <v>0</v>
      </c>
      <c r="AI452" s="7">
        <v>0</v>
      </c>
      <c r="AK452" s="7">
        <f t="shared" si="100"/>
        <v>0</v>
      </c>
      <c r="AM452" s="7">
        <f t="shared" si="101"/>
        <v>0</v>
      </c>
      <c r="AO452" s="7" t="s">
        <v>903</v>
      </c>
      <c r="AP452" s="7" t="str">
        <f t="shared" si="88"/>
        <v>Port Clinton City SD (CASH)</v>
      </c>
      <c r="AQ452" s="7" t="str">
        <f>'Gen Fd BS'!A452</f>
        <v>Port Clinton City SD (CASH)</v>
      </c>
      <c r="AR452" s="7" t="b">
        <f t="shared" si="89"/>
        <v>1</v>
      </c>
      <c r="AT452" s="7" t="str">
        <f t="shared" si="80"/>
        <v>Ottawa</v>
      </c>
      <c r="AU452" s="7" t="b">
        <f>C452='Gen Fd BS'!C452</f>
        <v>1</v>
      </c>
    </row>
    <row r="453" spans="1:47">
      <c r="A453" s="12" t="s">
        <v>499</v>
      </c>
      <c r="B453" s="12"/>
      <c r="C453" s="12" t="s">
        <v>59</v>
      </c>
      <c r="D453" s="12"/>
      <c r="E453" s="12">
        <v>44669</v>
      </c>
      <c r="G453" s="7">
        <v>4130770</v>
      </c>
      <c r="I453" s="7">
        <v>0</v>
      </c>
      <c r="K453" s="7">
        <v>18450147</v>
      </c>
      <c r="M453" s="7">
        <v>18056</v>
      </c>
      <c r="O453" s="7">
        <f>840405+42241+31251</f>
        <v>913897</v>
      </c>
      <c r="Q453" s="7">
        <v>27256</v>
      </c>
      <c r="S453" s="7">
        <v>0</v>
      </c>
      <c r="U453" s="7">
        <v>19178</v>
      </c>
      <c r="W453" s="7">
        <v>42862</v>
      </c>
      <c r="Y453" s="2">
        <f t="shared" si="102"/>
        <v>23602166</v>
      </c>
      <c r="AA453" s="7">
        <v>0</v>
      </c>
      <c r="AC453" s="7">
        <v>0</v>
      </c>
      <c r="AE453" s="7">
        <v>0</v>
      </c>
      <c r="AG453" s="7">
        <v>0</v>
      </c>
      <c r="AI453" s="7">
        <v>0</v>
      </c>
      <c r="AK453" s="7">
        <f t="shared" si="100"/>
        <v>0</v>
      </c>
      <c r="AM453" s="7">
        <f t="shared" si="101"/>
        <v>23602166</v>
      </c>
      <c r="AP453" s="7" t="str">
        <f t="shared" si="88"/>
        <v>Portsmouth City SD</v>
      </c>
      <c r="AQ453" s="7" t="str">
        <f>'Gen Fd BS'!A453</f>
        <v>Portsmouth City SD</v>
      </c>
      <c r="AR453" s="7" t="b">
        <f t="shared" si="89"/>
        <v>1</v>
      </c>
      <c r="AT453" s="7" t="str">
        <f t="shared" si="80"/>
        <v>Scioto</v>
      </c>
      <c r="AU453" s="7" t="b">
        <f>C453='Gen Fd BS'!C453</f>
        <v>1</v>
      </c>
    </row>
    <row r="454" spans="1:47" hidden="1">
      <c r="A454" s="12" t="s">
        <v>725</v>
      </c>
      <c r="B454" s="12"/>
      <c r="C454" s="12" t="s">
        <v>57</v>
      </c>
      <c r="D454" s="12"/>
      <c r="E454" s="12">
        <v>49288</v>
      </c>
      <c r="Y454" s="2">
        <f t="shared" si="102"/>
        <v>0</v>
      </c>
      <c r="AC454" s="7">
        <v>0</v>
      </c>
      <c r="AI454" s="7">
        <v>0</v>
      </c>
      <c r="AK454" s="7">
        <f t="shared" si="100"/>
        <v>0</v>
      </c>
      <c r="AM454" s="7">
        <f t="shared" si="101"/>
        <v>0</v>
      </c>
      <c r="AO454" s="7" t="s">
        <v>959</v>
      </c>
      <c r="AP454" s="7" t="str">
        <f t="shared" si="88"/>
        <v>Preble Shawnee Local SD (CASH)</v>
      </c>
      <c r="AQ454" s="7" t="str">
        <f>'Gen Fd BS'!A454</f>
        <v>Preble Shawnee Local SD (CASH)</v>
      </c>
      <c r="AR454" s="7" t="b">
        <f t="shared" si="89"/>
        <v>1</v>
      </c>
      <c r="AT454" s="7" t="str">
        <f t="shared" si="80"/>
        <v>Preble</v>
      </c>
      <c r="AU454" s="7" t="b">
        <f>C454='Gen Fd BS'!C454</f>
        <v>1</v>
      </c>
    </row>
    <row r="455" spans="1:47">
      <c r="A455" s="12" t="s">
        <v>337</v>
      </c>
      <c r="B455" s="12"/>
      <c r="C455" s="12" t="s">
        <v>32</v>
      </c>
      <c r="D455" s="12"/>
      <c r="E455" s="12">
        <v>44677</v>
      </c>
      <c r="G455" s="7">
        <v>39112460</v>
      </c>
      <c r="I455" s="7">
        <v>0</v>
      </c>
      <c r="K455" s="7">
        <v>26808520</v>
      </c>
      <c r="M455" s="7">
        <v>91948</v>
      </c>
      <c r="O455" s="7">
        <f>1570137+569171</f>
        <v>2139308</v>
      </c>
      <c r="Q455" s="7">
        <v>0</v>
      </c>
      <c r="S455" s="7">
        <v>0</v>
      </c>
      <c r="U455" s="7">
        <v>0</v>
      </c>
      <c r="W455" s="7">
        <v>382797</v>
      </c>
      <c r="Y455" s="2">
        <f t="shared" si="102"/>
        <v>68535033</v>
      </c>
      <c r="AA455" s="7">
        <v>1268698</v>
      </c>
      <c r="AC455" s="7">
        <v>0</v>
      </c>
      <c r="AE455" s="7">
        <v>0</v>
      </c>
      <c r="AG455" s="7">
        <v>0</v>
      </c>
      <c r="AI455" s="7">
        <v>0</v>
      </c>
      <c r="AK455" s="7">
        <f t="shared" si="100"/>
        <v>1268698</v>
      </c>
      <c r="AM455" s="7">
        <f t="shared" si="101"/>
        <v>69803731</v>
      </c>
      <c r="AP455" s="7" t="str">
        <f t="shared" si="88"/>
        <v>Princeton City SD</v>
      </c>
      <c r="AQ455" s="7" t="str">
        <f>'Gen Fd BS'!A455</f>
        <v>Princeton City SD</v>
      </c>
      <c r="AR455" s="7" t="b">
        <f t="shared" si="89"/>
        <v>1</v>
      </c>
      <c r="AT455" s="7" t="str">
        <f t="shared" si="80"/>
        <v>Hamilton</v>
      </c>
      <c r="AU455" s="7" t="b">
        <f>C455='Gen Fd BS'!C455</f>
        <v>1</v>
      </c>
    </row>
    <row r="456" spans="1:47" hidden="1">
      <c r="A456" s="12" t="s">
        <v>963</v>
      </c>
      <c r="B456" s="12"/>
      <c r="C456" s="12" t="s">
        <v>53</v>
      </c>
      <c r="D456" s="12"/>
      <c r="E456" s="12"/>
      <c r="F456" s="10"/>
      <c r="Y456" s="2">
        <f t="shared" ref="Y456" si="103">SUM(G456:X456)</f>
        <v>0</v>
      </c>
      <c r="AC456" s="7">
        <v>0</v>
      </c>
      <c r="AI456" s="7">
        <v>0</v>
      </c>
      <c r="AK456" s="7">
        <f t="shared" ref="AK456" si="104">SUM(AA456:AJ456)</f>
        <v>0</v>
      </c>
      <c r="AM456" s="7">
        <f t="shared" ref="AM456" si="105">+AK456+Y456</f>
        <v>0</v>
      </c>
      <c r="AO456" s="7" t="s">
        <v>964</v>
      </c>
      <c r="AP456" s="7" t="str">
        <f t="shared" ref="AP456" si="106">A456</f>
        <v>Put-in-Bay Local SD (CASH) (Two year Audit)</v>
      </c>
      <c r="AQ456" s="7" t="str">
        <f>'Gen Fd BS'!A456</f>
        <v>Put-in-Bay Local SD (CASH) (Two year Audit)</v>
      </c>
      <c r="AR456" s="7" t="b">
        <f t="shared" ref="AR456" si="107">AP456=AQ456</f>
        <v>1</v>
      </c>
      <c r="AT456" s="7" t="str">
        <f t="shared" ref="AT456" si="108">C456</f>
        <v>Ottawa</v>
      </c>
      <c r="AU456" s="7" t="b">
        <f>C456='Gen Fd BS'!C456</f>
        <v>1</v>
      </c>
    </row>
    <row r="457" spans="1:47" hidden="1">
      <c r="A457" s="12" t="s">
        <v>965</v>
      </c>
      <c r="B457" s="12"/>
      <c r="C457" s="12" t="s">
        <v>12</v>
      </c>
      <c r="D457" s="12"/>
      <c r="E457" s="12">
        <v>45880</v>
      </c>
      <c r="F457" s="10"/>
      <c r="Y457" s="2">
        <f t="shared" si="102"/>
        <v>0</v>
      </c>
      <c r="AC457" s="7">
        <v>0</v>
      </c>
      <c r="AI457" s="7">
        <v>0</v>
      </c>
      <c r="AK457" s="7">
        <f t="shared" si="100"/>
        <v>0</v>
      </c>
      <c r="AM457" s="7">
        <f t="shared" si="101"/>
        <v>0</v>
      </c>
      <c r="AO457" s="7" t="s">
        <v>903</v>
      </c>
      <c r="AP457" s="7" t="str">
        <f t="shared" si="88"/>
        <v>Pymatuning Valley Local SD (CASH)</v>
      </c>
      <c r="AQ457" s="7" t="str">
        <f>'Gen Fd BS'!A457</f>
        <v>Pymatuning Valley Local SD (CASH)</v>
      </c>
      <c r="AR457" s="7" t="b">
        <f t="shared" si="89"/>
        <v>1</v>
      </c>
      <c r="AT457" s="7" t="str">
        <f t="shared" si="80"/>
        <v>Ashtabula</v>
      </c>
      <c r="AU457" s="7" t="b">
        <f>C457='Gen Fd BS'!C457</f>
        <v>1</v>
      </c>
    </row>
    <row r="458" spans="1:47" s="32" customFormat="1">
      <c r="A458" s="31" t="s">
        <v>659</v>
      </c>
      <c r="B458" s="31"/>
      <c r="C458" s="31" t="s">
        <v>56</v>
      </c>
      <c r="D458" s="31"/>
      <c r="E458" s="31"/>
      <c r="G458" s="32">
        <v>8711440</v>
      </c>
      <c r="I458" s="32">
        <v>0</v>
      </c>
      <c r="K458" s="32">
        <v>16036044</v>
      </c>
      <c r="M458" s="32">
        <v>34560</v>
      </c>
      <c r="O458" s="32">
        <f>792066+32107+12686</f>
        <v>836859</v>
      </c>
      <c r="Q458" s="32">
        <v>108873</v>
      </c>
      <c r="S458" s="32">
        <v>0</v>
      </c>
      <c r="U458" s="32">
        <v>9450</v>
      </c>
      <c r="W458" s="32">
        <v>119743</v>
      </c>
      <c r="Y458" s="34">
        <f t="shared" si="102"/>
        <v>25856969</v>
      </c>
      <c r="AA458" s="32">
        <v>0</v>
      </c>
      <c r="AC458" s="32">
        <v>0</v>
      </c>
      <c r="AE458" s="32">
        <v>0</v>
      </c>
      <c r="AG458" s="32">
        <v>0</v>
      </c>
      <c r="AI458" s="32">
        <v>0</v>
      </c>
      <c r="AK458" s="32">
        <f t="shared" si="100"/>
        <v>0</v>
      </c>
      <c r="AM458" s="32">
        <f t="shared" si="101"/>
        <v>25856969</v>
      </c>
      <c r="AP458" s="32" t="str">
        <f t="shared" si="88"/>
        <v>Ravenna City SD</v>
      </c>
      <c r="AQ458" s="32" t="str">
        <f>'Gen Fd BS'!A458</f>
        <v>Ravenna City SD</v>
      </c>
      <c r="AR458" s="32" t="b">
        <f t="shared" si="89"/>
        <v>1</v>
      </c>
      <c r="AT458" s="32" t="str">
        <f t="shared" si="80"/>
        <v>Portage</v>
      </c>
      <c r="AU458" s="32" t="b">
        <f>C458='Gen Fd BS'!C458</f>
        <v>1</v>
      </c>
    </row>
    <row r="459" spans="1:47">
      <c r="A459" s="12" t="s">
        <v>338</v>
      </c>
      <c r="B459" s="12"/>
      <c r="C459" s="12" t="s">
        <v>32</v>
      </c>
      <c r="D459" s="12"/>
      <c r="E459" s="12">
        <v>44693</v>
      </c>
      <c r="G459" s="7">
        <v>7856235</v>
      </c>
      <c r="I459" s="7">
        <v>0</v>
      </c>
      <c r="K459" s="7">
        <v>5806738</v>
      </c>
      <c r="M459" s="7">
        <v>20374</v>
      </c>
      <c r="O459" s="7">
        <f>1439187+950+22433</f>
        <v>1462570</v>
      </c>
      <c r="Q459" s="7">
        <v>21278</v>
      </c>
      <c r="S459" s="7">
        <v>0</v>
      </c>
      <c r="U459" s="7">
        <v>31163</v>
      </c>
      <c r="W459" s="7">
        <v>28027</v>
      </c>
      <c r="Y459" s="2">
        <f t="shared" si="102"/>
        <v>15226385</v>
      </c>
      <c r="AA459" s="7">
        <v>0</v>
      </c>
      <c r="AC459" s="7">
        <v>0</v>
      </c>
      <c r="AE459" s="7">
        <v>0</v>
      </c>
      <c r="AG459" s="7">
        <v>0</v>
      </c>
      <c r="AI459" s="7">
        <v>0</v>
      </c>
      <c r="AK459" s="7">
        <f t="shared" si="100"/>
        <v>0</v>
      </c>
      <c r="AM459" s="7">
        <f t="shared" si="101"/>
        <v>15226385</v>
      </c>
      <c r="AO459" s="7" t="s">
        <v>967</v>
      </c>
      <c r="AP459" s="7" t="str">
        <f t="shared" si="88"/>
        <v>Reading Community City SD</v>
      </c>
      <c r="AQ459" s="7" t="str">
        <f>'Gen Fd BS'!A459</f>
        <v>Reading Community City SD</v>
      </c>
      <c r="AR459" s="7" t="b">
        <f t="shared" si="89"/>
        <v>1</v>
      </c>
      <c r="AT459" s="7" t="str">
        <f t="shared" si="80"/>
        <v>Hamilton</v>
      </c>
      <c r="AU459" s="7" t="b">
        <f>C459='Gen Fd BS'!C459</f>
        <v>1</v>
      </c>
    </row>
    <row r="460" spans="1:47">
      <c r="A460" s="12" t="s">
        <v>529</v>
      </c>
      <c r="B460" s="12"/>
      <c r="C460" s="12" t="s">
        <v>63</v>
      </c>
      <c r="D460" s="12"/>
      <c r="E460" s="12">
        <v>50054</v>
      </c>
      <c r="G460" s="7">
        <v>23136334</v>
      </c>
      <c r="I460" s="7">
        <v>0</v>
      </c>
      <c r="K460" s="7">
        <v>6965179</v>
      </c>
      <c r="M460" s="7">
        <v>83382</v>
      </c>
      <c r="O460" s="7">
        <f>385730+87306</f>
        <v>473036</v>
      </c>
      <c r="Q460" s="7">
        <v>77813</v>
      </c>
      <c r="S460" s="7">
        <v>0</v>
      </c>
      <c r="U460" s="7">
        <v>0</v>
      </c>
      <c r="W460" s="7">
        <v>76556</v>
      </c>
      <c r="Y460" s="2">
        <f t="shared" si="102"/>
        <v>30812300</v>
      </c>
      <c r="AA460" s="7">
        <v>0</v>
      </c>
      <c r="AC460" s="7">
        <v>0</v>
      </c>
      <c r="AE460" s="7">
        <v>0</v>
      </c>
      <c r="AG460" s="7">
        <v>0</v>
      </c>
      <c r="AI460" s="7">
        <v>25875</v>
      </c>
      <c r="AK460" s="7">
        <f t="shared" si="100"/>
        <v>25875</v>
      </c>
      <c r="AM460" s="7">
        <f t="shared" si="101"/>
        <v>30838175</v>
      </c>
      <c r="AP460" s="7" t="str">
        <f t="shared" si="88"/>
        <v>Revere Local SD</v>
      </c>
      <c r="AQ460" s="7" t="str">
        <f>'Gen Fd BS'!A460</f>
        <v>Revere Local SD</v>
      </c>
      <c r="AR460" s="7" t="b">
        <f t="shared" si="89"/>
        <v>1</v>
      </c>
      <c r="AT460" s="7" t="str">
        <f t="shared" si="80"/>
        <v>Summit</v>
      </c>
      <c r="AU460" s="7" t="b">
        <f>C460='Gen Fd BS'!C460</f>
        <v>1</v>
      </c>
    </row>
    <row r="461" spans="1:47" hidden="1">
      <c r="A461" s="12" t="s">
        <v>968</v>
      </c>
      <c r="B461" s="12"/>
      <c r="C461" s="12" t="s">
        <v>27</v>
      </c>
      <c r="D461" s="12"/>
      <c r="E461" s="12">
        <v>47001</v>
      </c>
      <c r="Y461" s="2">
        <f t="shared" si="102"/>
        <v>0</v>
      </c>
      <c r="AC461" s="7">
        <v>0</v>
      </c>
      <c r="AK461" s="7">
        <f t="shared" si="100"/>
        <v>0</v>
      </c>
      <c r="AM461" s="7">
        <f t="shared" si="101"/>
        <v>0</v>
      </c>
      <c r="AO461" s="7" t="s">
        <v>903</v>
      </c>
      <c r="AP461" s="7" t="str">
        <f t="shared" si="88"/>
        <v>Reynoldsburg City SD (CASH)</v>
      </c>
      <c r="AQ461" s="7" t="str">
        <f>'Gen Fd BS'!A461</f>
        <v>Reynoldsburg City SD (CASH)</v>
      </c>
      <c r="AR461" s="7" t="b">
        <f t="shared" si="89"/>
        <v>1</v>
      </c>
      <c r="AT461" s="7" t="str">
        <f t="shared" si="80"/>
        <v>Franklin</v>
      </c>
      <c r="AU461" s="7" t="b">
        <f>C461='Gen Fd BS'!C461</f>
        <v>1</v>
      </c>
    </row>
    <row r="462" spans="1:47">
      <c r="A462" s="12" t="s">
        <v>282</v>
      </c>
      <c r="B462" s="12"/>
      <c r="C462" s="12" t="s">
        <v>20</v>
      </c>
      <c r="D462" s="12"/>
      <c r="E462" s="12">
        <v>46599</v>
      </c>
      <c r="G462" s="7">
        <v>10185851</v>
      </c>
      <c r="I462" s="7">
        <v>0</v>
      </c>
      <c r="K462" s="7">
        <v>3597032</v>
      </c>
      <c r="M462" s="7">
        <v>3180</v>
      </c>
      <c r="O462" s="7">
        <f>161520+321</f>
        <v>161841</v>
      </c>
      <c r="Q462" s="7">
        <v>24690</v>
      </c>
      <c r="S462" s="7">
        <v>0</v>
      </c>
      <c r="U462" s="7">
        <v>833</v>
      </c>
      <c r="W462" s="7">
        <v>8026</v>
      </c>
      <c r="Y462" s="2">
        <f t="shared" si="102"/>
        <v>13981453</v>
      </c>
      <c r="AA462" s="7">
        <v>0</v>
      </c>
      <c r="AC462" s="7">
        <v>0</v>
      </c>
      <c r="AE462" s="7">
        <v>0</v>
      </c>
      <c r="AG462" s="7">
        <v>0</v>
      </c>
      <c r="AI462" s="7">
        <v>0</v>
      </c>
      <c r="AK462" s="7">
        <f t="shared" si="100"/>
        <v>0</v>
      </c>
      <c r="AM462" s="7">
        <f t="shared" si="101"/>
        <v>13981453</v>
      </c>
      <c r="AP462" s="7" t="str">
        <f t="shared" si="88"/>
        <v>Richmond Heights Local SD</v>
      </c>
      <c r="AQ462" s="7" t="str">
        <f>'Gen Fd BS'!A462</f>
        <v>Richmond Heights Local SD</v>
      </c>
      <c r="AR462" s="7" t="b">
        <f t="shared" si="89"/>
        <v>1</v>
      </c>
      <c r="AT462" s="7" t="str">
        <f t="shared" si="80"/>
        <v>Cuyahoga</v>
      </c>
      <c r="AU462" s="7" t="b">
        <f>C462='Gen Fd BS'!C462</f>
        <v>1</v>
      </c>
    </row>
    <row r="463" spans="1:47">
      <c r="A463" s="12" t="s">
        <v>425</v>
      </c>
      <c r="B463" s="12"/>
      <c r="C463" s="12" t="s">
        <v>46</v>
      </c>
      <c r="D463" s="12"/>
      <c r="E463" s="12">
        <v>48439</v>
      </c>
      <c r="G463" s="7">
        <v>2804741</v>
      </c>
      <c r="I463" s="7">
        <v>0</v>
      </c>
      <c r="K463" s="7">
        <v>3637253</v>
      </c>
      <c r="M463" s="7">
        <v>9248</v>
      </c>
      <c r="O463" s="7">
        <f>1185926+2425+47080</f>
        <v>1235431</v>
      </c>
      <c r="Q463" s="7">
        <v>40177</v>
      </c>
      <c r="S463" s="7">
        <v>95181</v>
      </c>
      <c r="U463" s="7">
        <v>3500</v>
      </c>
      <c r="W463" s="7">
        <v>18685</v>
      </c>
      <c r="Y463" s="2">
        <f t="shared" si="102"/>
        <v>7844216</v>
      </c>
      <c r="AA463" s="7">
        <v>0</v>
      </c>
      <c r="AC463" s="7">
        <v>0</v>
      </c>
      <c r="AE463" s="7">
        <v>0</v>
      </c>
      <c r="AG463" s="7">
        <v>0</v>
      </c>
      <c r="AI463" s="7">
        <v>0</v>
      </c>
      <c r="AK463" s="7">
        <f t="shared" si="100"/>
        <v>0</v>
      </c>
      <c r="AM463" s="7">
        <f t="shared" si="101"/>
        <v>7844216</v>
      </c>
      <c r="AP463" s="7" t="str">
        <f t="shared" si="88"/>
        <v>Ridgedale Local SD</v>
      </c>
      <c r="AQ463" s="7" t="str">
        <f>'Gen Fd BS'!A463</f>
        <v>Ridgedale Local SD</v>
      </c>
      <c r="AR463" s="7" t="b">
        <f t="shared" si="89"/>
        <v>1</v>
      </c>
      <c r="AT463" s="7" t="str">
        <f t="shared" si="80"/>
        <v>Marion</v>
      </c>
      <c r="AU463" s="7" t="b">
        <f>C463='Gen Fd BS'!C463</f>
        <v>1</v>
      </c>
    </row>
    <row r="464" spans="1:47">
      <c r="A464" s="12" t="s">
        <v>752</v>
      </c>
      <c r="B464" s="12"/>
      <c r="C464" s="12" t="s">
        <v>348</v>
      </c>
      <c r="D464" s="12"/>
      <c r="E464" s="12">
        <v>47506</v>
      </c>
      <c r="G464" s="7">
        <v>1010916</v>
      </c>
      <c r="I464" s="7">
        <v>583469</v>
      </c>
      <c r="K464" s="7">
        <v>2494984</v>
      </c>
      <c r="M464" s="7">
        <v>2477</v>
      </c>
      <c r="O464" s="7">
        <f>638246+2481</f>
        <v>640727</v>
      </c>
      <c r="Q464" s="7">
        <v>0</v>
      </c>
      <c r="S464" s="7">
        <v>0</v>
      </c>
      <c r="U464" s="7">
        <v>0</v>
      </c>
      <c r="W464" s="7">
        <v>43324</v>
      </c>
      <c r="Y464" s="2">
        <f t="shared" si="102"/>
        <v>4775897</v>
      </c>
      <c r="AA464" s="7">
        <v>0</v>
      </c>
      <c r="AC464" s="7">
        <v>0</v>
      </c>
      <c r="AE464" s="7">
        <v>0</v>
      </c>
      <c r="AG464" s="7">
        <v>0</v>
      </c>
      <c r="AI464" s="7">
        <v>0</v>
      </c>
      <c r="AK464" s="7">
        <f t="shared" si="100"/>
        <v>0</v>
      </c>
      <c r="AM464" s="7">
        <f t="shared" si="101"/>
        <v>4775897</v>
      </c>
      <c r="AO464" s="14"/>
      <c r="AP464" s="7" t="str">
        <f t="shared" si="88"/>
        <v xml:space="preserve">Ridgemont Local SD </v>
      </c>
      <c r="AQ464" s="7" t="str">
        <f>'Gen Fd BS'!A464</f>
        <v xml:space="preserve">Ridgemont Local SD </v>
      </c>
      <c r="AR464" s="7" t="b">
        <f t="shared" si="89"/>
        <v>1</v>
      </c>
      <c r="AT464" s="7" t="str">
        <f t="shared" ref="AT464:AT527" si="109">C464</f>
        <v>Hardin</v>
      </c>
      <c r="AU464" s="7" t="b">
        <f>C464='Gen Fd BS'!C464</f>
        <v>1</v>
      </c>
    </row>
    <row r="465" spans="1:47">
      <c r="A465" s="12" t="s">
        <v>260</v>
      </c>
      <c r="B465" s="12"/>
      <c r="C465" s="12" t="s">
        <v>19</v>
      </c>
      <c r="D465" s="12"/>
      <c r="E465" s="12">
        <v>46474</v>
      </c>
      <c r="F465" s="10"/>
      <c r="G465" s="7">
        <v>2349892</v>
      </c>
      <c r="I465" s="7">
        <v>0</v>
      </c>
      <c r="K465" s="7">
        <f>7447875+26760</f>
        <v>7474635</v>
      </c>
      <c r="M465" s="7">
        <v>14511</v>
      </c>
      <c r="O465" s="7">
        <f>321620+35359</f>
        <v>356979</v>
      </c>
      <c r="Q465" s="7">
        <v>66443</v>
      </c>
      <c r="S465" s="7">
        <v>0</v>
      </c>
      <c r="U465" s="7">
        <v>0</v>
      </c>
      <c r="W465" s="7">
        <v>13600</v>
      </c>
      <c r="Y465" s="2">
        <f t="shared" si="102"/>
        <v>10276060</v>
      </c>
      <c r="AA465" s="7">
        <v>0</v>
      </c>
      <c r="AC465" s="7">
        <v>0</v>
      </c>
      <c r="AE465" s="7">
        <v>0</v>
      </c>
      <c r="AG465" s="7">
        <v>853</v>
      </c>
      <c r="AI465" s="7">
        <v>0</v>
      </c>
      <c r="AK465" s="7">
        <f t="shared" si="100"/>
        <v>853</v>
      </c>
      <c r="AM465" s="7">
        <f t="shared" si="101"/>
        <v>10276913</v>
      </c>
      <c r="AP465" s="7" t="str">
        <f t="shared" si="88"/>
        <v>Ridgewood Local SD</v>
      </c>
      <c r="AQ465" s="7" t="str">
        <f>'Gen Fd BS'!A465</f>
        <v>Ridgewood Local SD</v>
      </c>
      <c r="AR465" s="7" t="b">
        <f t="shared" si="89"/>
        <v>1</v>
      </c>
      <c r="AT465" s="7" t="str">
        <f t="shared" si="109"/>
        <v>Coshocton</v>
      </c>
      <c r="AU465" s="7" t="b">
        <f>C465='Gen Fd BS'!C465</f>
        <v>1</v>
      </c>
    </row>
    <row r="466" spans="1:47" hidden="1">
      <c r="A466" s="12" t="s">
        <v>969</v>
      </c>
      <c r="B466" s="12"/>
      <c r="C466" s="12" t="s">
        <v>77</v>
      </c>
      <c r="D466" s="12"/>
      <c r="E466" s="12">
        <v>46078</v>
      </c>
      <c r="F466" s="10"/>
      <c r="Y466" s="2">
        <f t="shared" si="102"/>
        <v>0</v>
      </c>
      <c r="AC466" s="7">
        <v>0</v>
      </c>
      <c r="AI466" s="7">
        <v>0</v>
      </c>
      <c r="AK466" s="7">
        <f t="shared" si="100"/>
        <v>0</v>
      </c>
      <c r="AM466" s="7">
        <f t="shared" si="101"/>
        <v>0</v>
      </c>
      <c r="AO466" s="7" t="s">
        <v>903</v>
      </c>
      <c r="AP466" s="7" t="str">
        <f t="shared" si="88"/>
        <v>Ripley Union Lewis Huntington Local SD (CASH)</v>
      </c>
      <c r="AQ466" s="7" t="str">
        <f>'Gen Fd BS'!A466</f>
        <v>Ripley Union Lewis Huntington Local SD (CASH)</v>
      </c>
      <c r="AR466" s="7" t="b">
        <f t="shared" si="89"/>
        <v>1</v>
      </c>
      <c r="AT466" s="7" t="str">
        <f t="shared" si="109"/>
        <v>Brown</v>
      </c>
      <c r="AU466" s="7" t="b">
        <f>C466='Gen Fd BS'!C466</f>
        <v>1</v>
      </c>
    </row>
    <row r="467" spans="1:47" hidden="1">
      <c r="A467" s="12" t="s">
        <v>970</v>
      </c>
      <c r="B467" s="12"/>
      <c r="C467" s="12" t="s">
        <v>71</v>
      </c>
      <c r="D467" s="12"/>
      <c r="E467" s="12">
        <v>45591</v>
      </c>
      <c r="Y467" s="2">
        <f t="shared" si="102"/>
        <v>0</v>
      </c>
      <c r="AC467" s="7">
        <v>0</v>
      </c>
      <c r="AI467" s="7">
        <v>0</v>
      </c>
      <c r="AK467" s="7">
        <f t="shared" si="100"/>
        <v>0</v>
      </c>
      <c r="AM467" s="7">
        <f t="shared" si="101"/>
        <v>0</v>
      </c>
      <c r="AO467" s="7" t="s">
        <v>903</v>
      </c>
      <c r="AP467" s="7" t="str">
        <f t="shared" si="88"/>
        <v>Rittman Exempted Village SD (CASH)</v>
      </c>
      <c r="AQ467" s="7" t="str">
        <f>'Gen Fd BS'!A467</f>
        <v>Rittman Exempted Village SD (CASH)</v>
      </c>
      <c r="AR467" s="7" t="b">
        <f t="shared" si="89"/>
        <v>1</v>
      </c>
      <c r="AT467" s="7" t="str">
        <f t="shared" si="109"/>
        <v>Wayne</v>
      </c>
      <c r="AU467" s="7" t="b">
        <f>C467='Gen Fd BS'!C467</f>
        <v>1</v>
      </c>
    </row>
    <row r="468" spans="1:47">
      <c r="A468" s="12" t="s">
        <v>426</v>
      </c>
      <c r="B468" s="12"/>
      <c r="C468" s="12" t="s">
        <v>46</v>
      </c>
      <c r="D468" s="12"/>
      <c r="E468" s="12">
        <v>48447</v>
      </c>
      <c r="G468" s="7">
        <v>5497483</v>
      </c>
      <c r="I468" s="7">
        <v>0</v>
      </c>
      <c r="K468" s="7">
        <v>6544175</v>
      </c>
      <c r="M468" s="7">
        <v>4428</v>
      </c>
      <c r="O468" s="7">
        <v>3207788</v>
      </c>
      <c r="Q468" s="7">
        <v>0</v>
      </c>
      <c r="S468" s="7">
        <v>212794</v>
      </c>
      <c r="U468" s="7">
        <v>15097</v>
      </c>
      <c r="W468" s="7">
        <v>197483</v>
      </c>
      <c r="Y468" s="2">
        <f t="shared" si="102"/>
        <v>15679248</v>
      </c>
      <c r="AA468" s="7">
        <v>0</v>
      </c>
      <c r="AC468" s="7">
        <v>0</v>
      </c>
      <c r="AE468" s="7">
        <v>0</v>
      </c>
      <c r="AG468" s="7">
        <v>0</v>
      </c>
      <c r="AI468" s="7">
        <v>0</v>
      </c>
      <c r="AK468" s="7">
        <f t="shared" si="100"/>
        <v>0</v>
      </c>
      <c r="AM468" s="7">
        <f t="shared" si="101"/>
        <v>15679248</v>
      </c>
      <c r="AP468" s="7" t="str">
        <f t="shared" si="88"/>
        <v>River Valley Local SD</v>
      </c>
      <c r="AQ468" s="7" t="str">
        <f>'Gen Fd BS'!A468</f>
        <v>River Valley Local SD</v>
      </c>
      <c r="AR468" s="7" t="b">
        <f t="shared" si="89"/>
        <v>1</v>
      </c>
      <c r="AT468" s="7" t="str">
        <f t="shared" si="109"/>
        <v>Marion</v>
      </c>
      <c r="AU468" s="7" t="b">
        <f>C468='Gen Fd BS'!C468</f>
        <v>1</v>
      </c>
    </row>
    <row r="469" spans="1:47">
      <c r="A469" s="12" t="s">
        <v>261</v>
      </c>
      <c r="B469" s="12"/>
      <c r="C469" s="12" t="s">
        <v>19</v>
      </c>
      <c r="D469" s="12"/>
      <c r="E469" s="12">
        <v>46482</v>
      </c>
      <c r="F469" s="10"/>
      <c r="G469" s="7">
        <v>8169125</v>
      </c>
      <c r="I469" s="7">
        <v>0</v>
      </c>
      <c r="K469" s="7">
        <v>9974397</v>
      </c>
      <c r="M469" s="7">
        <v>62659</v>
      </c>
      <c r="O469" s="7">
        <f>730545+1500+8720</f>
        <v>740765</v>
      </c>
      <c r="Q469" s="7">
        <v>60291</v>
      </c>
      <c r="S469" s="7">
        <v>0</v>
      </c>
      <c r="U469" s="7">
        <v>46738</v>
      </c>
      <c r="W469" s="7">
        <v>52737</v>
      </c>
      <c r="Y469" s="2">
        <f t="shared" si="102"/>
        <v>19106712</v>
      </c>
      <c r="AA469" s="7">
        <v>0</v>
      </c>
      <c r="AC469" s="7">
        <v>0</v>
      </c>
      <c r="AE469" s="7">
        <v>0</v>
      </c>
      <c r="AG469" s="7">
        <v>1556</v>
      </c>
      <c r="AI469" s="7">
        <v>0</v>
      </c>
      <c r="AK469" s="7">
        <f t="shared" si="100"/>
        <v>1556</v>
      </c>
      <c r="AM469" s="7">
        <f t="shared" si="101"/>
        <v>19108268</v>
      </c>
      <c r="AP469" s="7" t="str">
        <f t="shared" ref="AP469:AP531" si="110">A469</f>
        <v>River View Local SD</v>
      </c>
      <c r="AQ469" s="7" t="str">
        <f>'Gen Fd BS'!A469</f>
        <v>River View Local SD</v>
      </c>
      <c r="AR469" s="7" t="b">
        <f t="shared" ref="AR469:AR531" si="111">AP469=AQ469</f>
        <v>1</v>
      </c>
      <c r="AT469" s="7" t="str">
        <f t="shared" si="109"/>
        <v>Coshocton</v>
      </c>
      <c r="AU469" s="7" t="b">
        <f>C469='Gen Fd BS'!C469</f>
        <v>1</v>
      </c>
    </row>
    <row r="470" spans="1:47" hidden="1">
      <c r="A470" s="12" t="s">
        <v>971</v>
      </c>
      <c r="B470" s="12"/>
      <c r="C470" s="12" t="s">
        <v>348</v>
      </c>
      <c r="D470" s="12"/>
      <c r="E470" s="12">
        <v>47514</v>
      </c>
      <c r="Y470" s="2">
        <f t="shared" si="102"/>
        <v>0</v>
      </c>
      <c r="AC470" s="7">
        <v>0</v>
      </c>
      <c r="AI470" s="7">
        <v>0</v>
      </c>
      <c r="AK470" s="7">
        <f t="shared" si="100"/>
        <v>0</v>
      </c>
      <c r="AM470" s="7">
        <f t="shared" si="101"/>
        <v>0</v>
      </c>
      <c r="AO470" s="7" t="s">
        <v>912</v>
      </c>
      <c r="AP470" s="7" t="str">
        <f t="shared" si="110"/>
        <v>Riverdale Local SD (CASH)</v>
      </c>
      <c r="AQ470" s="7" t="str">
        <f>'Gen Fd BS'!A470</f>
        <v>Riverdale Local SD (CASH)</v>
      </c>
      <c r="AR470" s="7" t="b">
        <f t="shared" si="111"/>
        <v>1</v>
      </c>
      <c r="AT470" s="7" t="str">
        <f t="shared" si="109"/>
        <v>Hardin</v>
      </c>
      <c r="AU470" s="7" t="b">
        <f>C470='Gen Fd BS'!C470</f>
        <v>1</v>
      </c>
    </row>
    <row r="471" spans="1:47">
      <c r="A471" s="12" t="s">
        <v>391</v>
      </c>
      <c r="B471" s="12"/>
      <c r="C471" s="12" t="s">
        <v>41</v>
      </c>
      <c r="D471" s="12"/>
      <c r="E471" s="12"/>
      <c r="G471" s="7">
        <v>22381079</v>
      </c>
      <c r="I471" s="7">
        <v>0</v>
      </c>
      <c r="K471" s="7">
        <v>11772901</v>
      </c>
      <c r="M471" s="7">
        <v>12816</v>
      </c>
      <c r="O471" s="7">
        <f>358719+97776+398834</f>
        <v>855329</v>
      </c>
      <c r="Q471" s="7">
        <v>209486</v>
      </c>
      <c r="S471" s="7">
        <v>0</v>
      </c>
      <c r="U471" s="7">
        <v>0</v>
      </c>
      <c r="W471" s="7">
        <v>242530</v>
      </c>
      <c r="Y471" s="2">
        <f t="shared" si="102"/>
        <v>35474141</v>
      </c>
      <c r="AA471" s="7">
        <v>13950</v>
      </c>
      <c r="AC471" s="7">
        <v>0</v>
      </c>
      <c r="AE471" s="7">
        <v>0</v>
      </c>
      <c r="AG471" s="7">
        <v>0</v>
      </c>
      <c r="AI471" s="7">
        <v>0</v>
      </c>
      <c r="AK471" s="7">
        <f t="shared" si="100"/>
        <v>13950</v>
      </c>
      <c r="AM471" s="7">
        <f t="shared" si="101"/>
        <v>35488091</v>
      </c>
      <c r="AP471" s="7" t="str">
        <f t="shared" si="110"/>
        <v>Riverside Local SD</v>
      </c>
      <c r="AQ471" s="7" t="str">
        <f>'Gen Fd BS'!A471</f>
        <v>Riverside Local SD</v>
      </c>
      <c r="AR471" s="7" t="b">
        <f t="shared" si="111"/>
        <v>1</v>
      </c>
      <c r="AT471" s="7" t="str">
        <f t="shared" si="109"/>
        <v>Lake</v>
      </c>
      <c r="AU471" s="7" t="b">
        <f>C471='Gen Fd BS'!C471</f>
        <v>1</v>
      </c>
    </row>
    <row r="472" spans="1:47">
      <c r="A472" s="12" t="s">
        <v>391</v>
      </c>
      <c r="B472" s="12"/>
      <c r="C472" s="12" t="s">
        <v>43</v>
      </c>
      <c r="D472" s="12"/>
      <c r="E472" s="12">
        <v>48090</v>
      </c>
      <c r="G472" s="7">
        <v>1468036</v>
      </c>
      <c r="I472" s="7">
        <v>1229999</v>
      </c>
      <c r="K472" s="7">
        <v>4132692</v>
      </c>
      <c r="M472" s="7">
        <v>8032</v>
      </c>
      <c r="O472" s="7">
        <f>365370+2400+18979+100</f>
        <v>386849</v>
      </c>
      <c r="Q472" s="7">
        <v>22114</v>
      </c>
      <c r="S472" s="7">
        <v>0</v>
      </c>
      <c r="U472" s="7">
        <v>4759</v>
      </c>
      <c r="W472" s="7">
        <v>39053</v>
      </c>
      <c r="Y472" s="2">
        <f>SUM(G472:X472)</f>
        <v>7291534</v>
      </c>
      <c r="AA472" s="7">
        <v>0</v>
      </c>
      <c r="AC472" s="7">
        <v>0</v>
      </c>
      <c r="AE472" s="7">
        <v>0</v>
      </c>
      <c r="AG472" s="7">
        <v>0</v>
      </c>
      <c r="AI472" s="7">
        <v>0</v>
      </c>
      <c r="AK472" s="7">
        <f t="shared" si="100"/>
        <v>0</v>
      </c>
      <c r="AM472" s="7">
        <f t="shared" si="101"/>
        <v>7291534</v>
      </c>
      <c r="AP472" s="7" t="str">
        <f t="shared" si="110"/>
        <v>Riverside Local SD</v>
      </c>
      <c r="AQ472" s="7" t="str">
        <f>'Gen Fd BS'!A472</f>
        <v>Riverside Local SD</v>
      </c>
      <c r="AR472" s="7" t="b">
        <f t="shared" si="111"/>
        <v>1</v>
      </c>
      <c r="AT472" s="7" t="str">
        <f t="shared" si="109"/>
        <v>Logan</v>
      </c>
      <c r="AU472" s="7" t="b">
        <f>C472='Gen Fd BS'!C472</f>
        <v>1</v>
      </c>
    </row>
    <row r="473" spans="1:47">
      <c r="A473" s="12" t="s">
        <v>381</v>
      </c>
      <c r="B473" s="12"/>
      <c r="C473" s="12" t="s">
        <v>377</v>
      </c>
      <c r="D473" s="12"/>
      <c r="E473" s="12">
        <v>47944</v>
      </c>
      <c r="G473" s="7">
        <v>1921919</v>
      </c>
      <c r="I473" s="7">
        <v>0</v>
      </c>
      <c r="K473" s="7">
        <v>12780791</v>
      </c>
      <c r="M473" s="7">
        <v>34202</v>
      </c>
      <c r="O473" s="7">
        <v>1487971</v>
      </c>
      <c r="Q473" s="7">
        <v>48222</v>
      </c>
      <c r="S473" s="7">
        <v>573500</v>
      </c>
      <c r="U473" s="7">
        <v>4261</v>
      </c>
      <c r="W473" s="7">
        <v>7058</v>
      </c>
      <c r="Y473" s="2">
        <f t="shared" si="102"/>
        <v>16857924</v>
      </c>
      <c r="AA473" s="7">
        <v>0</v>
      </c>
      <c r="AC473" s="7">
        <v>0</v>
      </c>
      <c r="AE473" s="7">
        <v>0</v>
      </c>
      <c r="AG473" s="7">
        <v>0</v>
      </c>
      <c r="AI473" s="7">
        <v>0</v>
      </c>
      <c r="AK473" s="7">
        <f t="shared" si="100"/>
        <v>0</v>
      </c>
      <c r="AM473" s="7">
        <f t="shared" si="101"/>
        <v>16857924</v>
      </c>
      <c r="AP473" s="7" t="str">
        <f t="shared" si="110"/>
        <v>Rock Hill Local SD</v>
      </c>
      <c r="AQ473" s="7" t="str">
        <f>'Gen Fd BS'!A473</f>
        <v>Rock Hill Local SD</v>
      </c>
      <c r="AR473" s="7" t="b">
        <f t="shared" si="111"/>
        <v>1</v>
      </c>
      <c r="AT473" s="7" t="str">
        <f t="shared" si="109"/>
        <v>Lawrence</v>
      </c>
      <c r="AU473" s="7" t="b">
        <f>C473='Gen Fd BS'!C473</f>
        <v>1</v>
      </c>
    </row>
    <row r="474" spans="1:47">
      <c r="A474" s="12" t="s">
        <v>753</v>
      </c>
      <c r="B474" s="12"/>
      <c r="C474" s="12" t="s">
        <v>20</v>
      </c>
      <c r="D474" s="12"/>
      <c r="E474" s="12">
        <v>44701</v>
      </c>
      <c r="G474" s="7">
        <v>25067115</v>
      </c>
      <c r="I474" s="7">
        <v>0</v>
      </c>
      <c r="K474" s="7">
        <f>6035999+788187</f>
        <v>6824186</v>
      </c>
      <c r="M474" s="7">
        <v>62702</v>
      </c>
      <c r="O474" s="7">
        <f>69593+7004+257072+60138+103098</f>
        <v>496905</v>
      </c>
      <c r="Q474" s="7">
        <v>5000</v>
      </c>
      <c r="S474" s="7">
        <v>0</v>
      </c>
      <c r="U474" s="7">
        <v>56788</v>
      </c>
      <c r="W474" s="7">
        <v>137608</v>
      </c>
      <c r="Y474" s="2">
        <f t="shared" si="102"/>
        <v>32650304</v>
      </c>
      <c r="AA474" s="7">
        <v>0</v>
      </c>
      <c r="AC474" s="7">
        <v>0</v>
      </c>
      <c r="AE474" s="7">
        <v>0</v>
      </c>
      <c r="AG474" s="7">
        <v>0</v>
      </c>
      <c r="AI474" s="7">
        <v>0</v>
      </c>
      <c r="AK474" s="7">
        <f t="shared" si="100"/>
        <v>0</v>
      </c>
      <c r="AM474" s="7">
        <f t="shared" si="101"/>
        <v>32650304</v>
      </c>
      <c r="AP474" s="7" t="str">
        <f t="shared" si="110"/>
        <v xml:space="preserve">Rocky River City SD </v>
      </c>
      <c r="AQ474" s="7" t="str">
        <f>'Gen Fd BS'!A474</f>
        <v xml:space="preserve">Rocky River City SD </v>
      </c>
      <c r="AR474" s="7" t="b">
        <f t="shared" si="111"/>
        <v>1</v>
      </c>
      <c r="AT474" s="7" t="str">
        <f t="shared" si="109"/>
        <v>Cuyahoga</v>
      </c>
      <c r="AU474" s="7" t="b">
        <f>C474='Gen Fd BS'!C474</f>
        <v>1</v>
      </c>
    </row>
    <row r="475" spans="1:47">
      <c r="A475" s="12" t="s">
        <v>329</v>
      </c>
      <c r="B475" s="12"/>
      <c r="C475" s="12" t="s">
        <v>31</v>
      </c>
      <c r="D475" s="12"/>
      <c r="E475" s="12">
        <v>47308</v>
      </c>
      <c r="G475" s="7">
        <v>6034867</v>
      </c>
      <c r="I475" s="7">
        <v>0</v>
      </c>
      <c r="K475" s="7">
        <v>10158603</v>
      </c>
      <c r="M475" s="7">
        <v>10573</v>
      </c>
      <c r="O475" s="7">
        <f>534683+7268</f>
        <v>541951</v>
      </c>
      <c r="Q475" s="7">
        <v>86293</v>
      </c>
      <c r="S475" s="7">
        <v>0</v>
      </c>
      <c r="U475" s="7">
        <v>96978</v>
      </c>
      <c r="W475" s="7">
        <v>27247</v>
      </c>
      <c r="Y475" s="2">
        <f t="shared" si="102"/>
        <v>16956512</v>
      </c>
      <c r="AA475" s="7">
        <v>0</v>
      </c>
      <c r="AC475" s="7">
        <v>0</v>
      </c>
      <c r="AE475" s="7">
        <v>0</v>
      </c>
      <c r="AG475" s="7">
        <v>0</v>
      </c>
      <c r="AI475" s="7">
        <v>0</v>
      </c>
      <c r="AK475" s="7">
        <f t="shared" si="100"/>
        <v>0</v>
      </c>
      <c r="AM475" s="7">
        <f t="shared" si="101"/>
        <v>16956512</v>
      </c>
      <c r="AP475" s="7" t="str">
        <f t="shared" si="110"/>
        <v>Rolling Hills Local SD</v>
      </c>
      <c r="AQ475" s="7" t="str">
        <f>'Gen Fd BS'!A475</f>
        <v>Rolling Hills Local SD</v>
      </c>
      <c r="AR475" s="7" t="b">
        <f t="shared" si="111"/>
        <v>1</v>
      </c>
      <c r="AT475" s="7" t="str">
        <f t="shared" si="109"/>
        <v>Guernsey</v>
      </c>
      <c r="AU475" s="7" t="b">
        <f>C475='Gen Fd BS'!C475</f>
        <v>1</v>
      </c>
    </row>
    <row r="476" spans="1:47">
      <c r="A476" s="12" t="s">
        <v>477</v>
      </c>
      <c r="B476" s="12"/>
      <c r="C476" s="12" t="s">
        <v>56</v>
      </c>
      <c r="D476" s="12"/>
      <c r="E476" s="12">
        <v>49213</v>
      </c>
      <c r="G476" s="7">
        <v>4032236</v>
      </c>
      <c r="I476" s="7">
        <v>0</v>
      </c>
      <c r="K476" s="7">
        <v>5144266</v>
      </c>
      <c r="M476" s="7">
        <v>10609</v>
      </c>
      <c r="O476" s="7">
        <f>344772+7597</f>
        <v>352369</v>
      </c>
      <c r="Q476" s="7">
        <v>45430</v>
      </c>
      <c r="S476" s="7">
        <v>0</v>
      </c>
      <c r="U476" s="7">
        <v>23294</v>
      </c>
      <c r="W476" s="7">
        <v>192875</v>
      </c>
      <c r="Y476" s="2">
        <f t="shared" si="102"/>
        <v>9801079</v>
      </c>
      <c r="AA476" s="7">
        <v>307</v>
      </c>
      <c r="AC476" s="7">
        <v>0</v>
      </c>
      <c r="AE476" s="7">
        <v>0</v>
      </c>
      <c r="AG476" s="7">
        <v>0</v>
      </c>
      <c r="AI476" s="7">
        <v>0</v>
      </c>
      <c r="AK476" s="7">
        <f t="shared" si="100"/>
        <v>307</v>
      </c>
      <c r="AM476" s="7">
        <f t="shared" si="101"/>
        <v>9801386</v>
      </c>
      <c r="AO476" s="7" t="s">
        <v>972</v>
      </c>
      <c r="AP476" s="7" t="str">
        <f t="shared" si="110"/>
        <v>Rootstown Local SD</v>
      </c>
      <c r="AQ476" s="7" t="str">
        <f>'Gen Fd BS'!A476</f>
        <v>Rootstown Local SD</v>
      </c>
      <c r="AR476" s="7" t="b">
        <f t="shared" si="111"/>
        <v>1</v>
      </c>
      <c r="AT476" s="7" t="str">
        <f t="shared" si="109"/>
        <v>Portage</v>
      </c>
      <c r="AU476" s="7" t="b">
        <f>C476='Gen Fd BS'!C476</f>
        <v>1</v>
      </c>
    </row>
    <row r="477" spans="1:47" ht="12" customHeight="1">
      <c r="A477" s="12" t="s">
        <v>754</v>
      </c>
      <c r="B477" s="12"/>
      <c r="C477" s="12" t="s">
        <v>223</v>
      </c>
      <c r="D477" s="12"/>
      <c r="E477" s="12">
        <v>46144</v>
      </c>
      <c r="F477" s="10"/>
      <c r="G477" s="7">
        <v>7210668</v>
      </c>
      <c r="I477" s="7">
        <v>2572019</v>
      </c>
      <c r="K477" s="7">
        <v>11305331</v>
      </c>
      <c r="M477" s="7">
        <v>20599</v>
      </c>
      <c r="O477" s="7">
        <f>168729+99364</f>
        <v>268093</v>
      </c>
      <c r="Q477" s="7">
        <v>293728</v>
      </c>
      <c r="S477" s="7">
        <v>0</v>
      </c>
      <c r="U477" s="7">
        <v>0</v>
      </c>
      <c r="W477" s="7">
        <v>343749</v>
      </c>
      <c r="Y477" s="2">
        <f t="shared" si="102"/>
        <v>22014187</v>
      </c>
      <c r="AA477" s="7">
        <v>0</v>
      </c>
      <c r="AC477" s="7">
        <v>0</v>
      </c>
      <c r="AE477" s="7">
        <f>782000+183277</f>
        <v>965277</v>
      </c>
      <c r="AG477" s="7">
        <v>0</v>
      </c>
      <c r="AI477" s="7">
        <v>0</v>
      </c>
      <c r="AK477" s="7">
        <f t="shared" si="100"/>
        <v>965277</v>
      </c>
      <c r="AM477" s="7">
        <f t="shared" si="101"/>
        <v>22979464</v>
      </c>
      <c r="AO477" s="14"/>
      <c r="AP477" s="7" t="str">
        <f t="shared" si="110"/>
        <v xml:space="preserve">Ross Local SD </v>
      </c>
      <c r="AQ477" s="7" t="str">
        <f>'Gen Fd BS'!A477</f>
        <v xml:space="preserve">Ross Local SD </v>
      </c>
      <c r="AR477" s="7" t="b">
        <f t="shared" si="111"/>
        <v>1</v>
      </c>
      <c r="AT477" s="7" t="str">
        <f t="shared" si="109"/>
        <v>Butler</v>
      </c>
      <c r="AU477" s="7" t="b">
        <f>C477='Gen Fd BS'!C477</f>
        <v>1</v>
      </c>
    </row>
    <row r="478" spans="1:47">
      <c r="A478" s="12" t="s">
        <v>886</v>
      </c>
      <c r="B478" s="12"/>
      <c r="C478" s="12" t="s">
        <v>72</v>
      </c>
      <c r="D478" s="12"/>
      <c r="E478" s="12">
        <v>45609</v>
      </c>
      <c r="G478" s="7">
        <v>13037156</v>
      </c>
      <c r="I478" s="7">
        <v>0</v>
      </c>
      <c r="K478" s="7">
        <v>8487617</v>
      </c>
      <c r="M478" s="7">
        <v>38303</v>
      </c>
      <c r="O478" s="7">
        <f>434871</f>
        <v>434871</v>
      </c>
      <c r="Q478" s="7">
        <v>34993</v>
      </c>
      <c r="S478" s="7">
        <v>449909</v>
      </c>
      <c r="U478" s="7">
        <v>1454918</v>
      </c>
      <c r="W478" s="7">
        <v>145686</v>
      </c>
      <c r="Y478" s="2">
        <f>SUM(G478:X478)</f>
        <v>24083453</v>
      </c>
      <c r="AA478" s="7">
        <v>0</v>
      </c>
      <c r="AC478" s="7">
        <v>0</v>
      </c>
      <c r="AE478" s="7">
        <v>0</v>
      </c>
      <c r="AG478" s="7">
        <v>0</v>
      </c>
      <c r="AI478" s="7">
        <v>0</v>
      </c>
      <c r="AK478" s="7">
        <f>SUM(AA478:AJ478)</f>
        <v>0</v>
      </c>
      <c r="AM478" s="7">
        <f t="shared" si="101"/>
        <v>24083453</v>
      </c>
      <c r="AP478" s="7" t="str">
        <f t="shared" si="110"/>
        <v>Rossford Exempted Village SD</v>
      </c>
      <c r="AQ478" s="7" t="str">
        <f>'Gen Fd BS'!A478</f>
        <v>Rossford Exempted Village SD</v>
      </c>
      <c r="AR478" s="7" t="b">
        <f t="shared" si="111"/>
        <v>1</v>
      </c>
      <c r="AT478" s="7" t="str">
        <f t="shared" si="109"/>
        <v>Wood</v>
      </c>
      <c r="AU478" s="7" t="b">
        <f>C478='Gen Fd BS'!C478</f>
        <v>1</v>
      </c>
    </row>
    <row r="479" spans="1:47">
      <c r="A479" s="12" t="s">
        <v>507</v>
      </c>
      <c r="B479" s="12"/>
      <c r="C479" s="12" t="s">
        <v>61</v>
      </c>
      <c r="D479" s="12"/>
      <c r="E479" s="12">
        <v>49817</v>
      </c>
      <c r="G479" s="7">
        <v>898406</v>
      </c>
      <c r="I479" s="7">
        <v>299751</v>
      </c>
      <c r="K479" s="7">
        <v>2173263</v>
      </c>
      <c r="M479" s="7">
        <v>154</v>
      </c>
      <c r="O479" s="7">
        <f>356462</f>
        <v>356462</v>
      </c>
      <c r="Q479" s="7">
        <v>14751</v>
      </c>
      <c r="S479" s="7">
        <v>0</v>
      </c>
      <c r="U479" s="7">
        <v>2683</v>
      </c>
      <c r="W479" s="7">
        <v>20446</v>
      </c>
      <c r="Y479" s="2">
        <f>SUM(G479:X479)</f>
        <v>3765916</v>
      </c>
      <c r="AA479" s="7">
        <v>0</v>
      </c>
      <c r="AC479" s="7">
        <v>0</v>
      </c>
      <c r="AE479" s="7">
        <v>0</v>
      </c>
      <c r="AG479" s="7">
        <v>1972</v>
      </c>
      <c r="AI479" s="7">
        <v>0</v>
      </c>
      <c r="AK479" s="7">
        <f>SUM(AA479:AJ479)</f>
        <v>1972</v>
      </c>
      <c r="AM479" s="7">
        <f t="shared" si="101"/>
        <v>3767888</v>
      </c>
      <c r="AP479" s="7" t="str">
        <f t="shared" si="110"/>
        <v>Russia Local SD</v>
      </c>
      <c r="AQ479" s="7" t="str">
        <f>'Gen Fd BS'!A479</f>
        <v>Russia Local SD</v>
      </c>
      <c r="AR479" s="7" t="b">
        <f t="shared" si="111"/>
        <v>1</v>
      </c>
      <c r="AT479" s="7" t="str">
        <f t="shared" si="109"/>
        <v>Shelby</v>
      </c>
      <c r="AU479" s="7" t="b">
        <f>C479='Gen Fd BS'!C479</f>
        <v>1</v>
      </c>
    </row>
    <row r="480" spans="1:47">
      <c r="A480" s="12" t="s">
        <v>632</v>
      </c>
      <c r="B480" s="12"/>
      <c r="C480" s="12" t="s">
        <v>112</v>
      </c>
      <c r="D480" s="12"/>
      <c r="E480" s="12"/>
      <c r="G480" s="7">
        <v>7726337</v>
      </c>
      <c r="I480" s="7">
        <v>3888</v>
      </c>
      <c r="K480" s="7">
        <f>9479670+120569</f>
        <v>9600239</v>
      </c>
      <c r="M480" s="7">
        <v>7111</v>
      </c>
      <c r="O480" s="7">
        <f>1210245+182811</f>
        <v>1393056</v>
      </c>
      <c r="Q480" s="7">
        <v>57909</v>
      </c>
      <c r="S480" s="7">
        <v>0</v>
      </c>
      <c r="U480" s="7">
        <v>35565</v>
      </c>
      <c r="W480" s="7">
        <f>166020+3201</f>
        <v>169221</v>
      </c>
      <c r="Y480" s="2">
        <f t="shared" ref="Y480:Y529" si="112">SUM(G480:X480)</f>
        <v>18993326</v>
      </c>
      <c r="AA480" s="7">
        <v>0</v>
      </c>
      <c r="AC480" s="7">
        <v>0</v>
      </c>
      <c r="AE480" s="7">
        <v>0</v>
      </c>
      <c r="AG480" s="7">
        <v>0</v>
      </c>
      <c r="AI480" s="7">
        <v>0</v>
      </c>
      <c r="AK480" s="7">
        <f t="shared" ref="AK480:AK497" si="113">SUM(AA480:AJ480)</f>
        <v>0</v>
      </c>
      <c r="AM480" s="7">
        <f t="shared" ref="AM480:AM511" si="114">+AK480+Y480</f>
        <v>18993326</v>
      </c>
      <c r="AP480" s="7" t="str">
        <f t="shared" si="110"/>
        <v>Salem City SD</v>
      </c>
      <c r="AQ480" s="7" t="str">
        <f>'Gen Fd BS'!A480</f>
        <v>Salem City SD</v>
      </c>
      <c r="AR480" s="7" t="b">
        <f t="shared" si="111"/>
        <v>1</v>
      </c>
      <c r="AT480" s="7" t="str">
        <f t="shared" si="109"/>
        <v>Columbiana</v>
      </c>
      <c r="AU480" s="7" t="b">
        <f>C480='Gen Fd BS'!C480</f>
        <v>1</v>
      </c>
    </row>
    <row r="481" spans="1:47">
      <c r="A481" s="12" t="s">
        <v>296</v>
      </c>
      <c r="B481" s="12"/>
      <c r="C481" s="12" t="s">
        <v>24</v>
      </c>
      <c r="D481" s="12"/>
      <c r="E481" s="12">
        <v>44743</v>
      </c>
      <c r="G481" s="7">
        <v>17231833</v>
      </c>
      <c r="I481" s="7">
        <v>0</v>
      </c>
      <c r="K481" s="7">
        <v>21996208</v>
      </c>
      <c r="M481" s="7">
        <v>46177</v>
      </c>
      <c r="O481" s="7">
        <v>1152390</v>
      </c>
      <c r="Q481" s="7">
        <v>70927</v>
      </c>
      <c r="S481" s="7">
        <v>95712</v>
      </c>
      <c r="U481" s="7">
        <v>0</v>
      </c>
      <c r="W481" s="7">
        <f>98740+45575</f>
        <v>144315</v>
      </c>
      <c r="Y481" s="2">
        <f t="shared" si="112"/>
        <v>40737562</v>
      </c>
      <c r="AA481" s="7">
        <v>269802</v>
      </c>
      <c r="AC481" s="7">
        <v>0</v>
      </c>
      <c r="AE481" s="7">
        <v>0</v>
      </c>
      <c r="AG481" s="7">
        <v>2138</v>
      </c>
      <c r="AI481" s="7">
        <v>0</v>
      </c>
      <c r="AK481" s="7">
        <f t="shared" si="113"/>
        <v>271940</v>
      </c>
      <c r="AM481" s="7">
        <f t="shared" si="114"/>
        <v>41009502</v>
      </c>
      <c r="AP481" s="7" t="str">
        <f t="shared" si="110"/>
        <v>Sandusky City SD</v>
      </c>
      <c r="AQ481" s="7" t="str">
        <f>'Gen Fd BS'!A481</f>
        <v>Sandusky City SD</v>
      </c>
      <c r="AR481" s="7" t="b">
        <f t="shared" si="111"/>
        <v>1</v>
      </c>
      <c r="AT481" s="7" t="str">
        <f t="shared" si="109"/>
        <v>Erie</v>
      </c>
      <c r="AU481" s="7" t="b">
        <f>C481='Gen Fd BS'!C481</f>
        <v>1</v>
      </c>
    </row>
    <row r="482" spans="1:47">
      <c r="A482" s="12" t="s">
        <v>520</v>
      </c>
      <c r="B482" s="12"/>
      <c r="C482" s="12" t="s">
        <v>62</v>
      </c>
      <c r="D482" s="12"/>
      <c r="E482" s="12">
        <v>49940</v>
      </c>
      <c r="G482" s="7">
        <v>3761323</v>
      </c>
      <c r="I482" s="7">
        <v>0</v>
      </c>
      <c r="K482" s="7">
        <f>18614+8325404+62950</f>
        <v>8406968</v>
      </c>
      <c r="M482" s="7">
        <v>53862</v>
      </c>
      <c r="O482" s="7">
        <f>516878+22186+33915</f>
        <v>572979</v>
      </c>
      <c r="Q482" s="7">
        <v>0</v>
      </c>
      <c r="S482" s="7">
        <v>0</v>
      </c>
      <c r="U482" s="7">
        <v>14552</v>
      </c>
      <c r="W482" s="7">
        <f>52479+9000+53712</f>
        <v>115191</v>
      </c>
      <c r="Y482" s="2">
        <f t="shared" si="112"/>
        <v>12924875</v>
      </c>
      <c r="AA482" s="7">
        <v>0</v>
      </c>
      <c r="AC482" s="7">
        <v>0</v>
      </c>
      <c r="AE482" s="7">
        <v>0</v>
      </c>
      <c r="AG482" s="7">
        <v>6576</v>
      </c>
      <c r="AI482" s="7">
        <v>0</v>
      </c>
      <c r="AK482" s="7">
        <f t="shared" si="113"/>
        <v>6576</v>
      </c>
      <c r="AM482" s="7">
        <f t="shared" si="114"/>
        <v>12931451</v>
      </c>
      <c r="AP482" s="7" t="str">
        <f t="shared" si="110"/>
        <v>Sandy Valley Local SD</v>
      </c>
      <c r="AQ482" s="7" t="str">
        <f>'Gen Fd BS'!A482</f>
        <v>Sandy Valley Local SD</v>
      </c>
      <c r="AR482" s="7" t="b">
        <f t="shared" si="111"/>
        <v>1</v>
      </c>
      <c r="AT482" s="7" t="str">
        <f t="shared" si="109"/>
        <v>Stark</v>
      </c>
      <c r="AU482" s="7" t="b">
        <f>C482='Gen Fd BS'!C482</f>
        <v>1</v>
      </c>
    </row>
    <row r="483" spans="1:47">
      <c r="A483" s="12" t="s">
        <v>471</v>
      </c>
      <c r="B483" s="12"/>
      <c r="C483" s="12" t="s">
        <v>55</v>
      </c>
      <c r="D483" s="12"/>
      <c r="E483" s="12">
        <v>49130</v>
      </c>
      <c r="G483" s="7">
        <v>1796654</v>
      </c>
      <c r="I483" s="7">
        <v>0</v>
      </c>
      <c r="K483" s="7">
        <v>11011415</v>
      </c>
      <c r="M483" s="7">
        <v>29867</v>
      </c>
      <c r="O483" s="7">
        <v>633046</v>
      </c>
      <c r="Q483" s="7">
        <v>12882</v>
      </c>
      <c r="S483" s="7">
        <v>0</v>
      </c>
      <c r="U483" s="7">
        <v>0</v>
      </c>
      <c r="W483" s="7">
        <f>188049+13559</f>
        <v>201608</v>
      </c>
      <c r="Y483" s="2">
        <f t="shared" si="112"/>
        <v>13685472</v>
      </c>
      <c r="AA483" s="7">
        <v>0</v>
      </c>
      <c r="AC483" s="7">
        <v>0</v>
      </c>
      <c r="AE483" s="7">
        <v>0</v>
      </c>
      <c r="AG483" s="7">
        <v>9825</v>
      </c>
      <c r="AI483" s="7">
        <v>0</v>
      </c>
      <c r="AK483" s="7">
        <f t="shared" si="113"/>
        <v>9825</v>
      </c>
      <c r="AM483" s="7">
        <f t="shared" si="114"/>
        <v>13695297</v>
      </c>
      <c r="AP483" s="7" t="str">
        <f t="shared" si="110"/>
        <v>Scioto Valley Local SD</v>
      </c>
      <c r="AQ483" s="7" t="str">
        <f>'Gen Fd BS'!A483</f>
        <v>Scioto Valley Local SD</v>
      </c>
      <c r="AR483" s="7" t="b">
        <f t="shared" si="111"/>
        <v>1</v>
      </c>
      <c r="AT483" s="7" t="str">
        <f t="shared" si="109"/>
        <v>Pike</v>
      </c>
      <c r="AU483" s="7" t="b">
        <f>C483='Gen Fd BS'!C483</f>
        <v>1</v>
      </c>
    </row>
    <row r="484" spans="1:47">
      <c r="A484" s="12" t="s">
        <v>418</v>
      </c>
      <c r="B484" s="12"/>
      <c r="C484" s="12" t="s">
        <v>45</v>
      </c>
      <c r="D484" s="12"/>
      <c r="E484" s="12">
        <v>48355</v>
      </c>
      <c r="G484" s="7">
        <v>1041492</v>
      </c>
      <c r="I484" s="7">
        <v>449404</v>
      </c>
      <c r="K484" s="7">
        <v>4229957</v>
      </c>
      <c r="M484" s="7">
        <v>1813</v>
      </c>
      <c r="O484" s="7">
        <v>309545</v>
      </c>
      <c r="Q484" s="7">
        <v>10927</v>
      </c>
      <c r="S484" s="7">
        <v>0</v>
      </c>
      <c r="U484" s="7">
        <v>5732</v>
      </c>
      <c r="W484" s="7">
        <v>36953</v>
      </c>
      <c r="Y484" s="2">
        <f t="shared" si="112"/>
        <v>6085823</v>
      </c>
      <c r="AA484" s="7">
        <v>0</v>
      </c>
      <c r="AC484" s="7">
        <v>0</v>
      </c>
      <c r="AE484" s="7">
        <v>0</v>
      </c>
      <c r="AG484" s="7">
        <v>0</v>
      </c>
      <c r="AI484" s="7">
        <v>0</v>
      </c>
      <c r="AK484" s="7">
        <f t="shared" si="113"/>
        <v>0</v>
      </c>
      <c r="AM484" s="7">
        <f t="shared" si="114"/>
        <v>6085823</v>
      </c>
      <c r="AP484" s="7" t="str">
        <f t="shared" si="110"/>
        <v>Sebring Local SD</v>
      </c>
      <c r="AQ484" s="7" t="str">
        <f>'Gen Fd BS'!A484</f>
        <v>Sebring Local SD</v>
      </c>
      <c r="AR484" s="7" t="b">
        <f t="shared" si="111"/>
        <v>1</v>
      </c>
      <c r="AT484" s="7" t="str">
        <f t="shared" si="109"/>
        <v>Mahoning</v>
      </c>
      <c r="AU484" s="7" t="b">
        <f>C484='Gen Fd BS'!C484</f>
        <v>1</v>
      </c>
    </row>
    <row r="485" spans="1:47">
      <c r="A485" s="12" t="s">
        <v>502</v>
      </c>
      <c r="B485" s="12"/>
      <c r="C485" s="12" t="s">
        <v>60</v>
      </c>
      <c r="D485" s="12"/>
      <c r="E485" s="12">
        <v>49684</v>
      </c>
      <c r="G485" s="7">
        <v>1728673</v>
      </c>
      <c r="I485" s="7">
        <v>973206</v>
      </c>
      <c r="K485" s="7">
        <v>4329448</v>
      </c>
      <c r="M485" s="7">
        <v>16514</v>
      </c>
      <c r="O485" s="7">
        <f>809263+35460</f>
        <v>844723</v>
      </c>
      <c r="Q485" s="7">
        <v>22327</v>
      </c>
      <c r="S485" s="7">
        <v>0</v>
      </c>
      <c r="U485" s="7">
        <v>8400</v>
      </c>
      <c r="W485" s="7">
        <f>36472+28387+13761</f>
        <v>78620</v>
      </c>
      <c r="Y485" s="2">
        <f t="shared" si="112"/>
        <v>8001911</v>
      </c>
      <c r="AA485" s="7">
        <v>0</v>
      </c>
      <c r="AC485" s="7">
        <v>0</v>
      </c>
      <c r="AE485" s="7">
        <v>0</v>
      </c>
      <c r="AG485" s="7">
        <v>0</v>
      </c>
      <c r="AI485" s="7">
        <v>0</v>
      </c>
      <c r="AK485" s="7">
        <f t="shared" si="113"/>
        <v>0</v>
      </c>
      <c r="AM485" s="7">
        <f t="shared" si="114"/>
        <v>8001911</v>
      </c>
      <c r="AP485" s="7" t="str">
        <f t="shared" si="110"/>
        <v>Seneca East Local SD</v>
      </c>
      <c r="AQ485" s="7" t="str">
        <f>'Gen Fd BS'!A485</f>
        <v>Seneca East Local SD</v>
      </c>
      <c r="AR485" s="7" t="b">
        <f t="shared" si="111"/>
        <v>1</v>
      </c>
      <c r="AT485" s="7" t="str">
        <f t="shared" si="109"/>
        <v>Seneca</v>
      </c>
      <c r="AU485" s="7" t="b">
        <f>C485='Gen Fd BS'!C485</f>
        <v>1</v>
      </c>
    </row>
    <row r="486" spans="1:47">
      <c r="A486" s="12" t="s">
        <v>218</v>
      </c>
      <c r="B486" s="12"/>
      <c r="C486" s="12" t="s">
        <v>15</v>
      </c>
      <c r="D486" s="12"/>
      <c r="E486" s="12">
        <v>46003</v>
      </c>
      <c r="F486" s="10"/>
      <c r="G486" s="7">
        <v>2056667</v>
      </c>
      <c r="I486" s="7">
        <v>0</v>
      </c>
      <c r="K486" s="7">
        <v>2690754</v>
      </c>
      <c r="M486" s="7">
        <v>3023</v>
      </c>
      <c r="O486" s="7">
        <v>1161297</v>
      </c>
      <c r="Q486" s="7">
        <v>70314</v>
      </c>
      <c r="S486" s="7">
        <v>0</v>
      </c>
      <c r="U486" s="7">
        <v>5143</v>
      </c>
      <c r="W486" s="7">
        <f>12054+3739+299</f>
        <v>16092</v>
      </c>
      <c r="Y486" s="2">
        <f t="shared" si="112"/>
        <v>6003290</v>
      </c>
      <c r="AA486" s="7">
        <v>0</v>
      </c>
      <c r="AC486" s="7">
        <v>0</v>
      </c>
      <c r="AE486" s="7">
        <v>0</v>
      </c>
      <c r="AG486" s="7">
        <v>602</v>
      </c>
      <c r="AI486" s="7">
        <v>0</v>
      </c>
      <c r="AK486" s="7">
        <f t="shared" si="113"/>
        <v>602</v>
      </c>
      <c r="AM486" s="7">
        <f t="shared" si="114"/>
        <v>6003892</v>
      </c>
      <c r="AP486" s="7" t="str">
        <f t="shared" si="110"/>
        <v>Shadyside Local SD</v>
      </c>
      <c r="AQ486" s="7" t="str">
        <f>'Gen Fd BS'!A486</f>
        <v>Shadyside Local SD</v>
      </c>
      <c r="AR486" s="7" t="b">
        <f t="shared" si="111"/>
        <v>1</v>
      </c>
      <c r="AT486" s="7" t="str">
        <f t="shared" si="109"/>
        <v>Belmont</v>
      </c>
      <c r="AU486" s="7" t="b">
        <f>C486='Gen Fd BS'!C486</f>
        <v>1</v>
      </c>
    </row>
    <row r="487" spans="1:47">
      <c r="A487" s="12" t="s">
        <v>755</v>
      </c>
      <c r="B487" s="12"/>
      <c r="C487" s="12" t="s">
        <v>20</v>
      </c>
      <c r="D487" s="12"/>
      <c r="E487" s="12">
        <v>44750</v>
      </c>
      <c r="G487" s="7">
        <v>61836239</v>
      </c>
      <c r="I487" s="7">
        <v>0</v>
      </c>
      <c r="K487" s="7">
        <v>24887592</v>
      </c>
      <c r="M487" s="7">
        <v>287179</v>
      </c>
      <c r="O487" s="7">
        <v>1280795</v>
      </c>
      <c r="Q487" s="7">
        <v>91281</v>
      </c>
      <c r="S487" s="7">
        <v>0</v>
      </c>
      <c r="U487" s="7">
        <v>15224</v>
      </c>
      <c r="W487" s="7">
        <f>63447+43813+247618</f>
        <v>354878</v>
      </c>
      <c r="Y487" s="2">
        <f t="shared" si="112"/>
        <v>88753188</v>
      </c>
      <c r="AA487" s="7">
        <v>0</v>
      </c>
      <c r="AC487" s="7">
        <v>0</v>
      </c>
      <c r="AE487" s="7">
        <v>0</v>
      </c>
      <c r="AG487" s="7">
        <v>0</v>
      </c>
      <c r="AI487" s="7">
        <v>0</v>
      </c>
      <c r="AK487" s="7">
        <f t="shared" si="113"/>
        <v>0</v>
      </c>
      <c r="AM487" s="7">
        <f t="shared" si="114"/>
        <v>88753188</v>
      </c>
      <c r="AO487" s="14"/>
      <c r="AP487" s="7" t="str">
        <f t="shared" si="110"/>
        <v xml:space="preserve">Shaker Heights City SD </v>
      </c>
      <c r="AQ487" s="7" t="str">
        <f>'Gen Fd BS'!A487</f>
        <v xml:space="preserve">Shaker Heights City SD </v>
      </c>
      <c r="AR487" s="7" t="b">
        <f t="shared" si="111"/>
        <v>1</v>
      </c>
      <c r="AT487" s="7" t="str">
        <f t="shared" si="109"/>
        <v>Cuyahoga</v>
      </c>
      <c r="AU487" s="7" t="b">
        <f>C487='Gen Fd BS'!C487</f>
        <v>1</v>
      </c>
    </row>
    <row r="488" spans="1:47" hidden="1">
      <c r="A488" s="12" t="s">
        <v>738</v>
      </c>
      <c r="B488" s="12"/>
      <c r="C488" s="12" t="s">
        <v>10</v>
      </c>
      <c r="D488" s="12"/>
      <c r="E488" s="12"/>
      <c r="Y488" s="2">
        <f t="shared" si="112"/>
        <v>0</v>
      </c>
      <c r="AM488" s="7">
        <f t="shared" si="114"/>
        <v>0</v>
      </c>
      <c r="AO488" s="7" t="s">
        <v>973</v>
      </c>
      <c r="AP488" s="7" t="str">
        <f t="shared" si="110"/>
        <v>Shawnee Local SD (CASH)</v>
      </c>
      <c r="AQ488" s="7" t="str">
        <f>'Gen Fd BS'!A488</f>
        <v>Shawnee Local SD (CASH)</v>
      </c>
      <c r="AR488" s="7" t="b">
        <f t="shared" si="111"/>
        <v>1</v>
      </c>
      <c r="AT488" s="7" t="str">
        <f t="shared" si="109"/>
        <v>Allen</v>
      </c>
      <c r="AU488" s="7" t="b">
        <f>C488='Gen Fd BS'!C488</f>
        <v>1</v>
      </c>
    </row>
    <row r="489" spans="1:47">
      <c r="A489" s="12" t="s">
        <v>899</v>
      </c>
      <c r="B489" s="12"/>
      <c r="C489" s="12" t="s">
        <v>44</v>
      </c>
      <c r="D489" s="12"/>
      <c r="E489" s="12">
        <v>44768</v>
      </c>
      <c r="G489" s="7">
        <v>10569186</v>
      </c>
      <c r="I489" s="7">
        <v>0</v>
      </c>
      <c r="K489" s="7">
        <v>7276448</v>
      </c>
      <c r="M489" s="7">
        <v>14150</v>
      </c>
      <c r="O489" s="7">
        <v>1034319</v>
      </c>
      <c r="Q489" s="7">
        <v>48777</v>
      </c>
      <c r="S489" s="7">
        <v>0</v>
      </c>
      <c r="U489" s="7">
        <v>0</v>
      </c>
      <c r="W489" s="7">
        <v>77026</v>
      </c>
      <c r="Y489" s="2">
        <f t="shared" si="112"/>
        <v>19019906</v>
      </c>
      <c r="AA489" s="7">
        <v>45765</v>
      </c>
      <c r="AC489" s="7">
        <v>0</v>
      </c>
      <c r="AE489" s="7">
        <v>0</v>
      </c>
      <c r="AG489" s="7">
        <v>0</v>
      </c>
      <c r="AI489" s="7">
        <v>0</v>
      </c>
      <c r="AK489" s="7">
        <f t="shared" si="113"/>
        <v>45765</v>
      </c>
      <c r="AM489" s="7">
        <f t="shared" si="114"/>
        <v>19065671</v>
      </c>
      <c r="AP489" s="7" t="str">
        <f t="shared" si="110"/>
        <v>Sheffield-Sheffield Lake City SD</v>
      </c>
      <c r="AQ489" s="7" t="str">
        <f>'Gen Fd BS'!A489</f>
        <v>Sheffield-Sheffield Lake City SD</v>
      </c>
      <c r="AR489" s="7" t="b">
        <f t="shared" si="111"/>
        <v>1</v>
      </c>
      <c r="AT489" s="7" t="str">
        <f t="shared" si="109"/>
        <v>Lorain</v>
      </c>
      <c r="AU489" s="7" t="b">
        <f>C489='Gen Fd BS'!C489</f>
        <v>1</v>
      </c>
    </row>
    <row r="490" spans="1:47">
      <c r="A490" s="12" t="s">
        <v>487</v>
      </c>
      <c r="B490" s="12"/>
      <c r="C490" s="12" t="s">
        <v>110</v>
      </c>
      <c r="D490" s="12"/>
      <c r="E490" s="12">
        <v>44776</v>
      </c>
      <c r="G490" s="7">
        <v>5156162</v>
      </c>
      <c r="I490" s="7">
        <v>2340242</v>
      </c>
      <c r="K490" s="7">
        <f>9215970+51169</f>
        <v>9267139</v>
      </c>
      <c r="M490" s="7">
        <v>19987</v>
      </c>
      <c r="O490" s="7">
        <f>34196+277360+57618</f>
        <v>369174</v>
      </c>
      <c r="Q490" s="7">
        <v>62017</v>
      </c>
      <c r="S490" s="7">
        <v>0</v>
      </c>
      <c r="U490" s="7">
        <v>21342</v>
      </c>
      <c r="W490" s="7">
        <f>240384+1010+54017</f>
        <v>295411</v>
      </c>
      <c r="Y490" s="2">
        <f t="shared" si="112"/>
        <v>17531474</v>
      </c>
      <c r="AA490" s="7">
        <v>0</v>
      </c>
      <c r="AC490" s="7">
        <v>0</v>
      </c>
      <c r="AE490" s="7">
        <v>0</v>
      </c>
      <c r="AG490" s="7">
        <v>0</v>
      </c>
      <c r="AI490" s="7">
        <v>0</v>
      </c>
      <c r="AK490" s="7">
        <f t="shared" si="113"/>
        <v>0</v>
      </c>
      <c r="AM490" s="7">
        <f t="shared" si="114"/>
        <v>17531474</v>
      </c>
      <c r="AP490" s="7" t="str">
        <f t="shared" si="110"/>
        <v>Shelby City SD</v>
      </c>
      <c r="AQ490" s="7" t="str">
        <f>'Gen Fd BS'!A490</f>
        <v>Shelby City SD</v>
      </c>
      <c r="AR490" s="7" t="b">
        <f t="shared" si="111"/>
        <v>1</v>
      </c>
      <c r="AT490" s="7" t="str">
        <f t="shared" si="109"/>
        <v>Richland</v>
      </c>
      <c r="AU490" s="7" t="b">
        <f>C490='Gen Fd BS'!C490</f>
        <v>1</v>
      </c>
    </row>
    <row r="491" spans="1:47" hidden="1">
      <c r="A491" s="12" t="s">
        <v>985</v>
      </c>
      <c r="B491" s="12"/>
      <c r="C491" s="12" t="s">
        <v>61</v>
      </c>
      <c r="D491" s="12"/>
      <c r="E491" s="12">
        <v>44784</v>
      </c>
      <c r="Y491" s="2">
        <f t="shared" si="112"/>
        <v>0</v>
      </c>
      <c r="AK491" s="7">
        <f t="shared" si="113"/>
        <v>0</v>
      </c>
      <c r="AM491" s="7">
        <f t="shared" si="114"/>
        <v>0</v>
      </c>
      <c r="AO491" s="7" t="s">
        <v>974</v>
      </c>
      <c r="AP491" s="7" t="str">
        <f t="shared" si="110"/>
        <v>Sidney City SD (CASH)</v>
      </c>
      <c r="AQ491" s="7" t="str">
        <f>'Gen Fd BS'!A491</f>
        <v>Sidney City SD (CASH)</v>
      </c>
      <c r="AR491" s="7" t="b">
        <f t="shared" si="111"/>
        <v>1</v>
      </c>
      <c r="AT491" s="7" t="str">
        <f t="shared" si="109"/>
        <v>Shelby</v>
      </c>
      <c r="AU491" s="7" t="b">
        <f>C491='Gen Fd BS'!C491</f>
        <v>1</v>
      </c>
    </row>
    <row r="492" spans="1:47">
      <c r="A492" s="12" t="s">
        <v>283</v>
      </c>
      <c r="B492" s="12"/>
      <c r="C492" s="12" t="s">
        <v>20</v>
      </c>
      <c r="D492" s="12"/>
      <c r="E492" s="12">
        <v>46607</v>
      </c>
      <c r="G492" s="7">
        <v>48953711</v>
      </c>
      <c r="I492" s="7">
        <v>0</v>
      </c>
      <c r="K492" s="7">
        <v>18073201</v>
      </c>
      <c r="M492" s="7">
        <v>116819</v>
      </c>
      <c r="O492" s="7">
        <f>1039979+190448</f>
        <v>1230427</v>
      </c>
      <c r="Q492" s="7">
        <v>0</v>
      </c>
      <c r="S492" s="7">
        <v>0</v>
      </c>
      <c r="U492" s="7">
        <v>82293</v>
      </c>
      <c r="W492" s="7">
        <f>442614+154414</f>
        <v>597028</v>
      </c>
      <c r="Y492" s="2">
        <f t="shared" si="112"/>
        <v>69053479</v>
      </c>
      <c r="AA492" s="7">
        <v>0</v>
      </c>
      <c r="AC492" s="7">
        <v>0</v>
      </c>
      <c r="AE492" s="7">
        <v>149781</v>
      </c>
      <c r="AG492" s="7">
        <v>0</v>
      </c>
      <c r="AI492" s="7">
        <v>0</v>
      </c>
      <c r="AK492" s="7">
        <f t="shared" si="113"/>
        <v>149781</v>
      </c>
      <c r="AM492" s="7">
        <f t="shared" si="114"/>
        <v>69203260</v>
      </c>
      <c r="AP492" s="7" t="str">
        <f t="shared" si="110"/>
        <v>Solon City SD</v>
      </c>
      <c r="AQ492" s="7" t="str">
        <f>'Gen Fd BS'!A492</f>
        <v>Solon City SD</v>
      </c>
      <c r="AR492" s="7" t="b">
        <f t="shared" si="111"/>
        <v>1</v>
      </c>
      <c r="AT492" s="7" t="str">
        <f t="shared" si="109"/>
        <v>Cuyahoga</v>
      </c>
      <c r="AU492" s="7" t="b">
        <f>C492='Gen Fd BS'!C492</f>
        <v>1</v>
      </c>
    </row>
    <row r="493" spans="1:47" ht="12.75" customHeight="1">
      <c r="A493" s="12" t="s">
        <v>660</v>
      </c>
      <c r="B493" s="12"/>
      <c r="C493" s="12" t="s">
        <v>37</v>
      </c>
      <c r="D493" s="12"/>
      <c r="E493" s="12"/>
      <c r="G493" s="7">
        <v>2272309</v>
      </c>
      <c r="I493" s="7">
        <v>0</v>
      </c>
      <c r="K493" s="7">
        <v>4991736</v>
      </c>
      <c r="M493" s="7">
        <v>12253</v>
      </c>
      <c r="O493" s="7">
        <f>313622+18227</f>
        <v>331849</v>
      </c>
      <c r="Q493" s="7">
        <v>46124</v>
      </c>
      <c r="S493" s="7">
        <v>0</v>
      </c>
      <c r="U493" s="7">
        <v>15763</v>
      </c>
      <c r="W493" s="7">
        <v>10174</v>
      </c>
      <c r="Y493" s="2">
        <f t="shared" si="112"/>
        <v>7680208</v>
      </c>
      <c r="AA493" s="7">
        <v>0</v>
      </c>
      <c r="AC493" s="7">
        <v>0</v>
      </c>
      <c r="AE493" s="7">
        <v>0</v>
      </c>
      <c r="AG493" s="7">
        <v>0</v>
      </c>
      <c r="AI493" s="7">
        <v>0</v>
      </c>
      <c r="AK493" s="7">
        <f t="shared" si="113"/>
        <v>0</v>
      </c>
      <c r="AM493" s="7">
        <f t="shared" si="114"/>
        <v>7680208</v>
      </c>
      <c r="AP493" s="7" t="str">
        <f t="shared" si="110"/>
        <v>South Central Local SD</v>
      </c>
      <c r="AQ493" s="7" t="str">
        <f>'Gen Fd BS'!A493</f>
        <v>South Central Local SD</v>
      </c>
      <c r="AR493" s="7" t="b">
        <f t="shared" si="111"/>
        <v>1</v>
      </c>
      <c r="AT493" s="7" t="str">
        <f t="shared" si="109"/>
        <v>Huron</v>
      </c>
      <c r="AU493" s="7" t="b">
        <f>C493='Gen Fd BS'!C493</f>
        <v>1</v>
      </c>
    </row>
    <row r="494" spans="1:47">
      <c r="A494" s="12" t="s">
        <v>284</v>
      </c>
      <c r="B494" s="12"/>
      <c r="C494" s="12" t="s">
        <v>20</v>
      </c>
      <c r="D494" s="12"/>
      <c r="E494" s="12">
        <v>44792</v>
      </c>
      <c r="G494" s="7">
        <v>39493700</v>
      </c>
      <c r="I494" s="7">
        <v>0</v>
      </c>
      <c r="K494" s="7">
        <v>14809502</v>
      </c>
      <c r="M494" s="7">
        <v>21356</v>
      </c>
      <c r="O494" s="7">
        <v>2130883</v>
      </c>
      <c r="Q494" s="7">
        <v>78267</v>
      </c>
      <c r="S494" s="7">
        <v>385000</v>
      </c>
      <c r="U494" s="7">
        <v>6798</v>
      </c>
      <c r="W494" s="7">
        <f>838776+92935+73690</f>
        <v>1005401</v>
      </c>
      <c r="Y494" s="2">
        <f t="shared" si="112"/>
        <v>57930907</v>
      </c>
      <c r="AA494" s="7">
        <v>0</v>
      </c>
      <c r="AC494" s="7">
        <v>0</v>
      </c>
      <c r="AE494" s="7">
        <v>0</v>
      </c>
      <c r="AG494" s="7">
        <v>0</v>
      </c>
      <c r="AI494" s="7">
        <v>0</v>
      </c>
      <c r="AK494" s="7">
        <f t="shared" si="113"/>
        <v>0</v>
      </c>
      <c r="AM494" s="7">
        <f t="shared" si="114"/>
        <v>57930907</v>
      </c>
      <c r="AP494" s="7" t="str">
        <f t="shared" si="110"/>
        <v>South Euclid-Lyndhurst City SD</v>
      </c>
      <c r="AQ494" s="7" t="str">
        <f>'Gen Fd BS'!A494</f>
        <v>South Euclid-Lyndhurst City SD</v>
      </c>
      <c r="AR494" s="7" t="b">
        <f t="shared" si="111"/>
        <v>1</v>
      </c>
      <c r="AT494" s="7" t="str">
        <f t="shared" si="109"/>
        <v>Cuyahoga</v>
      </c>
      <c r="AU494" s="7" t="b">
        <f>C494='Gen Fd BS'!C494</f>
        <v>1</v>
      </c>
    </row>
    <row r="495" spans="1:47">
      <c r="A495" s="12" t="s">
        <v>382</v>
      </c>
      <c r="B495" s="12"/>
      <c r="C495" s="12" t="s">
        <v>377</v>
      </c>
      <c r="D495" s="12"/>
      <c r="E495" s="12">
        <v>47951</v>
      </c>
      <c r="G495" s="7">
        <v>3001126</v>
      </c>
      <c r="I495" s="7">
        <v>0</v>
      </c>
      <c r="K495" s="7">
        <v>11624402</v>
      </c>
      <c r="M495" s="7">
        <v>15855</v>
      </c>
      <c r="O495" s="7">
        <v>159170</v>
      </c>
      <c r="Q495" s="7">
        <v>42793</v>
      </c>
      <c r="S495" s="7">
        <v>0</v>
      </c>
      <c r="U495" s="7">
        <v>4562</v>
      </c>
      <c r="W495" s="7">
        <f>43777+85041+8320</f>
        <v>137138</v>
      </c>
      <c r="Y495" s="2">
        <f t="shared" si="112"/>
        <v>14985046</v>
      </c>
      <c r="AA495" s="7">
        <v>0</v>
      </c>
      <c r="AC495" s="7">
        <v>0</v>
      </c>
      <c r="AE495" s="7">
        <v>0</v>
      </c>
      <c r="AG495" s="7">
        <v>39500</v>
      </c>
      <c r="AI495" s="7">
        <v>0</v>
      </c>
      <c r="AK495" s="7">
        <f t="shared" si="113"/>
        <v>39500</v>
      </c>
      <c r="AM495" s="7">
        <f t="shared" si="114"/>
        <v>15024546</v>
      </c>
      <c r="AP495" s="7" t="str">
        <f t="shared" si="110"/>
        <v>South Point Local SD</v>
      </c>
      <c r="AQ495" s="7" t="str">
        <f>'Gen Fd BS'!A495</f>
        <v>South Point Local SD</v>
      </c>
      <c r="AR495" s="7" t="b">
        <f t="shared" si="111"/>
        <v>1</v>
      </c>
      <c r="AT495" s="7" t="str">
        <f t="shared" si="109"/>
        <v>Lawrence</v>
      </c>
      <c r="AU495" s="7" t="b">
        <f>C495='Gen Fd BS'!C495</f>
        <v>1</v>
      </c>
    </row>
    <row r="496" spans="1:47">
      <c r="A496" s="12" t="s">
        <v>419</v>
      </c>
      <c r="B496" s="12"/>
      <c r="C496" s="12" t="s">
        <v>45</v>
      </c>
      <c r="D496" s="12"/>
      <c r="E496" s="12">
        <v>48363</v>
      </c>
      <c r="G496" s="7">
        <v>4734017</v>
      </c>
      <c r="I496" s="7">
        <v>0</v>
      </c>
      <c r="K496" s="7">
        <v>5694440</v>
      </c>
      <c r="M496" s="7">
        <v>10309</v>
      </c>
      <c r="O496" s="7">
        <v>25798</v>
      </c>
      <c r="Q496" s="7">
        <v>99543</v>
      </c>
      <c r="S496" s="7">
        <v>0</v>
      </c>
      <c r="U496" s="7">
        <v>23455</v>
      </c>
      <c r="W496" s="7">
        <f>399+556</f>
        <v>955</v>
      </c>
      <c r="Y496" s="2">
        <f t="shared" si="112"/>
        <v>10588517</v>
      </c>
      <c r="AA496" s="7">
        <v>0</v>
      </c>
      <c r="AC496" s="7">
        <v>0</v>
      </c>
      <c r="AE496" s="7">
        <v>51500</v>
      </c>
      <c r="AG496" s="7">
        <v>7216</v>
      </c>
      <c r="AI496" s="7">
        <v>0</v>
      </c>
      <c r="AK496" s="7">
        <f t="shared" si="113"/>
        <v>58716</v>
      </c>
      <c r="AM496" s="7">
        <f t="shared" si="114"/>
        <v>10647233</v>
      </c>
      <c r="AP496" s="7" t="str">
        <f t="shared" si="110"/>
        <v>South Range Local SD</v>
      </c>
      <c r="AQ496" s="7" t="str">
        <f>'Gen Fd BS'!A496</f>
        <v>South Range Local SD</v>
      </c>
      <c r="AR496" s="7" t="b">
        <f t="shared" si="111"/>
        <v>1</v>
      </c>
      <c r="AT496" s="7" t="str">
        <f t="shared" si="109"/>
        <v>Mahoning</v>
      </c>
      <c r="AU496" s="7" t="b">
        <f>C496='Gen Fd BS'!C496</f>
        <v>1</v>
      </c>
    </row>
    <row r="497" spans="1:47">
      <c r="A497" s="12" t="s">
        <v>478</v>
      </c>
      <c r="B497" s="12"/>
      <c r="C497" s="12" t="s">
        <v>56</v>
      </c>
      <c r="D497" s="12"/>
      <c r="E497" s="12">
        <v>49221</v>
      </c>
      <c r="G497" s="7">
        <v>5107294</v>
      </c>
      <c r="I497" s="7">
        <v>0</v>
      </c>
      <c r="K497" s="7">
        <v>11633337</v>
      </c>
      <c r="M497" s="7">
        <v>22562</v>
      </c>
      <c r="O497" s="7">
        <v>349265</v>
      </c>
      <c r="Q497" s="7">
        <v>53221</v>
      </c>
      <c r="S497" s="7">
        <v>0</v>
      </c>
      <c r="U497" s="7">
        <v>0</v>
      </c>
      <c r="W497" s="7">
        <f>68364+2153</f>
        <v>70517</v>
      </c>
      <c r="Y497" s="2">
        <f t="shared" si="112"/>
        <v>17236196</v>
      </c>
      <c r="AA497" s="7">
        <v>0</v>
      </c>
      <c r="AC497" s="7">
        <v>0</v>
      </c>
      <c r="AE497" s="7">
        <v>0</v>
      </c>
      <c r="AG497" s="7">
        <v>0</v>
      </c>
      <c r="AI497" s="7">
        <v>0</v>
      </c>
      <c r="AK497" s="7">
        <f t="shared" si="113"/>
        <v>0</v>
      </c>
      <c r="AM497" s="7">
        <f t="shared" si="114"/>
        <v>17236196</v>
      </c>
      <c r="AP497" s="7" t="str">
        <f t="shared" si="110"/>
        <v>Southeast Local SD</v>
      </c>
      <c r="AQ497" s="7" t="str">
        <f>'Gen Fd BS'!A497</f>
        <v>Southeast Local SD</v>
      </c>
      <c r="AR497" s="7" t="b">
        <f t="shared" si="111"/>
        <v>1</v>
      </c>
      <c r="AT497" s="7" t="str">
        <f t="shared" si="109"/>
        <v>Portage</v>
      </c>
      <c r="AU497" s="7" t="b">
        <f>C497='Gen Fd BS'!C497</f>
        <v>1</v>
      </c>
    </row>
    <row r="498" spans="1:47">
      <c r="A498" s="12" t="s">
        <v>478</v>
      </c>
      <c r="B498" s="12"/>
      <c r="C498" s="12" t="s">
        <v>71</v>
      </c>
      <c r="D498" s="12"/>
      <c r="E498" s="12">
        <v>50583</v>
      </c>
      <c r="G498" s="7">
        <v>6931054</v>
      </c>
      <c r="I498" s="7">
        <v>0</v>
      </c>
      <c r="K498" s="7">
        <v>6004733</v>
      </c>
      <c r="M498" s="7">
        <v>1960</v>
      </c>
      <c r="O498" s="7">
        <v>750772</v>
      </c>
      <c r="Q498" s="7">
        <v>90719</v>
      </c>
      <c r="S498" s="7">
        <v>0</v>
      </c>
      <c r="U498" s="7">
        <v>26687</v>
      </c>
      <c r="W498" s="7">
        <f>5705+101060</f>
        <v>106765</v>
      </c>
      <c r="Y498" s="2">
        <f t="shared" si="112"/>
        <v>13912690</v>
      </c>
      <c r="AA498" s="7">
        <v>0</v>
      </c>
      <c r="AC498" s="7">
        <v>0</v>
      </c>
      <c r="AE498" s="7">
        <v>0</v>
      </c>
      <c r="AG498" s="7">
        <v>0</v>
      </c>
      <c r="AI498" s="7">
        <v>0</v>
      </c>
      <c r="AK498" s="7">
        <f t="shared" ref="AK498:AK529" si="115">SUM(AA498:AJ498)</f>
        <v>0</v>
      </c>
      <c r="AM498" s="7">
        <f t="shared" si="114"/>
        <v>13912690</v>
      </c>
      <c r="AO498" s="7" t="s">
        <v>788</v>
      </c>
      <c r="AP498" s="7" t="str">
        <f t="shared" si="110"/>
        <v>Southeast Local SD</v>
      </c>
      <c r="AQ498" s="7" t="str">
        <f>'Gen Fd BS'!A498</f>
        <v>Southeast Local SD</v>
      </c>
      <c r="AR498" s="7" t="b">
        <f t="shared" si="111"/>
        <v>1</v>
      </c>
      <c r="AT498" s="7" t="str">
        <f t="shared" si="109"/>
        <v>Wayne</v>
      </c>
      <c r="AU498" s="7" t="b">
        <f>C498='Gen Fd BS'!C498</f>
        <v>1</v>
      </c>
    </row>
    <row r="499" spans="1:47">
      <c r="A499" s="12" t="s">
        <v>240</v>
      </c>
      <c r="B499" s="12"/>
      <c r="C499" s="12" t="s">
        <v>17</v>
      </c>
      <c r="D499" s="12"/>
      <c r="E499" s="12">
        <v>46276</v>
      </c>
      <c r="F499" s="10"/>
      <c r="G499" s="7">
        <v>2403027</v>
      </c>
      <c r="I499" s="7">
        <v>884080</v>
      </c>
      <c r="K499" s="7">
        <v>3682264</v>
      </c>
      <c r="M499" s="7">
        <v>0</v>
      </c>
      <c r="O499" s="7">
        <v>484320</v>
      </c>
      <c r="Q499" s="7">
        <v>9282</v>
      </c>
      <c r="S499" s="7">
        <v>0</v>
      </c>
      <c r="U499" s="7">
        <v>12084</v>
      </c>
      <c r="W499" s="7">
        <v>8270</v>
      </c>
      <c r="Y499" s="2">
        <f t="shared" si="112"/>
        <v>7483327</v>
      </c>
      <c r="AA499" s="7">
        <v>0</v>
      </c>
      <c r="AC499" s="7">
        <v>0</v>
      </c>
      <c r="AE499" s="7">
        <v>0</v>
      </c>
      <c r="AG499" s="7">
        <v>0</v>
      </c>
      <c r="AI499" s="7">
        <v>0</v>
      </c>
      <c r="AK499" s="7">
        <f t="shared" si="115"/>
        <v>0</v>
      </c>
      <c r="AM499" s="7">
        <f t="shared" si="114"/>
        <v>7483327</v>
      </c>
      <c r="AP499" s="7" t="str">
        <f t="shared" si="110"/>
        <v>Southeastern Local SD</v>
      </c>
      <c r="AQ499" s="7" t="str">
        <f>'Gen Fd BS'!A499</f>
        <v>Southeastern Local SD</v>
      </c>
      <c r="AR499" s="7" t="b">
        <f t="shared" si="111"/>
        <v>1</v>
      </c>
      <c r="AT499" s="7" t="str">
        <f t="shared" si="109"/>
        <v>Clark</v>
      </c>
      <c r="AU499" s="7" t="b">
        <f>C499='Gen Fd BS'!C499</f>
        <v>1</v>
      </c>
    </row>
    <row r="500" spans="1:47">
      <c r="A500" s="12" t="s">
        <v>240</v>
      </c>
      <c r="B500" s="12"/>
      <c r="C500" s="12" t="s">
        <v>58</v>
      </c>
      <c r="D500" s="12"/>
      <c r="E500" s="12">
        <v>49528</v>
      </c>
      <c r="G500" s="7">
        <v>1679808</v>
      </c>
      <c r="I500" s="7">
        <v>24508</v>
      </c>
      <c r="K500" s="7">
        <v>7291178</v>
      </c>
      <c r="M500" s="7">
        <v>43943</v>
      </c>
      <c r="O500" s="7">
        <v>898578</v>
      </c>
      <c r="Q500" s="7">
        <v>22321</v>
      </c>
      <c r="S500" s="7">
        <v>0</v>
      </c>
      <c r="U500" s="7">
        <v>0</v>
      </c>
      <c r="W500" s="7">
        <f>74600+77573+37552</f>
        <v>189725</v>
      </c>
      <c r="Y500" s="2">
        <f t="shared" si="112"/>
        <v>10150061</v>
      </c>
      <c r="AA500" s="7">
        <v>0</v>
      </c>
      <c r="AC500" s="7">
        <v>0</v>
      </c>
      <c r="AE500" s="7">
        <v>0</v>
      </c>
      <c r="AG500" s="7">
        <v>0</v>
      </c>
      <c r="AI500" s="7">
        <v>0</v>
      </c>
      <c r="AK500" s="7">
        <f t="shared" si="115"/>
        <v>0</v>
      </c>
      <c r="AM500" s="7">
        <f t="shared" si="114"/>
        <v>10150061</v>
      </c>
      <c r="AP500" s="7" t="str">
        <f t="shared" si="110"/>
        <v>Southeastern Local SD</v>
      </c>
      <c r="AQ500" s="7" t="str">
        <f>'Gen Fd BS'!A500</f>
        <v>Southeastern Local SD</v>
      </c>
      <c r="AR500" s="7" t="b">
        <f t="shared" si="111"/>
        <v>1</v>
      </c>
      <c r="AT500" s="7" t="str">
        <f t="shared" si="109"/>
        <v>Ross</v>
      </c>
      <c r="AU500" s="7" t="b">
        <f>C500='Gen Fd BS'!C500</f>
        <v>1</v>
      </c>
    </row>
    <row r="501" spans="1:47">
      <c r="A501" s="12" t="s">
        <v>674</v>
      </c>
      <c r="B501" s="12"/>
      <c r="C501" s="12" t="s">
        <v>112</v>
      </c>
      <c r="D501" s="12"/>
      <c r="E501" s="12">
        <v>46441</v>
      </c>
      <c r="F501" s="10"/>
      <c r="G501" s="7">
        <v>1637296</v>
      </c>
      <c r="I501" s="7">
        <v>0</v>
      </c>
      <c r="K501" s="7">
        <v>6445394</v>
      </c>
      <c r="M501" s="7">
        <v>881</v>
      </c>
      <c r="O501" s="7">
        <v>373941</v>
      </c>
      <c r="Q501" s="7">
        <v>52564</v>
      </c>
      <c r="S501" s="7">
        <v>0</v>
      </c>
      <c r="U501" s="7">
        <v>0</v>
      </c>
      <c r="W501" s="7">
        <f>32896+68283</f>
        <v>101179</v>
      </c>
      <c r="Y501" s="2">
        <f>SUM(G501:X501)</f>
        <v>8611255</v>
      </c>
      <c r="AA501" s="7">
        <v>0</v>
      </c>
      <c r="AC501" s="7">
        <v>0</v>
      </c>
      <c r="AE501" s="7">
        <v>0</v>
      </c>
      <c r="AG501" s="7">
        <v>0</v>
      </c>
      <c r="AI501" s="7">
        <v>0</v>
      </c>
      <c r="AK501" s="7">
        <f>SUM(AA501:AJ501)</f>
        <v>0</v>
      </c>
      <c r="AM501" s="7">
        <f t="shared" si="114"/>
        <v>8611255</v>
      </c>
      <c r="AP501" s="7" t="str">
        <f t="shared" si="110"/>
        <v xml:space="preserve">Southern Local SD </v>
      </c>
      <c r="AQ501" s="7" t="str">
        <f>'Gen Fd BS'!A501</f>
        <v xml:space="preserve">Southern Local SD </v>
      </c>
      <c r="AR501" s="7" t="b">
        <f t="shared" si="111"/>
        <v>1</v>
      </c>
      <c r="AT501" s="7" t="str">
        <f t="shared" si="109"/>
        <v>Columbiana</v>
      </c>
      <c r="AU501" s="7" t="b">
        <f>C501='Gen Fd BS'!C501</f>
        <v>1</v>
      </c>
    </row>
    <row r="502" spans="1:47">
      <c r="A502" s="12" t="s">
        <v>256</v>
      </c>
      <c r="B502" s="12"/>
      <c r="C502" s="12" t="s">
        <v>433</v>
      </c>
      <c r="D502" s="12"/>
      <c r="E502" s="12">
        <v>46441</v>
      </c>
      <c r="F502" s="10"/>
      <c r="G502" s="7">
        <v>2271077</v>
      </c>
      <c r="I502" s="7">
        <v>0</v>
      </c>
      <c r="K502" s="7">
        <v>4277692</v>
      </c>
      <c r="M502" s="7">
        <v>35774</v>
      </c>
      <c r="O502" s="7">
        <v>272669</v>
      </c>
      <c r="Q502" s="7">
        <v>3444</v>
      </c>
      <c r="S502" s="7">
        <v>0</v>
      </c>
      <c r="U502" s="7">
        <v>17426</v>
      </c>
      <c r="W502" s="7">
        <v>28515</v>
      </c>
      <c r="Y502" s="2">
        <f t="shared" si="112"/>
        <v>6906597</v>
      </c>
      <c r="AA502" s="7">
        <v>0</v>
      </c>
      <c r="AC502" s="7">
        <v>0</v>
      </c>
      <c r="AE502" s="7">
        <v>0</v>
      </c>
      <c r="AG502" s="7">
        <v>0</v>
      </c>
      <c r="AI502" s="7">
        <v>0</v>
      </c>
      <c r="AK502" s="7">
        <f t="shared" si="115"/>
        <v>0</v>
      </c>
      <c r="AM502" s="7">
        <f t="shared" si="114"/>
        <v>6906597</v>
      </c>
      <c r="AP502" s="7" t="str">
        <f t="shared" si="110"/>
        <v>Southern Local SD</v>
      </c>
      <c r="AQ502" s="7" t="str">
        <f>'Gen Fd BS'!A502</f>
        <v>Southern Local SD</v>
      </c>
      <c r="AR502" s="7" t="b">
        <f t="shared" si="111"/>
        <v>1</v>
      </c>
      <c r="AT502" s="7" t="str">
        <f t="shared" si="109"/>
        <v>Meigs</v>
      </c>
      <c r="AU502" s="7" t="b">
        <f>C502='Gen Fd BS'!C502</f>
        <v>1</v>
      </c>
    </row>
    <row r="503" spans="1:47" hidden="1">
      <c r="A503" s="12" t="s">
        <v>739</v>
      </c>
      <c r="B503" s="12"/>
      <c r="C503" s="12" t="s">
        <v>466</v>
      </c>
      <c r="D503" s="12"/>
      <c r="E503" s="12"/>
      <c r="F503" s="10"/>
      <c r="Y503" s="2">
        <f t="shared" si="112"/>
        <v>0</v>
      </c>
      <c r="AK503" s="7">
        <f t="shared" si="115"/>
        <v>0</v>
      </c>
      <c r="AM503" s="7">
        <f t="shared" si="114"/>
        <v>0</v>
      </c>
      <c r="AO503" s="7" t="s">
        <v>789</v>
      </c>
      <c r="AP503" s="7" t="str">
        <f t="shared" si="110"/>
        <v>Southern Local SD (CASH)</v>
      </c>
      <c r="AQ503" s="7" t="str">
        <f>'Gen Fd BS'!A503</f>
        <v>Southern Local SD (CASH)</v>
      </c>
      <c r="AR503" s="7" t="b">
        <f t="shared" si="111"/>
        <v>1</v>
      </c>
      <c r="AT503" s="7" t="str">
        <f t="shared" si="109"/>
        <v>Perry</v>
      </c>
      <c r="AU503" s="7" t="b">
        <f>C503='Gen Fd BS'!C503</f>
        <v>1</v>
      </c>
    </row>
    <row r="504" spans="1:47">
      <c r="A504" s="12" t="s">
        <v>546</v>
      </c>
      <c r="B504" s="12"/>
      <c r="C504" s="12" t="s">
        <v>64</v>
      </c>
      <c r="D504" s="12"/>
      <c r="E504" s="12">
        <v>50237</v>
      </c>
      <c r="G504" s="7">
        <v>1316476</v>
      </c>
      <c r="I504" s="7">
        <v>0</v>
      </c>
      <c r="K504" s="7">
        <v>2829388</v>
      </c>
      <c r="M504" s="7">
        <v>10972</v>
      </c>
      <c r="O504" s="7">
        <v>343723</v>
      </c>
      <c r="Q504" s="7">
        <v>5946</v>
      </c>
      <c r="S504" s="7">
        <v>0</v>
      </c>
      <c r="U504" s="7">
        <v>0</v>
      </c>
      <c r="W504" s="7">
        <v>86325</v>
      </c>
      <c r="Y504" s="2">
        <f t="shared" si="112"/>
        <v>4592830</v>
      </c>
      <c r="AA504" s="7">
        <v>0</v>
      </c>
      <c r="AC504" s="7">
        <v>0</v>
      </c>
      <c r="AE504" s="7">
        <v>0</v>
      </c>
      <c r="AG504" s="7">
        <v>0</v>
      </c>
      <c r="AI504" s="7">
        <v>0</v>
      </c>
      <c r="AK504" s="7">
        <f t="shared" si="115"/>
        <v>0</v>
      </c>
      <c r="AM504" s="7">
        <f t="shared" si="114"/>
        <v>4592830</v>
      </c>
      <c r="AP504" s="7" t="str">
        <f t="shared" si="110"/>
        <v>Southington Local SD</v>
      </c>
      <c r="AQ504" s="7" t="str">
        <f>'Gen Fd BS'!A504</f>
        <v>Southington Local SD</v>
      </c>
      <c r="AR504" s="7" t="b">
        <f t="shared" si="111"/>
        <v>1</v>
      </c>
      <c r="AT504" s="7" t="str">
        <f t="shared" si="109"/>
        <v>Trumbull</v>
      </c>
      <c r="AU504" s="7" t="b">
        <f>C504='Gen Fd BS'!C504</f>
        <v>1</v>
      </c>
    </row>
    <row r="505" spans="1:47" hidden="1">
      <c r="A505" s="12" t="s">
        <v>976</v>
      </c>
      <c r="B505" s="12"/>
      <c r="C505" s="12" t="s">
        <v>42</v>
      </c>
      <c r="D505" s="12"/>
      <c r="E505" s="12">
        <v>48041</v>
      </c>
      <c r="Y505" s="2">
        <f t="shared" si="112"/>
        <v>0</v>
      </c>
      <c r="AK505" s="7">
        <f t="shared" si="115"/>
        <v>0</v>
      </c>
      <c r="AM505" s="7">
        <f t="shared" si="114"/>
        <v>0</v>
      </c>
      <c r="AP505" s="7" t="str">
        <f t="shared" si="110"/>
        <v>Southwest Licking Local SD (CASH)</v>
      </c>
      <c r="AQ505" s="7" t="str">
        <f>'Gen Fd BS'!A505</f>
        <v>Southwest Licking Local SD (CASH)</v>
      </c>
      <c r="AR505" s="7" t="b">
        <f t="shared" si="111"/>
        <v>1</v>
      </c>
      <c r="AT505" s="7" t="str">
        <f t="shared" si="109"/>
        <v>Licking</v>
      </c>
      <c r="AU505" s="7" t="b">
        <f>C505='Gen Fd BS'!C505</f>
        <v>1</v>
      </c>
    </row>
    <row r="506" spans="1:47">
      <c r="A506" s="12" t="s">
        <v>339</v>
      </c>
      <c r="B506" s="12"/>
      <c r="C506" s="12" t="s">
        <v>32</v>
      </c>
      <c r="D506" s="12"/>
      <c r="E506" s="12">
        <v>47381</v>
      </c>
      <c r="G506" s="7">
        <v>14288539</v>
      </c>
      <c r="I506" s="7">
        <v>0</v>
      </c>
      <c r="K506" s="7">
        <v>15697598</v>
      </c>
      <c r="M506" s="7">
        <v>37550</v>
      </c>
      <c r="O506" s="7">
        <v>201210</v>
      </c>
      <c r="Q506" s="7">
        <v>1250</v>
      </c>
      <c r="S506" s="7">
        <v>160969</v>
      </c>
      <c r="U506" s="7">
        <v>0</v>
      </c>
      <c r="W506" s="7">
        <f>187822+46443</f>
        <v>234265</v>
      </c>
      <c r="Y506" s="2">
        <f t="shared" si="112"/>
        <v>30621381</v>
      </c>
      <c r="AA506" s="7">
        <v>0</v>
      </c>
      <c r="AC506" s="7">
        <v>0</v>
      </c>
      <c r="AE506" s="7">
        <v>0</v>
      </c>
      <c r="AG506" s="7">
        <v>0</v>
      </c>
      <c r="AI506" s="7">
        <v>0</v>
      </c>
      <c r="AK506" s="7">
        <f t="shared" si="115"/>
        <v>0</v>
      </c>
      <c r="AM506" s="7">
        <f t="shared" si="114"/>
        <v>30621381</v>
      </c>
      <c r="AP506" s="7" t="str">
        <f t="shared" si="110"/>
        <v>Southwest Local SD</v>
      </c>
      <c r="AQ506" s="7" t="str">
        <f>'Gen Fd BS'!A506</f>
        <v>Southwest Local SD</v>
      </c>
      <c r="AR506" s="7" t="b">
        <f t="shared" si="111"/>
        <v>1</v>
      </c>
      <c r="AT506" s="7" t="str">
        <f t="shared" si="109"/>
        <v>Hamilton</v>
      </c>
      <c r="AU506" s="7" t="b">
        <f>C506='Gen Fd BS'!C506</f>
        <v>1</v>
      </c>
    </row>
    <row r="507" spans="1:47">
      <c r="A507" s="12" t="s">
        <v>313</v>
      </c>
      <c r="B507" s="12"/>
      <c r="C507" s="12" t="s">
        <v>27</v>
      </c>
      <c r="D507" s="12"/>
      <c r="E507" s="12">
        <v>44800</v>
      </c>
      <c r="G507" s="7">
        <v>94007324</v>
      </c>
      <c r="I507" s="7">
        <v>0</v>
      </c>
      <c r="K507" s="7">
        <f>110224350+495286</f>
        <v>110719636</v>
      </c>
      <c r="M507" s="7">
        <v>343889</v>
      </c>
      <c r="O507" s="7">
        <v>759567</v>
      </c>
      <c r="Q507" s="7">
        <v>0</v>
      </c>
      <c r="S507" s="7">
        <v>1746006</v>
      </c>
      <c r="U507" s="7">
        <v>0</v>
      </c>
      <c r="W507" s="7">
        <v>1776912</v>
      </c>
      <c r="Y507" s="2">
        <f t="shared" si="112"/>
        <v>209353334</v>
      </c>
      <c r="AA507" s="7">
        <v>0</v>
      </c>
      <c r="AC507" s="7">
        <v>0</v>
      </c>
      <c r="AE507" s="7">
        <v>0</v>
      </c>
      <c r="AG507" s="7">
        <v>98853</v>
      </c>
      <c r="AI507" s="7">
        <v>0</v>
      </c>
      <c r="AK507" s="7">
        <f t="shared" si="115"/>
        <v>98853</v>
      </c>
      <c r="AM507" s="7">
        <f t="shared" si="114"/>
        <v>209452187</v>
      </c>
      <c r="AP507" s="7" t="str">
        <f t="shared" si="110"/>
        <v>South-Western City SD</v>
      </c>
      <c r="AQ507" s="7" t="str">
        <f>'Gen Fd BS'!A507</f>
        <v>South-Western City SD</v>
      </c>
      <c r="AR507" s="7" t="b">
        <f t="shared" si="111"/>
        <v>1</v>
      </c>
      <c r="AT507" s="7" t="str">
        <f t="shared" si="109"/>
        <v>Franklin</v>
      </c>
      <c r="AU507" s="7" t="b">
        <f>C507='Gen Fd BS'!C507</f>
        <v>1</v>
      </c>
    </row>
    <row r="508" spans="1:47" hidden="1">
      <c r="A508" s="12" t="s">
        <v>741</v>
      </c>
      <c r="B508" s="12"/>
      <c r="C508" s="12" t="s">
        <v>10</v>
      </c>
      <c r="D508" s="12"/>
      <c r="E508" s="12">
        <v>45807</v>
      </c>
      <c r="F508" s="10"/>
      <c r="Y508" s="2">
        <f t="shared" si="112"/>
        <v>0</v>
      </c>
      <c r="AK508" s="7">
        <f t="shared" si="115"/>
        <v>0</v>
      </c>
      <c r="AM508" s="7">
        <f t="shared" si="114"/>
        <v>0</v>
      </c>
      <c r="AO508" s="7" t="s">
        <v>789</v>
      </c>
      <c r="AP508" s="7" t="str">
        <f t="shared" si="110"/>
        <v>Spencerville Local SD (CASH)</v>
      </c>
      <c r="AQ508" s="7" t="str">
        <f>'Gen Fd BS'!A508</f>
        <v>Spencerville Local SD (CASH)</v>
      </c>
      <c r="AR508" s="7" t="b">
        <f t="shared" si="111"/>
        <v>1</v>
      </c>
      <c r="AT508" s="7" t="str">
        <f t="shared" si="109"/>
        <v>Allen</v>
      </c>
      <c r="AU508" s="7" t="b">
        <f>C508='Gen Fd BS'!C508</f>
        <v>1</v>
      </c>
    </row>
    <row r="509" spans="1:47">
      <c r="A509" s="12" t="s">
        <v>977</v>
      </c>
      <c r="B509" s="12"/>
      <c r="C509" s="12" t="s">
        <v>69</v>
      </c>
      <c r="D509" s="12"/>
      <c r="E509" s="12">
        <v>50427</v>
      </c>
      <c r="G509" s="7">
        <v>27976110</v>
      </c>
      <c r="I509" s="7">
        <v>0</v>
      </c>
      <c r="K509" s="7">
        <v>14532031</v>
      </c>
      <c r="M509" s="7">
        <v>10554</v>
      </c>
      <c r="O509" s="7">
        <v>634302</v>
      </c>
      <c r="Q509" s="7">
        <v>679423</v>
      </c>
      <c r="S509" s="7">
        <v>0</v>
      </c>
      <c r="U509" s="7">
        <v>116077</v>
      </c>
      <c r="W509" s="7">
        <f>872667+684629+186139</f>
        <v>1743435</v>
      </c>
      <c r="Y509" s="2">
        <f t="shared" si="112"/>
        <v>45691932</v>
      </c>
      <c r="AA509" s="7">
        <v>0</v>
      </c>
      <c r="AC509" s="7">
        <v>0</v>
      </c>
      <c r="AE509" s="7">
        <v>0</v>
      </c>
      <c r="AG509" s="7">
        <v>0</v>
      </c>
      <c r="AI509" s="7">
        <v>0</v>
      </c>
      <c r="AK509" s="7">
        <f t="shared" si="115"/>
        <v>0</v>
      </c>
      <c r="AM509" s="7">
        <f t="shared" si="114"/>
        <v>45691932</v>
      </c>
      <c r="AP509" s="7" t="str">
        <f t="shared" si="110"/>
        <v xml:space="preserve">Springboro Community City SD </v>
      </c>
      <c r="AQ509" s="7" t="str">
        <f>'Gen Fd BS'!A509</f>
        <v xml:space="preserve">Springboro Community City SD </v>
      </c>
      <c r="AR509" s="7" t="b">
        <f t="shared" si="111"/>
        <v>1</v>
      </c>
      <c r="AT509" s="7" t="str">
        <f t="shared" si="109"/>
        <v>Warren</v>
      </c>
      <c r="AU509" s="7" t="b">
        <f>C509='Gen Fd BS'!C509</f>
        <v>1</v>
      </c>
    </row>
    <row r="510" spans="1:47">
      <c r="A510" s="12" t="s">
        <v>656</v>
      </c>
      <c r="B510" s="12"/>
      <c r="C510" s="12" t="s">
        <v>17</v>
      </c>
      <c r="D510" s="12"/>
      <c r="E510" s="12"/>
      <c r="G510" s="7">
        <v>19245432</v>
      </c>
      <c r="I510" s="7">
        <v>0</v>
      </c>
      <c r="K510" s="7">
        <v>55182037</v>
      </c>
      <c r="M510" s="7">
        <v>50436</v>
      </c>
      <c r="O510" s="7">
        <v>763074</v>
      </c>
      <c r="Q510" s="7">
        <v>88018</v>
      </c>
      <c r="S510" s="7">
        <v>0</v>
      </c>
      <c r="U510" s="7">
        <v>8876</v>
      </c>
      <c r="W510" s="7">
        <f>31029+46340+381537</f>
        <v>458906</v>
      </c>
      <c r="Y510" s="2">
        <f t="shared" si="112"/>
        <v>75796779</v>
      </c>
      <c r="AA510" s="7">
        <v>0</v>
      </c>
      <c r="AC510" s="7">
        <v>0</v>
      </c>
      <c r="AE510" s="7">
        <v>0</v>
      </c>
      <c r="AG510" s="7">
        <v>0</v>
      </c>
      <c r="AI510" s="7">
        <v>0</v>
      </c>
      <c r="AK510" s="7">
        <f t="shared" si="115"/>
        <v>0</v>
      </c>
      <c r="AM510" s="7">
        <f t="shared" si="114"/>
        <v>75796779</v>
      </c>
      <c r="AP510" s="7" t="str">
        <f t="shared" si="110"/>
        <v>Springfield City SD</v>
      </c>
      <c r="AQ510" s="7" t="str">
        <f>'Gen Fd BS'!A510</f>
        <v>Springfield City SD</v>
      </c>
      <c r="AR510" s="7" t="b">
        <f t="shared" si="111"/>
        <v>1</v>
      </c>
      <c r="AT510" s="7" t="str">
        <f t="shared" si="109"/>
        <v>Clark</v>
      </c>
      <c r="AU510" s="7" t="b">
        <f>C510='Gen Fd BS'!C510</f>
        <v>1</v>
      </c>
    </row>
    <row r="511" spans="1:47">
      <c r="A511" s="12" t="s">
        <v>756</v>
      </c>
      <c r="B511" s="12"/>
      <c r="C511" s="12" t="s">
        <v>115</v>
      </c>
      <c r="D511" s="12"/>
      <c r="E511" s="12">
        <v>48223</v>
      </c>
      <c r="G511" s="7">
        <v>21899348</v>
      </c>
      <c r="I511" s="7">
        <v>0</v>
      </c>
      <c r="K511" s="7">
        <v>10955710</v>
      </c>
      <c r="M511" s="7">
        <v>27119</v>
      </c>
      <c r="O511" s="7">
        <v>1017764</v>
      </c>
      <c r="Q511" s="7">
        <v>185026</v>
      </c>
      <c r="S511" s="7">
        <v>0</v>
      </c>
      <c r="U511" s="7">
        <v>6791</v>
      </c>
      <c r="W511" s="7">
        <f>47548+18311+350891</f>
        <v>416750</v>
      </c>
      <c r="Y511" s="2">
        <f t="shared" si="112"/>
        <v>34508508</v>
      </c>
      <c r="AA511" s="7">
        <v>0</v>
      </c>
      <c r="AC511" s="7">
        <v>0</v>
      </c>
      <c r="AE511" s="7">
        <v>0</v>
      </c>
      <c r="AG511" s="7">
        <v>575</v>
      </c>
      <c r="AI511" s="7">
        <v>0</v>
      </c>
      <c r="AK511" s="7">
        <f t="shared" si="115"/>
        <v>575</v>
      </c>
      <c r="AM511" s="7">
        <f t="shared" si="114"/>
        <v>34509083</v>
      </c>
      <c r="AP511" s="7" t="str">
        <f t="shared" si="110"/>
        <v xml:space="preserve">Springfield Local SD </v>
      </c>
      <c r="AQ511" s="7" t="str">
        <f>'Gen Fd BS'!A511</f>
        <v xml:space="preserve">Springfield Local SD </v>
      </c>
      <c r="AR511" s="7" t="b">
        <f t="shared" si="111"/>
        <v>1</v>
      </c>
      <c r="AT511" s="7" t="str">
        <f t="shared" si="109"/>
        <v>Lucas</v>
      </c>
      <c r="AU511" s="7" t="b">
        <f>C511='Gen Fd BS'!C511</f>
        <v>1</v>
      </c>
    </row>
    <row r="512" spans="1:47">
      <c r="A512" s="12" t="s">
        <v>406</v>
      </c>
      <c r="B512" s="12"/>
      <c r="C512" s="12" t="s">
        <v>45</v>
      </c>
      <c r="D512" s="12"/>
      <c r="E512" s="12">
        <v>48371</v>
      </c>
      <c r="G512" s="7">
        <v>2792073</v>
      </c>
      <c r="I512" s="7">
        <v>1727223</v>
      </c>
      <c r="K512" s="7">
        <v>4969288</v>
      </c>
      <c r="M512" s="7">
        <v>5088</v>
      </c>
      <c r="O512" s="7">
        <f>5058+28662</f>
        <v>33720</v>
      </c>
      <c r="Q512" s="7">
        <v>80624</v>
      </c>
      <c r="S512" s="7">
        <v>0</v>
      </c>
      <c r="U512" s="7">
        <v>19621</v>
      </c>
      <c r="W512" s="7">
        <f>11351+5000</f>
        <v>16351</v>
      </c>
      <c r="Y512" s="2">
        <f t="shared" si="112"/>
        <v>9643988</v>
      </c>
      <c r="AA512" s="7">
        <v>0</v>
      </c>
      <c r="AC512" s="7">
        <v>0</v>
      </c>
      <c r="AE512" s="7">
        <v>0</v>
      </c>
      <c r="AG512" s="7">
        <v>0</v>
      </c>
      <c r="AI512" s="7">
        <v>0</v>
      </c>
      <c r="AK512" s="7">
        <f t="shared" si="115"/>
        <v>0</v>
      </c>
      <c r="AM512" s="7">
        <f t="shared" ref="AM512:AM543" si="116">+AK512+Y512</f>
        <v>9643988</v>
      </c>
      <c r="AP512" s="7" t="str">
        <f t="shared" si="110"/>
        <v>Springfield Local SD</v>
      </c>
      <c r="AQ512" s="7" t="str">
        <f>'Gen Fd BS'!A512</f>
        <v>Springfield Local SD</v>
      </c>
      <c r="AR512" s="7" t="b">
        <f t="shared" si="111"/>
        <v>1</v>
      </c>
      <c r="AT512" s="7" t="str">
        <f t="shared" si="109"/>
        <v>Mahoning</v>
      </c>
      <c r="AU512" s="7" t="b">
        <f>C512='Gen Fd BS'!C512</f>
        <v>1</v>
      </c>
    </row>
    <row r="513" spans="1:47">
      <c r="A513" s="12" t="s">
        <v>406</v>
      </c>
      <c r="B513" s="12"/>
      <c r="C513" s="12" t="s">
        <v>63</v>
      </c>
      <c r="D513" s="12"/>
      <c r="E513" s="12">
        <v>50062</v>
      </c>
      <c r="G513" s="7">
        <v>10696026</v>
      </c>
      <c r="I513" s="7">
        <v>0</v>
      </c>
      <c r="K513" s="7">
        <v>11841301</v>
      </c>
      <c r="M513" s="7">
        <v>4085</v>
      </c>
      <c r="O513" s="7">
        <v>2309033</v>
      </c>
      <c r="Q513" s="7">
        <v>132395</v>
      </c>
      <c r="S513" s="7">
        <v>0</v>
      </c>
      <c r="U513" s="7">
        <v>2569</v>
      </c>
      <c r="W513" s="7">
        <f>86640+99693</f>
        <v>186333</v>
      </c>
      <c r="Y513" s="2">
        <f t="shared" si="112"/>
        <v>25171742</v>
      </c>
      <c r="AA513" s="7">
        <v>0</v>
      </c>
      <c r="AC513" s="7">
        <v>0</v>
      </c>
      <c r="AE513" s="7">
        <v>0</v>
      </c>
      <c r="AG513" s="7">
        <v>1487</v>
      </c>
      <c r="AI513" s="7">
        <v>0</v>
      </c>
      <c r="AK513" s="7">
        <f t="shared" si="115"/>
        <v>1487</v>
      </c>
      <c r="AM513" s="7">
        <f t="shared" si="116"/>
        <v>25173229</v>
      </c>
      <c r="AP513" s="7" t="str">
        <f t="shared" si="110"/>
        <v>Springfield Local SD</v>
      </c>
      <c r="AQ513" s="7" t="str">
        <f>'Gen Fd BS'!A513</f>
        <v>Springfield Local SD</v>
      </c>
      <c r="AR513" s="7" t="b">
        <f t="shared" si="111"/>
        <v>1</v>
      </c>
      <c r="AT513" s="7" t="str">
        <f t="shared" si="109"/>
        <v>Summit</v>
      </c>
      <c r="AU513" s="7" t="b">
        <f>C513='Gen Fd BS'!C513</f>
        <v>1</v>
      </c>
    </row>
    <row r="514" spans="1:47">
      <c r="A514" s="12" t="s">
        <v>896</v>
      </c>
      <c r="B514" s="12"/>
      <c r="C514" s="12" t="s">
        <v>32</v>
      </c>
      <c r="D514" s="12"/>
      <c r="E514" s="12">
        <v>44719</v>
      </c>
      <c r="G514" s="7">
        <v>4865222</v>
      </c>
      <c r="I514" s="7">
        <v>0</v>
      </c>
      <c r="K514" s="7">
        <v>6268272</v>
      </c>
      <c r="M514" s="7">
        <v>5851</v>
      </c>
      <c r="O514" s="7">
        <v>836967</v>
      </c>
      <c r="Q514" s="7">
        <v>12468</v>
      </c>
      <c r="S514" s="7">
        <v>0</v>
      </c>
      <c r="U514" s="7">
        <v>0</v>
      </c>
      <c r="W514" s="7">
        <v>342647</v>
      </c>
      <c r="Y514" s="2">
        <f t="shared" si="112"/>
        <v>12331427</v>
      </c>
      <c r="AA514" s="7">
        <v>0</v>
      </c>
      <c r="AC514" s="7">
        <v>0</v>
      </c>
      <c r="AE514" s="7">
        <v>0</v>
      </c>
      <c r="AG514" s="7">
        <v>0</v>
      </c>
      <c r="AI514" s="7">
        <v>0</v>
      </c>
      <c r="AK514" s="7">
        <f>SUM(AA514:AJ514)</f>
        <v>0</v>
      </c>
      <c r="AM514" s="7">
        <f t="shared" si="116"/>
        <v>12331427</v>
      </c>
      <c r="AP514" s="7" t="str">
        <f t="shared" si="110"/>
        <v>St. Bernard-Elmwood Place City SD</v>
      </c>
      <c r="AQ514" s="7" t="str">
        <f>'Gen Fd BS'!A514</f>
        <v>St. Bernard-Elmwood Place City SD</v>
      </c>
      <c r="AR514" s="7" t="b">
        <f t="shared" si="111"/>
        <v>1</v>
      </c>
      <c r="AT514" s="7" t="str">
        <f t="shared" si="109"/>
        <v>Hamilton</v>
      </c>
      <c r="AU514" s="7" t="b">
        <f>C514='Gen Fd BS'!C514</f>
        <v>1</v>
      </c>
    </row>
    <row r="515" spans="1:47">
      <c r="A515" s="12" t="s">
        <v>897</v>
      </c>
      <c r="B515" s="12"/>
      <c r="C515" s="12" t="s">
        <v>15</v>
      </c>
      <c r="D515" s="12"/>
      <c r="E515" s="12">
        <v>45997</v>
      </c>
      <c r="F515" s="10"/>
      <c r="G515" s="7">
        <v>6318606</v>
      </c>
      <c r="I515" s="7">
        <v>0</v>
      </c>
      <c r="K515" s="7">
        <v>4857766</v>
      </c>
      <c r="M515" s="7">
        <v>8863</v>
      </c>
      <c r="O515" s="7">
        <v>1104711</v>
      </c>
      <c r="Q515" s="7">
        <v>321</v>
      </c>
      <c r="S515" s="7">
        <v>0</v>
      </c>
      <c r="U515" s="7">
        <v>12926</v>
      </c>
      <c r="W515" s="7">
        <f>103206+49499</f>
        <v>152705</v>
      </c>
      <c r="Y515" s="2">
        <f t="shared" si="112"/>
        <v>12455898</v>
      </c>
      <c r="AA515" s="7">
        <v>0</v>
      </c>
      <c r="AC515" s="7">
        <v>0</v>
      </c>
      <c r="AE515" s="7">
        <v>32344</v>
      </c>
      <c r="AG515" s="7">
        <v>0</v>
      </c>
      <c r="AI515" s="7">
        <v>0</v>
      </c>
      <c r="AK515" s="7">
        <f t="shared" si="115"/>
        <v>32344</v>
      </c>
      <c r="AM515" s="7">
        <f t="shared" si="116"/>
        <v>12488242</v>
      </c>
      <c r="AP515" s="7" t="str">
        <f t="shared" si="110"/>
        <v>St. Clairsville-Richland City SD</v>
      </c>
      <c r="AQ515" s="7" t="str">
        <f>'Gen Fd BS'!A515</f>
        <v>St. Clairsville-Richland City SD</v>
      </c>
      <c r="AR515" s="7" t="b">
        <f t="shared" si="111"/>
        <v>1</v>
      </c>
      <c r="AT515" s="7" t="str">
        <f t="shared" si="109"/>
        <v>Belmont</v>
      </c>
      <c r="AU515" s="7" t="b">
        <f>C515='Gen Fd BS'!C515</f>
        <v>1</v>
      </c>
    </row>
    <row r="516" spans="1:47" hidden="1">
      <c r="A516" s="12" t="s">
        <v>742</v>
      </c>
      <c r="B516" s="12"/>
      <c r="C516" s="12" t="s">
        <v>435</v>
      </c>
      <c r="D516" s="12"/>
      <c r="E516" s="12">
        <v>48587</v>
      </c>
      <c r="Y516" s="2">
        <f t="shared" si="112"/>
        <v>0</v>
      </c>
      <c r="AI516" s="7">
        <v>0</v>
      </c>
      <c r="AK516" s="7">
        <f t="shared" si="115"/>
        <v>0</v>
      </c>
      <c r="AM516" s="7">
        <f t="shared" si="116"/>
        <v>0</v>
      </c>
      <c r="AO516" s="7" t="s">
        <v>789</v>
      </c>
      <c r="AP516" s="7" t="str">
        <f t="shared" si="110"/>
        <v>St Henry Consolidated Local SD (CASH)</v>
      </c>
      <c r="AQ516" s="7" t="str">
        <f>'Gen Fd BS'!A516</f>
        <v>St Henry Consolidated Local SD (CASH)</v>
      </c>
      <c r="AR516" s="7" t="b">
        <f t="shared" si="111"/>
        <v>1</v>
      </c>
      <c r="AT516" s="7" t="str">
        <f t="shared" si="109"/>
        <v>Mercer</v>
      </c>
      <c r="AU516" s="7" t="b">
        <f>C516='Gen Fd BS'!C516</f>
        <v>1</v>
      </c>
    </row>
    <row r="517" spans="1:47" hidden="1">
      <c r="A517" s="12" t="s">
        <v>743</v>
      </c>
      <c r="B517" s="12"/>
      <c r="C517" s="12" t="s">
        <v>14</v>
      </c>
      <c r="D517" s="12"/>
      <c r="E517" s="12">
        <v>44727</v>
      </c>
      <c r="F517" s="10"/>
      <c r="Y517" s="2">
        <f t="shared" si="112"/>
        <v>0</v>
      </c>
      <c r="AI517" s="7">
        <v>0</v>
      </c>
      <c r="AK517" s="7">
        <f t="shared" si="115"/>
        <v>0</v>
      </c>
      <c r="AM517" s="7">
        <f t="shared" si="116"/>
        <v>0</v>
      </c>
      <c r="AO517" s="7" t="s">
        <v>789</v>
      </c>
      <c r="AP517" s="7" t="str">
        <f t="shared" si="110"/>
        <v>St Marys City SD (CASH)</v>
      </c>
      <c r="AQ517" s="7" t="str">
        <f>'Gen Fd BS'!A517</f>
        <v>St Marys City SD (CASH)</v>
      </c>
      <c r="AR517" s="7" t="b">
        <f t="shared" si="111"/>
        <v>1</v>
      </c>
      <c r="AT517" s="7" t="str">
        <f t="shared" si="109"/>
        <v>Auglaize</v>
      </c>
      <c r="AU517" s="7" t="b">
        <f>C517='Gen Fd BS'!C517</f>
        <v>1</v>
      </c>
    </row>
    <row r="518" spans="1:47">
      <c r="A518" s="12" t="s">
        <v>374</v>
      </c>
      <c r="B518" s="12"/>
      <c r="C518" s="12" t="s">
        <v>39</v>
      </c>
      <c r="D518" s="12"/>
      <c r="E518" s="12">
        <v>44826</v>
      </c>
      <c r="G518" s="7">
        <v>3027545</v>
      </c>
      <c r="I518" s="7">
        <v>0</v>
      </c>
      <c r="K518" s="7">
        <v>11822740</v>
      </c>
      <c r="M518" s="7">
        <v>29243</v>
      </c>
      <c r="O518" s="7">
        <v>3199506</v>
      </c>
      <c r="Q518" s="7">
        <v>4403</v>
      </c>
      <c r="S518" s="7">
        <v>0</v>
      </c>
      <c r="U518" s="7">
        <v>6959</v>
      </c>
      <c r="W518" s="7">
        <f>67446+7860+29071</f>
        <v>104377</v>
      </c>
      <c r="Y518" s="2">
        <f t="shared" si="112"/>
        <v>18194773</v>
      </c>
      <c r="AA518" s="7">
        <v>0</v>
      </c>
      <c r="AC518" s="7">
        <v>0</v>
      </c>
      <c r="AE518" s="7">
        <v>0</v>
      </c>
      <c r="AG518" s="7">
        <v>1018</v>
      </c>
      <c r="AI518" s="7">
        <v>0</v>
      </c>
      <c r="AK518" s="7">
        <f>SUM(AA518:AJ518)</f>
        <v>1018</v>
      </c>
      <c r="AM518" s="7">
        <f t="shared" si="116"/>
        <v>18195791</v>
      </c>
      <c r="AP518" s="7" t="str">
        <f t="shared" si="110"/>
        <v>Steubenville City SD</v>
      </c>
      <c r="AQ518" s="7" t="str">
        <f>'Gen Fd BS'!A518</f>
        <v>Steubenville City SD</v>
      </c>
      <c r="AR518" s="7" t="b">
        <f t="shared" si="111"/>
        <v>1</v>
      </c>
      <c r="AT518" s="7" t="str">
        <f t="shared" si="109"/>
        <v>Jefferson</v>
      </c>
      <c r="AU518" s="7" t="b">
        <f>C518='Gen Fd BS'!C518</f>
        <v>1</v>
      </c>
    </row>
    <row r="519" spans="1:47">
      <c r="A519" s="12" t="s">
        <v>530</v>
      </c>
      <c r="B519" s="12"/>
      <c r="C519" s="12" t="s">
        <v>63</v>
      </c>
      <c r="D519" s="12"/>
      <c r="E519" s="12">
        <v>44834</v>
      </c>
      <c r="G519" s="7">
        <v>28871222</v>
      </c>
      <c r="I519" s="7">
        <v>0</v>
      </c>
      <c r="K519" s="7">
        <f>15113+19305084+39000</f>
        <v>19359197</v>
      </c>
      <c r="M519" s="7">
        <v>64627</v>
      </c>
      <c r="O519" s="7">
        <f>1978965+175738</f>
        <v>2154703</v>
      </c>
      <c r="Q519" s="7">
        <v>457276</v>
      </c>
      <c r="S519" s="7">
        <v>0</v>
      </c>
      <c r="U519" s="7">
        <v>0</v>
      </c>
      <c r="W519" s="7">
        <v>276377</v>
      </c>
      <c r="Y519" s="2">
        <f t="shared" si="112"/>
        <v>51183402</v>
      </c>
      <c r="AA519" s="7">
        <v>0</v>
      </c>
      <c r="AC519" s="7">
        <v>0</v>
      </c>
      <c r="AE519" s="7">
        <v>0</v>
      </c>
      <c r="AG519" s="7">
        <v>0</v>
      </c>
      <c r="AI519" s="7">
        <v>0</v>
      </c>
      <c r="AK519" s="7">
        <f t="shared" si="115"/>
        <v>0</v>
      </c>
      <c r="AM519" s="7">
        <f t="shared" si="116"/>
        <v>51183402</v>
      </c>
      <c r="AP519" s="7" t="str">
        <f t="shared" si="110"/>
        <v>Stow-Munroe Falls City SD</v>
      </c>
      <c r="AQ519" s="7" t="str">
        <f>'Gen Fd BS'!A519</f>
        <v>Stow-Munroe Falls City SD</v>
      </c>
      <c r="AR519" s="7" t="b">
        <f t="shared" si="111"/>
        <v>1</v>
      </c>
      <c r="AT519" s="7" t="str">
        <f t="shared" si="109"/>
        <v>Summit</v>
      </c>
      <c r="AU519" s="7" t="b">
        <f>C519='Gen Fd BS'!C519</f>
        <v>1</v>
      </c>
    </row>
    <row r="520" spans="1:47" hidden="1">
      <c r="A520" s="12" t="s">
        <v>744</v>
      </c>
      <c r="B520" s="12"/>
      <c r="C520" s="12" t="s">
        <v>65</v>
      </c>
      <c r="D520" s="12"/>
      <c r="E520" s="12">
        <v>50294</v>
      </c>
      <c r="Y520" s="2">
        <f t="shared" si="112"/>
        <v>0</v>
      </c>
      <c r="AI520" s="7">
        <v>0</v>
      </c>
      <c r="AK520" s="7">
        <f t="shared" si="115"/>
        <v>0</v>
      </c>
      <c r="AM520" s="7">
        <f t="shared" si="116"/>
        <v>0</v>
      </c>
      <c r="AO520" s="7" t="s">
        <v>792</v>
      </c>
      <c r="AP520" s="7" t="str">
        <f t="shared" si="110"/>
        <v>Strasburg-Franklin Local SD (CASH)</v>
      </c>
      <c r="AQ520" s="7" t="str">
        <f>'Gen Fd BS'!A520</f>
        <v>Strasburg-Franklin Local SD (CASH)</v>
      </c>
      <c r="AR520" s="7" t="b">
        <f t="shared" si="111"/>
        <v>1</v>
      </c>
      <c r="AT520" s="7" t="str">
        <f t="shared" si="109"/>
        <v>Tuscarawas</v>
      </c>
      <c r="AU520" s="7" t="b">
        <f>C520='Gen Fd BS'!C520</f>
        <v>1</v>
      </c>
    </row>
    <row r="521" spans="1:47">
      <c r="A521" s="12" t="s">
        <v>479</v>
      </c>
      <c r="B521" s="12"/>
      <c r="C521" s="12" t="s">
        <v>56</v>
      </c>
      <c r="D521" s="12"/>
      <c r="E521" s="12">
        <v>49239</v>
      </c>
      <c r="G521" s="7">
        <v>11309542</v>
      </c>
      <c r="I521" s="7">
        <v>0</v>
      </c>
      <c r="K521" s="7">
        <v>8062106</v>
      </c>
      <c r="M521" s="7">
        <v>4851</v>
      </c>
      <c r="O521" s="7">
        <v>156676</v>
      </c>
      <c r="Q521" s="7">
        <v>155659</v>
      </c>
      <c r="S521" s="7">
        <v>791594</v>
      </c>
      <c r="U521" s="7">
        <v>1536</v>
      </c>
      <c r="W521" s="7">
        <f>3915+103928</f>
        <v>107843</v>
      </c>
      <c r="Y521" s="2">
        <f t="shared" si="112"/>
        <v>20589807</v>
      </c>
      <c r="AA521" s="7">
        <v>0</v>
      </c>
      <c r="AC521" s="7">
        <v>0</v>
      </c>
      <c r="AE521" s="7">
        <v>0</v>
      </c>
      <c r="AG521" s="7">
        <v>27074</v>
      </c>
      <c r="AI521" s="7">
        <v>0</v>
      </c>
      <c r="AK521" s="7">
        <f t="shared" si="115"/>
        <v>27074</v>
      </c>
      <c r="AM521" s="7">
        <f t="shared" si="116"/>
        <v>20616881</v>
      </c>
      <c r="AP521" s="7" t="str">
        <f t="shared" si="110"/>
        <v>Streetsboro City SD</v>
      </c>
      <c r="AQ521" s="7" t="str">
        <f>'Gen Fd BS'!A521</f>
        <v>Streetsboro City SD</v>
      </c>
      <c r="AR521" s="7" t="b">
        <f t="shared" si="111"/>
        <v>1</v>
      </c>
      <c r="AT521" s="7" t="str">
        <f t="shared" si="109"/>
        <v>Portage</v>
      </c>
      <c r="AU521" s="7" t="b">
        <f>C521='Gen Fd BS'!C521</f>
        <v>1</v>
      </c>
    </row>
    <row r="522" spans="1:47">
      <c r="A522" s="12" t="s">
        <v>285</v>
      </c>
      <c r="B522" s="12"/>
      <c r="C522" s="12" t="s">
        <v>20</v>
      </c>
      <c r="D522" s="12"/>
      <c r="E522" s="12">
        <v>44842</v>
      </c>
      <c r="G522" s="7">
        <v>47893234</v>
      </c>
      <c r="I522" s="7">
        <v>0</v>
      </c>
      <c r="K522" s="7">
        <v>22624850</v>
      </c>
      <c r="M522" s="7">
        <v>16397</v>
      </c>
      <c r="O522" s="7">
        <v>1104440</v>
      </c>
      <c r="Q522" s="7">
        <v>270027</v>
      </c>
      <c r="S522" s="7">
        <v>0</v>
      </c>
      <c r="U522" s="7">
        <v>0</v>
      </c>
      <c r="W522" s="7">
        <v>651401</v>
      </c>
      <c r="Y522" s="2">
        <f t="shared" si="112"/>
        <v>72560349</v>
      </c>
      <c r="AA522" s="7">
        <v>0</v>
      </c>
      <c r="AC522" s="7">
        <v>0</v>
      </c>
      <c r="AE522" s="7">
        <v>0</v>
      </c>
      <c r="AG522" s="7">
        <v>0</v>
      </c>
      <c r="AI522" s="7">
        <v>0</v>
      </c>
      <c r="AK522" s="7">
        <f t="shared" si="115"/>
        <v>0</v>
      </c>
      <c r="AM522" s="7">
        <f t="shared" si="116"/>
        <v>72560349</v>
      </c>
      <c r="AP522" s="7" t="str">
        <f t="shared" si="110"/>
        <v>Strongsville City SD</v>
      </c>
      <c r="AQ522" s="7" t="str">
        <f>'Gen Fd BS'!A522</f>
        <v>Strongsville City SD</v>
      </c>
      <c r="AR522" s="7" t="b">
        <f t="shared" si="111"/>
        <v>1</v>
      </c>
      <c r="AT522" s="7" t="str">
        <f t="shared" si="109"/>
        <v>Cuyahoga</v>
      </c>
      <c r="AU522" s="7" t="b">
        <f>C522='Gen Fd BS'!C522</f>
        <v>1</v>
      </c>
    </row>
    <row r="523" spans="1:47">
      <c r="A523" s="12" t="s">
        <v>420</v>
      </c>
      <c r="B523" s="12"/>
      <c r="C523" s="12" t="s">
        <v>45</v>
      </c>
      <c r="D523" s="12"/>
      <c r="E523" s="12">
        <v>44859</v>
      </c>
      <c r="G523" s="7">
        <v>4194850</v>
      </c>
      <c r="I523" s="7">
        <v>0</v>
      </c>
      <c r="K523" s="7">
        <v>11617232</v>
      </c>
      <c r="M523" s="7">
        <v>14383</v>
      </c>
      <c r="O523" s="7">
        <v>1288470</v>
      </c>
      <c r="Q523" s="7">
        <v>81918</v>
      </c>
      <c r="S523" s="7">
        <v>0</v>
      </c>
      <c r="U523" s="7">
        <v>8307</v>
      </c>
      <c r="W523" s="7">
        <f>36867+7987</f>
        <v>44854</v>
      </c>
      <c r="Y523" s="2">
        <f t="shared" si="112"/>
        <v>17250014</v>
      </c>
      <c r="AA523" s="7">
        <v>0</v>
      </c>
      <c r="AC523" s="7">
        <v>0</v>
      </c>
      <c r="AE523" s="7">
        <v>0</v>
      </c>
      <c r="AG523" s="7">
        <v>14505</v>
      </c>
      <c r="AI523" s="7">
        <v>0</v>
      </c>
      <c r="AK523" s="7">
        <f t="shared" si="115"/>
        <v>14505</v>
      </c>
      <c r="AM523" s="7">
        <f t="shared" si="116"/>
        <v>17264519</v>
      </c>
      <c r="AP523" s="7" t="str">
        <f t="shared" si="110"/>
        <v>Struthers City SD</v>
      </c>
      <c r="AQ523" s="7" t="str">
        <f>'Gen Fd BS'!A523</f>
        <v>Struthers City SD</v>
      </c>
      <c r="AR523" s="7" t="b">
        <f t="shared" si="111"/>
        <v>1</v>
      </c>
      <c r="AT523" s="7" t="str">
        <f t="shared" si="109"/>
        <v>Mahoning</v>
      </c>
      <c r="AU523" s="7" t="b">
        <f>C523='Gen Fd BS'!C523</f>
        <v>1</v>
      </c>
    </row>
    <row r="524" spans="1:47">
      <c r="A524" s="12" t="s">
        <v>571</v>
      </c>
      <c r="B524" s="12"/>
      <c r="C524" s="12" t="s">
        <v>570</v>
      </c>
      <c r="D524" s="12"/>
      <c r="E524" s="12">
        <v>50658</v>
      </c>
      <c r="G524" s="7">
        <v>1065986</v>
      </c>
      <c r="I524" s="7">
        <v>651401</v>
      </c>
      <c r="K524" s="7">
        <v>2313101</v>
      </c>
      <c r="M524" s="7">
        <v>5620</v>
      </c>
      <c r="O524" s="7">
        <v>276751</v>
      </c>
      <c r="Q524" s="7">
        <v>936</v>
      </c>
      <c r="S524" s="7">
        <v>0</v>
      </c>
      <c r="U524" s="7">
        <v>786</v>
      </c>
      <c r="W524" s="7">
        <f>39014+1400</f>
        <v>40414</v>
      </c>
      <c r="Y524" s="2">
        <f t="shared" si="112"/>
        <v>4354995</v>
      </c>
      <c r="AA524" s="7">
        <v>0</v>
      </c>
      <c r="AC524" s="7">
        <v>0</v>
      </c>
      <c r="AE524" s="7">
        <v>0</v>
      </c>
      <c r="AG524" s="7">
        <v>0</v>
      </c>
      <c r="AI524" s="7">
        <v>0</v>
      </c>
      <c r="AK524" s="7">
        <f t="shared" si="115"/>
        <v>0</v>
      </c>
      <c r="AM524" s="7">
        <f t="shared" si="116"/>
        <v>4354995</v>
      </c>
      <c r="AP524" s="7" t="str">
        <f t="shared" si="110"/>
        <v>Stryker Local SD</v>
      </c>
      <c r="AQ524" s="7" t="str">
        <f>'Gen Fd BS'!A524</f>
        <v>Stryker Local SD</v>
      </c>
      <c r="AR524" s="7" t="b">
        <f t="shared" si="111"/>
        <v>1</v>
      </c>
      <c r="AT524" s="7" t="str">
        <f t="shared" si="109"/>
        <v>Williams</v>
      </c>
      <c r="AU524" s="7" t="b">
        <f>C524='Gen Fd BS'!C524</f>
        <v>1</v>
      </c>
    </row>
    <row r="525" spans="1:47">
      <c r="A525" s="12" t="s">
        <v>319</v>
      </c>
      <c r="B525" s="12"/>
      <c r="C525" s="12" t="s">
        <v>28</v>
      </c>
      <c r="D525" s="12"/>
      <c r="E525" s="12">
        <v>47092</v>
      </c>
      <c r="G525" s="7">
        <v>4630339</v>
      </c>
      <c r="I525" s="7">
        <v>1454422</v>
      </c>
      <c r="K525" s="7">
        <v>5396717</v>
      </c>
      <c r="M525" s="7">
        <v>63190</v>
      </c>
      <c r="O525" s="7">
        <v>761538</v>
      </c>
      <c r="Q525" s="7">
        <v>0</v>
      </c>
      <c r="S525" s="7">
        <v>0</v>
      </c>
      <c r="U525" s="7">
        <v>13500</v>
      </c>
      <c r="W525" s="7">
        <v>335014</v>
      </c>
      <c r="Y525" s="2">
        <f t="shared" si="112"/>
        <v>12654720</v>
      </c>
      <c r="AA525" s="7">
        <v>0</v>
      </c>
      <c r="AC525" s="7">
        <v>0</v>
      </c>
      <c r="AE525" s="7">
        <v>0</v>
      </c>
      <c r="AG525" s="7">
        <v>0</v>
      </c>
      <c r="AI525" s="7">
        <v>0</v>
      </c>
      <c r="AK525" s="7">
        <f t="shared" si="115"/>
        <v>0</v>
      </c>
      <c r="AM525" s="7">
        <f t="shared" si="116"/>
        <v>12654720</v>
      </c>
      <c r="AP525" s="7" t="str">
        <f t="shared" si="110"/>
        <v>Swanton Local SD</v>
      </c>
      <c r="AQ525" s="7" t="str">
        <f>'Gen Fd BS'!A525</f>
        <v>Swanton Local SD</v>
      </c>
      <c r="AR525" s="7" t="b">
        <f t="shared" si="111"/>
        <v>1</v>
      </c>
      <c r="AT525" s="7" t="str">
        <f t="shared" si="109"/>
        <v>Fulton</v>
      </c>
      <c r="AU525" s="7" t="b">
        <f>C525='Gen Fd BS'!C525</f>
        <v>1</v>
      </c>
    </row>
    <row r="526" spans="1:47">
      <c r="A526" s="12" t="s">
        <v>655</v>
      </c>
      <c r="B526" s="12"/>
      <c r="C526" s="12" t="s">
        <v>49</v>
      </c>
      <c r="D526" s="12"/>
      <c r="E526" s="12">
        <v>48652</v>
      </c>
      <c r="G526" s="7">
        <v>8569164</v>
      </c>
      <c r="I526" s="7">
        <v>0</v>
      </c>
      <c r="K526" s="7">
        <v>15125779</v>
      </c>
      <c r="M526" s="7">
        <v>8259</v>
      </c>
      <c r="O526" s="7">
        <v>143879</v>
      </c>
      <c r="Q526" s="7">
        <v>4791</v>
      </c>
      <c r="S526" s="7">
        <v>0</v>
      </c>
      <c r="U526" s="7">
        <v>16731</v>
      </c>
      <c r="W526" s="7">
        <f>140749+71954+13664</f>
        <v>226367</v>
      </c>
      <c r="Y526" s="2">
        <f t="shared" si="112"/>
        <v>24094970</v>
      </c>
      <c r="AA526" s="7">
        <v>0</v>
      </c>
      <c r="AC526" s="7">
        <v>0</v>
      </c>
      <c r="AE526" s="7">
        <v>0</v>
      </c>
      <c r="AG526" s="7">
        <f>2026+5009</f>
        <v>7035</v>
      </c>
      <c r="AI526" s="7">
        <v>0</v>
      </c>
      <c r="AK526" s="7">
        <f t="shared" si="115"/>
        <v>7035</v>
      </c>
      <c r="AM526" s="7">
        <f t="shared" si="116"/>
        <v>24102005</v>
      </c>
      <c r="AP526" s="7" t="str">
        <f t="shared" si="110"/>
        <v>Switzerland of Ohio Local SD</v>
      </c>
      <c r="AQ526" s="7" t="str">
        <f>'Gen Fd BS'!A526</f>
        <v>Switzerland of Ohio Local SD</v>
      </c>
      <c r="AR526" s="7" t="b">
        <f t="shared" si="111"/>
        <v>1</v>
      </c>
      <c r="AT526" s="7" t="str">
        <f t="shared" si="109"/>
        <v>Monroe</v>
      </c>
      <c r="AU526" s="7" t="b">
        <f>C526='Gen Fd BS'!C526</f>
        <v>1</v>
      </c>
    </row>
    <row r="527" spans="1:47" hidden="1">
      <c r="A527" s="12" t="s">
        <v>340</v>
      </c>
      <c r="B527" s="12"/>
      <c r="C527" s="12" t="s">
        <v>32</v>
      </c>
      <c r="D527" s="12"/>
      <c r="E527" s="12">
        <v>44867</v>
      </c>
      <c r="Y527" s="2">
        <f t="shared" si="112"/>
        <v>0</v>
      </c>
      <c r="AI527" s="7">
        <v>0</v>
      </c>
      <c r="AK527" s="7">
        <f t="shared" si="115"/>
        <v>0</v>
      </c>
      <c r="AM527" s="7">
        <f t="shared" si="116"/>
        <v>0</v>
      </c>
      <c r="AO527" s="7" t="s">
        <v>793</v>
      </c>
      <c r="AP527" s="7" t="str">
        <f t="shared" si="110"/>
        <v>Sycamore Community City SD</v>
      </c>
      <c r="AQ527" s="7" t="str">
        <f>'Gen Fd BS'!A527</f>
        <v>Sycamore Community City SD</v>
      </c>
      <c r="AR527" s="7" t="b">
        <f t="shared" si="111"/>
        <v>1</v>
      </c>
      <c r="AT527" s="7" t="str">
        <f t="shared" si="109"/>
        <v>Hamilton</v>
      </c>
      <c r="AU527" s="7" t="b">
        <f>C527='Gen Fd BS'!C527</f>
        <v>1</v>
      </c>
    </row>
    <row r="528" spans="1:47">
      <c r="A528" s="12" t="s">
        <v>407</v>
      </c>
      <c r="B528" s="12"/>
      <c r="C528" s="12" t="s">
        <v>115</v>
      </c>
      <c r="D528" s="12"/>
      <c r="E528" s="12">
        <v>44875</v>
      </c>
      <c r="G528" s="7">
        <v>47985938</v>
      </c>
      <c r="I528" s="7">
        <v>0</v>
      </c>
      <c r="K528" s="7">
        <v>24360701</v>
      </c>
      <c r="M528" s="7">
        <v>35341</v>
      </c>
      <c r="O528" s="7">
        <f>953134+388681+39895</f>
        <v>1381710</v>
      </c>
      <c r="Q528" s="7">
        <v>221621</v>
      </c>
      <c r="S528" s="7">
        <v>482276</v>
      </c>
      <c r="U528" s="7">
        <v>68924</v>
      </c>
      <c r="W528" s="7">
        <f>419872+71782+42930</f>
        <v>534584</v>
      </c>
      <c r="Y528" s="2">
        <f t="shared" si="112"/>
        <v>75071095</v>
      </c>
      <c r="AA528" s="7">
        <v>0</v>
      </c>
      <c r="AC528" s="7">
        <v>0</v>
      </c>
      <c r="AE528" s="7">
        <v>0</v>
      </c>
      <c r="AG528" s="7">
        <v>45693</v>
      </c>
      <c r="AI528" s="7">
        <v>0</v>
      </c>
      <c r="AK528" s="7">
        <f t="shared" si="115"/>
        <v>45693</v>
      </c>
      <c r="AM528" s="7">
        <f t="shared" si="116"/>
        <v>75116788</v>
      </c>
      <c r="AP528" s="7" t="str">
        <f t="shared" si="110"/>
        <v>Sylvania City SD</v>
      </c>
      <c r="AQ528" s="7" t="str">
        <f>'Gen Fd BS'!A528</f>
        <v>Sylvania City SD</v>
      </c>
      <c r="AR528" s="7" t="b">
        <f t="shared" si="111"/>
        <v>1</v>
      </c>
      <c r="AT528" s="7" t="str">
        <f t="shared" ref="AT528:AT591" si="117">C528</f>
        <v>Lucas</v>
      </c>
      <c r="AU528" s="7" t="b">
        <f>C528='Gen Fd BS'!C528</f>
        <v>1</v>
      </c>
    </row>
    <row r="529" spans="1:47">
      <c r="A529" s="12" t="s">
        <v>383</v>
      </c>
      <c r="B529" s="12"/>
      <c r="C529" s="12" t="s">
        <v>377</v>
      </c>
      <c r="D529" s="12"/>
      <c r="E529" s="12">
        <v>47969</v>
      </c>
      <c r="G529" s="7">
        <v>874636</v>
      </c>
      <c r="I529" s="7">
        <v>0</v>
      </c>
      <c r="K529" s="7">
        <v>5704636</v>
      </c>
      <c r="M529" s="7">
        <v>22332</v>
      </c>
      <c r="O529" s="7">
        <v>569696</v>
      </c>
      <c r="Q529" s="7">
        <v>15762</v>
      </c>
      <c r="S529" s="7">
        <v>0</v>
      </c>
      <c r="U529" s="7">
        <v>6649</v>
      </c>
      <c r="W529" s="7">
        <v>23494</v>
      </c>
      <c r="Y529" s="2">
        <f t="shared" si="112"/>
        <v>7217205</v>
      </c>
      <c r="AA529" s="7">
        <v>0</v>
      </c>
      <c r="AC529" s="7">
        <v>0</v>
      </c>
      <c r="AE529" s="7">
        <v>0</v>
      </c>
      <c r="AG529" s="7">
        <v>0</v>
      </c>
      <c r="AI529" s="7">
        <v>0</v>
      </c>
      <c r="AK529" s="7">
        <f t="shared" si="115"/>
        <v>0</v>
      </c>
      <c r="AM529" s="7">
        <f t="shared" si="116"/>
        <v>7217205</v>
      </c>
      <c r="AP529" s="7" t="str">
        <f t="shared" si="110"/>
        <v>Symmes Valley Local SD</v>
      </c>
      <c r="AQ529" s="7" t="str">
        <f>'Gen Fd BS'!A529</f>
        <v>Symmes Valley Local SD</v>
      </c>
      <c r="AR529" s="7" t="b">
        <f t="shared" si="111"/>
        <v>1</v>
      </c>
      <c r="AT529" s="7" t="str">
        <f t="shared" si="117"/>
        <v>Lawrence</v>
      </c>
      <c r="AU529" s="7" t="b">
        <f>C529='Gen Fd BS'!C529</f>
        <v>1</v>
      </c>
    </row>
    <row r="530" spans="1:47">
      <c r="A530" s="12" t="s">
        <v>757</v>
      </c>
      <c r="B530" s="12"/>
      <c r="C530" s="12" t="s">
        <v>223</v>
      </c>
      <c r="D530" s="12"/>
      <c r="E530" s="12">
        <v>46151</v>
      </c>
      <c r="F530" s="10"/>
      <c r="G530" s="7">
        <v>19081433</v>
      </c>
      <c r="I530" s="7">
        <v>0</v>
      </c>
      <c r="K530" s="7">
        <v>10421949</v>
      </c>
      <c r="M530" s="7">
        <v>10812</v>
      </c>
      <c r="O530" s="7">
        <v>1015933</v>
      </c>
      <c r="Q530" s="7">
        <v>0</v>
      </c>
      <c r="S530" s="7">
        <v>0</v>
      </c>
      <c r="U530" s="7">
        <v>0</v>
      </c>
      <c r="W530" s="7">
        <v>444911</v>
      </c>
      <c r="Y530" s="2">
        <f t="shared" ref="Y530:Y544" si="118">SUM(G530:X530)</f>
        <v>30975038</v>
      </c>
      <c r="AA530" s="7">
        <v>0</v>
      </c>
      <c r="AC530" s="7">
        <v>0</v>
      </c>
      <c r="AE530" s="7">
        <v>0</v>
      </c>
      <c r="AG530" s="7">
        <v>0</v>
      </c>
      <c r="AI530" s="7">
        <v>0</v>
      </c>
      <c r="AK530" s="7">
        <f t="shared" ref="AK530:AK563" si="119">SUM(AA530:AJ530)</f>
        <v>0</v>
      </c>
      <c r="AM530" s="7">
        <f t="shared" si="116"/>
        <v>30975038</v>
      </c>
      <c r="AP530" s="7" t="str">
        <f t="shared" si="110"/>
        <v xml:space="preserve">Talawanda City SD </v>
      </c>
      <c r="AQ530" s="7" t="str">
        <f>'Gen Fd BS'!A530</f>
        <v xml:space="preserve">Talawanda City SD </v>
      </c>
      <c r="AR530" s="7" t="b">
        <f t="shared" si="111"/>
        <v>1</v>
      </c>
      <c r="AT530" s="7" t="str">
        <f t="shared" si="117"/>
        <v>Butler</v>
      </c>
      <c r="AU530" s="7" t="b">
        <f>C530='Gen Fd BS'!C530</f>
        <v>1</v>
      </c>
    </row>
    <row r="531" spans="1:47">
      <c r="A531" s="12" t="s">
        <v>531</v>
      </c>
      <c r="B531" s="12"/>
      <c r="C531" s="12" t="s">
        <v>63</v>
      </c>
      <c r="D531" s="12"/>
      <c r="E531" s="12">
        <v>44883</v>
      </c>
      <c r="G531" s="7">
        <v>12248993</v>
      </c>
      <c r="I531" s="7">
        <v>0</v>
      </c>
      <c r="K531" s="7">
        <v>11059604</v>
      </c>
      <c r="M531" s="7">
        <v>12471</v>
      </c>
      <c r="O531" s="7">
        <f>434417+70029+204422</f>
        <v>708868</v>
      </c>
      <c r="Q531" s="7">
        <v>301605</v>
      </c>
      <c r="S531" s="7">
        <v>0</v>
      </c>
      <c r="U531" s="7">
        <v>0</v>
      </c>
      <c r="W531" s="7">
        <v>37671</v>
      </c>
      <c r="Y531" s="2">
        <f t="shared" si="118"/>
        <v>24369212</v>
      </c>
      <c r="AA531" s="7">
        <v>0</v>
      </c>
      <c r="AC531" s="7">
        <v>0</v>
      </c>
      <c r="AE531" s="7">
        <v>0</v>
      </c>
      <c r="AG531" s="7">
        <v>0</v>
      </c>
      <c r="AI531" s="7">
        <v>0</v>
      </c>
      <c r="AK531" s="7">
        <f t="shared" si="119"/>
        <v>0</v>
      </c>
      <c r="AM531" s="7">
        <f t="shared" si="116"/>
        <v>24369212</v>
      </c>
      <c r="AP531" s="7" t="str">
        <f t="shared" si="110"/>
        <v>Tallmadge City SD</v>
      </c>
      <c r="AQ531" s="7" t="str">
        <f>'Gen Fd BS'!A531</f>
        <v>Tallmadge City SD</v>
      </c>
      <c r="AR531" s="7" t="b">
        <f t="shared" si="111"/>
        <v>1</v>
      </c>
      <c r="AT531" s="7" t="str">
        <f t="shared" si="117"/>
        <v>Summit</v>
      </c>
      <c r="AU531" s="7" t="b">
        <f>C531='Gen Fd BS'!C531</f>
        <v>1</v>
      </c>
    </row>
    <row r="532" spans="1:47">
      <c r="A532" s="12" t="s">
        <v>469</v>
      </c>
      <c r="B532" s="12"/>
      <c r="C532" s="12" t="s">
        <v>54</v>
      </c>
      <c r="D532" s="12"/>
      <c r="E532" s="12">
        <v>49098</v>
      </c>
      <c r="G532" s="7">
        <v>9390528</v>
      </c>
      <c r="I532" s="7">
        <v>2825353</v>
      </c>
      <c r="K532" s="7">
        <f>69586+16014716+68416</f>
        <v>16152718</v>
      </c>
      <c r="M532" s="7">
        <v>93229</v>
      </c>
      <c r="O532" s="7">
        <f>380092+88259+35552</f>
        <v>503903</v>
      </c>
      <c r="Q532" s="7">
        <v>130707</v>
      </c>
      <c r="S532" s="7">
        <v>4472</v>
      </c>
      <c r="U532" s="7">
        <v>28822</v>
      </c>
      <c r="W532" s="7">
        <v>38690</v>
      </c>
      <c r="Y532" s="2">
        <f t="shared" si="118"/>
        <v>29168422</v>
      </c>
      <c r="AA532" s="7">
        <v>0</v>
      </c>
      <c r="AC532" s="7">
        <v>0</v>
      </c>
      <c r="AE532" s="7">
        <v>6069</v>
      </c>
      <c r="AG532" s="7">
        <v>0</v>
      </c>
      <c r="AI532" s="7">
        <v>0</v>
      </c>
      <c r="AK532" s="7">
        <f t="shared" si="119"/>
        <v>6069</v>
      </c>
      <c r="AM532" s="7">
        <f t="shared" si="116"/>
        <v>29174491</v>
      </c>
      <c r="AP532" s="7" t="str">
        <f t="shared" ref="AP532:AP595" si="120">A532</f>
        <v>Teays Valley Local SD</v>
      </c>
      <c r="AQ532" s="7" t="str">
        <f>'Gen Fd BS'!A532</f>
        <v>Teays Valley Local SD</v>
      </c>
      <c r="AR532" s="7" t="b">
        <f t="shared" ref="AR532:AR595" si="121">AP532=AQ532</f>
        <v>1</v>
      </c>
      <c r="AT532" s="7" t="str">
        <f t="shared" si="117"/>
        <v>Pickaway</v>
      </c>
      <c r="AU532" s="7" t="b">
        <f>C532='Gen Fd BS'!C532</f>
        <v>1</v>
      </c>
    </row>
    <row r="533" spans="1:47">
      <c r="A533" s="12" t="s">
        <v>241</v>
      </c>
      <c r="B533" s="12"/>
      <c r="C533" s="12" t="s">
        <v>17</v>
      </c>
      <c r="D533" s="12"/>
      <c r="E533" s="12">
        <v>46243</v>
      </c>
      <c r="F533" s="10"/>
      <c r="G533" s="7">
        <v>8295444</v>
      </c>
      <c r="I533" s="7">
        <v>0</v>
      </c>
      <c r="K533" s="7">
        <v>16603457</v>
      </c>
      <c r="M533" s="7">
        <v>7638</v>
      </c>
      <c r="O533" s="7">
        <v>1604177</v>
      </c>
      <c r="Q533" s="7">
        <v>54949</v>
      </c>
      <c r="S533" s="7">
        <v>0</v>
      </c>
      <c r="U533" s="7">
        <v>26046</v>
      </c>
      <c r="W533" s="7">
        <f>36864+18444+109276</f>
        <v>164584</v>
      </c>
      <c r="Y533" s="2">
        <f t="shared" si="118"/>
        <v>26756295</v>
      </c>
      <c r="AA533" s="7">
        <v>0</v>
      </c>
      <c r="AC533" s="7">
        <v>0</v>
      </c>
      <c r="AE533" s="7">
        <v>0</v>
      </c>
      <c r="AG533" s="7">
        <v>15335</v>
      </c>
      <c r="AI533" s="7">
        <v>0</v>
      </c>
      <c r="AK533" s="7">
        <f t="shared" si="119"/>
        <v>15335</v>
      </c>
      <c r="AM533" s="7">
        <f t="shared" si="116"/>
        <v>26771630</v>
      </c>
      <c r="AP533" s="7" t="str">
        <f t="shared" si="120"/>
        <v>Tecumseh Local SD</v>
      </c>
      <c r="AQ533" s="7" t="str">
        <f>'Gen Fd BS'!A533</f>
        <v>Tecumseh Local SD</v>
      </c>
      <c r="AR533" s="7" t="b">
        <f t="shared" si="121"/>
        <v>1</v>
      </c>
      <c r="AT533" s="7" t="str">
        <f t="shared" si="117"/>
        <v>Clark</v>
      </c>
      <c r="AU533" s="7" t="b">
        <f>C533='Gen Fd BS'!C533</f>
        <v>1</v>
      </c>
    </row>
    <row r="534" spans="1:47">
      <c r="A534" s="12" t="s">
        <v>765</v>
      </c>
      <c r="B534" s="12"/>
      <c r="C534" s="12" t="s">
        <v>32</v>
      </c>
      <c r="D534" s="12"/>
      <c r="E534" s="12">
        <v>47399</v>
      </c>
      <c r="G534" s="7">
        <v>11109936</v>
      </c>
      <c r="I534" s="7">
        <v>0</v>
      </c>
      <c r="K534" s="7">
        <v>7228666</v>
      </c>
      <c r="M534" s="7">
        <v>53309</v>
      </c>
      <c r="O534" s="7">
        <v>213574</v>
      </c>
      <c r="Q534" s="7">
        <v>0</v>
      </c>
      <c r="S534" s="7">
        <v>2174904</v>
      </c>
      <c r="U534" s="7">
        <v>0</v>
      </c>
      <c r="W534" s="7">
        <f>51354+25714</f>
        <v>77068</v>
      </c>
      <c r="Y534" s="2">
        <f t="shared" si="118"/>
        <v>20857457</v>
      </c>
      <c r="AA534" s="7">
        <v>562244</v>
      </c>
      <c r="AC534" s="7">
        <v>0</v>
      </c>
      <c r="AE534" s="7">
        <v>40423</v>
      </c>
      <c r="AG534" s="7">
        <v>175</v>
      </c>
      <c r="AI534" s="7">
        <v>0</v>
      </c>
      <c r="AK534" s="7">
        <f t="shared" si="119"/>
        <v>602842</v>
      </c>
      <c r="AM534" s="7">
        <f t="shared" si="116"/>
        <v>21460299</v>
      </c>
      <c r="AP534" s="7" t="str">
        <f t="shared" si="120"/>
        <v xml:space="preserve">Three Rivers Local SD </v>
      </c>
      <c r="AQ534" s="7" t="str">
        <f>'Gen Fd BS'!A534</f>
        <v xml:space="preserve">Three Rivers Local SD </v>
      </c>
      <c r="AR534" s="7" t="b">
        <f t="shared" si="121"/>
        <v>1</v>
      </c>
      <c r="AT534" s="7" t="str">
        <f t="shared" si="117"/>
        <v>Hamilton</v>
      </c>
      <c r="AU534" s="7" t="b">
        <f>C534='Gen Fd BS'!C534</f>
        <v>1</v>
      </c>
    </row>
    <row r="535" spans="1:47">
      <c r="A535" s="12" t="s">
        <v>503</v>
      </c>
      <c r="B535" s="12"/>
      <c r="C535" s="12" t="s">
        <v>60</v>
      </c>
      <c r="D535" s="12"/>
      <c r="E535" s="12">
        <v>44891</v>
      </c>
      <c r="G535" s="7">
        <v>11015151</v>
      </c>
      <c r="I535" s="7">
        <v>0</v>
      </c>
      <c r="K535" s="7">
        <v>11357781</v>
      </c>
      <c r="M535" s="7">
        <v>7262</v>
      </c>
      <c r="O535" s="7">
        <f>1274974+69542+79795</f>
        <v>1424311</v>
      </c>
      <c r="Q535" s="7">
        <v>79450</v>
      </c>
      <c r="S535" s="7">
        <v>41322</v>
      </c>
      <c r="U535" s="7">
        <v>38110</v>
      </c>
      <c r="W535" s="7">
        <f>51046+70539+13177</f>
        <v>134762</v>
      </c>
      <c r="Y535" s="2">
        <f t="shared" si="118"/>
        <v>24098149</v>
      </c>
      <c r="AA535" s="7">
        <v>0</v>
      </c>
      <c r="AC535" s="7">
        <v>0</v>
      </c>
      <c r="AE535" s="7">
        <v>0</v>
      </c>
      <c r="AG535" s="7">
        <v>2896</v>
      </c>
      <c r="AI535" s="7">
        <v>0</v>
      </c>
      <c r="AK535" s="7">
        <f t="shared" si="119"/>
        <v>2896</v>
      </c>
      <c r="AM535" s="7">
        <f t="shared" si="116"/>
        <v>24101045</v>
      </c>
      <c r="AP535" s="7" t="str">
        <f t="shared" si="120"/>
        <v>Tiffin City SD</v>
      </c>
      <c r="AQ535" s="7" t="str">
        <f>'Gen Fd BS'!A535</f>
        <v>Tiffin City SD</v>
      </c>
      <c r="AR535" s="7" t="b">
        <f t="shared" si="121"/>
        <v>1</v>
      </c>
      <c r="AT535" s="7" t="str">
        <f t="shared" si="117"/>
        <v>Seneca</v>
      </c>
      <c r="AU535" s="7" t="b">
        <f>C535='Gen Fd BS'!C535</f>
        <v>1</v>
      </c>
    </row>
    <row r="536" spans="1:47">
      <c r="A536" s="12" t="s">
        <v>887</v>
      </c>
      <c r="B536" s="12"/>
      <c r="C536" s="12" t="s">
        <v>48</v>
      </c>
      <c r="D536" s="12"/>
      <c r="E536" s="12">
        <v>45617</v>
      </c>
      <c r="G536" s="7">
        <v>11051278</v>
      </c>
      <c r="I536" s="7">
        <v>0</v>
      </c>
      <c r="K536" s="7">
        <v>10102057</v>
      </c>
      <c r="M536" s="7">
        <v>10249</v>
      </c>
      <c r="O536" s="7">
        <v>603979</v>
      </c>
      <c r="Q536" s="7">
        <v>258632</v>
      </c>
      <c r="S536" s="7">
        <v>0</v>
      </c>
      <c r="U536" s="7">
        <v>0</v>
      </c>
      <c r="W536" s="7">
        <v>39078</v>
      </c>
      <c r="Y536" s="2">
        <f t="shared" si="118"/>
        <v>22065273</v>
      </c>
      <c r="AA536" s="7">
        <v>0</v>
      </c>
      <c r="AC536" s="7">
        <v>0</v>
      </c>
      <c r="AE536" s="7">
        <v>0</v>
      </c>
      <c r="AG536" s="7">
        <v>2000</v>
      </c>
      <c r="AI536" s="7">
        <v>0</v>
      </c>
      <c r="AK536" s="7">
        <f t="shared" si="119"/>
        <v>2000</v>
      </c>
      <c r="AM536" s="7">
        <f t="shared" si="116"/>
        <v>22067273</v>
      </c>
      <c r="AP536" s="7" t="str">
        <f t="shared" si="120"/>
        <v>Tipp City Exempted Village SD</v>
      </c>
      <c r="AQ536" s="7" t="str">
        <f>'Gen Fd BS'!A536</f>
        <v>Tipp City Exempted Village SD</v>
      </c>
      <c r="AR536" s="7" t="b">
        <f t="shared" si="121"/>
        <v>1</v>
      </c>
      <c r="AT536" s="7" t="str">
        <f t="shared" si="117"/>
        <v>Miami</v>
      </c>
      <c r="AU536" s="7" t="b">
        <f>C536='Gen Fd BS'!C536</f>
        <v>1</v>
      </c>
    </row>
    <row r="537" spans="1:47">
      <c r="A537" s="12" t="s">
        <v>408</v>
      </c>
      <c r="B537" s="12"/>
      <c r="C537" s="12" t="s">
        <v>115</v>
      </c>
      <c r="D537" s="12"/>
      <c r="E537" s="12">
        <v>44909</v>
      </c>
      <c r="G537" s="7">
        <v>85283941</v>
      </c>
      <c r="I537" s="7">
        <v>0</v>
      </c>
      <c r="K537" s="7">
        <f>215350861+1344044</f>
        <v>216694905</v>
      </c>
      <c r="M537" s="7">
        <v>318169</v>
      </c>
      <c r="O537" s="7">
        <f>1872992+512767+111435</f>
        <v>2497194</v>
      </c>
      <c r="Q537" s="7">
        <v>504737</v>
      </c>
      <c r="S537" s="7">
        <v>0</v>
      </c>
      <c r="U537" s="7">
        <v>0</v>
      </c>
      <c r="W537" s="7">
        <v>8133370</v>
      </c>
      <c r="Y537" s="2">
        <f t="shared" si="118"/>
        <v>313432316</v>
      </c>
      <c r="AA537" s="7">
        <v>0</v>
      </c>
      <c r="AC537" s="7">
        <v>0</v>
      </c>
      <c r="AE537" s="7">
        <v>0</v>
      </c>
      <c r="AG537" s="7">
        <v>0</v>
      </c>
      <c r="AI537" s="7">
        <v>0</v>
      </c>
      <c r="AK537" s="7">
        <f t="shared" si="119"/>
        <v>0</v>
      </c>
      <c r="AM537" s="7">
        <f t="shared" si="116"/>
        <v>313432316</v>
      </c>
      <c r="AP537" s="7" t="str">
        <f t="shared" si="120"/>
        <v>Toledo City SD</v>
      </c>
      <c r="AQ537" s="7" t="str">
        <f>'Gen Fd BS'!A537</f>
        <v>Toledo City SD</v>
      </c>
      <c r="AR537" s="7" t="b">
        <f t="shared" si="121"/>
        <v>1</v>
      </c>
      <c r="AT537" s="7" t="str">
        <f t="shared" si="117"/>
        <v>Lucas</v>
      </c>
      <c r="AU537" s="7" t="b">
        <f>C537='Gen Fd BS'!C537</f>
        <v>1</v>
      </c>
    </row>
    <row r="538" spans="1:47" hidden="1">
      <c r="A538" s="12" t="s">
        <v>731</v>
      </c>
      <c r="B538" s="12"/>
      <c r="C538" s="12" t="s">
        <v>115</v>
      </c>
      <c r="D538" s="12"/>
      <c r="E538" s="12"/>
      <c r="Y538" s="2">
        <f t="shared" si="118"/>
        <v>0</v>
      </c>
      <c r="AI538" s="7">
        <v>0</v>
      </c>
      <c r="AK538" s="7">
        <f t="shared" si="119"/>
        <v>0</v>
      </c>
      <c r="AM538" s="7">
        <f t="shared" si="116"/>
        <v>0</v>
      </c>
      <c r="AO538" s="7" t="s">
        <v>794</v>
      </c>
      <c r="AP538" s="7" t="str">
        <f t="shared" si="120"/>
        <v>Toledo School for the Arts</v>
      </c>
      <c r="AQ538" s="7" t="str">
        <f>'Gen Fd BS'!A538</f>
        <v>Toledo School for the Arts</v>
      </c>
      <c r="AR538" s="7" t="b">
        <f t="shared" si="121"/>
        <v>1</v>
      </c>
      <c r="AT538" s="7" t="str">
        <f t="shared" si="117"/>
        <v>Lucas</v>
      </c>
      <c r="AU538" s="7" t="b">
        <f>C538='Gen Fd BS'!C538</f>
        <v>1</v>
      </c>
    </row>
    <row r="539" spans="1:47">
      <c r="A539" s="12" t="s">
        <v>766</v>
      </c>
      <c r="B539" s="12"/>
      <c r="C539" s="12" t="s">
        <v>39</v>
      </c>
      <c r="D539" s="12"/>
      <c r="E539" s="12">
        <v>44917</v>
      </c>
      <c r="G539" s="7">
        <v>1277463</v>
      </c>
      <c r="I539" s="7">
        <v>0</v>
      </c>
      <c r="K539" s="7">
        <v>4380364</v>
      </c>
      <c r="M539" s="7">
        <v>4308</v>
      </c>
      <c r="O539" s="7">
        <v>637636</v>
      </c>
      <c r="Q539" s="7">
        <v>64992</v>
      </c>
      <c r="S539" s="7">
        <v>0</v>
      </c>
      <c r="U539" s="7">
        <v>500</v>
      </c>
      <c r="W539" s="7">
        <v>8670</v>
      </c>
      <c r="Y539" s="2">
        <f t="shared" si="118"/>
        <v>6373933</v>
      </c>
      <c r="AA539" s="7">
        <v>0</v>
      </c>
      <c r="AC539" s="7">
        <v>0</v>
      </c>
      <c r="AE539" s="7">
        <v>0</v>
      </c>
      <c r="AG539" s="7">
        <v>4812</v>
      </c>
      <c r="AI539" s="7">
        <v>0</v>
      </c>
      <c r="AK539" s="7">
        <f t="shared" si="119"/>
        <v>4812</v>
      </c>
      <c r="AM539" s="7">
        <f t="shared" si="116"/>
        <v>6378745</v>
      </c>
      <c r="AO539" s="7" t="s">
        <v>788</v>
      </c>
      <c r="AP539" s="7" t="str">
        <f t="shared" si="120"/>
        <v xml:space="preserve">Toronto City SD  </v>
      </c>
      <c r="AQ539" s="7" t="str">
        <f>'Gen Fd BS'!A539</f>
        <v xml:space="preserve">Toronto City SD  </v>
      </c>
      <c r="AR539" s="7" t="b">
        <f t="shared" si="121"/>
        <v>1</v>
      </c>
      <c r="AT539" s="7" t="str">
        <f t="shared" si="117"/>
        <v>Jefferson</v>
      </c>
      <c r="AU539" s="7" t="b">
        <f>C539='Gen Fd BS'!C539</f>
        <v>1</v>
      </c>
    </row>
    <row r="540" spans="1:47">
      <c r="A540" s="12" t="s">
        <v>233</v>
      </c>
      <c r="B540" s="12"/>
      <c r="C540" s="12" t="s">
        <v>232</v>
      </c>
      <c r="D540" s="12"/>
      <c r="E540" s="12">
        <v>46201</v>
      </c>
      <c r="F540" s="10"/>
      <c r="G540" s="7">
        <v>2182460</v>
      </c>
      <c r="I540" s="7">
        <v>1574161</v>
      </c>
      <c r="K540" s="7">
        <v>5197505</v>
      </c>
      <c r="M540" s="7">
        <v>2907</v>
      </c>
      <c r="O540" s="7">
        <f>544701+32836</f>
        <v>577537</v>
      </c>
      <c r="Q540" s="7">
        <v>50642</v>
      </c>
      <c r="S540" s="7">
        <v>0</v>
      </c>
      <c r="U540" s="7">
        <v>13930</v>
      </c>
      <c r="W540" s="7">
        <f>11754+4754</f>
        <v>16508</v>
      </c>
      <c r="Y540" s="2">
        <f t="shared" si="118"/>
        <v>9615650</v>
      </c>
      <c r="AA540" s="7">
        <v>0</v>
      </c>
      <c r="AC540" s="7">
        <v>0</v>
      </c>
      <c r="AE540" s="7">
        <v>0</v>
      </c>
      <c r="AG540" s="7">
        <v>0</v>
      </c>
      <c r="AI540" s="7">
        <v>0</v>
      </c>
      <c r="AK540" s="7">
        <f t="shared" si="119"/>
        <v>0</v>
      </c>
      <c r="AM540" s="7">
        <f t="shared" si="116"/>
        <v>9615650</v>
      </c>
      <c r="AP540" s="7" t="str">
        <f t="shared" si="120"/>
        <v>Triad Local SD</v>
      </c>
      <c r="AQ540" s="7" t="str">
        <f>'Gen Fd BS'!A540</f>
        <v>Triad Local SD</v>
      </c>
      <c r="AR540" s="7" t="b">
        <f t="shared" si="121"/>
        <v>1</v>
      </c>
      <c r="AT540" s="7" t="str">
        <f t="shared" si="117"/>
        <v>Champaign</v>
      </c>
      <c r="AU540" s="7" t="b">
        <f>C540='Gen Fd BS'!C540</f>
        <v>1</v>
      </c>
    </row>
    <row r="541" spans="1:47" s="32" customFormat="1">
      <c r="A541" s="31" t="s">
        <v>481</v>
      </c>
      <c r="B541" s="31"/>
      <c r="C541" s="31" t="s">
        <v>57</v>
      </c>
      <c r="D541" s="31"/>
      <c r="E541" s="31">
        <v>91397</v>
      </c>
      <c r="G541" s="32">
        <v>3983172</v>
      </c>
      <c r="I541" s="32">
        <v>0</v>
      </c>
      <c r="K541" s="32">
        <v>4620159</v>
      </c>
      <c r="M541" s="32">
        <v>31224</v>
      </c>
      <c r="O541" s="32">
        <v>255563</v>
      </c>
      <c r="Q541" s="32">
        <v>26316</v>
      </c>
      <c r="S541" s="32">
        <v>0</v>
      </c>
      <c r="U541" s="32">
        <v>4905</v>
      </c>
      <c r="W541" s="32">
        <f>28570+8800</f>
        <v>37370</v>
      </c>
      <c r="Y541" s="34">
        <f t="shared" si="118"/>
        <v>8958709</v>
      </c>
      <c r="AA541" s="32">
        <v>0</v>
      </c>
      <c r="AC541" s="32">
        <v>0</v>
      </c>
      <c r="AE541" s="32">
        <v>0</v>
      </c>
      <c r="AG541" s="32">
        <v>0</v>
      </c>
      <c r="AI541" s="32">
        <v>0</v>
      </c>
      <c r="AK541" s="32">
        <f t="shared" si="119"/>
        <v>0</v>
      </c>
      <c r="AM541" s="32">
        <f t="shared" si="116"/>
        <v>8958709</v>
      </c>
      <c r="AP541" s="32" t="str">
        <f t="shared" si="120"/>
        <v>Tri-County North Local SD</v>
      </c>
      <c r="AQ541" s="32" t="str">
        <f>'Gen Fd BS'!A541</f>
        <v>Tri-County North Local SD</v>
      </c>
      <c r="AR541" s="32" t="b">
        <f t="shared" si="121"/>
        <v>1</v>
      </c>
      <c r="AT541" s="32" t="str">
        <f t="shared" si="117"/>
        <v>Preble</v>
      </c>
      <c r="AU541" s="32" t="b">
        <f>C541='Gen Fd BS'!C541</f>
        <v>1</v>
      </c>
    </row>
    <row r="542" spans="1:47">
      <c r="A542" s="12" t="s">
        <v>213</v>
      </c>
      <c r="B542" s="12"/>
      <c r="C542" s="12" t="s">
        <v>13</v>
      </c>
      <c r="D542" s="12"/>
      <c r="E542" s="12">
        <v>45922</v>
      </c>
      <c r="F542" s="10"/>
      <c r="G542" s="7">
        <v>730654</v>
      </c>
      <c r="I542" s="7">
        <v>0</v>
      </c>
      <c r="K542" s="7">
        <v>6497507</v>
      </c>
      <c r="M542" s="7">
        <v>2938</v>
      </c>
      <c r="O542" s="7">
        <v>706102</v>
      </c>
      <c r="Q542" s="7">
        <v>828</v>
      </c>
      <c r="S542" s="7">
        <v>0</v>
      </c>
      <c r="U542" s="7">
        <v>23078</v>
      </c>
      <c r="W542" s="7">
        <f>580+94152</f>
        <v>94732</v>
      </c>
      <c r="Y542" s="2">
        <f t="shared" si="118"/>
        <v>8055839</v>
      </c>
      <c r="AA542" s="7">
        <v>0</v>
      </c>
      <c r="AC542" s="7">
        <v>0</v>
      </c>
      <c r="AE542" s="7">
        <v>0</v>
      </c>
      <c r="AG542" s="7">
        <v>0</v>
      </c>
      <c r="AI542" s="7">
        <v>0</v>
      </c>
      <c r="AK542" s="7">
        <f t="shared" si="119"/>
        <v>0</v>
      </c>
      <c r="AM542" s="7">
        <f t="shared" si="116"/>
        <v>8055839</v>
      </c>
      <c r="AP542" s="7" t="str">
        <f t="shared" si="120"/>
        <v>Trimble Local SD</v>
      </c>
      <c r="AQ542" s="7" t="str">
        <f>'Gen Fd BS'!A542</f>
        <v>Trimble Local SD</v>
      </c>
      <c r="AR542" s="7" t="b">
        <f t="shared" si="121"/>
        <v>1</v>
      </c>
      <c r="AT542" s="7" t="str">
        <f t="shared" si="117"/>
        <v>Athens</v>
      </c>
      <c r="AU542" s="7" t="b">
        <f>C542='Gen Fd BS'!C542</f>
        <v>1</v>
      </c>
    </row>
    <row r="543" spans="1:47">
      <c r="A543" s="12" t="s">
        <v>459</v>
      </c>
      <c r="B543" s="12"/>
      <c r="C543" s="12" t="s">
        <v>51</v>
      </c>
      <c r="D543" s="12"/>
      <c r="E543" s="12">
        <v>48876</v>
      </c>
      <c r="G543" s="7">
        <v>6335082</v>
      </c>
      <c r="I543" s="7">
        <v>0</v>
      </c>
      <c r="K543" s="7">
        <v>15905137</v>
      </c>
      <c r="M543" s="7">
        <v>71688</v>
      </c>
      <c r="O543" s="7">
        <v>1184090</v>
      </c>
      <c r="Q543" s="7">
        <v>95106</v>
      </c>
      <c r="S543" s="7">
        <v>132914</v>
      </c>
      <c r="U543" s="7">
        <v>0</v>
      </c>
      <c r="W543" s="7">
        <v>724656</v>
      </c>
      <c r="Y543" s="2">
        <f t="shared" si="118"/>
        <v>24448673</v>
      </c>
      <c r="AA543" s="7">
        <v>0</v>
      </c>
      <c r="AC543" s="7">
        <v>0</v>
      </c>
      <c r="AE543" s="7">
        <v>0</v>
      </c>
      <c r="AG543" s="7">
        <v>0</v>
      </c>
      <c r="AI543" s="7">
        <v>0</v>
      </c>
      <c r="AK543" s="7">
        <f t="shared" si="119"/>
        <v>0</v>
      </c>
      <c r="AM543" s="7">
        <f t="shared" si="116"/>
        <v>24448673</v>
      </c>
      <c r="AP543" s="7" t="str">
        <f t="shared" si="120"/>
        <v>Tri-Valley Local SD</v>
      </c>
      <c r="AQ543" s="7" t="str">
        <f>'Gen Fd BS'!A543</f>
        <v>Tri-Valley Local SD</v>
      </c>
      <c r="AR543" s="7" t="b">
        <f t="shared" si="121"/>
        <v>1</v>
      </c>
      <c r="AT543" s="7" t="str">
        <f t="shared" si="117"/>
        <v>Muskingum</v>
      </c>
      <c r="AU543" s="7" t="b">
        <f>C543='Gen Fd BS'!C543</f>
        <v>1</v>
      </c>
    </row>
    <row r="544" spans="1:47" hidden="1">
      <c r="A544" s="12" t="s">
        <v>726</v>
      </c>
      <c r="B544" s="12"/>
      <c r="C544" s="12" t="s">
        <v>21</v>
      </c>
      <c r="D544" s="12"/>
      <c r="E544" s="12">
        <v>46680</v>
      </c>
      <c r="Y544" s="2">
        <f t="shared" si="118"/>
        <v>0</v>
      </c>
      <c r="AK544" s="7">
        <f t="shared" si="119"/>
        <v>0</v>
      </c>
      <c r="AM544" s="7">
        <f t="shared" ref="AM544:AM565" si="122">+AK544+Y544</f>
        <v>0</v>
      </c>
      <c r="AP544" s="7" t="str">
        <f t="shared" si="120"/>
        <v>Tri-Village Local SD (CASH)</v>
      </c>
      <c r="AQ544" s="7" t="str">
        <f>'Gen Fd BS'!A544</f>
        <v>Tri-Village Local SD (CASH)</v>
      </c>
      <c r="AR544" s="7" t="b">
        <f t="shared" si="121"/>
        <v>1</v>
      </c>
      <c r="AT544" s="7" t="str">
        <f t="shared" si="117"/>
        <v>Darke</v>
      </c>
      <c r="AU544" s="7" t="b">
        <f>C544='Gen Fd BS'!C544</f>
        <v>1</v>
      </c>
    </row>
    <row r="545" spans="1:47" hidden="1">
      <c r="A545" s="12" t="s">
        <v>569</v>
      </c>
      <c r="B545" s="12"/>
      <c r="C545" s="12" t="s">
        <v>71</v>
      </c>
      <c r="D545" s="12"/>
      <c r="E545" s="12">
        <v>50591</v>
      </c>
      <c r="Y545" s="2">
        <f t="shared" ref="Y545:Y586" si="123">SUM(G545:X545)</f>
        <v>0</v>
      </c>
      <c r="AK545" s="7">
        <f t="shared" si="119"/>
        <v>0</v>
      </c>
      <c r="AM545" s="7">
        <f t="shared" si="122"/>
        <v>0</v>
      </c>
      <c r="AO545" s="7" t="s">
        <v>795</v>
      </c>
      <c r="AP545" s="7" t="str">
        <f t="shared" si="120"/>
        <v>Triway Local SD</v>
      </c>
      <c r="AQ545" s="7" t="str">
        <f>'Gen Fd BS'!A545</f>
        <v>Triway Local SD</v>
      </c>
      <c r="AR545" s="7" t="b">
        <f t="shared" si="121"/>
        <v>1</v>
      </c>
      <c r="AT545" s="7" t="str">
        <f t="shared" si="117"/>
        <v>Wayne</v>
      </c>
      <c r="AU545" s="7" t="b">
        <f>C545='Gen Fd BS'!C545</f>
        <v>1</v>
      </c>
    </row>
    <row r="546" spans="1:47">
      <c r="A546" s="12" t="s">
        <v>449</v>
      </c>
      <c r="B546" s="12"/>
      <c r="C546" s="12" t="s">
        <v>50</v>
      </c>
      <c r="D546" s="12"/>
      <c r="E546" s="12">
        <v>48694</v>
      </c>
      <c r="G546" s="7">
        <v>8597708</v>
      </c>
      <c r="I546" s="7">
        <v>0</v>
      </c>
      <c r="K546" s="7">
        <v>22559739</v>
      </c>
      <c r="M546" s="7">
        <v>19768</v>
      </c>
      <c r="O546" s="7">
        <v>404323</v>
      </c>
      <c r="Q546" s="7">
        <v>12484</v>
      </c>
      <c r="S546" s="7">
        <v>55770</v>
      </c>
      <c r="U546" s="7">
        <v>0</v>
      </c>
      <c r="W546" s="7">
        <v>339931</v>
      </c>
      <c r="Y546" s="2">
        <f t="shared" si="123"/>
        <v>31989723</v>
      </c>
      <c r="AA546" s="7">
        <v>309390</v>
      </c>
      <c r="AC546" s="7">
        <v>0</v>
      </c>
      <c r="AE546" s="7">
        <f>5500+500000</f>
        <v>505500</v>
      </c>
      <c r="AG546" s="7">
        <v>0</v>
      </c>
      <c r="AI546" s="7">
        <v>0</v>
      </c>
      <c r="AK546" s="7">
        <f t="shared" si="119"/>
        <v>814890</v>
      </c>
      <c r="AM546" s="7">
        <f t="shared" si="122"/>
        <v>32804613</v>
      </c>
      <c r="AP546" s="7" t="str">
        <f t="shared" si="120"/>
        <v>Trotwood-Madison City SD</v>
      </c>
      <c r="AQ546" s="7" t="str">
        <f>'Gen Fd BS'!A546</f>
        <v>Trotwood-Madison City SD</v>
      </c>
      <c r="AR546" s="7" t="b">
        <f t="shared" si="121"/>
        <v>1</v>
      </c>
      <c r="AT546" s="7" t="str">
        <f t="shared" si="117"/>
        <v>Montgomery</v>
      </c>
      <c r="AU546" s="7" t="b">
        <f>C546='Gen Fd BS'!C546</f>
        <v>1</v>
      </c>
    </row>
    <row r="547" spans="1:47">
      <c r="A547" s="12" t="s">
        <v>439</v>
      </c>
      <c r="B547" s="12"/>
      <c r="C547" s="12" t="s">
        <v>48</v>
      </c>
      <c r="D547" s="12"/>
      <c r="E547" s="12">
        <v>44925</v>
      </c>
      <c r="G547" s="7">
        <v>23869324</v>
      </c>
      <c r="I547" s="7">
        <v>0</v>
      </c>
      <c r="K547" s="7">
        <v>16685403</v>
      </c>
      <c r="M547" s="7">
        <v>27552</v>
      </c>
      <c r="O547" s="7">
        <v>989427</v>
      </c>
      <c r="Q547" s="7">
        <v>190120</v>
      </c>
      <c r="S547" s="7">
        <v>0</v>
      </c>
      <c r="U547" s="7">
        <v>0</v>
      </c>
      <c r="W547" s="7">
        <v>247107</v>
      </c>
      <c r="Y547" s="2">
        <f t="shared" si="123"/>
        <v>42008933</v>
      </c>
      <c r="AA547" s="7">
        <v>0</v>
      </c>
      <c r="AC547" s="7">
        <v>0</v>
      </c>
      <c r="AE547" s="7">
        <v>0</v>
      </c>
      <c r="AG547" s="7">
        <v>38084</v>
      </c>
      <c r="AI547" s="7">
        <v>0</v>
      </c>
      <c r="AK547" s="7">
        <f t="shared" si="119"/>
        <v>38084</v>
      </c>
      <c r="AM547" s="7">
        <f t="shared" si="122"/>
        <v>42047017</v>
      </c>
      <c r="AP547" s="7" t="str">
        <f t="shared" si="120"/>
        <v>Troy City SD</v>
      </c>
      <c r="AQ547" s="7" t="str">
        <f>'Gen Fd BS'!A547</f>
        <v>Troy City SD</v>
      </c>
      <c r="AR547" s="7" t="b">
        <f t="shared" si="121"/>
        <v>1</v>
      </c>
      <c r="AT547" s="7" t="str">
        <f t="shared" si="117"/>
        <v>Miami</v>
      </c>
      <c r="AU547" s="7" t="b">
        <f>C547='Gen Fd BS'!C547</f>
        <v>1</v>
      </c>
    </row>
    <row r="548" spans="1:47">
      <c r="A548" s="12" t="s">
        <v>554</v>
      </c>
      <c r="B548" s="12"/>
      <c r="C548" s="12" t="s">
        <v>65</v>
      </c>
      <c r="D548" s="12"/>
      <c r="E548" s="12">
        <v>50302</v>
      </c>
      <c r="G548" s="7">
        <v>5118114</v>
      </c>
      <c r="I548" s="7">
        <v>0</v>
      </c>
      <c r="K548" s="7">
        <v>6198097</v>
      </c>
      <c r="M548" s="7">
        <v>2602</v>
      </c>
      <c r="O548" s="7">
        <f>361577+66660</f>
        <v>428237</v>
      </c>
      <c r="Q548" s="7">
        <v>38229</v>
      </c>
      <c r="S548" s="7">
        <v>0</v>
      </c>
      <c r="U548" s="7">
        <v>2537</v>
      </c>
      <c r="W548" s="7">
        <f>5084+1973</f>
        <v>7057</v>
      </c>
      <c r="Y548" s="2">
        <f t="shared" si="123"/>
        <v>11794873</v>
      </c>
      <c r="AA548" s="7">
        <v>0</v>
      </c>
      <c r="AC548" s="7">
        <v>0</v>
      </c>
      <c r="AE548" s="7">
        <v>0</v>
      </c>
      <c r="AG548" s="7">
        <v>0</v>
      </c>
      <c r="AI548" s="7">
        <v>0</v>
      </c>
      <c r="AK548" s="7">
        <f t="shared" si="119"/>
        <v>0</v>
      </c>
      <c r="AM548" s="7">
        <f t="shared" si="122"/>
        <v>11794873</v>
      </c>
      <c r="AP548" s="7" t="str">
        <f t="shared" si="120"/>
        <v>Tuscarawas Valley Local SD</v>
      </c>
      <c r="AQ548" s="7" t="str">
        <f>'Gen Fd BS'!A548</f>
        <v>Tuscarawas Valley Local SD</v>
      </c>
      <c r="AR548" s="7" t="b">
        <f t="shared" si="121"/>
        <v>1</v>
      </c>
      <c r="AT548" s="7" t="str">
        <f t="shared" si="117"/>
        <v>Tuscarawas</v>
      </c>
      <c r="AU548" s="7" t="b">
        <f>C548='Gen Fd BS'!C548</f>
        <v>1</v>
      </c>
    </row>
    <row r="549" spans="1:47">
      <c r="A549" s="12" t="s">
        <v>521</v>
      </c>
      <c r="B549" s="12"/>
      <c r="C549" s="12" t="s">
        <v>62</v>
      </c>
      <c r="D549" s="12"/>
      <c r="E549" s="12">
        <v>49957</v>
      </c>
      <c r="G549" s="7">
        <v>4796884</v>
      </c>
      <c r="I549" s="7">
        <v>0</v>
      </c>
      <c r="K549" s="7">
        <v>6436955</v>
      </c>
      <c r="M549" s="7">
        <v>5621</v>
      </c>
      <c r="O549" s="7">
        <v>765082</v>
      </c>
      <c r="Q549" s="7">
        <v>117930</v>
      </c>
      <c r="S549" s="7">
        <v>0</v>
      </c>
      <c r="U549" s="7">
        <v>5511</v>
      </c>
      <c r="W549" s="7">
        <f>34068+29427+10352</f>
        <v>73847</v>
      </c>
      <c r="Y549" s="2">
        <f t="shared" si="123"/>
        <v>12201830</v>
      </c>
      <c r="AA549" s="7">
        <v>0</v>
      </c>
      <c r="AC549" s="7">
        <v>0</v>
      </c>
      <c r="AE549" s="7">
        <v>0</v>
      </c>
      <c r="AG549" s="7">
        <v>0</v>
      </c>
      <c r="AI549" s="7">
        <v>0</v>
      </c>
      <c r="AK549" s="7">
        <f t="shared" si="119"/>
        <v>0</v>
      </c>
      <c r="AM549" s="7">
        <f t="shared" si="122"/>
        <v>12201830</v>
      </c>
      <c r="AP549" s="7" t="str">
        <f t="shared" si="120"/>
        <v>Tuslaw Local SD</v>
      </c>
      <c r="AQ549" s="7" t="str">
        <f>'Gen Fd BS'!A549</f>
        <v>Tuslaw Local SD</v>
      </c>
      <c r="AR549" s="7" t="b">
        <f t="shared" si="121"/>
        <v>1</v>
      </c>
      <c r="AT549" s="7" t="str">
        <f t="shared" si="117"/>
        <v>Stark</v>
      </c>
      <c r="AU549" s="7" t="b">
        <f>C549='Gen Fd BS'!C549</f>
        <v>1</v>
      </c>
    </row>
    <row r="550" spans="1:47" hidden="1">
      <c r="A550" s="12" t="s">
        <v>732</v>
      </c>
      <c r="B550" s="12"/>
      <c r="C550" s="12" t="s">
        <v>57</v>
      </c>
      <c r="D550" s="12"/>
      <c r="E550" s="12">
        <v>49296</v>
      </c>
      <c r="Y550" s="2">
        <f t="shared" si="123"/>
        <v>0</v>
      </c>
      <c r="AK550" s="7">
        <f t="shared" si="119"/>
        <v>0</v>
      </c>
      <c r="AM550" s="7">
        <f t="shared" si="122"/>
        <v>0</v>
      </c>
      <c r="AO550" s="7" t="s">
        <v>789</v>
      </c>
      <c r="AP550" s="7" t="str">
        <f t="shared" si="120"/>
        <v>Twin Valley Community Local SD (CASH)</v>
      </c>
      <c r="AQ550" s="7" t="str">
        <f>'Gen Fd BS'!A550</f>
        <v>Twin Valley Community Local SD (CASH)</v>
      </c>
      <c r="AR550" s="7" t="b">
        <f t="shared" si="121"/>
        <v>1</v>
      </c>
      <c r="AT550" s="7" t="str">
        <f t="shared" si="117"/>
        <v>Preble</v>
      </c>
      <c r="AU550" s="7" t="b">
        <f>C550='Gen Fd BS'!C550</f>
        <v>1</v>
      </c>
    </row>
    <row r="551" spans="1:47">
      <c r="A551" s="12" t="s">
        <v>532</v>
      </c>
      <c r="B551" s="12"/>
      <c r="C551" s="12" t="s">
        <v>63</v>
      </c>
      <c r="D551" s="12"/>
      <c r="E551" s="12">
        <v>50070</v>
      </c>
      <c r="G551" s="7">
        <v>23920511</v>
      </c>
      <c r="I551" s="7">
        <v>0</v>
      </c>
      <c r="K551" s="7">
        <v>14270556</v>
      </c>
      <c r="M551" s="7">
        <v>68432</v>
      </c>
      <c r="O551" s="7">
        <v>377423</v>
      </c>
      <c r="Q551" s="7">
        <v>0</v>
      </c>
      <c r="S551" s="7">
        <v>187451</v>
      </c>
      <c r="U551" s="7">
        <v>0</v>
      </c>
      <c r="W551" s="7">
        <f>35022+70692</f>
        <v>105714</v>
      </c>
      <c r="Y551" s="2">
        <f t="shared" si="123"/>
        <v>38930087</v>
      </c>
      <c r="AA551" s="7">
        <v>0</v>
      </c>
      <c r="AC551" s="7">
        <v>0</v>
      </c>
      <c r="AE551" s="7">
        <v>0</v>
      </c>
      <c r="AG551" s="7">
        <v>0</v>
      </c>
      <c r="AI551" s="7">
        <v>0</v>
      </c>
      <c r="AK551" s="7">
        <f t="shared" si="119"/>
        <v>0</v>
      </c>
      <c r="AM551" s="7">
        <f t="shared" si="122"/>
        <v>38930087</v>
      </c>
      <c r="AP551" s="7" t="str">
        <f t="shared" si="120"/>
        <v>Twinsburg City SD</v>
      </c>
      <c r="AQ551" s="7" t="str">
        <f>'Gen Fd BS'!A551</f>
        <v>Twinsburg City SD</v>
      </c>
      <c r="AR551" s="7" t="b">
        <f t="shared" si="121"/>
        <v>1</v>
      </c>
      <c r="AT551" s="7" t="str">
        <f t="shared" si="117"/>
        <v>Summit</v>
      </c>
      <c r="AU551" s="7" t="b">
        <f>C551='Gen Fd BS'!C551</f>
        <v>1</v>
      </c>
    </row>
    <row r="552" spans="1:47" hidden="1">
      <c r="A552" s="12" t="s">
        <v>219</v>
      </c>
      <c r="B552" s="12"/>
      <c r="C552" s="12" t="s">
        <v>15</v>
      </c>
      <c r="D552" s="12"/>
      <c r="E552" s="12">
        <v>46011</v>
      </c>
      <c r="F552" s="10"/>
      <c r="Y552" s="2">
        <f t="shared" si="123"/>
        <v>0</v>
      </c>
      <c r="AK552" s="7">
        <f t="shared" si="119"/>
        <v>0</v>
      </c>
      <c r="AM552" s="7">
        <f t="shared" si="122"/>
        <v>0</v>
      </c>
      <c r="AO552" s="7" t="s">
        <v>791</v>
      </c>
      <c r="AP552" s="7" t="str">
        <f t="shared" si="120"/>
        <v>Union Local SD</v>
      </c>
      <c r="AQ552" s="7" t="str">
        <f>'Gen Fd BS'!A552</f>
        <v>Union Local SD</v>
      </c>
      <c r="AR552" s="7" t="b">
        <f t="shared" si="121"/>
        <v>1</v>
      </c>
      <c r="AT552" s="7" t="str">
        <f t="shared" si="117"/>
        <v>Belmont</v>
      </c>
      <c r="AU552" s="7" t="b">
        <f>C552='Gen Fd BS'!C552</f>
        <v>1</v>
      </c>
    </row>
    <row r="553" spans="1:47">
      <c r="A553" s="12" t="s">
        <v>491</v>
      </c>
      <c r="B553" s="12"/>
      <c r="C553" s="12" t="s">
        <v>58</v>
      </c>
      <c r="D553" s="12"/>
      <c r="E553" s="12">
        <v>49536</v>
      </c>
      <c r="G553" s="7">
        <v>3524709</v>
      </c>
      <c r="I553" s="7">
        <v>1095382</v>
      </c>
      <c r="K553" s="7">
        <v>9870395</v>
      </c>
      <c r="M553" s="7">
        <v>55999</v>
      </c>
      <c r="O553" s="7">
        <v>2628968</v>
      </c>
      <c r="Q553" s="7">
        <v>31697</v>
      </c>
      <c r="S553" s="7">
        <v>0</v>
      </c>
      <c r="U553" s="7">
        <v>6000</v>
      </c>
      <c r="W553" s="7">
        <f>13059+21935+150593</f>
        <v>185587</v>
      </c>
      <c r="Y553" s="2">
        <f t="shared" si="123"/>
        <v>17398737</v>
      </c>
      <c r="AA553" s="7">
        <v>0</v>
      </c>
      <c r="AC553" s="7">
        <v>0</v>
      </c>
      <c r="AE553" s="7">
        <v>0</v>
      </c>
      <c r="AG553" s="7">
        <v>0</v>
      </c>
      <c r="AI553" s="7">
        <v>0</v>
      </c>
      <c r="AK553" s="7">
        <f t="shared" si="119"/>
        <v>0</v>
      </c>
      <c r="AM553" s="7">
        <f t="shared" si="122"/>
        <v>17398737</v>
      </c>
      <c r="AP553" s="7" t="str">
        <f t="shared" si="120"/>
        <v>Union-Scioto Local SD</v>
      </c>
      <c r="AQ553" s="7" t="str">
        <f>'Gen Fd BS'!A553</f>
        <v>Union-Scioto Local SD</v>
      </c>
      <c r="AR553" s="7" t="b">
        <f t="shared" si="121"/>
        <v>1</v>
      </c>
      <c r="AT553" s="7" t="str">
        <f t="shared" si="117"/>
        <v>Ross</v>
      </c>
      <c r="AU553" s="7" t="b">
        <f>C553='Gen Fd BS'!C553</f>
        <v>1</v>
      </c>
    </row>
    <row r="554" spans="1:47">
      <c r="A554" s="12" t="s">
        <v>257</v>
      </c>
      <c r="B554" s="12"/>
      <c r="C554" s="12" t="s">
        <v>112</v>
      </c>
      <c r="D554" s="12"/>
      <c r="E554" s="12">
        <v>46458</v>
      </c>
      <c r="F554" s="10"/>
      <c r="G554" s="7">
        <v>2166705</v>
      </c>
      <c r="I554" s="7">
        <v>671530</v>
      </c>
      <c r="K554" s="7">
        <f>6815519+18961</f>
        <v>6834480</v>
      </c>
      <c r="M554" s="7">
        <v>244719</v>
      </c>
      <c r="O554" s="7">
        <f>750725+28676+32489</f>
        <v>811890</v>
      </c>
      <c r="Q554" s="7">
        <v>65661</v>
      </c>
      <c r="S554" s="7">
        <v>0</v>
      </c>
      <c r="U554" s="7">
        <v>13599</v>
      </c>
      <c r="W554" s="7">
        <f>7963+200+16352</f>
        <v>24515</v>
      </c>
      <c r="Y554" s="2">
        <f t="shared" si="123"/>
        <v>10833099</v>
      </c>
      <c r="AA554" s="7">
        <v>0</v>
      </c>
      <c r="AC554" s="7">
        <v>0</v>
      </c>
      <c r="AE554" s="7">
        <v>0</v>
      </c>
      <c r="AG554" s="7">
        <v>0</v>
      </c>
      <c r="AI554" s="7">
        <v>0</v>
      </c>
      <c r="AK554" s="7">
        <f t="shared" si="119"/>
        <v>0</v>
      </c>
      <c r="AM554" s="7">
        <f t="shared" si="122"/>
        <v>10833099</v>
      </c>
      <c r="AP554" s="7" t="str">
        <f t="shared" si="120"/>
        <v>United Local SD</v>
      </c>
      <c r="AQ554" s="7" t="str">
        <f>'Gen Fd BS'!A554</f>
        <v>United Local SD</v>
      </c>
      <c r="AR554" s="7" t="b">
        <f t="shared" si="121"/>
        <v>1</v>
      </c>
      <c r="AT554" s="7" t="str">
        <f t="shared" si="117"/>
        <v>Columbiana</v>
      </c>
      <c r="AU554" s="7" t="b">
        <f>C554='Gen Fd BS'!C554</f>
        <v>1</v>
      </c>
    </row>
    <row r="555" spans="1:47">
      <c r="A555" s="12" t="s">
        <v>314</v>
      </c>
      <c r="B555" s="12"/>
      <c r="C555" s="12" t="s">
        <v>27</v>
      </c>
      <c r="D555" s="12"/>
      <c r="E555" s="12">
        <v>44933</v>
      </c>
      <c r="G555" s="7">
        <v>62564395</v>
      </c>
      <c r="I555" s="7">
        <v>0</v>
      </c>
      <c r="K555" s="7">
        <v>14587354</v>
      </c>
      <c r="M555" s="7">
        <v>261607</v>
      </c>
      <c r="O555" s="7">
        <v>390995</v>
      </c>
      <c r="Q555" s="7">
        <v>289895</v>
      </c>
      <c r="S555" s="7">
        <v>117152</v>
      </c>
      <c r="U555" s="7">
        <v>0</v>
      </c>
      <c r="W555" s="7">
        <v>814768</v>
      </c>
      <c r="Y555" s="2">
        <f t="shared" si="123"/>
        <v>79026166</v>
      </c>
      <c r="AA555" s="7">
        <v>0</v>
      </c>
      <c r="AC555" s="7">
        <v>0</v>
      </c>
      <c r="AE555" s="7">
        <v>0</v>
      </c>
      <c r="AG555" s="7">
        <v>0</v>
      </c>
      <c r="AI555" s="7">
        <v>0</v>
      </c>
      <c r="AK555" s="7">
        <f t="shared" si="119"/>
        <v>0</v>
      </c>
      <c r="AM555" s="7">
        <f t="shared" si="122"/>
        <v>79026166</v>
      </c>
      <c r="AP555" s="7" t="str">
        <f t="shared" si="120"/>
        <v>Upper Arlington City SD</v>
      </c>
      <c r="AQ555" s="7" t="str">
        <f>'Gen Fd BS'!A555</f>
        <v>Upper Arlington City SD</v>
      </c>
      <c r="AR555" s="7" t="b">
        <f t="shared" si="121"/>
        <v>1</v>
      </c>
      <c r="AT555" s="7" t="str">
        <f t="shared" si="117"/>
        <v>Franklin</v>
      </c>
      <c r="AU555" s="7" t="b">
        <f>C555='Gen Fd BS'!C555</f>
        <v>1</v>
      </c>
    </row>
    <row r="556" spans="1:47" hidden="1">
      <c r="A556" s="12" t="s">
        <v>888</v>
      </c>
      <c r="B556" s="12"/>
      <c r="C556" s="12" t="s">
        <v>577</v>
      </c>
      <c r="D556" s="12"/>
      <c r="E556" s="12">
        <v>45625</v>
      </c>
      <c r="Y556" s="2">
        <f t="shared" si="123"/>
        <v>0</v>
      </c>
      <c r="AK556" s="7">
        <f t="shared" si="119"/>
        <v>0</v>
      </c>
      <c r="AM556" s="7">
        <f t="shared" si="122"/>
        <v>0</v>
      </c>
      <c r="AO556" s="7" t="s">
        <v>789</v>
      </c>
      <c r="AP556" s="7" t="str">
        <f t="shared" si="120"/>
        <v>Upper Sandusky Exempted Village SD (CASH)</v>
      </c>
      <c r="AQ556" s="7" t="str">
        <f>'Gen Fd BS'!A556</f>
        <v>Upper Sandusky Exempted Village SD (CASH)</v>
      </c>
      <c r="AR556" s="7" t="b">
        <f t="shared" si="121"/>
        <v>1</v>
      </c>
      <c r="AT556" s="7" t="str">
        <f t="shared" si="117"/>
        <v>Wyandot</v>
      </c>
      <c r="AU556" s="7" t="b">
        <f>C556='Gen Fd BS'!C556</f>
        <v>1</v>
      </c>
    </row>
    <row r="557" spans="1:47" hidden="1">
      <c r="A557" s="12" t="s">
        <v>733</v>
      </c>
      <c r="B557" s="12"/>
      <c r="C557" s="12" t="s">
        <v>348</v>
      </c>
      <c r="D557" s="12"/>
      <c r="E557" s="12">
        <v>47522</v>
      </c>
      <c r="Y557" s="2">
        <f t="shared" si="123"/>
        <v>0</v>
      </c>
      <c r="AK557" s="7">
        <f t="shared" si="119"/>
        <v>0</v>
      </c>
      <c r="AM557" s="7">
        <f t="shared" si="122"/>
        <v>0</v>
      </c>
      <c r="AO557" s="7" t="s">
        <v>789</v>
      </c>
      <c r="AP557" s="7" t="str">
        <f t="shared" si="120"/>
        <v>Upper Scioto Valley Local SD (CASH)</v>
      </c>
      <c r="AQ557" s="7" t="str">
        <f>'Gen Fd BS'!A557</f>
        <v>Upper Scioto Valley Local SD (CASH)</v>
      </c>
      <c r="AR557" s="7" t="b">
        <f t="shared" si="121"/>
        <v>1</v>
      </c>
      <c r="AT557" s="7" t="str">
        <f t="shared" si="117"/>
        <v>Hardin</v>
      </c>
      <c r="AU557" s="7" t="b">
        <f>C557='Gen Fd BS'!C557</f>
        <v>1</v>
      </c>
    </row>
    <row r="558" spans="1:47">
      <c r="A558" s="12" t="s">
        <v>234</v>
      </c>
      <c r="B558" s="12"/>
      <c r="C558" s="12" t="s">
        <v>232</v>
      </c>
      <c r="D558" s="12"/>
      <c r="E558" s="12">
        <v>44941</v>
      </c>
      <c r="F558" s="10"/>
      <c r="G558" s="7">
        <v>7767771</v>
      </c>
      <c r="I558" s="7">
        <v>0</v>
      </c>
      <c r="K558" s="7">
        <f>138603+12241389</f>
        <v>12379992</v>
      </c>
      <c r="M558" s="7">
        <v>38309</v>
      </c>
      <c r="O558" s="7">
        <f>729197+53102+22211</f>
        <v>804510</v>
      </c>
      <c r="Q558" s="7">
        <v>146779</v>
      </c>
      <c r="S558" s="7">
        <v>0</v>
      </c>
      <c r="U558" s="7">
        <v>16420</v>
      </c>
      <c r="W558" s="7">
        <f>34191+9824</f>
        <v>44015</v>
      </c>
      <c r="Y558" s="2">
        <f t="shared" si="123"/>
        <v>21197796</v>
      </c>
      <c r="AA558" s="7">
        <v>0</v>
      </c>
      <c r="AC558" s="7">
        <v>0</v>
      </c>
      <c r="AE558" s="7">
        <v>0</v>
      </c>
      <c r="AG558" s="7">
        <v>0</v>
      </c>
      <c r="AI558" s="7">
        <v>0</v>
      </c>
      <c r="AK558" s="7">
        <f t="shared" si="119"/>
        <v>0</v>
      </c>
      <c r="AM558" s="7">
        <f t="shared" si="122"/>
        <v>21197796</v>
      </c>
      <c r="AP558" s="7" t="str">
        <f t="shared" si="120"/>
        <v>Urbana City SD</v>
      </c>
      <c r="AQ558" s="7" t="str">
        <f>'Gen Fd BS'!A558</f>
        <v>Urbana City SD</v>
      </c>
      <c r="AR558" s="7" t="b">
        <f t="shared" si="121"/>
        <v>1</v>
      </c>
      <c r="AT558" s="7" t="str">
        <f t="shared" si="117"/>
        <v>Champaign</v>
      </c>
      <c r="AU558" s="7" t="b">
        <f>C558='Gen Fd BS'!C558</f>
        <v>1</v>
      </c>
    </row>
    <row r="559" spans="1:47" hidden="1">
      <c r="A559" s="12" t="s">
        <v>734</v>
      </c>
      <c r="B559" s="12"/>
      <c r="C559" s="12" t="s">
        <v>59</v>
      </c>
      <c r="D559" s="12"/>
      <c r="E559" s="12">
        <v>49643</v>
      </c>
      <c r="Y559" s="2">
        <f t="shared" si="123"/>
        <v>0</v>
      </c>
      <c r="AK559" s="7">
        <f t="shared" si="119"/>
        <v>0</v>
      </c>
      <c r="AM559" s="7">
        <f t="shared" si="122"/>
        <v>0</v>
      </c>
      <c r="AO559" s="7" t="s">
        <v>789</v>
      </c>
      <c r="AP559" s="7" t="str">
        <f t="shared" si="120"/>
        <v>Valley Local SD (CASH)</v>
      </c>
      <c r="AQ559" s="7" t="str">
        <f>'Gen Fd BS'!A559</f>
        <v>Valley Local SD (CASH)</v>
      </c>
      <c r="AR559" s="7" t="b">
        <f t="shared" si="121"/>
        <v>1</v>
      </c>
      <c r="AT559" s="7" t="str">
        <f t="shared" si="117"/>
        <v>Scioto</v>
      </c>
      <c r="AU559" s="7" t="b">
        <f>C559='Gen Fd BS'!C559</f>
        <v>1</v>
      </c>
    </row>
    <row r="560" spans="1:47">
      <c r="A560" s="12" t="s">
        <v>450</v>
      </c>
      <c r="B560" s="12"/>
      <c r="C560" s="12" t="s">
        <v>50</v>
      </c>
      <c r="D560" s="12"/>
      <c r="E560" s="12">
        <v>48744</v>
      </c>
      <c r="G560" s="7">
        <v>4181914</v>
      </c>
      <c r="I560" s="7">
        <v>2795370</v>
      </c>
      <c r="K560" s="7">
        <v>8341377</v>
      </c>
      <c r="M560" s="7">
        <v>51347</v>
      </c>
      <c r="O560" s="7">
        <f>113445+100837</f>
        <v>214282</v>
      </c>
      <c r="Q560" s="7">
        <v>133691</v>
      </c>
      <c r="S560" s="7">
        <v>0</v>
      </c>
      <c r="U560" s="7">
        <v>7134</v>
      </c>
      <c r="W560" s="7">
        <f>50137+18864</f>
        <v>69001</v>
      </c>
      <c r="Y560" s="2">
        <f t="shared" si="123"/>
        <v>15794116</v>
      </c>
      <c r="AA560" s="7">
        <v>0</v>
      </c>
      <c r="AC560" s="7">
        <v>0</v>
      </c>
      <c r="AE560" s="7">
        <v>296105</v>
      </c>
      <c r="AG560" s="7">
        <v>0</v>
      </c>
      <c r="AI560" s="7">
        <v>175000</v>
      </c>
      <c r="AK560" s="7">
        <f t="shared" si="119"/>
        <v>471105</v>
      </c>
      <c r="AM560" s="7">
        <f t="shared" si="122"/>
        <v>16265221</v>
      </c>
      <c r="AP560" s="7" t="str">
        <f t="shared" si="120"/>
        <v>Valley View Local SD</v>
      </c>
      <c r="AQ560" s="7" t="str">
        <f>'Gen Fd BS'!A560</f>
        <v>Valley View Local SD</v>
      </c>
      <c r="AR560" s="7" t="b">
        <f t="shared" si="121"/>
        <v>1</v>
      </c>
      <c r="AT560" s="7" t="str">
        <f t="shared" si="117"/>
        <v>Montgomery</v>
      </c>
      <c r="AU560" s="7" t="b">
        <f>C560='Gen Fd BS'!C560</f>
        <v>1</v>
      </c>
    </row>
    <row r="561" spans="1:47">
      <c r="A561" s="12" t="s">
        <v>347</v>
      </c>
      <c r="B561" s="12"/>
      <c r="C561" s="12" t="s">
        <v>33</v>
      </c>
      <c r="D561" s="12"/>
      <c r="E561" s="12">
        <v>47464</v>
      </c>
      <c r="G561" s="7">
        <v>5551553</v>
      </c>
      <c r="I561" s="7">
        <v>0</v>
      </c>
      <c r="K561" s="7">
        <v>3397073</v>
      </c>
      <c r="M561" s="7">
        <v>42261</v>
      </c>
      <c r="O561" s="7">
        <v>949225</v>
      </c>
      <c r="Q561" s="7">
        <v>6578</v>
      </c>
      <c r="S561" s="7">
        <v>146772</v>
      </c>
      <c r="U561" s="7">
        <v>61306</v>
      </c>
      <c r="W561" s="7">
        <v>46339</v>
      </c>
      <c r="Y561" s="2">
        <f t="shared" si="123"/>
        <v>10201107</v>
      </c>
      <c r="AA561" s="7">
        <v>0</v>
      </c>
      <c r="AC561" s="7">
        <v>0</v>
      </c>
      <c r="AE561" s="7">
        <v>0</v>
      </c>
      <c r="AG561" s="7">
        <v>0</v>
      </c>
      <c r="AI561" s="7">
        <v>0</v>
      </c>
      <c r="AK561" s="7">
        <f t="shared" si="119"/>
        <v>0</v>
      </c>
      <c r="AM561" s="7">
        <f t="shared" si="122"/>
        <v>10201107</v>
      </c>
      <c r="AP561" s="7" t="str">
        <f t="shared" si="120"/>
        <v>Van Buren Local SD</v>
      </c>
      <c r="AQ561" s="7" t="str">
        <f>'Gen Fd BS'!A561</f>
        <v>Van Buren Local SD</v>
      </c>
      <c r="AR561" s="7" t="b">
        <f t="shared" si="121"/>
        <v>1</v>
      </c>
      <c r="AT561" s="7" t="str">
        <f t="shared" si="117"/>
        <v>Hancock</v>
      </c>
      <c r="AU561" s="7" t="b">
        <f>C561='Gen Fd BS'!C561</f>
        <v>1</v>
      </c>
    </row>
    <row r="562" spans="1:47" hidden="1">
      <c r="A562" s="12" t="s">
        <v>978</v>
      </c>
      <c r="B562" s="12"/>
      <c r="C562" s="12" t="s">
        <v>67</v>
      </c>
      <c r="D562" s="12"/>
      <c r="E562" s="12">
        <v>44966</v>
      </c>
      <c r="Y562" s="2">
        <f t="shared" si="123"/>
        <v>0</v>
      </c>
      <c r="AK562" s="7">
        <f t="shared" si="119"/>
        <v>0</v>
      </c>
      <c r="AM562" s="7">
        <f t="shared" si="122"/>
        <v>0</v>
      </c>
      <c r="AO562" s="7" t="s">
        <v>979</v>
      </c>
      <c r="AP562" s="7" t="str">
        <f t="shared" si="120"/>
        <v>Van Wert City SD (CASH)</v>
      </c>
      <c r="AQ562" s="7" t="str">
        <f>'Gen Fd BS'!A562</f>
        <v>Van Wert City SD (CASH)</v>
      </c>
      <c r="AR562" s="7" t="b">
        <f t="shared" si="121"/>
        <v>1</v>
      </c>
      <c r="AT562" s="7" t="str">
        <f t="shared" si="117"/>
        <v>Van Wert</v>
      </c>
      <c r="AU562" s="7" t="b">
        <f>C562='Gen Fd BS'!C562</f>
        <v>1</v>
      </c>
    </row>
    <row r="563" spans="1:47">
      <c r="A563" s="12" t="s">
        <v>451</v>
      </c>
      <c r="B563" s="12"/>
      <c r="C563" s="12" t="s">
        <v>50</v>
      </c>
      <c r="D563" s="12"/>
      <c r="E563" s="12">
        <v>44958</v>
      </c>
      <c r="G563" s="7">
        <v>19604174</v>
      </c>
      <c r="I563" s="7">
        <v>0</v>
      </c>
      <c r="K563" s="7">
        <v>10450586</v>
      </c>
      <c r="M563" s="7">
        <v>101505</v>
      </c>
      <c r="O563" s="7">
        <f>493010+154333+166398</f>
        <v>813741</v>
      </c>
      <c r="Q563" s="7">
        <v>204327</v>
      </c>
      <c r="S563" s="7">
        <v>437386</v>
      </c>
      <c r="U563" s="7">
        <v>125000</v>
      </c>
      <c r="W563" s="7">
        <f>42790+273631+10464</f>
        <v>326885</v>
      </c>
      <c r="Y563" s="2">
        <f t="shared" si="123"/>
        <v>32063604</v>
      </c>
      <c r="AA563" s="7">
        <v>0</v>
      </c>
      <c r="AC563" s="7">
        <v>0</v>
      </c>
      <c r="AE563" s="7">
        <v>349038</v>
      </c>
      <c r="AG563" s="7">
        <v>18319</v>
      </c>
      <c r="AI563" s="7">
        <v>0</v>
      </c>
      <c r="AK563" s="7">
        <f t="shared" si="119"/>
        <v>367357</v>
      </c>
      <c r="AM563" s="7">
        <f t="shared" si="122"/>
        <v>32430961</v>
      </c>
      <c r="AP563" s="7" t="str">
        <f t="shared" si="120"/>
        <v>Vandalia-Butler City SD</v>
      </c>
      <c r="AQ563" s="7" t="str">
        <f>'Gen Fd BS'!A563</f>
        <v>Vandalia-Butler City SD</v>
      </c>
      <c r="AR563" s="7" t="b">
        <f t="shared" si="121"/>
        <v>1</v>
      </c>
      <c r="AT563" s="7" t="str">
        <f t="shared" si="117"/>
        <v>Montgomery</v>
      </c>
      <c r="AU563" s="7" t="b">
        <f>C563='Gen Fd BS'!C563</f>
        <v>1</v>
      </c>
    </row>
    <row r="564" spans="1:47" hidden="1">
      <c r="A564" s="12" t="s">
        <v>736</v>
      </c>
      <c r="B564" s="12"/>
      <c r="C564" s="12" t="s">
        <v>33</v>
      </c>
      <c r="D564" s="12"/>
      <c r="E564" s="12">
        <v>47472</v>
      </c>
      <c r="Y564" s="2">
        <f t="shared" si="123"/>
        <v>0</v>
      </c>
      <c r="AK564" s="7">
        <f>SUM(AA564:AJ564)</f>
        <v>0</v>
      </c>
      <c r="AM564" s="7">
        <f t="shared" si="122"/>
        <v>0</v>
      </c>
      <c r="AO564" s="7" t="s">
        <v>789</v>
      </c>
      <c r="AP564" s="7" t="str">
        <f t="shared" si="120"/>
        <v>Vanlue Local SD (CASH)</v>
      </c>
      <c r="AQ564" s="7" t="str">
        <f>'Gen Fd BS'!A564</f>
        <v>Vanlue Local SD (CASH)</v>
      </c>
      <c r="AR564" s="7" t="b">
        <f t="shared" si="121"/>
        <v>1</v>
      </c>
      <c r="AT564" s="7" t="str">
        <f t="shared" si="117"/>
        <v>Hancock</v>
      </c>
      <c r="AU564" s="7" t="b">
        <f>C564='Gen Fd BS'!C564</f>
        <v>1</v>
      </c>
    </row>
    <row r="565" spans="1:47">
      <c r="A565" s="12" t="s">
        <v>297</v>
      </c>
      <c r="B565" s="12"/>
      <c r="C565" s="12" t="s">
        <v>24</v>
      </c>
      <c r="D565" s="12"/>
      <c r="E565" s="12">
        <v>46821</v>
      </c>
      <c r="G565" s="7">
        <v>14515791</v>
      </c>
      <c r="I565" s="7">
        <v>0</v>
      </c>
      <c r="K565" s="7">
        <f>7973898+84304</f>
        <v>8058202</v>
      </c>
      <c r="M565" s="7">
        <v>105701</v>
      </c>
      <c r="O565" s="7">
        <f>665444+9057+153605</f>
        <v>828106</v>
      </c>
      <c r="Q565" s="7">
        <v>104750</v>
      </c>
      <c r="S565" s="7">
        <v>0</v>
      </c>
      <c r="U565" s="7">
        <v>2318</v>
      </c>
      <c r="W565" s="7">
        <f>36596+33819</f>
        <v>70415</v>
      </c>
      <c r="Y565" s="2">
        <f t="shared" si="123"/>
        <v>23685283</v>
      </c>
      <c r="AA565" s="7">
        <v>0</v>
      </c>
      <c r="AC565" s="7">
        <v>0</v>
      </c>
      <c r="AE565" s="7">
        <v>118673</v>
      </c>
      <c r="AG565" s="7">
        <v>0</v>
      </c>
      <c r="AI565" s="7">
        <v>0</v>
      </c>
      <c r="AK565" s="7">
        <f>SUM(AA565:AJ565)</f>
        <v>118673</v>
      </c>
      <c r="AM565" s="7">
        <f t="shared" si="122"/>
        <v>23803956</v>
      </c>
      <c r="AP565" s="7" t="str">
        <f t="shared" si="120"/>
        <v>Vermilion Local SD</v>
      </c>
      <c r="AQ565" s="7" t="str">
        <f>'Gen Fd BS'!A565</f>
        <v>Vermilion Local SD</v>
      </c>
      <c r="AR565" s="7" t="b">
        <f t="shared" si="121"/>
        <v>1</v>
      </c>
      <c r="AT565" s="7" t="str">
        <f t="shared" si="117"/>
        <v>Erie</v>
      </c>
      <c r="AU565" s="7" t="b">
        <f>C565='Gen Fd BS'!C565</f>
        <v>1</v>
      </c>
    </row>
    <row r="566" spans="1:47" hidden="1">
      <c r="A566" s="12" t="s">
        <v>737</v>
      </c>
      <c r="B566" s="12"/>
      <c r="C566" s="12" t="s">
        <v>21</v>
      </c>
      <c r="D566" s="12"/>
      <c r="E566" s="12"/>
      <c r="Y566" s="2"/>
      <c r="AO566" s="7" t="s">
        <v>789</v>
      </c>
      <c r="AP566" s="7" t="str">
        <f t="shared" si="120"/>
        <v>Versailles Exempted Village SD (CASH)</v>
      </c>
      <c r="AQ566" s="7" t="str">
        <f>'Gen Fd BS'!A566</f>
        <v>Versailles Exempted Village SD (CASH)</v>
      </c>
      <c r="AR566" s="7" t="b">
        <f t="shared" si="121"/>
        <v>1</v>
      </c>
      <c r="AT566" s="7" t="str">
        <f t="shared" si="117"/>
        <v>Darke</v>
      </c>
      <c r="AU566" s="7" t="b">
        <f>C566='Gen Fd BS'!C566</f>
        <v>1</v>
      </c>
    </row>
    <row r="567" spans="1:47">
      <c r="A567" s="12" t="s">
        <v>559</v>
      </c>
      <c r="B567" s="12"/>
      <c r="C567" s="12" t="s">
        <v>68</v>
      </c>
      <c r="D567" s="12"/>
      <c r="E567" s="12">
        <v>50393</v>
      </c>
      <c r="G567" s="7">
        <v>3096704</v>
      </c>
      <c r="I567" s="7">
        <v>0</v>
      </c>
      <c r="K567" s="7">
        <v>16913019</v>
      </c>
      <c r="M567" s="7">
        <v>116838</v>
      </c>
      <c r="O567" s="7">
        <v>430065</v>
      </c>
      <c r="Q567" s="7">
        <v>43855</v>
      </c>
      <c r="S567" s="7">
        <v>641506</v>
      </c>
      <c r="U567" s="7">
        <v>28748</v>
      </c>
      <c r="W567" s="7">
        <f>287213+183470</f>
        <v>470683</v>
      </c>
      <c r="Y567" s="2">
        <f t="shared" si="123"/>
        <v>21741418</v>
      </c>
      <c r="AA567" s="7">
        <v>0</v>
      </c>
      <c r="AC567" s="7">
        <v>0</v>
      </c>
      <c r="AE567" s="7">
        <v>0</v>
      </c>
      <c r="AG567" s="7">
        <f>3676+37736</f>
        <v>41412</v>
      </c>
      <c r="AI567" s="7">
        <v>0</v>
      </c>
      <c r="AK567" s="7">
        <f>SUM(AA567:AJ567)</f>
        <v>41412</v>
      </c>
      <c r="AM567" s="7">
        <f t="shared" ref="AM567:AM598" si="124">+AK567+Y567</f>
        <v>21782830</v>
      </c>
      <c r="AP567" s="7" t="str">
        <f t="shared" si="120"/>
        <v>Vinton County Local SD</v>
      </c>
      <c r="AQ567" s="7" t="str">
        <f>'Gen Fd BS'!A567</f>
        <v>Vinton County Local SD</v>
      </c>
      <c r="AR567" s="7" t="b">
        <f t="shared" si="121"/>
        <v>1</v>
      </c>
      <c r="AT567" s="7" t="str">
        <f t="shared" si="117"/>
        <v>Vinton</v>
      </c>
      <c r="AU567" s="7" t="b">
        <f>C567='Gen Fd BS'!C567</f>
        <v>1</v>
      </c>
    </row>
    <row r="568" spans="1:47">
      <c r="A568" s="12" t="s">
        <v>432</v>
      </c>
      <c r="B568" s="12"/>
      <c r="C568" s="12" t="s">
        <v>47</v>
      </c>
      <c r="D568" s="12"/>
      <c r="E568" s="12">
        <v>44974</v>
      </c>
      <c r="G568" s="7">
        <v>15269515</v>
      </c>
      <c r="I568" s="7">
        <v>0</v>
      </c>
      <c r="K568" s="7">
        <f>18245292+32314</f>
        <v>18277606</v>
      </c>
      <c r="M568" s="7">
        <f>113949-35668</f>
        <v>78281</v>
      </c>
      <c r="O568" s="7">
        <f>572556+11015+131263</f>
        <v>714834</v>
      </c>
      <c r="Q568" s="7">
        <v>147203</v>
      </c>
      <c r="S568" s="7">
        <v>83589</v>
      </c>
      <c r="U568" s="7">
        <v>1732</v>
      </c>
      <c r="W568" s="7">
        <f>38888+221836+37930</f>
        <v>298654</v>
      </c>
      <c r="Y568" s="2">
        <f t="shared" si="123"/>
        <v>34871414</v>
      </c>
      <c r="AA568" s="7">
        <v>814379</v>
      </c>
      <c r="AC568" s="7">
        <v>0</v>
      </c>
      <c r="AE568" s="7">
        <v>0</v>
      </c>
      <c r="AG568" s="7">
        <v>530</v>
      </c>
      <c r="AI568" s="7">
        <v>0</v>
      </c>
      <c r="AK568" s="7">
        <f>SUM(AA568:AJ568)</f>
        <v>814909</v>
      </c>
      <c r="AM568" s="7">
        <f t="shared" si="124"/>
        <v>35686323</v>
      </c>
      <c r="AP568" s="7" t="str">
        <f t="shared" si="120"/>
        <v>Wadsworth City SD</v>
      </c>
      <c r="AQ568" s="7" t="str">
        <f>'Gen Fd BS'!A568</f>
        <v>Wadsworth City SD</v>
      </c>
      <c r="AR568" s="7" t="b">
        <f t="shared" si="121"/>
        <v>1</v>
      </c>
      <c r="AT568" s="7" t="str">
        <f t="shared" si="117"/>
        <v>Medina</v>
      </c>
      <c r="AU568" s="7" t="b">
        <f>C568='Gen Fd BS'!C568</f>
        <v>1</v>
      </c>
    </row>
    <row r="569" spans="1:47">
      <c r="A569" s="12" t="s">
        <v>547</v>
      </c>
      <c r="B569" s="12"/>
      <c r="C569" s="12" t="s">
        <v>64</v>
      </c>
      <c r="D569" s="12"/>
      <c r="E569" s="12">
        <v>44990</v>
      </c>
      <c r="G569" s="7">
        <v>11794811</v>
      </c>
      <c r="I569" s="7">
        <v>0</v>
      </c>
      <c r="K569" s="7">
        <f>44496520+260230</f>
        <v>44756750</v>
      </c>
      <c r="M569" s="7">
        <v>162653</v>
      </c>
      <c r="O569" s="7">
        <f>1169537+110847+31173</f>
        <v>1311557</v>
      </c>
      <c r="Q569" s="7">
        <v>8151</v>
      </c>
      <c r="S569" s="7">
        <v>0</v>
      </c>
      <c r="U569" s="7">
        <v>0</v>
      </c>
      <c r="W569" s="7">
        <v>405421</v>
      </c>
      <c r="Y569" s="2">
        <f t="shared" si="123"/>
        <v>58439343</v>
      </c>
      <c r="AA569" s="7">
        <v>1834</v>
      </c>
      <c r="AC569" s="7">
        <v>0</v>
      </c>
      <c r="AE569" s="7">
        <v>0</v>
      </c>
      <c r="AG569" s="7">
        <v>38397</v>
      </c>
      <c r="AI569" s="7">
        <v>0</v>
      </c>
      <c r="AK569" s="7">
        <f>SUM(AA569:AJ569)</f>
        <v>40231</v>
      </c>
      <c r="AM569" s="7">
        <f t="shared" si="124"/>
        <v>58479574</v>
      </c>
      <c r="AP569" s="7" t="str">
        <f t="shared" si="120"/>
        <v>Warren City SD</v>
      </c>
      <c r="AQ569" s="7" t="str">
        <f>'Gen Fd BS'!A569</f>
        <v>Warren City SD</v>
      </c>
      <c r="AR569" s="7" t="b">
        <f t="shared" si="121"/>
        <v>1</v>
      </c>
      <c r="AT569" s="7" t="str">
        <f t="shared" si="117"/>
        <v>Trumbull</v>
      </c>
      <c r="AU569" s="7" t="b">
        <f>C569='Gen Fd BS'!C569</f>
        <v>1</v>
      </c>
    </row>
    <row r="570" spans="1:47">
      <c r="A570" s="12" t="s">
        <v>566</v>
      </c>
      <c r="B570" s="12"/>
      <c r="C570" s="12" t="s">
        <v>70</v>
      </c>
      <c r="D570" s="12"/>
      <c r="E570" s="12">
        <v>50500</v>
      </c>
      <c r="G570" s="7">
        <v>5566506</v>
      </c>
      <c r="I570" s="7">
        <v>0</v>
      </c>
      <c r="K570" s="7">
        <v>12692073</v>
      </c>
      <c r="M570" s="7">
        <v>520</v>
      </c>
      <c r="O570" s="7">
        <v>1435230</v>
      </c>
      <c r="Q570" s="7">
        <v>9710</v>
      </c>
      <c r="S570" s="7">
        <v>0</v>
      </c>
      <c r="U570" s="7">
        <v>0</v>
      </c>
      <c r="W570" s="7">
        <v>201096</v>
      </c>
      <c r="Y570" s="2">
        <f t="shared" si="123"/>
        <v>19905135</v>
      </c>
      <c r="AA570" s="7">
        <v>0</v>
      </c>
      <c r="AC570" s="7">
        <v>0</v>
      </c>
      <c r="AE570" s="7">
        <v>0</v>
      </c>
      <c r="AG570" s="7">
        <f>11563+3427</f>
        <v>14990</v>
      </c>
      <c r="AI570" s="7">
        <v>0</v>
      </c>
      <c r="AK570" s="7">
        <f t="shared" ref="AK570:AK618" si="125">SUM(AA570:AJ570)</f>
        <v>14990</v>
      </c>
      <c r="AM570" s="7">
        <f t="shared" si="124"/>
        <v>19920125</v>
      </c>
      <c r="AP570" s="7" t="str">
        <f t="shared" si="120"/>
        <v>Warren Local SD</v>
      </c>
      <c r="AQ570" s="7" t="str">
        <f>'Gen Fd BS'!A570</f>
        <v>Warren Local SD</v>
      </c>
      <c r="AR570" s="7" t="b">
        <f t="shared" si="121"/>
        <v>1</v>
      </c>
      <c r="AT570" s="7" t="str">
        <f t="shared" si="117"/>
        <v>Washington</v>
      </c>
      <c r="AU570" s="7" t="b">
        <f>C570='Gen Fd BS'!C570</f>
        <v>1</v>
      </c>
    </row>
    <row r="571" spans="1:47">
      <c r="A571" s="12" t="s">
        <v>286</v>
      </c>
      <c r="B571" s="12"/>
      <c r="C571" s="12" t="s">
        <v>20</v>
      </c>
      <c r="D571" s="12"/>
      <c r="E571" s="12">
        <v>45005</v>
      </c>
      <c r="G571" s="7">
        <v>19533643</v>
      </c>
      <c r="I571" s="7">
        <v>0</v>
      </c>
      <c r="K571" s="7">
        <v>14983277</v>
      </c>
      <c r="M571" s="7">
        <v>19773</v>
      </c>
      <c r="O571" s="7">
        <v>79748</v>
      </c>
      <c r="Q571" s="7">
        <v>1179</v>
      </c>
      <c r="S571" s="7">
        <v>0</v>
      </c>
      <c r="U571" s="7">
        <v>4246</v>
      </c>
      <c r="W571" s="7">
        <f>3261+7407+105868</f>
        <v>116536</v>
      </c>
      <c r="Y571" s="2">
        <f>SUM(G571:X571)</f>
        <v>34738402</v>
      </c>
      <c r="AA571" s="7">
        <v>0</v>
      </c>
      <c r="AC571" s="7">
        <v>0</v>
      </c>
      <c r="AE571" s="7">
        <v>0</v>
      </c>
      <c r="AG571" s="7">
        <v>0</v>
      </c>
      <c r="AI571" s="7">
        <v>0</v>
      </c>
      <c r="AK571" s="7">
        <f>SUM(AA571:AJ571)</f>
        <v>0</v>
      </c>
      <c r="AM571" s="7">
        <f t="shared" si="124"/>
        <v>34738402</v>
      </c>
      <c r="AP571" s="7" t="str">
        <f t="shared" si="120"/>
        <v>Warrensville Heights City SD</v>
      </c>
      <c r="AQ571" s="7" t="str">
        <f>'Gen Fd BS'!A571</f>
        <v>Warrensville Heights City SD</v>
      </c>
      <c r="AR571" s="7" t="b">
        <f t="shared" si="121"/>
        <v>1</v>
      </c>
      <c r="AT571" s="7" t="str">
        <f t="shared" si="117"/>
        <v>Cuyahoga</v>
      </c>
      <c r="AU571" s="7" t="b">
        <f>C571='Gen Fd BS'!C571</f>
        <v>1</v>
      </c>
    </row>
    <row r="572" spans="1:47">
      <c r="A572" s="12" t="s">
        <v>304</v>
      </c>
      <c r="B572" s="12"/>
      <c r="C572" s="12" t="s">
        <v>26</v>
      </c>
      <c r="D572" s="12"/>
      <c r="E572" s="12">
        <v>45013</v>
      </c>
      <c r="G572" s="7">
        <v>3679895</v>
      </c>
      <c r="I572" s="7">
        <v>0</v>
      </c>
      <c r="K572" s="7">
        <v>11916217</v>
      </c>
      <c r="M572" s="7">
        <v>107</v>
      </c>
      <c r="O572" s="7">
        <v>975914</v>
      </c>
      <c r="Q572" s="7">
        <v>29801</v>
      </c>
      <c r="S572" s="7">
        <v>13434</v>
      </c>
      <c r="U572" s="7">
        <v>700</v>
      </c>
      <c r="W572" s="7">
        <f>153047+0+68</f>
        <v>153115</v>
      </c>
      <c r="Y572" s="2">
        <f t="shared" si="123"/>
        <v>16769183</v>
      </c>
      <c r="AA572" s="7">
        <v>0</v>
      </c>
      <c r="AC572" s="7">
        <v>0</v>
      </c>
      <c r="AE572" s="7">
        <v>0</v>
      </c>
      <c r="AG572" s="7">
        <v>63838</v>
      </c>
      <c r="AI572" s="7">
        <v>0</v>
      </c>
      <c r="AK572" s="7">
        <f t="shared" si="125"/>
        <v>63838</v>
      </c>
      <c r="AM572" s="7">
        <f t="shared" si="124"/>
        <v>16833021</v>
      </c>
      <c r="AP572" s="7" t="str">
        <f t="shared" si="120"/>
        <v>Washington Court House City SD</v>
      </c>
      <c r="AQ572" s="7" t="str">
        <f>'Gen Fd BS'!A572</f>
        <v>Washington Court House City SD</v>
      </c>
      <c r="AR572" s="7" t="b">
        <f t="shared" si="121"/>
        <v>1</v>
      </c>
      <c r="AT572" s="7" t="str">
        <f t="shared" si="117"/>
        <v>Fayette</v>
      </c>
      <c r="AU572" s="7" t="b">
        <f>C572='Gen Fd BS'!C572</f>
        <v>1</v>
      </c>
    </row>
    <row r="573" spans="1:47">
      <c r="A573" s="12" t="s">
        <v>409</v>
      </c>
      <c r="B573" s="12"/>
      <c r="C573" s="12" t="s">
        <v>115</v>
      </c>
      <c r="D573" s="12"/>
      <c r="E573" s="12">
        <v>48231</v>
      </c>
      <c r="G573" s="7">
        <v>30970375</v>
      </c>
      <c r="I573" s="7">
        <v>0</v>
      </c>
      <c r="K573" s="7">
        <f>2475+31765871+173360</f>
        <v>31941706</v>
      </c>
      <c r="M573" s="7">
        <v>557862</v>
      </c>
      <c r="O573" s="7">
        <f>581794+155870+138957</f>
        <v>876621</v>
      </c>
      <c r="Q573" s="7">
        <v>1617</v>
      </c>
      <c r="S573" s="7">
        <v>3334207</v>
      </c>
      <c r="U573" s="7">
        <v>255930</v>
      </c>
      <c r="W573" s="7">
        <f>583761+103885+94962</f>
        <v>782608</v>
      </c>
      <c r="Y573" s="2">
        <f t="shared" si="123"/>
        <v>68720926</v>
      </c>
      <c r="AA573" s="7">
        <v>0</v>
      </c>
      <c r="AC573" s="7">
        <v>0</v>
      </c>
      <c r="AE573" s="7">
        <v>0</v>
      </c>
      <c r="AG573" s="7">
        <v>677</v>
      </c>
      <c r="AI573" s="7">
        <v>0</v>
      </c>
      <c r="AK573" s="7">
        <f t="shared" si="125"/>
        <v>677</v>
      </c>
      <c r="AM573" s="7">
        <f t="shared" si="124"/>
        <v>68721603</v>
      </c>
      <c r="AP573" s="7" t="str">
        <f t="shared" si="120"/>
        <v>Washington Local SD</v>
      </c>
      <c r="AQ573" s="7" t="str">
        <f>'Gen Fd BS'!A573</f>
        <v>Washington Local SD</v>
      </c>
      <c r="AR573" s="7" t="b">
        <f t="shared" si="121"/>
        <v>1</v>
      </c>
      <c r="AT573" s="7" t="str">
        <f t="shared" si="117"/>
        <v>Lucas</v>
      </c>
      <c r="AU573" s="7" t="b">
        <f>C573='Gen Fd BS'!C573</f>
        <v>1</v>
      </c>
    </row>
    <row r="574" spans="1:47">
      <c r="A574" s="12" t="s">
        <v>500</v>
      </c>
      <c r="B574" s="12"/>
      <c r="C574" s="12" t="s">
        <v>59</v>
      </c>
      <c r="D574" s="12"/>
      <c r="E574" s="12">
        <v>49650</v>
      </c>
      <c r="G574" s="7">
        <v>1339236</v>
      </c>
      <c r="I574" s="7">
        <v>0</v>
      </c>
      <c r="K574" s="7">
        <v>9592884</v>
      </c>
      <c r="M574" s="7">
        <f>81929-9805</f>
        <v>72124</v>
      </c>
      <c r="O574" s="7">
        <v>1076396</v>
      </c>
      <c r="Q574" s="7">
        <v>20784</v>
      </c>
      <c r="S574" s="7">
        <v>0</v>
      </c>
      <c r="U574" s="7">
        <v>0</v>
      </c>
      <c r="W574" s="7">
        <f>14711+94940</f>
        <v>109651</v>
      </c>
      <c r="Y574" s="2">
        <f t="shared" si="123"/>
        <v>12211075</v>
      </c>
      <c r="AA574" s="7">
        <v>0</v>
      </c>
      <c r="AC574" s="7">
        <v>0</v>
      </c>
      <c r="AE574" s="7">
        <v>0</v>
      </c>
      <c r="AG574" s="7">
        <v>3206</v>
      </c>
      <c r="AI574" s="7">
        <v>0</v>
      </c>
      <c r="AK574" s="7">
        <f t="shared" si="125"/>
        <v>3206</v>
      </c>
      <c r="AM574" s="7">
        <f t="shared" si="124"/>
        <v>12214281</v>
      </c>
      <c r="AP574" s="7" t="str">
        <f t="shared" si="120"/>
        <v>Washington-Nile Local SD</v>
      </c>
      <c r="AQ574" s="7" t="str">
        <f>'Gen Fd BS'!A574</f>
        <v>Washington-Nile Local SD</v>
      </c>
      <c r="AR574" s="7" t="b">
        <f t="shared" si="121"/>
        <v>1</v>
      </c>
      <c r="AT574" s="7" t="str">
        <f t="shared" si="117"/>
        <v>Scioto</v>
      </c>
      <c r="AU574" s="7" t="b">
        <f>C574='Gen Fd BS'!C574</f>
        <v>1</v>
      </c>
    </row>
    <row r="575" spans="1:47">
      <c r="A575" s="12" t="s">
        <v>480</v>
      </c>
      <c r="B575" s="12"/>
      <c r="C575" s="12" t="s">
        <v>56</v>
      </c>
      <c r="D575" s="12"/>
      <c r="E575" s="12">
        <v>49247</v>
      </c>
      <c r="G575" s="7">
        <v>2608814</v>
      </c>
      <c r="I575" s="7">
        <v>0</v>
      </c>
      <c r="K575" s="7">
        <v>6332000</v>
      </c>
      <c r="M575" s="7">
        <v>5274</v>
      </c>
      <c r="O575" s="7">
        <f>263729+38643</f>
        <v>302372</v>
      </c>
      <c r="Q575" s="7">
        <v>92523</v>
      </c>
      <c r="S575" s="7">
        <v>0</v>
      </c>
      <c r="U575" s="7">
        <v>3788</v>
      </c>
      <c r="W575" s="7">
        <f>34542+248</f>
        <v>34790</v>
      </c>
      <c r="Y575" s="2">
        <f t="shared" si="123"/>
        <v>9379561</v>
      </c>
      <c r="AA575" s="7">
        <v>0</v>
      </c>
      <c r="AC575" s="7">
        <v>0</v>
      </c>
      <c r="AE575" s="7">
        <v>0</v>
      </c>
      <c r="AG575" s="7">
        <v>0</v>
      </c>
      <c r="AI575" s="7">
        <v>0</v>
      </c>
      <c r="AK575" s="7">
        <f t="shared" si="125"/>
        <v>0</v>
      </c>
      <c r="AM575" s="7">
        <f t="shared" si="124"/>
        <v>9379561</v>
      </c>
      <c r="AP575" s="7" t="str">
        <f t="shared" si="120"/>
        <v>Waterloo Local SD</v>
      </c>
      <c r="AQ575" s="7" t="str">
        <f>'Gen Fd BS'!A575</f>
        <v>Waterloo Local SD</v>
      </c>
      <c r="AR575" s="7" t="b">
        <f t="shared" si="121"/>
        <v>1</v>
      </c>
      <c r="AT575" s="7" t="str">
        <f t="shared" si="117"/>
        <v>Portage</v>
      </c>
      <c r="AU575" s="7" t="b">
        <f>C575='Gen Fd BS'!C575</f>
        <v>1</v>
      </c>
    </row>
    <row r="576" spans="1:47">
      <c r="A576" s="12" t="s">
        <v>889</v>
      </c>
      <c r="B576" s="12"/>
      <c r="C576" s="12" t="s">
        <v>28</v>
      </c>
      <c r="D576" s="12"/>
      <c r="E576" s="12">
        <v>45641</v>
      </c>
      <c r="G576" s="7">
        <v>4209058</v>
      </c>
      <c r="I576" s="7">
        <v>0</v>
      </c>
      <c r="K576" s="7">
        <v>8892363</v>
      </c>
      <c r="M576" s="7">
        <v>31927</v>
      </c>
      <c r="O576" s="7">
        <f>669818+24620+56784</f>
        <v>751222</v>
      </c>
      <c r="Q576" s="7">
        <v>0</v>
      </c>
      <c r="S576" s="7">
        <v>0</v>
      </c>
      <c r="U576" s="7">
        <v>0</v>
      </c>
      <c r="W576" s="7">
        <v>248990</v>
      </c>
      <c r="Y576" s="2">
        <f t="shared" si="123"/>
        <v>14133560</v>
      </c>
      <c r="AA576" s="7">
        <v>0</v>
      </c>
      <c r="AC576" s="7">
        <v>0</v>
      </c>
      <c r="AE576" s="7">
        <v>0</v>
      </c>
      <c r="AG576" s="7">
        <f>10180+11340</f>
        <v>21520</v>
      </c>
      <c r="AI576" s="7">
        <v>0</v>
      </c>
      <c r="AK576" s="7">
        <f t="shared" si="125"/>
        <v>21520</v>
      </c>
      <c r="AM576" s="7">
        <f t="shared" si="124"/>
        <v>14155080</v>
      </c>
      <c r="AP576" s="7" t="str">
        <f t="shared" si="120"/>
        <v>Wauseon Exempted Village SD</v>
      </c>
      <c r="AQ576" s="7" t="str">
        <f>'Gen Fd BS'!A576</f>
        <v>Wauseon Exempted Village SD</v>
      </c>
      <c r="AR576" s="7" t="b">
        <f t="shared" si="121"/>
        <v>1</v>
      </c>
      <c r="AT576" s="7" t="str">
        <f t="shared" si="117"/>
        <v>Fulton</v>
      </c>
      <c r="AU576" s="7" t="b">
        <f>C576='Gen Fd BS'!C576</f>
        <v>1</v>
      </c>
    </row>
    <row r="577" spans="1:47">
      <c r="A577" s="12" t="s">
        <v>472</v>
      </c>
      <c r="B577" s="12"/>
      <c r="C577" s="12" t="s">
        <v>55</v>
      </c>
      <c r="D577" s="12"/>
      <c r="E577" s="12">
        <v>49148</v>
      </c>
      <c r="G577" s="7">
        <v>3159712</v>
      </c>
      <c r="I577" s="7">
        <v>0</v>
      </c>
      <c r="K577" s="7">
        <v>10798446</v>
      </c>
      <c r="M577" s="7">
        <v>14008</v>
      </c>
      <c r="O577" s="7">
        <v>722959</v>
      </c>
      <c r="Q577" s="7">
        <v>23868</v>
      </c>
      <c r="S577" s="7">
        <v>0</v>
      </c>
      <c r="U577" s="7">
        <v>12538</v>
      </c>
      <c r="W577" s="7">
        <f>2775+16608</f>
        <v>19383</v>
      </c>
      <c r="Y577" s="2">
        <f t="shared" si="123"/>
        <v>14750914</v>
      </c>
      <c r="AA577" s="7">
        <v>0</v>
      </c>
      <c r="AC577" s="7">
        <v>0</v>
      </c>
      <c r="AE577" s="7">
        <v>0</v>
      </c>
      <c r="AG577" s="7">
        <v>0</v>
      </c>
      <c r="AI577" s="7">
        <v>0</v>
      </c>
      <c r="AK577" s="7">
        <f t="shared" si="125"/>
        <v>0</v>
      </c>
      <c r="AM577" s="7">
        <f t="shared" si="124"/>
        <v>14750914</v>
      </c>
      <c r="AP577" s="7" t="str">
        <f t="shared" si="120"/>
        <v>Waverly City SD</v>
      </c>
      <c r="AQ577" s="7" t="str">
        <f>'Gen Fd BS'!A577</f>
        <v>Waverly City SD</v>
      </c>
      <c r="AR577" s="7" t="b">
        <f t="shared" si="121"/>
        <v>1</v>
      </c>
      <c r="AT577" s="7" t="str">
        <f t="shared" si="117"/>
        <v>Pike</v>
      </c>
      <c r="AU577" s="7" t="b">
        <f>C577='Gen Fd BS'!C577</f>
        <v>1</v>
      </c>
    </row>
    <row r="578" spans="1:47" hidden="1">
      <c r="A578" s="12" t="s">
        <v>747</v>
      </c>
      <c r="B578" s="12"/>
      <c r="C578" s="12" t="s">
        <v>69</v>
      </c>
      <c r="D578" s="12"/>
      <c r="E578" s="12">
        <v>50468</v>
      </c>
      <c r="Y578" s="2">
        <f t="shared" si="123"/>
        <v>0</v>
      </c>
      <c r="AI578" s="7">
        <v>0</v>
      </c>
      <c r="AK578" s="7">
        <f t="shared" si="125"/>
        <v>0</v>
      </c>
      <c r="AM578" s="7">
        <f t="shared" si="124"/>
        <v>0</v>
      </c>
      <c r="AP578" s="7" t="str">
        <f t="shared" si="120"/>
        <v>Wayne Local SD (CASH)</v>
      </c>
      <c r="AQ578" s="7" t="str">
        <f>'Gen Fd BS'!A578</f>
        <v>Wayne Local SD (CASH)</v>
      </c>
      <c r="AR578" s="7" t="b">
        <f t="shared" si="121"/>
        <v>1</v>
      </c>
      <c r="AT578" s="7" t="str">
        <f t="shared" si="117"/>
        <v>Warren</v>
      </c>
      <c r="AU578" s="7" t="b">
        <f>C578='Gen Fd BS'!C578</f>
        <v>1</v>
      </c>
    </row>
    <row r="579" spans="1:47" hidden="1">
      <c r="A579" s="12" t="s">
        <v>926</v>
      </c>
      <c r="B579" s="12"/>
      <c r="C579" s="12" t="s">
        <v>465</v>
      </c>
      <c r="D579" s="12"/>
      <c r="E579" s="12">
        <v>49031</v>
      </c>
      <c r="Y579" s="2">
        <f t="shared" si="123"/>
        <v>0</v>
      </c>
      <c r="AI579" s="7">
        <v>0</v>
      </c>
      <c r="AK579" s="7">
        <f t="shared" si="125"/>
        <v>0</v>
      </c>
      <c r="AM579" s="7">
        <f t="shared" si="124"/>
        <v>0</v>
      </c>
      <c r="AP579" s="7" t="str">
        <f t="shared" si="120"/>
        <v>Wayne Trace Local SD (CASH)</v>
      </c>
      <c r="AQ579" s="7" t="str">
        <f>'Gen Fd BS'!A579</f>
        <v>Wayne Trace Local SD (CASH)</v>
      </c>
      <c r="AR579" s="7" t="b">
        <f t="shared" si="121"/>
        <v>1</v>
      </c>
      <c r="AT579" s="7" t="str">
        <f t="shared" si="117"/>
        <v>Paulding</v>
      </c>
      <c r="AU579" s="7" t="b">
        <f>C579='Gen Fd BS'!C579</f>
        <v>1</v>
      </c>
    </row>
    <row r="580" spans="1:47" ht="11.25" hidden="1" customHeight="1">
      <c r="A580" s="12" t="s">
        <v>675</v>
      </c>
      <c r="B580" s="12"/>
      <c r="C580" s="12" t="s">
        <v>14</v>
      </c>
      <c r="D580" s="12"/>
      <c r="E580" s="12">
        <v>45971</v>
      </c>
      <c r="F580" s="10"/>
      <c r="Y580" s="2">
        <f t="shared" si="123"/>
        <v>0</v>
      </c>
      <c r="AI580" s="7">
        <v>0</v>
      </c>
      <c r="AK580" s="7">
        <f t="shared" si="125"/>
        <v>0</v>
      </c>
      <c r="AM580" s="7">
        <f t="shared" si="124"/>
        <v>0</v>
      </c>
      <c r="AP580" s="7" t="str">
        <f t="shared" si="120"/>
        <v>Waynesfield-Goshen Local SD  (CASH)</v>
      </c>
      <c r="AQ580" s="7" t="str">
        <f>'Gen Fd BS'!A580</f>
        <v>Waynesfield-Goshen Local SD  (CASH)</v>
      </c>
      <c r="AR580" s="7" t="b">
        <f t="shared" si="121"/>
        <v>1</v>
      </c>
      <c r="AT580" s="7" t="str">
        <f t="shared" si="117"/>
        <v>Auglaize</v>
      </c>
      <c r="AU580" s="7" t="b">
        <f>C580='Gen Fd BS'!C580</f>
        <v>1</v>
      </c>
    </row>
    <row r="581" spans="1:47">
      <c r="A581" s="12" t="s">
        <v>548</v>
      </c>
      <c r="B581" s="12"/>
      <c r="C581" s="12" t="s">
        <v>64</v>
      </c>
      <c r="D581" s="12"/>
      <c r="E581" s="12">
        <v>50252</v>
      </c>
      <c r="G581" s="7">
        <v>2301853</v>
      </c>
      <c r="I581" s="7">
        <v>0</v>
      </c>
      <c r="K581" s="7">
        <v>4428076</v>
      </c>
      <c r="M581" s="7">
        <v>15315</v>
      </c>
      <c r="O581" s="7">
        <f>1566044+25719</f>
        <v>1591763</v>
      </c>
      <c r="Q581" s="7">
        <v>15905</v>
      </c>
      <c r="S581" s="7">
        <v>0</v>
      </c>
      <c r="U581" s="7">
        <v>0</v>
      </c>
      <c r="W581" s="7">
        <v>21879</v>
      </c>
      <c r="Y581" s="2">
        <f t="shared" si="123"/>
        <v>8374791</v>
      </c>
      <c r="AA581" s="7">
        <v>0</v>
      </c>
      <c r="AC581" s="7">
        <v>0</v>
      </c>
      <c r="AE581" s="7">
        <v>0</v>
      </c>
      <c r="AG581" s="7">
        <v>0</v>
      </c>
      <c r="AI581" s="7">
        <v>0</v>
      </c>
      <c r="AK581" s="7">
        <f t="shared" si="125"/>
        <v>0</v>
      </c>
      <c r="AM581" s="7">
        <f t="shared" si="124"/>
        <v>8374791</v>
      </c>
      <c r="AP581" s="7" t="str">
        <f t="shared" si="120"/>
        <v>Weathersfield Local SD</v>
      </c>
      <c r="AQ581" s="7" t="str">
        <f>'Gen Fd BS'!A581</f>
        <v>Weathersfield Local SD</v>
      </c>
      <c r="AR581" s="7" t="b">
        <f t="shared" si="121"/>
        <v>1</v>
      </c>
      <c r="AT581" s="7" t="str">
        <f t="shared" si="117"/>
        <v>Trumbull</v>
      </c>
      <c r="AU581" s="7" t="b">
        <f>C581='Gen Fd BS'!C581</f>
        <v>1</v>
      </c>
    </row>
    <row r="582" spans="1:47">
      <c r="A582" s="12" t="s">
        <v>890</v>
      </c>
      <c r="B582" s="12"/>
      <c r="C582" s="12" t="s">
        <v>44</v>
      </c>
      <c r="D582" s="12"/>
      <c r="E582" s="12">
        <v>45658</v>
      </c>
      <c r="G582" s="7">
        <v>3540530</v>
      </c>
      <c r="I582" s="7">
        <v>1561541</v>
      </c>
      <c r="K582" s="7">
        <v>6300425</v>
      </c>
      <c r="M582" s="7">
        <v>2577</v>
      </c>
      <c r="O582" s="7">
        <v>422481</v>
      </c>
      <c r="Q582" s="7">
        <v>36597</v>
      </c>
      <c r="S582" s="7">
        <v>8823</v>
      </c>
      <c r="U582" s="7">
        <v>25</v>
      </c>
      <c r="W582" s="7">
        <f>12069+700</f>
        <v>12769</v>
      </c>
      <c r="Y582" s="2">
        <f t="shared" si="123"/>
        <v>11885768</v>
      </c>
      <c r="AA582" s="7">
        <v>0</v>
      </c>
      <c r="AC582" s="7">
        <v>0</v>
      </c>
      <c r="AE582" s="7">
        <v>0</v>
      </c>
      <c r="AG582" s="7">
        <v>0</v>
      </c>
      <c r="AI582" s="7">
        <v>0</v>
      </c>
      <c r="AK582" s="7">
        <f t="shared" si="125"/>
        <v>0</v>
      </c>
      <c r="AM582" s="7">
        <f t="shared" si="124"/>
        <v>11885768</v>
      </c>
      <c r="AP582" s="7" t="str">
        <f t="shared" si="120"/>
        <v>Wellington Exempted Village SD</v>
      </c>
      <c r="AQ582" s="7" t="str">
        <f>'Gen Fd BS'!A582</f>
        <v>Wellington Exempted Village SD</v>
      </c>
      <c r="AR582" s="7" t="b">
        <f t="shared" si="121"/>
        <v>1</v>
      </c>
      <c r="AT582" s="7" t="str">
        <f t="shared" si="117"/>
        <v>Lorain</v>
      </c>
      <c r="AU582" s="7" t="b">
        <f>C582='Gen Fd BS'!C582</f>
        <v>1</v>
      </c>
    </row>
    <row r="583" spans="1:47">
      <c r="A583" s="12" t="s">
        <v>371</v>
      </c>
      <c r="B583" s="12"/>
      <c r="C583" s="12" t="s">
        <v>38</v>
      </c>
      <c r="D583" s="12"/>
      <c r="E583" s="12">
        <v>45021</v>
      </c>
      <c r="G583" s="7">
        <v>1964375</v>
      </c>
      <c r="I583" s="7">
        <v>0</v>
      </c>
      <c r="K583" s="7">
        <v>10356959</v>
      </c>
      <c r="M583" s="7">
        <v>27113</v>
      </c>
      <c r="O583" s="7">
        <v>384342</v>
      </c>
      <c r="Q583" s="7">
        <v>13500</v>
      </c>
      <c r="S583" s="7">
        <v>0</v>
      </c>
      <c r="U583" s="7">
        <v>8476</v>
      </c>
      <c r="W583" s="7">
        <f>21422+3100</f>
        <v>24522</v>
      </c>
      <c r="Y583" s="2">
        <f t="shared" si="123"/>
        <v>12779287</v>
      </c>
      <c r="AA583" s="7">
        <v>0</v>
      </c>
      <c r="AC583" s="7">
        <v>0</v>
      </c>
      <c r="AE583" s="7">
        <v>0</v>
      </c>
      <c r="AG583" s="7">
        <f>8400+6261</f>
        <v>14661</v>
      </c>
      <c r="AI583" s="7">
        <v>0</v>
      </c>
      <c r="AK583" s="7">
        <f t="shared" si="125"/>
        <v>14661</v>
      </c>
      <c r="AM583" s="7">
        <f t="shared" si="124"/>
        <v>12793948</v>
      </c>
      <c r="AP583" s="7" t="str">
        <f t="shared" si="120"/>
        <v>Wellston City SD</v>
      </c>
      <c r="AQ583" s="7" t="str">
        <f>'Gen Fd BS'!A583</f>
        <v>Wellston City SD</v>
      </c>
      <c r="AR583" s="7" t="b">
        <f t="shared" si="121"/>
        <v>1</v>
      </c>
      <c r="AT583" s="7" t="str">
        <f t="shared" si="117"/>
        <v>Jackson</v>
      </c>
      <c r="AU583" s="7" t="b">
        <f>C583='Gen Fd BS'!C583</f>
        <v>1</v>
      </c>
    </row>
    <row r="584" spans="1:47">
      <c r="A584" s="12" t="s">
        <v>258</v>
      </c>
      <c r="B584" s="12"/>
      <c r="C584" s="12" t="s">
        <v>112</v>
      </c>
      <c r="D584" s="12"/>
      <c r="E584" s="12">
        <v>45039</v>
      </c>
      <c r="F584" s="10"/>
      <c r="G584" s="7">
        <v>833715</v>
      </c>
      <c r="I584" s="7">
        <v>0</v>
      </c>
      <c r="K584" s="7">
        <v>5530283</v>
      </c>
      <c r="M584" s="7">
        <v>38295</v>
      </c>
      <c r="O584" s="7">
        <f>698533+1867</f>
        <v>700400</v>
      </c>
      <c r="Q584" s="7">
        <v>9912</v>
      </c>
      <c r="S584" s="7">
        <v>0</v>
      </c>
      <c r="U584" s="7">
        <v>488</v>
      </c>
      <c r="W584" s="7">
        <v>884</v>
      </c>
      <c r="Y584" s="2">
        <f t="shared" si="123"/>
        <v>7113977</v>
      </c>
      <c r="AA584" s="7">
        <v>0</v>
      </c>
      <c r="AC584" s="7">
        <v>0</v>
      </c>
      <c r="AE584" s="7">
        <v>0</v>
      </c>
      <c r="AG584" s="7">
        <v>0</v>
      </c>
      <c r="AI584" s="7">
        <v>0</v>
      </c>
      <c r="AK584" s="7">
        <f t="shared" si="125"/>
        <v>0</v>
      </c>
      <c r="AM584" s="7">
        <f t="shared" si="124"/>
        <v>7113977</v>
      </c>
      <c r="AP584" s="7" t="str">
        <f t="shared" si="120"/>
        <v>Wellsville Local SD</v>
      </c>
      <c r="AQ584" s="7" t="str">
        <f>'Gen Fd BS'!A584</f>
        <v>Wellsville Local SD</v>
      </c>
      <c r="AR584" s="7" t="b">
        <f t="shared" si="121"/>
        <v>1</v>
      </c>
      <c r="AT584" s="7" t="str">
        <f t="shared" si="117"/>
        <v>Columbiana</v>
      </c>
      <c r="AU584" s="7" t="b">
        <f>C584='Gen Fd BS'!C584</f>
        <v>1</v>
      </c>
    </row>
    <row r="585" spans="1:47">
      <c r="A585" s="12" t="s">
        <v>421</v>
      </c>
      <c r="B585" s="12"/>
      <c r="C585" s="12" t="s">
        <v>45</v>
      </c>
      <c r="D585" s="12"/>
      <c r="E585" s="12">
        <v>48389</v>
      </c>
      <c r="G585" s="7">
        <v>4026042</v>
      </c>
      <c r="I585" s="7">
        <v>0</v>
      </c>
      <c r="K585" s="7">
        <f>3768+11950361+88882</f>
        <v>12043011</v>
      </c>
      <c r="M585" s="7">
        <v>21052</v>
      </c>
      <c r="O585" s="7">
        <f>1506437+29553</f>
        <v>1535990</v>
      </c>
      <c r="Q585" s="7">
        <v>130174</v>
      </c>
      <c r="S585" s="7">
        <v>0</v>
      </c>
      <c r="U585" s="7">
        <v>0</v>
      </c>
      <c r="W585" s="7">
        <v>361512</v>
      </c>
      <c r="Y585" s="2">
        <f t="shared" si="123"/>
        <v>18117781</v>
      </c>
      <c r="AA585" s="7">
        <v>0</v>
      </c>
      <c r="AC585" s="7">
        <v>0</v>
      </c>
      <c r="AE585" s="7">
        <v>0</v>
      </c>
      <c r="AG585" s="7">
        <v>23420</v>
      </c>
      <c r="AI585" s="7">
        <v>0</v>
      </c>
      <c r="AK585" s="7">
        <f t="shared" si="125"/>
        <v>23420</v>
      </c>
      <c r="AM585" s="7">
        <f t="shared" si="124"/>
        <v>18141201</v>
      </c>
      <c r="AP585" s="7" t="str">
        <f t="shared" si="120"/>
        <v>West Branch Local SD</v>
      </c>
      <c r="AQ585" s="7" t="str">
        <f>'Gen Fd BS'!A585</f>
        <v>West Branch Local SD</v>
      </c>
      <c r="AR585" s="7" t="b">
        <f t="shared" si="121"/>
        <v>1</v>
      </c>
      <c r="AT585" s="7" t="str">
        <f t="shared" si="117"/>
        <v>Mahoning</v>
      </c>
      <c r="AU585" s="7" t="b">
        <f>C585='Gen Fd BS'!C585</f>
        <v>1</v>
      </c>
    </row>
    <row r="586" spans="1:47">
      <c r="A586" s="12" t="s">
        <v>746</v>
      </c>
      <c r="B586" s="12"/>
      <c r="C586" s="12" t="s">
        <v>50</v>
      </c>
      <c r="D586" s="12"/>
      <c r="E586" s="12"/>
      <c r="G586" s="7">
        <v>16340280</v>
      </c>
      <c r="I586" s="7">
        <v>0</v>
      </c>
      <c r="K586" s="7">
        <f>18719499+158122</f>
        <v>18877621</v>
      </c>
      <c r="M586" s="7">
        <v>283395</v>
      </c>
      <c r="O586" s="7">
        <f>385918+29199+112132</f>
        <v>527249</v>
      </c>
      <c r="Q586" s="7">
        <v>68896</v>
      </c>
      <c r="S586" s="7">
        <v>0</v>
      </c>
      <c r="U586" s="7">
        <v>125143</v>
      </c>
      <c r="W586" s="7">
        <f>271101+73848+2599</f>
        <v>347548</v>
      </c>
      <c r="Y586" s="2">
        <f t="shared" si="123"/>
        <v>36570132</v>
      </c>
      <c r="AA586" s="7">
        <v>0</v>
      </c>
      <c r="AC586" s="7">
        <v>0</v>
      </c>
      <c r="AE586" s="7">
        <v>0</v>
      </c>
      <c r="AG586" s="7">
        <v>0</v>
      </c>
      <c r="AI586" s="7">
        <v>0</v>
      </c>
      <c r="AK586" s="7">
        <f t="shared" si="125"/>
        <v>0</v>
      </c>
      <c r="AM586" s="7">
        <f t="shared" si="124"/>
        <v>36570132</v>
      </c>
      <c r="AP586" s="7" t="str">
        <f t="shared" si="120"/>
        <v>West Carrollton City SD</v>
      </c>
      <c r="AQ586" s="7" t="str">
        <f>'Gen Fd BS'!A586</f>
        <v>West Carrollton City SD</v>
      </c>
      <c r="AR586" s="7" t="b">
        <f t="shared" si="121"/>
        <v>1</v>
      </c>
      <c r="AT586" s="7" t="str">
        <f t="shared" si="117"/>
        <v>Montgomery</v>
      </c>
      <c r="AU586" s="7" t="b">
        <f>C586='Gen Fd BS'!C586</f>
        <v>1</v>
      </c>
    </row>
    <row r="587" spans="1:47">
      <c r="A587" s="12" t="s">
        <v>246</v>
      </c>
      <c r="B587" s="12"/>
      <c r="C587" s="12" t="s">
        <v>113</v>
      </c>
      <c r="D587" s="12"/>
      <c r="E587" s="12">
        <v>46359</v>
      </c>
      <c r="F587" s="10"/>
      <c r="G587" s="7">
        <v>39219813</v>
      </c>
      <c r="K587" s="7">
        <v>30363090</v>
      </c>
      <c r="M587" s="7">
        <v>5731</v>
      </c>
      <c r="O587" s="7">
        <v>405643</v>
      </c>
      <c r="Q587" s="7">
        <v>0</v>
      </c>
      <c r="S587" s="7">
        <v>0</v>
      </c>
      <c r="U587" s="7">
        <v>0</v>
      </c>
      <c r="W587" s="7">
        <f>497689+101210</f>
        <v>598899</v>
      </c>
      <c r="Y587" s="2">
        <f t="shared" ref="Y587:Y618" si="126">SUM(G587:X587)</f>
        <v>70593176</v>
      </c>
      <c r="AA587" s="7">
        <v>0</v>
      </c>
      <c r="AC587" s="7">
        <v>0</v>
      </c>
      <c r="AE587" s="7">
        <v>0</v>
      </c>
      <c r="AG587" s="7">
        <v>0</v>
      </c>
      <c r="AI587" s="7">
        <v>0</v>
      </c>
      <c r="AK587" s="7">
        <f t="shared" si="125"/>
        <v>0</v>
      </c>
      <c r="AM587" s="7">
        <f t="shared" si="124"/>
        <v>70593176</v>
      </c>
      <c r="AP587" s="7" t="str">
        <f t="shared" si="120"/>
        <v>West Clermont Local SD</v>
      </c>
      <c r="AQ587" s="7" t="str">
        <f>'Gen Fd BS'!A587</f>
        <v>West Clermont Local SD</v>
      </c>
      <c r="AR587" s="7" t="b">
        <f t="shared" si="121"/>
        <v>1</v>
      </c>
      <c r="AT587" s="7" t="str">
        <f t="shared" si="117"/>
        <v>Clermont</v>
      </c>
      <c r="AU587" s="7" t="b">
        <f>C587='Gen Fd BS'!C587</f>
        <v>1</v>
      </c>
    </row>
    <row r="588" spans="1:47">
      <c r="A588" s="12" t="s">
        <v>324</v>
      </c>
      <c r="B588" s="12"/>
      <c r="C588" s="12" t="s">
        <v>30</v>
      </c>
      <c r="D588" s="12"/>
      <c r="E588" s="12">
        <v>47225</v>
      </c>
      <c r="G588" s="7">
        <v>17335817</v>
      </c>
      <c r="I588" s="7">
        <v>0</v>
      </c>
      <c r="K588" s="7">
        <v>6569725</v>
      </c>
      <c r="M588" s="7">
        <v>89044</v>
      </c>
      <c r="O588" s="7">
        <v>1411363</v>
      </c>
      <c r="Q588" s="7">
        <v>79647</v>
      </c>
      <c r="S588" s="7">
        <v>0</v>
      </c>
      <c r="U588" s="7">
        <v>41871</v>
      </c>
      <c r="W588" s="7">
        <f>22127+10264+42964</f>
        <v>75355</v>
      </c>
      <c r="Y588" s="2">
        <f t="shared" si="126"/>
        <v>25602822</v>
      </c>
      <c r="AA588" s="7">
        <v>0</v>
      </c>
      <c r="AC588" s="7">
        <v>0</v>
      </c>
      <c r="AE588" s="7">
        <v>0</v>
      </c>
      <c r="AG588" s="7">
        <v>0</v>
      </c>
      <c r="AI588" s="7">
        <v>0</v>
      </c>
      <c r="AK588" s="7">
        <f t="shared" si="125"/>
        <v>0</v>
      </c>
      <c r="AM588" s="7">
        <f t="shared" si="124"/>
        <v>25602822</v>
      </c>
      <c r="AP588" s="7" t="str">
        <f t="shared" si="120"/>
        <v>West Geauga Local SD</v>
      </c>
      <c r="AQ588" s="7" t="str">
        <f>'Gen Fd BS'!A588</f>
        <v>West Geauga Local SD</v>
      </c>
      <c r="AR588" s="7" t="b">
        <f t="shared" si="121"/>
        <v>1</v>
      </c>
      <c r="AT588" s="7" t="str">
        <f t="shared" si="117"/>
        <v>Geauga</v>
      </c>
      <c r="AU588" s="7" t="b">
        <f>C588='Gen Fd BS'!C588</f>
        <v>1</v>
      </c>
    </row>
    <row r="589" spans="1:47">
      <c r="A589" s="12" t="s">
        <v>364</v>
      </c>
      <c r="B589" s="12"/>
      <c r="C589" s="12" t="s">
        <v>36</v>
      </c>
      <c r="D589" s="12"/>
      <c r="E589" s="12">
        <v>47696</v>
      </c>
      <c r="G589" s="7">
        <v>8275646</v>
      </c>
      <c r="I589" s="7">
        <v>0</v>
      </c>
      <c r="K589" s="7">
        <v>11469349</v>
      </c>
      <c r="M589" s="7">
        <v>81692</v>
      </c>
      <c r="O589" s="7">
        <v>628612</v>
      </c>
      <c r="Q589" s="7">
        <v>203031</v>
      </c>
      <c r="S589" s="7">
        <v>0</v>
      </c>
      <c r="U589" s="7">
        <v>18396</v>
      </c>
      <c r="W589" s="7">
        <f>65510+30448</f>
        <v>95958</v>
      </c>
      <c r="Y589" s="2">
        <f t="shared" si="126"/>
        <v>20772684</v>
      </c>
      <c r="AA589" s="7">
        <v>0</v>
      </c>
      <c r="AC589" s="7">
        <v>0</v>
      </c>
      <c r="AE589" s="7">
        <v>0</v>
      </c>
      <c r="AG589" s="7">
        <v>0</v>
      </c>
      <c r="AI589" s="7">
        <v>0</v>
      </c>
      <c r="AK589" s="7">
        <f t="shared" si="125"/>
        <v>0</v>
      </c>
      <c r="AM589" s="7">
        <f t="shared" si="124"/>
        <v>20772684</v>
      </c>
      <c r="AP589" s="7" t="str">
        <f t="shared" si="120"/>
        <v>West Holmes Local SD</v>
      </c>
      <c r="AQ589" s="7" t="str">
        <f>'Gen Fd BS'!A589</f>
        <v>West Holmes Local SD</v>
      </c>
      <c r="AR589" s="7" t="b">
        <f t="shared" si="121"/>
        <v>1</v>
      </c>
      <c r="AT589" s="7" t="str">
        <f t="shared" si="117"/>
        <v>Holmes</v>
      </c>
      <c r="AU589" s="7" t="b">
        <f>C589='Gen Fd BS'!C589</f>
        <v>1</v>
      </c>
    </row>
    <row r="590" spans="1:47">
      <c r="A590" s="12" t="s">
        <v>235</v>
      </c>
      <c r="B590" s="12"/>
      <c r="C590" s="12" t="s">
        <v>232</v>
      </c>
      <c r="D590" s="12"/>
      <c r="E590" s="12">
        <v>46219</v>
      </c>
      <c r="F590" s="10"/>
      <c r="G590" s="7">
        <v>2627598</v>
      </c>
      <c r="I590" s="7">
        <v>1598845</v>
      </c>
      <c r="K590" s="7">
        <v>5845519</v>
      </c>
      <c r="M590" s="7">
        <v>22511</v>
      </c>
      <c r="O590" s="7">
        <f>1116889+45</f>
        <v>1116934</v>
      </c>
      <c r="Q590" s="7">
        <v>96965</v>
      </c>
      <c r="S590" s="7">
        <v>0</v>
      </c>
      <c r="U590" s="7">
        <v>0</v>
      </c>
      <c r="W590" s="7">
        <f>12732+134587</f>
        <v>147319</v>
      </c>
      <c r="Y590" s="2">
        <f t="shared" si="126"/>
        <v>11455691</v>
      </c>
      <c r="AA590" s="7">
        <v>0</v>
      </c>
      <c r="AC590" s="7">
        <v>0</v>
      </c>
      <c r="AE590" s="7">
        <v>0</v>
      </c>
      <c r="AG590" s="7">
        <v>0</v>
      </c>
      <c r="AI590" s="7">
        <v>0</v>
      </c>
      <c r="AK590" s="7">
        <f t="shared" si="125"/>
        <v>0</v>
      </c>
      <c r="AM590" s="7">
        <f t="shared" si="124"/>
        <v>11455691</v>
      </c>
      <c r="AP590" s="7" t="str">
        <f t="shared" si="120"/>
        <v>West Liberty-Salem Local SD</v>
      </c>
      <c r="AQ590" s="7" t="str">
        <f>'Gen Fd BS'!A590</f>
        <v>West Liberty-Salem Local SD</v>
      </c>
      <c r="AR590" s="7" t="b">
        <f t="shared" si="121"/>
        <v>1</v>
      </c>
      <c r="AT590" s="7" t="str">
        <f t="shared" si="117"/>
        <v>Champaign</v>
      </c>
      <c r="AU590" s="7" t="b">
        <f>C590='Gen Fd BS'!C590</f>
        <v>1</v>
      </c>
    </row>
    <row r="591" spans="1:47">
      <c r="A591" s="12" t="s">
        <v>460</v>
      </c>
      <c r="B591" s="12"/>
      <c r="C591" s="12" t="s">
        <v>51</v>
      </c>
      <c r="D591" s="12"/>
      <c r="E591" s="12">
        <v>48884</v>
      </c>
      <c r="G591" s="7">
        <v>5799111</v>
      </c>
      <c r="I591" s="7">
        <v>0</v>
      </c>
      <c r="K591" s="7">
        <v>6936042</v>
      </c>
      <c r="M591" s="7">
        <v>37432</v>
      </c>
      <c r="O591" s="7">
        <v>1217539</v>
      </c>
      <c r="Q591" s="7">
        <v>45890</v>
      </c>
      <c r="S591" s="7">
        <v>0</v>
      </c>
      <c r="U591" s="7">
        <v>20000</v>
      </c>
      <c r="W591" s="7">
        <f>21237+10706</f>
        <v>31943</v>
      </c>
      <c r="Y591" s="2">
        <f t="shared" si="126"/>
        <v>14087957</v>
      </c>
      <c r="AA591" s="7">
        <v>0</v>
      </c>
      <c r="AC591" s="7">
        <v>0</v>
      </c>
      <c r="AE591" s="7">
        <v>0</v>
      </c>
      <c r="AG591" s="7">
        <v>15039</v>
      </c>
      <c r="AI591" s="7">
        <v>0</v>
      </c>
      <c r="AK591" s="7">
        <f t="shared" si="125"/>
        <v>15039</v>
      </c>
      <c r="AM591" s="7">
        <f t="shared" si="124"/>
        <v>14102996</v>
      </c>
      <c r="AP591" s="7" t="str">
        <f t="shared" si="120"/>
        <v>West Muskingum Local SD</v>
      </c>
      <c r="AQ591" s="7" t="str">
        <f>'Gen Fd BS'!A591</f>
        <v>West Muskingum Local SD</v>
      </c>
      <c r="AR591" s="7" t="b">
        <f t="shared" si="121"/>
        <v>1</v>
      </c>
      <c r="AT591" s="7" t="str">
        <f t="shared" si="117"/>
        <v>Muskingum</v>
      </c>
      <c r="AU591" s="7" t="b">
        <f>C591='Gen Fd BS'!C591</f>
        <v>1</v>
      </c>
    </row>
    <row r="592" spans="1:47">
      <c r="A592" s="12" t="s">
        <v>222</v>
      </c>
      <c r="B592" s="12"/>
      <c r="C592" s="12" t="s">
        <v>77</v>
      </c>
      <c r="D592" s="12"/>
      <c r="E592" s="12">
        <v>46060</v>
      </c>
      <c r="F592" s="10"/>
      <c r="G592" s="7">
        <v>4676967</v>
      </c>
      <c r="I592" s="7">
        <v>0</v>
      </c>
      <c r="K592" s="7">
        <v>19422690</v>
      </c>
      <c r="M592" s="7">
        <v>18605</v>
      </c>
      <c r="O592" s="7">
        <v>1299901</v>
      </c>
      <c r="Q592" s="7">
        <v>97561</v>
      </c>
      <c r="S592" s="7">
        <v>97575</v>
      </c>
      <c r="U592" s="7">
        <v>7773</v>
      </c>
      <c r="W592" s="7">
        <f>16168+105632</f>
        <v>121800</v>
      </c>
      <c r="Y592" s="2">
        <f t="shared" si="126"/>
        <v>25742872</v>
      </c>
      <c r="AA592" s="7">
        <v>0</v>
      </c>
      <c r="AC592" s="7">
        <v>0</v>
      </c>
      <c r="AE592" s="7">
        <v>0</v>
      </c>
      <c r="AG592" s="7">
        <v>0</v>
      </c>
      <c r="AI592" s="7">
        <v>0</v>
      </c>
      <c r="AK592" s="7">
        <f t="shared" si="125"/>
        <v>0</v>
      </c>
      <c r="AM592" s="7">
        <f t="shared" si="124"/>
        <v>25742872</v>
      </c>
      <c r="AP592" s="7" t="str">
        <f t="shared" si="120"/>
        <v>Western Brown Local SD</v>
      </c>
      <c r="AQ592" s="7" t="str">
        <f>'Gen Fd BS'!A592</f>
        <v>Western Brown Local SD</v>
      </c>
      <c r="AR592" s="7" t="b">
        <f t="shared" si="121"/>
        <v>1</v>
      </c>
      <c r="AT592" s="7" t="str">
        <f t="shared" ref="AT592:AT618" si="127">C592</f>
        <v>Brown</v>
      </c>
      <c r="AU592" s="7" t="b">
        <f>C592='Gen Fd BS'!C592</f>
        <v>1</v>
      </c>
    </row>
    <row r="593" spans="1:47">
      <c r="A593" s="12" t="s">
        <v>473</v>
      </c>
      <c r="B593" s="12"/>
      <c r="C593" s="12" t="s">
        <v>55</v>
      </c>
      <c r="D593" s="12"/>
      <c r="E593" s="12">
        <v>49155</v>
      </c>
      <c r="G593" s="7">
        <v>679532</v>
      </c>
      <c r="I593" s="7">
        <v>0</v>
      </c>
      <c r="K593" s="7">
        <v>5938581</v>
      </c>
      <c r="M593" s="7">
        <v>48644</v>
      </c>
      <c r="O593" s="7">
        <v>162045</v>
      </c>
      <c r="Q593" s="7">
        <v>13499</v>
      </c>
      <c r="S593" s="7">
        <v>0</v>
      </c>
      <c r="U593" s="7">
        <v>4660</v>
      </c>
      <c r="W593" s="7">
        <f>1163+40599+875</f>
        <v>42637</v>
      </c>
      <c r="Y593" s="2">
        <f t="shared" si="126"/>
        <v>6889598</v>
      </c>
      <c r="AA593" s="7">
        <v>22911</v>
      </c>
      <c r="AC593" s="7">
        <v>0</v>
      </c>
      <c r="AE593" s="7">
        <v>0</v>
      </c>
      <c r="AG593" s="7">
        <v>7399</v>
      </c>
      <c r="AI593" s="7">
        <v>0</v>
      </c>
      <c r="AK593" s="7">
        <f t="shared" si="125"/>
        <v>30310</v>
      </c>
      <c r="AM593" s="7">
        <f t="shared" si="124"/>
        <v>6919908</v>
      </c>
      <c r="AP593" s="7" t="str">
        <f t="shared" si="120"/>
        <v>Western Local SD</v>
      </c>
      <c r="AQ593" s="7" t="str">
        <f>'Gen Fd BS'!A593</f>
        <v>Western Local SD</v>
      </c>
      <c r="AR593" s="7" t="b">
        <f t="shared" si="121"/>
        <v>1</v>
      </c>
      <c r="AT593" s="7" t="str">
        <f t="shared" si="127"/>
        <v>Pike</v>
      </c>
      <c r="AU593" s="7" t="b">
        <f>C593='Gen Fd BS'!C593</f>
        <v>1</v>
      </c>
    </row>
    <row r="594" spans="1:47">
      <c r="A594" s="12" t="s">
        <v>369</v>
      </c>
      <c r="B594" s="12"/>
      <c r="C594" s="12" t="s">
        <v>37</v>
      </c>
      <c r="D594" s="12"/>
      <c r="E594" s="12">
        <v>47746</v>
      </c>
      <c r="G594" s="7">
        <v>2336582</v>
      </c>
      <c r="I594" s="7">
        <v>1665263</v>
      </c>
      <c r="K594" s="7">
        <f>49569+6311104</f>
        <v>6360673</v>
      </c>
      <c r="M594" s="7">
        <v>13698</v>
      </c>
      <c r="O594" s="7">
        <f>585591+26986</f>
        <v>612577</v>
      </c>
      <c r="Q594" s="7">
        <v>44219</v>
      </c>
      <c r="S594" s="7">
        <v>0</v>
      </c>
      <c r="U594" s="7">
        <v>0</v>
      </c>
      <c r="W594" s="7">
        <f>98016+11112</f>
        <v>109128</v>
      </c>
      <c r="Y594" s="2">
        <f t="shared" si="126"/>
        <v>11142140</v>
      </c>
      <c r="AA594" s="7">
        <v>0</v>
      </c>
      <c r="AC594" s="7">
        <v>0</v>
      </c>
      <c r="AE594" s="7">
        <v>0</v>
      </c>
      <c r="AG594" s="7">
        <v>0</v>
      </c>
      <c r="AI594" s="7">
        <v>0</v>
      </c>
      <c r="AK594" s="7">
        <f t="shared" si="125"/>
        <v>0</v>
      </c>
      <c r="AM594" s="7">
        <f t="shared" si="124"/>
        <v>11142140</v>
      </c>
      <c r="AP594" s="7" t="str">
        <f t="shared" si="120"/>
        <v>Western Reserve Local SD</v>
      </c>
      <c r="AQ594" s="7" t="str">
        <f>'Gen Fd BS'!A594</f>
        <v>Western Reserve Local SD</v>
      </c>
      <c r="AR594" s="7" t="b">
        <f t="shared" si="121"/>
        <v>1</v>
      </c>
      <c r="AT594" s="7" t="str">
        <f t="shared" si="127"/>
        <v>Huron</v>
      </c>
      <c r="AU594" s="7" t="b">
        <f>C594='Gen Fd BS'!C594</f>
        <v>1</v>
      </c>
    </row>
    <row r="595" spans="1:47">
      <c r="A595" s="12" t="s">
        <v>369</v>
      </c>
      <c r="B595" s="12"/>
      <c r="C595" s="12" t="s">
        <v>45</v>
      </c>
      <c r="D595" s="12"/>
      <c r="E595" s="12">
        <v>48397</v>
      </c>
      <c r="G595" s="7">
        <v>2531817</v>
      </c>
      <c r="I595" s="7">
        <v>0</v>
      </c>
      <c r="K595" s="7">
        <v>2842739</v>
      </c>
      <c r="M595" s="7">
        <v>13722</v>
      </c>
      <c r="O595" s="7">
        <v>757344</v>
      </c>
      <c r="Q595" s="7">
        <v>36268</v>
      </c>
      <c r="S595" s="7">
        <v>0</v>
      </c>
      <c r="U595" s="7">
        <v>13775</v>
      </c>
      <c r="W595" s="7">
        <f>1478+792+30374</f>
        <v>32644</v>
      </c>
      <c r="Y595" s="2">
        <f>SUM(G595:X595)</f>
        <v>6228309</v>
      </c>
      <c r="AA595" s="7">
        <v>0</v>
      </c>
      <c r="AC595" s="7">
        <v>0</v>
      </c>
      <c r="AE595" s="7">
        <v>0</v>
      </c>
      <c r="AG595" s="7">
        <v>0</v>
      </c>
      <c r="AI595" s="7">
        <v>0</v>
      </c>
      <c r="AK595" s="7">
        <f>SUM(AA595:AJ595)</f>
        <v>0</v>
      </c>
      <c r="AM595" s="7">
        <f t="shared" si="124"/>
        <v>6228309</v>
      </c>
      <c r="AP595" s="7" t="str">
        <f t="shared" si="120"/>
        <v>Western Reserve Local SD</v>
      </c>
      <c r="AQ595" s="7" t="str">
        <f>'Gen Fd BS'!A595</f>
        <v>Western Reserve Local SD</v>
      </c>
      <c r="AR595" s="7" t="b">
        <f t="shared" si="121"/>
        <v>1</v>
      </c>
      <c r="AT595" s="7" t="str">
        <f t="shared" si="127"/>
        <v>Mahoning</v>
      </c>
      <c r="AU595" s="7" t="b">
        <f>C595='Gen Fd BS'!C595</f>
        <v>1</v>
      </c>
    </row>
    <row r="596" spans="1:47">
      <c r="A596" s="12" t="s">
        <v>315</v>
      </c>
      <c r="B596" s="12"/>
      <c r="C596" s="12" t="s">
        <v>27</v>
      </c>
      <c r="D596" s="12"/>
      <c r="E596" s="12">
        <v>45047</v>
      </c>
      <c r="G596" s="7">
        <v>96767909</v>
      </c>
      <c r="I596" s="7">
        <v>0</v>
      </c>
      <c r="K596" s="7">
        <v>48519306</v>
      </c>
      <c r="M596" s="7">
        <v>85737</v>
      </c>
      <c r="O596" s="7">
        <v>1438258</v>
      </c>
      <c r="Q596" s="7">
        <v>223261</v>
      </c>
      <c r="S596" s="7">
        <v>1279078</v>
      </c>
      <c r="U596" s="7">
        <v>0</v>
      </c>
      <c r="W596" s="7">
        <v>704493</v>
      </c>
      <c r="Y596" s="2">
        <f t="shared" si="126"/>
        <v>149018042</v>
      </c>
      <c r="AA596" s="7">
        <v>0</v>
      </c>
      <c r="AC596" s="7">
        <v>0</v>
      </c>
      <c r="AE596" s="7">
        <v>0</v>
      </c>
      <c r="AG596" s="7">
        <v>0</v>
      </c>
      <c r="AI596" s="7">
        <v>0</v>
      </c>
      <c r="AK596" s="7">
        <f t="shared" si="125"/>
        <v>0</v>
      </c>
      <c r="AM596" s="7">
        <f t="shared" si="124"/>
        <v>149018042</v>
      </c>
      <c r="AP596" s="7" t="str">
        <f t="shared" ref="AP596:AP618" si="128">A596</f>
        <v>Westerville City SD</v>
      </c>
      <c r="AQ596" s="7" t="str">
        <f>'Gen Fd BS'!A596</f>
        <v>Westerville City SD</v>
      </c>
      <c r="AR596" s="7" t="b">
        <f t="shared" ref="AR596:AR618" si="129">AP596=AQ596</f>
        <v>1</v>
      </c>
      <c r="AT596" s="7" t="str">
        <f t="shared" si="127"/>
        <v>Franklin</v>
      </c>
      <c r="AU596" s="7" t="b">
        <f>C596='Gen Fd BS'!C596</f>
        <v>1</v>
      </c>
    </row>
    <row r="597" spans="1:47">
      <c r="A597" s="12" t="s">
        <v>470</v>
      </c>
      <c r="B597" s="12"/>
      <c r="C597" s="12" t="s">
        <v>54</v>
      </c>
      <c r="D597" s="12"/>
      <c r="E597" s="12">
        <v>49106</v>
      </c>
      <c r="G597" s="7">
        <v>5254666</v>
      </c>
      <c r="I597" s="7">
        <v>0</v>
      </c>
      <c r="K597" s="7">
        <v>7808560</v>
      </c>
      <c r="M597" s="7">
        <v>35133</v>
      </c>
      <c r="O597" s="7">
        <v>555578</v>
      </c>
      <c r="Q597" s="7">
        <v>70831</v>
      </c>
      <c r="S597" s="7">
        <v>0</v>
      </c>
      <c r="U597" s="7">
        <v>3406</v>
      </c>
      <c r="W597" s="7">
        <f>256945+5180</f>
        <v>262125</v>
      </c>
      <c r="Y597" s="2">
        <f t="shared" si="126"/>
        <v>13990299</v>
      </c>
      <c r="AA597" s="7">
        <v>0</v>
      </c>
      <c r="AC597" s="7">
        <v>0</v>
      </c>
      <c r="AE597" s="7">
        <v>0</v>
      </c>
      <c r="AG597" s="7">
        <v>0</v>
      </c>
      <c r="AI597" s="7">
        <v>0</v>
      </c>
      <c r="AK597" s="7">
        <f t="shared" si="125"/>
        <v>0</v>
      </c>
      <c r="AM597" s="7">
        <f t="shared" si="124"/>
        <v>13990299</v>
      </c>
      <c r="AP597" s="7" t="str">
        <f t="shared" si="128"/>
        <v>Westfall Local SD</v>
      </c>
      <c r="AQ597" s="7" t="str">
        <f>'Gen Fd BS'!A597</f>
        <v>Westfall Local SD</v>
      </c>
      <c r="AR597" s="7" t="b">
        <f t="shared" si="129"/>
        <v>1</v>
      </c>
      <c r="AT597" s="7" t="str">
        <f t="shared" si="127"/>
        <v>Pickaway</v>
      </c>
      <c r="AU597" s="7" t="b">
        <f>C597='Gen Fd BS'!C597</f>
        <v>1</v>
      </c>
    </row>
    <row r="598" spans="1:47">
      <c r="A598" s="12" t="s">
        <v>287</v>
      </c>
      <c r="B598" s="12"/>
      <c r="C598" s="12" t="s">
        <v>20</v>
      </c>
      <c r="D598" s="12"/>
      <c r="E598" s="12">
        <v>45062</v>
      </c>
      <c r="G598" s="7">
        <v>39463715</v>
      </c>
      <c r="I598" s="7">
        <v>0</v>
      </c>
      <c r="K598" s="7">
        <v>10823041</v>
      </c>
      <c r="M598" s="7">
        <v>258868</v>
      </c>
      <c r="O598" s="7">
        <f>425948+9662+253414</f>
        <v>689024</v>
      </c>
      <c r="Q598" s="7">
        <v>98493</v>
      </c>
      <c r="S598" s="7">
        <v>0</v>
      </c>
      <c r="U598" s="7">
        <v>61544</v>
      </c>
      <c r="W598" s="7">
        <f>143015+16420+42216</f>
        <v>201651</v>
      </c>
      <c r="Y598" s="2">
        <f t="shared" si="126"/>
        <v>51596336</v>
      </c>
      <c r="AA598" s="7">
        <v>0</v>
      </c>
      <c r="AC598" s="7">
        <v>0</v>
      </c>
      <c r="AE598" s="7">
        <v>0</v>
      </c>
      <c r="AG598" s="7">
        <v>407</v>
      </c>
      <c r="AI598" s="7">
        <v>0</v>
      </c>
      <c r="AK598" s="7">
        <f t="shared" si="125"/>
        <v>407</v>
      </c>
      <c r="AM598" s="7">
        <f t="shared" si="124"/>
        <v>51596743</v>
      </c>
      <c r="AP598" s="7" t="str">
        <f t="shared" si="128"/>
        <v>Westlake City SD</v>
      </c>
      <c r="AQ598" s="7" t="str">
        <f>'Gen Fd BS'!A598</f>
        <v>Westlake City SD</v>
      </c>
      <c r="AR598" s="7" t="b">
        <f t="shared" si="129"/>
        <v>1</v>
      </c>
      <c r="AT598" s="7" t="str">
        <f t="shared" si="127"/>
        <v>Cuyahoga</v>
      </c>
      <c r="AU598" s="7" t="b">
        <f>C598='Gen Fd BS'!C598</f>
        <v>1</v>
      </c>
    </row>
    <row r="599" spans="1:47">
      <c r="A599" s="12" t="s">
        <v>501</v>
      </c>
      <c r="B599" s="12"/>
      <c r="C599" s="12" t="s">
        <v>59</v>
      </c>
      <c r="D599" s="12"/>
      <c r="E599" s="12">
        <v>49668</v>
      </c>
      <c r="G599" s="7">
        <v>2566368</v>
      </c>
      <c r="I599" s="7">
        <v>0</v>
      </c>
      <c r="K599" s="7">
        <v>6612241</v>
      </c>
      <c r="M599" s="7">
        <v>36559</v>
      </c>
      <c r="O599" s="7">
        <v>1846316</v>
      </c>
      <c r="Q599" s="7">
        <v>24039</v>
      </c>
      <c r="S599" s="7">
        <v>0</v>
      </c>
      <c r="U599" s="7">
        <v>3916</v>
      </c>
      <c r="W599" s="7">
        <f>48667+76</f>
        <v>48743</v>
      </c>
      <c r="Y599" s="2">
        <f t="shared" si="126"/>
        <v>11138182</v>
      </c>
      <c r="AA599" s="7">
        <v>0</v>
      </c>
      <c r="AC599" s="7">
        <v>0</v>
      </c>
      <c r="AE599" s="7">
        <v>0</v>
      </c>
      <c r="AG599" s="7">
        <v>0</v>
      </c>
      <c r="AI599" s="7">
        <v>0</v>
      </c>
      <c r="AK599" s="7">
        <f t="shared" si="125"/>
        <v>0</v>
      </c>
      <c r="AM599" s="7">
        <f t="shared" ref="AM599:AM618" si="130">+AK599+Y599</f>
        <v>11138182</v>
      </c>
      <c r="AP599" s="7" t="str">
        <f t="shared" si="128"/>
        <v>Wheelersburg Local SD</v>
      </c>
      <c r="AQ599" s="7" t="str">
        <f>'Gen Fd BS'!A599</f>
        <v>Wheelersburg Local SD</v>
      </c>
      <c r="AR599" s="7" t="b">
        <f t="shared" si="129"/>
        <v>1</v>
      </c>
      <c r="AT599" s="7" t="str">
        <f t="shared" si="127"/>
        <v>Scioto</v>
      </c>
      <c r="AU599" s="7" t="b">
        <f>C599='Gen Fd BS'!C599</f>
        <v>1</v>
      </c>
    </row>
    <row r="600" spans="1:47">
      <c r="A600" s="12" t="s">
        <v>316</v>
      </c>
      <c r="B600" s="12"/>
      <c r="C600" s="12" t="s">
        <v>27</v>
      </c>
      <c r="D600" s="12"/>
      <c r="E600" s="12">
        <v>45070</v>
      </c>
      <c r="G600" s="7">
        <v>9368887</v>
      </c>
      <c r="I600" s="7">
        <v>0</v>
      </c>
      <c r="K600" s="7">
        <f>28840+18014948+178761</f>
        <v>18222549</v>
      </c>
      <c r="M600" s="7">
        <v>231716</v>
      </c>
      <c r="O600" s="7">
        <v>197461</v>
      </c>
      <c r="Q600" s="7">
        <v>7960</v>
      </c>
      <c r="S600" s="7">
        <v>1047567</v>
      </c>
      <c r="U600" s="7">
        <v>0</v>
      </c>
      <c r="W600" s="7">
        <v>149919</v>
      </c>
      <c r="Y600" s="2">
        <f t="shared" si="126"/>
        <v>29226059</v>
      </c>
      <c r="AA600" s="7">
        <v>0</v>
      </c>
      <c r="AC600" s="7">
        <v>0</v>
      </c>
      <c r="AE600" s="7">
        <v>0</v>
      </c>
      <c r="AG600" s="7">
        <v>0</v>
      </c>
      <c r="AI600" s="7">
        <v>0</v>
      </c>
      <c r="AK600" s="7">
        <f t="shared" si="125"/>
        <v>0</v>
      </c>
      <c r="AM600" s="7">
        <f t="shared" si="130"/>
        <v>29226059</v>
      </c>
      <c r="AP600" s="7" t="str">
        <f t="shared" si="128"/>
        <v>Whitehall City SD</v>
      </c>
      <c r="AQ600" s="7" t="str">
        <f>'Gen Fd BS'!A600</f>
        <v>Whitehall City SD</v>
      </c>
      <c r="AR600" s="7" t="b">
        <f t="shared" si="129"/>
        <v>1</v>
      </c>
      <c r="AT600" s="7" t="str">
        <f t="shared" si="127"/>
        <v>Franklin</v>
      </c>
      <c r="AU600" s="7" t="b">
        <f>C600='Gen Fd BS'!C600</f>
        <v>1</v>
      </c>
    </row>
    <row r="601" spans="1:47" hidden="1">
      <c r="A601" s="12" t="s">
        <v>649</v>
      </c>
      <c r="B601" s="12"/>
      <c r="C601" s="12" t="s">
        <v>41</v>
      </c>
      <c r="D601" s="12"/>
      <c r="E601" s="12">
        <v>45088</v>
      </c>
      <c r="Y601" s="2">
        <f t="shared" si="126"/>
        <v>0</v>
      </c>
      <c r="AI601" s="7">
        <v>0</v>
      </c>
      <c r="AK601" s="7">
        <f t="shared" si="125"/>
        <v>0</v>
      </c>
      <c r="AM601" s="7">
        <f t="shared" si="130"/>
        <v>0</v>
      </c>
      <c r="AP601" s="7" t="str">
        <f t="shared" si="128"/>
        <v>Wickliffe City SD (CASH)</v>
      </c>
      <c r="AQ601" s="7" t="str">
        <f>'Gen Fd BS'!A601</f>
        <v>Wickliffe City SD (CASH)</v>
      </c>
      <c r="AR601" s="7" t="b">
        <f t="shared" si="129"/>
        <v>1</v>
      </c>
      <c r="AT601" s="7" t="str">
        <f t="shared" si="127"/>
        <v>Lake</v>
      </c>
      <c r="AU601" s="7" t="b">
        <f>C601='Gen Fd BS'!C601</f>
        <v>1</v>
      </c>
    </row>
    <row r="602" spans="1:47">
      <c r="A602" s="12" t="s">
        <v>370</v>
      </c>
      <c r="B602" s="12"/>
      <c r="C602" s="12" t="s">
        <v>37</v>
      </c>
      <c r="D602" s="12"/>
      <c r="E602" s="12">
        <v>45096</v>
      </c>
      <c r="G602" s="7">
        <v>5133236</v>
      </c>
      <c r="I602" s="7">
        <v>0</v>
      </c>
      <c r="K602" s="7">
        <f>10491081+157488</f>
        <v>10648569</v>
      </c>
      <c r="M602" s="7">
        <v>15309</v>
      </c>
      <c r="O602" s="7">
        <f>228708+12046+39258</f>
        <v>280012</v>
      </c>
      <c r="Q602" s="7">
        <v>38219</v>
      </c>
      <c r="S602" s="7">
        <v>0</v>
      </c>
      <c r="U602" s="7">
        <v>1027</v>
      </c>
      <c r="W602" s="7">
        <f>104056+1660+5783</f>
        <v>111499</v>
      </c>
      <c r="Y602" s="2">
        <f t="shared" si="126"/>
        <v>16227871</v>
      </c>
      <c r="AA602" s="7">
        <v>0</v>
      </c>
      <c r="AC602" s="7">
        <v>0</v>
      </c>
      <c r="AE602" s="7">
        <v>0</v>
      </c>
      <c r="AG602" s="7">
        <f>130086+4632</f>
        <v>134718</v>
      </c>
      <c r="AI602" s="7">
        <v>0</v>
      </c>
      <c r="AK602" s="7">
        <f t="shared" si="125"/>
        <v>134718</v>
      </c>
      <c r="AM602" s="7">
        <f t="shared" si="130"/>
        <v>16362589</v>
      </c>
      <c r="AP602" s="7" t="str">
        <f t="shared" si="128"/>
        <v>Willard City SD</v>
      </c>
      <c r="AQ602" s="7" t="str">
        <f>'Gen Fd BS'!A602</f>
        <v>Willard City SD</v>
      </c>
      <c r="AR602" s="7" t="b">
        <f t="shared" si="129"/>
        <v>1</v>
      </c>
      <c r="AT602" s="7" t="str">
        <f t="shared" si="127"/>
        <v>Huron</v>
      </c>
      <c r="AU602" s="7" t="b">
        <f>C602='Gen Fd BS'!C602</f>
        <v>1</v>
      </c>
    </row>
    <row r="603" spans="1:47">
      <c r="A603" s="12" t="s">
        <v>247</v>
      </c>
      <c r="B603" s="12"/>
      <c r="C603" s="12" t="s">
        <v>113</v>
      </c>
      <c r="D603" s="12"/>
      <c r="E603" s="12">
        <v>46367</v>
      </c>
      <c r="F603" s="10"/>
      <c r="G603" s="7">
        <v>3678866</v>
      </c>
      <c r="K603" s="7">
        <v>4294814</v>
      </c>
      <c r="M603" s="7">
        <v>12308</v>
      </c>
      <c r="O603" s="7">
        <v>662610</v>
      </c>
      <c r="Q603" s="7">
        <v>9696</v>
      </c>
      <c r="S603" s="7">
        <v>0</v>
      </c>
      <c r="U603" s="7">
        <v>19420</v>
      </c>
      <c r="W603" s="7">
        <f>212+212389+244132</f>
        <v>456733</v>
      </c>
      <c r="Y603" s="2">
        <f t="shared" si="126"/>
        <v>9134447</v>
      </c>
      <c r="AA603" s="7">
        <v>0</v>
      </c>
      <c r="AC603" s="7">
        <v>0</v>
      </c>
      <c r="AE603" s="7">
        <v>0</v>
      </c>
      <c r="AG603" s="7">
        <v>500</v>
      </c>
      <c r="AI603" s="7">
        <v>0</v>
      </c>
      <c r="AK603" s="7">
        <f t="shared" si="125"/>
        <v>500</v>
      </c>
      <c r="AM603" s="7">
        <f t="shared" si="130"/>
        <v>9134947</v>
      </c>
      <c r="AP603" s="7" t="str">
        <f t="shared" si="128"/>
        <v>Williamsburg Local SD</v>
      </c>
      <c r="AQ603" s="7" t="str">
        <f>'Gen Fd BS'!A603</f>
        <v>Williamsburg Local SD</v>
      </c>
      <c r="AR603" s="7" t="b">
        <f t="shared" si="129"/>
        <v>1</v>
      </c>
      <c r="AT603" s="7" t="str">
        <f t="shared" si="127"/>
        <v>Clermont</v>
      </c>
      <c r="AU603" s="7" t="b">
        <f>C603='Gen Fd BS'!C603</f>
        <v>1</v>
      </c>
    </row>
    <row r="604" spans="1:47">
      <c r="A604" s="12" t="s">
        <v>376</v>
      </c>
      <c r="B604" s="12"/>
      <c r="C604" s="12" t="s">
        <v>41</v>
      </c>
      <c r="D604" s="12"/>
      <c r="E604" s="12">
        <v>45104</v>
      </c>
      <c r="G604" s="7">
        <v>57247890</v>
      </c>
      <c r="I604" s="7">
        <v>0</v>
      </c>
      <c r="K604" s="7">
        <v>27438956</v>
      </c>
      <c r="M604" s="7">
        <v>67620</v>
      </c>
      <c r="O604" s="7">
        <v>2086244</v>
      </c>
      <c r="Q604" s="7">
        <v>254199</v>
      </c>
      <c r="S604" s="7">
        <v>0</v>
      </c>
      <c r="U604" s="7">
        <v>83033</v>
      </c>
      <c r="W604" s="7">
        <f>321571+585680+225793</f>
        <v>1133044</v>
      </c>
      <c r="Y604" s="2">
        <f t="shared" si="126"/>
        <v>88310986</v>
      </c>
      <c r="AA604" s="7">
        <v>0</v>
      </c>
      <c r="AC604" s="7">
        <v>0</v>
      </c>
      <c r="AE604" s="7">
        <v>0</v>
      </c>
      <c r="AG604" s="7">
        <v>85</v>
      </c>
      <c r="AI604" s="7">
        <v>0</v>
      </c>
      <c r="AK604" s="7">
        <f t="shared" si="125"/>
        <v>85</v>
      </c>
      <c r="AM604" s="7">
        <f t="shared" si="130"/>
        <v>88311071</v>
      </c>
      <c r="AP604" s="7" t="str">
        <f t="shared" si="128"/>
        <v>Willoughby-Eastlake City SD</v>
      </c>
      <c r="AQ604" s="7" t="str">
        <f>'Gen Fd BS'!A604</f>
        <v>Willoughby-Eastlake City SD</v>
      </c>
      <c r="AR604" s="7" t="b">
        <f t="shared" si="129"/>
        <v>1</v>
      </c>
      <c r="AT604" s="7" t="str">
        <f t="shared" si="127"/>
        <v>Lake</v>
      </c>
      <c r="AU604" s="7" t="b">
        <f>C604='Gen Fd BS'!C604</f>
        <v>1</v>
      </c>
    </row>
    <row r="605" spans="1:47">
      <c r="A605" s="12" t="s">
        <v>251</v>
      </c>
      <c r="B605" s="12"/>
      <c r="C605" s="12" t="s">
        <v>18</v>
      </c>
      <c r="D605" s="12"/>
      <c r="E605" s="12">
        <v>45112</v>
      </c>
      <c r="F605" s="10"/>
      <c r="G605" s="7">
        <v>12056935</v>
      </c>
      <c r="I605" s="7">
        <v>0</v>
      </c>
      <c r="K605" s="7">
        <v>10446478</v>
      </c>
      <c r="M605" s="7">
        <v>14451</v>
      </c>
      <c r="O605" s="7">
        <v>790686</v>
      </c>
      <c r="Q605" s="7">
        <v>0</v>
      </c>
      <c r="S605" s="7">
        <v>11054</v>
      </c>
      <c r="U605" s="7">
        <v>0</v>
      </c>
      <c r="W605" s="7">
        <v>121092</v>
      </c>
      <c r="Y605" s="2">
        <f t="shared" si="126"/>
        <v>23440696</v>
      </c>
      <c r="AA605" s="7">
        <v>0</v>
      </c>
      <c r="AC605" s="7">
        <v>0</v>
      </c>
      <c r="AE605" s="7">
        <v>0</v>
      </c>
      <c r="AG605" s="7">
        <v>10123</v>
      </c>
      <c r="AI605" s="7">
        <v>0</v>
      </c>
      <c r="AK605" s="7">
        <f t="shared" si="125"/>
        <v>10123</v>
      </c>
      <c r="AM605" s="7">
        <f t="shared" si="130"/>
        <v>23450819</v>
      </c>
      <c r="AP605" s="7" t="str">
        <f t="shared" si="128"/>
        <v>Wilmington City SD</v>
      </c>
      <c r="AQ605" s="7" t="str">
        <f>'Gen Fd BS'!A605</f>
        <v>Wilmington City SD</v>
      </c>
      <c r="AR605" s="7" t="b">
        <f t="shared" si="129"/>
        <v>1</v>
      </c>
      <c r="AT605" s="7" t="str">
        <f t="shared" si="127"/>
        <v>Clinton</v>
      </c>
      <c r="AU605" s="7" t="b">
        <f>C605='Gen Fd BS'!C605</f>
        <v>1</v>
      </c>
    </row>
    <row r="606" spans="1:47">
      <c r="A606" s="12" t="s">
        <v>891</v>
      </c>
      <c r="B606" s="12"/>
      <c r="C606" s="12" t="s">
        <v>56</v>
      </c>
      <c r="D606" s="12"/>
      <c r="E606" s="12">
        <v>45666</v>
      </c>
      <c r="G606" s="7">
        <v>1127503</v>
      </c>
      <c r="I606" s="7">
        <v>0</v>
      </c>
      <c r="K606" s="7">
        <f>6000354+57302</f>
        <v>6057656</v>
      </c>
      <c r="M606" s="7">
        <v>10814</v>
      </c>
      <c r="O606" s="7">
        <f>221078+2590</f>
        <v>223668</v>
      </c>
      <c r="Q606" s="7">
        <v>31301</v>
      </c>
      <c r="S606" s="7">
        <v>69771</v>
      </c>
      <c r="U606" s="7">
        <v>16257</v>
      </c>
      <c r="W606" s="7">
        <v>0</v>
      </c>
      <c r="Y606" s="2">
        <f t="shared" si="126"/>
        <v>7536970</v>
      </c>
      <c r="AA606" s="7">
        <v>0</v>
      </c>
      <c r="AC606" s="7">
        <v>0</v>
      </c>
      <c r="AE606" s="7">
        <v>0</v>
      </c>
      <c r="AG606" s="7">
        <v>0</v>
      </c>
      <c r="AI606" s="7">
        <v>0</v>
      </c>
      <c r="AK606" s="7">
        <f t="shared" si="125"/>
        <v>0</v>
      </c>
      <c r="AM606" s="7">
        <f t="shared" si="130"/>
        <v>7536970</v>
      </c>
      <c r="AP606" s="7" t="str">
        <f t="shared" si="128"/>
        <v>Windham Exempted Village SD</v>
      </c>
      <c r="AQ606" s="7" t="str">
        <f>'Gen Fd BS'!A606</f>
        <v>Windham Exempted Village SD</v>
      </c>
      <c r="AR606" s="7" t="b">
        <f t="shared" si="129"/>
        <v>1</v>
      </c>
      <c r="AT606" s="7" t="str">
        <f t="shared" si="127"/>
        <v>Portage</v>
      </c>
      <c r="AU606" s="7" t="b">
        <f>C606='Gen Fd BS'!C606</f>
        <v>1</v>
      </c>
    </row>
    <row r="607" spans="1:47">
      <c r="A607" s="12" t="s">
        <v>341</v>
      </c>
      <c r="B607" s="12"/>
      <c r="C607" s="12" t="s">
        <v>32</v>
      </c>
      <c r="D607" s="12"/>
      <c r="E607" s="12">
        <v>44081</v>
      </c>
      <c r="G607" s="7">
        <v>22363858</v>
      </c>
      <c r="I607" s="7">
        <v>0</v>
      </c>
      <c r="K607" s="7">
        <v>18255441</v>
      </c>
      <c r="M607" s="7">
        <v>7911</v>
      </c>
      <c r="O607" s="7">
        <v>852155</v>
      </c>
      <c r="Q607" s="7">
        <v>33550</v>
      </c>
      <c r="S607" s="7">
        <v>340906</v>
      </c>
      <c r="U607" s="7">
        <v>0</v>
      </c>
      <c r="W607" s="7">
        <f>398140+433</f>
        <v>398573</v>
      </c>
      <c r="Y607" s="2">
        <f t="shared" si="126"/>
        <v>42252394</v>
      </c>
      <c r="AA607" s="7">
        <v>0</v>
      </c>
      <c r="AC607" s="7">
        <v>0</v>
      </c>
      <c r="AE607" s="7">
        <v>0</v>
      </c>
      <c r="AG607" s="7">
        <v>13866</v>
      </c>
      <c r="AI607" s="7">
        <v>0</v>
      </c>
      <c r="AK607" s="7">
        <f t="shared" si="125"/>
        <v>13866</v>
      </c>
      <c r="AM607" s="7">
        <f t="shared" si="130"/>
        <v>42266260</v>
      </c>
      <c r="AP607" s="7" t="str">
        <f t="shared" si="128"/>
        <v>Winton Woods City SD</v>
      </c>
      <c r="AQ607" s="7" t="str">
        <f>'Gen Fd BS'!A607</f>
        <v>Winton Woods City SD</v>
      </c>
      <c r="AR607" s="7" t="b">
        <f t="shared" si="129"/>
        <v>1</v>
      </c>
      <c r="AT607" s="7" t="str">
        <f t="shared" si="127"/>
        <v>Hamilton</v>
      </c>
      <c r="AU607" s="7" t="b">
        <f>C607='Gen Fd BS'!C607</f>
        <v>1</v>
      </c>
    </row>
    <row r="608" spans="1:47">
      <c r="A608" s="12" t="s">
        <v>567</v>
      </c>
      <c r="B608" s="12"/>
      <c r="C608" s="12" t="s">
        <v>70</v>
      </c>
      <c r="D608" s="12"/>
      <c r="E608" s="12">
        <v>50518</v>
      </c>
      <c r="G608" s="7">
        <v>4296824</v>
      </c>
      <c r="I608" s="7">
        <v>0</v>
      </c>
      <c r="K608" s="7">
        <v>2394935</v>
      </c>
      <c r="M608" s="7">
        <v>61559</v>
      </c>
      <c r="O608" s="7">
        <v>337402</v>
      </c>
      <c r="Q608" s="7">
        <v>1215</v>
      </c>
      <c r="S608" s="7">
        <v>0</v>
      </c>
      <c r="U608" s="7">
        <v>78000</v>
      </c>
      <c r="W608" s="7">
        <v>82462</v>
      </c>
      <c r="Y608" s="2">
        <f t="shared" si="126"/>
        <v>7252397</v>
      </c>
      <c r="AA608" s="7">
        <v>0</v>
      </c>
      <c r="AC608" s="7">
        <v>0</v>
      </c>
      <c r="AE608" s="7">
        <v>0</v>
      </c>
      <c r="AG608" s="7">
        <v>2000</v>
      </c>
      <c r="AI608" s="7">
        <v>0</v>
      </c>
      <c r="AK608" s="7">
        <f t="shared" si="125"/>
        <v>2000</v>
      </c>
      <c r="AM608" s="7">
        <f t="shared" si="130"/>
        <v>7254397</v>
      </c>
      <c r="AP608" s="7" t="str">
        <f t="shared" si="128"/>
        <v>Wolf Creek Local SD</v>
      </c>
      <c r="AQ608" s="7" t="str">
        <f>'Gen Fd BS'!A608</f>
        <v>Wolf Creek Local SD</v>
      </c>
      <c r="AR608" s="7" t="b">
        <f t="shared" si="129"/>
        <v>1</v>
      </c>
      <c r="AT608" s="7" t="str">
        <f t="shared" si="127"/>
        <v>Washington</v>
      </c>
      <c r="AU608" s="7" t="b">
        <f>C608='Gen Fd BS'!C608</f>
        <v>1</v>
      </c>
    </row>
    <row r="609" spans="1:47">
      <c r="A609" s="12" t="s">
        <v>493</v>
      </c>
      <c r="B609" s="12"/>
      <c r="C609" s="12" t="s">
        <v>79</v>
      </c>
      <c r="D609" s="12"/>
      <c r="E609" s="12">
        <v>49577</v>
      </c>
      <c r="G609" s="7">
        <v>3642536</v>
      </c>
      <c r="I609" s="7">
        <v>0</v>
      </c>
      <c r="K609" s="7">
        <v>4684573</v>
      </c>
      <c r="M609" s="7">
        <v>2386</v>
      </c>
      <c r="O609" s="7">
        <f>389135+76754</f>
        <v>465889</v>
      </c>
      <c r="Q609" s="7">
        <v>24637</v>
      </c>
      <c r="S609" s="7">
        <v>85000</v>
      </c>
      <c r="U609" s="7">
        <v>0</v>
      </c>
      <c r="W609" s="7">
        <f>3476+1320</f>
        <v>4796</v>
      </c>
      <c r="Y609" s="2">
        <f t="shared" si="126"/>
        <v>8909817</v>
      </c>
      <c r="AA609" s="7">
        <v>0</v>
      </c>
      <c r="AC609" s="7">
        <v>0</v>
      </c>
      <c r="AE609" s="7">
        <v>0</v>
      </c>
      <c r="AG609" s="7">
        <v>0</v>
      </c>
      <c r="AI609" s="7">
        <v>0</v>
      </c>
      <c r="AK609" s="7">
        <f t="shared" si="125"/>
        <v>0</v>
      </c>
      <c r="AM609" s="7">
        <f t="shared" si="130"/>
        <v>8909817</v>
      </c>
      <c r="AP609" s="7" t="str">
        <f t="shared" si="128"/>
        <v>Woodmore Local SD</v>
      </c>
      <c r="AQ609" s="7" t="str">
        <f>'Gen Fd BS'!A609</f>
        <v>Woodmore Local SD</v>
      </c>
      <c r="AR609" s="7" t="b">
        <f t="shared" si="129"/>
        <v>1</v>
      </c>
      <c r="AT609" s="7" t="str">
        <f t="shared" si="127"/>
        <v>Sandusky</v>
      </c>
      <c r="AU609" s="7" t="b">
        <f>C609='Gen Fd BS'!C609</f>
        <v>1</v>
      </c>
    </row>
    <row r="610" spans="1:47">
      <c r="A610" s="12" t="s">
        <v>533</v>
      </c>
      <c r="B610" s="12"/>
      <c r="C610" s="12" t="s">
        <v>63</v>
      </c>
      <c r="D610" s="12"/>
      <c r="E610" s="12">
        <v>49973</v>
      </c>
      <c r="G610" s="7">
        <v>14272329</v>
      </c>
      <c r="I610" s="7">
        <v>0</v>
      </c>
      <c r="K610" s="7">
        <v>5274246</v>
      </c>
      <c r="M610" s="7">
        <v>13509</v>
      </c>
      <c r="O610" s="7">
        <v>1108407</v>
      </c>
      <c r="Q610" s="7">
        <v>158198</v>
      </c>
      <c r="S610" s="7">
        <v>126392</v>
      </c>
      <c r="U610" s="7">
        <v>25434</v>
      </c>
      <c r="W610" s="7">
        <f>2107+63707</f>
        <v>65814</v>
      </c>
      <c r="Y610" s="2">
        <f t="shared" si="126"/>
        <v>21044329</v>
      </c>
      <c r="AA610" s="7">
        <v>0</v>
      </c>
      <c r="AC610" s="7">
        <v>0</v>
      </c>
      <c r="AE610" s="7">
        <v>0</v>
      </c>
      <c r="AG610" s="7">
        <f>7965+94183</f>
        <v>102148</v>
      </c>
      <c r="AI610" s="7">
        <v>0</v>
      </c>
      <c r="AK610" s="7">
        <f t="shared" si="125"/>
        <v>102148</v>
      </c>
      <c r="AM610" s="7">
        <f t="shared" si="130"/>
        <v>21146477</v>
      </c>
      <c r="AP610" s="7" t="str">
        <f t="shared" si="128"/>
        <v>Woodridge Local SD</v>
      </c>
      <c r="AQ610" s="7" t="str">
        <f>'Gen Fd BS'!A610</f>
        <v>Woodridge Local SD</v>
      </c>
      <c r="AR610" s="7" t="b">
        <f t="shared" si="129"/>
        <v>1</v>
      </c>
      <c r="AT610" s="7" t="str">
        <f t="shared" si="127"/>
        <v>Summit</v>
      </c>
      <c r="AU610" s="7" t="b">
        <f>C610='Gen Fd BS'!C610</f>
        <v>1</v>
      </c>
    </row>
    <row r="611" spans="1:47">
      <c r="A611" s="12" t="s">
        <v>650</v>
      </c>
      <c r="B611" s="12"/>
      <c r="C611" s="12" t="s">
        <v>71</v>
      </c>
      <c r="D611" s="12"/>
      <c r="E611" s="12">
        <v>45138</v>
      </c>
      <c r="G611" s="7">
        <v>23488489</v>
      </c>
      <c r="I611" s="7">
        <v>0</v>
      </c>
      <c r="K611" s="7">
        <v>16727706</v>
      </c>
      <c r="M611" s="7">
        <v>122266</v>
      </c>
      <c r="O611" s="7">
        <v>813792</v>
      </c>
      <c r="Q611" s="7">
        <v>142732</v>
      </c>
      <c r="S611" s="7">
        <v>0</v>
      </c>
      <c r="U611" s="7">
        <v>0</v>
      </c>
      <c r="W611" s="7">
        <f>72717+32507</f>
        <v>105224</v>
      </c>
      <c r="Y611" s="2">
        <f t="shared" si="126"/>
        <v>41400209</v>
      </c>
      <c r="AA611" s="7">
        <v>74843</v>
      </c>
      <c r="AC611" s="7">
        <v>0</v>
      </c>
      <c r="AE611" s="7">
        <v>0</v>
      </c>
      <c r="AG611" s="7">
        <v>5668</v>
      </c>
      <c r="AI611" s="7">
        <v>0</v>
      </c>
      <c r="AK611" s="7">
        <f t="shared" si="125"/>
        <v>80511</v>
      </c>
      <c r="AM611" s="7">
        <f t="shared" si="130"/>
        <v>41480720</v>
      </c>
      <c r="AP611" s="7" t="str">
        <f t="shared" si="128"/>
        <v>Wooster City SD</v>
      </c>
      <c r="AQ611" s="7" t="str">
        <f>'Gen Fd BS'!A611</f>
        <v>Wooster City SD</v>
      </c>
      <c r="AR611" s="7" t="b">
        <f t="shared" si="129"/>
        <v>1</v>
      </c>
      <c r="AT611" s="7" t="str">
        <f t="shared" si="127"/>
        <v>Wayne</v>
      </c>
      <c r="AU611" s="7" t="b">
        <f>C611='Gen Fd BS'!C611</f>
        <v>1</v>
      </c>
    </row>
    <row r="612" spans="1:47">
      <c r="A612" s="12" t="s">
        <v>317</v>
      </c>
      <c r="B612" s="12"/>
      <c r="C612" s="12" t="s">
        <v>27</v>
      </c>
      <c r="D612" s="12"/>
      <c r="E612" s="12">
        <v>46524</v>
      </c>
      <c r="G612" s="7">
        <v>79099561</v>
      </c>
      <c r="I612" s="7">
        <v>0</v>
      </c>
      <c r="K612" s="7">
        <v>37779980</v>
      </c>
      <c r="M612" s="7">
        <v>288837</v>
      </c>
      <c r="O612" s="7">
        <v>1771809</v>
      </c>
      <c r="Q612" s="7">
        <v>0</v>
      </c>
      <c r="S612" s="7">
        <v>0</v>
      </c>
      <c r="U612" s="7">
        <v>0</v>
      </c>
      <c r="W612" s="7">
        <v>625583</v>
      </c>
      <c r="Y612" s="2">
        <f t="shared" si="126"/>
        <v>119565770</v>
      </c>
      <c r="AA612" s="7">
        <v>0</v>
      </c>
      <c r="AC612" s="7">
        <v>0</v>
      </c>
      <c r="AE612" s="7">
        <v>0</v>
      </c>
      <c r="AG612" s="7">
        <v>0</v>
      </c>
      <c r="AI612" s="7">
        <v>0</v>
      </c>
      <c r="AK612" s="7">
        <f t="shared" si="125"/>
        <v>0</v>
      </c>
      <c r="AM612" s="7">
        <f t="shared" si="130"/>
        <v>119565770</v>
      </c>
      <c r="AP612" s="7" t="str">
        <f t="shared" si="128"/>
        <v>Worthington City SD</v>
      </c>
      <c r="AQ612" s="7" t="str">
        <f>'Gen Fd BS'!A612</f>
        <v>Worthington City SD</v>
      </c>
      <c r="AR612" s="7" t="b">
        <f t="shared" si="129"/>
        <v>1</v>
      </c>
      <c r="AT612" s="7" t="str">
        <f t="shared" si="127"/>
        <v>Franklin</v>
      </c>
      <c r="AU612" s="7" t="b">
        <f>C612='Gen Fd BS'!C612</f>
        <v>1</v>
      </c>
    </row>
    <row r="613" spans="1:47">
      <c r="A613" s="12" t="s">
        <v>266</v>
      </c>
      <c r="B613" s="12"/>
      <c r="C613" s="12" t="s">
        <v>111</v>
      </c>
      <c r="D613" s="12"/>
      <c r="E613" s="12">
        <v>45146</v>
      </c>
      <c r="G613" s="7">
        <v>3277944</v>
      </c>
      <c r="I613" s="7">
        <v>0</v>
      </c>
      <c r="K613" s="7">
        <f>5605673+49054</f>
        <v>5654727</v>
      </c>
      <c r="M613" s="7">
        <v>31455</v>
      </c>
      <c r="O613" s="7">
        <f>800920+43867</f>
        <v>844787</v>
      </c>
      <c r="Q613" s="7">
        <v>0</v>
      </c>
      <c r="S613" s="7">
        <v>0</v>
      </c>
      <c r="U613" s="7">
        <v>0</v>
      </c>
      <c r="W613" s="7">
        <f>34653+13575</f>
        <v>48228</v>
      </c>
      <c r="Y613" s="2">
        <f t="shared" si="126"/>
        <v>9857141</v>
      </c>
      <c r="AA613" s="7">
        <v>0</v>
      </c>
      <c r="AC613" s="7">
        <v>0</v>
      </c>
      <c r="AE613" s="7">
        <v>0</v>
      </c>
      <c r="AG613" s="7">
        <v>0</v>
      </c>
      <c r="AI613" s="7">
        <v>0</v>
      </c>
      <c r="AK613" s="7">
        <f t="shared" si="125"/>
        <v>0</v>
      </c>
      <c r="AM613" s="7">
        <f t="shared" si="130"/>
        <v>9857141</v>
      </c>
      <c r="AP613" s="7" t="str">
        <f t="shared" si="128"/>
        <v>Wynford Local SD</v>
      </c>
      <c r="AQ613" s="7" t="str">
        <f>'Gen Fd BS'!A613</f>
        <v>Wynford Local SD</v>
      </c>
      <c r="AR613" s="7" t="b">
        <f t="shared" si="129"/>
        <v>1</v>
      </c>
      <c r="AT613" s="7" t="str">
        <f t="shared" si="127"/>
        <v>Crawford</v>
      </c>
      <c r="AU613" s="7" t="b">
        <f>C613='Gen Fd BS'!C613</f>
        <v>1</v>
      </c>
    </row>
    <row r="614" spans="1:47">
      <c r="A614" s="12" t="s">
        <v>342</v>
      </c>
      <c r="B614" s="12"/>
      <c r="C614" s="12" t="s">
        <v>32</v>
      </c>
      <c r="D614" s="12"/>
      <c r="E614" s="12">
        <v>45153</v>
      </c>
      <c r="G614" s="7">
        <v>14521182</v>
      </c>
      <c r="I614" s="7">
        <v>0</v>
      </c>
      <c r="K614" s="7">
        <v>6463172</v>
      </c>
      <c r="M614" s="7">
        <v>98302</v>
      </c>
      <c r="O614" s="7">
        <v>681161</v>
      </c>
      <c r="Q614" s="7">
        <v>19741</v>
      </c>
      <c r="S614" s="7">
        <v>0</v>
      </c>
      <c r="U614" s="7">
        <v>0</v>
      </c>
      <c r="W614" s="7">
        <v>331817</v>
      </c>
      <c r="Y614" s="2">
        <f t="shared" si="126"/>
        <v>22115375</v>
      </c>
      <c r="AA614" s="7">
        <v>0</v>
      </c>
      <c r="AC614" s="7">
        <v>0</v>
      </c>
      <c r="AE614" s="7">
        <v>0</v>
      </c>
      <c r="AG614" s="7">
        <v>0</v>
      </c>
      <c r="AI614" s="7">
        <v>0</v>
      </c>
      <c r="AK614" s="7">
        <f t="shared" si="125"/>
        <v>0</v>
      </c>
      <c r="AM614" s="7">
        <f t="shared" si="130"/>
        <v>22115375</v>
      </c>
      <c r="AP614" s="7" t="str">
        <f t="shared" si="128"/>
        <v>Wyoming City SD</v>
      </c>
      <c r="AQ614" s="7" t="str">
        <f>'Gen Fd BS'!A614</f>
        <v>Wyoming City SD</v>
      </c>
      <c r="AR614" s="7" t="b">
        <f t="shared" si="129"/>
        <v>1</v>
      </c>
      <c r="AT614" s="7" t="str">
        <f t="shared" si="127"/>
        <v>Hamilton</v>
      </c>
      <c r="AU614" s="7" t="b">
        <f>C614='Gen Fd BS'!C614</f>
        <v>1</v>
      </c>
    </row>
    <row r="615" spans="1:47">
      <c r="A615" s="12" t="s">
        <v>892</v>
      </c>
      <c r="B615" s="12"/>
      <c r="C615" s="12" t="s">
        <v>114</v>
      </c>
      <c r="D615" s="12"/>
      <c r="E615" s="12">
        <v>45674</v>
      </c>
      <c r="G615" s="7">
        <v>3184755</v>
      </c>
      <c r="I615" s="7">
        <v>1128705</v>
      </c>
      <c r="K615" s="7">
        <v>1789512</v>
      </c>
      <c r="M615" s="7">
        <v>10509</v>
      </c>
      <c r="O615" s="7">
        <v>826666</v>
      </c>
      <c r="Q615" s="7">
        <v>14799</v>
      </c>
      <c r="S615" s="7">
        <v>0</v>
      </c>
      <c r="U615" s="7">
        <v>14516</v>
      </c>
      <c r="W615" s="7">
        <f>707+3240</f>
        <v>3947</v>
      </c>
      <c r="Y615" s="2">
        <f t="shared" si="126"/>
        <v>6973409</v>
      </c>
      <c r="AA615" s="7">
        <v>0</v>
      </c>
      <c r="AC615" s="7">
        <v>0</v>
      </c>
      <c r="AE615" s="7">
        <v>835000</v>
      </c>
      <c r="AG615" s="7">
        <f>45931+2512</f>
        <v>48443</v>
      </c>
      <c r="AI615" s="7">
        <v>0</v>
      </c>
      <c r="AK615" s="7">
        <f t="shared" si="125"/>
        <v>883443</v>
      </c>
      <c r="AM615" s="7">
        <f t="shared" si="130"/>
        <v>7856852</v>
      </c>
      <c r="AP615" s="7" t="str">
        <f t="shared" si="128"/>
        <v>Yellow Springs Exempted Village SD</v>
      </c>
      <c r="AQ615" s="7" t="str">
        <f>'Gen Fd BS'!A615</f>
        <v>Yellow Springs Exempted Village SD</v>
      </c>
      <c r="AR615" s="7" t="b">
        <f t="shared" si="129"/>
        <v>1</v>
      </c>
      <c r="AT615" s="7" t="str">
        <f t="shared" si="127"/>
        <v>Greene</v>
      </c>
      <c r="AU615" s="7" t="b">
        <f>C615='Gen Fd BS'!C615</f>
        <v>1</v>
      </c>
    </row>
    <row r="616" spans="1:47">
      <c r="A616" s="12" t="s">
        <v>422</v>
      </c>
      <c r="B616" s="12"/>
      <c r="C616" s="12" t="s">
        <v>45</v>
      </c>
      <c r="D616" s="12"/>
      <c r="E616" s="12">
        <v>45161</v>
      </c>
      <c r="G616" s="7">
        <v>19549832</v>
      </c>
      <c r="I616" s="7">
        <v>0</v>
      </c>
      <c r="K616" s="7">
        <v>84105254</v>
      </c>
      <c r="M616" s="7">
        <v>74949</v>
      </c>
      <c r="O616" s="7">
        <v>514705</v>
      </c>
      <c r="Q616" s="7">
        <v>58185</v>
      </c>
      <c r="S616" s="7">
        <v>0</v>
      </c>
      <c r="U616" s="7">
        <v>62134</v>
      </c>
      <c r="W616" s="7">
        <f>182199+11664</f>
        <v>193863</v>
      </c>
      <c r="Y616" s="2">
        <f t="shared" si="126"/>
        <v>104558922</v>
      </c>
      <c r="AA616" s="7">
        <v>0</v>
      </c>
      <c r="AC616" s="7">
        <v>0</v>
      </c>
      <c r="AE616" s="7">
        <v>0</v>
      </c>
      <c r="AG616" s="7">
        <v>0</v>
      </c>
      <c r="AI616" s="7">
        <v>0</v>
      </c>
      <c r="AK616" s="7">
        <f t="shared" si="125"/>
        <v>0</v>
      </c>
      <c r="AM616" s="7">
        <f t="shared" si="130"/>
        <v>104558922</v>
      </c>
      <c r="AP616" s="7" t="str">
        <f t="shared" si="128"/>
        <v>Youngstown City SD</v>
      </c>
      <c r="AQ616" s="7" t="str">
        <f>'Gen Fd BS'!A616</f>
        <v>Youngstown City SD</v>
      </c>
      <c r="AR616" s="7" t="b">
        <f t="shared" si="129"/>
        <v>1</v>
      </c>
      <c r="AT616" s="7" t="str">
        <f t="shared" si="127"/>
        <v>Mahoning</v>
      </c>
      <c r="AU616" s="7" t="b">
        <f>C616='Gen Fd BS'!C616</f>
        <v>1</v>
      </c>
    </row>
    <row r="617" spans="1:47">
      <c r="A617" s="12" t="s">
        <v>492</v>
      </c>
      <c r="B617" s="12"/>
      <c r="C617" s="12" t="s">
        <v>58</v>
      </c>
      <c r="D617" s="12"/>
      <c r="E617" s="12">
        <v>49544</v>
      </c>
      <c r="G617" s="7">
        <v>3836841</v>
      </c>
      <c r="I617" s="7">
        <v>0</v>
      </c>
      <c r="K617" s="7">
        <v>7243784</v>
      </c>
      <c r="M617" s="7">
        <v>41984</v>
      </c>
      <c r="O617" s="7">
        <v>386138</v>
      </c>
      <c r="Q617" s="7">
        <v>59852</v>
      </c>
      <c r="S617" s="7">
        <v>0</v>
      </c>
      <c r="U617" s="7">
        <v>35892</v>
      </c>
      <c r="W617" s="7">
        <f>295+156270+210851</f>
        <v>367416</v>
      </c>
      <c r="Y617" s="2">
        <f t="shared" si="126"/>
        <v>11971907</v>
      </c>
      <c r="AA617" s="7">
        <v>0</v>
      </c>
      <c r="AC617" s="7">
        <v>0</v>
      </c>
      <c r="AE617" s="7">
        <v>0</v>
      </c>
      <c r="AG617" s="7">
        <v>0</v>
      </c>
      <c r="AI617" s="7">
        <v>0</v>
      </c>
      <c r="AK617" s="7">
        <f t="shared" si="125"/>
        <v>0</v>
      </c>
      <c r="AM617" s="7">
        <f t="shared" si="130"/>
        <v>11971907</v>
      </c>
      <c r="AP617" s="7" t="str">
        <f t="shared" si="128"/>
        <v>Zane Trace Local SD</v>
      </c>
      <c r="AQ617" s="7" t="str">
        <f>'Gen Fd BS'!A617</f>
        <v>Zane Trace Local SD</v>
      </c>
      <c r="AR617" s="7" t="b">
        <f t="shared" si="129"/>
        <v>1</v>
      </c>
      <c r="AT617" s="7" t="str">
        <f t="shared" si="127"/>
        <v>Ross</v>
      </c>
      <c r="AU617" s="7" t="b">
        <f>C617='Gen Fd BS'!C617</f>
        <v>1</v>
      </c>
    </row>
    <row r="618" spans="1:47">
      <c r="A618" s="12" t="s">
        <v>461</v>
      </c>
      <c r="B618" s="12"/>
      <c r="C618" s="12" t="s">
        <v>51</v>
      </c>
      <c r="D618" s="12"/>
      <c r="E618" s="12">
        <v>45179</v>
      </c>
      <c r="G618" s="7">
        <v>8684835</v>
      </c>
      <c r="I618" s="7">
        <v>0</v>
      </c>
      <c r="K618" s="7">
        <v>23566506</v>
      </c>
      <c r="M618" s="7">
        <v>35100</v>
      </c>
      <c r="O618" s="7">
        <v>1444983</v>
      </c>
      <c r="Q618" s="7">
        <v>34102</v>
      </c>
      <c r="S618" s="7">
        <v>14185</v>
      </c>
      <c r="U618" s="7">
        <v>2662</v>
      </c>
      <c r="W618" s="7">
        <f>62490+10650+201045</f>
        <v>274185</v>
      </c>
      <c r="Y618" s="2">
        <f t="shared" si="126"/>
        <v>34056558</v>
      </c>
      <c r="AA618" s="7">
        <v>0</v>
      </c>
      <c r="AC618" s="7">
        <v>0</v>
      </c>
      <c r="AE618" s="7">
        <v>0</v>
      </c>
      <c r="AG618" s="7">
        <v>0</v>
      </c>
      <c r="AI618" s="7">
        <v>0</v>
      </c>
      <c r="AK618" s="7">
        <f t="shared" si="125"/>
        <v>0</v>
      </c>
      <c r="AM618" s="7">
        <f t="shared" si="130"/>
        <v>34056558</v>
      </c>
      <c r="AP618" s="7" t="str">
        <f t="shared" si="128"/>
        <v>Zanesville City SD</v>
      </c>
      <c r="AQ618" s="7" t="str">
        <f>'Gen Fd BS'!A618</f>
        <v>Zanesville City SD</v>
      </c>
      <c r="AR618" s="7" t="b">
        <f t="shared" si="129"/>
        <v>1</v>
      </c>
      <c r="AT618" s="7" t="str">
        <f t="shared" si="127"/>
        <v>Muskingum</v>
      </c>
      <c r="AU618" s="7" t="b">
        <f>C618='Gen Fd BS'!C618</f>
        <v>1</v>
      </c>
    </row>
    <row r="619" spans="1:47">
      <c r="A619" s="12"/>
      <c r="B619" s="12"/>
      <c r="C619" s="12"/>
      <c r="D619" s="1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</sheetData>
  <mergeCells count="1">
    <mergeCell ref="AA6:AG6"/>
  </mergeCells>
  <phoneticPr fontId="3" type="noConversion"/>
  <pageMargins left="0.9" right="0.75" top="0.5" bottom="0.5" header="0.25" footer="0.25"/>
  <pageSetup scale="77" firstPageNumber="96" fitToWidth="2" fitToHeight="18" pageOrder="overThenDown" orientation="portrait" useFirstPageNumber="1" r:id="rId1"/>
  <headerFooter alignWithMargins="0"/>
  <colBreaks count="1" manualBreakCount="1">
    <brk id="17" max="61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619"/>
  <sheetViews>
    <sheetView view="pageBreakPreview" zoomScaleNormal="100" zoomScaleSheetLayoutView="100" workbookViewId="0">
      <pane xSplit="5" ySplit="9" topLeftCell="G458" activePane="bottomRight" state="frozen"/>
      <selection sqref="A1:IV65536"/>
      <selection pane="topRight" sqref="A1:IV65536"/>
      <selection pane="bottomLeft" sqref="A1:IV65536"/>
      <selection pane="bottomRight" activeCell="D476" sqref="D476"/>
    </sheetView>
  </sheetViews>
  <sheetFormatPr defaultColWidth="9.140625" defaultRowHeight="12"/>
  <cols>
    <col min="1" max="1" width="34.7109375" style="7" customWidth="1"/>
    <col min="2" max="2" width="1.7109375" style="7" customWidth="1"/>
    <col min="3" max="3" width="10.140625" style="7" bestFit="1" customWidth="1"/>
    <col min="4" max="4" width="1.7109375" style="7" customWidth="1"/>
    <col min="5" max="5" width="11.7109375" style="7" hidden="1" customWidth="1"/>
    <col min="6" max="6" width="1.7109375" style="7" hidden="1" customWidth="1"/>
    <col min="7" max="7" width="10.140625" style="7" bestFit="1" customWidth="1"/>
    <col min="8" max="8" width="1.5703125" style="7" customWidth="1"/>
    <col min="9" max="9" width="10.140625" style="7" bestFit="1" customWidth="1"/>
    <col min="10" max="10" width="1.5703125" style="7" customWidth="1"/>
    <col min="11" max="11" width="9.28515625" style="7" bestFit="1" customWidth="1"/>
    <col min="12" max="12" width="1.5703125" style="7" customWidth="1"/>
    <col min="13" max="13" width="8.5703125" style="7" bestFit="1" customWidth="1"/>
    <col min="14" max="14" width="1.5703125" style="7" customWidth="1"/>
    <col min="15" max="15" width="9.28515625" style="7" bestFit="1" customWidth="1"/>
    <col min="16" max="16" width="1.5703125" style="7" customWidth="1"/>
    <col min="17" max="17" width="9.28515625" style="7" bestFit="1" customWidth="1"/>
    <col min="18" max="18" width="1.5703125" style="7" customWidth="1"/>
    <col min="19" max="19" width="9.7109375" style="7" bestFit="1" customWidth="1"/>
    <col min="20" max="20" width="1.5703125" style="7" customWidth="1"/>
    <col min="21" max="21" width="8.42578125" style="7" bestFit="1" customWidth="1"/>
    <col min="22" max="22" width="1.5703125" style="7" customWidth="1"/>
    <col min="23" max="23" width="11.42578125" style="7" bestFit="1" customWidth="1"/>
    <col min="24" max="24" width="1.5703125" style="7" customWidth="1"/>
    <col min="25" max="25" width="9.28515625" style="7" bestFit="1" customWidth="1"/>
    <col min="26" max="26" width="1.5703125" style="7" customWidth="1"/>
    <col min="27" max="27" width="8.42578125" style="7" bestFit="1" customWidth="1"/>
    <col min="28" max="28" width="1.5703125" style="7" customWidth="1"/>
    <col min="29" max="29" width="10.85546875" style="7" bestFit="1" customWidth="1"/>
    <col min="30" max="30" width="1.5703125" style="7" customWidth="1"/>
    <col min="31" max="31" width="11.42578125" style="7" bestFit="1" customWidth="1"/>
    <col min="32" max="32" width="1.5703125" style="7" customWidth="1"/>
    <col min="33" max="33" width="9.28515625" style="7" bestFit="1" customWidth="1"/>
    <col min="34" max="34" width="1.5703125" style="7" customWidth="1"/>
    <col min="35" max="35" width="8.28515625" style="7" customWidth="1"/>
    <col min="36" max="36" width="1.5703125" style="7" customWidth="1"/>
    <col min="37" max="37" width="10" style="7" customWidth="1"/>
    <col min="38" max="38" width="49.5703125" style="7" customWidth="1"/>
    <col min="39" max="39" width="1.7109375" style="7" customWidth="1"/>
    <col min="40" max="40" width="10.140625" style="7" bestFit="1" customWidth="1"/>
    <col min="41" max="41" width="1.5703125" style="7" customWidth="1"/>
    <col min="42" max="42" width="11" style="7" bestFit="1" customWidth="1"/>
    <col min="43" max="43" width="1.5703125" style="7" customWidth="1"/>
    <col min="44" max="44" width="8.42578125" style="7" bestFit="1" customWidth="1"/>
    <col min="45" max="45" width="1.5703125" style="7" customWidth="1"/>
    <col min="46" max="46" width="10.140625" style="7" hidden="1" customWidth="1"/>
    <col min="47" max="47" width="1.7109375" style="7" hidden="1" customWidth="1"/>
    <col min="48" max="48" width="11" style="7" bestFit="1" customWidth="1"/>
    <col min="49" max="49" width="1.5703125" style="7" customWidth="1"/>
    <col min="50" max="50" width="7.140625" style="7" bestFit="1" customWidth="1"/>
    <col min="51" max="51" width="1.5703125" style="7" customWidth="1"/>
    <col min="52" max="52" width="10" style="7" bestFit="1" customWidth="1"/>
    <col min="53" max="53" width="1.7109375" style="7" customWidth="1"/>
    <col min="54" max="54" width="10.140625" style="7" bestFit="1" customWidth="1"/>
    <col min="55" max="55" width="1.7109375" style="7" customWidth="1"/>
    <col min="56" max="56" width="10.140625" style="7" bestFit="1" customWidth="1"/>
    <col min="57" max="57" width="1.7109375" style="7" customWidth="1"/>
    <col min="58" max="58" width="7.7109375" style="7" hidden="1" customWidth="1"/>
    <col min="59" max="59" width="1.7109375" style="7" hidden="1" customWidth="1"/>
    <col min="60" max="60" width="9" style="7" hidden="1" customWidth="1"/>
    <col min="61" max="61" width="1.7109375" style="7" hidden="1" customWidth="1"/>
    <col min="62" max="62" width="7.140625" style="7" bestFit="1" customWidth="1"/>
    <col min="63" max="63" width="1.7109375" style="7" customWidth="1"/>
    <col min="64" max="64" width="10.140625" style="7" bestFit="1" customWidth="1"/>
    <col min="65" max="65" width="1.7109375" style="7" customWidth="1"/>
    <col min="66" max="66" width="9.85546875" style="7" bestFit="1" customWidth="1"/>
    <col min="67" max="67" width="1.7109375" style="7" customWidth="1"/>
    <col min="68" max="68" width="10.140625" style="7" bestFit="1" customWidth="1"/>
    <col min="69" max="69" width="1.7109375" style="7" customWidth="1"/>
    <col min="70" max="70" width="10" style="7" bestFit="1" customWidth="1"/>
    <col min="71" max="71" width="1.5703125" style="7" customWidth="1"/>
    <col min="72" max="72" width="10.85546875" style="7" customWidth="1"/>
    <col min="73" max="73" width="1.7109375" style="7" customWidth="1"/>
    <col min="74" max="74" width="10.140625" style="7" bestFit="1" customWidth="1"/>
    <col min="75" max="75" width="1.7109375" style="7" customWidth="1"/>
    <col min="76" max="76" width="11.7109375" style="8" customWidth="1"/>
    <col min="77" max="77" width="1.7109375" style="7" customWidth="1"/>
    <col min="78" max="78" width="4.140625" style="7" customWidth="1"/>
    <col min="79" max="79" width="26.7109375" style="7" customWidth="1"/>
    <col min="80" max="80" width="15.5703125" style="7" customWidth="1"/>
    <col min="81" max="81" width="14.140625" style="7" customWidth="1"/>
    <col min="82" max="82" width="6.85546875" style="7" customWidth="1"/>
    <col min="83" max="83" width="23.5703125" style="7" customWidth="1"/>
    <col min="84" max="84" width="14.85546875" style="7" customWidth="1"/>
    <col min="85" max="85" width="9.140625" style="7" customWidth="1"/>
    <col min="86" max="16384" width="9.140625" style="7"/>
  </cols>
  <sheetData>
    <row r="1" spans="1:87" s="14" customFormat="1">
      <c r="A1" s="39" t="s">
        <v>128</v>
      </c>
      <c r="B1" s="39"/>
      <c r="C1" s="39"/>
      <c r="D1" s="39"/>
      <c r="E1" s="39"/>
      <c r="F1" s="39"/>
      <c r="G1" s="39"/>
      <c r="H1" s="39"/>
      <c r="I1" s="40"/>
      <c r="J1" s="40"/>
      <c r="K1" s="40"/>
      <c r="L1" s="40"/>
      <c r="M1" s="40"/>
      <c r="N1" s="40"/>
      <c r="O1" s="40"/>
      <c r="P1" s="40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39" t="s">
        <v>128</v>
      </c>
      <c r="AM1" s="39"/>
      <c r="AN1" s="39"/>
      <c r="AO1" s="22"/>
      <c r="AP1" s="22"/>
      <c r="AQ1" s="22"/>
      <c r="AR1" s="22"/>
      <c r="AS1" s="25"/>
      <c r="AT1" s="25"/>
      <c r="AU1" s="25"/>
      <c r="AV1" s="25"/>
      <c r="BX1" s="23"/>
    </row>
    <row r="2" spans="1:87" s="14" customFormat="1">
      <c r="A2" s="39" t="s">
        <v>770</v>
      </c>
      <c r="B2" s="39"/>
      <c r="C2" s="39"/>
      <c r="D2" s="39"/>
      <c r="E2" s="39"/>
      <c r="F2" s="39"/>
      <c r="G2" s="39"/>
      <c r="H2" s="39"/>
      <c r="I2" s="40"/>
      <c r="J2" s="40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39" t="s">
        <v>770</v>
      </c>
      <c r="AM2" s="39"/>
      <c r="AN2" s="39"/>
      <c r="AO2" s="22"/>
      <c r="AP2" s="22"/>
      <c r="AQ2" s="22"/>
      <c r="AR2" s="22"/>
      <c r="AS2" s="25"/>
      <c r="AT2" s="25"/>
      <c r="AU2" s="25"/>
      <c r="AV2" s="25"/>
      <c r="BX2" s="23"/>
    </row>
    <row r="3" spans="1:87" s="14" customFormat="1">
      <c r="A3" s="39" t="s">
        <v>622</v>
      </c>
      <c r="B3" s="39"/>
      <c r="C3" s="39"/>
      <c r="D3" s="39"/>
      <c r="E3" s="39"/>
      <c r="F3" s="39"/>
      <c r="G3" s="39"/>
      <c r="H3" s="39"/>
      <c r="I3" s="40"/>
      <c r="J3" s="40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5" t="s">
        <v>622</v>
      </c>
      <c r="AM3" s="39"/>
      <c r="AN3" s="39"/>
      <c r="AO3" s="22"/>
      <c r="AP3" s="22"/>
      <c r="AQ3" s="22"/>
      <c r="AR3" s="22"/>
      <c r="AS3" s="25"/>
      <c r="AT3" s="25"/>
      <c r="AU3" s="25"/>
      <c r="AV3" s="25"/>
      <c r="BX3" s="23"/>
    </row>
    <row r="4" spans="1:87">
      <c r="A4" s="25" t="s">
        <v>169</v>
      </c>
      <c r="B4" s="25"/>
      <c r="C4" s="25"/>
      <c r="D4" s="25"/>
      <c r="E4" s="25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25" t="s">
        <v>169</v>
      </c>
      <c r="AM4" s="25"/>
      <c r="AN4" s="25"/>
      <c r="AO4" s="10"/>
      <c r="AP4" s="10"/>
      <c r="AQ4" s="10"/>
      <c r="AR4" s="10"/>
      <c r="AS4" s="10"/>
      <c r="AT4" s="10"/>
      <c r="AU4" s="10"/>
      <c r="AV4" s="10"/>
    </row>
    <row r="5" spans="1:87" s="14" customFormat="1">
      <c r="B5" s="10"/>
      <c r="C5" s="10"/>
      <c r="D5" s="10"/>
      <c r="E5" s="10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15" t="s">
        <v>995</v>
      </c>
      <c r="R5" s="94"/>
      <c r="S5" s="94"/>
      <c r="T5" s="94"/>
      <c r="U5" s="94"/>
      <c r="V5" s="94"/>
      <c r="W5" s="94"/>
      <c r="AM5" s="10"/>
      <c r="AN5" s="10"/>
      <c r="BL5" s="15" t="s">
        <v>3</v>
      </c>
    </row>
    <row r="6" spans="1:87">
      <c r="A6" s="59" t="s">
        <v>767</v>
      </c>
      <c r="B6" s="14"/>
      <c r="C6" s="14"/>
      <c r="D6" s="14"/>
      <c r="E6" s="14"/>
      <c r="G6" s="17" t="s">
        <v>143</v>
      </c>
      <c r="H6" s="17"/>
      <c r="I6" s="17"/>
      <c r="J6" s="17"/>
      <c r="K6" s="17"/>
      <c r="L6" s="17"/>
      <c r="M6" s="17"/>
      <c r="N6" s="17"/>
      <c r="O6" s="17"/>
      <c r="Q6" s="95" t="s">
        <v>6</v>
      </c>
      <c r="R6" s="22"/>
      <c r="S6" s="17" t="s">
        <v>996</v>
      </c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I6" s="17" t="s">
        <v>156</v>
      </c>
      <c r="AJ6" s="17"/>
      <c r="AK6" s="17"/>
      <c r="AL6" s="59" t="s">
        <v>767</v>
      </c>
      <c r="AM6" s="14"/>
      <c r="AN6" s="14"/>
      <c r="AV6" s="17" t="s">
        <v>179</v>
      </c>
      <c r="AW6" s="17"/>
      <c r="AX6" s="17"/>
      <c r="BD6" s="17" t="s">
        <v>180</v>
      </c>
      <c r="BE6" s="17"/>
      <c r="BF6" s="17"/>
      <c r="BG6" s="17"/>
      <c r="BH6" s="17"/>
      <c r="BI6" s="17"/>
      <c r="BJ6" s="17"/>
      <c r="BL6" s="15" t="s">
        <v>74</v>
      </c>
      <c r="BM6" s="15"/>
      <c r="BN6" s="15" t="s">
        <v>184</v>
      </c>
      <c r="BO6" s="15"/>
      <c r="BP6" s="15" t="s">
        <v>90</v>
      </c>
      <c r="BQ6" s="15"/>
      <c r="BR6" s="15" t="s">
        <v>998</v>
      </c>
      <c r="BS6" s="15"/>
      <c r="BT6" s="15"/>
      <c r="BU6" s="15"/>
      <c r="BV6" s="15" t="s">
        <v>90</v>
      </c>
      <c r="BW6" s="15"/>
      <c r="CB6" s="14" t="s">
        <v>622</v>
      </c>
      <c r="CC6" s="14"/>
      <c r="CD6" s="14"/>
    </row>
    <row r="7" spans="1:87">
      <c r="A7" s="59"/>
      <c r="AC7" s="15" t="s">
        <v>151</v>
      </c>
      <c r="AL7" s="59"/>
      <c r="AT7" s="15" t="s">
        <v>1</v>
      </c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 t="s">
        <v>605</v>
      </c>
      <c r="BI7" s="15"/>
      <c r="BJ7" s="15" t="s">
        <v>183</v>
      </c>
      <c r="BL7" s="15" t="s">
        <v>195</v>
      </c>
      <c r="BM7" s="15"/>
      <c r="BN7" s="15" t="s">
        <v>119</v>
      </c>
      <c r="BO7" s="15"/>
      <c r="BP7" s="15" t="s">
        <v>185</v>
      </c>
      <c r="BQ7" s="15"/>
      <c r="BR7" s="15" t="s">
        <v>997</v>
      </c>
      <c r="BS7" s="15"/>
      <c r="BT7" s="15"/>
      <c r="BU7" s="15"/>
      <c r="BV7" s="15" t="s">
        <v>185</v>
      </c>
      <c r="BW7" s="15"/>
      <c r="BX7" s="15" t="s">
        <v>133</v>
      </c>
    </row>
    <row r="8" spans="1:87">
      <c r="B8" s="96"/>
      <c r="C8" s="96"/>
      <c r="D8" s="96"/>
      <c r="E8" s="96"/>
      <c r="G8" s="96"/>
      <c r="H8" s="96"/>
      <c r="I8" s="96"/>
      <c r="J8" s="96"/>
      <c r="K8" s="96"/>
      <c r="L8" s="96"/>
      <c r="M8" s="96" t="s">
        <v>993</v>
      </c>
      <c r="N8" s="96"/>
      <c r="O8" s="96"/>
      <c r="P8" s="96"/>
      <c r="Q8" s="96"/>
      <c r="R8" s="96"/>
      <c r="S8" s="96" t="s">
        <v>145</v>
      </c>
      <c r="T8" s="96"/>
      <c r="U8" s="96" t="s">
        <v>147</v>
      </c>
      <c r="V8" s="96"/>
      <c r="W8" s="96"/>
      <c r="X8" s="96"/>
      <c r="Y8" s="96"/>
      <c r="Z8" s="96"/>
      <c r="AA8" s="96"/>
      <c r="AB8" s="96"/>
      <c r="AC8" s="96" t="s">
        <v>152</v>
      </c>
      <c r="AD8" s="96"/>
      <c r="AE8" s="96" t="s">
        <v>154</v>
      </c>
      <c r="AF8" s="96"/>
      <c r="AG8" s="96"/>
      <c r="AH8" s="96"/>
      <c r="AI8" s="15" t="s">
        <v>157</v>
      </c>
      <c r="AJ8" s="15"/>
      <c r="AK8" s="15"/>
      <c r="AM8" s="96"/>
      <c r="AN8" s="96"/>
      <c r="AO8" s="15"/>
      <c r="AP8" s="15" t="s">
        <v>159</v>
      </c>
      <c r="AQ8" s="15"/>
      <c r="AR8" s="15" t="s">
        <v>73</v>
      </c>
      <c r="AS8" s="15"/>
      <c r="AT8" s="15" t="s">
        <v>7</v>
      </c>
      <c r="AU8" s="15"/>
      <c r="AV8" s="15" t="s">
        <v>76</v>
      </c>
      <c r="AW8" s="15"/>
      <c r="AX8" s="15"/>
      <c r="AY8" s="15"/>
      <c r="AZ8" s="15" t="s">
        <v>127</v>
      </c>
      <c r="BA8" s="15"/>
      <c r="BB8" s="15" t="s">
        <v>3</v>
      </c>
      <c r="BC8" s="15"/>
      <c r="BD8" s="15" t="s">
        <v>162</v>
      </c>
      <c r="BE8" s="15"/>
      <c r="BF8" s="15" t="s">
        <v>181</v>
      </c>
      <c r="BG8" s="15"/>
      <c r="BH8" s="15" t="s">
        <v>604</v>
      </c>
      <c r="BI8" s="15"/>
      <c r="BJ8" s="15" t="s">
        <v>82</v>
      </c>
      <c r="BK8" s="15"/>
      <c r="BL8" s="15" t="s">
        <v>193</v>
      </c>
      <c r="BM8" s="15"/>
      <c r="BN8" s="15" t="s">
        <v>90</v>
      </c>
      <c r="BO8" s="15"/>
      <c r="BP8" s="96" t="s">
        <v>163</v>
      </c>
      <c r="BQ8" s="15"/>
      <c r="BR8" s="15" t="s">
        <v>598</v>
      </c>
      <c r="BS8" s="15"/>
      <c r="BT8" s="15" t="s">
        <v>617</v>
      </c>
      <c r="BU8" s="15"/>
      <c r="BV8" s="96" t="s">
        <v>186</v>
      </c>
      <c r="BW8" s="15"/>
      <c r="BX8" s="15" t="s">
        <v>134</v>
      </c>
    </row>
    <row r="9" spans="1:87">
      <c r="A9" s="95" t="s">
        <v>200</v>
      </c>
      <c r="B9" s="15"/>
      <c r="C9" s="95" t="s">
        <v>4</v>
      </c>
      <c r="D9" s="15"/>
      <c r="E9" s="95" t="s">
        <v>199</v>
      </c>
      <c r="G9" s="1" t="s">
        <v>608</v>
      </c>
      <c r="I9" s="1" t="s">
        <v>2</v>
      </c>
      <c r="K9" s="1" t="s">
        <v>142</v>
      </c>
      <c r="M9" s="1" t="s">
        <v>994</v>
      </c>
      <c r="O9" s="1" t="s">
        <v>82</v>
      </c>
      <c r="Q9" s="1" t="s">
        <v>615</v>
      </c>
      <c r="S9" s="1" t="s">
        <v>146</v>
      </c>
      <c r="U9" s="1" t="s">
        <v>148</v>
      </c>
      <c r="W9" s="1" t="s">
        <v>149</v>
      </c>
      <c r="Y9" s="1" t="s">
        <v>150</v>
      </c>
      <c r="Z9" s="96"/>
      <c r="AA9" s="95" t="s">
        <v>578</v>
      </c>
      <c r="AC9" s="1" t="s">
        <v>153</v>
      </c>
      <c r="AD9" s="96"/>
      <c r="AE9" s="95" t="s">
        <v>155</v>
      </c>
      <c r="AF9" s="96"/>
      <c r="AG9" s="95" t="s">
        <v>579</v>
      </c>
      <c r="AI9" s="95" t="s">
        <v>158</v>
      </c>
      <c r="AK9" s="95" t="s">
        <v>824</v>
      </c>
      <c r="AL9" s="95" t="s">
        <v>200</v>
      </c>
      <c r="AM9" s="15"/>
      <c r="AN9" s="95" t="s">
        <v>4</v>
      </c>
      <c r="AO9" s="96"/>
      <c r="AP9" s="95" t="s">
        <v>160</v>
      </c>
      <c r="AQ9" s="96"/>
      <c r="AR9" s="95" t="s">
        <v>75</v>
      </c>
      <c r="AS9" s="96"/>
      <c r="AT9" s="95" t="s">
        <v>601</v>
      </c>
      <c r="AU9" s="96"/>
      <c r="AV9" s="95" t="s">
        <v>825</v>
      </c>
      <c r="AW9" s="96"/>
      <c r="AX9" s="95" t="s">
        <v>161</v>
      </c>
      <c r="AY9" s="96"/>
      <c r="AZ9" s="95" t="s">
        <v>74</v>
      </c>
      <c r="BA9" s="96"/>
      <c r="BB9" s="95" t="s">
        <v>74</v>
      </c>
      <c r="BC9" s="96"/>
      <c r="BD9" s="95" t="s">
        <v>118</v>
      </c>
      <c r="BE9" s="96"/>
      <c r="BF9" s="95" t="s">
        <v>118</v>
      </c>
      <c r="BG9" s="96"/>
      <c r="BH9" s="96" t="s">
        <v>606</v>
      </c>
      <c r="BI9" s="96"/>
      <c r="BJ9" s="95" t="s">
        <v>182</v>
      </c>
      <c r="BK9" s="96"/>
      <c r="BL9" s="95" t="s">
        <v>182</v>
      </c>
      <c r="BM9" s="96"/>
      <c r="BN9" s="95" t="s">
        <v>185</v>
      </c>
      <c r="BO9" s="15"/>
      <c r="BP9" s="95" t="s">
        <v>164</v>
      </c>
      <c r="BQ9" s="15"/>
      <c r="BR9" s="95" t="s">
        <v>599</v>
      </c>
      <c r="BS9" s="15"/>
      <c r="BT9" s="99" t="s">
        <v>618</v>
      </c>
      <c r="BU9" s="15"/>
      <c r="BV9" s="95" t="s">
        <v>164</v>
      </c>
      <c r="BW9" s="15"/>
      <c r="BX9" s="95" t="s">
        <v>135</v>
      </c>
      <c r="CB9" s="7" t="s">
        <v>828</v>
      </c>
      <c r="CC9" s="7" t="s">
        <v>829</v>
      </c>
      <c r="CE9" s="7" t="s">
        <v>819</v>
      </c>
      <c r="CG9" s="7" t="s">
        <v>830</v>
      </c>
      <c r="CH9" s="7" t="s">
        <v>831</v>
      </c>
      <c r="CI9" s="7" t="s">
        <v>832</v>
      </c>
    </row>
    <row r="10" spans="1:87">
      <c r="A10" s="12"/>
      <c r="B10" s="12"/>
      <c r="C10" s="12"/>
      <c r="D10" s="12"/>
      <c r="E10" s="12"/>
      <c r="F10" s="10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2"/>
      <c r="AM10" s="12"/>
      <c r="AN10" s="12"/>
      <c r="AO10" s="13"/>
      <c r="AP10" s="13"/>
      <c r="AQ10" s="13"/>
      <c r="AR10" s="13"/>
      <c r="AS10" s="19"/>
      <c r="AT10" s="19"/>
      <c r="AU10" s="19"/>
      <c r="AV10" s="10"/>
    </row>
    <row r="11" spans="1:87" s="32" customFormat="1">
      <c r="A11" s="31" t="s">
        <v>898</v>
      </c>
      <c r="B11" s="31"/>
      <c r="C11" s="31" t="s">
        <v>201</v>
      </c>
      <c r="D11" s="31"/>
      <c r="E11" s="31">
        <v>61903</v>
      </c>
      <c r="F11" s="37"/>
      <c r="G11" s="32">
        <v>16587334</v>
      </c>
      <c r="I11" s="32">
        <v>2403863</v>
      </c>
      <c r="K11" s="32">
        <v>2357694</v>
      </c>
      <c r="M11" s="32">
        <v>438908</v>
      </c>
      <c r="O11" s="32">
        <v>503436</v>
      </c>
      <c r="Q11" s="32">
        <v>1541577</v>
      </c>
      <c r="S11" s="32">
        <v>976373</v>
      </c>
      <c r="U11" s="32">
        <v>68668</v>
      </c>
      <c r="W11" s="32">
        <v>2295591</v>
      </c>
      <c r="Y11" s="32">
        <v>664060</v>
      </c>
      <c r="AA11" s="32">
        <v>280320</v>
      </c>
      <c r="AC11" s="32">
        <v>2376353</v>
      </c>
      <c r="AE11" s="32">
        <v>2130470</v>
      </c>
      <c r="AG11" s="32">
        <v>199842</v>
      </c>
      <c r="AI11" s="32">
        <v>2412</v>
      </c>
      <c r="AK11" s="32">
        <v>0</v>
      </c>
      <c r="AL11" s="31" t="s">
        <v>898</v>
      </c>
      <c r="AM11" s="31"/>
      <c r="AN11" s="31" t="s">
        <v>201</v>
      </c>
      <c r="AP11" s="32">
        <v>386279</v>
      </c>
      <c r="AR11" s="32">
        <v>516</v>
      </c>
      <c r="AV11" s="32">
        <v>0</v>
      </c>
      <c r="AX11" s="32">
        <v>0</v>
      </c>
      <c r="AZ11" s="32">
        <v>0</v>
      </c>
      <c r="BB11" s="32">
        <f>SUM(G11:AZ11)</f>
        <v>33213696</v>
      </c>
      <c r="BD11" s="32">
        <v>96290</v>
      </c>
      <c r="BF11" s="32">
        <v>0</v>
      </c>
      <c r="BH11" s="32">
        <v>0</v>
      </c>
      <c r="BJ11" s="32">
        <v>0</v>
      </c>
      <c r="BL11" s="32">
        <f t="shared" ref="BL11:BL42" si="0">+BB11+BD11+BF11+BJ11</f>
        <v>33309986</v>
      </c>
      <c r="BN11" s="32">
        <f>+GenRev!AM11-GenExp!BL11</f>
        <v>419055</v>
      </c>
      <c r="BP11" s="32">
        <v>343942</v>
      </c>
      <c r="BR11" s="32">
        <v>0</v>
      </c>
      <c r="BT11" s="32">
        <v>0</v>
      </c>
      <c r="BV11" s="32">
        <f t="shared" ref="BV11:BV43" si="1">+BP11+BN11-BR11</f>
        <v>762997</v>
      </c>
      <c r="BX11" s="36">
        <f>+BV11-'Gen Fd BS'!AE11+BT11</f>
        <v>0</v>
      </c>
      <c r="CB11" s="32" t="str">
        <f>A11</f>
        <v>Adams County/Ohio Valley Local SD</v>
      </c>
      <c r="CC11" s="32" t="b">
        <f>A11=AL11</f>
        <v>1</v>
      </c>
      <c r="CE11" s="31" t="str">
        <f>GenRev!A11</f>
        <v>Adams County/Ohio Valley Local SD</v>
      </c>
      <c r="CF11" s="32" t="b">
        <f>CB11=CE11</f>
        <v>1</v>
      </c>
      <c r="CG11" s="32" t="str">
        <f>C11</f>
        <v>Adams</v>
      </c>
      <c r="CH11" s="32" t="b">
        <f>C11=AN11</f>
        <v>1</v>
      </c>
      <c r="CI11" s="32" t="b">
        <f>C11=GenRev!C11</f>
        <v>1</v>
      </c>
    </row>
    <row r="12" spans="1:87">
      <c r="A12" s="12" t="s">
        <v>607</v>
      </c>
      <c r="B12" s="12"/>
      <c r="C12" s="12" t="s">
        <v>58</v>
      </c>
      <c r="D12" s="12"/>
      <c r="E12" s="12">
        <v>49494</v>
      </c>
      <c r="G12" s="7">
        <v>4434920</v>
      </c>
      <c r="I12" s="7">
        <v>844805</v>
      </c>
      <c r="K12" s="7">
        <v>2329</v>
      </c>
      <c r="M12" s="7">
        <v>0</v>
      </c>
      <c r="O12" s="7">
        <v>714807</v>
      </c>
      <c r="Q12" s="7">
        <v>458424</v>
      </c>
      <c r="S12" s="7">
        <v>418129</v>
      </c>
      <c r="U12" s="7">
        <v>34452</v>
      </c>
      <c r="W12" s="7">
        <v>837646</v>
      </c>
      <c r="Y12" s="7">
        <v>321054</v>
      </c>
      <c r="AA12" s="7">
        <v>0</v>
      </c>
      <c r="AC12" s="7">
        <v>666402</v>
      </c>
      <c r="AE12" s="7">
        <v>619921</v>
      </c>
      <c r="AG12" s="7">
        <v>78777</v>
      </c>
      <c r="AI12" s="7">
        <v>0</v>
      </c>
      <c r="AK12" s="7">
        <v>2329</v>
      </c>
      <c r="AL12" s="12" t="s">
        <v>607</v>
      </c>
      <c r="AM12" s="12"/>
      <c r="AN12" s="12" t="s">
        <v>58</v>
      </c>
      <c r="AP12" s="7">
        <v>229598</v>
      </c>
      <c r="AR12" s="7">
        <v>157138</v>
      </c>
      <c r="AV12" s="7">
        <v>0</v>
      </c>
      <c r="AX12" s="7">
        <v>0</v>
      </c>
      <c r="AZ12" s="7">
        <v>0</v>
      </c>
      <c r="BB12" s="7">
        <f t="shared" ref="BB12:BB78" si="2">SUM(G12:AZ12)</f>
        <v>9820731</v>
      </c>
      <c r="BD12" s="7">
        <v>47045</v>
      </c>
      <c r="BF12" s="7">
        <v>0</v>
      </c>
      <c r="BH12" s="7">
        <v>0</v>
      </c>
      <c r="BJ12" s="7">
        <v>0</v>
      </c>
      <c r="BL12" s="7">
        <f t="shared" si="0"/>
        <v>9867776</v>
      </c>
      <c r="BN12" s="7">
        <f>+GenRev!AM12-GenExp!BL12</f>
        <v>861466</v>
      </c>
      <c r="BP12" s="7">
        <v>3690875</v>
      </c>
      <c r="BR12" s="7">
        <v>0</v>
      </c>
      <c r="BT12" s="7">
        <v>0</v>
      </c>
      <c r="BV12" s="7">
        <f t="shared" si="1"/>
        <v>4552341</v>
      </c>
      <c r="BX12" s="8">
        <f>+BV12-'Gen Fd BS'!AE12+BT12</f>
        <v>0</v>
      </c>
      <c r="CB12" s="7" t="str">
        <f t="shared" ref="CB12:CB76" si="3">A12</f>
        <v xml:space="preserve">Adena Local SD </v>
      </c>
      <c r="CC12" s="7" t="b">
        <f t="shared" ref="CC12:CC75" si="4">A12=AL12</f>
        <v>1</v>
      </c>
      <c r="CE12" s="12" t="str">
        <f>GenRev!A12</f>
        <v xml:space="preserve">Adena Local SD </v>
      </c>
      <c r="CF12" s="7" t="b">
        <f t="shared" ref="CF12:CF76" si="5">CB12=CE12</f>
        <v>1</v>
      </c>
      <c r="CG12" s="7" t="str">
        <f t="shared" ref="CG12:CG75" si="6">C12</f>
        <v>Ross</v>
      </c>
      <c r="CH12" s="7" t="b">
        <f t="shared" ref="CH12:CH75" si="7">C12=AN12</f>
        <v>1</v>
      </c>
      <c r="CI12" s="7" t="b">
        <f>C12=GenRev!C12</f>
        <v>1</v>
      </c>
    </row>
    <row r="13" spans="1:87">
      <c r="A13" s="12" t="s">
        <v>522</v>
      </c>
      <c r="B13" s="12"/>
      <c r="C13" s="12" t="s">
        <v>63</v>
      </c>
      <c r="D13" s="12"/>
      <c r="E13" s="12">
        <v>43489</v>
      </c>
      <c r="G13" s="7">
        <v>135487961</v>
      </c>
      <c r="I13" s="7">
        <v>32329958</v>
      </c>
      <c r="K13" s="7">
        <v>11924726</v>
      </c>
      <c r="M13" s="7">
        <v>758113</v>
      </c>
      <c r="O13" s="7">
        <v>2516636</v>
      </c>
      <c r="Q13" s="7">
        <v>16761090</v>
      </c>
      <c r="S13" s="7">
        <v>13138092</v>
      </c>
      <c r="U13" s="7">
        <v>97275</v>
      </c>
      <c r="W13" s="7">
        <v>18789061</v>
      </c>
      <c r="Y13" s="7">
        <v>3986679</v>
      </c>
      <c r="AA13" s="7">
        <v>3058409</v>
      </c>
      <c r="AC13" s="7">
        <v>32865588</v>
      </c>
      <c r="AE13" s="7">
        <v>11571444</v>
      </c>
      <c r="AG13" s="7">
        <v>8718596</v>
      </c>
      <c r="AI13" s="7">
        <v>0</v>
      </c>
      <c r="AK13" s="7">
        <v>2137</v>
      </c>
      <c r="AL13" s="12" t="s">
        <v>522</v>
      </c>
      <c r="AM13" s="12"/>
      <c r="AN13" s="12" t="s">
        <v>63</v>
      </c>
      <c r="AP13" s="7">
        <v>2826820</v>
      </c>
      <c r="AR13" s="7">
        <v>1023468</v>
      </c>
      <c r="AV13" s="7">
        <v>0</v>
      </c>
      <c r="AX13" s="7">
        <v>0</v>
      </c>
      <c r="AZ13" s="7">
        <v>0</v>
      </c>
      <c r="BB13" s="7">
        <f t="shared" si="2"/>
        <v>295856053</v>
      </c>
      <c r="BD13" s="7">
        <v>63652</v>
      </c>
      <c r="BF13" s="7">
        <v>0</v>
      </c>
      <c r="BH13" s="7">
        <v>0</v>
      </c>
      <c r="BJ13" s="7">
        <v>0</v>
      </c>
      <c r="BL13" s="7">
        <f t="shared" si="0"/>
        <v>295919705</v>
      </c>
      <c r="BN13" s="7">
        <f>+GenRev!AM13-GenExp!BL13</f>
        <v>-6753249</v>
      </c>
      <c r="BP13" s="7">
        <v>34412810</v>
      </c>
      <c r="BR13" s="7">
        <v>0</v>
      </c>
      <c r="BT13" s="7">
        <v>0</v>
      </c>
      <c r="BV13" s="7">
        <f>+BP13+BN13-BR13</f>
        <v>27659561</v>
      </c>
      <c r="BX13" s="8">
        <f>+BV13-'Gen Fd BS'!AE13+BT13</f>
        <v>0</v>
      </c>
      <c r="CB13" s="7" t="str">
        <f t="shared" si="3"/>
        <v>Akron City SD</v>
      </c>
      <c r="CC13" s="7" t="b">
        <f t="shared" si="4"/>
        <v>1</v>
      </c>
      <c r="CE13" s="12" t="str">
        <f>GenRev!A13</f>
        <v>Akron City SD</v>
      </c>
      <c r="CF13" s="7" t="b">
        <f t="shared" si="5"/>
        <v>1</v>
      </c>
      <c r="CG13" s="7" t="str">
        <f t="shared" si="6"/>
        <v>Summit</v>
      </c>
      <c r="CH13" s="7" t="b">
        <f t="shared" si="7"/>
        <v>1</v>
      </c>
      <c r="CI13" s="7" t="b">
        <f>C13=GenRev!C13</f>
        <v>1</v>
      </c>
    </row>
    <row r="14" spans="1:87" hidden="1">
      <c r="A14" s="12" t="s">
        <v>643</v>
      </c>
      <c r="B14" s="12"/>
      <c r="C14" s="12" t="s">
        <v>13</v>
      </c>
      <c r="D14" s="12"/>
      <c r="E14" s="12">
        <v>45906</v>
      </c>
      <c r="F14" s="10"/>
      <c r="AL14" s="12" t="s">
        <v>643</v>
      </c>
      <c r="AM14" s="12"/>
      <c r="AN14" s="12" t="s">
        <v>13</v>
      </c>
      <c r="BB14" s="7">
        <f t="shared" si="2"/>
        <v>0</v>
      </c>
      <c r="BF14" s="7">
        <v>0</v>
      </c>
      <c r="BH14" s="7">
        <v>0</v>
      </c>
      <c r="BL14" s="7">
        <f t="shared" si="0"/>
        <v>0</v>
      </c>
      <c r="BN14" s="7">
        <f>+GenRev!AM14-GenExp!BL14</f>
        <v>0</v>
      </c>
      <c r="BT14" s="7">
        <v>0</v>
      </c>
      <c r="BV14" s="7">
        <f t="shared" si="1"/>
        <v>0</v>
      </c>
      <c r="BX14" s="8">
        <f>+BV14-'Gen Fd BS'!AE14+BT14</f>
        <v>0</v>
      </c>
      <c r="CA14" s="7" t="s">
        <v>778</v>
      </c>
      <c r="CB14" s="7" t="str">
        <f t="shared" si="3"/>
        <v>Alexander Local SD (CASH)</v>
      </c>
      <c r="CC14" s="7" t="b">
        <f t="shared" si="4"/>
        <v>1</v>
      </c>
      <c r="CE14" s="12" t="str">
        <f>GenRev!A14</f>
        <v>Alexander Local SD (CASH)</v>
      </c>
      <c r="CF14" s="7" t="b">
        <f t="shared" si="5"/>
        <v>1</v>
      </c>
      <c r="CG14" s="7" t="str">
        <f t="shared" si="6"/>
        <v>Athens</v>
      </c>
      <c r="CH14" s="7" t="b">
        <f t="shared" si="7"/>
        <v>1</v>
      </c>
      <c r="CI14" s="7" t="b">
        <f>C14=GenRev!C14</f>
        <v>1</v>
      </c>
    </row>
    <row r="15" spans="1:87">
      <c r="A15" s="12" t="s">
        <v>508</v>
      </c>
      <c r="B15" s="12"/>
      <c r="C15" s="12" t="s">
        <v>62</v>
      </c>
      <c r="D15" s="12"/>
      <c r="E15" s="12">
        <v>43497</v>
      </c>
      <c r="G15" s="7">
        <v>9040350</v>
      </c>
      <c r="I15" s="7">
        <v>3407299</v>
      </c>
      <c r="K15" s="7">
        <v>1289468</v>
      </c>
      <c r="M15" s="7">
        <v>389615</v>
      </c>
      <c r="O15" s="7">
        <f>178617+234766</f>
        <v>413383</v>
      </c>
      <c r="Q15" s="7">
        <v>1266298</v>
      </c>
      <c r="S15" s="7">
        <v>520863</v>
      </c>
      <c r="U15" s="7">
        <v>39069</v>
      </c>
      <c r="W15" s="7">
        <v>2154955</v>
      </c>
      <c r="Y15" s="7">
        <v>531352</v>
      </c>
      <c r="AA15" s="7">
        <v>410295</v>
      </c>
      <c r="AC15" s="7">
        <v>2786998</v>
      </c>
      <c r="AE15" s="7">
        <v>868861</v>
      </c>
      <c r="AG15" s="7">
        <v>27133</v>
      </c>
      <c r="AI15" s="7">
        <v>0</v>
      </c>
      <c r="AK15" s="7">
        <v>0</v>
      </c>
      <c r="AL15" s="12" t="s">
        <v>508</v>
      </c>
      <c r="AM15" s="12"/>
      <c r="AN15" s="12" t="s">
        <v>62</v>
      </c>
      <c r="AP15" s="7">
        <v>405716</v>
      </c>
      <c r="AR15" s="7">
        <v>63723</v>
      </c>
      <c r="AV15" s="7">
        <v>15000</v>
      </c>
      <c r="AX15" s="7">
        <f>111003+19250</f>
        <v>130253</v>
      </c>
      <c r="AZ15" s="7">
        <v>0</v>
      </c>
      <c r="BB15" s="7">
        <f t="shared" si="2"/>
        <v>23760631</v>
      </c>
      <c r="BD15" s="7">
        <v>0</v>
      </c>
      <c r="BF15" s="7">
        <v>0</v>
      </c>
      <c r="BH15" s="7">
        <v>0</v>
      </c>
      <c r="BJ15" s="7">
        <v>0</v>
      </c>
      <c r="BL15" s="7">
        <f>+BB15+BD15+BF15+BJ15</f>
        <v>23760631</v>
      </c>
      <c r="BN15" s="7">
        <f>+GenRev!AM15-GenExp!BL15</f>
        <v>1832642</v>
      </c>
      <c r="BP15" s="7">
        <v>2155747</v>
      </c>
      <c r="BR15" s="7">
        <v>0</v>
      </c>
      <c r="BT15" s="7">
        <v>0</v>
      </c>
      <c r="BV15" s="7">
        <f>+BP15+BN15-BR15-BT15</f>
        <v>3988389</v>
      </c>
      <c r="BX15" s="8">
        <f>+BV15-'Gen Fd BS'!AE15+BT15</f>
        <v>0</v>
      </c>
      <c r="CB15" s="7" t="str">
        <f t="shared" si="3"/>
        <v>Alliance City SD</v>
      </c>
      <c r="CC15" s="7" t="b">
        <f t="shared" si="4"/>
        <v>1</v>
      </c>
      <c r="CE15" s="12" t="str">
        <f>GenRev!A15</f>
        <v>Alliance City SD</v>
      </c>
      <c r="CF15" s="7" t="b">
        <f t="shared" si="5"/>
        <v>1</v>
      </c>
      <c r="CG15" s="7" t="str">
        <f t="shared" si="6"/>
        <v>Stark</v>
      </c>
      <c r="CH15" s="7" t="b">
        <f t="shared" si="7"/>
        <v>1</v>
      </c>
      <c r="CI15" s="7" t="b">
        <f>C15=GenRev!C15</f>
        <v>1</v>
      </c>
    </row>
    <row r="16" spans="1:87">
      <c r="A16" s="12" t="s">
        <v>298</v>
      </c>
      <c r="B16" s="12"/>
      <c r="C16" s="12" t="s">
        <v>25</v>
      </c>
      <c r="D16" s="12"/>
      <c r="E16" s="12">
        <v>46847</v>
      </c>
      <c r="G16" s="7">
        <v>5125673</v>
      </c>
      <c r="I16" s="7">
        <v>1561390</v>
      </c>
      <c r="K16" s="7">
        <v>467614</v>
      </c>
      <c r="M16" s="7">
        <v>97903</v>
      </c>
      <c r="O16" s="7">
        <v>45366</v>
      </c>
      <c r="Q16" s="7">
        <v>582227</v>
      </c>
      <c r="S16" s="7">
        <v>342715</v>
      </c>
      <c r="U16" s="7">
        <v>55556</v>
      </c>
      <c r="W16" s="7">
        <v>932868</v>
      </c>
      <c r="Y16" s="7">
        <v>366546</v>
      </c>
      <c r="AA16" s="7">
        <v>33946</v>
      </c>
      <c r="AC16" s="7">
        <v>1119772</v>
      </c>
      <c r="AE16" s="7">
        <v>1099584</v>
      </c>
      <c r="AG16" s="7">
        <v>8956</v>
      </c>
      <c r="AI16" s="7">
        <v>0</v>
      </c>
      <c r="AK16" s="7">
        <v>0</v>
      </c>
      <c r="AL16" s="12" t="s">
        <v>298</v>
      </c>
      <c r="AM16" s="12"/>
      <c r="AN16" s="12" t="s">
        <v>25</v>
      </c>
      <c r="AP16" s="7">
        <v>194490</v>
      </c>
      <c r="AR16" s="7">
        <v>3706</v>
      </c>
      <c r="AV16" s="7">
        <v>49953</v>
      </c>
      <c r="AX16" s="7">
        <v>4097</v>
      </c>
      <c r="AZ16" s="7">
        <v>0</v>
      </c>
      <c r="BB16" s="7">
        <f t="shared" si="2"/>
        <v>12092362</v>
      </c>
      <c r="BD16" s="7">
        <v>0</v>
      </c>
      <c r="BF16" s="7">
        <v>0</v>
      </c>
      <c r="BH16" s="7">
        <v>0</v>
      </c>
      <c r="BJ16" s="7">
        <v>0</v>
      </c>
      <c r="BL16" s="7">
        <f t="shared" si="0"/>
        <v>12092362</v>
      </c>
      <c r="BN16" s="7">
        <f>+GenRev!AM16-GenExp!BL16</f>
        <v>672806</v>
      </c>
      <c r="BP16" s="7">
        <v>-23381</v>
      </c>
      <c r="BR16" s="7">
        <v>0</v>
      </c>
      <c r="BT16" s="7">
        <v>0</v>
      </c>
      <c r="BV16" s="7">
        <f t="shared" si="1"/>
        <v>649425</v>
      </c>
      <c r="BX16" s="8">
        <f>+BV16-'Gen Fd BS'!AE16+BT16</f>
        <v>0</v>
      </c>
      <c r="CB16" s="7" t="str">
        <f t="shared" si="3"/>
        <v>Amanda-Clearcreek Local SD</v>
      </c>
      <c r="CC16" s="7" t="b">
        <f t="shared" si="4"/>
        <v>1</v>
      </c>
      <c r="CE16" s="12" t="str">
        <f>GenRev!A16</f>
        <v>Amanda-Clearcreek Local SD</v>
      </c>
      <c r="CF16" s="7" t="b">
        <f t="shared" si="5"/>
        <v>1</v>
      </c>
      <c r="CG16" s="7" t="str">
        <f t="shared" si="6"/>
        <v>Fairfield</v>
      </c>
      <c r="CH16" s="7" t="b">
        <f t="shared" si="7"/>
        <v>1</v>
      </c>
      <c r="CI16" s="7" t="b">
        <f>C16=GenRev!C16</f>
        <v>1</v>
      </c>
    </row>
    <row r="17" spans="1:87">
      <c r="A17" s="12" t="s">
        <v>858</v>
      </c>
      <c r="B17" s="12"/>
      <c r="C17" s="12" t="s">
        <v>44</v>
      </c>
      <c r="D17" s="12"/>
      <c r="E17" s="12">
        <v>45195</v>
      </c>
      <c r="F17" s="10"/>
      <c r="G17" s="7">
        <v>16440277</v>
      </c>
      <c r="I17" s="7">
        <v>4235305</v>
      </c>
      <c r="K17" s="7">
        <v>381777</v>
      </c>
      <c r="M17" s="7">
        <v>0</v>
      </c>
      <c r="O17" s="7">
        <v>0</v>
      </c>
      <c r="Q17" s="7">
        <v>1621756</v>
      </c>
      <c r="S17" s="7">
        <v>1602512</v>
      </c>
      <c r="U17" s="7">
        <v>20656</v>
      </c>
      <c r="W17" s="7">
        <v>3025975</v>
      </c>
      <c r="Y17" s="7">
        <v>671970</v>
      </c>
      <c r="AA17" s="7">
        <v>0</v>
      </c>
      <c r="AC17" s="7">
        <v>3375886</v>
      </c>
      <c r="AE17" s="7">
        <v>1243582</v>
      </c>
      <c r="AG17" s="7">
        <v>29562</v>
      </c>
      <c r="AI17" s="7">
        <v>0</v>
      </c>
      <c r="AK17" s="7">
        <v>61</v>
      </c>
      <c r="AL17" s="12" t="s">
        <v>858</v>
      </c>
      <c r="AM17" s="12"/>
      <c r="AN17" s="12" t="s">
        <v>44</v>
      </c>
      <c r="AP17" s="7">
        <v>574085</v>
      </c>
      <c r="AR17" s="7">
        <v>0</v>
      </c>
      <c r="AV17" s="7">
        <v>100000</v>
      </c>
      <c r="AX17" s="7">
        <v>32650</v>
      </c>
      <c r="AZ17" s="7">
        <v>0</v>
      </c>
      <c r="BB17" s="7">
        <f>SUM(G17:AZ17)</f>
        <v>33356054</v>
      </c>
      <c r="BD17" s="7">
        <v>10000</v>
      </c>
      <c r="BF17" s="7">
        <v>0</v>
      </c>
      <c r="BH17" s="7">
        <v>0</v>
      </c>
      <c r="BJ17" s="7">
        <v>0</v>
      </c>
      <c r="BL17" s="7">
        <f t="shared" si="0"/>
        <v>33366054</v>
      </c>
      <c r="BN17" s="7">
        <f>+GenRev!AM17-GenExp!BL17</f>
        <v>1158043</v>
      </c>
      <c r="BP17" s="7">
        <v>3046448</v>
      </c>
      <c r="BR17" s="7">
        <v>0</v>
      </c>
      <c r="BT17" s="7">
        <v>0</v>
      </c>
      <c r="BV17" s="7">
        <f t="shared" si="1"/>
        <v>4204491</v>
      </c>
      <c r="BX17" s="8">
        <f>+BV17-'Gen Fd BS'!AE17+BT17</f>
        <v>0</v>
      </c>
      <c r="CB17" s="7" t="str">
        <f t="shared" si="3"/>
        <v xml:space="preserve">Amherst Exempted Village SD </v>
      </c>
      <c r="CC17" s="7" t="b">
        <f t="shared" si="4"/>
        <v>1</v>
      </c>
      <c r="CE17" s="12" t="str">
        <f>GenRev!A17</f>
        <v xml:space="preserve">Amherst Exempted Village SD </v>
      </c>
      <c r="CF17" s="7" t="b">
        <f t="shared" si="5"/>
        <v>1</v>
      </c>
      <c r="CG17" s="7" t="str">
        <f t="shared" si="6"/>
        <v>Lorain</v>
      </c>
      <c r="CH17" s="7" t="b">
        <f t="shared" si="7"/>
        <v>1</v>
      </c>
      <c r="CI17" s="7" t="b">
        <f>C17=GenRev!C17</f>
        <v>1</v>
      </c>
    </row>
    <row r="18" spans="1:87">
      <c r="A18" s="12" t="s">
        <v>928</v>
      </c>
      <c r="B18" s="12"/>
      <c r="C18" s="12" t="s">
        <v>61</v>
      </c>
      <c r="D18" s="12"/>
      <c r="E18" s="12">
        <v>49759</v>
      </c>
      <c r="G18" s="7">
        <v>5034931</v>
      </c>
      <c r="I18" s="7">
        <v>707457</v>
      </c>
      <c r="K18" s="7">
        <v>412253</v>
      </c>
      <c r="M18" s="7">
        <v>0</v>
      </c>
      <c r="O18" s="7">
        <v>25167</v>
      </c>
      <c r="Q18" s="7">
        <v>466885</v>
      </c>
      <c r="S18" s="7">
        <v>269749</v>
      </c>
      <c r="U18" s="7">
        <v>62309</v>
      </c>
      <c r="W18" s="7">
        <v>766371</v>
      </c>
      <c r="Y18" s="7">
        <v>370363</v>
      </c>
      <c r="AA18" s="7">
        <v>59163</v>
      </c>
      <c r="AC18" s="7">
        <v>725251</v>
      </c>
      <c r="AE18" s="7">
        <v>492639</v>
      </c>
      <c r="AG18" s="7">
        <v>3183</v>
      </c>
      <c r="AI18" s="7">
        <v>0</v>
      </c>
      <c r="AK18" s="7">
        <v>0</v>
      </c>
      <c r="AL18" s="12" t="s">
        <v>928</v>
      </c>
      <c r="AM18" s="12"/>
      <c r="AN18" s="12" t="s">
        <v>61</v>
      </c>
      <c r="AP18" s="7">
        <v>389634</v>
      </c>
      <c r="AR18" s="7">
        <v>0</v>
      </c>
      <c r="AV18" s="7">
        <v>0</v>
      </c>
      <c r="AX18" s="7">
        <v>0</v>
      </c>
      <c r="AZ18" s="7">
        <v>0</v>
      </c>
      <c r="BB18" s="7">
        <f t="shared" si="2"/>
        <v>9785355</v>
      </c>
      <c r="BD18" s="7">
        <v>0</v>
      </c>
      <c r="BF18" s="7">
        <v>0</v>
      </c>
      <c r="BH18" s="7">
        <v>0</v>
      </c>
      <c r="BJ18" s="7">
        <v>0</v>
      </c>
      <c r="BL18" s="7">
        <f t="shared" si="0"/>
        <v>9785355</v>
      </c>
      <c r="BN18" s="7">
        <f>+GenRev!AM18-GenExp!BL18</f>
        <v>-451053</v>
      </c>
      <c r="BP18" s="7">
        <v>2679564</v>
      </c>
      <c r="BR18" s="7">
        <v>0</v>
      </c>
      <c r="BT18" s="7">
        <v>0</v>
      </c>
      <c r="BV18" s="7">
        <f t="shared" si="1"/>
        <v>2228511</v>
      </c>
      <c r="BX18" s="8">
        <f>+BV18-'Gen Fd BS'!AE18+BT18</f>
        <v>0</v>
      </c>
      <c r="CA18" s="7" t="s">
        <v>929</v>
      </c>
      <c r="CB18" s="7" t="str">
        <f t="shared" si="3"/>
        <v>Anna Local SD</v>
      </c>
      <c r="CC18" s="7" t="b">
        <f t="shared" si="4"/>
        <v>1</v>
      </c>
      <c r="CE18" s="12" t="str">
        <f>GenRev!A18</f>
        <v>Anna Local SD</v>
      </c>
      <c r="CF18" s="7" t="b">
        <f t="shared" si="5"/>
        <v>1</v>
      </c>
      <c r="CG18" s="7" t="str">
        <f t="shared" si="6"/>
        <v>Shelby</v>
      </c>
      <c r="CH18" s="7" t="b">
        <f t="shared" si="7"/>
        <v>1</v>
      </c>
      <c r="CI18" s="7" t="b">
        <f>C18=GenRev!C18</f>
        <v>1</v>
      </c>
    </row>
    <row r="19" spans="1:87" hidden="1">
      <c r="A19" s="12" t="s">
        <v>727</v>
      </c>
      <c r="B19" s="12"/>
      <c r="C19" s="12" t="s">
        <v>628</v>
      </c>
      <c r="D19" s="12"/>
      <c r="E19" s="12"/>
      <c r="AL19" s="12" t="s">
        <v>727</v>
      </c>
      <c r="AM19" s="12"/>
      <c r="AN19" s="12" t="s">
        <v>628</v>
      </c>
      <c r="BB19" s="7">
        <f t="shared" si="2"/>
        <v>0</v>
      </c>
      <c r="BF19" s="7">
        <v>0</v>
      </c>
      <c r="BH19" s="7">
        <v>0</v>
      </c>
      <c r="BL19" s="7">
        <f t="shared" si="0"/>
        <v>0</v>
      </c>
      <c r="BN19" s="7">
        <f>+GenRev!AM19-GenExp!BL19</f>
        <v>0</v>
      </c>
      <c r="BT19" s="7">
        <v>0</v>
      </c>
      <c r="BV19" s="7">
        <f t="shared" si="1"/>
        <v>0</v>
      </c>
      <c r="BX19" s="8">
        <f>+BV19-'Gen Fd BS'!AE19+BT19</f>
        <v>0</v>
      </c>
      <c r="CA19" s="7" t="s">
        <v>778</v>
      </c>
      <c r="CB19" s="7" t="str">
        <f t="shared" si="3"/>
        <v>Ansonia Local SD (CASH)</v>
      </c>
      <c r="CC19" s="7" t="b">
        <f t="shared" si="4"/>
        <v>1</v>
      </c>
      <c r="CE19" s="12" t="str">
        <f>GenRev!A19</f>
        <v>Ansonia Local SD (CASH)</v>
      </c>
      <c r="CF19" s="7" t="b">
        <f t="shared" si="5"/>
        <v>1</v>
      </c>
      <c r="CG19" s="7" t="str">
        <f t="shared" si="6"/>
        <v xml:space="preserve">Darke </v>
      </c>
      <c r="CH19" s="7" t="b">
        <f t="shared" si="7"/>
        <v>1</v>
      </c>
      <c r="CI19" s="7" t="b">
        <f>C19=GenRev!C19</f>
        <v>1</v>
      </c>
    </row>
    <row r="20" spans="1:87">
      <c r="A20" s="12" t="s">
        <v>402</v>
      </c>
      <c r="B20" s="12"/>
      <c r="C20" s="12" t="s">
        <v>115</v>
      </c>
      <c r="D20" s="12"/>
      <c r="E20" s="12">
        <v>48207</v>
      </c>
      <c r="G20" s="7">
        <v>17083522</v>
      </c>
      <c r="I20" s="7">
        <v>2502227</v>
      </c>
      <c r="K20" s="7">
        <v>3347</v>
      </c>
      <c r="M20" s="7">
        <v>0</v>
      </c>
      <c r="O20" s="7">
        <v>0</v>
      </c>
      <c r="Q20" s="7">
        <v>1337390</v>
      </c>
      <c r="S20" s="7">
        <v>725313</v>
      </c>
      <c r="U20" s="7">
        <v>795091</v>
      </c>
      <c r="W20" s="7">
        <v>2864419</v>
      </c>
      <c r="Y20" s="7">
        <v>819460</v>
      </c>
      <c r="AA20" s="7">
        <v>0</v>
      </c>
      <c r="AC20" s="7">
        <v>3514693</v>
      </c>
      <c r="AE20" s="7">
        <v>2389360</v>
      </c>
      <c r="AG20" s="7">
        <v>22551</v>
      </c>
      <c r="AI20" s="7">
        <v>0</v>
      </c>
      <c r="AK20" s="7">
        <v>1125</v>
      </c>
      <c r="AL20" s="12" t="s">
        <v>402</v>
      </c>
      <c r="AM20" s="12"/>
      <c r="AN20" s="12" t="s">
        <v>115</v>
      </c>
      <c r="AP20" s="7">
        <v>640392</v>
      </c>
      <c r="AR20" s="7">
        <v>0</v>
      </c>
      <c r="AV20" s="7">
        <v>0</v>
      </c>
      <c r="AX20" s="7">
        <v>0</v>
      </c>
      <c r="AZ20" s="7">
        <v>0</v>
      </c>
      <c r="BB20" s="7">
        <f t="shared" si="2"/>
        <v>32698890</v>
      </c>
      <c r="BD20" s="7">
        <v>5515</v>
      </c>
      <c r="BF20" s="7">
        <v>0</v>
      </c>
      <c r="BH20" s="7">
        <v>0</v>
      </c>
      <c r="BJ20" s="7">
        <v>0</v>
      </c>
      <c r="BL20" s="7">
        <f t="shared" si="0"/>
        <v>32704405</v>
      </c>
      <c r="BN20" s="7">
        <f>+GenRev!AM20-GenExp!BL20</f>
        <v>1565206</v>
      </c>
      <c r="BP20" s="7">
        <v>3592359</v>
      </c>
      <c r="BR20" s="7">
        <v>-8110</v>
      </c>
      <c r="BT20" s="7">
        <v>0</v>
      </c>
      <c r="BV20" s="7">
        <f t="shared" si="1"/>
        <v>5165675</v>
      </c>
      <c r="BX20" s="8">
        <f>+BV20-'Gen Fd BS'!AE20+BT20</f>
        <v>0</v>
      </c>
      <c r="CB20" s="7" t="str">
        <f t="shared" si="3"/>
        <v>Anthony Wayne Local SD</v>
      </c>
      <c r="CC20" s="7" t="b">
        <f t="shared" si="4"/>
        <v>1</v>
      </c>
      <c r="CE20" s="12" t="str">
        <f>GenRev!A20</f>
        <v>Anthony Wayne Local SD</v>
      </c>
      <c r="CF20" s="7" t="b">
        <f t="shared" si="5"/>
        <v>1</v>
      </c>
      <c r="CG20" s="7" t="str">
        <f t="shared" si="6"/>
        <v>Lucas</v>
      </c>
      <c r="CH20" s="7" t="b">
        <f t="shared" si="7"/>
        <v>1</v>
      </c>
      <c r="CI20" s="7" t="b">
        <f>C20=GenRev!C20</f>
        <v>1</v>
      </c>
    </row>
    <row r="21" spans="1:87">
      <c r="A21" s="12" t="s">
        <v>343</v>
      </c>
      <c r="B21" s="12"/>
      <c r="C21" s="12" t="s">
        <v>33</v>
      </c>
      <c r="D21" s="12"/>
      <c r="E21" s="12">
        <v>47415</v>
      </c>
      <c r="G21" s="7">
        <v>2594935</v>
      </c>
      <c r="I21" s="7">
        <v>362981</v>
      </c>
      <c r="K21" s="7">
        <v>299246</v>
      </c>
      <c r="M21" s="7">
        <v>0</v>
      </c>
      <c r="O21" s="7">
        <v>0</v>
      </c>
      <c r="Q21" s="7">
        <v>111610</v>
      </c>
      <c r="S21" s="7">
        <v>185736</v>
      </c>
      <c r="U21" s="7">
        <v>36946</v>
      </c>
      <c r="W21" s="7">
        <v>600559</v>
      </c>
      <c r="Y21" s="7">
        <v>204626</v>
      </c>
      <c r="AA21" s="7">
        <v>0</v>
      </c>
      <c r="AC21" s="7">
        <v>325964</v>
      </c>
      <c r="AE21" s="7">
        <v>250868</v>
      </c>
      <c r="AG21" s="7">
        <v>1054</v>
      </c>
      <c r="AI21" s="7">
        <v>0</v>
      </c>
      <c r="AK21" s="7">
        <v>0</v>
      </c>
      <c r="AL21" s="12" t="s">
        <v>343</v>
      </c>
      <c r="AM21" s="12"/>
      <c r="AN21" s="12" t="s">
        <v>33</v>
      </c>
      <c r="AP21" s="7">
        <v>207969</v>
      </c>
      <c r="AR21" s="7">
        <v>13287</v>
      </c>
      <c r="AV21" s="7">
        <v>0</v>
      </c>
      <c r="AX21" s="7">
        <v>0</v>
      </c>
      <c r="AZ21" s="7">
        <v>0</v>
      </c>
      <c r="BB21" s="7">
        <f t="shared" si="2"/>
        <v>5195781</v>
      </c>
      <c r="BD21" s="7">
        <v>0</v>
      </c>
      <c r="BF21" s="7">
        <v>0</v>
      </c>
      <c r="BH21" s="7">
        <v>0</v>
      </c>
      <c r="BJ21" s="7">
        <v>0</v>
      </c>
      <c r="BL21" s="7">
        <f t="shared" si="0"/>
        <v>5195781</v>
      </c>
      <c r="BN21" s="7">
        <f>+GenRev!AM21-GenExp!BL21</f>
        <v>499099</v>
      </c>
      <c r="BP21" s="7">
        <v>2684394</v>
      </c>
      <c r="BR21" s="7">
        <v>0</v>
      </c>
      <c r="BT21" s="7">
        <v>0</v>
      </c>
      <c r="BV21" s="7">
        <f t="shared" si="1"/>
        <v>3183493</v>
      </c>
      <c r="BX21" s="8">
        <f>+BV21-'Gen Fd BS'!AE21+BT21</f>
        <v>0</v>
      </c>
      <c r="CB21" s="7" t="str">
        <f t="shared" si="3"/>
        <v>Arcadia Local SD</v>
      </c>
      <c r="CC21" s="7" t="b">
        <f t="shared" si="4"/>
        <v>1</v>
      </c>
      <c r="CE21" s="12" t="str">
        <f>GenRev!A21</f>
        <v>Arcadia Local SD</v>
      </c>
      <c r="CF21" s="7" t="b">
        <f t="shared" si="5"/>
        <v>1</v>
      </c>
      <c r="CG21" s="7" t="str">
        <f t="shared" si="6"/>
        <v>Hancock</v>
      </c>
      <c r="CH21" s="7" t="b">
        <f t="shared" si="7"/>
        <v>1</v>
      </c>
      <c r="CI21" s="7" t="b">
        <f>C21=GenRev!C21</f>
        <v>1</v>
      </c>
    </row>
    <row r="22" spans="1:87" hidden="1">
      <c r="A22" s="12" t="s">
        <v>702</v>
      </c>
      <c r="B22" s="12"/>
      <c r="C22" s="12" t="s">
        <v>21</v>
      </c>
      <c r="D22" s="12"/>
      <c r="E22" s="12">
        <v>46631</v>
      </c>
      <c r="AL22" s="12" t="s">
        <v>702</v>
      </c>
      <c r="AM22" s="12"/>
      <c r="AN22" s="12" t="s">
        <v>21</v>
      </c>
      <c r="BB22" s="7">
        <f t="shared" si="2"/>
        <v>0</v>
      </c>
      <c r="BF22" s="7">
        <v>0</v>
      </c>
      <c r="BH22" s="7">
        <v>0</v>
      </c>
      <c r="BL22" s="7">
        <f t="shared" si="0"/>
        <v>0</v>
      </c>
      <c r="BN22" s="7">
        <f>+GenRev!AM22-GenExp!BL22</f>
        <v>0</v>
      </c>
      <c r="BT22" s="7">
        <v>0</v>
      </c>
      <c r="BV22" s="7">
        <f t="shared" si="1"/>
        <v>0</v>
      </c>
      <c r="BX22" s="8">
        <f>+BV22-'Gen Fd BS'!AE22+BT22</f>
        <v>0</v>
      </c>
      <c r="CA22" s="7" t="s">
        <v>778</v>
      </c>
      <c r="CB22" s="7" t="str">
        <f t="shared" si="3"/>
        <v>Arcanum Butler Local SD (CASH)</v>
      </c>
      <c r="CC22" s="7" t="b">
        <f t="shared" si="4"/>
        <v>1</v>
      </c>
      <c r="CE22" s="12" t="str">
        <f>GenRev!A22</f>
        <v>Arcanum Butler Local SD (CASH)</v>
      </c>
      <c r="CF22" s="7" t="b">
        <f t="shared" si="5"/>
        <v>1</v>
      </c>
      <c r="CG22" s="7" t="str">
        <f t="shared" si="6"/>
        <v>Darke</v>
      </c>
      <c r="CH22" s="7" t="b">
        <f t="shared" si="7"/>
        <v>1</v>
      </c>
      <c r="CI22" s="7" t="b">
        <f>C22=GenRev!C22</f>
        <v>1</v>
      </c>
    </row>
    <row r="23" spans="1:87">
      <c r="A23" s="12" t="s">
        <v>318</v>
      </c>
      <c r="B23" s="12"/>
      <c r="C23" s="12" t="s">
        <v>28</v>
      </c>
      <c r="D23" s="12"/>
      <c r="E23" s="12">
        <v>47043</v>
      </c>
      <c r="G23" s="7">
        <v>6244279</v>
      </c>
      <c r="I23" s="7">
        <v>1021116</v>
      </c>
      <c r="K23" s="7">
        <v>181456</v>
      </c>
      <c r="M23" s="7">
        <v>6646</v>
      </c>
      <c r="O23" s="7">
        <v>36096</v>
      </c>
      <c r="Q23" s="7">
        <v>674779</v>
      </c>
      <c r="S23" s="7">
        <v>502782</v>
      </c>
      <c r="U23" s="7">
        <v>33224</v>
      </c>
      <c r="W23" s="7">
        <v>782324</v>
      </c>
      <c r="Y23" s="7">
        <v>344696</v>
      </c>
      <c r="AA23" s="7">
        <v>0</v>
      </c>
      <c r="AC23" s="7">
        <v>948881</v>
      </c>
      <c r="AE23" s="7">
        <v>461094</v>
      </c>
      <c r="AG23" s="7">
        <v>0</v>
      </c>
      <c r="AI23" s="7">
        <v>0</v>
      </c>
      <c r="AK23" s="7">
        <v>0</v>
      </c>
      <c r="AL23" s="12" t="s">
        <v>318</v>
      </c>
      <c r="AM23" s="12"/>
      <c r="AN23" s="12" t="s">
        <v>28</v>
      </c>
      <c r="AP23" s="7">
        <v>412874</v>
      </c>
      <c r="AR23" s="7">
        <v>6363</v>
      </c>
      <c r="AV23" s="7">
        <v>0</v>
      </c>
      <c r="AX23" s="7">
        <v>0</v>
      </c>
      <c r="AZ23" s="7">
        <v>0</v>
      </c>
      <c r="BB23" s="7">
        <f t="shared" si="2"/>
        <v>11656610</v>
      </c>
      <c r="BD23" s="7">
        <v>0</v>
      </c>
      <c r="BF23" s="7">
        <v>0</v>
      </c>
      <c r="BH23" s="7">
        <v>0</v>
      </c>
      <c r="BJ23" s="7">
        <v>0</v>
      </c>
      <c r="BL23" s="7">
        <f t="shared" si="0"/>
        <v>11656610</v>
      </c>
      <c r="BN23" s="7">
        <f>+GenRev!AM23-GenExp!BL23</f>
        <v>173827</v>
      </c>
      <c r="BP23" s="7">
        <v>3913678</v>
      </c>
      <c r="BR23" s="7">
        <v>0</v>
      </c>
      <c r="BT23" s="7">
        <v>0</v>
      </c>
      <c r="BV23" s="7">
        <f t="shared" si="1"/>
        <v>4087505</v>
      </c>
      <c r="BX23" s="8">
        <f>+BV23-'Gen Fd BS'!AE23+BT23</f>
        <v>0</v>
      </c>
      <c r="CB23" s="7" t="str">
        <f t="shared" si="3"/>
        <v>Archbold-Area Local SD</v>
      </c>
      <c r="CC23" s="7" t="b">
        <f t="shared" si="4"/>
        <v>1</v>
      </c>
      <c r="CE23" s="12" t="str">
        <f>GenRev!A23</f>
        <v>Archbold-Area Local SD</v>
      </c>
      <c r="CF23" s="7" t="b">
        <f t="shared" si="5"/>
        <v>1</v>
      </c>
      <c r="CG23" s="7" t="str">
        <f t="shared" si="6"/>
        <v>Fulton</v>
      </c>
      <c r="CH23" s="7" t="b">
        <f t="shared" si="7"/>
        <v>1</v>
      </c>
      <c r="CI23" s="7" t="b">
        <f>C23=GenRev!C23</f>
        <v>1</v>
      </c>
    </row>
    <row r="24" spans="1:87">
      <c r="A24" s="12" t="s">
        <v>344</v>
      </c>
      <c r="B24" s="12"/>
      <c r="C24" s="12" t="s">
        <v>33</v>
      </c>
      <c r="D24" s="12"/>
      <c r="E24" s="12">
        <v>47423</v>
      </c>
      <c r="G24" s="7">
        <v>2980013</v>
      </c>
      <c r="I24" s="7">
        <v>713110</v>
      </c>
      <c r="K24" s="7">
        <v>320477</v>
      </c>
      <c r="M24" s="7">
        <v>0</v>
      </c>
      <c r="O24" s="7">
        <v>0</v>
      </c>
      <c r="Q24" s="7">
        <v>165404</v>
      </c>
      <c r="S24" s="7">
        <v>353003</v>
      </c>
      <c r="U24" s="7">
        <v>32589</v>
      </c>
      <c r="W24" s="7">
        <v>492798</v>
      </c>
      <c r="Y24" s="7">
        <v>213317</v>
      </c>
      <c r="AA24" s="7">
        <v>0</v>
      </c>
      <c r="AC24" s="7">
        <v>385339</v>
      </c>
      <c r="AE24" s="7">
        <v>186574</v>
      </c>
      <c r="AG24" s="7">
        <v>683</v>
      </c>
      <c r="AI24" s="7">
        <v>0</v>
      </c>
      <c r="AK24" s="7">
        <v>0</v>
      </c>
      <c r="AL24" s="12" t="s">
        <v>344</v>
      </c>
      <c r="AM24" s="12"/>
      <c r="AN24" s="12" t="s">
        <v>33</v>
      </c>
      <c r="AP24" s="7">
        <v>183693</v>
      </c>
      <c r="AR24" s="7">
        <v>0</v>
      </c>
      <c r="AV24" s="7">
        <v>25000</v>
      </c>
      <c r="AX24" s="7">
        <v>8140</v>
      </c>
      <c r="AZ24" s="7">
        <v>0</v>
      </c>
      <c r="BB24" s="7">
        <f t="shared" si="2"/>
        <v>6060140</v>
      </c>
      <c r="BD24" s="7">
        <v>0</v>
      </c>
      <c r="BF24" s="7">
        <v>0</v>
      </c>
      <c r="BH24" s="7">
        <v>0</v>
      </c>
      <c r="BJ24" s="7">
        <v>0</v>
      </c>
      <c r="BL24" s="7">
        <f t="shared" si="0"/>
        <v>6060140</v>
      </c>
      <c r="BN24" s="7">
        <f>+GenRev!AM24-GenExp!BL24</f>
        <v>-397664</v>
      </c>
      <c r="BP24" s="7">
        <v>2451670</v>
      </c>
      <c r="BR24" s="7">
        <v>0</v>
      </c>
      <c r="BT24" s="7">
        <v>0</v>
      </c>
      <c r="BV24" s="7">
        <f t="shared" si="1"/>
        <v>2054006</v>
      </c>
      <c r="BX24" s="8">
        <f>+BV24-'Gen Fd BS'!AE24+BT24</f>
        <v>0</v>
      </c>
      <c r="CB24" s="7" t="str">
        <f t="shared" si="3"/>
        <v>Arlington Local SD</v>
      </c>
      <c r="CC24" s="7" t="b">
        <f t="shared" si="4"/>
        <v>1</v>
      </c>
      <c r="CE24" s="12" t="str">
        <f>GenRev!A24</f>
        <v>Arlington Local SD</v>
      </c>
      <c r="CF24" s="7" t="b">
        <f t="shared" si="5"/>
        <v>1</v>
      </c>
      <c r="CG24" s="7" t="str">
        <f t="shared" si="6"/>
        <v>Hancock</v>
      </c>
      <c r="CH24" s="7" t="b">
        <f t="shared" si="7"/>
        <v>1</v>
      </c>
      <c r="CI24" s="7" t="b">
        <f>C24=GenRev!C24</f>
        <v>1</v>
      </c>
    </row>
    <row r="25" spans="1:87">
      <c r="A25" s="12" t="s">
        <v>204</v>
      </c>
      <c r="B25" s="12"/>
      <c r="C25" s="12" t="s">
        <v>11</v>
      </c>
      <c r="D25" s="12"/>
      <c r="E25" s="12">
        <v>43505</v>
      </c>
      <c r="F25" s="10"/>
      <c r="G25" s="7">
        <v>14237580</v>
      </c>
      <c r="I25" s="7">
        <v>3469999</v>
      </c>
      <c r="K25" s="7">
        <v>960297</v>
      </c>
      <c r="M25" s="7">
        <v>16</v>
      </c>
      <c r="O25" s="7">
        <v>796151</v>
      </c>
      <c r="Q25" s="7">
        <v>1589768</v>
      </c>
      <c r="S25" s="7">
        <v>1208320</v>
      </c>
      <c r="U25" s="7">
        <v>111658</v>
      </c>
      <c r="W25" s="7">
        <v>2255518</v>
      </c>
      <c r="Y25" s="7">
        <v>740937</v>
      </c>
      <c r="AA25" s="7">
        <v>319150</v>
      </c>
      <c r="AC25" s="7">
        <v>2403402</v>
      </c>
      <c r="AE25" s="7">
        <v>1120241</v>
      </c>
      <c r="AG25" s="7">
        <v>267780</v>
      </c>
      <c r="AI25" s="7">
        <v>57664</v>
      </c>
      <c r="AK25" s="7">
        <v>0</v>
      </c>
      <c r="AL25" s="12" t="s">
        <v>204</v>
      </c>
      <c r="AM25" s="12"/>
      <c r="AN25" s="12" t="s">
        <v>11</v>
      </c>
      <c r="AP25" s="7">
        <v>685701</v>
      </c>
      <c r="AR25" s="7">
        <v>0</v>
      </c>
      <c r="AV25" s="7">
        <v>203014</v>
      </c>
      <c r="AX25" s="7">
        <v>59517</v>
      </c>
      <c r="AZ25" s="7">
        <v>0</v>
      </c>
      <c r="BB25" s="7">
        <f t="shared" si="2"/>
        <v>30486713</v>
      </c>
      <c r="BD25" s="7">
        <v>0</v>
      </c>
      <c r="BF25" s="7">
        <v>0</v>
      </c>
      <c r="BH25" s="7">
        <v>0</v>
      </c>
      <c r="BJ25" s="7">
        <v>0</v>
      </c>
      <c r="BL25" s="7">
        <f t="shared" si="0"/>
        <v>30486713</v>
      </c>
      <c r="BN25" s="7">
        <f>+GenRev!AM25-GenExp!BL25</f>
        <v>39747</v>
      </c>
      <c r="BP25" s="7">
        <v>8102529</v>
      </c>
      <c r="BR25" s="7">
        <v>0</v>
      </c>
      <c r="BT25" s="7">
        <v>0</v>
      </c>
      <c r="BV25" s="7">
        <f t="shared" si="1"/>
        <v>8142276</v>
      </c>
      <c r="BX25" s="8">
        <f>+BV25-'Gen Fd BS'!AE25+BT25</f>
        <v>0</v>
      </c>
      <c r="CB25" s="7" t="str">
        <f t="shared" si="3"/>
        <v>Ashland City SD</v>
      </c>
      <c r="CC25" s="7" t="b">
        <f t="shared" si="4"/>
        <v>1</v>
      </c>
      <c r="CE25" s="12" t="str">
        <f>GenRev!A25</f>
        <v>Ashland City SD</v>
      </c>
      <c r="CF25" s="7" t="b">
        <f t="shared" si="5"/>
        <v>1</v>
      </c>
      <c r="CG25" s="7" t="str">
        <f t="shared" si="6"/>
        <v>Ashland</v>
      </c>
      <c r="CH25" s="7" t="b">
        <f t="shared" si="7"/>
        <v>1</v>
      </c>
      <c r="CI25" s="7" t="b">
        <f>C25=GenRev!C25</f>
        <v>1</v>
      </c>
    </row>
    <row r="26" spans="1:87">
      <c r="A26" s="12" t="s">
        <v>701</v>
      </c>
      <c r="B26" s="12"/>
      <c r="C26" s="12" t="s">
        <v>12</v>
      </c>
      <c r="D26" s="12"/>
      <c r="E26" s="12">
        <v>43513</v>
      </c>
      <c r="F26" s="10"/>
      <c r="G26" s="7">
        <v>16762202</v>
      </c>
      <c r="I26" s="7">
        <v>4476328</v>
      </c>
      <c r="K26" s="7">
        <v>202683</v>
      </c>
      <c r="M26" s="7">
        <v>0</v>
      </c>
      <c r="O26" s="7">
        <v>847713</v>
      </c>
      <c r="Q26" s="7">
        <v>1722221</v>
      </c>
      <c r="S26" s="7">
        <v>1232212</v>
      </c>
      <c r="U26" s="7">
        <v>157322</v>
      </c>
      <c r="W26" s="7">
        <v>2171704</v>
      </c>
      <c r="Y26" s="7">
        <v>719227</v>
      </c>
      <c r="AA26" s="7">
        <v>540971</v>
      </c>
      <c r="AC26" s="7">
        <v>3694353</v>
      </c>
      <c r="AE26" s="7">
        <v>2163033</v>
      </c>
      <c r="AG26" s="7">
        <v>69372</v>
      </c>
      <c r="AI26" s="7">
        <v>0</v>
      </c>
      <c r="AK26" s="7">
        <v>0</v>
      </c>
      <c r="AL26" s="12" t="s">
        <v>701</v>
      </c>
      <c r="AM26" s="12"/>
      <c r="AN26" s="12" t="s">
        <v>12</v>
      </c>
      <c r="AP26" s="7">
        <v>389157</v>
      </c>
      <c r="AR26" s="7">
        <v>172</v>
      </c>
      <c r="AV26" s="7">
        <v>0</v>
      </c>
      <c r="AX26" s="7">
        <v>0</v>
      </c>
      <c r="AZ26" s="7">
        <v>0</v>
      </c>
      <c r="BB26" s="7">
        <f t="shared" si="2"/>
        <v>35148670</v>
      </c>
      <c r="BD26" s="7">
        <v>83560</v>
      </c>
      <c r="BF26" s="7">
        <v>0</v>
      </c>
      <c r="BH26" s="7">
        <v>0</v>
      </c>
      <c r="BJ26" s="7">
        <v>0</v>
      </c>
      <c r="BL26" s="7">
        <f t="shared" si="0"/>
        <v>35232230</v>
      </c>
      <c r="BN26" s="7">
        <f>+GenRev!AM26-GenExp!BL26</f>
        <v>300376</v>
      </c>
      <c r="BP26" s="7">
        <v>2084509</v>
      </c>
      <c r="BR26" s="7">
        <v>0</v>
      </c>
      <c r="BT26" s="7">
        <v>0</v>
      </c>
      <c r="BV26" s="7">
        <f t="shared" si="1"/>
        <v>2384885</v>
      </c>
      <c r="BX26" s="8">
        <f>+BV26-'Gen Fd BS'!AE26+BT26</f>
        <v>0</v>
      </c>
      <c r="CB26" s="7" t="str">
        <f t="shared" si="3"/>
        <v xml:space="preserve">Ashtabula Area City SD </v>
      </c>
      <c r="CC26" s="7" t="b">
        <f t="shared" si="4"/>
        <v>1</v>
      </c>
      <c r="CE26" s="12" t="str">
        <f>GenRev!A26</f>
        <v xml:space="preserve">Ashtabula Area City SD </v>
      </c>
      <c r="CF26" s="7" t="b">
        <f t="shared" si="5"/>
        <v>1</v>
      </c>
      <c r="CG26" s="7" t="str">
        <f t="shared" si="6"/>
        <v>Ashtabula</v>
      </c>
      <c r="CH26" s="7" t="b">
        <f t="shared" si="7"/>
        <v>1</v>
      </c>
      <c r="CI26" s="7" t="b">
        <f>C26=GenRev!C26</f>
        <v>1</v>
      </c>
    </row>
    <row r="27" spans="1:87">
      <c r="A27" s="12" t="s">
        <v>211</v>
      </c>
      <c r="B27" s="12"/>
      <c r="C27" s="12" t="s">
        <v>13</v>
      </c>
      <c r="D27" s="12"/>
      <c r="E27" s="12">
        <v>43521</v>
      </c>
      <c r="F27" s="10"/>
      <c r="G27" s="7">
        <v>13980840</v>
      </c>
      <c r="I27" s="7">
        <v>2224840</v>
      </c>
      <c r="K27" s="7">
        <v>506924</v>
      </c>
      <c r="M27" s="7">
        <v>0</v>
      </c>
      <c r="O27" s="7">
        <v>133998</v>
      </c>
      <c r="Q27" s="7">
        <v>1311805</v>
      </c>
      <c r="S27" s="7">
        <v>2274086</v>
      </c>
      <c r="U27" s="7">
        <v>122156</v>
      </c>
      <c r="W27" s="7">
        <v>1769396</v>
      </c>
      <c r="Y27" s="7">
        <v>582909</v>
      </c>
      <c r="AA27" s="7">
        <v>544321</v>
      </c>
      <c r="AC27" s="7">
        <v>3358017</v>
      </c>
      <c r="AE27" s="7">
        <v>1600805</v>
      </c>
      <c r="AG27" s="7">
        <v>108847</v>
      </c>
      <c r="AI27" s="7">
        <v>0</v>
      </c>
      <c r="AK27" s="7">
        <v>5299</v>
      </c>
      <c r="AL27" s="12" t="s">
        <v>211</v>
      </c>
      <c r="AM27" s="12"/>
      <c r="AN27" s="12" t="s">
        <v>13</v>
      </c>
      <c r="AP27" s="7">
        <v>407883</v>
      </c>
      <c r="AR27" s="7">
        <v>6044</v>
      </c>
      <c r="AV27" s="7">
        <v>0</v>
      </c>
      <c r="AX27" s="7">
        <v>0</v>
      </c>
      <c r="AZ27" s="7">
        <v>0</v>
      </c>
      <c r="BB27" s="7">
        <f t="shared" si="2"/>
        <v>28938170</v>
      </c>
      <c r="BD27" s="7">
        <v>74825</v>
      </c>
      <c r="BF27" s="7">
        <v>0</v>
      </c>
      <c r="BH27" s="7">
        <v>0</v>
      </c>
      <c r="BJ27" s="7">
        <v>0</v>
      </c>
      <c r="BL27" s="7">
        <f t="shared" si="0"/>
        <v>29012995</v>
      </c>
      <c r="BN27" s="7">
        <f>+GenRev!AM27-GenExp!BL27</f>
        <v>381587</v>
      </c>
      <c r="BP27" s="7">
        <v>7737620</v>
      </c>
      <c r="BR27" s="7">
        <v>0</v>
      </c>
      <c r="BT27" s="7">
        <v>0</v>
      </c>
      <c r="BV27" s="7">
        <f t="shared" si="1"/>
        <v>8119207</v>
      </c>
      <c r="BX27" s="8">
        <f>+BV27-'Gen Fd BS'!AE27+BT27</f>
        <v>0</v>
      </c>
      <c r="CB27" s="7" t="str">
        <f t="shared" si="3"/>
        <v>Athens City SD</v>
      </c>
      <c r="CC27" s="7" t="b">
        <f t="shared" si="4"/>
        <v>1</v>
      </c>
      <c r="CE27" s="12" t="str">
        <f>GenRev!A27</f>
        <v>Athens City SD</v>
      </c>
      <c r="CF27" s="7" t="b">
        <f t="shared" si="5"/>
        <v>1</v>
      </c>
      <c r="CG27" s="7" t="str">
        <f t="shared" si="6"/>
        <v>Athens</v>
      </c>
      <c r="CH27" s="7" t="b">
        <f t="shared" si="7"/>
        <v>1</v>
      </c>
      <c r="CI27" s="7" t="b">
        <f>C27=GenRev!C27</f>
        <v>1</v>
      </c>
    </row>
    <row r="28" spans="1:87">
      <c r="A28" s="12" t="s">
        <v>474</v>
      </c>
      <c r="B28" s="12"/>
      <c r="C28" s="12" t="s">
        <v>56</v>
      </c>
      <c r="D28" s="12"/>
      <c r="E28" s="12">
        <v>49171</v>
      </c>
      <c r="G28" s="7">
        <v>14315458</v>
      </c>
      <c r="I28" s="7">
        <v>2031689</v>
      </c>
      <c r="K28" s="7">
        <v>250341</v>
      </c>
      <c r="M28" s="7">
        <v>0</v>
      </c>
      <c r="O28" s="7">
        <v>1310914</v>
      </c>
      <c r="Q28" s="7">
        <v>1686066</v>
      </c>
      <c r="S28" s="7">
        <v>1994491</v>
      </c>
      <c r="U28" s="7">
        <v>223248</v>
      </c>
      <c r="W28" s="7">
        <v>2131618</v>
      </c>
      <c r="Y28" s="7">
        <v>791119</v>
      </c>
      <c r="AA28" s="7">
        <v>211577</v>
      </c>
      <c r="AC28" s="7">
        <v>2710534</v>
      </c>
      <c r="AE28" s="7">
        <v>1539558</v>
      </c>
      <c r="AG28" s="7">
        <v>121602</v>
      </c>
      <c r="AI28" s="7">
        <v>0</v>
      </c>
      <c r="AK28" s="7">
        <v>0</v>
      </c>
      <c r="AL28" s="12" t="s">
        <v>474</v>
      </c>
      <c r="AM28" s="12"/>
      <c r="AN28" s="12" t="s">
        <v>56</v>
      </c>
      <c r="AP28" s="7">
        <v>645468</v>
      </c>
      <c r="AR28" s="7">
        <v>152106</v>
      </c>
      <c r="AV28" s="7">
        <v>13725</v>
      </c>
      <c r="AX28" s="7">
        <v>400436</v>
      </c>
      <c r="AZ28" s="7">
        <v>0</v>
      </c>
      <c r="BB28" s="7">
        <f t="shared" si="2"/>
        <v>30529950</v>
      </c>
      <c r="BD28" s="7">
        <v>9227</v>
      </c>
      <c r="BF28" s="7">
        <v>0</v>
      </c>
      <c r="BH28" s="7">
        <v>0</v>
      </c>
      <c r="BJ28" s="7">
        <v>0</v>
      </c>
      <c r="BL28" s="7">
        <f t="shared" si="0"/>
        <v>30539177</v>
      </c>
      <c r="BN28" s="7">
        <f>+GenRev!AM28-GenExp!BL28</f>
        <v>-580933</v>
      </c>
      <c r="BP28" s="7">
        <v>3131529</v>
      </c>
      <c r="BR28" s="7">
        <v>0</v>
      </c>
      <c r="BT28" s="7">
        <v>0</v>
      </c>
      <c r="BV28" s="7">
        <f t="shared" si="1"/>
        <v>2550596</v>
      </c>
      <c r="BX28" s="8">
        <f>+BV28-'Gen Fd BS'!AE28+BT28</f>
        <v>0</v>
      </c>
      <c r="CB28" s="7" t="str">
        <f t="shared" si="3"/>
        <v>Aurora City SD</v>
      </c>
      <c r="CC28" s="7" t="b">
        <f t="shared" si="4"/>
        <v>1</v>
      </c>
      <c r="CE28" s="12" t="str">
        <f>GenRev!A28</f>
        <v>Aurora City SD</v>
      </c>
      <c r="CF28" s="7" t="b">
        <f t="shared" si="5"/>
        <v>1</v>
      </c>
      <c r="CG28" s="7" t="str">
        <f t="shared" si="6"/>
        <v>Portage</v>
      </c>
      <c r="CH28" s="7" t="b">
        <f t="shared" si="7"/>
        <v>1</v>
      </c>
      <c r="CI28" s="7" t="b">
        <f>C28=GenRev!C28</f>
        <v>1</v>
      </c>
    </row>
    <row r="29" spans="1:87">
      <c r="A29" s="12" t="s">
        <v>414</v>
      </c>
      <c r="B29" s="12"/>
      <c r="C29" s="12" t="s">
        <v>45</v>
      </c>
      <c r="D29" s="12"/>
      <c r="E29" s="12">
        <v>48298</v>
      </c>
      <c r="G29" s="7">
        <v>19265784</v>
      </c>
      <c r="I29" s="7">
        <v>4171805</v>
      </c>
      <c r="K29" s="7">
        <v>236402</v>
      </c>
      <c r="M29" s="7">
        <v>0</v>
      </c>
      <c r="O29" s="7">
        <v>1717864</v>
      </c>
      <c r="Q29" s="7">
        <v>2710428</v>
      </c>
      <c r="S29" s="7">
        <v>899132</v>
      </c>
      <c r="U29" s="7">
        <v>78862</v>
      </c>
      <c r="W29" s="7">
        <v>2047613</v>
      </c>
      <c r="Y29" s="7">
        <v>821790</v>
      </c>
      <c r="AA29" s="7">
        <v>66035</v>
      </c>
      <c r="AC29" s="7">
        <v>3814778</v>
      </c>
      <c r="AE29" s="7">
        <v>2424978</v>
      </c>
      <c r="AG29" s="7">
        <v>7278</v>
      </c>
      <c r="AI29" s="7">
        <v>0</v>
      </c>
      <c r="AK29" s="7">
        <v>5235</v>
      </c>
      <c r="AL29" s="12" t="s">
        <v>414</v>
      </c>
      <c r="AM29" s="12"/>
      <c r="AN29" s="12" t="s">
        <v>45</v>
      </c>
      <c r="AP29" s="7">
        <v>521748</v>
      </c>
      <c r="AR29" s="7">
        <v>81580</v>
      </c>
      <c r="AV29" s="7">
        <v>0</v>
      </c>
      <c r="AX29" s="7">
        <v>0</v>
      </c>
      <c r="AZ29" s="7">
        <v>0</v>
      </c>
      <c r="BB29" s="7">
        <f t="shared" si="2"/>
        <v>38871312</v>
      </c>
      <c r="BD29" s="7">
        <v>649744</v>
      </c>
      <c r="BF29" s="7">
        <v>0</v>
      </c>
      <c r="BH29" s="7">
        <v>0</v>
      </c>
      <c r="BJ29" s="7">
        <v>0</v>
      </c>
      <c r="BL29" s="7">
        <f t="shared" si="0"/>
        <v>39521056</v>
      </c>
      <c r="BN29" s="7">
        <f>+GenRev!AM29-GenExp!BL29</f>
        <v>70365</v>
      </c>
      <c r="BP29" s="7">
        <v>576259</v>
      </c>
      <c r="BR29" s="7">
        <v>0</v>
      </c>
      <c r="BT29" s="7">
        <v>0</v>
      </c>
      <c r="BV29" s="7">
        <f t="shared" si="1"/>
        <v>646624</v>
      </c>
      <c r="BX29" s="8">
        <f>+BV29-'Gen Fd BS'!AE29+BT29</f>
        <v>0</v>
      </c>
      <c r="CB29" s="7" t="str">
        <f t="shared" si="3"/>
        <v>Austintown Local SD</v>
      </c>
      <c r="CC29" s="7" t="b">
        <f t="shared" si="4"/>
        <v>1</v>
      </c>
      <c r="CE29" s="12" t="str">
        <f>GenRev!A29</f>
        <v>Austintown Local SD</v>
      </c>
      <c r="CF29" s="7" t="b">
        <f t="shared" si="5"/>
        <v>1</v>
      </c>
      <c r="CG29" s="7" t="str">
        <f t="shared" si="6"/>
        <v>Mahoning</v>
      </c>
      <c r="CH29" s="7" t="b">
        <f t="shared" si="7"/>
        <v>1</v>
      </c>
      <c r="CI29" s="7" t="b">
        <f>C29=GenRev!C29</f>
        <v>1</v>
      </c>
    </row>
    <row r="30" spans="1:87">
      <c r="A30" s="12" t="s">
        <v>392</v>
      </c>
      <c r="B30" s="12"/>
      <c r="C30" s="12" t="s">
        <v>44</v>
      </c>
      <c r="D30" s="12"/>
      <c r="E30" s="12">
        <v>48124</v>
      </c>
      <c r="G30" s="7">
        <v>18581106</v>
      </c>
      <c r="I30" s="7">
        <v>2630989</v>
      </c>
      <c r="K30" s="7">
        <v>211155</v>
      </c>
      <c r="M30" s="7">
        <v>24489</v>
      </c>
      <c r="O30" s="7">
        <v>1398165</v>
      </c>
      <c r="Q30" s="7">
        <v>3289510</v>
      </c>
      <c r="S30" s="7">
        <v>916050</v>
      </c>
      <c r="U30" s="7">
        <v>19264</v>
      </c>
      <c r="W30" s="7">
        <v>2916876</v>
      </c>
      <c r="Y30" s="7">
        <v>1017739</v>
      </c>
      <c r="AA30" s="7">
        <v>140589</v>
      </c>
      <c r="AC30" s="7">
        <v>4570277</v>
      </c>
      <c r="AE30" s="7">
        <v>1576223</v>
      </c>
      <c r="AG30" s="7">
        <v>157743</v>
      </c>
      <c r="AI30" s="7">
        <v>0</v>
      </c>
      <c r="AK30" s="7">
        <v>13601</v>
      </c>
      <c r="AL30" s="12" t="s">
        <v>392</v>
      </c>
      <c r="AM30" s="12"/>
      <c r="AN30" s="12" t="s">
        <v>44</v>
      </c>
      <c r="AP30" s="7">
        <v>1042733</v>
      </c>
      <c r="AR30" s="7">
        <v>0</v>
      </c>
      <c r="AV30" s="7">
        <v>229699</v>
      </c>
      <c r="AX30" s="7">
        <v>11943</v>
      </c>
      <c r="AZ30" s="7">
        <v>0</v>
      </c>
      <c r="BB30" s="7">
        <f t="shared" si="2"/>
        <v>38748151</v>
      </c>
      <c r="BD30" s="7">
        <v>13545</v>
      </c>
      <c r="BF30" s="7">
        <v>0</v>
      </c>
      <c r="BH30" s="7">
        <v>0</v>
      </c>
      <c r="BJ30" s="7">
        <v>0</v>
      </c>
      <c r="BL30" s="7">
        <f t="shared" si="0"/>
        <v>38761696</v>
      </c>
      <c r="BN30" s="7">
        <f>+GenRev!AM30-GenExp!BL30</f>
        <v>-1785355</v>
      </c>
      <c r="BP30" s="7">
        <v>14342129</v>
      </c>
      <c r="BR30" s="7">
        <v>0</v>
      </c>
      <c r="BT30" s="7">
        <v>0</v>
      </c>
      <c r="BV30" s="7">
        <f t="shared" si="1"/>
        <v>12556774</v>
      </c>
      <c r="BX30" s="8">
        <f>+BV30-'Gen Fd BS'!AE30+BT30</f>
        <v>0</v>
      </c>
      <c r="CB30" s="7" t="str">
        <f t="shared" si="3"/>
        <v>Avon Lake City SD</v>
      </c>
      <c r="CC30" s="7" t="b">
        <f t="shared" si="4"/>
        <v>1</v>
      </c>
      <c r="CE30" s="12" t="str">
        <f>GenRev!A30</f>
        <v>Avon Lake City SD</v>
      </c>
      <c r="CF30" s="7" t="b">
        <f t="shared" si="5"/>
        <v>1</v>
      </c>
      <c r="CG30" s="7" t="str">
        <f t="shared" si="6"/>
        <v>Lorain</v>
      </c>
      <c r="CH30" s="7" t="b">
        <f t="shared" si="7"/>
        <v>1</v>
      </c>
      <c r="CI30" s="7" t="b">
        <f>C30=GenRev!C30</f>
        <v>1</v>
      </c>
    </row>
    <row r="31" spans="1:87">
      <c r="A31" s="12" t="s">
        <v>393</v>
      </c>
      <c r="B31" s="12"/>
      <c r="C31" s="12" t="s">
        <v>44</v>
      </c>
      <c r="D31" s="12"/>
      <c r="E31" s="12">
        <v>48116</v>
      </c>
      <c r="G31" s="7">
        <v>13258492</v>
      </c>
      <c r="I31" s="7">
        <v>3055497</v>
      </c>
      <c r="K31" s="7">
        <v>170072</v>
      </c>
      <c r="M31" s="7">
        <v>0</v>
      </c>
      <c r="O31" s="7">
        <v>659525</v>
      </c>
      <c r="Q31" s="7">
        <v>950304</v>
      </c>
      <c r="S31" s="7">
        <v>1633662</v>
      </c>
      <c r="U31" s="7">
        <v>176409</v>
      </c>
      <c r="W31" s="7">
        <v>1855642</v>
      </c>
      <c r="Y31" s="7">
        <v>754501</v>
      </c>
      <c r="AA31" s="7">
        <v>16854</v>
      </c>
      <c r="AC31" s="7">
        <v>2285042</v>
      </c>
      <c r="AE31" s="7">
        <v>1538061</v>
      </c>
      <c r="AG31" s="7">
        <v>255750</v>
      </c>
      <c r="AI31" s="7">
        <v>0</v>
      </c>
      <c r="AK31" s="7">
        <v>0</v>
      </c>
      <c r="AL31" s="12" t="s">
        <v>393</v>
      </c>
      <c r="AM31" s="12"/>
      <c r="AN31" s="12" t="s">
        <v>44</v>
      </c>
      <c r="AP31" s="7">
        <v>615228</v>
      </c>
      <c r="AR31" s="7">
        <v>0</v>
      </c>
      <c r="AV31" s="7">
        <v>50000</v>
      </c>
      <c r="AX31" s="7">
        <v>8400</v>
      </c>
      <c r="AZ31" s="7">
        <v>0</v>
      </c>
      <c r="BB31" s="7">
        <f t="shared" si="2"/>
        <v>27283439</v>
      </c>
      <c r="BD31" s="7">
        <v>0</v>
      </c>
      <c r="BF31" s="7">
        <v>0</v>
      </c>
      <c r="BH31" s="7">
        <v>0</v>
      </c>
      <c r="BJ31" s="7">
        <v>0</v>
      </c>
      <c r="BL31" s="7">
        <f t="shared" si="0"/>
        <v>27283439</v>
      </c>
      <c r="BN31" s="7">
        <f>+GenRev!AM31-GenExp!BL31</f>
        <v>4377628</v>
      </c>
      <c r="BP31" s="7">
        <v>2893296</v>
      </c>
      <c r="BR31" s="7">
        <v>0</v>
      </c>
      <c r="BT31" s="7">
        <v>0</v>
      </c>
      <c r="BV31" s="7">
        <f t="shared" si="1"/>
        <v>7270924</v>
      </c>
      <c r="BX31" s="8">
        <f>+BV31-'Gen Fd BS'!AE31+BT31</f>
        <v>0</v>
      </c>
      <c r="CB31" s="7" t="str">
        <f t="shared" si="3"/>
        <v>Avon Local SD</v>
      </c>
      <c r="CC31" s="7" t="b">
        <f t="shared" si="4"/>
        <v>1</v>
      </c>
      <c r="CE31" s="12" t="str">
        <f>GenRev!A31</f>
        <v>Avon Local SD</v>
      </c>
      <c r="CF31" s="7" t="b">
        <f t="shared" si="5"/>
        <v>1</v>
      </c>
      <c r="CG31" s="7" t="str">
        <f t="shared" si="6"/>
        <v>Lorain</v>
      </c>
      <c r="CH31" s="7" t="b">
        <f t="shared" si="7"/>
        <v>1</v>
      </c>
      <c r="CI31" s="7" t="b">
        <f>C31=GenRev!C31</f>
        <v>1</v>
      </c>
    </row>
    <row r="32" spans="1:87">
      <c r="A32" s="12" t="s">
        <v>289</v>
      </c>
      <c r="B32" s="12"/>
      <c r="C32" s="12" t="s">
        <v>22</v>
      </c>
      <c r="D32" s="12"/>
      <c r="E32" s="12">
        <v>46706</v>
      </c>
      <c r="G32" s="7">
        <v>3664052</v>
      </c>
      <c r="I32" s="7">
        <v>412567</v>
      </c>
      <c r="K32" s="7">
        <v>55832</v>
      </c>
      <c r="M32" s="7">
        <v>0</v>
      </c>
      <c r="O32" s="7">
        <v>294144</v>
      </c>
      <c r="Q32" s="7">
        <v>343584</v>
      </c>
      <c r="S32" s="7">
        <v>279058</v>
      </c>
      <c r="U32" s="7">
        <v>28123</v>
      </c>
      <c r="W32" s="7">
        <v>606621</v>
      </c>
      <c r="Y32" s="7">
        <v>287971</v>
      </c>
      <c r="AA32" s="7">
        <v>0</v>
      </c>
      <c r="AC32" s="7">
        <v>473572</v>
      </c>
      <c r="AE32" s="7">
        <v>228286</v>
      </c>
      <c r="AG32" s="7">
        <v>7812</v>
      </c>
      <c r="AI32" s="7">
        <v>60</v>
      </c>
      <c r="AK32" s="7">
        <v>10606</v>
      </c>
      <c r="AL32" s="12" t="s">
        <v>289</v>
      </c>
      <c r="AM32" s="12"/>
      <c r="AN32" s="12" t="s">
        <v>22</v>
      </c>
      <c r="AP32" s="7">
        <v>322690</v>
      </c>
      <c r="AR32" s="7">
        <v>159401</v>
      </c>
      <c r="AV32" s="7">
        <v>98138</v>
      </c>
      <c r="AX32" s="7">
        <v>6580</v>
      </c>
      <c r="AZ32" s="7">
        <v>0</v>
      </c>
      <c r="BB32" s="7">
        <f t="shared" si="2"/>
        <v>7279097</v>
      </c>
      <c r="BD32" s="7">
        <v>77362</v>
      </c>
      <c r="BF32" s="7">
        <v>0</v>
      </c>
      <c r="BH32" s="7">
        <v>0</v>
      </c>
      <c r="BJ32" s="7">
        <v>0</v>
      </c>
      <c r="BL32" s="7">
        <f t="shared" si="0"/>
        <v>7356459</v>
      </c>
      <c r="BN32" s="7">
        <f>+GenRev!AM32-GenExp!BL32</f>
        <v>326766</v>
      </c>
      <c r="BP32" s="7">
        <v>2950235</v>
      </c>
      <c r="BR32" s="7">
        <v>-510</v>
      </c>
      <c r="BT32" s="7">
        <v>0</v>
      </c>
      <c r="BV32" s="7">
        <f t="shared" si="1"/>
        <v>3277511</v>
      </c>
      <c r="BX32" s="8">
        <f>+BV32-'Gen Fd BS'!AE32+BT32</f>
        <v>0</v>
      </c>
      <c r="CB32" s="7" t="str">
        <f t="shared" si="3"/>
        <v>Ayersville Local SD</v>
      </c>
      <c r="CC32" s="7" t="b">
        <f t="shared" si="4"/>
        <v>1</v>
      </c>
      <c r="CE32" s="12" t="str">
        <f>GenRev!A32</f>
        <v>Ayersville Local SD</v>
      </c>
      <c r="CF32" s="7" t="b">
        <f t="shared" si="5"/>
        <v>1</v>
      </c>
      <c r="CG32" s="7" t="str">
        <f t="shared" si="6"/>
        <v>Defiance</v>
      </c>
      <c r="CH32" s="7" t="b">
        <f t="shared" si="7"/>
        <v>1</v>
      </c>
      <c r="CI32" s="7" t="b">
        <f>C32=GenRev!C32</f>
        <v>1</v>
      </c>
    </row>
    <row r="33" spans="1:87">
      <c r="A33" s="12" t="s">
        <v>523</v>
      </c>
      <c r="B33" s="12"/>
      <c r="C33" s="12" t="s">
        <v>63</v>
      </c>
      <c r="D33" s="12"/>
      <c r="E33" s="12">
        <v>43539</v>
      </c>
      <c r="G33" s="7">
        <v>15813135</v>
      </c>
      <c r="I33" s="7">
        <v>3016763</v>
      </c>
      <c r="K33" s="7">
        <v>1324904</v>
      </c>
      <c r="M33" s="7">
        <v>0</v>
      </c>
      <c r="O33" s="7">
        <v>4464141</v>
      </c>
      <c r="Q33" s="7">
        <v>1955224</v>
      </c>
      <c r="S33" s="7">
        <v>1170060</v>
      </c>
      <c r="U33" s="7">
        <v>29089</v>
      </c>
      <c r="W33" s="7">
        <v>3270409</v>
      </c>
      <c r="Y33" s="7">
        <v>622849</v>
      </c>
      <c r="AA33" s="7">
        <v>379753</v>
      </c>
      <c r="AC33" s="7">
        <v>3714113</v>
      </c>
      <c r="AE33" s="7">
        <v>1135046</v>
      </c>
      <c r="AG33" s="7">
        <v>98506</v>
      </c>
      <c r="AI33" s="7">
        <v>0</v>
      </c>
      <c r="AK33" s="7">
        <v>132205</v>
      </c>
      <c r="AL33" s="12" t="s">
        <v>523</v>
      </c>
      <c r="AM33" s="12"/>
      <c r="AN33" s="12" t="s">
        <v>63</v>
      </c>
      <c r="AP33" s="7">
        <v>1185417</v>
      </c>
      <c r="AR33" s="7">
        <v>40236</v>
      </c>
      <c r="AT33" s="7">
        <v>0</v>
      </c>
      <c r="AV33" s="7">
        <v>0</v>
      </c>
      <c r="AX33" s="7">
        <v>11147</v>
      </c>
      <c r="AZ33" s="7">
        <v>0</v>
      </c>
      <c r="BB33" s="7">
        <f t="shared" si="2"/>
        <v>38362997</v>
      </c>
      <c r="BD33" s="7">
        <v>55780</v>
      </c>
      <c r="BF33" s="7">
        <v>0</v>
      </c>
      <c r="BH33" s="7">
        <v>0</v>
      </c>
      <c r="BJ33" s="7">
        <v>0</v>
      </c>
      <c r="BL33" s="7">
        <f t="shared" si="0"/>
        <v>38418777</v>
      </c>
      <c r="BN33" s="7">
        <f>+GenRev!AM33-GenExp!BL33</f>
        <v>-1669849</v>
      </c>
      <c r="BP33" s="7">
        <v>5860858</v>
      </c>
      <c r="BR33" s="7">
        <v>0</v>
      </c>
      <c r="BT33" s="7">
        <v>0</v>
      </c>
      <c r="BV33" s="7">
        <f t="shared" si="1"/>
        <v>4191009</v>
      </c>
      <c r="BX33" s="8">
        <f>+BV33-'Gen Fd BS'!AE33+BT33</f>
        <v>0</v>
      </c>
      <c r="CB33" s="7" t="str">
        <f t="shared" si="3"/>
        <v>Barberton City SD</v>
      </c>
      <c r="CC33" s="7" t="b">
        <f t="shared" si="4"/>
        <v>1</v>
      </c>
      <c r="CE33" s="12" t="str">
        <f>GenRev!A33</f>
        <v>Barberton City SD</v>
      </c>
      <c r="CF33" s="7" t="b">
        <f t="shared" si="5"/>
        <v>1</v>
      </c>
      <c r="CG33" s="7" t="str">
        <f t="shared" si="6"/>
        <v>Summit</v>
      </c>
      <c r="CH33" s="7" t="b">
        <f t="shared" si="7"/>
        <v>1</v>
      </c>
      <c r="CI33" s="7" t="b">
        <f>C33=GenRev!C33</f>
        <v>1</v>
      </c>
    </row>
    <row r="34" spans="1:87">
      <c r="A34" s="12" t="s">
        <v>859</v>
      </c>
      <c r="B34" s="12"/>
      <c r="C34" s="12" t="s">
        <v>15</v>
      </c>
      <c r="D34" s="12"/>
      <c r="E34" s="12"/>
      <c r="G34" s="7">
        <v>2828232</v>
      </c>
      <c r="I34" s="7">
        <v>759443</v>
      </c>
      <c r="K34" s="7">
        <v>155924</v>
      </c>
      <c r="M34" s="7">
        <v>0</v>
      </c>
      <c r="O34" s="7">
        <v>38219</v>
      </c>
      <c r="Q34" s="7">
        <v>341948</v>
      </c>
      <c r="S34" s="7">
        <v>108532</v>
      </c>
      <c r="U34" s="7">
        <v>146752</v>
      </c>
      <c r="W34" s="7">
        <v>561418</v>
      </c>
      <c r="Y34" s="7">
        <v>367696</v>
      </c>
      <c r="AA34" s="7">
        <v>38576</v>
      </c>
      <c r="AC34" s="7">
        <v>1072089</v>
      </c>
      <c r="AE34" s="7">
        <v>505642</v>
      </c>
      <c r="AG34" s="7">
        <v>164736</v>
      </c>
      <c r="AI34" s="7">
        <v>0</v>
      </c>
      <c r="AK34" s="7">
        <v>5180</v>
      </c>
      <c r="AL34" s="12" t="s">
        <v>859</v>
      </c>
      <c r="AM34" s="12"/>
      <c r="AN34" s="12" t="s">
        <v>15</v>
      </c>
      <c r="AP34" s="7">
        <v>96867</v>
      </c>
      <c r="AR34" s="7">
        <v>7728</v>
      </c>
      <c r="AT34" s="7">
        <v>0</v>
      </c>
      <c r="AV34" s="7">
        <v>65540</v>
      </c>
      <c r="AX34" s="7">
        <v>15841</v>
      </c>
      <c r="AZ34" s="7">
        <v>0</v>
      </c>
      <c r="BB34" s="7">
        <f t="shared" si="2"/>
        <v>7280363</v>
      </c>
      <c r="BD34" s="7">
        <v>1889541</v>
      </c>
      <c r="BF34" s="7">
        <v>0</v>
      </c>
      <c r="BH34" s="7">
        <v>0</v>
      </c>
      <c r="BJ34" s="7">
        <v>0</v>
      </c>
      <c r="BL34" s="7">
        <f t="shared" si="0"/>
        <v>9169904</v>
      </c>
      <c r="BN34" s="7">
        <f>+GenRev!AM34-GenExp!BL34</f>
        <v>38883</v>
      </c>
      <c r="BP34" s="7">
        <v>2045693</v>
      </c>
      <c r="BR34" s="7">
        <v>0</v>
      </c>
      <c r="BT34" s="7">
        <v>0</v>
      </c>
      <c r="BV34" s="7">
        <f t="shared" si="1"/>
        <v>2084576</v>
      </c>
      <c r="BX34" s="8">
        <f>+BV34-'Gen Fd BS'!AE34+BT34</f>
        <v>0</v>
      </c>
      <c r="CB34" s="7" t="str">
        <f t="shared" si="3"/>
        <v>Barnesville Exempted Village SD</v>
      </c>
      <c r="CC34" s="7" t="b">
        <f t="shared" si="4"/>
        <v>1</v>
      </c>
      <c r="CE34" s="12" t="str">
        <f>GenRev!A34</f>
        <v>Barnesville Exempted Village SD</v>
      </c>
      <c r="CF34" s="7" t="b">
        <f t="shared" si="5"/>
        <v>1</v>
      </c>
      <c r="CG34" s="7" t="str">
        <f t="shared" si="6"/>
        <v>Belmont</v>
      </c>
      <c r="CH34" s="7" t="b">
        <f t="shared" si="7"/>
        <v>1</v>
      </c>
      <c r="CI34" s="7" t="b">
        <f>C34=GenRev!C34</f>
        <v>1</v>
      </c>
    </row>
    <row r="35" spans="1:87">
      <c r="A35" s="12" t="s">
        <v>242</v>
      </c>
      <c r="B35" s="12"/>
      <c r="C35" s="12" t="s">
        <v>113</v>
      </c>
      <c r="D35" s="12"/>
      <c r="E35" s="12">
        <v>46300</v>
      </c>
      <c r="F35" s="10"/>
      <c r="G35" s="7">
        <v>7346079</v>
      </c>
      <c r="I35" s="7">
        <v>3503249</v>
      </c>
      <c r="K35" s="7">
        <v>0</v>
      </c>
      <c r="M35" s="7">
        <v>0</v>
      </c>
      <c r="O35" s="7">
        <v>92956</v>
      </c>
      <c r="Q35" s="7">
        <v>575959</v>
      </c>
      <c r="S35" s="7">
        <v>403778</v>
      </c>
      <c r="U35" s="7">
        <v>149184</v>
      </c>
      <c r="W35" s="7">
        <v>1337848</v>
      </c>
      <c r="Y35" s="7">
        <v>502602</v>
      </c>
      <c r="AA35" s="7">
        <v>0</v>
      </c>
      <c r="AC35" s="7">
        <v>1278109</v>
      </c>
      <c r="AE35" s="7">
        <v>1364192</v>
      </c>
      <c r="AG35" s="7">
        <v>8134</v>
      </c>
      <c r="AI35" s="7">
        <v>0</v>
      </c>
      <c r="AK35" s="7">
        <v>0</v>
      </c>
      <c r="AL35" s="12" t="s">
        <v>242</v>
      </c>
      <c r="AM35" s="12"/>
      <c r="AN35" s="12" t="s">
        <v>113</v>
      </c>
      <c r="AP35" s="7">
        <v>313967</v>
      </c>
      <c r="AR35" s="7">
        <v>67815</v>
      </c>
      <c r="AT35" s="7">
        <v>0</v>
      </c>
      <c r="AV35" s="7">
        <v>60000</v>
      </c>
      <c r="AX35" s="7">
        <v>10250</v>
      </c>
      <c r="AZ35" s="7">
        <v>0</v>
      </c>
      <c r="BB35" s="7">
        <f t="shared" si="2"/>
        <v>17014122</v>
      </c>
      <c r="BD35" s="7">
        <v>62860</v>
      </c>
      <c r="BF35" s="7">
        <v>0</v>
      </c>
      <c r="BH35" s="7">
        <v>0</v>
      </c>
      <c r="BJ35" s="7">
        <v>0</v>
      </c>
      <c r="BL35" s="7">
        <f t="shared" si="0"/>
        <v>17076982</v>
      </c>
      <c r="BN35" s="7">
        <f>+GenRev!AM35-GenExp!BL35</f>
        <v>348748</v>
      </c>
      <c r="BP35" s="7">
        <v>206409</v>
      </c>
      <c r="BR35" s="7">
        <v>0</v>
      </c>
      <c r="BT35" s="7">
        <v>0</v>
      </c>
      <c r="BV35" s="7">
        <f t="shared" si="1"/>
        <v>555157</v>
      </c>
      <c r="BX35" s="8">
        <f>+BV35-'Gen Fd BS'!AE35+BT35</f>
        <v>0</v>
      </c>
      <c r="CB35" s="7" t="str">
        <f t="shared" si="3"/>
        <v>Batavia Local SD</v>
      </c>
      <c r="CC35" s="7" t="b">
        <f t="shared" si="4"/>
        <v>1</v>
      </c>
      <c r="CE35" s="12" t="str">
        <f>GenRev!A35</f>
        <v>Batavia Local SD</v>
      </c>
      <c r="CF35" s="7" t="b">
        <f t="shared" si="5"/>
        <v>1</v>
      </c>
      <c r="CG35" s="7" t="str">
        <f t="shared" si="6"/>
        <v>Clermont</v>
      </c>
      <c r="CH35" s="7" t="b">
        <f t="shared" si="7"/>
        <v>1</v>
      </c>
      <c r="CI35" s="7" t="b">
        <f>C35=GenRev!C35</f>
        <v>1</v>
      </c>
    </row>
    <row r="36" spans="1:87" hidden="1">
      <c r="A36" s="12" t="s">
        <v>703</v>
      </c>
      <c r="B36" s="12"/>
      <c r="C36" s="12" t="s">
        <v>10</v>
      </c>
      <c r="D36" s="12"/>
      <c r="E36" s="12">
        <v>45765</v>
      </c>
      <c r="F36" s="10"/>
      <c r="AL36" s="12" t="s">
        <v>703</v>
      </c>
      <c r="AM36" s="12"/>
      <c r="AN36" s="12" t="s">
        <v>10</v>
      </c>
      <c r="BB36" s="7">
        <f t="shared" si="2"/>
        <v>0</v>
      </c>
      <c r="BF36" s="7">
        <v>0</v>
      </c>
      <c r="BH36" s="7">
        <v>0</v>
      </c>
      <c r="BL36" s="7">
        <f t="shared" si="0"/>
        <v>0</v>
      </c>
      <c r="BN36" s="7">
        <f>+GenRev!AM36-GenExp!BL36</f>
        <v>0</v>
      </c>
      <c r="BT36" s="7">
        <v>0</v>
      </c>
      <c r="BV36" s="7">
        <f t="shared" si="1"/>
        <v>0</v>
      </c>
      <c r="BX36" s="8">
        <f>+BV36-'Gen Fd BS'!AE36+BT36</f>
        <v>0</v>
      </c>
      <c r="CA36" s="7" t="s">
        <v>778</v>
      </c>
      <c r="CB36" s="7" t="str">
        <f t="shared" si="3"/>
        <v>Bath Local SD (CASH)</v>
      </c>
      <c r="CC36" s="7" t="b">
        <f t="shared" si="4"/>
        <v>1</v>
      </c>
      <c r="CE36" s="12" t="str">
        <f>GenRev!A36</f>
        <v>Bath Local SD (CASH)</v>
      </c>
      <c r="CF36" s="7" t="b">
        <f t="shared" si="5"/>
        <v>1</v>
      </c>
      <c r="CG36" s="7" t="str">
        <f t="shared" si="6"/>
        <v>Allen</v>
      </c>
      <c r="CH36" s="7" t="b">
        <f t="shared" si="7"/>
        <v>1</v>
      </c>
      <c r="CI36" s="7" t="b">
        <f>C36=GenRev!C36</f>
        <v>1</v>
      </c>
    </row>
    <row r="37" spans="1:87">
      <c r="A37" s="12" t="s">
        <v>661</v>
      </c>
      <c r="B37" s="12"/>
      <c r="C37" s="12" t="s">
        <v>20</v>
      </c>
      <c r="D37" s="12"/>
      <c r="E37" s="12">
        <v>43547</v>
      </c>
      <c r="G37" s="7">
        <v>12881960</v>
      </c>
      <c r="I37" s="7">
        <v>2063680</v>
      </c>
      <c r="K37" s="7">
        <v>334886</v>
      </c>
      <c r="M37" s="7">
        <v>0</v>
      </c>
      <c r="O37" s="7">
        <v>864712</v>
      </c>
      <c r="Q37" s="7">
        <v>2287538</v>
      </c>
      <c r="S37" s="7">
        <v>880712</v>
      </c>
      <c r="U37" s="7">
        <v>27524</v>
      </c>
      <c r="W37" s="7">
        <v>2051349</v>
      </c>
      <c r="Y37" s="7">
        <v>685862</v>
      </c>
      <c r="AA37" s="7">
        <v>384707</v>
      </c>
      <c r="AC37" s="7">
        <v>2745279</v>
      </c>
      <c r="AE37" s="7">
        <v>1006387</v>
      </c>
      <c r="AG37" s="7">
        <v>450544</v>
      </c>
      <c r="AI37" s="7">
        <v>0</v>
      </c>
      <c r="AK37" s="7">
        <f>64619+846609</f>
        <v>911228</v>
      </c>
      <c r="AL37" s="12" t="s">
        <v>661</v>
      </c>
      <c r="AM37" s="12"/>
      <c r="AN37" s="12" t="s">
        <v>20</v>
      </c>
      <c r="AP37" s="7">
        <f>294073+624127</f>
        <v>918200</v>
      </c>
      <c r="AR37" s="7">
        <v>201527</v>
      </c>
      <c r="AT37" s="7">
        <v>0</v>
      </c>
      <c r="AV37" s="7">
        <v>100000</v>
      </c>
      <c r="AX37" s="7">
        <v>88950</v>
      </c>
      <c r="AZ37" s="7">
        <v>0</v>
      </c>
      <c r="BB37" s="7">
        <f t="shared" si="2"/>
        <v>28885045</v>
      </c>
      <c r="BD37" s="7">
        <v>92231</v>
      </c>
      <c r="BF37" s="7">
        <v>0</v>
      </c>
      <c r="BH37" s="7">
        <v>0</v>
      </c>
      <c r="BJ37" s="7">
        <v>0</v>
      </c>
      <c r="BL37" s="7">
        <f t="shared" si="0"/>
        <v>28977276</v>
      </c>
      <c r="BN37" s="7">
        <f>+GenRev!AM37-GenExp!BL37</f>
        <v>1534064</v>
      </c>
      <c r="BP37" s="7">
        <v>5100299</v>
      </c>
      <c r="BR37" s="7">
        <v>0</v>
      </c>
      <c r="BT37" s="7">
        <v>0</v>
      </c>
      <c r="BV37" s="7">
        <f t="shared" si="1"/>
        <v>6634363</v>
      </c>
      <c r="BX37" s="8">
        <f>+BV37-'Gen Fd BS'!AE37+BT37</f>
        <v>0</v>
      </c>
      <c r="CB37" s="7" t="str">
        <f t="shared" si="3"/>
        <v xml:space="preserve">Bay Village City SD </v>
      </c>
      <c r="CC37" s="7" t="b">
        <f t="shared" si="4"/>
        <v>1</v>
      </c>
      <c r="CE37" s="12" t="str">
        <f>GenRev!A37</f>
        <v xml:space="preserve">Bay Village City SD </v>
      </c>
      <c r="CF37" s="7" t="b">
        <f t="shared" si="5"/>
        <v>1</v>
      </c>
      <c r="CG37" s="7" t="str">
        <f t="shared" si="6"/>
        <v>Cuyahoga</v>
      </c>
      <c r="CH37" s="7" t="b">
        <f t="shared" si="7"/>
        <v>1</v>
      </c>
      <c r="CI37" s="7" t="b">
        <f>C37=GenRev!C37</f>
        <v>1</v>
      </c>
    </row>
    <row r="38" spans="1:87">
      <c r="A38" s="12" t="s">
        <v>267</v>
      </c>
      <c r="B38" s="12"/>
      <c r="C38" s="12" t="s">
        <v>20</v>
      </c>
      <c r="D38" s="12"/>
      <c r="E38" s="12">
        <v>43554</v>
      </c>
      <c r="G38" s="7">
        <v>10933898</v>
      </c>
      <c r="I38" s="7">
        <v>5229695</v>
      </c>
      <c r="K38" s="7">
        <v>419922</v>
      </c>
      <c r="M38" s="7">
        <v>0</v>
      </c>
      <c r="O38" s="7">
        <v>128063</v>
      </c>
      <c r="Q38" s="7">
        <v>1418210</v>
      </c>
      <c r="S38" s="7">
        <v>1115986</v>
      </c>
      <c r="U38" s="7">
        <v>543728</v>
      </c>
      <c r="W38" s="7">
        <v>2350188</v>
      </c>
      <c r="Y38" s="7">
        <v>964076</v>
      </c>
      <c r="AA38" s="7">
        <v>456991</v>
      </c>
      <c r="AC38" s="7">
        <v>3186928</v>
      </c>
      <c r="AE38" s="7">
        <v>2256616</v>
      </c>
      <c r="AG38" s="7">
        <v>1291806</v>
      </c>
      <c r="AI38" s="7">
        <v>0</v>
      </c>
      <c r="AK38" s="7">
        <v>10646</v>
      </c>
      <c r="AL38" s="12" t="s">
        <v>267</v>
      </c>
      <c r="AM38" s="12"/>
      <c r="AN38" s="12" t="s">
        <v>20</v>
      </c>
      <c r="AP38" s="7">
        <v>828162</v>
      </c>
      <c r="AR38" s="7">
        <v>59556</v>
      </c>
      <c r="AT38" s="7">
        <v>0</v>
      </c>
      <c r="AV38" s="7">
        <v>0</v>
      </c>
      <c r="AX38" s="7">
        <v>0</v>
      </c>
      <c r="AZ38" s="7">
        <v>0</v>
      </c>
      <c r="BB38" s="7">
        <f t="shared" si="2"/>
        <v>31194471</v>
      </c>
      <c r="BD38" s="7">
        <v>243024</v>
      </c>
      <c r="BF38" s="7">
        <v>0</v>
      </c>
      <c r="BH38" s="7">
        <v>0</v>
      </c>
      <c r="BJ38" s="7">
        <v>0</v>
      </c>
      <c r="BL38" s="7">
        <f t="shared" si="0"/>
        <v>31437495</v>
      </c>
      <c r="BN38" s="7">
        <f>+GenRev!AM38-GenExp!BL38</f>
        <v>719017</v>
      </c>
      <c r="BP38" s="7">
        <v>17955559</v>
      </c>
      <c r="BR38" s="7">
        <v>0</v>
      </c>
      <c r="BT38" s="7">
        <v>0</v>
      </c>
      <c r="BV38" s="7">
        <f t="shared" si="1"/>
        <v>18674576</v>
      </c>
      <c r="BX38" s="8">
        <f>+BV38-'Gen Fd BS'!AE38+BT38</f>
        <v>0</v>
      </c>
      <c r="CB38" s="7" t="str">
        <f t="shared" si="3"/>
        <v>Beachwood City SD</v>
      </c>
      <c r="CC38" s="7" t="b">
        <f t="shared" si="4"/>
        <v>1</v>
      </c>
      <c r="CE38" s="12" t="str">
        <f>GenRev!A38</f>
        <v>Beachwood City SD</v>
      </c>
      <c r="CF38" s="7" t="b">
        <f t="shared" si="5"/>
        <v>1</v>
      </c>
      <c r="CG38" s="7" t="str">
        <f t="shared" si="6"/>
        <v>Cuyahoga</v>
      </c>
      <c r="CH38" s="7" t="b">
        <f t="shared" si="7"/>
        <v>1</v>
      </c>
      <c r="CI38" s="7" t="b">
        <f>C38=GenRev!C38</f>
        <v>1</v>
      </c>
    </row>
    <row r="39" spans="1:87">
      <c r="A39" s="12" t="s">
        <v>252</v>
      </c>
      <c r="B39" s="12"/>
      <c r="C39" s="12" t="s">
        <v>112</v>
      </c>
      <c r="D39" s="12"/>
      <c r="E39" s="12">
        <v>46425</v>
      </c>
      <c r="F39" s="10"/>
      <c r="G39" s="7">
        <v>9794060</v>
      </c>
      <c r="I39" s="7">
        <v>1301929</v>
      </c>
      <c r="K39" s="7">
        <v>8441</v>
      </c>
      <c r="M39" s="7">
        <v>0</v>
      </c>
      <c r="O39" s="7">
        <v>7326</v>
      </c>
      <c r="Q39" s="7">
        <v>220213</v>
      </c>
      <c r="S39" s="7">
        <v>518532</v>
      </c>
      <c r="U39" s="7">
        <v>40780</v>
      </c>
      <c r="W39" s="7">
        <v>1612956</v>
      </c>
      <c r="Y39" s="7">
        <v>428154</v>
      </c>
      <c r="AA39" s="7">
        <v>0</v>
      </c>
      <c r="AC39" s="7">
        <v>1513493</v>
      </c>
      <c r="AE39" s="7">
        <v>1720343</v>
      </c>
      <c r="AG39" s="7">
        <v>9863</v>
      </c>
      <c r="AI39" s="7">
        <v>0</v>
      </c>
      <c r="AK39" s="7">
        <v>0</v>
      </c>
      <c r="AL39" s="12" t="s">
        <v>252</v>
      </c>
      <c r="AM39" s="12"/>
      <c r="AN39" s="12" t="s">
        <v>112</v>
      </c>
      <c r="AP39" s="7">
        <v>401462</v>
      </c>
      <c r="AR39" s="7">
        <v>0</v>
      </c>
      <c r="AT39" s="7">
        <v>0</v>
      </c>
      <c r="AV39" s="7">
        <v>444500</v>
      </c>
      <c r="AX39" s="7">
        <v>0</v>
      </c>
      <c r="AZ39" s="7">
        <v>0</v>
      </c>
      <c r="BB39" s="7">
        <f t="shared" si="2"/>
        <v>18022052</v>
      </c>
      <c r="BD39" s="7">
        <v>13785</v>
      </c>
      <c r="BF39" s="7">
        <v>0</v>
      </c>
      <c r="BH39" s="7">
        <v>0</v>
      </c>
      <c r="BJ39" s="7">
        <v>0</v>
      </c>
      <c r="BL39" s="7">
        <f t="shared" si="0"/>
        <v>18035837</v>
      </c>
      <c r="BN39" s="7">
        <f>+GenRev!AM39-GenExp!BL39</f>
        <v>-181871</v>
      </c>
      <c r="BP39" s="7">
        <v>-1009049</v>
      </c>
      <c r="BR39" s="7">
        <v>0</v>
      </c>
      <c r="BT39" s="7">
        <v>0</v>
      </c>
      <c r="BV39" s="7">
        <f t="shared" si="1"/>
        <v>-1190920</v>
      </c>
      <c r="BX39" s="8">
        <f>+BV39-'Gen Fd BS'!AE39+BT39</f>
        <v>0</v>
      </c>
      <c r="CB39" s="7" t="str">
        <f t="shared" si="3"/>
        <v>Beaver Local SD</v>
      </c>
      <c r="CC39" s="7" t="b">
        <f t="shared" si="4"/>
        <v>1</v>
      </c>
      <c r="CE39" s="12" t="str">
        <f>GenRev!A39</f>
        <v>Beaver Local SD</v>
      </c>
      <c r="CF39" s="7" t="b">
        <f t="shared" si="5"/>
        <v>1</v>
      </c>
      <c r="CG39" s="7" t="str">
        <f t="shared" si="6"/>
        <v>Columbiana</v>
      </c>
      <c r="CH39" s="7" t="b">
        <f t="shared" si="7"/>
        <v>1</v>
      </c>
      <c r="CI39" s="7" t="b">
        <f>C39=GenRev!C39</f>
        <v>1</v>
      </c>
    </row>
    <row r="40" spans="1:87">
      <c r="A40" s="12" t="s">
        <v>325</v>
      </c>
      <c r="B40" s="12"/>
      <c r="C40" s="12" t="s">
        <v>114</v>
      </c>
      <c r="D40" s="12"/>
      <c r="E40" s="12">
        <v>47241</v>
      </c>
      <c r="G40" s="7">
        <v>32818324</v>
      </c>
      <c r="I40" s="7">
        <v>9644289</v>
      </c>
      <c r="K40" s="7">
        <v>354058</v>
      </c>
      <c r="M40" s="7">
        <v>0</v>
      </c>
      <c r="O40" s="7">
        <f>624661+1114965</f>
        <v>1739626</v>
      </c>
      <c r="Q40" s="7">
        <v>4801162</v>
      </c>
      <c r="S40" s="7">
        <v>5346581</v>
      </c>
      <c r="U40" s="7">
        <v>51215</v>
      </c>
      <c r="W40" s="7">
        <v>4656633</v>
      </c>
      <c r="Y40" s="7">
        <v>1586995</v>
      </c>
      <c r="AA40" s="7">
        <v>519206</v>
      </c>
      <c r="AC40" s="7">
        <v>6266041</v>
      </c>
      <c r="AE40" s="7">
        <v>5514689</v>
      </c>
      <c r="AG40" s="7">
        <v>1384124</v>
      </c>
      <c r="AI40" s="7">
        <v>0</v>
      </c>
      <c r="AK40" s="7">
        <v>7500</v>
      </c>
      <c r="AL40" s="12" t="s">
        <v>325</v>
      </c>
      <c r="AM40" s="12"/>
      <c r="AN40" s="12" t="s">
        <v>114</v>
      </c>
      <c r="AP40" s="7">
        <f>332103+768923+29778</f>
        <v>1130804</v>
      </c>
      <c r="AR40" s="7">
        <f>33153+6229+78680</f>
        <v>118062</v>
      </c>
      <c r="AT40" s="7">
        <v>0</v>
      </c>
      <c r="AV40" s="7">
        <v>105000</v>
      </c>
      <c r="AX40" s="7">
        <v>142210</v>
      </c>
      <c r="AZ40" s="7">
        <v>0</v>
      </c>
      <c r="BB40" s="7">
        <f t="shared" si="2"/>
        <v>76186519</v>
      </c>
      <c r="BD40" s="7">
        <v>0</v>
      </c>
      <c r="BF40" s="7">
        <v>0</v>
      </c>
      <c r="BH40" s="7">
        <v>0</v>
      </c>
      <c r="BJ40" s="7">
        <v>0</v>
      </c>
      <c r="BL40" s="7">
        <f t="shared" si="0"/>
        <v>76186519</v>
      </c>
      <c r="BN40" s="7">
        <f>+GenRev!AM40-GenExp!BL40</f>
        <v>-5894683</v>
      </c>
      <c r="BP40" s="7">
        <v>28156698</v>
      </c>
      <c r="BR40" s="7">
        <v>0</v>
      </c>
      <c r="BT40" s="7">
        <v>0</v>
      </c>
      <c r="BV40" s="7">
        <f t="shared" si="1"/>
        <v>22262015</v>
      </c>
      <c r="BX40" s="8">
        <f>+BV40-'Gen Fd BS'!AE40+BT40</f>
        <v>0</v>
      </c>
      <c r="CB40" s="7" t="str">
        <f t="shared" si="3"/>
        <v>Beavercreek City SD</v>
      </c>
      <c r="CC40" s="7" t="b">
        <f t="shared" si="4"/>
        <v>1</v>
      </c>
      <c r="CE40" s="12" t="str">
        <f>GenRev!A40</f>
        <v>Beavercreek City SD</v>
      </c>
      <c r="CF40" s="7" t="b">
        <f t="shared" si="5"/>
        <v>1</v>
      </c>
      <c r="CG40" s="7" t="str">
        <f t="shared" si="6"/>
        <v>Greene</v>
      </c>
      <c r="CH40" s="7" t="b">
        <f t="shared" si="7"/>
        <v>1</v>
      </c>
      <c r="CI40" s="7" t="b">
        <f>C40=GenRev!C40</f>
        <v>1</v>
      </c>
    </row>
    <row r="41" spans="1:87">
      <c r="A41" s="12" t="s">
        <v>268</v>
      </c>
      <c r="B41" s="12"/>
      <c r="C41" s="12" t="s">
        <v>20</v>
      </c>
      <c r="D41" s="12"/>
      <c r="E41" s="12">
        <v>43562</v>
      </c>
      <c r="G41" s="7">
        <v>17843309</v>
      </c>
      <c r="I41" s="7">
        <v>4176131</v>
      </c>
      <c r="K41" s="7">
        <v>793883</v>
      </c>
      <c r="M41" s="7">
        <v>0</v>
      </c>
      <c r="O41" s="7">
        <v>50876</v>
      </c>
      <c r="Q41" s="7">
        <v>2422171</v>
      </c>
      <c r="S41" s="7">
        <v>1884247</v>
      </c>
      <c r="U41" s="7">
        <v>85953</v>
      </c>
      <c r="W41" s="7">
        <v>3783738</v>
      </c>
      <c r="Y41" s="7">
        <v>1286775</v>
      </c>
      <c r="AA41" s="7">
        <v>627633</v>
      </c>
      <c r="AC41" s="7">
        <v>5757755</v>
      </c>
      <c r="AE41" s="7">
        <v>3569928</v>
      </c>
      <c r="AG41" s="7">
        <v>327489</v>
      </c>
      <c r="AI41" s="7">
        <v>0</v>
      </c>
      <c r="AK41" s="7">
        <v>5161</v>
      </c>
      <c r="AL41" s="12" t="s">
        <v>268</v>
      </c>
      <c r="AM41" s="12"/>
      <c r="AN41" s="12" t="s">
        <v>20</v>
      </c>
      <c r="AP41" s="7">
        <v>494182</v>
      </c>
      <c r="AR41" s="7">
        <v>2256</v>
      </c>
      <c r="AT41" s="7">
        <v>0</v>
      </c>
      <c r="AV41" s="7">
        <v>319305</v>
      </c>
      <c r="AX41" s="7">
        <v>124189</v>
      </c>
      <c r="AZ41" s="7">
        <v>0</v>
      </c>
      <c r="BB41" s="7">
        <f t="shared" si="2"/>
        <v>43554981</v>
      </c>
      <c r="BD41" s="7">
        <v>391980</v>
      </c>
      <c r="BF41" s="7">
        <v>0</v>
      </c>
      <c r="BH41" s="7">
        <v>0</v>
      </c>
      <c r="BJ41" s="7">
        <v>0</v>
      </c>
      <c r="BL41" s="7">
        <f t="shared" si="0"/>
        <v>43946961</v>
      </c>
      <c r="BN41" s="7">
        <f>+GenRev!AM41-GenExp!BL41</f>
        <v>3469494</v>
      </c>
      <c r="BP41" s="7">
        <v>14123759</v>
      </c>
      <c r="BR41" s="7">
        <v>0</v>
      </c>
      <c r="BT41" s="7">
        <v>0</v>
      </c>
      <c r="BV41" s="7">
        <f t="shared" si="1"/>
        <v>17593253</v>
      </c>
      <c r="BX41" s="8">
        <f>+BV41-'Gen Fd BS'!AE41+BT41</f>
        <v>0</v>
      </c>
      <c r="CB41" s="7" t="str">
        <f t="shared" si="3"/>
        <v>Bedford City SD</v>
      </c>
      <c r="CC41" s="7" t="b">
        <f t="shared" si="4"/>
        <v>1</v>
      </c>
      <c r="CE41" s="12" t="str">
        <f>GenRev!A41</f>
        <v>Bedford City SD</v>
      </c>
      <c r="CF41" s="7" t="b">
        <f t="shared" si="5"/>
        <v>1</v>
      </c>
      <c r="CG41" s="7" t="str">
        <f t="shared" si="6"/>
        <v>Cuyahoga</v>
      </c>
      <c r="CH41" s="7" t="b">
        <f t="shared" si="7"/>
        <v>1</v>
      </c>
      <c r="CI41" s="7" t="b">
        <f>C41=GenRev!C41</f>
        <v>1</v>
      </c>
    </row>
    <row r="42" spans="1:87">
      <c r="A42" s="12" t="s">
        <v>216</v>
      </c>
      <c r="B42" s="12"/>
      <c r="C42" s="12" t="s">
        <v>15</v>
      </c>
      <c r="D42" s="12"/>
      <c r="E42" s="12">
        <v>43570</v>
      </c>
      <c r="G42" s="7">
        <v>6303762</v>
      </c>
      <c r="I42" s="7">
        <v>707167</v>
      </c>
      <c r="K42" s="7">
        <v>2009</v>
      </c>
      <c r="M42" s="7">
        <v>0</v>
      </c>
      <c r="O42" s="7">
        <v>0</v>
      </c>
      <c r="Q42" s="7">
        <v>366851</v>
      </c>
      <c r="S42" s="7">
        <v>453</v>
      </c>
      <c r="U42" s="7">
        <v>23725</v>
      </c>
      <c r="W42" s="7">
        <v>1131112</v>
      </c>
      <c r="Y42" s="7">
        <v>390180</v>
      </c>
      <c r="AA42" s="7">
        <v>0</v>
      </c>
      <c r="AC42" s="7">
        <v>1379552</v>
      </c>
      <c r="AE42" s="7">
        <v>1007888</v>
      </c>
      <c r="AG42" s="7">
        <v>0</v>
      </c>
      <c r="AI42" s="7">
        <v>0</v>
      </c>
      <c r="AK42" s="7">
        <v>0</v>
      </c>
      <c r="AL42" s="12" t="s">
        <v>216</v>
      </c>
      <c r="AM42" s="12"/>
      <c r="AN42" s="12" t="s">
        <v>15</v>
      </c>
      <c r="AP42" s="7">
        <v>172603</v>
      </c>
      <c r="AR42" s="7">
        <v>0</v>
      </c>
      <c r="AT42" s="7">
        <v>0</v>
      </c>
      <c r="AV42" s="7">
        <v>0</v>
      </c>
      <c r="AX42" s="7">
        <v>0</v>
      </c>
      <c r="AZ42" s="7">
        <v>0</v>
      </c>
      <c r="BB42" s="7">
        <f t="shared" si="2"/>
        <v>11485302</v>
      </c>
      <c r="BD42" s="7">
        <v>0</v>
      </c>
      <c r="BF42" s="7">
        <v>0</v>
      </c>
      <c r="BH42" s="7">
        <v>0</v>
      </c>
      <c r="BJ42" s="7">
        <v>0</v>
      </c>
      <c r="BL42" s="7">
        <f t="shared" si="0"/>
        <v>11485302</v>
      </c>
      <c r="BN42" s="7">
        <f>+GenRev!AM42-GenExp!BL42</f>
        <v>770660</v>
      </c>
      <c r="BP42" s="7">
        <v>-5100740</v>
      </c>
      <c r="BR42" s="7">
        <v>0</v>
      </c>
      <c r="BT42" s="7">
        <v>0</v>
      </c>
      <c r="BV42" s="7">
        <f t="shared" si="1"/>
        <v>-4330080</v>
      </c>
      <c r="BX42" s="8">
        <f>+BV42-'Gen Fd BS'!AE42+BT42</f>
        <v>0</v>
      </c>
      <c r="CB42" s="7" t="str">
        <f t="shared" si="3"/>
        <v>Bellaire Local SD</v>
      </c>
      <c r="CC42" s="7" t="b">
        <f t="shared" si="4"/>
        <v>1</v>
      </c>
      <c r="CE42" s="12" t="str">
        <f>GenRev!A42</f>
        <v>Bellaire Local SD</v>
      </c>
      <c r="CF42" s="7" t="b">
        <f t="shared" si="5"/>
        <v>1</v>
      </c>
      <c r="CG42" s="7" t="str">
        <f t="shared" si="6"/>
        <v>Belmont</v>
      </c>
      <c r="CH42" s="7" t="b">
        <f t="shared" si="7"/>
        <v>1</v>
      </c>
      <c r="CI42" s="7" t="b">
        <f>C42=GenRev!C42</f>
        <v>1</v>
      </c>
    </row>
    <row r="43" spans="1:87">
      <c r="A43" s="12" t="s">
        <v>796</v>
      </c>
      <c r="B43" s="12"/>
      <c r="C43" s="12" t="s">
        <v>114</v>
      </c>
      <c r="D43" s="12"/>
      <c r="E43" s="12"/>
      <c r="G43" s="7">
        <v>10492849</v>
      </c>
      <c r="I43" s="7">
        <v>2589781</v>
      </c>
      <c r="K43" s="7">
        <v>10860</v>
      </c>
      <c r="M43" s="7">
        <v>0</v>
      </c>
      <c r="O43" s="7">
        <v>0</v>
      </c>
      <c r="Q43" s="7">
        <v>1145318</v>
      </c>
      <c r="S43" s="7">
        <v>732365</v>
      </c>
      <c r="U43" s="7">
        <v>63976</v>
      </c>
      <c r="W43" s="7">
        <v>1920548</v>
      </c>
      <c r="Y43" s="7">
        <v>789659</v>
      </c>
      <c r="AA43" s="7">
        <v>104669</v>
      </c>
      <c r="AC43" s="7">
        <v>2700801</v>
      </c>
      <c r="AE43" s="7">
        <v>1411079</v>
      </c>
      <c r="AG43" s="7">
        <v>92742</v>
      </c>
      <c r="AI43" s="7">
        <v>0</v>
      </c>
      <c r="AK43" s="7">
        <v>3345</v>
      </c>
      <c r="AL43" s="12" t="s">
        <v>796</v>
      </c>
      <c r="AM43" s="12"/>
      <c r="AN43" s="12" t="s">
        <v>114</v>
      </c>
      <c r="AP43" s="7">
        <v>642146</v>
      </c>
      <c r="AR43" s="7">
        <v>0</v>
      </c>
      <c r="AT43" s="7">
        <v>0</v>
      </c>
      <c r="AV43" s="7">
        <v>0</v>
      </c>
      <c r="AX43" s="7">
        <v>0</v>
      </c>
      <c r="AZ43" s="7">
        <v>0</v>
      </c>
      <c r="BB43" s="7">
        <f t="shared" si="2"/>
        <v>22700138</v>
      </c>
      <c r="BD43" s="7">
        <v>0</v>
      </c>
      <c r="BF43" s="7">
        <v>0</v>
      </c>
      <c r="BH43" s="7">
        <v>0</v>
      </c>
      <c r="BJ43" s="7">
        <v>0</v>
      </c>
      <c r="BL43" s="7">
        <f t="shared" ref="BL43" si="8">+BB43+BD43+BF43+BJ43</f>
        <v>22700138</v>
      </c>
      <c r="BN43" s="7">
        <f>+GenRev!AM43-GenExp!BL43</f>
        <v>1666989</v>
      </c>
      <c r="BP43" s="7">
        <v>-1278921</v>
      </c>
      <c r="BR43" s="7">
        <v>0</v>
      </c>
      <c r="BT43" s="7">
        <v>0</v>
      </c>
      <c r="BV43" s="7">
        <f t="shared" si="1"/>
        <v>388068</v>
      </c>
      <c r="BX43" s="8">
        <f>+BV43-'Gen Fd BS'!AE43+BT43</f>
        <v>0</v>
      </c>
      <c r="CA43" s="7" t="s">
        <v>780</v>
      </c>
      <c r="CB43" s="7" t="str">
        <f t="shared" ref="CB43" si="9">A43</f>
        <v>Bellbrook-Sugarcreek Local SD</v>
      </c>
      <c r="CC43" s="7" t="b">
        <f t="shared" si="4"/>
        <v>1</v>
      </c>
      <c r="CE43" s="12" t="str">
        <f>GenRev!A43</f>
        <v>Bellbrook-Sugarcreek Local SD</v>
      </c>
      <c r="CF43" s="7" t="b">
        <f t="shared" ref="CF43" si="10">CB43=CE43</f>
        <v>1</v>
      </c>
      <c r="CG43" s="7" t="str">
        <f t="shared" si="6"/>
        <v>Greene</v>
      </c>
      <c r="CH43" s="7" t="b">
        <f t="shared" si="7"/>
        <v>1</v>
      </c>
      <c r="CI43" s="7" t="b">
        <f>C43=GenRev!C43</f>
        <v>1</v>
      </c>
    </row>
    <row r="44" spans="1:87">
      <c r="A44" s="12" t="s">
        <v>365</v>
      </c>
      <c r="B44" s="12"/>
      <c r="C44" s="12" t="s">
        <v>37</v>
      </c>
      <c r="D44" s="12"/>
      <c r="E44" s="12">
        <v>43596</v>
      </c>
      <c r="G44" s="7">
        <v>6931985</v>
      </c>
      <c r="I44" s="7">
        <v>2306631</v>
      </c>
      <c r="K44" s="7">
        <v>401418</v>
      </c>
      <c r="M44" s="7">
        <v>0</v>
      </c>
      <c r="O44" s="7">
        <v>990883</v>
      </c>
      <c r="Q44" s="7">
        <v>1131444</v>
      </c>
      <c r="S44" s="7">
        <v>774980</v>
      </c>
      <c r="U44" s="7">
        <v>21870</v>
      </c>
      <c r="W44" s="7">
        <v>1447255</v>
      </c>
      <c r="Y44" s="7">
        <v>494585</v>
      </c>
      <c r="AA44" s="7">
        <v>12623</v>
      </c>
      <c r="AC44" s="7">
        <v>1782438</v>
      </c>
      <c r="AE44" s="7">
        <v>948875</v>
      </c>
      <c r="AG44" s="7">
        <v>66569</v>
      </c>
      <c r="AI44" s="7">
        <v>0</v>
      </c>
      <c r="AK44" s="7">
        <v>38573</v>
      </c>
      <c r="AL44" s="12" t="s">
        <v>365</v>
      </c>
      <c r="AM44" s="12"/>
      <c r="AN44" s="12" t="s">
        <v>37</v>
      </c>
      <c r="AP44" s="7">
        <v>466268</v>
      </c>
      <c r="AR44" s="7">
        <f>4858+22330</f>
        <v>27188</v>
      </c>
      <c r="AT44" s="7">
        <v>0</v>
      </c>
      <c r="AV44" s="7">
        <v>76446</v>
      </c>
      <c r="AX44" s="7">
        <v>13179</v>
      </c>
      <c r="AZ44" s="7">
        <v>0</v>
      </c>
      <c r="BB44" s="7">
        <f t="shared" si="2"/>
        <v>17933210</v>
      </c>
      <c r="BD44" s="7">
        <v>96137</v>
      </c>
      <c r="BF44" s="7">
        <v>0</v>
      </c>
      <c r="BH44" s="7">
        <v>0</v>
      </c>
      <c r="BJ44" s="7">
        <v>0</v>
      </c>
      <c r="BL44" s="7">
        <f t="shared" ref="BL44:BL75" si="11">+BB44+BD44+BF44+BJ44</f>
        <v>18029347</v>
      </c>
      <c r="BN44" s="7">
        <f>+GenRev!AM44-GenExp!BL44</f>
        <v>887741</v>
      </c>
      <c r="BP44" s="7">
        <v>3446985</v>
      </c>
      <c r="BR44" s="7">
        <v>7254</v>
      </c>
      <c r="BT44" s="7">
        <v>0</v>
      </c>
      <c r="BV44" s="7">
        <f t="shared" ref="BV44:BV75" si="12">+BP44+BN44-BR44</f>
        <v>4327472</v>
      </c>
      <c r="BX44" s="8">
        <f>+BV44-'Gen Fd BS'!AE44+BT44</f>
        <v>0</v>
      </c>
      <c r="BY44" s="46"/>
      <c r="BZ44" s="46"/>
      <c r="CB44" s="7" t="str">
        <f t="shared" si="3"/>
        <v>Bellevue City SD</v>
      </c>
      <c r="CC44" s="7" t="b">
        <f t="shared" si="4"/>
        <v>1</v>
      </c>
      <c r="CE44" s="12" t="str">
        <f>GenRev!A44</f>
        <v>Bellevue City SD</v>
      </c>
      <c r="CF44" s="7" t="b">
        <f t="shared" si="5"/>
        <v>1</v>
      </c>
      <c r="CG44" s="7" t="str">
        <f t="shared" si="6"/>
        <v>Huron</v>
      </c>
      <c r="CH44" s="7" t="b">
        <f t="shared" si="7"/>
        <v>1</v>
      </c>
      <c r="CI44" s="7" t="b">
        <f>C44=GenRev!C44</f>
        <v>1</v>
      </c>
    </row>
    <row r="45" spans="1:87">
      <c r="A45" s="12" t="s">
        <v>564</v>
      </c>
      <c r="B45" s="12"/>
      <c r="C45" s="12" t="s">
        <v>70</v>
      </c>
      <c r="D45" s="12"/>
      <c r="E45" s="12">
        <v>43604</v>
      </c>
      <c r="G45" s="7">
        <v>2827460</v>
      </c>
      <c r="I45" s="7">
        <v>862326</v>
      </c>
      <c r="K45" s="7">
        <v>13</v>
      </c>
      <c r="M45" s="7">
        <v>0</v>
      </c>
      <c r="O45" s="7">
        <v>812140</v>
      </c>
      <c r="Q45" s="7">
        <v>1005269</v>
      </c>
      <c r="S45" s="7">
        <v>268976</v>
      </c>
      <c r="U45" s="7">
        <v>62971</v>
      </c>
      <c r="W45" s="7">
        <v>961240</v>
      </c>
      <c r="Y45" s="7">
        <v>383939</v>
      </c>
      <c r="AA45" s="7">
        <v>1491</v>
      </c>
      <c r="AC45" s="7">
        <v>1012265</v>
      </c>
      <c r="AE45" s="7">
        <v>363082</v>
      </c>
      <c r="AG45" s="7">
        <v>0</v>
      </c>
      <c r="AI45" s="7">
        <v>0</v>
      </c>
      <c r="AK45" s="7">
        <v>0</v>
      </c>
      <c r="AL45" s="12" t="s">
        <v>564</v>
      </c>
      <c r="AM45" s="12"/>
      <c r="AN45" s="12" t="s">
        <v>70</v>
      </c>
      <c r="AP45" s="7">
        <v>166448</v>
      </c>
      <c r="AR45" s="7">
        <v>233556</v>
      </c>
      <c r="AT45" s="7">
        <v>0</v>
      </c>
      <c r="AV45" s="7">
        <v>0</v>
      </c>
      <c r="AX45" s="7">
        <v>0</v>
      </c>
      <c r="AZ45" s="7">
        <v>0</v>
      </c>
      <c r="BB45" s="7">
        <f t="shared" si="2"/>
        <v>8961176</v>
      </c>
      <c r="BD45" s="7">
        <v>47570</v>
      </c>
      <c r="BF45" s="7">
        <v>0</v>
      </c>
      <c r="BH45" s="7">
        <v>0</v>
      </c>
      <c r="BJ45" s="7">
        <v>0</v>
      </c>
      <c r="BL45" s="7">
        <f t="shared" si="11"/>
        <v>9008746</v>
      </c>
      <c r="BN45" s="7">
        <f>+GenRev!AM45-GenExp!BL45</f>
        <v>116032</v>
      </c>
      <c r="BP45" s="7">
        <v>558199</v>
      </c>
      <c r="BR45" s="7">
        <v>0</v>
      </c>
      <c r="BT45" s="7">
        <v>0</v>
      </c>
      <c r="BV45" s="7">
        <f t="shared" si="12"/>
        <v>674231</v>
      </c>
      <c r="BX45" s="8">
        <f>+BV45-'Gen Fd BS'!AE45+BT45</f>
        <v>0</v>
      </c>
      <c r="BY45" s="46"/>
      <c r="BZ45" s="46"/>
      <c r="CB45" s="7" t="str">
        <f t="shared" si="3"/>
        <v>Belpre City SD</v>
      </c>
      <c r="CC45" s="7" t="b">
        <f t="shared" si="4"/>
        <v>1</v>
      </c>
      <c r="CE45" s="12" t="str">
        <f>GenRev!A45</f>
        <v>Belpre City SD</v>
      </c>
      <c r="CF45" s="7" t="b">
        <f t="shared" si="5"/>
        <v>1</v>
      </c>
      <c r="CG45" s="7" t="str">
        <f t="shared" si="6"/>
        <v>Washington</v>
      </c>
      <c r="CH45" s="7" t="b">
        <f t="shared" si="7"/>
        <v>1</v>
      </c>
      <c r="CI45" s="7" t="b">
        <f>C45=GenRev!C45</f>
        <v>1</v>
      </c>
    </row>
    <row r="46" spans="1:87">
      <c r="A46" s="12" t="s">
        <v>463</v>
      </c>
      <c r="B46" s="12"/>
      <c r="C46" s="12" t="s">
        <v>53</v>
      </c>
      <c r="D46" s="12"/>
      <c r="E46" s="12">
        <v>48926</v>
      </c>
      <c r="G46" s="7">
        <v>9227690</v>
      </c>
      <c r="I46" s="7">
        <v>1668047</v>
      </c>
      <c r="K46" s="7">
        <v>23576</v>
      </c>
      <c r="M46" s="7">
        <v>0</v>
      </c>
      <c r="O46" s="7">
        <v>177890</v>
      </c>
      <c r="Q46" s="7">
        <v>1008075</v>
      </c>
      <c r="S46" s="7">
        <v>1242924</v>
      </c>
      <c r="U46" s="7">
        <v>106721</v>
      </c>
      <c r="W46" s="7">
        <v>1717032</v>
      </c>
      <c r="Y46" s="7">
        <v>474913</v>
      </c>
      <c r="AA46" s="7">
        <v>0</v>
      </c>
      <c r="AC46" s="7">
        <v>2503823</v>
      </c>
      <c r="AE46" s="7">
        <v>1133402</v>
      </c>
      <c r="AG46" s="7">
        <v>247831</v>
      </c>
      <c r="AI46" s="7">
        <v>0</v>
      </c>
      <c r="AK46" s="7">
        <v>24319</v>
      </c>
      <c r="AL46" s="12" t="s">
        <v>463</v>
      </c>
      <c r="AM46" s="12"/>
      <c r="AN46" s="12" t="s">
        <v>53</v>
      </c>
      <c r="AP46" s="7">
        <v>459551</v>
      </c>
      <c r="AR46" s="7">
        <v>120</v>
      </c>
      <c r="AT46" s="7">
        <v>0</v>
      </c>
      <c r="AV46" s="7">
        <v>0</v>
      </c>
      <c r="AX46" s="7">
        <v>0</v>
      </c>
      <c r="AZ46" s="7">
        <v>0</v>
      </c>
      <c r="BB46" s="7">
        <f t="shared" si="2"/>
        <v>20015914</v>
      </c>
      <c r="BD46" s="7">
        <v>0</v>
      </c>
      <c r="BF46" s="7">
        <v>0</v>
      </c>
      <c r="BH46" s="7">
        <v>0</v>
      </c>
      <c r="BJ46" s="7">
        <v>0</v>
      </c>
      <c r="BL46" s="7">
        <f t="shared" si="11"/>
        <v>20015914</v>
      </c>
      <c r="BN46" s="7">
        <f>+GenRev!AM46-GenExp!BL46</f>
        <v>-1586784</v>
      </c>
      <c r="BP46" s="7">
        <v>3173425</v>
      </c>
      <c r="BR46" s="7">
        <v>0</v>
      </c>
      <c r="BT46" s="7">
        <v>0</v>
      </c>
      <c r="BV46" s="7">
        <f t="shared" si="12"/>
        <v>1586641</v>
      </c>
      <c r="BX46" s="8">
        <f>+BV46-'Gen Fd BS'!AE46+BT46</f>
        <v>0</v>
      </c>
      <c r="CB46" s="7" t="str">
        <f t="shared" si="3"/>
        <v>Benton Carroll Salem Local SD</v>
      </c>
      <c r="CC46" s="7" t="b">
        <f t="shared" si="4"/>
        <v>1</v>
      </c>
      <c r="CE46" s="12" t="str">
        <f>GenRev!A46</f>
        <v>Benton Carroll Salem Local SD</v>
      </c>
      <c r="CF46" s="7" t="b">
        <f t="shared" si="5"/>
        <v>1</v>
      </c>
      <c r="CG46" s="7" t="str">
        <f t="shared" si="6"/>
        <v>Ottawa</v>
      </c>
      <c r="CH46" s="7" t="b">
        <f t="shared" si="7"/>
        <v>1</v>
      </c>
      <c r="CI46" s="7" t="b">
        <f>C46=GenRev!C46</f>
        <v>1</v>
      </c>
    </row>
    <row r="47" spans="1:87">
      <c r="A47" s="12" t="s">
        <v>269</v>
      </c>
      <c r="B47" s="12"/>
      <c r="C47" s="12" t="s">
        <v>20</v>
      </c>
      <c r="D47" s="12"/>
      <c r="E47" s="12">
        <v>43612</v>
      </c>
      <c r="G47" s="7">
        <v>38274358</v>
      </c>
      <c r="I47" s="7">
        <v>8849031</v>
      </c>
      <c r="K47" s="7">
        <v>910458</v>
      </c>
      <c r="M47" s="7">
        <v>0</v>
      </c>
      <c r="O47" s="7">
        <v>0</v>
      </c>
      <c r="Q47" s="7">
        <v>4797161</v>
      </c>
      <c r="S47" s="7">
        <v>7086120</v>
      </c>
      <c r="U47" s="7">
        <v>40279</v>
      </c>
      <c r="W47" s="7">
        <v>4952803</v>
      </c>
      <c r="Y47" s="7">
        <v>1808492</v>
      </c>
      <c r="AA47" s="7">
        <v>888137</v>
      </c>
      <c r="AC47" s="7">
        <v>8580352</v>
      </c>
      <c r="AE47" s="7">
        <v>4682829</v>
      </c>
      <c r="AG47" s="7">
        <v>3057495</v>
      </c>
      <c r="AI47" s="7">
        <v>0</v>
      </c>
      <c r="AK47" s="7">
        <v>29832</v>
      </c>
      <c r="AL47" s="12" t="s">
        <v>269</v>
      </c>
      <c r="AM47" s="12"/>
      <c r="AN47" s="12" t="s">
        <v>20</v>
      </c>
      <c r="AP47" s="7">
        <v>1458041</v>
      </c>
      <c r="AR47" s="7">
        <v>0</v>
      </c>
      <c r="AT47" s="7">
        <v>0</v>
      </c>
      <c r="AV47" s="7">
        <v>0</v>
      </c>
      <c r="AX47" s="7">
        <v>0</v>
      </c>
      <c r="AZ47" s="7">
        <v>0</v>
      </c>
      <c r="BB47" s="7">
        <f t="shared" si="2"/>
        <v>85415388</v>
      </c>
      <c r="BD47" s="7">
        <v>1005734</v>
      </c>
      <c r="BF47" s="7">
        <v>0</v>
      </c>
      <c r="BH47" s="7">
        <v>0</v>
      </c>
      <c r="BJ47" s="7">
        <v>0</v>
      </c>
      <c r="BL47" s="7">
        <f t="shared" si="11"/>
        <v>86421122</v>
      </c>
      <c r="BN47" s="7">
        <f>+GenRev!AM47-GenExp!BL47</f>
        <v>-13901406</v>
      </c>
      <c r="BP47" s="7">
        <v>29376470</v>
      </c>
      <c r="BR47" s="7">
        <v>0</v>
      </c>
      <c r="BT47" s="7">
        <v>0</v>
      </c>
      <c r="BV47" s="7">
        <f t="shared" si="12"/>
        <v>15475064</v>
      </c>
      <c r="BX47" s="8">
        <f>+BV47-'Gen Fd BS'!AE47+BT47</f>
        <v>0</v>
      </c>
      <c r="CB47" s="7" t="str">
        <f t="shared" si="3"/>
        <v>Berea City SD</v>
      </c>
      <c r="CC47" s="7" t="b">
        <f t="shared" si="4"/>
        <v>1</v>
      </c>
      <c r="CE47" s="12" t="str">
        <f>GenRev!A47</f>
        <v>Berea City SD</v>
      </c>
      <c r="CF47" s="7" t="b">
        <f t="shared" si="5"/>
        <v>1</v>
      </c>
      <c r="CG47" s="7" t="str">
        <f t="shared" si="6"/>
        <v>Cuyahoga</v>
      </c>
      <c r="CH47" s="7" t="b">
        <f t="shared" si="7"/>
        <v>1</v>
      </c>
      <c r="CI47" s="7" t="b">
        <f>C47=GenRev!C47</f>
        <v>1</v>
      </c>
    </row>
    <row r="48" spans="1:87">
      <c r="A48" s="12" t="s">
        <v>668</v>
      </c>
      <c r="B48" s="12"/>
      <c r="C48" s="12" t="s">
        <v>30</v>
      </c>
      <c r="D48" s="12"/>
      <c r="E48" s="12">
        <v>47167</v>
      </c>
      <c r="G48" s="7">
        <v>4427035</v>
      </c>
      <c r="I48" s="7">
        <v>1382908</v>
      </c>
      <c r="K48" s="7">
        <v>71257</v>
      </c>
      <c r="M48" s="7">
        <v>0</v>
      </c>
      <c r="O48" s="7">
        <v>191649</v>
      </c>
      <c r="Q48" s="7">
        <v>607283</v>
      </c>
      <c r="S48" s="7">
        <v>452087</v>
      </c>
      <c r="U48" s="7">
        <v>50980</v>
      </c>
      <c r="W48" s="7">
        <v>1154534</v>
      </c>
      <c r="Y48" s="7">
        <v>428345</v>
      </c>
      <c r="AA48" s="7">
        <v>30680</v>
      </c>
      <c r="AC48" s="7">
        <v>901602</v>
      </c>
      <c r="AE48" s="7">
        <v>1018781</v>
      </c>
      <c r="AG48" s="7">
        <v>0</v>
      </c>
      <c r="AI48" s="7">
        <v>0</v>
      </c>
      <c r="AK48" s="7">
        <v>0</v>
      </c>
      <c r="AL48" s="12" t="s">
        <v>668</v>
      </c>
      <c r="AM48" s="12"/>
      <c r="AN48" s="12" t="s">
        <v>30</v>
      </c>
      <c r="AP48" s="7">
        <v>302071</v>
      </c>
      <c r="AR48" s="7">
        <v>8300</v>
      </c>
      <c r="AT48" s="7">
        <v>0</v>
      </c>
      <c r="AV48" s="7">
        <v>0</v>
      </c>
      <c r="AX48" s="7">
        <v>0</v>
      </c>
      <c r="AZ48" s="7">
        <v>0</v>
      </c>
      <c r="BB48" s="7">
        <f t="shared" si="2"/>
        <v>11027512</v>
      </c>
      <c r="BD48" s="7">
        <v>250000</v>
      </c>
      <c r="BF48" s="7">
        <v>0</v>
      </c>
      <c r="BH48" s="7">
        <v>0</v>
      </c>
      <c r="BJ48" s="7">
        <v>0</v>
      </c>
      <c r="BL48" s="7">
        <f t="shared" si="11"/>
        <v>11277512</v>
      </c>
      <c r="BN48" s="7">
        <f>+GenRev!AM48-GenExp!BL48</f>
        <v>-400588</v>
      </c>
      <c r="BP48" s="7">
        <v>2469711</v>
      </c>
      <c r="BR48" s="7">
        <v>0</v>
      </c>
      <c r="BT48" s="7">
        <v>0</v>
      </c>
      <c r="BV48" s="7">
        <f t="shared" si="12"/>
        <v>2069123</v>
      </c>
      <c r="BX48" s="8">
        <f>+BV48-'Gen Fd BS'!AE48+BT48</f>
        <v>0</v>
      </c>
      <c r="CB48" s="7" t="str">
        <f t="shared" si="3"/>
        <v xml:space="preserve">Berkshire Local SD </v>
      </c>
      <c r="CC48" s="7" t="b">
        <f t="shared" si="4"/>
        <v>1</v>
      </c>
      <c r="CE48" s="12" t="str">
        <f>GenRev!A48</f>
        <v xml:space="preserve">Berkshire Local SD </v>
      </c>
      <c r="CF48" s="7" t="b">
        <f t="shared" si="5"/>
        <v>1</v>
      </c>
      <c r="CG48" s="7" t="str">
        <f t="shared" si="6"/>
        <v>Geauga</v>
      </c>
      <c r="CH48" s="7" t="b">
        <f t="shared" si="7"/>
        <v>1</v>
      </c>
      <c r="CI48" s="7" t="b">
        <f>C48=GenRev!C48</f>
        <v>1</v>
      </c>
    </row>
    <row r="49" spans="1:87">
      <c r="A49" s="12" t="s">
        <v>291</v>
      </c>
      <c r="B49" s="12"/>
      <c r="C49" s="12" t="s">
        <v>24</v>
      </c>
      <c r="D49" s="12"/>
      <c r="E49" s="12">
        <v>46789</v>
      </c>
      <c r="G49" s="7">
        <v>6337394</v>
      </c>
      <c r="I49" s="7">
        <v>2069400</v>
      </c>
      <c r="K49" s="7">
        <v>74935</v>
      </c>
      <c r="M49" s="7">
        <v>0</v>
      </c>
      <c r="O49" s="7">
        <v>708964</v>
      </c>
      <c r="Q49" s="7">
        <v>560707</v>
      </c>
      <c r="S49" s="7">
        <v>291146</v>
      </c>
      <c r="U49" s="7">
        <v>35055</v>
      </c>
      <c r="W49" s="7">
        <v>1257706</v>
      </c>
      <c r="Y49" s="7">
        <v>294761</v>
      </c>
      <c r="AA49" s="7">
        <v>0</v>
      </c>
      <c r="AC49" s="7">
        <v>819173</v>
      </c>
      <c r="AE49" s="7">
        <v>697539</v>
      </c>
      <c r="AG49" s="7">
        <v>151301</v>
      </c>
      <c r="AI49" s="7">
        <v>0</v>
      </c>
      <c r="AK49" s="7">
        <v>63852</v>
      </c>
      <c r="AL49" s="12" t="s">
        <v>291</v>
      </c>
      <c r="AM49" s="12"/>
      <c r="AN49" s="12" t="s">
        <v>24</v>
      </c>
      <c r="AP49" s="7">
        <v>462970</v>
      </c>
      <c r="AR49" s="7">
        <v>154623</v>
      </c>
      <c r="AT49" s="7">
        <v>0</v>
      </c>
      <c r="AV49" s="7">
        <v>21790</v>
      </c>
      <c r="AX49" s="7">
        <v>4085</v>
      </c>
      <c r="AZ49" s="7">
        <v>0</v>
      </c>
      <c r="BB49" s="7">
        <f t="shared" si="2"/>
        <v>14005401</v>
      </c>
      <c r="BD49" s="7">
        <v>0</v>
      </c>
      <c r="BF49" s="7">
        <v>0</v>
      </c>
      <c r="BH49" s="7">
        <v>0</v>
      </c>
      <c r="BJ49" s="7">
        <v>0</v>
      </c>
      <c r="BL49" s="7">
        <f t="shared" si="11"/>
        <v>14005401</v>
      </c>
      <c r="BN49" s="7">
        <f>+GenRev!AM49-GenExp!BL49</f>
        <v>203575</v>
      </c>
      <c r="BP49" s="7">
        <v>3526998</v>
      </c>
      <c r="BR49" s="7">
        <v>5148</v>
      </c>
      <c r="BT49" s="7">
        <v>0</v>
      </c>
      <c r="BV49" s="7">
        <f t="shared" si="12"/>
        <v>3725425</v>
      </c>
      <c r="BX49" s="8">
        <f>+BV49-'Gen Fd BS'!AE49+BT49</f>
        <v>0</v>
      </c>
      <c r="CB49" s="7" t="str">
        <f t="shared" si="3"/>
        <v>Berlin-Milan Local SD</v>
      </c>
      <c r="CC49" s="7" t="b">
        <f t="shared" si="4"/>
        <v>1</v>
      </c>
      <c r="CE49" s="12" t="str">
        <f>GenRev!A49</f>
        <v>Berlin-Milan Local SD</v>
      </c>
      <c r="CF49" s="7" t="b">
        <f t="shared" si="5"/>
        <v>1</v>
      </c>
      <c r="CG49" s="7" t="str">
        <f t="shared" si="6"/>
        <v>Erie</v>
      </c>
      <c r="CH49" s="7" t="b">
        <f t="shared" si="7"/>
        <v>1</v>
      </c>
      <c r="CI49" s="7" t="b">
        <f>C49=GenRev!C49</f>
        <v>1</v>
      </c>
    </row>
    <row r="50" spans="1:87" hidden="1">
      <c r="A50" s="12" t="s">
        <v>905</v>
      </c>
      <c r="B50" s="12"/>
      <c r="C50" s="12" t="s">
        <v>25</v>
      </c>
      <c r="D50" s="12"/>
      <c r="E50" s="12">
        <v>46854</v>
      </c>
      <c r="AL50" s="12" t="s">
        <v>905</v>
      </c>
      <c r="AM50" s="12"/>
      <c r="AN50" s="12" t="s">
        <v>25</v>
      </c>
      <c r="BB50" s="7">
        <f t="shared" si="2"/>
        <v>0</v>
      </c>
      <c r="BF50" s="7">
        <v>0</v>
      </c>
      <c r="BH50" s="7">
        <v>0</v>
      </c>
      <c r="BL50" s="7">
        <f t="shared" si="11"/>
        <v>0</v>
      </c>
      <c r="BN50" s="7">
        <f>+GenRev!AM50-GenExp!BL50</f>
        <v>0</v>
      </c>
      <c r="BT50" s="7">
        <v>0</v>
      </c>
      <c r="BV50" s="7">
        <f t="shared" si="12"/>
        <v>0</v>
      </c>
      <c r="BX50" s="8">
        <f>+BV50-'Gen Fd BS'!AE50+BT50</f>
        <v>0</v>
      </c>
      <c r="CA50" s="7" t="s">
        <v>903</v>
      </c>
      <c r="CB50" s="7" t="str">
        <f t="shared" si="3"/>
        <v>Berne Union Local SD (CASH)</v>
      </c>
      <c r="CC50" s="7" t="b">
        <f t="shared" si="4"/>
        <v>1</v>
      </c>
      <c r="CE50" s="12" t="str">
        <f>GenRev!A50</f>
        <v>Berne Union Local SD (CASH)</v>
      </c>
      <c r="CF50" s="7" t="b">
        <f t="shared" si="5"/>
        <v>1</v>
      </c>
      <c r="CG50" s="7" t="str">
        <f t="shared" si="6"/>
        <v>Fairfield</v>
      </c>
      <c r="CH50" s="7" t="b">
        <f t="shared" si="7"/>
        <v>1</v>
      </c>
      <c r="CI50" s="7" t="b">
        <f>C50=GenRev!C50</f>
        <v>1</v>
      </c>
    </row>
    <row r="51" spans="1:87">
      <c r="A51" s="12" t="s">
        <v>436</v>
      </c>
      <c r="B51" s="12"/>
      <c r="C51" s="12" t="s">
        <v>48</v>
      </c>
      <c r="D51" s="12"/>
      <c r="E51" s="12">
        <v>48611</v>
      </c>
      <c r="G51" s="7">
        <v>3279145</v>
      </c>
      <c r="I51" s="7">
        <v>953640</v>
      </c>
      <c r="K51" s="7">
        <v>0</v>
      </c>
      <c r="M51" s="7">
        <v>0</v>
      </c>
      <c r="O51" s="7">
        <v>472448</v>
      </c>
      <c r="Q51" s="7">
        <v>177211</v>
      </c>
      <c r="S51" s="7">
        <v>248812</v>
      </c>
      <c r="U51" s="7">
        <v>63475</v>
      </c>
      <c r="W51" s="7">
        <v>623683</v>
      </c>
      <c r="Y51" s="7">
        <v>331414</v>
      </c>
      <c r="AA51" s="7">
        <v>58471</v>
      </c>
      <c r="AC51" s="7">
        <v>488578</v>
      </c>
      <c r="AE51" s="7">
        <v>660377</v>
      </c>
      <c r="AG51" s="7">
        <v>183889</v>
      </c>
      <c r="AI51" s="7">
        <v>0</v>
      </c>
      <c r="AK51" s="7">
        <v>8398</v>
      </c>
      <c r="AL51" s="12" t="s">
        <v>436</v>
      </c>
      <c r="AM51" s="12"/>
      <c r="AN51" s="12" t="s">
        <v>48</v>
      </c>
      <c r="AP51" s="7">
        <v>224603</v>
      </c>
      <c r="AR51" s="7">
        <v>0</v>
      </c>
      <c r="AT51" s="7">
        <v>0</v>
      </c>
      <c r="AV51" s="7">
        <v>23000</v>
      </c>
      <c r="AX51" s="7">
        <v>43924</v>
      </c>
      <c r="AZ51" s="7">
        <v>0</v>
      </c>
      <c r="BB51" s="7">
        <f t="shared" si="2"/>
        <v>7841068</v>
      </c>
      <c r="BD51" s="7">
        <v>0</v>
      </c>
      <c r="BF51" s="7">
        <v>0</v>
      </c>
      <c r="BH51" s="7">
        <v>0</v>
      </c>
      <c r="BJ51" s="7">
        <v>0</v>
      </c>
      <c r="BL51" s="7">
        <f t="shared" si="11"/>
        <v>7841068</v>
      </c>
      <c r="BN51" s="7">
        <f>+GenRev!AM51-GenExp!BL51</f>
        <v>-337775</v>
      </c>
      <c r="BP51" s="7">
        <v>700525</v>
      </c>
      <c r="BR51" s="7">
        <v>0</v>
      </c>
      <c r="BT51" s="7">
        <v>0</v>
      </c>
      <c r="BV51" s="7">
        <f t="shared" si="12"/>
        <v>362750</v>
      </c>
      <c r="BX51" s="8">
        <f>+BV51-'Gen Fd BS'!AE51+BT51</f>
        <v>0</v>
      </c>
      <c r="CB51" s="7" t="str">
        <f t="shared" si="3"/>
        <v>Bethel Local SD</v>
      </c>
      <c r="CC51" s="7" t="b">
        <f t="shared" si="4"/>
        <v>1</v>
      </c>
      <c r="CE51" s="12" t="str">
        <f>GenRev!A51</f>
        <v>Bethel Local SD</v>
      </c>
      <c r="CF51" s="7" t="b">
        <f t="shared" si="5"/>
        <v>1</v>
      </c>
      <c r="CG51" s="7" t="str">
        <f t="shared" si="6"/>
        <v>Miami</v>
      </c>
      <c r="CH51" s="7" t="b">
        <f t="shared" si="7"/>
        <v>1</v>
      </c>
      <c r="CI51" s="7" t="b">
        <f>C51=GenRev!C51</f>
        <v>1</v>
      </c>
    </row>
    <row r="52" spans="1:87">
      <c r="A52" s="12" t="s">
        <v>243</v>
      </c>
      <c r="B52" s="12"/>
      <c r="C52" s="12" t="s">
        <v>113</v>
      </c>
      <c r="D52" s="12"/>
      <c r="E52" s="12">
        <v>46318</v>
      </c>
      <c r="F52" s="10"/>
      <c r="G52" s="7">
        <v>7524823</v>
      </c>
      <c r="I52" s="7">
        <v>1419411</v>
      </c>
      <c r="K52" s="7">
        <v>143310</v>
      </c>
      <c r="M52" s="7">
        <v>0</v>
      </c>
      <c r="O52" s="7">
        <v>25551</v>
      </c>
      <c r="Q52" s="7">
        <v>479644</v>
      </c>
      <c r="S52" s="7">
        <v>602095</v>
      </c>
      <c r="U52" s="7">
        <v>32126</v>
      </c>
      <c r="W52" s="7">
        <v>1039242</v>
      </c>
      <c r="Y52" s="7">
        <v>419151</v>
      </c>
      <c r="AA52" s="7">
        <v>0</v>
      </c>
      <c r="AC52" s="7">
        <v>813959</v>
      </c>
      <c r="AE52" s="7">
        <v>685199</v>
      </c>
      <c r="AG52" s="7">
        <v>928</v>
      </c>
      <c r="AI52" s="7">
        <v>0</v>
      </c>
      <c r="AK52" s="7">
        <v>0</v>
      </c>
      <c r="AL52" s="12" t="s">
        <v>243</v>
      </c>
      <c r="AM52" s="12"/>
      <c r="AN52" s="12" t="s">
        <v>113</v>
      </c>
      <c r="AP52" s="7">
        <v>51818</v>
      </c>
      <c r="AR52" s="7">
        <v>151466</v>
      </c>
      <c r="AT52" s="7">
        <v>0</v>
      </c>
      <c r="AV52" s="7">
        <v>50606</v>
      </c>
      <c r="AX52" s="7">
        <v>40435</v>
      </c>
      <c r="AZ52" s="7">
        <v>0</v>
      </c>
      <c r="BB52" s="7">
        <f t="shared" si="2"/>
        <v>13479764</v>
      </c>
      <c r="BD52" s="7">
        <v>322240</v>
      </c>
      <c r="BF52" s="7">
        <v>0</v>
      </c>
      <c r="BH52" s="7">
        <v>0</v>
      </c>
      <c r="BJ52" s="7">
        <v>0</v>
      </c>
      <c r="BL52" s="7">
        <f t="shared" si="11"/>
        <v>13802004</v>
      </c>
      <c r="BN52" s="7">
        <f>+GenRev!AM52-GenExp!BL52</f>
        <v>415468</v>
      </c>
      <c r="BP52" s="7">
        <v>1034894</v>
      </c>
      <c r="BR52" s="7">
        <v>0</v>
      </c>
      <c r="BT52" s="7">
        <v>0</v>
      </c>
      <c r="BV52" s="7">
        <f t="shared" si="12"/>
        <v>1450362</v>
      </c>
      <c r="BX52" s="8">
        <f>+BV52-'Gen Fd BS'!AE52+BT52</f>
        <v>0</v>
      </c>
      <c r="CB52" s="7" t="str">
        <f t="shared" si="3"/>
        <v>Bethel-Tate Local SD</v>
      </c>
      <c r="CC52" s="7" t="b">
        <f t="shared" si="4"/>
        <v>1</v>
      </c>
      <c r="CE52" s="12" t="str">
        <f>GenRev!A52</f>
        <v>Bethel-Tate Local SD</v>
      </c>
      <c r="CF52" s="7" t="b">
        <f t="shared" si="5"/>
        <v>1</v>
      </c>
      <c r="CG52" s="7" t="str">
        <f t="shared" si="6"/>
        <v>Clermont</v>
      </c>
      <c r="CH52" s="7" t="b">
        <f t="shared" si="7"/>
        <v>1</v>
      </c>
      <c r="CI52" s="7" t="b">
        <f>C52=GenRev!C52</f>
        <v>1</v>
      </c>
    </row>
    <row r="53" spans="1:87" hidden="1">
      <c r="A53" s="12" t="s">
        <v>705</v>
      </c>
      <c r="B53" s="12"/>
      <c r="C53" s="12" t="s">
        <v>60</v>
      </c>
      <c r="D53" s="12"/>
      <c r="E53" s="12">
        <v>49692</v>
      </c>
      <c r="AL53" s="12" t="s">
        <v>705</v>
      </c>
      <c r="AM53" s="12"/>
      <c r="AN53" s="12" t="s">
        <v>60</v>
      </c>
      <c r="BB53" s="7">
        <f t="shared" si="2"/>
        <v>0</v>
      </c>
      <c r="BF53" s="7">
        <v>0</v>
      </c>
      <c r="BH53" s="7">
        <v>0</v>
      </c>
      <c r="BL53" s="7">
        <f t="shared" si="11"/>
        <v>0</v>
      </c>
      <c r="BN53" s="7">
        <f>+GenRev!AM53-GenExp!BL53</f>
        <v>0</v>
      </c>
      <c r="BT53" s="7">
        <v>0</v>
      </c>
      <c r="BV53" s="7">
        <f t="shared" si="12"/>
        <v>0</v>
      </c>
      <c r="BX53" s="8">
        <f>+BV53-'Gen Fd BS'!AE53+BT53</f>
        <v>0</v>
      </c>
      <c r="CA53" s="7" t="s">
        <v>778</v>
      </c>
      <c r="CB53" s="7" t="str">
        <f t="shared" si="3"/>
        <v>Bettsville Local SD (CASH)</v>
      </c>
      <c r="CC53" s="7" t="b">
        <f t="shared" si="4"/>
        <v>1</v>
      </c>
      <c r="CE53" s="12" t="str">
        <f>GenRev!A53</f>
        <v>Bettsville Local SD (CASH)</v>
      </c>
      <c r="CF53" s="7" t="b">
        <f t="shared" si="5"/>
        <v>1</v>
      </c>
      <c r="CG53" s="7" t="str">
        <f t="shared" si="6"/>
        <v>Seneca</v>
      </c>
      <c r="CH53" s="7" t="b">
        <f t="shared" si="7"/>
        <v>1</v>
      </c>
      <c r="CI53" s="7" t="b">
        <f>C53=GenRev!C53</f>
        <v>1</v>
      </c>
    </row>
    <row r="54" spans="1:87">
      <c r="A54" s="12" t="s">
        <v>305</v>
      </c>
      <c r="B54" s="12"/>
      <c r="C54" s="12" t="s">
        <v>27</v>
      </c>
      <c r="D54" s="12"/>
      <c r="E54" s="12">
        <v>43620</v>
      </c>
      <c r="G54" s="7">
        <v>15004764</v>
      </c>
      <c r="I54" s="7">
        <v>3127582</v>
      </c>
      <c r="K54" s="7">
        <v>337040</v>
      </c>
      <c r="M54" s="7">
        <v>0</v>
      </c>
      <c r="O54" s="7">
        <v>0</v>
      </c>
      <c r="Q54" s="7">
        <v>1313896</v>
      </c>
      <c r="S54" s="7">
        <v>2091434</v>
      </c>
      <c r="U54" s="7">
        <v>47056</v>
      </c>
      <c r="W54" s="7">
        <v>1960564</v>
      </c>
      <c r="Y54" s="7">
        <v>1211083</v>
      </c>
      <c r="AA54" s="7">
        <v>0</v>
      </c>
      <c r="AC54" s="7">
        <v>2984497</v>
      </c>
      <c r="AE54" s="7">
        <v>485629</v>
      </c>
      <c r="AG54" s="7">
        <v>118579</v>
      </c>
      <c r="AI54" s="7">
        <v>0</v>
      </c>
      <c r="AK54" s="7">
        <v>0</v>
      </c>
      <c r="AL54" s="12" t="s">
        <v>305</v>
      </c>
      <c r="AM54" s="12"/>
      <c r="AN54" s="12" t="s">
        <v>27</v>
      </c>
      <c r="AP54" s="7">
        <v>792624</v>
      </c>
      <c r="AR54" s="7">
        <v>314398</v>
      </c>
      <c r="AT54" s="7">
        <v>0</v>
      </c>
      <c r="AV54" s="7">
        <v>0</v>
      </c>
      <c r="AX54" s="7">
        <v>0</v>
      </c>
      <c r="AZ54" s="7">
        <v>0</v>
      </c>
      <c r="BB54" s="7">
        <f t="shared" si="2"/>
        <v>29789146</v>
      </c>
      <c r="BD54" s="7">
        <v>148000</v>
      </c>
      <c r="BF54" s="7">
        <v>0</v>
      </c>
      <c r="BH54" s="7">
        <v>0</v>
      </c>
      <c r="BJ54" s="7">
        <v>0</v>
      </c>
      <c r="BL54" s="7">
        <f t="shared" si="11"/>
        <v>29937146</v>
      </c>
      <c r="BN54" s="7">
        <f>+GenRev!AM54-GenExp!BL54</f>
        <v>1852783</v>
      </c>
      <c r="BP54" s="7">
        <v>20931240</v>
      </c>
      <c r="BR54" s="7">
        <v>0</v>
      </c>
      <c r="BT54" s="7">
        <v>0</v>
      </c>
      <c r="BV54" s="7">
        <f t="shared" si="12"/>
        <v>22784023</v>
      </c>
      <c r="BX54" s="8">
        <f>+BV54-'Gen Fd BS'!AE54+BT54</f>
        <v>0</v>
      </c>
      <c r="CB54" s="7" t="str">
        <f t="shared" si="3"/>
        <v>Bexley City SD</v>
      </c>
      <c r="CC54" s="7" t="b">
        <f t="shared" si="4"/>
        <v>1</v>
      </c>
      <c r="CE54" s="12" t="str">
        <f>GenRev!A54</f>
        <v>Bexley City SD</v>
      </c>
      <c r="CF54" s="7" t="b">
        <f t="shared" si="5"/>
        <v>1</v>
      </c>
      <c r="CG54" s="7" t="str">
        <f t="shared" si="6"/>
        <v>Franklin</v>
      </c>
      <c r="CH54" s="7" t="b">
        <f t="shared" si="7"/>
        <v>1</v>
      </c>
      <c r="CI54" s="7" t="b">
        <f>C54=GenRev!C54</f>
        <v>1</v>
      </c>
    </row>
    <row r="55" spans="1:87">
      <c r="A55" s="12" t="s">
        <v>664</v>
      </c>
      <c r="B55" s="12"/>
      <c r="C55" s="12" t="s">
        <v>23</v>
      </c>
      <c r="D55" s="12"/>
      <c r="E55" s="12">
        <v>46748</v>
      </c>
      <c r="G55" s="7">
        <v>11886390</v>
      </c>
      <c r="I55" s="7">
        <v>1542269</v>
      </c>
      <c r="K55" s="7">
        <v>93861</v>
      </c>
      <c r="M55" s="7">
        <v>0</v>
      </c>
      <c r="O55" s="7">
        <v>0</v>
      </c>
      <c r="Q55" s="7">
        <v>1099648</v>
      </c>
      <c r="S55" s="7">
        <v>1355750</v>
      </c>
      <c r="U55" s="7">
        <v>122235</v>
      </c>
      <c r="W55" s="7">
        <v>2323875</v>
      </c>
      <c r="Y55" s="7">
        <v>853690</v>
      </c>
      <c r="AA55" s="7">
        <v>75127</v>
      </c>
      <c r="AC55" s="7">
        <v>2008566</v>
      </c>
      <c r="AE55" s="7">
        <v>1818841</v>
      </c>
      <c r="AG55" s="7">
        <v>7460</v>
      </c>
      <c r="AI55" s="7">
        <v>0</v>
      </c>
      <c r="AK55" s="7">
        <v>0</v>
      </c>
      <c r="AL55" s="12" t="s">
        <v>664</v>
      </c>
      <c r="AM55" s="12"/>
      <c r="AN55" s="12" t="s">
        <v>23</v>
      </c>
      <c r="AP55" s="7">
        <v>39656</v>
      </c>
      <c r="AR55" s="7">
        <v>0</v>
      </c>
      <c r="AT55" s="7">
        <v>0</v>
      </c>
      <c r="AV55" s="7">
        <v>24820</v>
      </c>
      <c r="AX55" s="7">
        <v>2295</v>
      </c>
      <c r="AZ55" s="7">
        <v>0</v>
      </c>
      <c r="BB55" s="7">
        <f t="shared" si="2"/>
        <v>23254483</v>
      </c>
      <c r="BD55" s="7">
        <v>316447</v>
      </c>
      <c r="BF55" s="7">
        <v>0</v>
      </c>
      <c r="BH55" s="7">
        <v>0</v>
      </c>
      <c r="BJ55" s="7">
        <v>0</v>
      </c>
      <c r="BL55" s="7">
        <f t="shared" si="11"/>
        <v>23570930</v>
      </c>
      <c r="BN55" s="7">
        <f>+GenRev!AM55-GenExp!BL55</f>
        <v>6056687</v>
      </c>
      <c r="BP55" s="7">
        <v>-628139</v>
      </c>
      <c r="BR55" s="7">
        <v>0</v>
      </c>
      <c r="BT55" s="7">
        <v>0</v>
      </c>
      <c r="BV55" s="7">
        <f t="shared" si="12"/>
        <v>5428548</v>
      </c>
      <c r="BX55" s="8">
        <f>+BV55-'Gen Fd BS'!AE55+BT55</f>
        <v>0</v>
      </c>
      <c r="CB55" s="7" t="str">
        <f t="shared" si="3"/>
        <v xml:space="preserve">Big Walnut Local SD </v>
      </c>
      <c r="CC55" s="7" t="b">
        <f t="shared" si="4"/>
        <v>1</v>
      </c>
      <c r="CE55" s="12" t="str">
        <f>GenRev!A55</f>
        <v xml:space="preserve">Big Walnut Local SD </v>
      </c>
      <c r="CF55" s="7" t="b">
        <f t="shared" si="5"/>
        <v>1</v>
      </c>
      <c r="CG55" s="7" t="str">
        <f t="shared" si="6"/>
        <v>Delaware</v>
      </c>
      <c r="CH55" s="7" t="b">
        <f t="shared" si="7"/>
        <v>1</v>
      </c>
      <c r="CI55" s="7" t="b">
        <f>C55=GenRev!C55</f>
        <v>1</v>
      </c>
    </row>
    <row r="56" spans="1:87">
      <c r="A56" s="12" t="s">
        <v>427</v>
      </c>
      <c r="B56" s="12"/>
      <c r="C56" s="12" t="s">
        <v>47</v>
      </c>
      <c r="D56" s="12"/>
      <c r="E56" s="12">
        <v>48462</v>
      </c>
      <c r="G56" s="7">
        <v>6872656</v>
      </c>
      <c r="I56" s="7">
        <v>1118874</v>
      </c>
      <c r="K56" s="7">
        <v>134432</v>
      </c>
      <c r="M56" s="7">
        <v>0</v>
      </c>
      <c r="O56" s="7">
        <v>629</v>
      </c>
      <c r="Q56" s="7">
        <v>545826</v>
      </c>
      <c r="S56" s="7">
        <v>383146</v>
      </c>
      <c r="U56" s="7">
        <v>31166</v>
      </c>
      <c r="W56" s="7">
        <v>890255</v>
      </c>
      <c r="Y56" s="7">
        <v>333883</v>
      </c>
      <c r="AA56" s="7">
        <v>31838</v>
      </c>
      <c r="AC56" s="7">
        <v>938667</v>
      </c>
      <c r="AE56" s="7">
        <v>1011057</v>
      </c>
      <c r="AG56" s="7">
        <v>3220</v>
      </c>
      <c r="AI56" s="7">
        <v>0</v>
      </c>
      <c r="AK56" s="7">
        <v>2337</v>
      </c>
      <c r="AL56" s="12" t="s">
        <v>427</v>
      </c>
      <c r="AM56" s="12"/>
      <c r="AN56" s="12" t="s">
        <v>47</v>
      </c>
      <c r="AP56" s="7">
        <v>421344</v>
      </c>
      <c r="AR56" s="7">
        <v>0</v>
      </c>
      <c r="AT56" s="7">
        <v>0</v>
      </c>
      <c r="AV56" s="7">
        <v>27016</v>
      </c>
      <c r="AX56" s="7">
        <v>5595</v>
      </c>
      <c r="AZ56" s="7">
        <v>0</v>
      </c>
      <c r="BB56" s="7">
        <f t="shared" si="2"/>
        <v>12751941</v>
      </c>
      <c r="BD56" s="7">
        <v>0</v>
      </c>
      <c r="BF56" s="7">
        <v>0</v>
      </c>
      <c r="BH56" s="7">
        <v>0</v>
      </c>
      <c r="BJ56" s="7">
        <v>0</v>
      </c>
      <c r="BL56" s="7">
        <f t="shared" si="11"/>
        <v>12751941</v>
      </c>
      <c r="BN56" s="7">
        <f>+GenRev!AM56-GenExp!BL56</f>
        <v>-417856</v>
      </c>
      <c r="BP56" s="7">
        <v>-1168824</v>
      </c>
      <c r="BR56" s="7">
        <v>0</v>
      </c>
      <c r="BT56" s="7">
        <v>0</v>
      </c>
      <c r="BV56" s="7">
        <f t="shared" si="12"/>
        <v>-1586680</v>
      </c>
      <c r="BX56" s="8">
        <f>+BV56-'Gen Fd BS'!AE56+BT56</f>
        <v>0</v>
      </c>
      <c r="CB56" s="7" t="str">
        <f t="shared" si="3"/>
        <v>Black River Local SD</v>
      </c>
      <c r="CC56" s="7" t="b">
        <f t="shared" si="4"/>
        <v>1</v>
      </c>
      <c r="CE56" s="12" t="str">
        <f>GenRev!A56</f>
        <v>Black River Local SD</v>
      </c>
      <c r="CF56" s="7" t="b">
        <f t="shared" si="5"/>
        <v>1</v>
      </c>
      <c r="CG56" s="7" t="str">
        <f t="shared" si="6"/>
        <v>Medina</v>
      </c>
      <c r="CH56" s="7" t="b">
        <f t="shared" si="7"/>
        <v>1</v>
      </c>
      <c r="CI56" s="7" t="b">
        <f>C56=GenRev!C56</f>
        <v>1</v>
      </c>
    </row>
    <row r="57" spans="1:87">
      <c r="A57" s="12" t="s">
        <v>248</v>
      </c>
      <c r="B57" s="12"/>
      <c r="C57" s="12" t="s">
        <v>18</v>
      </c>
      <c r="D57" s="12"/>
      <c r="E57" s="12">
        <v>46383</v>
      </c>
      <c r="F57" s="10"/>
      <c r="G57" s="7">
        <v>5722359</v>
      </c>
      <c r="I57" s="7">
        <v>791756</v>
      </c>
      <c r="K57" s="7">
        <v>303472</v>
      </c>
      <c r="M57" s="7">
        <v>0</v>
      </c>
      <c r="O57" s="7">
        <v>731259</v>
      </c>
      <c r="Q57" s="7">
        <v>487203</v>
      </c>
      <c r="S57" s="7">
        <v>1475800</v>
      </c>
      <c r="U57" s="7">
        <v>24167</v>
      </c>
      <c r="W57" s="7">
        <v>1353256</v>
      </c>
      <c r="Y57" s="7">
        <v>378639</v>
      </c>
      <c r="AA57" s="7">
        <v>7506</v>
      </c>
      <c r="AC57" s="7">
        <v>621465</v>
      </c>
      <c r="AE57" s="7">
        <v>844373</v>
      </c>
      <c r="AG57" s="7">
        <v>13143</v>
      </c>
      <c r="AI57" s="7">
        <v>0</v>
      </c>
      <c r="AK57" s="7">
        <v>2000</v>
      </c>
      <c r="AL57" s="12" t="s">
        <v>248</v>
      </c>
      <c r="AM57" s="12"/>
      <c r="AN57" s="12" t="s">
        <v>18</v>
      </c>
      <c r="AP57" s="7">
        <v>288791</v>
      </c>
      <c r="AR57" s="7">
        <v>0</v>
      </c>
      <c r="AT57" s="7">
        <v>0</v>
      </c>
      <c r="AV57" s="7">
        <v>0</v>
      </c>
      <c r="AX57" s="7">
        <v>0</v>
      </c>
      <c r="AZ57" s="7">
        <v>0</v>
      </c>
      <c r="BB57" s="7">
        <f t="shared" si="2"/>
        <v>13045189</v>
      </c>
      <c r="BD57" s="7">
        <v>0</v>
      </c>
      <c r="BF57" s="7">
        <v>0</v>
      </c>
      <c r="BH57" s="7">
        <v>0</v>
      </c>
      <c r="BJ57" s="7">
        <v>0</v>
      </c>
      <c r="BL57" s="7">
        <f t="shared" si="11"/>
        <v>13045189</v>
      </c>
      <c r="BN57" s="7">
        <f>+GenRev!AM57-GenExp!BL57</f>
        <v>269162</v>
      </c>
      <c r="BP57" s="7">
        <v>824983</v>
      </c>
      <c r="BR57" s="7">
        <v>0</v>
      </c>
      <c r="BT57" s="7">
        <v>0</v>
      </c>
      <c r="BV57" s="7">
        <f t="shared" si="12"/>
        <v>1094145</v>
      </c>
      <c r="BX57" s="8">
        <f>+BV57-'Gen Fd BS'!AE57+BT57</f>
        <v>0</v>
      </c>
      <c r="CB57" s="7" t="str">
        <f t="shared" si="3"/>
        <v>Blanchester Local SD</v>
      </c>
      <c r="CC57" s="7" t="b">
        <f t="shared" si="4"/>
        <v>1</v>
      </c>
      <c r="CE57" s="12" t="str">
        <f>GenRev!A57</f>
        <v>Blanchester Local SD</v>
      </c>
      <c r="CF57" s="7" t="b">
        <f t="shared" si="5"/>
        <v>1</v>
      </c>
      <c r="CG57" s="7" t="str">
        <f t="shared" si="6"/>
        <v>Clinton</v>
      </c>
      <c r="CH57" s="7" t="b">
        <f t="shared" si="7"/>
        <v>1</v>
      </c>
      <c r="CI57" s="7" t="b">
        <f>C57=GenRev!C57</f>
        <v>1</v>
      </c>
    </row>
    <row r="58" spans="1:87">
      <c r="A58" s="12" t="s">
        <v>299</v>
      </c>
      <c r="B58" s="12"/>
      <c r="C58" s="12" t="s">
        <v>25</v>
      </c>
      <c r="D58" s="12"/>
      <c r="E58" s="12">
        <v>46862</v>
      </c>
      <c r="G58" s="7">
        <v>5652134</v>
      </c>
      <c r="I58" s="7">
        <v>1185785</v>
      </c>
      <c r="K58" s="7">
        <v>242528</v>
      </c>
      <c r="M58" s="7">
        <v>0</v>
      </c>
      <c r="O58" s="7">
        <f>70880+514723</f>
        <v>585603</v>
      </c>
      <c r="Q58" s="7">
        <v>631201</v>
      </c>
      <c r="S58" s="7">
        <v>892439</v>
      </c>
      <c r="U58" s="7">
        <v>236522</v>
      </c>
      <c r="W58" s="7">
        <v>1682959</v>
      </c>
      <c r="Y58" s="7">
        <v>239100</v>
      </c>
      <c r="AA58" s="7">
        <v>0</v>
      </c>
      <c r="AC58" s="7">
        <v>1345335</v>
      </c>
      <c r="AE58" s="7">
        <v>1281988</v>
      </c>
      <c r="AG58" s="7">
        <v>56391</v>
      </c>
      <c r="AI58" s="7">
        <v>0</v>
      </c>
      <c r="AK58" s="7">
        <v>0</v>
      </c>
      <c r="AL58" s="12" t="s">
        <v>299</v>
      </c>
      <c r="AM58" s="12"/>
      <c r="AN58" s="12" t="s">
        <v>25</v>
      </c>
      <c r="AP58" s="7">
        <v>520688</v>
      </c>
      <c r="AR58" s="7">
        <v>0</v>
      </c>
      <c r="AT58" s="7">
        <v>0</v>
      </c>
      <c r="AV58" s="7">
        <v>0</v>
      </c>
      <c r="AX58" s="7">
        <v>0</v>
      </c>
      <c r="AZ58" s="7">
        <v>0</v>
      </c>
      <c r="BB58" s="7">
        <f t="shared" si="2"/>
        <v>14552673</v>
      </c>
      <c r="BD58" s="7">
        <v>20000</v>
      </c>
      <c r="BF58" s="7">
        <v>0</v>
      </c>
      <c r="BH58" s="7">
        <v>0</v>
      </c>
      <c r="BJ58" s="7">
        <v>0</v>
      </c>
      <c r="BL58" s="7">
        <f t="shared" si="11"/>
        <v>14572673</v>
      </c>
      <c r="BN58" s="7">
        <f>+GenRev!AM58-GenExp!BL58</f>
        <v>-499627</v>
      </c>
      <c r="BP58" s="7">
        <v>2154414</v>
      </c>
      <c r="BR58" s="7">
        <v>0</v>
      </c>
      <c r="BT58" s="7">
        <v>0</v>
      </c>
      <c r="BV58" s="7">
        <f t="shared" si="12"/>
        <v>1654787</v>
      </c>
      <c r="BX58" s="8">
        <f>+BV58-'Gen Fd BS'!AE58+BT58</f>
        <v>0</v>
      </c>
      <c r="CB58" s="7" t="str">
        <f t="shared" si="3"/>
        <v>Bloom-Carroll Local SD</v>
      </c>
      <c r="CC58" s="7" t="b">
        <f t="shared" si="4"/>
        <v>1</v>
      </c>
      <c r="CE58" s="12" t="str">
        <f>GenRev!A58</f>
        <v>Bloom-Carroll Local SD</v>
      </c>
      <c r="CF58" s="7" t="b">
        <f t="shared" si="5"/>
        <v>1</v>
      </c>
      <c r="CG58" s="7" t="str">
        <f t="shared" si="6"/>
        <v>Fairfield</v>
      </c>
      <c r="CH58" s="7" t="b">
        <f t="shared" si="7"/>
        <v>1</v>
      </c>
      <c r="CI58" s="7" t="b">
        <f>C58=GenRev!C58</f>
        <v>1</v>
      </c>
    </row>
    <row r="59" spans="1:87">
      <c r="A59" s="12" t="s">
        <v>534</v>
      </c>
      <c r="B59" s="12"/>
      <c r="C59" s="12" t="s">
        <v>64</v>
      </c>
      <c r="D59" s="12"/>
      <c r="E59" s="12">
        <v>50096</v>
      </c>
      <c r="G59" s="7">
        <v>1400356</v>
      </c>
      <c r="I59" s="7">
        <v>180023</v>
      </c>
      <c r="K59" s="7">
        <v>69515</v>
      </c>
      <c r="M59" s="7">
        <v>0</v>
      </c>
      <c r="O59" s="7">
        <v>0</v>
      </c>
      <c r="Q59" s="7">
        <v>85885</v>
      </c>
      <c r="S59" s="7">
        <v>54256</v>
      </c>
      <c r="U59" s="7">
        <v>14135</v>
      </c>
      <c r="W59" s="7">
        <v>431071</v>
      </c>
      <c r="Y59" s="7">
        <v>216835</v>
      </c>
      <c r="AA59" s="7">
        <v>0</v>
      </c>
      <c r="AC59" s="7">
        <v>312361</v>
      </c>
      <c r="AE59" s="7">
        <v>234686</v>
      </c>
      <c r="AG59" s="7">
        <v>0</v>
      </c>
      <c r="AI59" s="7">
        <v>0</v>
      </c>
      <c r="AK59" s="7">
        <v>0</v>
      </c>
      <c r="AL59" s="12" t="s">
        <v>534</v>
      </c>
      <c r="AM59" s="12"/>
      <c r="AN59" s="12" t="s">
        <v>64</v>
      </c>
      <c r="AP59" s="7">
        <v>57505</v>
      </c>
      <c r="AR59" s="7">
        <v>0</v>
      </c>
      <c r="AT59" s="7">
        <v>0</v>
      </c>
      <c r="AV59" s="7">
        <v>14724</v>
      </c>
      <c r="AX59" s="7">
        <v>1485</v>
      </c>
      <c r="AZ59" s="7">
        <v>0</v>
      </c>
      <c r="BB59" s="7">
        <f t="shared" si="2"/>
        <v>3072837</v>
      </c>
      <c r="BD59" s="7">
        <v>0</v>
      </c>
      <c r="BF59" s="7">
        <v>0</v>
      </c>
      <c r="BH59" s="7">
        <v>0</v>
      </c>
      <c r="BJ59" s="7">
        <v>0</v>
      </c>
      <c r="BL59" s="7">
        <f t="shared" si="11"/>
        <v>3072837</v>
      </c>
      <c r="BN59" s="7">
        <f>+GenRev!AM59-GenExp!BL59</f>
        <v>-122768</v>
      </c>
      <c r="BP59" s="7">
        <v>350079</v>
      </c>
      <c r="BR59" s="7">
        <v>0</v>
      </c>
      <c r="BT59" s="7">
        <v>0</v>
      </c>
      <c r="BV59" s="7">
        <f t="shared" si="12"/>
        <v>227311</v>
      </c>
      <c r="BX59" s="8">
        <f>+BV59-'Gen Fd BS'!AE59+BT59</f>
        <v>0</v>
      </c>
      <c r="CB59" s="7" t="str">
        <f t="shared" si="3"/>
        <v>Bloomfield-Mespo Local SD</v>
      </c>
      <c r="CC59" s="7" t="b">
        <f t="shared" si="4"/>
        <v>1</v>
      </c>
      <c r="CE59" s="12" t="str">
        <f>GenRev!A59</f>
        <v>Bloomfield-Mespo Local SD</v>
      </c>
      <c r="CF59" s="7" t="b">
        <f t="shared" si="5"/>
        <v>1</v>
      </c>
      <c r="CG59" s="7" t="str">
        <f t="shared" si="6"/>
        <v>Trumbull</v>
      </c>
      <c r="CH59" s="7" t="b">
        <f t="shared" si="7"/>
        <v>1</v>
      </c>
      <c r="CI59" s="7" t="b">
        <f>C59=GenRev!C59</f>
        <v>1</v>
      </c>
    </row>
    <row r="60" spans="1:87">
      <c r="A60" s="12" t="s">
        <v>494</v>
      </c>
      <c r="B60" s="12"/>
      <c r="C60" s="12" t="s">
        <v>59</v>
      </c>
      <c r="D60" s="12"/>
      <c r="E60" s="12">
        <v>49593</v>
      </c>
      <c r="G60" s="7">
        <v>4242012</v>
      </c>
      <c r="I60" s="7">
        <v>626793</v>
      </c>
      <c r="K60" s="7">
        <v>10906</v>
      </c>
      <c r="M60" s="7">
        <v>0</v>
      </c>
      <c r="O60" s="7">
        <v>126419</v>
      </c>
      <c r="Q60" s="7">
        <v>244246</v>
      </c>
      <c r="S60" s="7">
        <v>250756</v>
      </c>
      <c r="U60" s="7">
        <v>34226</v>
      </c>
      <c r="W60" s="7">
        <v>744280</v>
      </c>
      <c r="Y60" s="7">
        <v>170893</v>
      </c>
      <c r="AA60" s="7">
        <v>22492</v>
      </c>
      <c r="AC60" s="7">
        <v>522513</v>
      </c>
      <c r="AE60" s="7">
        <v>734279</v>
      </c>
      <c r="AG60" s="7">
        <v>4166</v>
      </c>
      <c r="AI60" s="7">
        <v>10048</v>
      </c>
      <c r="AK60" s="7">
        <v>118</v>
      </c>
      <c r="AL60" s="12" t="s">
        <v>494</v>
      </c>
      <c r="AM60" s="12"/>
      <c r="AN60" s="12" t="s">
        <v>59</v>
      </c>
      <c r="AP60" s="7">
        <v>122729</v>
      </c>
      <c r="AR60" s="7">
        <v>493801</v>
      </c>
      <c r="AT60" s="7">
        <v>37500</v>
      </c>
      <c r="AV60" s="7">
        <v>0</v>
      </c>
      <c r="AX60" s="7">
        <v>12100</v>
      </c>
      <c r="AZ60" s="7">
        <v>0</v>
      </c>
      <c r="BB60" s="7">
        <f t="shared" ref="BB60" si="13">SUM(G60:AZ60)</f>
        <v>8410277</v>
      </c>
      <c r="BD60" s="7">
        <v>323</v>
      </c>
      <c r="BF60" s="7">
        <v>0</v>
      </c>
      <c r="BH60" s="7">
        <v>0</v>
      </c>
      <c r="BJ60" s="7">
        <v>0</v>
      </c>
      <c r="BL60" s="7">
        <f t="shared" ref="BL60" si="14">+BB60+BD60+BF60+BJ60</f>
        <v>8410600</v>
      </c>
      <c r="BN60" s="7">
        <f>+GenRev!AM60-GenExp!BL60</f>
        <v>310301</v>
      </c>
      <c r="BP60" s="7">
        <v>439133</v>
      </c>
      <c r="BR60" s="7">
        <v>0</v>
      </c>
      <c r="BT60" s="7">
        <v>0</v>
      </c>
      <c r="BV60" s="7">
        <f t="shared" ref="BV60" si="15">+BP60+BN60-BR60</f>
        <v>749434</v>
      </c>
      <c r="BX60" s="8">
        <f>+BV60-'Gen Fd BS'!AE60+BT60</f>
        <v>0</v>
      </c>
      <c r="CB60" s="7" t="str">
        <f t="shared" ref="CB60" si="16">A60</f>
        <v>Bloom-Vernon Local SD</v>
      </c>
      <c r="CC60" s="7" t="b">
        <f t="shared" si="4"/>
        <v>1</v>
      </c>
      <c r="CE60" s="12" t="str">
        <f>GenRev!A60</f>
        <v>Bloom-Vernon Local SD</v>
      </c>
      <c r="CF60" s="7" t="b">
        <f t="shared" ref="CF60" si="17">CB60=CE60</f>
        <v>1</v>
      </c>
      <c r="CG60" s="7" t="str">
        <f t="shared" si="6"/>
        <v>Scioto</v>
      </c>
      <c r="CH60" s="7" t="b">
        <f t="shared" si="7"/>
        <v>1</v>
      </c>
      <c r="CI60" s="7" t="b">
        <f>C60=GenRev!C60</f>
        <v>1</v>
      </c>
    </row>
    <row r="61" spans="1:87" hidden="1">
      <c r="A61" s="12" t="s">
        <v>676</v>
      </c>
      <c r="B61" s="12"/>
      <c r="C61" s="12" t="s">
        <v>10</v>
      </c>
      <c r="D61" s="12"/>
      <c r="E61" s="12">
        <v>49593</v>
      </c>
      <c r="AL61" s="12" t="s">
        <v>676</v>
      </c>
      <c r="AM61" s="12"/>
      <c r="AN61" s="12" t="s">
        <v>10</v>
      </c>
      <c r="BB61" s="7">
        <f>SUM(G61:AZ61)</f>
        <v>0</v>
      </c>
      <c r="BF61" s="7">
        <v>0</v>
      </c>
      <c r="BH61" s="7">
        <v>0</v>
      </c>
      <c r="BL61" s="7">
        <f t="shared" si="11"/>
        <v>0</v>
      </c>
      <c r="BN61" s="7">
        <f>+GenRev!AM61-GenExp!BL61</f>
        <v>0</v>
      </c>
      <c r="BR61" s="7">
        <v>0</v>
      </c>
      <c r="BT61" s="7">
        <v>0</v>
      </c>
      <c r="BV61" s="7">
        <f t="shared" si="12"/>
        <v>0</v>
      </c>
      <c r="BX61" s="8">
        <f>+BV61-'Gen Fd BS'!AE61+BT61</f>
        <v>0</v>
      </c>
      <c r="CA61" s="7" t="s">
        <v>778</v>
      </c>
      <c r="CB61" s="7" t="str">
        <f t="shared" si="3"/>
        <v>Bluffton Ex Vill SD (OCBOA)</v>
      </c>
      <c r="CC61" s="7" t="b">
        <f t="shared" si="4"/>
        <v>1</v>
      </c>
      <c r="CE61" s="12" t="str">
        <f>GenRev!A61</f>
        <v>Bluffton Ex Vill SD (OCBOA)</v>
      </c>
      <c r="CF61" s="7" t="b">
        <f t="shared" si="5"/>
        <v>1</v>
      </c>
      <c r="CG61" s="7" t="str">
        <f t="shared" si="6"/>
        <v>Allen</v>
      </c>
      <c r="CH61" s="7" t="b">
        <f t="shared" si="7"/>
        <v>1</v>
      </c>
      <c r="CI61" s="7" t="b">
        <f>C61=GenRev!C61</f>
        <v>1</v>
      </c>
    </row>
    <row r="62" spans="1:87">
      <c r="A62" s="12" t="s">
        <v>415</v>
      </c>
      <c r="B62" s="12"/>
      <c r="C62" s="12" t="s">
        <v>45</v>
      </c>
      <c r="D62" s="12"/>
      <c r="E62" s="12">
        <v>48306</v>
      </c>
      <c r="G62" s="7">
        <v>22034312</v>
      </c>
      <c r="I62" s="7">
        <v>3959878</v>
      </c>
      <c r="K62" s="7">
        <v>0</v>
      </c>
      <c r="M62" s="7">
        <v>6174</v>
      </c>
      <c r="O62" s="7">
        <v>149855</v>
      </c>
      <c r="Q62" s="7">
        <v>1618411</v>
      </c>
      <c r="S62" s="7">
        <v>2290036</v>
      </c>
      <c r="U62" s="7">
        <v>159692</v>
      </c>
      <c r="W62" s="7">
        <v>2615204</v>
      </c>
      <c r="Y62" s="7">
        <v>997736</v>
      </c>
      <c r="AA62" s="7">
        <v>149724</v>
      </c>
      <c r="AC62" s="7">
        <v>4417837</v>
      </c>
      <c r="AE62" s="7">
        <v>2902084</v>
      </c>
      <c r="AG62" s="7">
        <v>14193</v>
      </c>
      <c r="AI62" s="7">
        <v>0</v>
      </c>
      <c r="AK62" s="7">
        <v>272767</v>
      </c>
      <c r="AL62" s="12" t="s">
        <v>415</v>
      </c>
      <c r="AM62" s="12"/>
      <c r="AN62" s="12" t="s">
        <v>45</v>
      </c>
      <c r="AP62" s="7">
        <v>757514</v>
      </c>
      <c r="AR62" s="7">
        <v>18132</v>
      </c>
      <c r="AT62" s="7">
        <v>0</v>
      </c>
      <c r="AV62" s="7">
        <v>0</v>
      </c>
      <c r="AX62" s="7">
        <v>0</v>
      </c>
      <c r="AZ62" s="7">
        <v>0</v>
      </c>
      <c r="BB62" s="7">
        <f t="shared" si="2"/>
        <v>42363549</v>
      </c>
      <c r="BD62" s="7">
        <v>467671</v>
      </c>
      <c r="BF62" s="7">
        <v>0</v>
      </c>
      <c r="BH62" s="7">
        <v>0</v>
      </c>
      <c r="BJ62" s="7">
        <v>0</v>
      </c>
      <c r="BL62" s="7">
        <f t="shared" si="11"/>
        <v>42831220</v>
      </c>
      <c r="BN62" s="7">
        <f>+GenRev!AM62-GenExp!BL62</f>
        <v>-2535794</v>
      </c>
      <c r="BP62" s="7">
        <v>5364502</v>
      </c>
      <c r="BR62" s="7">
        <v>0</v>
      </c>
      <c r="BT62" s="7">
        <v>0</v>
      </c>
      <c r="BV62" s="7">
        <f t="shared" si="12"/>
        <v>2828708</v>
      </c>
      <c r="BX62" s="8">
        <f>+BV62-'Gen Fd BS'!AE62+BT62</f>
        <v>0</v>
      </c>
      <c r="CB62" s="7" t="str">
        <f t="shared" si="3"/>
        <v>Boardman Local SD</v>
      </c>
      <c r="CC62" s="7" t="b">
        <f t="shared" si="4"/>
        <v>1</v>
      </c>
      <c r="CE62" s="12" t="str">
        <f>GenRev!A62</f>
        <v>Boardman Local SD</v>
      </c>
      <c r="CF62" s="7" t="b">
        <f t="shared" si="5"/>
        <v>1</v>
      </c>
      <c r="CG62" s="7" t="str">
        <f t="shared" si="6"/>
        <v>Mahoning</v>
      </c>
      <c r="CH62" s="7" t="b">
        <f t="shared" si="7"/>
        <v>1</v>
      </c>
      <c r="CI62" s="7" t="b">
        <f>C62=GenRev!C62</f>
        <v>1</v>
      </c>
    </row>
    <row r="63" spans="1:87">
      <c r="A63" s="12" t="s">
        <v>504</v>
      </c>
      <c r="B63" s="12"/>
      <c r="C63" s="12" t="s">
        <v>61</v>
      </c>
      <c r="D63" s="12"/>
      <c r="E63" s="12">
        <v>49767</v>
      </c>
      <c r="G63" s="7">
        <v>2136126</v>
      </c>
      <c r="I63" s="7">
        <v>329080</v>
      </c>
      <c r="K63" s="7">
        <v>150955</v>
      </c>
      <c r="M63" s="7">
        <v>0</v>
      </c>
      <c r="O63" s="7">
        <f>12368+18543</f>
        <v>30911</v>
      </c>
      <c r="Q63" s="7">
        <v>130821</v>
      </c>
      <c r="S63" s="7">
        <v>205792</v>
      </c>
      <c r="U63" s="7">
        <v>5466</v>
      </c>
      <c r="W63" s="7">
        <v>417903</v>
      </c>
      <c r="Y63" s="7">
        <v>169127</v>
      </c>
      <c r="AA63" s="7">
        <v>0</v>
      </c>
      <c r="AC63" s="7">
        <v>241081</v>
      </c>
      <c r="AE63" s="7">
        <v>89807</v>
      </c>
      <c r="AG63" s="7">
        <v>10273</v>
      </c>
      <c r="AI63" s="7">
        <v>0</v>
      </c>
      <c r="AK63" s="7">
        <v>0</v>
      </c>
      <c r="AL63" s="12" t="s">
        <v>504</v>
      </c>
      <c r="AM63" s="12"/>
      <c r="AN63" s="12" t="s">
        <v>61</v>
      </c>
      <c r="AP63" s="7">
        <v>176072</v>
      </c>
      <c r="AR63" s="7">
        <v>0</v>
      </c>
      <c r="AT63" s="7">
        <v>0</v>
      </c>
      <c r="AV63" s="7">
        <v>0</v>
      </c>
      <c r="AX63" s="7">
        <v>0</v>
      </c>
      <c r="AZ63" s="7">
        <v>0</v>
      </c>
      <c r="BB63" s="7">
        <f t="shared" si="2"/>
        <v>4093414</v>
      </c>
      <c r="BD63" s="7">
        <v>0</v>
      </c>
      <c r="BF63" s="7">
        <v>0</v>
      </c>
      <c r="BH63" s="7">
        <v>0</v>
      </c>
      <c r="BJ63" s="7">
        <v>0</v>
      </c>
      <c r="BL63" s="7">
        <f t="shared" si="11"/>
        <v>4093414</v>
      </c>
      <c r="BN63" s="7">
        <f>+GenRev!AM63-GenExp!BL63</f>
        <v>869049</v>
      </c>
      <c r="BP63" s="7">
        <v>1089228</v>
      </c>
      <c r="BR63" s="7">
        <v>0</v>
      </c>
      <c r="BT63" s="7">
        <v>0</v>
      </c>
      <c r="BV63" s="7">
        <f t="shared" si="12"/>
        <v>1958277</v>
      </c>
      <c r="BX63" s="8">
        <f>+BV63-'Gen Fd BS'!AE63+BT63</f>
        <v>0</v>
      </c>
      <c r="CB63" s="7" t="str">
        <f t="shared" si="3"/>
        <v>Botkins Local SD</v>
      </c>
      <c r="CC63" s="7" t="b">
        <f t="shared" si="4"/>
        <v>1</v>
      </c>
      <c r="CE63" s="12" t="str">
        <f>GenRev!A63</f>
        <v>Botkins Local SD</v>
      </c>
      <c r="CF63" s="7" t="b">
        <f t="shared" si="5"/>
        <v>1</v>
      </c>
      <c r="CG63" s="7" t="str">
        <f t="shared" si="6"/>
        <v>Shelby</v>
      </c>
      <c r="CH63" s="7" t="b">
        <f t="shared" si="7"/>
        <v>1</v>
      </c>
      <c r="CI63" s="7" t="b">
        <f>C63=GenRev!C63</f>
        <v>1</v>
      </c>
    </row>
    <row r="64" spans="1:87">
      <c r="A64" s="12" t="s">
        <v>572</v>
      </c>
      <c r="B64" s="12"/>
      <c r="C64" s="12" t="s">
        <v>72</v>
      </c>
      <c r="D64" s="12"/>
      <c r="E64" s="12">
        <v>43638</v>
      </c>
      <c r="G64" s="7">
        <v>18432981</v>
      </c>
      <c r="I64" s="7">
        <v>0</v>
      </c>
      <c r="K64" s="7">
        <v>0</v>
      </c>
      <c r="M64" s="7">
        <v>0</v>
      </c>
      <c r="O64" s="7">
        <v>0</v>
      </c>
      <c r="Q64" s="7">
        <v>10566256</v>
      </c>
      <c r="S64" s="7">
        <v>0</v>
      </c>
      <c r="U64" s="7">
        <v>0</v>
      </c>
      <c r="W64" s="7">
        <v>0</v>
      </c>
      <c r="Y64" s="7">
        <v>0</v>
      </c>
      <c r="AA64" s="7">
        <v>0</v>
      </c>
      <c r="AC64" s="7">
        <v>0</v>
      </c>
      <c r="AE64" s="7">
        <v>0</v>
      </c>
      <c r="AG64" s="7">
        <v>0</v>
      </c>
      <c r="AI64" s="7">
        <v>0</v>
      </c>
      <c r="AK64" s="7">
        <v>2036</v>
      </c>
      <c r="AL64" s="12" t="s">
        <v>572</v>
      </c>
      <c r="AM64" s="12"/>
      <c r="AN64" s="12" t="s">
        <v>72</v>
      </c>
      <c r="AP64" s="7">
        <v>632774</v>
      </c>
      <c r="AR64" s="7">
        <v>0</v>
      </c>
      <c r="AT64" s="7">
        <v>0</v>
      </c>
      <c r="AV64" s="7">
        <v>0</v>
      </c>
      <c r="AX64" s="7">
        <v>0</v>
      </c>
      <c r="AZ64" s="7">
        <v>0</v>
      </c>
      <c r="BB64" s="7">
        <f t="shared" si="2"/>
        <v>29634047</v>
      </c>
      <c r="BD64" s="7">
        <v>0</v>
      </c>
      <c r="BF64" s="7">
        <v>0</v>
      </c>
      <c r="BH64" s="7">
        <v>0</v>
      </c>
      <c r="BJ64" s="7">
        <v>381</v>
      </c>
      <c r="BL64" s="7">
        <f t="shared" si="11"/>
        <v>29634428</v>
      </c>
      <c r="BN64" s="7">
        <f>+GenRev!AM64-GenExp!BL64</f>
        <v>457983</v>
      </c>
      <c r="BP64" s="7">
        <v>8819363</v>
      </c>
      <c r="BR64" s="7">
        <v>0</v>
      </c>
      <c r="BT64" s="7">
        <v>0</v>
      </c>
      <c r="BV64" s="7">
        <f t="shared" si="12"/>
        <v>9277346</v>
      </c>
      <c r="BX64" s="8">
        <f>+BV64-'Gen Fd BS'!AE64+BT64</f>
        <v>0</v>
      </c>
      <c r="CB64" s="7" t="str">
        <f t="shared" si="3"/>
        <v>Bowling Green City SD</v>
      </c>
      <c r="CC64" s="7" t="b">
        <f t="shared" si="4"/>
        <v>1</v>
      </c>
      <c r="CE64" s="12" t="str">
        <f>GenRev!A64</f>
        <v>Bowling Green City SD</v>
      </c>
      <c r="CF64" s="7" t="b">
        <f t="shared" si="5"/>
        <v>1</v>
      </c>
      <c r="CG64" s="7" t="str">
        <f t="shared" si="6"/>
        <v>Wood</v>
      </c>
      <c r="CH64" s="7" t="b">
        <f t="shared" si="7"/>
        <v>1</v>
      </c>
      <c r="CI64" s="7" t="b">
        <f>C64=GenRev!C64</f>
        <v>1</v>
      </c>
    </row>
    <row r="65" spans="1:87" hidden="1">
      <c r="A65" s="12" t="s">
        <v>704</v>
      </c>
      <c r="B65" s="12"/>
      <c r="C65" s="12" t="s">
        <v>48</v>
      </c>
      <c r="D65" s="12"/>
      <c r="E65" s="12">
        <v>43646</v>
      </c>
      <c r="AL65" s="12" t="s">
        <v>704</v>
      </c>
      <c r="AM65" s="12"/>
      <c r="AN65" s="12" t="s">
        <v>48</v>
      </c>
      <c r="BB65" s="7">
        <f>SUM(G65:AZ65)</f>
        <v>0</v>
      </c>
      <c r="BF65" s="7">
        <v>0</v>
      </c>
      <c r="BH65" s="7">
        <v>0</v>
      </c>
      <c r="BL65" s="7">
        <f t="shared" si="11"/>
        <v>0</v>
      </c>
      <c r="BN65" s="7">
        <f>+GenRev!AM65-GenExp!BL65</f>
        <v>0</v>
      </c>
      <c r="BT65" s="7">
        <v>0</v>
      </c>
      <c r="BV65" s="7">
        <f t="shared" si="12"/>
        <v>0</v>
      </c>
      <c r="BX65" s="8">
        <f>+BV65-'Gen Fd BS'!AE65+BT65</f>
        <v>0</v>
      </c>
      <c r="CA65" s="7" t="s">
        <v>778</v>
      </c>
      <c r="CB65" s="7" t="str">
        <f t="shared" si="3"/>
        <v>Bradford Ex Vill SD (cash) Two year audit</v>
      </c>
      <c r="CC65" s="7" t="b">
        <f t="shared" si="4"/>
        <v>1</v>
      </c>
      <c r="CE65" s="12" t="str">
        <f>GenRev!A65</f>
        <v>Bradford Ex Vill SD (cash) Two year audit</v>
      </c>
      <c r="CF65" s="7" t="b">
        <f t="shared" si="5"/>
        <v>1</v>
      </c>
      <c r="CG65" s="7" t="str">
        <f t="shared" si="6"/>
        <v>Miami</v>
      </c>
      <c r="CH65" s="7" t="b">
        <f t="shared" si="7"/>
        <v>1</v>
      </c>
      <c r="CI65" s="7" t="b">
        <f>C65=GenRev!C65</f>
        <v>1</v>
      </c>
    </row>
    <row r="66" spans="1:87">
      <c r="A66" s="12" t="s">
        <v>895</v>
      </c>
      <c r="B66" s="12"/>
      <c r="C66" s="12" t="s">
        <v>20</v>
      </c>
      <c r="D66" s="12"/>
      <c r="E66" s="12">
        <v>43646</v>
      </c>
      <c r="G66" s="7">
        <v>21416035</v>
      </c>
      <c r="I66" s="7">
        <v>6086078</v>
      </c>
      <c r="K66" s="7">
        <v>129569</v>
      </c>
      <c r="M66" s="7">
        <v>0</v>
      </c>
      <c r="O66" s="7">
        <v>50573</v>
      </c>
      <c r="Q66" s="7">
        <v>3498550</v>
      </c>
      <c r="S66" s="7">
        <v>2932610</v>
      </c>
      <c r="U66" s="7">
        <v>85536</v>
      </c>
      <c r="W66" s="7">
        <v>3240682</v>
      </c>
      <c r="Y66" s="7">
        <v>1199705</v>
      </c>
      <c r="AA66" s="7">
        <v>428167</v>
      </c>
      <c r="AC66" s="7">
        <v>4247062</v>
      </c>
      <c r="AE66" s="7">
        <v>3069178</v>
      </c>
      <c r="AG66" s="7">
        <v>265225</v>
      </c>
      <c r="AI66" s="7">
        <v>0</v>
      </c>
      <c r="AK66" s="7">
        <v>0</v>
      </c>
      <c r="AL66" s="12" t="s">
        <v>895</v>
      </c>
      <c r="AM66" s="12"/>
      <c r="AN66" s="12" t="s">
        <v>20</v>
      </c>
      <c r="AP66" s="7">
        <v>790606</v>
      </c>
      <c r="AR66" s="7">
        <v>0</v>
      </c>
      <c r="AT66" s="7">
        <v>0</v>
      </c>
      <c r="AV66" s="7">
        <v>0</v>
      </c>
      <c r="AX66" s="7">
        <v>0</v>
      </c>
      <c r="AZ66" s="7">
        <v>0</v>
      </c>
      <c r="BB66" s="7">
        <f t="shared" si="2"/>
        <v>47439576</v>
      </c>
      <c r="BD66" s="7">
        <v>264019</v>
      </c>
      <c r="BF66" s="7">
        <v>0</v>
      </c>
      <c r="BH66" s="7">
        <v>0</v>
      </c>
      <c r="BJ66" s="7">
        <v>0</v>
      </c>
      <c r="BL66" s="7">
        <f t="shared" si="11"/>
        <v>47703595</v>
      </c>
      <c r="BN66" s="7">
        <f>+GenRev!AM66-GenExp!BL66</f>
        <v>393791</v>
      </c>
      <c r="BP66" s="7">
        <v>9776112</v>
      </c>
      <c r="BR66" s="7">
        <v>0</v>
      </c>
      <c r="BT66" s="7">
        <v>0</v>
      </c>
      <c r="BV66" s="7">
        <f t="shared" si="12"/>
        <v>10169903</v>
      </c>
      <c r="BX66" s="8">
        <f>+BV66-'Gen Fd BS'!AE66+BT66</f>
        <v>0</v>
      </c>
      <c r="CB66" s="7" t="str">
        <f t="shared" si="3"/>
        <v>Brecksville-Broadview Heights City SD</v>
      </c>
      <c r="CC66" s="7" t="b">
        <f t="shared" si="4"/>
        <v>1</v>
      </c>
      <c r="CE66" s="12" t="str">
        <f>GenRev!A66</f>
        <v>Brecksville-Broadview Heights City SD</v>
      </c>
      <c r="CF66" s="7" t="b">
        <f t="shared" si="5"/>
        <v>1</v>
      </c>
      <c r="CG66" s="7" t="str">
        <f t="shared" si="6"/>
        <v>Cuyahoga</v>
      </c>
      <c r="CH66" s="7" t="b">
        <f t="shared" si="7"/>
        <v>1</v>
      </c>
      <c r="CI66" s="7" t="b">
        <f>C66=GenRev!C66</f>
        <v>1</v>
      </c>
    </row>
    <row r="67" spans="1:87">
      <c r="A67" s="12" t="s">
        <v>860</v>
      </c>
      <c r="B67" s="12"/>
      <c r="C67" s="12" t="s">
        <v>15</v>
      </c>
      <c r="D67" s="12"/>
      <c r="E67" s="12">
        <v>45237</v>
      </c>
      <c r="F67" s="10"/>
      <c r="G67" s="7">
        <v>3066525</v>
      </c>
      <c r="I67" s="7">
        <v>471516</v>
      </c>
      <c r="K67" s="7">
        <v>38477</v>
      </c>
      <c r="M67" s="7">
        <v>0</v>
      </c>
      <c r="O67" s="7">
        <v>50536</v>
      </c>
      <c r="Q67" s="7">
        <v>206589</v>
      </c>
      <c r="S67" s="7">
        <v>383116</v>
      </c>
      <c r="U67" s="7">
        <v>33112</v>
      </c>
      <c r="W67" s="7">
        <v>542707</v>
      </c>
      <c r="Y67" s="7">
        <v>372096</v>
      </c>
      <c r="AA67" s="7">
        <v>0</v>
      </c>
      <c r="AC67" s="7">
        <v>765753</v>
      </c>
      <c r="AE67" s="7">
        <v>339346</v>
      </c>
      <c r="AG67" s="7">
        <v>7703</v>
      </c>
      <c r="AI67" s="7">
        <v>0</v>
      </c>
      <c r="AK67" s="7">
        <v>0</v>
      </c>
      <c r="AL67" s="12" t="s">
        <v>860</v>
      </c>
      <c r="AM67" s="12"/>
      <c r="AN67" s="12" t="s">
        <v>15</v>
      </c>
      <c r="AP67" s="7">
        <v>91344</v>
      </c>
      <c r="AR67" s="7">
        <v>0</v>
      </c>
      <c r="AT67" s="7">
        <v>0</v>
      </c>
      <c r="AV67" s="7">
        <v>15258</v>
      </c>
      <c r="AX67" s="7">
        <v>690</v>
      </c>
      <c r="AZ67" s="7">
        <v>0</v>
      </c>
      <c r="BB67" s="7">
        <f t="shared" si="2"/>
        <v>6384768</v>
      </c>
      <c r="BD67" s="7">
        <v>40000</v>
      </c>
      <c r="BF67" s="7">
        <v>0</v>
      </c>
      <c r="BH67" s="7">
        <v>0</v>
      </c>
      <c r="BJ67" s="7">
        <v>0</v>
      </c>
      <c r="BL67" s="7">
        <f t="shared" si="11"/>
        <v>6424768</v>
      </c>
      <c r="BN67" s="7">
        <f>+GenRev!AM67-GenExp!BL67</f>
        <v>270077</v>
      </c>
      <c r="BP67" s="7">
        <v>53540</v>
      </c>
      <c r="BR67" s="7">
        <v>0</v>
      </c>
      <c r="BT67" s="7">
        <v>0</v>
      </c>
      <c r="BV67" s="7">
        <f t="shared" si="12"/>
        <v>323617</v>
      </c>
      <c r="BX67" s="8">
        <f>+BV67-'Gen Fd BS'!AE67+BT67</f>
        <v>0</v>
      </c>
      <c r="CB67" s="7" t="str">
        <f t="shared" si="3"/>
        <v>Bridgeport Exempted Village SD</v>
      </c>
      <c r="CC67" s="7" t="b">
        <f t="shared" si="4"/>
        <v>1</v>
      </c>
      <c r="CE67" s="12" t="str">
        <f>GenRev!A67</f>
        <v>Bridgeport Exempted Village SD</v>
      </c>
      <c r="CF67" s="7" t="b">
        <f t="shared" si="5"/>
        <v>1</v>
      </c>
      <c r="CG67" s="7" t="str">
        <f t="shared" si="6"/>
        <v>Belmont</v>
      </c>
      <c r="CH67" s="7" t="b">
        <f t="shared" si="7"/>
        <v>1</v>
      </c>
      <c r="CI67" s="7" t="b">
        <f>C67=GenRev!C67</f>
        <v>1</v>
      </c>
    </row>
    <row r="68" spans="1:87" hidden="1">
      <c r="A68" s="12" t="s">
        <v>906</v>
      </c>
      <c r="B68" s="12"/>
      <c r="C68" s="12" t="s">
        <v>358</v>
      </c>
      <c r="D68" s="12"/>
      <c r="E68" s="12">
        <v>47613</v>
      </c>
      <c r="AL68" s="12" t="s">
        <v>906</v>
      </c>
      <c r="AM68" s="12"/>
      <c r="AN68" s="12" t="s">
        <v>358</v>
      </c>
      <c r="BB68" s="7">
        <f t="shared" si="2"/>
        <v>0</v>
      </c>
      <c r="BF68" s="7">
        <v>0</v>
      </c>
      <c r="BH68" s="7">
        <v>0</v>
      </c>
      <c r="BL68" s="7">
        <f t="shared" si="11"/>
        <v>0</v>
      </c>
      <c r="BN68" s="7">
        <f>+GenRev!AM68-GenExp!BL68</f>
        <v>0</v>
      </c>
      <c r="BT68" s="7">
        <v>0</v>
      </c>
      <c r="BV68" s="7">
        <f t="shared" si="12"/>
        <v>0</v>
      </c>
      <c r="BX68" s="8">
        <f>+BV68-'Gen Fd BS'!AE68+BT68</f>
        <v>0</v>
      </c>
      <c r="CA68" s="7" t="s">
        <v>903</v>
      </c>
      <c r="CB68" s="7" t="str">
        <f t="shared" si="3"/>
        <v>Bright Local SD (CASH)</v>
      </c>
      <c r="CC68" s="7" t="b">
        <f t="shared" si="4"/>
        <v>1</v>
      </c>
      <c r="CE68" s="12" t="str">
        <f>GenRev!A68</f>
        <v>Bright Local SD (CASH)</v>
      </c>
      <c r="CF68" s="7" t="b">
        <f t="shared" si="5"/>
        <v>1</v>
      </c>
      <c r="CG68" s="7" t="str">
        <f t="shared" si="6"/>
        <v>Highland</v>
      </c>
      <c r="CH68" s="7" t="b">
        <f t="shared" si="7"/>
        <v>1</v>
      </c>
      <c r="CI68" s="7" t="b">
        <f>C68=GenRev!C68</f>
        <v>1</v>
      </c>
    </row>
    <row r="69" spans="1:87">
      <c r="A69" s="12" t="s">
        <v>535</v>
      </c>
      <c r="B69" s="12"/>
      <c r="C69" s="12" t="s">
        <v>64</v>
      </c>
      <c r="D69" s="12"/>
      <c r="E69" s="12">
        <v>50112</v>
      </c>
      <c r="G69" s="7">
        <v>3530475</v>
      </c>
      <c r="I69" s="7">
        <v>389659</v>
      </c>
      <c r="K69" s="7">
        <v>57789</v>
      </c>
      <c r="M69" s="7">
        <v>0</v>
      </c>
      <c r="O69" s="7">
        <v>6547</v>
      </c>
      <c r="Q69" s="7">
        <v>238749</v>
      </c>
      <c r="S69" s="7">
        <v>51682</v>
      </c>
      <c r="U69" s="7">
        <v>35787</v>
      </c>
      <c r="W69" s="7">
        <v>602331</v>
      </c>
      <c r="Y69" s="7">
        <v>231299</v>
      </c>
      <c r="AA69" s="7">
        <v>25256</v>
      </c>
      <c r="AC69" s="7">
        <v>513178</v>
      </c>
      <c r="AE69" s="7">
        <v>354295</v>
      </c>
      <c r="AG69" s="7">
        <v>5299</v>
      </c>
      <c r="AI69" s="7">
        <v>0</v>
      </c>
      <c r="AK69" s="7">
        <v>0</v>
      </c>
      <c r="AL69" s="12" t="s">
        <v>535</v>
      </c>
      <c r="AM69" s="12"/>
      <c r="AN69" s="12" t="s">
        <v>64</v>
      </c>
      <c r="AP69" s="7">
        <v>67989</v>
      </c>
      <c r="AR69" s="7">
        <v>8990</v>
      </c>
      <c r="AT69" s="7">
        <v>0</v>
      </c>
      <c r="AV69" s="7">
        <v>0</v>
      </c>
      <c r="AX69" s="7">
        <v>0</v>
      </c>
      <c r="AZ69" s="7">
        <v>0</v>
      </c>
      <c r="BB69" s="7">
        <f t="shared" si="2"/>
        <v>6119325</v>
      </c>
      <c r="BD69" s="7">
        <v>98894</v>
      </c>
      <c r="BF69" s="7">
        <v>0</v>
      </c>
      <c r="BH69" s="7">
        <v>0</v>
      </c>
      <c r="BJ69" s="7">
        <v>0</v>
      </c>
      <c r="BL69" s="7">
        <f t="shared" si="11"/>
        <v>6218219</v>
      </c>
      <c r="BN69" s="7">
        <f>+GenRev!AM69-GenExp!BL69</f>
        <v>122445</v>
      </c>
      <c r="BP69" s="7">
        <v>1653572</v>
      </c>
      <c r="BR69" s="7">
        <v>0</v>
      </c>
      <c r="BT69" s="7">
        <v>0</v>
      </c>
      <c r="BV69" s="7">
        <f t="shared" si="12"/>
        <v>1776017</v>
      </c>
      <c r="BX69" s="8">
        <f>+BV69-'Gen Fd BS'!AE69+BT69</f>
        <v>0</v>
      </c>
      <c r="CB69" s="7" t="str">
        <f t="shared" si="3"/>
        <v>Bristol Local SD</v>
      </c>
      <c r="CC69" s="7" t="b">
        <f t="shared" si="4"/>
        <v>1</v>
      </c>
      <c r="CE69" s="12" t="str">
        <f>GenRev!A69</f>
        <v>Bristol Local SD</v>
      </c>
      <c r="CF69" s="7" t="b">
        <f t="shared" si="5"/>
        <v>1</v>
      </c>
      <c r="CG69" s="7" t="str">
        <f t="shared" si="6"/>
        <v>Trumbull</v>
      </c>
      <c r="CH69" s="7" t="b">
        <f t="shared" si="7"/>
        <v>1</v>
      </c>
      <c r="CI69" s="7" t="b">
        <f>C69=GenRev!C69</f>
        <v>1</v>
      </c>
    </row>
    <row r="70" spans="1:87">
      <c r="A70" s="12" t="s">
        <v>706</v>
      </c>
      <c r="B70" s="12"/>
      <c r="C70" s="12" t="s">
        <v>64</v>
      </c>
      <c r="D70" s="12"/>
      <c r="E70" s="12">
        <v>50120</v>
      </c>
      <c r="G70" s="7">
        <v>5001339</v>
      </c>
      <c r="I70" s="7">
        <v>876302</v>
      </c>
      <c r="K70" s="7">
        <v>153753</v>
      </c>
      <c r="M70" s="7">
        <v>0</v>
      </c>
      <c r="O70" s="7">
        <v>0</v>
      </c>
      <c r="Q70" s="7">
        <v>552160</v>
      </c>
      <c r="S70" s="7">
        <v>261989</v>
      </c>
      <c r="U70" s="7">
        <v>13737</v>
      </c>
      <c r="W70" s="7">
        <v>389026</v>
      </c>
      <c r="Y70" s="7">
        <v>277419</v>
      </c>
      <c r="AA70" s="7">
        <v>36330</v>
      </c>
      <c r="AC70" s="7">
        <v>1046742</v>
      </c>
      <c r="AE70" s="7">
        <v>691916</v>
      </c>
      <c r="AG70" s="7">
        <v>1954</v>
      </c>
      <c r="AI70" s="7">
        <v>0</v>
      </c>
      <c r="AK70" s="7">
        <v>0</v>
      </c>
      <c r="AL70" s="12" t="s">
        <v>706</v>
      </c>
      <c r="AM70" s="12"/>
      <c r="AN70" s="12" t="s">
        <v>64</v>
      </c>
      <c r="AP70" s="7">
        <v>286694</v>
      </c>
      <c r="AR70" s="7">
        <v>0</v>
      </c>
      <c r="AT70" s="7">
        <v>0</v>
      </c>
      <c r="AV70" s="7">
        <v>18965</v>
      </c>
      <c r="AX70" s="7">
        <v>5039</v>
      </c>
      <c r="AZ70" s="7">
        <v>0</v>
      </c>
      <c r="BB70" s="7">
        <f t="shared" si="2"/>
        <v>9613365</v>
      </c>
      <c r="BD70" s="7">
        <v>0</v>
      </c>
      <c r="BF70" s="7">
        <v>0</v>
      </c>
      <c r="BH70" s="7">
        <v>0</v>
      </c>
      <c r="BJ70" s="7">
        <v>0</v>
      </c>
      <c r="BL70" s="7">
        <f t="shared" si="11"/>
        <v>9613365</v>
      </c>
      <c r="BN70" s="7">
        <f>+GenRev!AM70-GenExp!BL70</f>
        <v>-354823</v>
      </c>
      <c r="BP70" s="7">
        <v>-1008592</v>
      </c>
      <c r="BR70" s="7">
        <v>0</v>
      </c>
      <c r="BT70" s="7">
        <v>0</v>
      </c>
      <c r="BV70" s="7">
        <f t="shared" si="12"/>
        <v>-1363415</v>
      </c>
      <c r="BX70" s="8">
        <f>+BV70-'Gen Fd BS'!AE70+BT70</f>
        <v>0</v>
      </c>
      <c r="CB70" s="7" t="str">
        <f t="shared" si="3"/>
        <v xml:space="preserve">Brookfield Local SD </v>
      </c>
      <c r="CC70" s="7" t="b">
        <f t="shared" si="4"/>
        <v>1</v>
      </c>
      <c r="CE70" s="12" t="str">
        <f>GenRev!A70</f>
        <v xml:space="preserve">Brookfield Local SD </v>
      </c>
      <c r="CF70" s="7" t="b">
        <f t="shared" si="5"/>
        <v>1</v>
      </c>
      <c r="CG70" s="7" t="str">
        <f t="shared" si="6"/>
        <v>Trumbull</v>
      </c>
      <c r="CH70" s="7" t="b">
        <f t="shared" si="7"/>
        <v>1</v>
      </c>
      <c r="CI70" s="7" t="b">
        <f>C70=GenRev!C70</f>
        <v>1</v>
      </c>
    </row>
    <row r="71" spans="1:87">
      <c r="A71" s="12" t="s">
        <v>270</v>
      </c>
      <c r="B71" s="12"/>
      <c r="C71" s="12" t="s">
        <v>20</v>
      </c>
      <c r="D71" s="12"/>
      <c r="E71" s="12">
        <v>43653</v>
      </c>
      <c r="G71" s="7">
        <v>6779939</v>
      </c>
      <c r="I71" s="7">
        <v>2172161</v>
      </c>
      <c r="K71" s="7">
        <v>117455</v>
      </c>
      <c r="M71" s="7">
        <v>0</v>
      </c>
      <c r="O71" s="7">
        <v>0</v>
      </c>
      <c r="Q71" s="7">
        <v>1338288</v>
      </c>
      <c r="S71" s="7">
        <v>106058</v>
      </c>
      <c r="U71" s="7">
        <v>38511</v>
      </c>
      <c r="W71" s="7">
        <v>1494164</v>
      </c>
      <c r="Y71" s="7">
        <v>719554</v>
      </c>
      <c r="AA71" s="7">
        <v>94867</v>
      </c>
      <c r="AC71" s="7">
        <v>1181079</v>
      </c>
      <c r="AE71" s="7">
        <v>326670</v>
      </c>
      <c r="AG71" s="7">
        <v>232094</v>
      </c>
      <c r="AI71" s="7">
        <v>0</v>
      </c>
      <c r="AK71" s="7">
        <v>0</v>
      </c>
      <c r="AL71" s="12" t="s">
        <v>270</v>
      </c>
      <c r="AM71" s="12"/>
      <c r="AN71" s="12" t="s">
        <v>20</v>
      </c>
      <c r="AP71" s="7">
        <v>240380</v>
      </c>
      <c r="AR71" s="7">
        <v>2845</v>
      </c>
      <c r="AT71" s="7">
        <v>0</v>
      </c>
      <c r="AV71" s="7">
        <v>0</v>
      </c>
      <c r="AX71" s="7">
        <v>0</v>
      </c>
      <c r="AZ71" s="7">
        <v>0</v>
      </c>
      <c r="BB71" s="7">
        <f t="shared" si="2"/>
        <v>14844065</v>
      </c>
      <c r="BD71" s="7">
        <v>0</v>
      </c>
      <c r="BF71" s="7">
        <v>0</v>
      </c>
      <c r="BH71" s="7">
        <v>0</v>
      </c>
      <c r="BJ71" s="7">
        <v>0</v>
      </c>
      <c r="BL71" s="7">
        <f t="shared" si="11"/>
        <v>14844065</v>
      </c>
      <c r="BN71" s="7">
        <f>+GenRev!AM71-GenExp!BL71</f>
        <v>1370399</v>
      </c>
      <c r="BP71" s="7">
        <v>3261225</v>
      </c>
      <c r="BR71" s="7">
        <v>0</v>
      </c>
      <c r="BT71" s="7">
        <v>0</v>
      </c>
      <c r="BV71" s="7">
        <f t="shared" si="12"/>
        <v>4631624</v>
      </c>
      <c r="BX71" s="8">
        <f>+BV71-'Gen Fd BS'!AE71+BT71</f>
        <v>0</v>
      </c>
      <c r="CB71" s="7" t="str">
        <f t="shared" si="3"/>
        <v>Brooklyn City SD</v>
      </c>
      <c r="CC71" s="7" t="b">
        <f t="shared" si="4"/>
        <v>1</v>
      </c>
      <c r="CE71" s="12" t="str">
        <f>GenRev!A71</f>
        <v>Brooklyn City SD</v>
      </c>
      <c r="CF71" s="7" t="b">
        <f t="shared" si="5"/>
        <v>1</v>
      </c>
      <c r="CG71" s="7" t="str">
        <f t="shared" si="6"/>
        <v>Cuyahoga</v>
      </c>
      <c r="CH71" s="7" t="b">
        <f t="shared" si="7"/>
        <v>1</v>
      </c>
      <c r="CI71" s="7" t="b">
        <f>C71=GenRev!C71</f>
        <v>1</v>
      </c>
    </row>
    <row r="72" spans="1:87">
      <c r="A72" s="12" t="s">
        <v>441</v>
      </c>
      <c r="B72" s="12"/>
      <c r="C72" s="12" t="s">
        <v>50</v>
      </c>
      <c r="D72" s="12"/>
      <c r="E72" s="12">
        <v>48678</v>
      </c>
      <c r="G72" s="7">
        <v>5542826</v>
      </c>
      <c r="I72" s="7">
        <v>1053781</v>
      </c>
      <c r="K72" s="7">
        <v>171082</v>
      </c>
      <c r="M72" s="7">
        <v>0</v>
      </c>
      <c r="O72" s="7">
        <v>107016</v>
      </c>
      <c r="Q72" s="7">
        <v>852147</v>
      </c>
      <c r="S72" s="7">
        <v>819926</v>
      </c>
      <c r="U72" s="7">
        <v>21133</v>
      </c>
      <c r="W72" s="7">
        <v>1377063</v>
      </c>
      <c r="Y72" s="7">
        <v>314182</v>
      </c>
      <c r="AA72" s="7">
        <v>876</v>
      </c>
      <c r="AC72" s="7">
        <v>863650</v>
      </c>
      <c r="AE72" s="7">
        <v>695568</v>
      </c>
      <c r="AG72" s="7">
        <v>12319</v>
      </c>
      <c r="AI72" s="7">
        <v>0</v>
      </c>
      <c r="AK72" s="7">
        <v>63922</v>
      </c>
      <c r="AL72" s="12" t="s">
        <v>441</v>
      </c>
      <c r="AM72" s="12"/>
      <c r="AN72" s="12" t="s">
        <v>50</v>
      </c>
      <c r="AP72" s="7">
        <v>381369</v>
      </c>
      <c r="AR72" s="7">
        <v>8296</v>
      </c>
      <c r="AV72" s="7">
        <v>0</v>
      </c>
      <c r="AX72" s="7">
        <v>0</v>
      </c>
      <c r="AZ72" s="7">
        <v>0</v>
      </c>
      <c r="BB72" s="7">
        <f t="shared" si="2"/>
        <v>12285156</v>
      </c>
      <c r="BD72" s="7">
        <v>49171</v>
      </c>
      <c r="BF72" s="7">
        <v>0</v>
      </c>
      <c r="BH72" s="7">
        <v>0</v>
      </c>
      <c r="BJ72" s="7">
        <v>0</v>
      </c>
      <c r="BL72" s="7">
        <f t="shared" si="11"/>
        <v>12334327</v>
      </c>
      <c r="BN72" s="7">
        <f>+GenRev!AM72-GenExp!BL72</f>
        <v>-138631</v>
      </c>
      <c r="BP72" s="7">
        <v>3692590</v>
      </c>
      <c r="BR72" s="7">
        <v>0</v>
      </c>
      <c r="BT72" s="7">
        <v>0</v>
      </c>
      <c r="BV72" s="7">
        <f t="shared" si="12"/>
        <v>3553959</v>
      </c>
      <c r="BX72" s="8">
        <f>+BV72-'Gen Fd BS'!AE72+BT72</f>
        <v>0</v>
      </c>
      <c r="CB72" s="7" t="str">
        <f t="shared" si="3"/>
        <v>Brookville Local SD</v>
      </c>
      <c r="CC72" s="7" t="b">
        <f t="shared" si="4"/>
        <v>1</v>
      </c>
      <c r="CE72" s="12" t="str">
        <f>GenRev!A72</f>
        <v>Brookville Local SD</v>
      </c>
      <c r="CF72" s="7" t="b">
        <f t="shared" si="5"/>
        <v>1</v>
      </c>
      <c r="CG72" s="7" t="str">
        <f t="shared" si="6"/>
        <v>Montgomery</v>
      </c>
      <c r="CH72" s="7" t="b">
        <f t="shared" si="7"/>
        <v>1</v>
      </c>
      <c r="CI72" s="7" t="b">
        <f>C72=GenRev!C72</f>
        <v>1</v>
      </c>
    </row>
    <row r="73" spans="1:87">
      <c r="A73" s="12" t="s">
        <v>231</v>
      </c>
      <c r="B73" s="12"/>
      <c r="C73" s="12" t="s">
        <v>16</v>
      </c>
      <c r="D73" s="12"/>
      <c r="E73" s="12">
        <v>46177</v>
      </c>
      <c r="F73" s="10"/>
      <c r="G73" s="7">
        <v>3682758</v>
      </c>
      <c r="I73" s="7">
        <v>434462</v>
      </c>
      <c r="K73" s="7">
        <v>58360</v>
      </c>
      <c r="M73" s="7">
        <v>0</v>
      </c>
      <c r="O73" s="7">
        <v>0</v>
      </c>
      <c r="Q73" s="7">
        <v>131418</v>
      </c>
      <c r="S73" s="7">
        <v>278605</v>
      </c>
      <c r="U73" s="7">
        <v>173992</v>
      </c>
      <c r="W73" s="7">
        <v>584183</v>
      </c>
      <c r="Y73" s="7">
        <v>182023</v>
      </c>
      <c r="AA73" s="7">
        <v>5163</v>
      </c>
      <c r="AC73" s="7">
        <v>453649</v>
      </c>
      <c r="AE73" s="7">
        <v>508506</v>
      </c>
      <c r="AG73" s="7">
        <v>6866</v>
      </c>
      <c r="AI73" s="7">
        <v>0</v>
      </c>
      <c r="AK73" s="7">
        <v>0</v>
      </c>
      <c r="AL73" s="12" t="s">
        <v>231</v>
      </c>
      <c r="AM73" s="12"/>
      <c r="AN73" s="12" t="s">
        <v>16</v>
      </c>
      <c r="AP73" s="7">
        <v>190070</v>
      </c>
      <c r="AR73" s="7">
        <v>0</v>
      </c>
      <c r="AV73" s="7">
        <v>17487</v>
      </c>
      <c r="AX73" s="7">
        <v>2340</v>
      </c>
      <c r="AZ73" s="7">
        <v>0</v>
      </c>
      <c r="BB73" s="7">
        <f t="shared" si="2"/>
        <v>6709882</v>
      </c>
      <c r="BD73" s="7">
        <v>0</v>
      </c>
      <c r="BF73" s="7">
        <v>0</v>
      </c>
      <c r="BH73" s="7">
        <v>0</v>
      </c>
      <c r="BJ73" s="7">
        <v>0</v>
      </c>
      <c r="BL73" s="7">
        <f t="shared" si="11"/>
        <v>6709882</v>
      </c>
      <c r="BN73" s="7">
        <f>+GenRev!AM73-GenExp!BL73</f>
        <v>916100</v>
      </c>
      <c r="BP73" s="7">
        <v>1962441</v>
      </c>
      <c r="BR73" s="7">
        <v>0</v>
      </c>
      <c r="BT73" s="7">
        <v>0</v>
      </c>
      <c r="BV73" s="7">
        <f t="shared" si="12"/>
        <v>2878541</v>
      </c>
      <c r="BX73" s="8">
        <f>+BV73-'Gen Fd BS'!AE73+BT73</f>
        <v>0</v>
      </c>
      <c r="CB73" s="7" t="str">
        <f t="shared" si="3"/>
        <v>Brown Local SD</v>
      </c>
      <c r="CC73" s="7" t="b">
        <f t="shared" si="4"/>
        <v>1</v>
      </c>
      <c r="CE73" s="12" t="str">
        <f>GenRev!A73</f>
        <v>Brown Local SD</v>
      </c>
      <c r="CF73" s="7" t="b">
        <f t="shared" si="5"/>
        <v>1</v>
      </c>
      <c r="CG73" s="7" t="str">
        <f t="shared" si="6"/>
        <v>Carroll</v>
      </c>
      <c r="CH73" s="7" t="b">
        <f t="shared" si="7"/>
        <v>1</v>
      </c>
      <c r="CI73" s="7" t="b">
        <f>C73=GenRev!C73</f>
        <v>1</v>
      </c>
    </row>
    <row r="74" spans="1:87">
      <c r="A74" s="12" t="s">
        <v>428</v>
      </c>
      <c r="B74" s="12"/>
      <c r="C74" s="12" t="s">
        <v>47</v>
      </c>
      <c r="D74" s="12"/>
      <c r="E74" s="12">
        <v>43661</v>
      </c>
      <c r="G74" s="7">
        <v>29074346</v>
      </c>
      <c r="I74" s="7">
        <v>7322262</v>
      </c>
      <c r="K74" s="7">
        <v>205318</v>
      </c>
      <c r="M74" s="7">
        <v>0</v>
      </c>
      <c r="O74" s="7">
        <v>1590894</v>
      </c>
      <c r="Q74" s="7">
        <v>4411350</v>
      </c>
      <c r="S74" s="7">
        <v>2635818</v>
      </c>
      <c r="U74" s="7">
        <v>282165</v>
      </c>
      <c r="W74" s="7">
        <v>4379856</v>
      </c>
      <c r="Y74" s="7">
        <v>1124733</v>
      </c>
      <c r="AA74" s="7">
        <v>374569</v>
      </c>
      <c r="AC74" s="7">
        <v>5604412</v>
      </c>
      <c r="AE74" s="7">
        <v>3919017</v>
      </c>
      <c r="AG74" s="7">
        <v>232222</v>
      </c>
      <c r="AI74" s="7">
        <v>0</v>
      </c>
      <c r="AK74" s="7">
        <v>13159</v>
      </c>
      <c r="AL74" s="12" t="s">
        <v>428</v>
      </c>
      <c r="AM74" s="12"/>
      <c r="AN74" s="12" t="s">
        <v>47</v>
      </c>
      <c r="AP74" s="7">
        <v>1487560</v>
      </c>
      <c r="AR74" s="7">
        <v>0</v>
      </c>
      <c r="AV74" s="7">
        <v>0</v>
      </c>
      <c r="AX74" s="7">
        <v>0</v>
      </c>
      <c r="AZ74" s="7">
        <v>0</v>
      </c>
      <c r="BB74" s="7">
        <f t="shared" si="2"/>
        <v>62657681</v>
      </c>
      <c r="BD74" s="7">
        <v>300000</v>
      </c>
      <c r="BF74" s="7">
        <v>0</v>
      </c>
      <c r="BH74" s="7">
        <v>0</v>
      </c>
      <c r="BJ74" s="7">
        <v>0</v>
      </c>
      <c r="BL74" s="7">
        <f t="shared" si="11"/>
        <v>62957681</v>
      </c>
      <c r="BN74" s="7">
        <f>+GenRev!AM74-GenExp!BL74</f>
        <v>-2730404</v>
      </c>
      <c r="BP74" s="7">
        <v>10157041</v>
      </c>
      <c r="BR74" s="7">
        <v>0</v>
      </c>
      <c r="BT74" s="7">
        <v>0</v>
      </c>
      <c r="BV74" s="7">
        <f t="shared" si="12"/>
        <v>7426637</v>
      </c>
      <c r="BX74" s="8">
        <f>+BV74-'Gen Fd BS'!AE74+BT74</f>
        <v>0</v>
      </c>
      <c r="CB74" s="7" t="str">
        <f t="shared" si="3"/>
        <v>Brunswick City SD</v>
      </c>
      <c r="CC74" s="7" t="b">
        <f t="shared" si="4"/>
        <v>1</v>
      </c>
      <c r="CE74" s="12" t="str">
        <f>GenRev!A74</f>
        <v>Brunswick City SD</v>
      </c>
      <c r="CF74" s="7" t="b">
        <f t="shared" si="5"/>
        <v>1</v>
      </c>
      <c r="CG74" s="7" t="str">
        <f t="shared" si="6"/>
        <v>Medina</v>
      </c>
      <c r="CH74" s="7" t="b">
        <f t="shared" si="7"/>
        <v>1</v>
      </c>
      <c r="CI74" s="7" t="b">
        <f>C74=GenRev!C74</f>
        <v>1</v>
      </c>
    </row>
    <row r="75" spans="1:87" hidden="1">
      <c r="A75" s="12" t="s">
        <v>707</v>
      </c>
      <c r="B75" s="12"/>
      <c r="C75" s="12" t="s">
        <v>570</v>
      </c>
      <c r="D75" s="12"/>
      <c r="E75" s="12">
        <v>43679</v>
      </c>
      <c r="AL75" s="12" t="s">
        <v>707</v>
      </c>
      <c r="AM75" s="12"/>
      <c r="AN75" s="12" t="s">
        <v>570</v>
      </c>
      <c r="BB75" s="7">
        <f t="shared" si="2"/>
        <v>0</v>
      </c>
      <c r="BF75" s="7">
        <v>0</v>
      </c>
      <c r="BH75" s="7">
        <v>0</v>
      </c>
      <c r="BL75" s="7">
        <f t="shared" si="11"/>
        <v>0</v>
      </c>
      <c r="BN75" s="7">
        <f>+GenRev!AM75-GenExp!BL75</f>
        <v>0</v>
      </c>
      <c r="BT75" s="7">
        <v>0</v>
      </c>
      <c r="BV75" s="7">
        <f t="shared" si="12"/>
        <v>0</v>
      </c>
      <c r="BX75" s="8">
        <f>+BV75-'Gen Fd BS'!AE75+BT75</f>
        <v>0</v>
      </c>
      <c r="CA75" s="7" t="s">
        <v>778</v>
      </c>
      <c r="CB75" s="7" t="str">
        <f t="shared" si="3"/>
        <v>Bryan City SD (CASH)</v>
      </c>
      <c r="CC75" s="7" t="b">
        <f t="shared" si="4"/>
        <v>1</v>
      </c>
      <c r="CE75" s="12" t="str">
        <f>GenRev!A75</f>
        <v>Bryan City SD (CASH)</v>
      </c>
      <c r="CF75" s="7" t="b">
        <f t="shared" si="5"/>
        <v>1</v>
      </c>
      <c r="CG75" s="7" t="str">
        <f t="shared" si="6"/>
        <v>Williams</v>
      </c>
      <c r="CH75" s="7" t="b">
        <f t="shared" si="7"/>
        <v>1</v>
      </c>
      <c r="CI75" s="7" t="b">
        <f>C75=GenRev!C75</f>
        <v>1</v>
      </c>
    </row>
    <row r="76" spans="1:87">
      <c r="A76" s="12" t="s">
        <v>262</v>
      </c>
      <c r="B76" s="12"/>
      <c r="C76" s="12" t="s">
        <v>111</v>
      </c>
      <c r="D76" s="12"/>
      <c r="E76" s="12">
        <v>46508</v>
      </c>
      <c r="F76" s="10"/>
      <c r="G76" s="7">
        <v>4157574</v>
      </c>
      <c r="I76" s="7">
        <v>714066</v>
      </c>
      <c r="K76" s="7">
        <v>141520</v>
      </c>
      <c r="M76" s="7">
        <v>0</v>
      </c>
      <c r="O76" s="7">
        <v>1185</v>
      </c>
      <c r="Q76" s="7">
        <v>142648</v>
      </c>
      <c r="S76" s="7">
        <v>117850</v>
      </c>
      <c r="U76" s="7">
        <v>15024</v>
      </c>
      <c r="W76" s="7">
        <v>731153</v>
      </c>
      <c r="Y76" s="7">
        <v>273266</v>
      </c>
      <c r="AA76" s="7">
        <v>0</v>
      </c>
      <c r="AC76" s="7">
        <v>440361</v>
      </c>
      <c r="AE76" s="7">
        <v>506933</v>
      </c>
      <c r="AG76" s="7">
        <v>56290</v>
      </c>
      <c r="AI76" s="7">
        <v>0</v>
      </c>
      <c r="AK76" s="7">
        <v>11803</v>
      </c>
      <c r="AL76" s="12" t="s">
        <v>262</v>
      </c>
      <c r="AM76" s="12"/>
      <c r="AN76" s="12" t="s">
        <v>111</v>
      </c>
      <c r="AP76" s="7">
        <v>305658</v>
      </c>
      <c r="AR76" s="7">
        <v>0</v>
      </c>
      <c r="AV76" s="7">
        <v>44057</v>
      </c>
      <c r="AX76" s="7">
        <v>29540</v>
      </c>
      <c r="AZ76" s="7">
        <v>0</v>
      </c>
      <c r="BB76" s="7">
        <f t="shared" si="2"/>
        <v>7688928</v>
      </c>
      <c r="BD76" s="7">
        <v>25000</v>
      </c>
      <c r="BF76" s="7">
        <v>0</v>
      </c>
      <c r="BH76" s="7">
        <v>0</v>
      </c>
      <c r="BJ76" s="7">
        <v>0</v>
      </c>
      <c r="BL76" s="7">
        <f t="shared" ref="BL76:BL82" si="18">+BB76+BD76+BF76+BJ76</f>
        <v>7713928</v>
      </c>
      <c r="BN76" s="7">
        <f>+GenRev!AM76-GenExp!BL76</f>
        <v>339718</v>
      </c>
      <c r="BP76" s="7">
        <v>2560294</v>
      </c>
      <c r="BR76" s="7">
        <v>0</v>
      </c>
      <c r="BT76" s="7">
        <v>0</v>
      </c>
      <c r="BV76" s="7">
        <f t="shared" ref="BV76:BV100" si="19">+BP76+BN76-BR76</f>
        <v>2900012</v>
      </c>
      <c r="BX76" s="8">
        <f>+BV76-'Gen Fd BS'!AE76+BT76</f>
        <v>0</v>
      </c>
      <c r="CB76" s="7" t="str">
        <f t="shared" si="3"/>
        <v>Buckeye Central Local SD</v>
      </c>
      <c r="CC76" s="7" t="b">
        <f t="shared" ref="CC76:CC139" si="20">A76=AL76</f>
        <v>1</v>
      </c>
      <c r="CE76" s="12" t="str">
        <f>GenRev!A76</f>
        <v>Buckeye Central Local SD</v>
      </c>
      <c r="CF76" s="7" t="b">
        <f t="shared" si="5"/>
        <v>1</v>
      </c>
      <c r="CG76" s="7" t="str">
        <f t="shared" ref="CG76:CG139" si="21">C76</f>
        <v>Crawford</v>
      </c>
      <c r="CH76" s="7" t="b">
        <f t="shared" ref="CH76:CH139" si="22">C76=AN76</f>
        <v>1</v>
      </c>
      <c r="CI76" s="7" t="b">
        <f>C76=GenRev!C76</f>
        <v>1</v>
      </c>
    </row>
    <row r="77" spans="1:87">
      <c r="A77" s="12" t="s">
        <v>207</v>
      </c>
      <c r="B77" s="12"/>
      <c r="C77" s="12" t="s">
        <v>12</v>
      </c>
      <c r="D77" s="12"/>
      <c r="E77" s="12">
        <v>45856</v>
      </c>
      <c r="F77" s="10"/>
      <c r="G77" s="7">
        <v>8961595</v>
      </c>
      <c r="I77" s="7">
        <v>1780166</v>
      </c>
      <c r="K77" s="7">
        <v>278036</v>
      </c>
      <c r="M77" s="7">
        <v>0</v>
      </c>
      <c r="O77" s="7">
        <v>0</v>
      </c>
      <c r="Q77" s="7">
        <v>554890</v>
      </c>
      <c r="S77" s="7">
        <v>173653</v>
      </c>
      <c r="U77" s="7">
        <v>28211</v>
      </c>
      <c r="W77" s="7">
        <v>1330027</v>
      </c>
      <c r="Y77" s="7">
        <v>498218</v>
      </c>
      <c r="AA77" s="7">
        <v>85218</v>
      </c>
      <c r="AC77" s="7">
        <v>1654691</v>
      </c>
      <c r="AE77" s="7">
        <v>912918</v>
      </c>
      <c r="AG77" s="7">
        <v>60285</v>
      </c>
      <c r="AI77" s="7">
        <v>0</v>
      </c>
      <c r="AK77" s="7">
        <v>0</v>
      </c>
      <c r="AL77" s="12" t="s">
        <v>207</v>
      </c>
      <c r="AM77" s="12"/>
      <c r="AN77" s="12" t="s">
        <v>12</v>
      </c>
      <c r="AP77" s="7">
        <v>321098</v>
      </c>
      <c r="AR77" s="7">
        <v>106905</v>
      </c>
      <c r="AV77" s="7">
        <v>0</v>
      </c>
      <c r="AX77" s="7">
        <v>0</v>
      </c>
      <c r="AZ77" s="7">
        <v>0</v>
      </c>
      <c r="BB77" s="7">
        <f t="shared" si="2"/>
        <v>16745911</v>
      </c>
      <c r="BD77" s="7">
        <v>0</v>
      </c>
      <c r="BF77" s="7">
        <v>0</v>
      </c>
      <c r="BH77" s="7">
        <v>0</v>
      </c>
      <c r="BJ77" s="7">
        <v>0</v>
      </c>
      <c r="BL77" s="7">
        <f t="shared" si="18"/>
        <v>16745911</v>
      </c>
      <c r="BN77" s="7">
        <f>+GenRev!AM77-GenExp!BL77</f>
        <v>965470</v>
      </c>
      <c r="BP77" s="7">
        <v>5442705</v>
      </c>
      <c r="BR77" s="7">
        <v>0</v>
      </c>
      <c r="BT77" s="7">
        <v>0</v>
      </c>
      <c r="BV77" s="7">
        <f t="shared" si="19"/>
        <v>6408175</v>
      </c>
      <c r="BX77" s="8">
        <f>+BV77-'Gen Fd BS'!AE77+BT77</f>
        <v>0</v>
      </c>
      <c r="CB77" s="7" t="str">
        <f t="shared" ref="CB77:CB140" si="23">A77</f>
        <v>Buckeye Local SD</v>
      </c>
      <c r="CC77" s="7" t="b">
        <f t="shared" si="20"/>
        <v>1</v>
      </c>
      <c r="CE77" s="12" t="str">
        <f>GenRev!A77</f>
        <v>Buckeye Local SD</v>
      </c>
      <c r="CF77" s="7" t="b">
        <f t="shared" ref="CF77:CF140" si="24">CB77=CE77</f>
        <v>1</v>
      </c>
      <c r="CG77" s="7" t="str">
        <f t="shared" si="21"/>
        <v>Ashtabula</v>
      </c>
      <c r="CH77" s="7" t="b">
        <f t="shared" si="22"/>
        <v>1</v>
      </c>
      <c r="CI77" s="7" t="b">
        <f>C77=GenRev!C77</f>
        <v>1</v>
      </c>
    </row>
    <row r="78" spans="1:87">
      <c r="A78" s="12" t="s">
        <v>207</v>
      </c>
      <c r="B78" s="12"/>
      <c r="C78" s="12" t="s">
        <v>39</v>
      </c>
      <c r="D78" s="12"/>
      <c r="E78" s="12">
        <v>47787</v>
      </c>
      <c r="G78" s="7">
        <v>7398819</v>
      </c>
      <c r="I78" s="7">
        <v>1295617</v>
      </c>
      <c r="K78" s="7">
        <v>589379</v>
      </c>
      <c r="M78" s="7">
        <v>59175</v>
      </c>
      <c r="O78" s="7">
        <v>0</v>
      </c>
      <c r="Q78" s="7">
        <v>486137</v>
      </c>
      <c r="S78" s="7">
        <v>300866</v>
      </c>
      <c r="U78" s="7">
        <v>103237</v>
      </c>
      <c r="W78" s="7">
        <v>1764079</v>
      </c>
      <c r="Y78" s="7">
        <v>454357</v>
      </c>
      <c r="AA78" s="7">
        <v>55197</v>
      </c>
      <c r="AC78" s="7">
        <v>2074003</v>
      </c>
      <c r="AE78" s="7">
        <v>1638213</v>
      </c>
      <c r="AG78" s="7">
        <v>0</v>
      </c>
      <c r="AI78" s="7">
        <v>0</v>
      </c>
      <c r="AK78" s="7">
        <v>0</v>
      </c>
      <c r="AL78" s="12" t="s">
        <v>207</v>
      </c>
      <c r="AM78" s="12"/>
      <c r="AN78" s="12" t="s">
        <v>39</v>
      </c>
      <c r="AP78" s="7">
        <v>266363</v>
      </c>
      <c r="AR78" s="7">
        <v>0</v>
      </c>
      <c r="AV78" s="7">
        <v>0</v>
      </c>
      <c r="AX78" s="7">
        <v>0</v>
      </c>
      <c r="AZ78" s="7">
        <v>0</v>
      </c>
      <c r="BB78" s="7">
        <f t="shared" si="2"/>
        <v>16485442</v>
      </c>
      <c r="BD78" s="7">
        <v>121318</v>
      </c>
      <c r="BF78" s="7">
        <v>0</v>
      </c>
      <c r="BH78" s="7">
        <v>0</v>
      </c>
      <c r="BJ78" s="7">
        <v>0</v>
      </c>
      <c r="BL78" s="7">
        <f t="shared" si="18"/>
        <v>16606760</v>
      </c>
      <c r="BN78" s="7">
        <f>+GenRev!AM78-GenExp!BL78</f>
        <v>953893</v>
      </c>
      <c r="BP78" s="7">
        <v>-988889</v>
      </c>
      <c r="BR78" s="7">
        <v>0</v>
      </c>
      <c r="BT78" s="7">
        <v>0</v>
      </c>
      <c r="BV78" s="7">
        <f t="shared" si="19"/>
        <v>-34996</v>
      </c>
      <c r="BX78" s="8">
        <f>+BV78-'Gen Fd BS'!AE78+BT78</f>
        <v>0</v>
      </c>
      <c r="CB78" s="7" t="str">
        <f t="shared" si="23"/>
        <v>Buckeye Local SD</v>
      </c>
      <c r="CC78" s="7" t="b">
        <f t="shared" si="20"/>
        <v>1</v>
      </c>
      <c r="CE78" s="12" t="str">
        <f>GenRev!A78</f>
        <v>Buckeye Local SD</v>
      </c>
      <c r="CF78" s="7" t="b">
        <f t="shared" si="24"/>
        <v>1</v>
      </c>
      <c r="CG78" s="7" t="str">
        <f t="shared" si="21"/>
        <v>Jefferson</v>
      </c>
      <c r="CH78" s="7" t="b">
        <f t="shared" si="22"/>
        <v>1</v>
      </c>
      <c r="CI78" s="7" t="b">
        <f>C78=GenRev!C78</f>
        <v>1</v>
      </c>
    </row>
    <row r="79" spans="1:87">
      <c r="A79" s="12" t="s">
        <v>708</v>
      </c>
      <c r="B79" s="12"/>
      <c r="C79" s="12" t="s">
        <v>47</v>
      </c>
      <c r="D79" s="12"/>
      <c r="E79" s="12">
        <v>48470</v>
      </c>
      <c r="G79" s="7">
        <v>8868389</v>
      </c>
      <c r="I79" s="7">
        <v>1639413</v>
      </c>
      <c r="K79" s="7">
        <v>204310</v>
      </c>
      <c r="M79" s="7">
        <v>0</v>
      </c>
      <c r="O79" s="7">
        <v>723018</v>
      </c>
      <c r="Q79" s="7">
        <v>820476</v>
      </c>
      <c r="S79" s="7">
        <v>965640</v>
      </c>
      <c r="U79" s="7">
        <v>25218</v>
      </c>
      <c r="W79" s="7">
        <v>1482866</v>
      </c>
      <c r="Y79" s="7">
        <v>601149</v>
      </c>
      <c r="AA79" s="7">
        <v>26478</v>
      </c>
      <c r="AC79" s="7">
        <v>1109169</v>
      </c>
      <c r="AE79" s="7">
        <v>970974</v>
      </c>
      <c r="AG79" s="7">
        <v>768</v>
      </c>
      <c r="AI79" s="7">
        <v>0</v>
      </c>
      <c r="AK79" s="7">
        <v>0</v>
      </c>
      <c r="AL79" s="12" t="s">
        <v>708</v>
      </c>
      <c r="AM79" s="12"/>
      <c r="AN79" s="12" t="s">
        <v>47</v>
      </c>
      <c r="AP79" s="7">
        <v>72878</v>
      </c>
      <c r="AR79" s="7">
        <v>0</v>
      </c>
      <c r="AV79" s="7">
        <v>0</v>
      </c>
      <c r="AX79" s="7">
        <v>0</v>
      </c>
      <c r="AZ79" s="7">
        <v>0</v>
      </c>
      <c r="BB79" s="7">
        <f t="shared" ref="BB79:BB82" si="25">SUM(G79:AZ79)</f>
        <v>17510746</v>
      </c>
      <c r="BD79" s="7">
        <v>167793</v>
      </c>
      <c r="BF79" s="7">
        <v>0</v>
      </c>
      <c r="BH79" s="7">
        <v>0</v>
      </c>
      <c r="BJ79" s="7">
        <v>0</v>
      </c>
      <c r="BL79" s="7">
        <f t="shared" si="18"/>
        <v>17678539</v>
      </c>
      <c r="BN79" s="7">
        <f>+GenRev!AM79-GenExp!BL79</f>
        <v>-927857</v>
      </c>
      <c r="BP79" s="7">
        <v>95033</v>
      </c>
      <c r="BR79" s="7">
        <v>0</v>
      </c>
      <c r="BT79" s="7">
        <v>0</v>
      </c>
      <c r="BV79" s="7">
        <f t="shared" si="19"/>
        <v>-832824</v>
      </c>
      <c r="BX79" s="8">
        <f>+BV79-'Gen Fd BS'!AE79+BT79</f>
        <v>0</v>
      </c>
      <c r="CB79" s="7" t="str">
        <f t="shared" si="23"/>
        <v xml:space="preserve">Buckeye Local SD </v>
      </c>
      <c r="CC79" s="7" t="b">
        <f t="shared" si="20"/>
        <v>1</v>
      </c>
      <c r="CE79" s="12" t="str">
        <f>GenRev!A79</f>
        <v xml:space="preserve">Buckeye Local SD </v>
      </c>
      <c r="CF79" s="7" t="b">
        <f t="shared" si="24"/>
        <v>1</v>
      </c>
      <c r="CG79" s="7" t="str">
        <f t="shared" si="21"/>
        <v>Medina</v>
      </c>
      <c r="CH79" s="7" t="b">
        <f t="shared" si="22"/>
        <v>1</v>
      </c>
      <c r="CI79" s="7" t="b">
        <f>C79=GenRev!C79</f>
        <v>1</v>
      </c>
    </row>
    <row r="80" spans="1:87" hidden="1">
      <c r="A80" s="54" t="s">
        <v>908</v>
      </c>
      <c r="B80" s="12"/>
      <c r="C80" s="12" t="s">
        <v>112</v>
      </c>
      <c r="D80" s="12"/>
      <c r="E80" s="12">
        <v>46755</v>
      </c>
      <c r="AL80" s="54" t="s">
        <v>908</v>
      </c>
      <c r="AM80" s="12"/>
      <c r="AN80" s="12" t="s">
        <v>112</v>
      </c>
      <c r="BB80" s="7">
        <f t="shared" si="25"/>
        <v>0</v>
      </c>
      <c r="BF80" s="7">
        <v>0</v>
      </c>
      <c r="BH80" s="7">
        <v>0</v>
      </c>
      <c r="BL80" s="7">
        <f t="shared" si="18"/>
        <v>0</v>
      </c>
      <c r="BN80" s="7">
        <f>+GenRev!AM80-GenExp!BL80</f>
        <v>0</v>
      </c>
      <c r="BT80" s="7">
        <v>0</v>
      </c>
      <c r="BV80" s="7">
        <f t="shared" si="19"/>
        <v>0</v>
      </c>
      <c r="BX80" s="8">
        <f>+BV80-'Gen Fd BS'!AE80+BT80</f>
        <v>0</v>
      </c>
      <c r="CA80" s="7" t="s">
        <v>907</v>
      </c>
      <c r="CB80" s="7" t="str">
        <f t="shared" si="23"/>
        <v>Buckeye Online School for Success (now Community School)</v>
      </c>
      <c r="CC80" s="7" t="b">
        <f t="shared" si="20"/>
        <v>1</v>
      </c>
      <c r="CE80" s="12" t="str">
        <f>GenRev!A80</f>
        <v>Buckeye Online School for Success (now Community School)</v>
      </c>
      <c r="CF80" s="7" t="b">
        <f t="shared" si="24"/>
        <v>1</v>
      </c>
      <c r="CG80" s="7" t="str">
        <f t="shared" si="21"/>
        <v>Columbiana</v>
      </c>
      <c r="CH80" s="7" t="b">
        <f t="shared" si="22"/>
        <v>1</v>
      </c>
      <c r="CI80" s="7" t="b">
        <f>C80=GenRev!C80</f>
        <v>1</v>
      </c>
    </row>
    <row r="81" spans="1:87">
      <c r="A81" s="12" t="s">
        <v>665</v>
      </c>
      <c r="B81" s="12"/>
      <c r="C81" s="12" t="s">
        <v>23</v>
      </c>
      <c r="D81" s="12"/>
      <c r="E81" s="12">
        <v>46755</v>
      </c>
      <c r="G81" s="7">
        <v>11234180</v>
      </c>
      <c r="I81" s="7">
        <v>1605804</v>
      </c>
      <c r="K81" s="7">
        <v>193802</v>
      </c>
      <c r="M81" s="7">
        <v>0</v>
      </c>
      <c r="O81" s="7">
        <v>16080</v>
      </c>
      <c r="Q81" s="7">
        <v>1476139</v>
      </c>
      <c r="S81" s="7">
        <v>312210</v>
      </c>
      <c r="U81" s="7">
        <v>156939</v>
      </c>
      <c r="W81" s="7">
        <v>1834489</v>
      </c>
      <c r="Y81" s="7">
        <v>557590</v>
      </c>
      <c r="AA81" s="7">
        <v>0</v>
      </c>
      <c r="AC81" s="7">
        <v>2353835</v>
      </c>
      <c r="AE81" s="7">
        <v>1557030</v>
      </c>
      <c r="AG81" s="7">
        <v>33130</v>
      </c>
      <c r="AI81" s="7">
        <v>0</v>
      </c>
      <c r="AK81" s="7">
        <v>14086</v>
      </c>
      <c r="AL81" s="12" t="s">
        <v>665</v>
      </c>
      <c r="AM81" s="12"/>
      <c r="AN81" s="12" t="s">
        <v>23</v>
      </c>
      <c r="AP81" s="7">
        <v>314258</v>
      </c>
      <c r="AR81" s="7">
        <v>0</v>
      </c>
      <c r="AV81" s="7">
        <v>35160</v>
      </c>
      <c r="AX81" s="7">
        <v>3177</v>
      </c>
      <c r="AZ81" s="7">
        <v>0</v>
      </c>
      <c r="BB81" s="7">
        <f t="shared" si="25"/>
        <v>21697909</v>
      </c>
      <c r="BD81" s="7">
        <v>0</v>
      </c>
      <c r="BF81" s="7">
        <v>0</v>
      </c>
      <c r="BH81" s="7">
        <v>0</v>
      </c>
      <c r="BJ81" s="7">
        <v>0</v>
      </c>
      <c r="BL81" s="7">
        <f t="shared" si="18"/>
        <v>21697909</v>
      </c>
      <c r="BN81" s="7">
        <f>+GenRev!AM81-GenExp!BL81</f>
        <v>1050828</v>
      </c>
      <c r="BP81" s="7">
        <v>3521305</v>
      </c>
      <c r="BR81" s="7">
        <v>0</v>
      </c>
      <c r="BT81" s="7">
        <v>0</v>
      </c>
      <c r="BV81" s="7">
        <f t="shared" si="19"/>
        <v>4572133</v>
      </c>
      <c r="BX81" s="8">
        <f>+BV81-'Gen Fd BS'!AE81+BT81</f>
        <v>0</v>
      </c>
      <c r="CB81" s="7" t="str">
        <f t="shared" si="23"/>
        <v xml:space="preserve">Buckeye Valley Local SD </v>
      </c>
      <c r="CC81" s="7" t="b">
        <f t="shared" si="20"/>
        <v>1</v>
      </c>
      <c r="CE81" s="12" t="str">
        <f>GenRev!A81</f>
        <v xml:space="preserve">Buckeye Valley Local SD </v>
      </c>
      <c r="CF81" s="7" t="b">
        <f t="shared" si="24"/>
        <v>1</v>
      </c>
      <c r="CG81" s="7" t="str">
        <f t="shared" si="21"/>
        <v>Delaware</v>
      </c>
      <c r="CH81" s="7" t="b">
        <f t="shared" si="22"/>
        <v>1</v>
      </c>
      <c r="CI81" s="7" t="b">
        <f>C81=GenRev!C81</f>
        <v>1</v>
      </c>
    </row>
    <row r="82" spans="1:87">
      <c r="A82" s="12" t="s">
        <v>263</v>
      </c>
      <c r="B82" s="12"/>
      <c r="C82" s="12" t="s">
        <v>111</v>
      </c>
      <c r="D82" s="12"/>
      <c r="E82" s="12">
        <v>43687</v>
      </c>
      <c r="G82" s="7">
        <v>6911348</v>
      </c>
      <c r="I82" s="7">
        <v>1618310</v>
      </c>
      <c r="K82" s="7">
        <v>154806</v>
      </c>
      <c r="M82" s="7">
        <v>0</v>
      </c>
      <c r="O82" s="7">
        <v>0</v>
      </c>
      <c r="Q82" s="7">
        <v>898498</v>
      </c>
      <c r="S82" s="7">
        <v>1095532</v>
      </c>
      <c r="U82" s="7">
        <v>94974</v>
      </c>
      <c r="W82" s="7">
        <v>1342551</v>
      </c>
      <c r="Y82" s="7">
        <v>433455</v>
      </c>
      <c r="AA82" s="7">
        <v>247254</v>
      </c>
      <c r="AC82" s="7">
        <v>1063710</v>
      </c>
      <c r="AE82" s="7">
        <v>325774</v>
      </c>
      <c r="AG82" s="7">
        <v>161827</v>
      </c>
      <c r="AI82" s="7">
        <v>0</v>
      </c>
      <c r="AK82" s="7">
        <v>1323</v>
      </c>
      <c r="AL82" s="12" t="s">
        <v>263</v>
      </c>
      <c r="AM82" s="12"/>
      <c r="AN82" s="12" t="s">
        <v>111</v>
      </c>
      <c r="AP82" s="7">
        <v>387331</v>
      </c>
      <c r="AR82" s="7">
        <v>47213</v>
      </c>
      <c r="AV82" s="7">
        <v>0</v>
      </c>
      <c r="AX82" s="7">
        <v>0</v>
      </c>
      <c r="AZ82" s="7">
        <v>0</v>
      </c>
      <c r="BB82" s="7">
        <f t="shared" si="25"/>
        <v>14783906</v>
      </c>
      <c r="BD82" s="7">
        <v>0</v>
      </c>
      <c r="BF82" s="7">
        <v>0</v>
      </c>
      <c r="BH82" s="7">
        <v>0</v>
      </c>
      <c r="BJ82" s="7">
        <v>0</v>
      </c>
      <c r="BL82" s="7">
        <f t="shared" si="18"/>
        <v>14783906</v>
      </c>
      <c r="BN82" s="7">
        <f>+GenRev!AM82-GenExp!BL82</f>
        <v>-443705</v>
      </c>
      <c r="BP82" s="7">
        <v>6581468</v>
      </c>
      <c r="BR82" s="7">
        <v>0</v>
      </c>
      <c r="BT82" s="7">
        <v>0</v>
      </c>
      <c r="BV82" s="7">
        <f t="shared" si="19"/>
        <v>6137763</v>
      </c>
      <c r="BX82" s="8">
        <f>+BV82-'Gen Fd BS'!AE82+BT82</f>
        <v>0</v>
      </c>
      <c r="CB82" s="7" t="str">
        <f t="shared" si="23"/>
        <v>Bucyrus City SD</v>
      </c>
      <c r="CC82" s="7" t="b">
        <f t="shared" si="20"/>
        <v>1</v>
      </c>
      <c r="CE82" s="12" t="str">
        <f>GenRev!A82</f>
        <v>Bucyrus City SD</v>
      </c>
      <c r="CF82" s="7" t="b">
        <f t="shared" si="24"/>
        <v>1</v>
      </c>
      <c r="CG82" s="7" t="str">
        <f t="shared" si="21"/>
        <v>Crawford</v>
      </c>
      <c r="CH82" s="7" t="b">
        <f t="shared" si="22"/>
        <v>1</v>
      </c>
      <c r="CI82" s="7" t="b">
        <f>C82=GenRev!C82</f>
        <v>1</v>
      </c>
    </row>
    <row r="83" spans="1:87">
      <c r="A83" s="12" t="s">
        <v>861</v>
      </c>
      <c r="B83" s="12"/>
      <c r="C83" s="12" t="s">
        <v>52</v>
      </c>
      <c r="D83" s="12"/>
      <c r="E83" s="12">
        <v>45252</v>
      </c>
      <c r="G83" s="7">
        <v>3725769</v>
      </c>
      <c r="I83" s="7">
        <v>430566</v>
      </c>
      <c r="K83" s="7">
        <v>103922</v>
      </c>
      <c r="M83" s="7">
        <v>5326</v>
      </c>
      <c r="O83" s="7">
        <v>927</v>
      </c>
      <c r="Q83" s="7">
        <v>565999</v>
      </c>
      <c r="S83" s="7">
        <v>475389</v>
      </c>
      <c r="U83" s="7">
        <v>37538</v>
      </c>
      <c r="W83" s="7">
        <v>634765</v>
      </c>
      <c r="Y83" s="7">
        <v>324105</v>
      </c>
      <c r="AA83" s="7">
        <v>0</v>
      </c>
      <c r="AC83" s="7">
        <v>500930</v>
      </c>
      <c r="AE83" s="7">
        <v>627684</v>
      </c>
      <c r="AG83" s="7">
        <v>0</v>
      </c>
      <c r="AI83" s="7">
        <v>0</v>
      </c>
      <c r="AK83" s="7">
        <v>0</v>
      </c>
      <c r="AL83" s="12" t="s">
        <v>861</v>
      </c>
      <c r="AM83" s="12"/>
      <c r="AN83" s="12" t="s">
        <v>52</v>
      </c>
      <c r="AP83" s="7">
        <v>157855</v>
      </c>
      <c r="AR83" s="7">
        <v>0</v>
      </c>
      <c r="AV83" s="7">
        <v>0</v>
      </c>
      <c r="AX83" s="7">
        <v>0</v>
      </c>
      <c r="AZ83" s="7">
        <v>0</v>
      </c>
      <c r="BB83" s="7">
        <f t="shared" ref="BB83:BB99" si="26">SUM(G83:AZ83)</f>
        <v>7590775</v>
      </c>
      <c r="BD83" s="7">
        <v>45000</v>
      </c>
      <c r="BF83" s="7">
        <v>0</v>
      </c>
      <c r="BH83" s="7">
        <v>0</v>
      </c>
      <c r="BJ83" s="7">
        <v>0</v>
      </c>
      <c r="BL83" s="7">
        <f t="shared" ref="BL83:BL84" si="27">+BB83+BD83+BF83+BJ83</f>
        <v>7635775</v>
      </c>
      <c r="BN83" s="7">
        <f>+GenRev!AM83-GenExp!BL83</f>
        <v>-497975</v>
      </c>
      <c r="BP83" s="7">
        <v>831037</v>
      </c>
      <c r="BR83" s="7">
        <v>0</v>
      </c>
      <c r="BT83" s="7">
        <v>0</v>
      </c>
      <c r="BV83" s="7">
        <f t="shared" si="19"/>
        <v>333062</v>
      </c>
      <c r="BX83" s="8">
        <f>+BV83-'Gen Fd BS'!AE83+BT83</f>
        <v>0</v>
      </c>
      <c r="CB83" s="7" t="str">
        <f t="shared" si="23"/>
        <v>Caldwell Exempted Village SD</v>
      </c>
      <c r="CC83" s="7" t="b">
        <f t="shared" si="20"/>
        <v>1</v>
      </c>
      <c r="CE83" s="12" t="str">
        <f>GenRev!A83</f>
        <v>Caldwell Exempted Village SD</v>
      </c>
      <c r="CF83" s="7" t="b">
        <f t="shared" si="24"/>
        <v>1</v>
      </c>
      <c r="CG83" s="7" t="str">
        <f t="shared" si="21"/>
        <v>Noble</v>
      </c>
      <c r="CH83" s="7" t="b">
        <f t="shared" si="22"/>
        <v>1</v>
      </c>
      <c r="CI83" s="7" t="b">
        <f>C83=GenRev!C83</f>
        <v>1</v>
      </c>
    </row>
    <row r="84" spans="1:87">
      <c r="A84" s="12" t="s">
        <v>327</v>
      </c>
      <c r="B84" s="12"/>
      <c r="C84" s="12" t="s">
        <v>31</v>
      </c>
      <c r="D84" s="12"/>
      <c r="E84" s="12">
        <v>43695</v>
      </c>
      <c r="G84" s="7">
        <v>10061631</v>
      </c>
      <c r="I84" s="7">
        <v>1839686</v>
      </c>
      <c r="K84" s="7">
        <v>284106</v>
      </c>
      <c r="M84" s="7">
        <v>14240</v>
      </c>
      <c r="O84" s="7">
        <v>11011</v>
      </c>
      <c r="Q84" s="7">
        <v>994082</v>
      </c>
      <c r="S84" s="7">
        <v>236489</v>
      </c>
      <c r="U84" s="7">
        <v>70600</v>
      </c>
      <c r="W84" s="7">
        <v>1313075</v>
      </c>
      <c r="Y84" s="7">
        <v>472049</v>
      </c>
      <c r="AA84" s="7">
        <v>86150</v>
      </c>
      <c r="AC84" s="7">
        <v>2089568</v>
      </c>
      <c r="AE84" s="7">
        <v>1135773</v>
      </c>
      <c r="AG84" s="7">
        <v>205995</v>
      </c>
      <c r="AI84" s="7">
        <v>0</v>
      </c>
      <c r="AK84" s="7">
        <v>1115</v>
      </c>
      <c r="AL84" s="12" t="s">
        <v>327</v>
      </c>
      <c r="AM84" s="12"/>
      <c r="AN84" s="12" t="s">
        <v>31</v>
      </c>
      <c r="AP84" s="7">
        <v>420361</v>
      </c>
      <c r="AR84" s="7">
        <v>0</v>
      </c>
      <c r="AV84" s="7">
        <v>10247</v>
      </c>
      <c r="AX84" s="7">
        <v>2835</v>
      </c>
      <c r="AZ84" s="7">
        <v>0</v>
      </c>
      <c r="BB84" s="7">
        <f t="shared" si="26"/>
        <v>19249013</v>
      </c>
      <c r="BD84" s="7">
        <v>0</v>
      </c>
      <c r="BF84" s="7">
        <v>0</v>
      </c>
      <c r="BH84" s="7">
        <v>0</v>
      </c>
      <c r="BJ84" s="7">
        <v>0</v>
      </c>
      <c r="BL84" s="7">
        <f t="shared" si="27"/>
        <v>19249013</v>
      </c>
      <c r="BN84" s="7">
        <f>+GenRev!AM84-GenExp!BL84</f>
        <v>855087</v>
      </c>
      <c r="BP84" s="7">
        <v>209170</v>
      </c>
      <c r="BR84" s="7">
        <v>0</v>
      </c>
      <c r="BT84" s="7">
        <v>0</v>
      </c>
      <c r="BV84" s="7">
        <f t="shared" si="19"/>
        <v>1064257</v>
      </c>
      <c r="BX84" s="8">
        <f>+BV84-'Gen Fd BS'!AE84+BT84</f>
        <v>0</v>
      </c>
      <c r="CB84" s="7" t="str">
        <f t="shared" si="23"/>
        <v>Cambridge City SD</v>
      </c>
      <c r="CC84" s="7" t="b">
        <f t="shared" si="20"/>
        <v>1</v>
      </c>
      <c r="CE84" s="12" t="str">
        <f>GenRev!A84</f>
        <v>Cambridge City SD</v>
      </c>
      <c r="CF84" s="7" t="b">
        <f t="shared" si="24"/>
        <v>1</v>
      </c>
      <c r="CG84" s="7" t="str">
        <f t="shared" si="21"/>
        <v>Guernsey</v>
      </c>
      <c r="CH84" s="7" t="b">
        <f t="shared" si="22"/>
        <v>1</v>
      </c>
      <c r="CI84" s="7" t="b">
        <f>C84=GenRev!C84</f>
        <v>1</v>
      </c>
    </row>
    <row r="85" spans="1:87">
      <c r="A85" s="12" t="s">
        <v>677</v>
      </c>
      <c r="B85" s="12"/>
      <c r="C85" s="12" t="s">
        <v>45</v>
      </c>
      <c r="D85" s="12"/>
      <c r="E85" s="12">
        <v>43703</v>
      </c>
      <c r="G85" s="7">
        <v>6327064</v>
      </c>
      <c r="I85" s="7">
        <v>1416581</v>
      </c>
      <c r="K85" s="7">
        <v>206289</v>
      </c>
      <c r="M85" s="7">
        <v>0</v>
      </c>
      <c r="O85" s="7">
        <v>182638</v>
      </c>
      <c r="Q85" s="7">
        <v>307072</v>
      </c>
      <c r="S85" s="7">
        <v>530363</v>
      </c>
      <c r="U85" s="7">
        <v>16069</v>
      </c>
      <c r="W85" s="7">
        <v>870966</v>
      </c>
      <c r="Y85" s="7">
        <v>312671</v>
      </c>
      <c r="AA85" s="7">
        <v>56866</v>
      </c>
      <c r="AC85" s="7">
        <v>1369094</v>
      </c>
      <c r="AE85" s="7">
        <v>354122</v>
      </c>
      <c r="AG85" s="7">
        <v>0</v>
      </c>
      <c r="AI85" s="7">
        <v>0</v>
      </c>
      <c r="AK85" s="7">
        <v>0</v>
      </c>
      <c r="AL85" s="12" t="s">
        <v>677</v>
      </c>
      <c r="AM85" s="12"/>
      <c r="AN85" s="12" t="s">
        <v>45</v>
      </c>
      <c r="AP85" s="7">
        <v>291435</v>
      </c>
      <c r="AR85" s="7">
        <v>0</v>
      </c>
      <c r="AV85" s="7">
        <v>125000</v>
      </c>
      <c r="AX85" s="7">
        <v>109904</v>
      </c>
      <c r="AZ85" s="7">
        <v>0</v>
      </c>
      <c r="BB85" s="7">
        <f t="shared" si="26"/>
        <v>12476134</v>
      </c>
      <c r="BD85" s="7">
        <v>0</v>
      </c>
      <c r="BF85" s="7">
        <v>0</v>
      </c>
      <c r="BH85" s="7">
        <v>0</v>
      </c>
      <c r="BJ85" s="7">
        <v>0</v>
      </c>
      <c r="BL85" s="7">
        <f t="shared" ref="BL85:BL116" si="28">+BB85+BD85+BF85+BJ85</f>
        <v>12476134</v>
      </c>
      <c r="BN85" s="7">
        <f>+GenRev!AM85-GenExp!BL85</f>
        <v>-382692</v>
      </c>
      <c r="BP85" s="7">
        <v>-164312</v>
      </c>
      <c r="BR85" s="7">
        <v>0</v>
      </c>
      <c r="BT85" s="7">
        <v>0</v>
      </c>
      <c r="BV85" s="7">
        <f t="shared" si="19"/>
        <v>-547004</v>
      </c>
      <c r="BX85" s="8">
        <f>+BV85-'Gen Fd BS'!AE85+BT85</f>
        <v>0</v>
      </c>
      <c r="CB85" s="7" t="str">
        <f t="shared" si="23"/>
        <v xml:space="preserve">Campbell City SD </v>
      </c>
      <c r="CC85" s="7" t="b">
        <f t="shared" si="20"/>
        <v>1</v>
      </c>
      <c r="CE85" s="12" t="str">
        <f>GenRev!A85</f>
        <v xml:space="preserve">Campbell City SD </v>
      </c>
      <c r="CF85" s="7" t="b">
        <f t="shared" si="24"/>
        <v>1</v>
      </c>
      <c r="CG85" s="7" t="str">
        <f t="shared" si="21"/>
        <v>Mahoning</v>
      </c>
      <c r="CH85" s="7" t="b">
        <f t="shared" si="22"/>
        <v>1</v>
      </c>
      <c r="CI85" s="7" t="b">
        <f>C85=GenRev!C85</f>
        <v>1</v>
      </c>
    </row>
    <row r="86" spans="1:87">
      <c r="A86" s="12" t="s">
        <v>306</v>
      </c>
      <c r="B86" s="12"/>
      <c r="C86" s="12" t="s">
        <v>27</v>
      </c>
      <c r="D86" s="12"/>
      <c r="E86" s="12">
        <v>46946</v>
      </c>
      <c r="G86" s="7">
        <v>15301376</v>
      </c>
      <c r="I86" s="7">
        <v>3365347</v>
      </c>
      <c r="K86" s="7">
        <v>485680</v>
      </c>
      <c r="M86" s="7">
        <v>0</v>
      </c>
      <c r="O86" s="7">
        <v>228600</v>
      </c>
      <c r="Q86" s="7">
        <v>1945386</v>
      </c>
      <c r="S86" s="7">
        <v>1415764</v>
      </c>
      <c r="U86" s="7">
        <v>167590</v>
      </c>
      <c r="W86" s="7">
        <v>2193429</v>
      </c>
      <c r="Y86" s="7">
        <v>865075</v>
      </c>
      <c r="AA86" s="7">
        <v>0</v>
      </c>
      <c r="AC86" s="7">
        <v>4099212</v>
      </c>
      <c r="AE86" s="7">
        <v>2502498</v>
      </c>
      <c r="AG86" s="7">
        <v>294726</v>
      </c>
      <c r="AI86" s="7">
        <v>0</v>
      </c>
      <c r="AK86" s="7">
        <v>0</v>
      </c>
      <c r="AL86" s="12" t="s">
        <v>306</v>
      </c>
      <c r="AM86" s="12"/>
      <c r="AN86" s="12" t="s">
        <v>27</v>
      </c>
      <c r="AP86" s="7">
        <v>663112</v>
      </c>
      <c r="AR86" s="7">
        <v>91000</v>
      </c>
      <c r="AV86" s="7">
        <v>108337</v>
      </c>
      <c r="AX86" s="7">
        <v>69570</v>
      </c>
      <c r="AZ86" s="7">
        <v>0</v>
      </c>
      <c r="BB86" s="7">
        <f t="shared" si="26"/>
        <v>33796702</v>
      </c>
      <c r="BD86" s="7">
        <v>0</v>
      </c>
      <c r="BF86" s="7">
        <v>0</v>
      </c>
      <c r="BH86" s="7">
        <v>0</v>
      </c>
      <c r="BJ86" s="7">
        <v>0</v>
      </c>
      <c r="BL86" s="7">
        <f t="shared" si="28"/>
        <v>33796702</v>
      </c>
      <c r="BN86" s="7">
        <f>+GenRev!AM86-GenExp!BL86</f>
        <v>1443695</v>
      </c>
      <c r="BP86" s="7">
        <v>5785294</v>
      </c>
      <c r="BR86" s="7">
        <v>0</v>
      </c>
      <c r="BT86" s="7">
        <v>0</v>
      </c>
      <c r="BV86" s="7">
        <f t="shared" si="19"/>
        <v>7228989</v>
      </c>
      <c r="BX86" s="8">
        <f>+BV86-'Gen Fd BS'!AE86+BT86</f>
        <v>0</v>
      </c>
      <c r="CB86" s="7" t="str">
        <f t="shared" si="23"/>
        <v>Canal Winchester Local SD</v>
      </c>
      <c r="CC86" s="7" t="b">
        <f t="shared" si="20"/>
        <v>1</v>
      </c>
      <c r="CE86" s="12" t="str">
        <f>GenRev!A86</f>
        <v>Canal Winchester Local SD</v>
      </c>
      <c r="CF86" s="7" t="b">
        <f t="shared" si="24"/>
        <v>1</v>
      </c>
      <c r="CG86" s="7" t="str">
        <f t="shared" si="21"/>
        <v>Franklin</v>
      </c>
      <c r="CH86" s="7" t="b">
        <f t="shared" si="22"/>
        <v>1</v>
      </c>
      <c r="CI86" s="7" t="b">
        <f>C86=GenRev!C86</f>
        <v>1</v>
      </c>
    </row>
    <row r="87" spans="1:87">
      <c r="A87" s="12" t="s">
        <v>416</v>
      </c>
      <c r="B87" s="12"/>
      <c r="C87" s="12" t="s">
        <v>45</v>
      </c>
      <c r="D87" s="12"/>
      <c r="E87" s="12">
        <v>48314</v>
      </c>
      <c r="G87" s="7">
        <v>13237810</v>
      </c>
      <c r="I87" s="7">
        <v>1773452</v>
      </c>
      <c r="K87" s="7">
        <v>290639</v>
      </c>
      <c r="M87" s="7">
        <v>0</v>
      </c>
      <c r="O87" s="7">
        <v>0</v>
      </c>
      <c r="Q87" s="7">
        <v>1098272</v>
      </c>
      <c r="S87" s="7">
        <v>1306289</v>
      </c>
      <c r="U87" s="7">
        <v>34918</v>
      </c>
      <c r="W87" s="7">
        <v>1592449</v>
      </c>
      <c r="Y87" s="7">
        <v>534370</v>
      </c>
      <c r="AA87" s="7">
        <v>262616</v>
      </c>
      <c r="AC87" s="7">
        <v>2103601</v>
      </c>
      <c r="AE87" s="7">
        <v>1687307</v>
      </c>
      <c r="AG87" s="7">
        <v>131449</v>
      </c>
      <c r="AI87" s="7">
        <v>0</v>
      </c>
      <c r="AK87" s="7">
        <v>0</v>
      </c>
      <c r="AL87" s="12" t="s">
        <v>416</v>
      </c>
      <c r="AM87" s="12"/>
      <c r="AN87" s="12" t="s">
        <v>45</v>
      </c>
      <c r="AP87" s="7">
        <v>509077</v>
      </c>
      <c r="AR87" s="7">
        <v>8488</v>
      </c>
      <c r="AV87" s="7">
        <v>0</v>
      </c>
      <c r="AX87" s="7">
        <v>0</v>
      </c>
      <c r="AZ87" s="7">
        <v>0</v>
      </c>
      <c r="BB87" s="7">
        <f t="shared" si="26"/>
        <v>24570737</v>
      </c>
      <c r="BD87" s="7">
        <v>85000</v>
      </c>
      <c r="BF87" s="7">
        <v>0</v>
      </c>
      <c r="BH87" s="7">
        <v>0</v>
      </c>
      <c r="BJ87" s="7">
        <v>0</v>
      </c>
      <c r="BL87" s="7">
        <f t="shared" si="28"/>
        <v>24655737</v>
      </c>
      <c r="BN87" s="7">
        <f>+GenRev!AM87-GenExp!BL87</f>
        <v>-1237292</v>
      </c>
      <c r="BP87" s="7">
        <v>4850576</v>
      </c>
      <c r="BR87" s="7">
        <v>0</v>
      </c>
      <c r="BT87" s="7">
        <v>0</v>
      </c>
      <c r="BV87" s="7">
        <f t="shared" si="19"/>
        <v>3613284</v>
      </c>
      <c r="BX87" s="8">
        <f>+BV87-'Gen Fd BS'!AE87+BT87</f>
        <v>0</v>
      </c>
      <c r="CB87" s="7" t="str">
        <f t="shared" si="23"/>
        <v>Canfield Local SD</v>
      </c>
      <c r="CC87" s="7" t="b">
        <f t="shared" si="20"/>
        <v>1</v>
      </c>
      <c r="CE87" s="12" t="str">
        <f>GenRev!A87</f>
        <v>Canfield Local SD</v>
      </c>
      <c r="CF87" s="7" t="b">
        <f t="shared" si="24"/>
        <v>1</v>
      </c>
      <c r="CG87" s="7" t="str">
        <f t="shared" si="21"/>
        <v>Mahoning</v>
      </c>
      <c r="CH87" s="7" t="b">
        <f t="shared" si="22"/>
        <v>1</v>
      </c>
      <c r="CI87" s="7" t="b">
        <f>C87=GenRev!C87</f>
        <v>1</v>
      </c>
    </row>
    <row r="88" spans="1:87">
      <c r="A88" s="12" t="s">
        <v>509</v>
      </c>
      <c r="B88" s="12"/>
      <c r="C88" s="12" t="s">
        <v>62</v>
      </c>
      <c r="D88" s="12"/>
      <c r="E88" s="12">
        <v>43711</v>
      </c>
      <c r="G88" s="7">
        <v>8080306</v>
      </c>
      <c r="I88" s="7">
        <v>1938476</v>
      </c>
      <c r="K88" s="7">
        <v>1565796</v>
      </c>
      <c r="M88" s="7">
        <v>0</v>
      </c>
      <c r="O88" s="7">
        <v>666080</v>
      </c>
      <c r="Q88" s="7">
        <v>1233235</v>
      </c>
      <c r="S88" s="7">
        <v>703441</v>
      </c>
      <c r="U88" s="7">
        <v>31050</v>
      </c>
      <c r="W88" s="7">
        <v>1556978</v>
      </c>
      <c r="Y88" s="7">
        <v>336581</v>
      </c>
      <c r="AA88" s="7">
        <v>264174</v>
      </c>
      <c r="AC88" s="7">
        <v>2041025</v>
      </c>
      <c r="AE88" s="7">
        <v>1059108</v>
      </c>
      <c r="AG88" s="7">
        <v>305130</v>
      </c>
      <c r="AI88" s="7">
        <v>0</v>
      </c>
      <c r="AK88" s="7">
        <v>0</v>
      </c>
      <c r="AL88" s="12" t="s">
        <v>509</v>
      </c>
      <c r="AM88" s="12"/>
      <c r="AN88" s="12" t="s">
        <v>62</v>
      </c>
      <c r="AP88" s="7">
        <v>558701</v>
      </c>
      <c r="AR88" s="7">
        <v>0</v>
      </c>
      <c r="AV88" s="7">
        <v>0</v>
      </c>
      <c r="AX88" s="7">
        <v>0</v>
      </c>
      <c r="AZ88" s="7">
        <v>0</v>
      </c>
      <c r="BB88" s="7">
        <f>SUM(G88:AZ88)</f>
        <v>20340081</v>
      </c>
      <c r="BD88" s="7">
        <v>0</v>
      </c>
      <c r="BF88" s="7">
        <v>0</v>
      </c>
      <c r="BH88" s="7">
        <v>0</v>
      </c>
      <c r="BJ88" s="7">
        <v>0</v>
      </c>
      <c r="BL88" s="7">
        <f>+BB88+BD88+BF88+BJ88</f>
        <v>20340081</v>
      </c>
      <c r="BN88" s="7">
        <f>+GenRev!AM88-GenExp!BL88</f>
        <v>2478135</v>
      </c>
      <c r="BP88" s="7">
        <v>-3111143</v>
      </c>
      <c r="BR88" s="7">
        <v>0</v>
      </c>
      <c r="BT88" s="7">
        <v>0</v>
      </c>
      <c r="BV88" s="7">
        <f>+BP88+BN88-BR88</f>
        <v>-633008</v>
      </c>
      <c r="BX88" s="8">
        <f>+BV88-'Gen Fd BS'!AE88+BT88</f>
        <v>0</v>
      </c>
      <c r="CB88" s="7" t="str">
        <f>A88</f>
        <v>Canton City SD</v>
      </c>
      <c r="CC88" s="7" t="b">
        <f>A88=AL88</f>
        <v>1</v>
      </c>
      <c r="CE88" s="12" t="str">
        <f>GenRev!A88</f>
        <v>Canton City SD</v>
      </c>
      <c r="CF88" s="7" t="b">
        <f>CB88=CE88</f>
        <v>1</v>
      </c>
      <c r="CG88" s="7" t="str">
        <f>C88</f>
        <v>Stark</v>
      </c>
      <c r="CH88" s="7" t="b">
        <f>C88=AN88</f>
        <v>1</v>
      </c>
      <c r="CI88" s="7" t="b">
        <f>C88=GenRev!C88</f>
        <v>1</v>
      </c>
    </row>
    <row r="89" spans="1:87">
      <c r="A89" s="12" t="s">
        <v>510</v>
      </c>
      <c r="B89" s="12"/>
      <c r="C89" s="12" t="s">
        <v>62</v>
      </c>
      <c r="D89" s="12"/>
      <c r="E89" s="12">
        <v>49833</v>
      </c>
      <c r="G89" s="7">
        <v>37077000</v>
      </c>
      <c r="I89" s="7">
        <v>11542000</v>
      </c>
      <c r="K89" s="7">
        <v>2169000</v>
      </c>
      <c r="M89" s="7">
        <v>1041000</v>
      </c>
      <c r="O89" s="7">
        <v>11630000</v>
      </c>
      <c r="Q89" s="7">
        <v>6228000</v>
      </c>
      <c r="S89" s="7">
        <v>1837000</v>
      </c>
      <c r="U89" s="7">
        <v>35000</v>
      </c>
      <c r="W89" s="7">
        <v>7453000</v>
      </c>
      <c r="Y89" s="7">
        <v>1353000</v>
      </c>
      <c r="AA89" s="7">
        <v>541000</v>
      </c>
      <c r="AC89" s="7">
        <v>9697000</v>
      </c>
      <c r="AE89" s="7">
        <v>2893000</v>
      </c>
      <c r="AG89" s="7">
        <v>2980000</v>
      </c>
      <c r="AI89" s="7">
        <v>0</v>
      </c>
      <c r="AK89" s="7">
        <v>830000</v>
      </c>
      <c r="AL89" s="12" t="s">
        <v>510</v>
      </c>
      <c r="AM89" s="12"/>
      <c r="AN89" s="12" t="s">
        <v>62</v>
      </c>
      <c r="AP89" s="7">
        <v>1750000</v>
      </c>
      <c r="AR89" s="7">
        <v>0</v>
      </c>
      <c r="AV89" s="7">
        <v>135000</v>
      </c>
      <c r="AX89" s="7">
        <v>12000</v>
      </c>
      <c r="AZ89" s="7">
        <v>396000</v>
      </c>
      <c r="BB89" s="7">
        <f t="shared" ref="BB89" si="29">SUM(G89:AZ89)</f>
        <v>99599000</v>
      </c>
      <c r="BD89" s="7">
        <v>1296000</v>
      </c>
      <c r="BF89" s="7">
        <v>0</v>
      </c>
      <c r="BH89" s="7">
        <v>0</v>
      </c>
      <c r="BJ89" s="7">
        <v>0</v>
      </c>
      <c r="BL89" s="7">
        <f t="shared" ref="BL89" si="30">+BB89+BD89+BF89+BJ89</f>
        <v>100895000</v>
      </c>
      <c r="BN89" s="7">
        <f>+GenRev!AM89-GenExp!BL89</f>
        <v>2848000</v>
      </c>
      <c r="BP89" s="7">
        <v>123000</v>
      </c>
      <c r="BR89" s="7">
        <v>62000</v>
      </c>
      <c r="BT89" s="7">
        <v>0</v>
      </c>
      <c r="BV89" s="7">
        <f t="shared" ref="BV89" si="31">+BP89+BN89-BR89</f>
        <v>2909000</v>
      </c>
      <c r="BX89" s="8">
        <f>+BV89-'Gen Fd BS'!AE89+BT89</f>
        <v>0</v>
      </c>
      <c r="CB89" s="7" t="str">
        <f t="shared" ref="CB89" si="32">A89</f>
        <v>Canton Local SD</v>
      </c>
      <c r="CC89" s="7" t="b">
        <f t="shared" si="20"/>
        <v>1</v>
      </c>
      <c r="CE89" s="12" t="str">
        <f>GenRev!A89</f>
        <v>Canton Local SD</v>
      </c>
      <c r="CF89" s="7" t="b">
        <f t="shared" ref="CF89" si="33">CB89=CE89</f>
        <v>1</v>
      </c>
      <c r="CG89" s="7" t="str">
        <f t="shared" si="21"/>
        <v>Stark</v>
      </c>
      <c r="CH89" s="7" t="b">
        <f t="shared" si="22"/>
        <v>1</v>
      </c>
      <c r="CI89" s="7" t="b">
        <f>C89=GenRev!C89</f>
        <v>1</v>
      </c>
    </row>
    <row r="90" spans="1:87">
      <c r="A90" s="12" t="s">
        <v>678</v>
      </c>
      <c r="B90" s="12"/>
      <c r="C90" s="12" t="s">
        <v>30</v>
      </c>
      <c r="D90" s="12"/>
      <c r="E90" s="12">
        <v>47175</v>
      </c>
      <c r="G90" s="7">
        <v>5827348</v>
      </c>
      <c r="I90" s="7">
        <v>2148728</v>
      </c>
      <c r="K90" s="7">
        <v>0</v>
      </c>
      <c r="M90" s="7">
        <v>0</v>
      </c>
      <c r="O90" s="7">
        <v>0</v>
      </c>
      <c r="Q90" s="7">
        <v>520469</v>
      </c>
      <c r="S90" s="7">
        <v>192070</v>
      </c>
      <c r="U90" s="7">
        <v>31831</v>
      </c>
      <c r="W90" s="7">
        <v>1077850</v>
      </c>
      <c r="Y90" s="7">
        <v>426569</v>
      </c>
      <c r="AA90" s="7">
        <v>62094</v>
      </c>
      <c r="AC90" s="7">
        <v>1242326</v>
      </c>
      <c r="AE90" s="7">
        <v>1344106</v>
      </c>
      <c r="AG90" s="7">
        <v>197102</v>
      </c>
      <c r="AI90" s="7">
        <v>1222</v>
      </c>
      <c r="AK90" s="7">
        <v>0</v>
      </c>
      <c r="AL90" s="12" t="s">
        <v>678</v>
      </c>
      <c r="AM90" s="12"/>
      <c r="AN90" s="12" t="s">
        <v>30</v>
      </c>
      <c r="AP90" s="7">
        <v>241794</v>
      </c>
      <c r="AR90" s="7">
        <v>0</v>
      </c>
      <c r="AV90" s="7">
        <v>63252</v>
      </c>
      <c r="AX90" s="7">
        <v>20246</v>
      </c>
      <c r="AZ90" s="7">
        <v>0</v>
      </c>
      <c r="BB90" s="7">
        <f t="shared" si="26"/>
        <v>13397007</v>
      </c>
      <c r="BD90" s="7">
        <v>125000</v>
      </c>
      <c r="BF90" s="7">
        <v>0</v>
      </c>
      <c r="BH90" s="7">
        <v>0</v>
      </c>
      <c r="BJ90" s="7">
        <v>0</v>
      </c>
      <c r="BL90" s="7">
        <f t="shared" si="28"/>
        <v>13522007</v>
      </c>
      <c r="BN90" s="7">
        <f>+GenRev!AM90-GenExp!BL90</f>
        <v>-281913</v>
      </c>
      <c r="BP90" s="7">
        <v>167308</v>
      </c>
      <c r="BR90" s="7">
        <v>0</v>
      </c>
      <c r="BT90" s="7">
        <v>0</v>
      </c>
      <c r="BV90" s="7">
        <f t="shared" si="19"/>
        <v>-114605</v>
      </c>
      <c r="BX90" s="8">
        <f>+BV90-'Gen Fd BS'!AE90+BT90</f>
        <v>0</v>
      </c>
      <c r="CB90" s="7" t="str">
        <f t="shared" si="23"/>
        <v xml:space="preserve">Cardinal Local SD </v>
      </c>
      <c r="CC90" s="7" t="b">
        <f t="shared" si="20"/>
        <v>1</v>
      </c>
      <c r="CE90" s="12" t="str">
        <f>GenRev!A90</f>
        <v xml:space="preserve">Cardinal Local SD </v>
      </c>
      <c r="CF90" s="7" t="b">
        <f t="shared" si="24"/>
        <v>1</v>
      </c>
      <c r="CG90" s="7" t="str">
        <f t="shared" si="21"/>
        <v>Geauga</v>
      </c>
      <c r="CH90" s="7" t="b">
        <f t="shared" si="22"/>
        <v>1</v>
      </c>
      <c r="CI90" s="7" t="b">
        <f>C90=GenRev!C90</f>
        <v>1</v>
      </c>
    </row>
    <row r="91" spans="1:87" hidden="1">
      <c r="A91" s="12" t="s">
        <v>454</v>
      </c>
      <c r="B91" s="12"/>
      <c r="C91" s="12" t="s">
        <v>78</v>
      </c>
      <c r="D91" s="12"/>
      <c r="E91" s="12">
        <v>48793</v>
      </c>
      <c r="AL91" s="12" t="s">
        <v>454</v>
      </c>
      <c r="AM91" s="12"/>
      <c r="AN91" s="12" t="s">
        <v>78</v>
      </c>
      <c r="BB91" s="7">
        <f t="shared" si="26"/>
        <v>0</v>
      </c>
      <c r="BF91" s="7">
        <v>0</v>
      </c>
      <c r="BH91" s="7">
        <v>0</v>
      </c>
      <c r="BL91" s="7">
        <f t="shared" si="28"/>
        <v>0</v>
      </c>
      <c r="BN91" s="7">
        <f>+GenRev!AM91-GenExp!BL91</f>
        <v>0</v>
      </c>
      <c r="BT91" s="7">
        <v>0</v>
      </c>
      <c r="BV91" s="7">
        <f t="shared" si="19"/>
        <v>0</v>
      </c>
      <c r="BX91" s="8">
        <f>+BV91-'Gen Fd BS'!AE91+BT91</f>
        <v>0</v>
      </c>
      <c r="CA91" s="7" t="s">
        <v>981</v>
      </c>
      <c r="CB91" s="7" t="str">
        <f t="shared" si="23"/>
        <v>Cardington-Lincoln Local SD</v>
      </c>
      <c r="CC91" s="7" t="b">
        <f t="shared" si="20"/>
        <v>1</v>
      </c>
      <c r="CE91" s="12" t="str">
        <f>GenRev!A91</f>
        <v>Cardington-Lincoln Local SD</v>
      </c>
      <c r="CF91" s="7" t="b">
        <f t="shared" si="24"/>
        <v>1</v>
      </c>
      <c r="CG91" s="7" t="str">
        <f t="shared" si="21"/>
        <v>Morrow</v>
      </c>
      <c r="CH91" s="7" t="b">
        <f t="shared" si="22"/>
        <v>1</v>
      </c>
      <c r="CI91" s="7" t="b">
        <f>C91=GenRev!C91</f>
        <v>1</v>
      </c>
    </row>
    <row r="92" spans="1:87" hidden="1">
      <c r="A92" s="12" t="s">
        <v>644</v>
      </c>
      <c r="B92" s="12"/>
      <c r="C92" s="12" t="s">
        <v>577</v>
      </c>
      <c r="D92" s="12"/>
      <c r="E92" s="12">
        <v>45260</v>
      </c>
      <c r="AL92" s="12" t="s">
        <v>644</v>
      </c>
      <c r="AM92" s="12"/>
      <c r="AN92" s="12" t="s">
        <v>577</v>
      </c>
      <c r="BB92" s="7">
        <f t="shared" si="26"/>
        <v>0</v>
      </c>
      <c r="BF92" s="7">
        <v>0</v>
      </c>
      <c r="BH92" s="7">
        <v>0</v>
      </c>
      <c r="BL92" s="7">
        <f t="shared" si="28"/>
        <v>0</v>
      </c>
      <c r="BN92" s="7">
        <f>+GenRev!AM92-GenExp!BL92</f>
        <v>0</v>
      </c>
      <c r="BT92" s="7">
        <v>0</v>
      </c>
      <c r="BV92" s="7">
        <f t="shared" si="19"/>
        <v>0</v>
      </c>
      <c r="BX92" s="8">
        <f>+BV92-'Gen Fd BS'!AE92+BT92</f>
        <v>0</v>
      </c>
      <c r="CA92" s="7" t="s">
        <v>778</v>
      </c>
      <c r="CB92" s="7" t="str">
        <f t="shared" si="23"/>
        <v>Carey Ex Vill SD (CASH)</v>
      </c>
      <c r="CC92" s="7" t="b">
        <f t="shared" si="20"/>
        <v>1</v>
      </c>
      <c r="CE92" s="12" t="str">
        <f>GenRev!A92</f>
        <v>Carey Ex Vill SD (CASH)</v>
      </c>
      <c r="CF92" s="7" t="b">
        <f t="shared" si="24"/>
        <v>1</v>
      </c>
      <c r="CG92" s="7" t="str">
        <f t="shared" si="21"/>
        <v>Wyandot</v>
      </c>
      <c r="CH92" s="7" t="b">
        <f t="shared" si="22"/>
        <v>1</v>
      </c>
      <c r="CI92" s="7" t="b">
        <f>C92=GenRev!C92</f>
        <v>1</v>
      </c>
    </row>
    <row r="93" spans="1:87" s="32" customFormat="1">
      <c r="A93" s="31" t="s">
        <v>560</v>
      </c>
      <c r="B93" s="31"/>
      <c r="C93" s="31" t="s">
        <v>69</v>
      </c>
      <c r="D93" s="31"/>
      <c r="E93" s="31">
        <v>50419</v>
      </c>
      <c r="G93" s="32">
        <v>7203821</v>
      </c>
      <c r="I93" s="32">
        <v>1538811</v>
      </c>
      <c r="K93" s="32">
        <v>213014</v>
      </c>
      <c r="M93" s="32">
        <v>0</v>
      </c>
      <c r="O93" s="32">
        <v>67312</v>
      </c>
      <c r="Q93" s="32">
        <v>747724</v>
      </c>
      <c r="S93" s="32">
        <v>1054662</v>
      </c>
      <c r="U93" s="32">
        <v>38895</v>
      </c>
      <c r="W93" s="32">
        <v>1091741</v>
      </c>
      <c r="Y93" s="32">
        <v>489956</v>
      </c>
      <c r="AA93" s="32">
        <v>12389</v>
      </c>
      <c r="AC93" s="32">
        <v>1352871</v>
      </c>
      <c r="AE93" s="32">
        <v>855590</v>
      </c>
      <c r="AG93" s="32">
        <v>36964</v>
      </c>
      <c r="AI93" s="32">
        <v>0</v>
      </c>
      <c r="AK93" s="32">
        <v>0</v>
      </c>
      <c r="AL93" s="31" t="s">
        <v>560</v>
      </c>
      <c r="AM93" s="31"/>
      <c r="AN93" s="31" t="s">
        <v>69</v>
      </c>
      <c r="AP93" s="32">
        <v>445516</v>
      </c>
      <c r="AR93" s="32">
        <v>0</v>
      </c>
      <c r="AV93" s="32">
        <v>0</v>
      </c>
      <c r="AX93" s="32">
        <v>0</v>
      </c>
      <c r="AZ93" s="32">
        <v>0</v>
      </c>
      <c r="BB93" s="32">
        <f t="shared" si="26"/>
        <v>15149266</v>
      </c>
      <c r="BD93" s="32">
        <v>0</v>
      </c>
      <c r="BF93" s="32">
        <v>0</v>
      </c>
      <c r="BH93" s="32">
        <v>0</v>
      </c>
      <c r="BJ93" s="32">
        <v>0</v>
      </c>
      <c r="BL93" s="32">
        <f t="shared" si="28"/>
        <v>15149266</v>
      </c>
      <c r="BN93" s="32">
        <f>+GenRev!AM93-GenExp!BL93</f>
        <v>-529044</v>
      </c>
      <c r="BP93" s="32">
        <v>788296</v>
      </c>
      <c r="BR93" s="32">
        <v>0</v>
      </c>
      <c r="BT93" s="32">
        <v>0</v>
      </c>
      <c r="BV93" s="32">
        <f t="shared" si="19"/>
        <v>259252</v>
      </c>
      <c r="BX93" s="36">
        <f>+BV93-'Gen Fd BS'!AE93+BT93</f>
        <v>0</v>
      </c>
      <c r="CB93" s="32" t="str">
        <f t="shared" si="23"/>
        <v>Carlisle Local SD</v>
      </c>
      <c r="CC93" s="32" t="b">
        <f t="shared" si="20"/>
        <v>1</v>
      </c>
      <c r="CE93" s="31" t="str">
        <f>GenRev!A93</f>
        <v>Carlisle Local SD</v>
      </c>
      <c r="CF93" s="32" t="b">
        <f t="shared" si="24"/>
        <v>1</v>
      </c>
      <c r="CG93" s="32" t="str">
        <f t="shared" si="21"/>
        <v>Warren</v>
      </c>
      <c r="CH93" s="32" t="b">
        <f t="shared" si="22"/>
        <v>1</v>
      </c>
      <c r="CI93" s="32" t="b">
        <f>C93=GenRev!C93</f>
        <v>1</v>
      </c>
    </row>
    <row r="94" spans="1:87">
      <c r="A94" s="12" t="s">
        <v>862</v>
      </c>
      <c r="B94" s="12"/>
      <c r="C94" s="12" t="s">
        <v>16</v>
      </c>
      <c r="D94" s="12"/>
      <c r="E94" s="12">
        <v>45278</v>
      </c>
      <c r="G94" s="7">
        <v>8002796</v>
      </c>
      <c r="I94" s="7">
        <v>1703144</v>
      </c>
      <c r="K94" s="7">
        <v>256274</v>
      </c>
      <c r="M94" s="7">
        <v>0</v>
      </c>
      <c r="O94" s="7">
        <f>21148+285714</f>
        <v>306862</v>
      </c>
      <c r="Q94" s="7">
        <v>1164450</v>
      </c>
      <c r="S94" s="7">
        <v>416639</v>
      </c>
      <c r="U94" s="7">
        <v>13442</v>
      </c>
      <c r="W94" s="7">
        <v>1478983</v>
      </c>
      <c r="Y94" s="7">
        <v>638711</v>
      </c>
      <c r="AA94" s="7">
        <v>115915</v>
      </c>
      <c r="AC94" s="7">
        <v>1777474</v>
      </c>
      <c r="AE94" s="7">
        <v>1503173</v>
      </c>
      <c r="AG94" s="7">
        <v>46807</v>
      </c>
      <c r="AI94" s="7">
        <v>0</v>
      </c>
      <c r="AK94" s="7">
        <v>41042</v>
      </c>
      <c r="AL94" s="12" t="s">
        <v>862</v>
      </c>
      <c r="AM94" s="12"/>
      <c r="AN94" s="12" t="s">
        <v>16</v>
      </c>
      <c r="AP94" s="7">
        <v>403006</v>
      </c>
      <c r="AR94" s="7">
        <v>125723</v>
      </c>
      <c r="AV94" s="7">
        <v>16570</v>
      </c>
      <c r="AX94" s="7">
        <v>212</v>
      </c>
      <c r="AZ94" s="7">
        <v>0</v>
      </c>
      <c r="BB94" s="7">
        <f t="shared" si="26"/>
        <v>18011223</v>
      </c>
      <c r="BD94" s="7">
        <v>151652</v>
      </c>
      <c r="BF94" s="7">
        <v>0</v>
      </c>
      <c r="BH94" s="7">
        <v>0</v>
      </c>
      <c r="BJ94" s="7">
        <v>0</v>
      </c>
      <c r="BL94" s="7">
        <f t="shared" si="28"/>
        <v>18162875</v>
      </c>
      <c r="BN94" s="7">
        <f>+GenRev!AM94-GenExp!BL94</f>
        <v>2244987</v>
      </c>
      <c r="BP94" s="7">
        <v>3374919</v>
      </c>
      <c r="BR94" s="7">
        <v>0</v>
      </c>
      <c r="BT94" s="7">
        <v>0</v>
      </c>
      <c r="BV94" s="7">
        <f t="shared" si="19"/>
        <v>5619906</v>
      </c>
      <c r="BX94" s="8">
        <f>+BV94-'Gen Fd BS'!AE94+BT94</f>
        <v>0</v>
      </c>
      <c r="CB94" s="7" t="str">
        <f t="shared" si="23"/>
        <v>Carrollton Exempted Village SD</v>
      </c>
      <c r="CC94" s="7" t="b">
        <f t="shared" si="20"/>
        <v>1</v>
      </c>
      <c r="CE94" s="12" t="str">
        <f>GenRev!A94</f>
        <v>Carrollton Exempted Village SD</v>
      </c>
      <c r="CF94" s="7" t="b">
        <f t="shared" si="24"/>
        <v>1</v>
      </c>
      <c r="CG94" s="7" t="str">
        <f t="shared" si="21"/>
        <v>Carroll</v>
      </c>
      <c r="CH94" s="7" t="b">
        <f t="shared" si="22"/>
        <v>1</v>
      </c>
      <c r="CI94" s="7" t="b">
        <f>C94=GenRev!C94</f>
        <v>1</v>
      </c>
    </row>
    <row r="95" spans="1:87">
      <c r="A95" s="12" t="s">
        <v>679</v>
      </c>
      <c r="B95" s="12"/>
      <c r="C95" s="12" t="s">
        <v>114</v>
      </c>
      <c r="D95" s="12"/>
      <c r="E95" s="12">
        <v>47258</v>
      </c>
      <c r="G95" s="7">
        <v>2335094</v>
      </c>
      <c r="I95" s="7">
        <v>437374</v>
      </c>
      <c r="K95" s="7">
        <v>5557</v>
      </c>
      <c r="M95" s="7">
        <v>0</v>
      </c>
      <c r="O95" s="7">
        <f>18063+355305</f>
        <v>373368</v>
      </c>
      <c r="Q95" s="7">
        <v>444007</v>
      </c>
      <c r="S95" s="7">
        <v>184401</v>
      </c>
      <c r="U95" s="7">
        <v>30283</v>
      </c>
      <c r="W95" s="7">
        <v>664165</v>
      </c>
      <c r="Y95" s="7">
        <v>326929</v>
      </c>
      <c r="AA95" s="7">
        <v>3131</v>
      </c>
      <c r="AC95" s="7">
        <v>456888</v>
      </c>
      <c r="AE95" s="7">
        <v>232948</v>
      </c>
      <c r="AG95" s="7">
        <v>88714</v>
      </c>
      <c r="AI95" s="7">
        <v>0</v>
      </c>
      <c r="AK95" s="7">
        <v>0</v>
      </c>
      <c r="AL95" s="12" t="s">
        <v>679</v>
      </c>
      <c r="AM95" s="12"/>
      <c r="AN95" s="12" t="s">
        <v>114</v>
      </c>
      <c r="AP95" s="7">
        <v>190242</v>
      </c>
      <c r="AR95" s="7">
        <v>61495</v>
      </c>
      <c r="AV95" s="7">
        <v>0</v>
      </c>
      <c r="AX95" s="7">
        <v>18142</v>
      </c>
      <c r="AZ95" s="7">
        <v>0</v>
      </c>
      <c r="BB95" s="7">
        <f t="shared" si="26"/>
        <v>5852738</v>
      </c>
      <c r="BD95" s="7">
        <v>46118</v>
      </c>
      <c r="BF95" s="7">
        <v>0</v>
      </c>
      <c r="BH95" s="7">
        <v>0</v>
      </c>
      <c r="BJ95" s="7">
        <v>0</v>
      </c>
      <c r="BL95" s="7">
        <f t="shared" si="28"/>
        <v>5898856</v>
      </c>
      <c r="BN95" s="7">
        <f>+GenRev!AM95-GenExp!BL95</f>
        <v>16540</v>
      </c>
      <c r="BP95" s="7">
        <v>2078127</v>
      </c>
      <c r="BR95" s="7">
        <v>0</v>
      </c>
      <c r="BT95" s="7">
        <v>0</v>
      </c>
      <c r="BV95" s="7">
        <f t="shared" si="19"/>
        <v>2094667</v>
      </c>
      <c r="BX95" s="8">
        <f>+BV95-'Gen Fd BS'!AE95+BT95</f>
        <v>0</v>
      </c>
      <c r="CA95" s="7" t="s">
        <v>783</v>
      </c>
      <c r="CB95" s="7" t="str">
        <f t="shared" si="23"/>
        <v xml:space="preserve">Cedar Cliff Local SD </v>
      </c>
      <c r="CC95" s="7" t="b">
        <f t="shared" si="20"/>
        <v>1</v>
      </c>
      <c r="CE95" s="12" t="str">
        <f>GenRev!A95</f>
        <v xml:space="preserve">Cedar Cliff Local SD </v>
      </c>
      <c r="CF95" s="7" t="b">
        <f t="shared" si="24"/>
        <v>1</v>
      </c>
      <c r="CG95" s="7" t="str">
        <f t="shared" si="21"/>
        <v>Greene</v>
      </c>
      <c r="CH95" s="7" t="b">
        <f t="shared" si="22"/>
        <v>1</v>
      </c>
      <c r="CI95" s="7" t="b">
        <f>C95=GenRev!C95</f>
        <v>1</v>
      </c>
    </row>
    <row r="96" spans="1:87" hidden="1">
      <c r="A96" s="12" t="s">
        <v>645</v>
      </c>
      <c r="B96" s="12"/>
      <c r="C96" s="12" t="s">
        <v>435</v>
      </c>
      <c r="D96" s="12"/>
      <c r="E96" s="12">
        <v>43729</v>
      </c>
      <c r="AL96" s="12" t="s">
        <v>645</v>
      </c>
      <c r="AM96" s="12"/>
      <c r="AN96" s="12" t="s">
        <v>435</v>
      </c>
      <c r="BB96" s="7">
        <f t="shared" si="26"/>
        <v>0</v>
      </c>
      <c r="BF96" s="7">
        <v>0</v>
      </c>
      <c r="BH96" s="7">
        <v>0</v>
      </c>
      <c r="BL96" s="7">
        <f t="shared" si="28"/>
        <v>0</v>
      </c>
      <c r="BN96" s="7">
        <f>+GenRev!AM96-GenExp!BL96</f>
        <v>0</v>
      </c>
      <c r="BT96" s="7">
        <v>0</v>
      </c>
      <c r="BV96" s="7">
        <f t="shared" si="19"/>
        <v>0</v>
      </c>
      <c r="BX96" s="8">
        <f>+BV96-'Gen Fd BS'!AE96+BT96</f>
        <v>0</v>
      </c>
      <c r="CA96" s="7" t="s">
        <v>778</v>
      </c>
      <c r="CB96" s="7" t="str">
        <f t="shared" si="23"/>
        <v>Celina City SD (CASH)</v>
      </c>
      <c r="CC96" s="7" t="b">
        <f t="shared" si="20"/>
        <v>1</v>
      </c>
      <c r="CE96" s="12" t="str">
        <f>GenRev!A96</f>
        <v>Celina City SD (CASH)</v>
      </c>
      <c r="CF96" s="7" t="b">
        <f t="shared" si="24"/>
        <v>1</v>
      </c>
      <c r="CG96" s="7" t="str">
        <f t="shared" si="21"/>
        <v>Mercer</v>
      </c>
      <c r="CH96" s="7" t="b">
        <f t="shared" si="22"/>
        <v>1</v>
      </c>
      <c r="CI96" s="7" t="b">
        <f>C96=GenRev!C96</f>
        <v>1</v>
      </c>
    </row>
    <row r="97" spans="1:87">
      <c r="A97" s="12" t="s">
        <v>680</v>
      </c>
      <c r="B97" s="12"/>
      <c r="C97" s="12" t="s">
        <v>40</v>
      </c>
      <c r="D97" s="12"/>
      <c r="E97" s="12">
        <v>47829</v>
      </c>
      <c r="G97" s="7">
        <v>4300589</v>
      </c>
      <c r="I97" s="7">
        <v>1154649</v>
      </c>
      <c r="K97" s="7">
        <v>200651</v>
      </c>
      <c r="M97" s="7">
        <v>0</v>
      </c>
      <c r="O97" s="7">
        <v>0</v>
      </c>
      <c r="Q97" s="7">
        <v>280317</v>
      </c>
      <c r="S97" s="7">
        <v>152581</v>
      </c>
      <c r="U97" s="7">
        <v>9266</v>
      </c>
      <c r="W97" s="7">
        <v>1031764</v>
      </c>
      <c r="Y97" s="7">
        <v>302784</v>
      </c>
      <c r="AA97" s="7">
        <v>0</v>
      </c>
      <c r="AC97" s="7">
        <v>821188</v>
      </c>
      <c r="AE97" s="7">
        <v>716757</v>
      </c>
      <c r="AG97" s="7">
        <v>0</v>
      </c>
      <c r="AI97" s="7">
        <v>0</v>
      </c>
      <c r="AK97" s="7">
        <v>0</v>
      </c>
      <c r="AL97" s="12" t="s">
        <v>680</v>
      </c>
      <c r="AM97" s="12"/>
      <c r="AN97" s="12" t="s">
        <v>40</v>
      </c>
      <c r="AP97" s="7">
        <v>251565</v>
      </c>
      <c r="AR97" s="7">
        <v>0</v>
      </c>
      <c r="AV97" s="7">
        <v>0</v>
      </c>
      <c r="AX97" s="7">
        <v>0</v>
      </c>
      <c r="AZ97" s="7">
        <v>0</v>
      </c>
      <c r="BB97" s="7">
        <f t="shared" si="26"/>
        <v>9222111</v>
      </c>
      <c r="BD97" s="7">
        <v>0</v>
      </c>
      <c r="BF97" s="7">
        <v>0</v>
      </c>
      <c r="BH97" s="7">
        <v>0</v>
      </c>
      <c r="BJ97" s="7">
        <v>0</v>
      </c>
      <c r="BL97" s="7">
        <f t="shared" si="28"/>
        <v>9222111</v>
      </c>
      <c r="BN97" s="7">
        <f>+GenRev!AM97-GenExp!BL97</f>
        <v>-411956</v>
      </c>
      <c r="BP97" s="7">
        <v>4054989</v>
      </c>
      <c r="BR97" s="7">
        <v>0</v>
      </c>
      <c r="BT97" s="7">
        <v>0</v>
      </c>
      <c r="BV97" s="7">
        <f t="shared" si="19"/>
        <v>3643033</v>
      </c>
      <c r="BX97" s="8">
        <f>+BV97-'Gen Fd BS'!AE97+BT97</f>
        <v>0</v>
      </c>
      <c r="CB97" s="7" t="str">
        <f t="shared" si="23"/>
        <v xml:space="preserve">Centerburg Local SD </v>
      </c>
      <c r="CC97" s="7" t="b">
        <f t="shared" si="20"/>
        <v>1</v>
      </c>
      <c r="CE97" s="12" t="str">
        <f>GenRev!A97</f>
        <v xml:space="preserve">Centerburg Local SD </v>
      </c>
      <c r="CF97" s="7" t="b">
        <f t="shared" si="24"/>
        <v>1</v>
      </c>
      <c r="CG97" s="7" t="str">
        <f t="shared" si="21"/>
        <v>Knox</v>
      </c>
      <c r="CH97" s="7" t="b">
        <f t="shared" si="22"/>
        <v>1</v>
      </c>
      <c r="CI97" s="7" t="b">
        <f>C97=GenRev!C97</f>
        <v>1</v>
      </c>
    </row>
    <row r="98" spans="1:87">
      <c r="A98" s="12" t="s">
        <v>681</v>
      </c>
      <c r="B98" s="12"/>
      <c r="C98" s="12" t="s">
        <v>50</v>
      </c>
      <c r="D98" s="12"/>
      <c r="E98" s="12">
        <v>43737</v>
      </c>
      <c r="G98" s="7">
        <v>37990742</v>
      </c>
      <c r="I98" s="7">
        <v>7635561</v>
      </c>
      <c r="K98" s="7">
        <v>2547243</v>
      </c>
      <c r="M98" s="7">
        <v>0</v>
      </c>
      <c r="O98" s="7">
        <v>984476</v>
      </c>
      <c r="Q98" s="7">
        <v>4504670</v>
      </c>
      <c r="S98" s="7">
        <v>6805994</v>
      </c>
      <c r="U98" s="7">
        <v>18192</v>
      </c>
      <c r="W98" s="7">
        <v>4515569</v>
      </c>
      <c r="Y98" s="7">
        <v>1526732</v>
      </c>
      <c r="AA98" s="7">
        <v>514055</v>
      </c>
      <c r="AC98" s="7">
        <v>5476214</v>
      </c>
      <c r="AE98" s="7">
        <v>6269198</v>
      </c>
      <c r="AG98" s="7">
        <v>64641</v>
      </c>
      <c r="AI98" s="7">
        <v>0</v>
      </c>
      <c r="AK98" s="7">
        <v>1049846</v>
      </c>
      <c r="AL98" s="12" t="s">
        <v>681</v>
      </c>
      <c r="AM98" s="12"/>
      <c r="AN98" s="12" t="s">
        <v>50</v>
      </c>
      <c r="AP98" s="7">
        <v>9728</v>
      </c>
      <c r="AR98" s="7">
        <v>0</v>
      </c>
      <c r="AV98" s="7">
        <v>0</v>
      </c>
      <c r="AX98" s="7">
        <v>0</v>
      </c>
      <c r="AZ98" s="7">
        <v>0</v>
      </c>
      <c r="BB98" s="7">
        <f t="shared" si="26"/>
        <v>79912861</v>
      </c>
      <c r="BD98" s="7">
        <v>0</v>
      </c>
      <c r="BF98" s="7">
        <v>0</v>
      </c>
      <c r="BH98" s="7">
        <v>0</v>
      </c>
      <c r="BJ98" s="7">
        <v>0</v>
      </c>
      <c r="BL98" s="7">
        <f t="shared" si="28"/>
        <v>79912861</v>
      </c>
      <c r="BN98" s="7">
        <f>+GenRev!AM98-GenExp!BL98</f>
        <v>2737084</v>
      </c>
      <c r="BP98" s="7">
        <v>13680621</v>
      </c>
      <c r="BR98" s="7">
        <v>0</v>
      </c>
      <c r="BT98" s="7">
        <v>0</v>
      </c>
      <c r="BV98" s="7">
        <f t="shared" si="19"/>
        <v>16417705</v>
      </c>
      <c r="BX98" s="8">
        <f>+BV98-'Gen Fd BS'!AE98+BT98</f>
        <v>0</v>
      </c>
      <c r="CB98" s="7" t="str">
        <f t="shared" si="23"/>
        <v xml:space="preserve">Centerville City SD </v>
      </c>
      <c r="CC98" s="7" t="b">
        <f t="shared" si="20"/>
        <v>1</v>
      </c>
      <c r="CE98" s="12" t="str">
        <f>GenRev!A98</f>
        <v xml:space="preserve">Centerville City SD </v>
      </c>
      <c r="CF98" s="7" t="b">
        <f t="shared" si="24"/>
        <v>1</v>
      </c>
      <c r="CG98" s="7" t="str">
        <f t="shared" si="21"/>
        <v>Montgomery</v>
      </c>
      <c r="CH98" s="7" t="b">
        <f t="shared" si="22"/>
        <v>1</v>
      </c>
      <c r="CI98" s="7" t="b">
        <f>C98=GenRev!C98</f>
        <v>1</v>
      </c>
    </row>
    <row r="99" spans="1:87" hidden="1">
      <c r="A99" s="12" t="s">
        <v>797</v>
      </c>
      <c r="B99" s="12"/>
      <c r="C99" s="12" t="s">
        <v>22</v>
      </c>
      <c r="D99" s="12"/>
      <c r="E99" s="12">
        <v>46714</v>
      </c>
      <c r="AL99" s="12" t="s">
        <v>797</v>
      </c>
      <c r="AM99" s="12"/>
      <c r="AN99" s="12" t="s">
        <v>22</v>
      </c>
      <c r="BB99" s="7">
        <f t="shared" si="26"/>
        <v>0</v>
      </c>
      <c r="BF99" s="7">
        <v>0</v>
      </c>
      <c r="BH99" s="7">
        <v>0</v>
      </c>
      <c r="BL99" s="7">
        <f t="shared" si="28"/>
        <v>0</v>
      </c>
      <c r="BN99" s="7">
        <f>+GenRev!AM99-GenExp!BL99</f>
        <v>0</v>
      </c>
      <c r="BT99" s="7">
        <v>0</v>
      </c>
      <c r="BV99" s="7">
        <f t="shared" si="19"/>
        <v>0</v>
      </c>
      <c r="BX99" s="8">
        <f>+BV99-'Gen Fd BS'!AE99+BT99</f>
        <v>0</v>
      </c>
      <c r="CA99" s="7" t="s">
        <v>779</v>
      </c>
      <c r="CB99" s="7" t="str">
        <f t="shared" si="23"/>
        <v>Central Local SD (CASH)</v>
      </c>
      <c r="CC99" s="7" t="b">
        <f t="shared" si="20"/>
        <v>1</v>
      </c>
      <c r="CE99" s="12" t="str">
        <f>GenRev!A99</f>
        <v>Central Local SD (CASH)</v>
      </c>
      <c r="CF99" s="7" t="b">
        <f t="shared" si="24"/>
        <v>1</v>
      </c>
      <c r="CG99" s="7" t="str">
        <f t="shared" si="21"/>
        <v>Defiance</v>
      </c>
      <c r="CH99" s="7" t="b">
        <f t="shared" si="22"/>
        <v>1</v>
      </c>
      <c r="CI99" s="7" t="b">
        <f>C99=GenRev!C99</f>
        <v>1</v>
      </c>
    </row>
    <row r="100" spans="1:87">
      <c r="A100" s="12" t="s">
        <v>863</v>
      </c>
      <c r="B100" s="12"/>
      <c r="C100" s="12" t="s">
        <v>20</v>
      </c>
      <c r="D100" s="12"/>
      <c r="E100" s="12">
        <v>45286</v>
      </c>
      <c r="G100" s="7">
        <v>11259006</v>
      </c>
      <c r="I100" s="7">
        <v>2078126</v>
      </c>
      <c r="K100" s="7">
        <v>519757</v>
      </c>
      <c r="M100" s="7">
        <v>0</v>
      </c>
      <c r="O100" s="7">
        <v>20409</v>
      </c>
      <c r="Q100" s="7">
        <v>1087172</v>
      </c>
      <c r="S100" s="7">
        <v>1083718</v>
      </c>
      <c r="U100" s="7">
        <v>65485</v>
      </c>
      <c r="W100" s="7">
        <v>2273146</v>
      </c>
      <c r="Y100" s="7">
        <v>882360</v>
      </c>
      <c r="AA100" s="7">
        <v>400</v>
      </c>
      <c r="AC100" s="7">
        <v>2483910</v>
      </c>
      <c r="AE100" s="7">
        <v>1240395</v>
      </c>
      <c r="AG100" s="7">
        <v>18801</v>
      </c>
      <c r="AI100" s="7">
        <v>0</v>
      </c>
      <c r="AK100" s="7">
        <v>4773</v>
      </c>
      <c r="AL100" s="12" t="s">
        <v>863</v>
      </c>
      <c r="AM100" s="12"/>
      <c r="AN100" s="12" t="s">
        <v>20</v>
      </c>
      <c r="AP100" s="7">
        <v>624977</v>
      </c>
      <c r="AR100" s="7">
        <v>0</v>
      </c>
      <c r="AV100" s="7">
        <v>14402</v>
      </c>
      <c r="AX100" s="7">
        <v>35676</v>
      </c>
      <c r="AZ100" s="7">
        <v>0</v>
      </c>
      <c r="BB100" s="7">
        <f t="shared" ref="BB100:BB131" si="34">SUM(G100:AZ100)</f>
        <v>23692513</v>
      </c>
      <c r="BD100" s="7">
        <v>417600</v>
      </c>
      <c r="BF100" s="7">
        <v>0</v>
      </c>
      <c r="BH100" s="7">
        <v>0</v>
      </c>
      <c r="BJ100" s="7">
        <v>0</v>
      </c>
      <c r="BL100" s="7">
        <f t="shared" si="28"/>
        <v>24110113</v>
      </c>
      <c r="BN100" s="7">
        <f>+GenRev!AM100-GenExp!BL100</f>
        <v>890490</v>
      </c>
      <c r="BP100" s="7">
        <v>5671765</v>
      </c>
      <c r="BR100" s="7">
        <v>0</v>
      </c>
      <c r="BT100" s="7">
        <v>0</v>
      </c>
      <c r="BV100" s="7">
        <f t="shared" si="19"/>
        <v>6562255</v>
      </c>
      <c r="BX100" s="8">
        <f>+BV100-'Gen Fd BS'!AE100+BT100</f>
        <v>0</v>
      </c>
      <c r="CB100" s="7" t="str">
        <f t="shared" si="23"/>
        <v>Chagrin Falls Exempted Village SD</v>
      </c>
      <c r="CC100" s="7" t="b">
        <f t="shared" si="20"/>
        <v>1</v>
      </c>
      <c r="CE100" s="12" t="str">
        <f>GenRev!A100</f>
        <v>Chagrin Falls Exempted Village SD</v>
      </c>
      <c r="CF100" s="7" t="b">
        <f t="shared" si="24"/>
        <v>1</v>
      </c>
      <c r="CG100" s="7" t="str">
        <f t="shared" si="21"/>
        <v>Cuyahoga</v>
      </c>
      <c r="CH100" s="7" t="b">
        <f t="shared" si="22"/>
        <v>1</v>
      </c>
      <c r="CI100" s="7" t="b">
        <f>C100=GenRev!C100</f>
        <v>1</v>
      </c>
    </row>
    <row r="101" spans="1:87">
      <c r="A101" s="12" t="s">
        <v>536</v>
      </c>
      <c r="B101" s="12"/>
      <c r="C101" s="12" t="s">
        <v>64</v>
      </c>
      <c r="D101" s="12"/>
      <c r="E101" s="12">
        <v>50138</v>
      </c>
      <c r="G101" s="7">
        <v>5661278</v>
      </c>
      <c r="I101" s="7">
        <v>1086328</v>
      </c>
      <c r="K101" s="7">
        <v>183154</v>
      </c>
      <c r="M101" s="7">
        <v>0</v>
      </c>
      <c r="O101" s="7">
        <v>441139</v>
      </c>
      <c r="Q101" s="7">
        <v>608062</v>
      </c>
      <c r="S101" s="7">
        <v>359787</v>
      </c>
      <c r="U101" s="7">
        <v>36754</v>
      </c>
      <c r="W101" s="7">
        <v>1615807</v>
      </c>
      <c r="Y101" s="7">
        <v>376972</v>
      </c>
      <c r="AA101" s="7">
        <v>0</v>
      </c>
      <c r="AC101" s="7">
        <v>1065943</v>
      </c>
      <c r="AE101" s="7">
        <v>824898</v>
      </c>
      <c r="AG101" s="7">
        <v>4336</v>
      </c>
      <c r="AI101" s="7">
        <v>0</v>
      </c>
      <c r="AK101" s="7">
        <v>0</v>
      </c>
      <c r="AL101" s="12" t="s">
        <v>536</v>
      </c>
      <c r="AM101" s="12"/>
      <c r="AN101" s="12" t="s">
        <v>64</v>
      </c>
      <c r="AP101" s="7">
        <v>284481</v>
      </c>
      <c r="AR101" s="7">
        <v>0</v>
      </c>
      <c r="AV101" s="7">
        <v>108989</v>
      </c>
      <c r="AX101" s="7">
        <v>49681</v>
      </c>
      <c r="AZ101" s="7">
        <v>0</v>
      </c>
      <c r="BB101" s="7">
        <f t="shared" si="34"/>
        <v>12707609</v>
      </c>
      <c r="BD101" s="7">
        <v>64387</v>
      </c>
      <c r="BF101" s="7">
        <v>0</v>
      </c>
      <c r="BH101" s="7">
        <v>0</v>
      </c>
      <c r="BJ101" s="7">
        <v>0</v>
      </c>
      <c r="BL101" s="7">
        <f t="shared" si="28"/>
        <v>12771996</v>
      </c>
      <c r="BN101" s="7">
        <f>+GenRev!AM101-GenExp!BL101</f>
        <v>301103</v>
      </c>
      <c r="BP101" s="7">
        <v>-992272</v>
      </c>
      <c r="BR101" s="7">
        <v>-1109</v>
      </c>
      <c r="BT101" s="7">
        <v>0</v>
      </c>
      <c r="BV101" s="7">
        <f t="shared" ref="BV101:BV150" si="35">+BP101+BN101-BR101</f>
        <v>-690060</v>
      </c>
      <c r="BX101" s="8">
        <f>+BV101-'Gen Fd BS'!AE101+BT101</f>
        <v>0</v>
      </c>
      <c r="CB101" s="7" t="str">
        <f t="shared" si="23"/>
        <v>Champion Local SD</v>
      </c>
      <c r="CC101" s="7" t="b">
        <f t="shared" si="20"/>
        <v>1</v>
      </c>
      <c r="CE101" s="12" t="str">
        <f>GenRev!A101</f>
        <v>Champion Local SD</v>
      </c>
      <c r="CF101" s="7" t="b">
        <f t="shared" si="24"/>
        <v>1</v>
      </c>
      <c r="CG101" s="7" t="str">
        <f t="shared" si="21"/>
        <v>Trumbull</v>
      </c>
      <c r="CH101" s="7" t="b">
        <f t="shared" si="22"/>
        <v>1</v>
      </c>
      <c r="CI101" s="7" t="b">
        <f>C101=GenRev!C101</f>
        <v>1</v>
      </c>
    </row>
    <row r="102" spans="1:87" hidden="1">
      <c r="A102" s="12" t="s">
        <v>798</v>
      </c>
      <c r="B102" s="12"/>
      <c r="C102" s="12" t="s">
        <v>30</v>
      </c>
      <c r="D102" s="12"/>
      <c r="E102" s="12">
        <v>47183</v>
      </c>
      <c r="AL102" s="12" t="s">
        <v>798</v>
      </c>
      <c r="AM102" s="12"/>
      <c r="AN102" s="12" t="s">
        <v>30</v>
      </c>
      <c r="BB102" s="7">
        <f t="shared" si="34"/>
        <v>0</v>
      </c>
      <c r="BF102" s="7">
        <v>0</v>
      </c>
      <c r="BH102" s="7">
        <v>0</v>
      </c>
      <c r="BL102" s="7">
        <f t="shared" si="28"/>
        <v>0</v>
      </c>
      <c r="BN102" s="7">
        <f>+GenRev!AM102-GenExp!BL102</f>
        <v>0</v>
      </c>
      <c r="BT102" s="7">
        <v>0</v>
      </c>
      <c r="BV102" s="7">
        <f t="shared" si="35"/>
        <v>0</v>
      </c>
      <c r="BX102" s="8">
        <f>+BV102-'Gen Fd BS'!AE102+BT102</f>
        <v>0</v>
      </c>
      <c r="CA102" s="7" t="s">
        <v>779</v>
      </c>
      <c r="CB102" s="7" t="str">
        <f t="shared" si="23"/>
        <v>Chardon Local SD (CASH)</v>
      </c>
      <c r="CC102" s="7" t="b">
        <f t="shared" si="20"/>
        <v>1</v>
      </c>
      <c r="CE102" s="12" t="str">
        <f>GenRev!A102</f>
        <v>Chardon Local SD (CASH)</v>
      </c>
      <c r="CF102" s="7" t="b">
        <f t="shared" si="24"/>
        <v>1</v>
      </c>
      <c r="CG102" s="7" t="str">
        <f t="shared" si="21"/>
        <v>Geauga</v>
      </c>
      <c r="CH102" s="7" t="b">
        <f t="shared" si="22"/>
        <v>1</v>
      </c>
      <c r="CI102" s="7" t="b">
        <f>C102=GenRev!C102</f>
        <v>1</v>
      </c>
    </row>
    <row r="103" spans="1:87">
      <c r="A103" s="12" t="s">
        <v>864</v>
      </c>
      <c r="B103" s="12"/>
      <c r="C103" s="12" t="s">
        <v>377</v>
      </c>
      <c r="D103" s="12"/>
      <c r="E103" s="12">
        <v>45294</v>
      </c>
      <c r="G103" s="7">
        <v>6575823</v>
      </c>
      <c r="I103" s="7">
        <v>702409</v>
      </c>
      <c r="K103" s="7">
        <v>0</v>
      </c>
      <c r="M103" s="7">
        <v>0</v>
      </c>
      <c r="O103" s="7">
        <v>151432</v>
      </c>
      <c r="Q103" s="7">
        <v>359570</v>
      </c>
      <c r="S103" s="7">
        <v>316736</v>
      </c>
      <c r="U103" s="7">
        <v>118316</v>
      </c>
      <c r="W103" s="7">
        <v>1150344</v>
      </c>
      <c r="Y103" s="7">
        <v>306923</v>
      </c>
      <c r="AA103" s="7">
        <v>0</v>
      </c>
      <c r="AC103" s="7">
        <v>662010</v>
      </c>
      <c r="AE103" s="7">
        <v>638936</v>
      </c>
      <c r="AG103" s="7">
        <v>68188</v>
      </c>
      <c r="AI103" s="7">
        <v>0</v>
      </c>
      <c r="AK103" s="7">
        <v>1336</v>
      </c>
      <c r="AL103" s="12" t="s">
        <v>864</v>
      </c>
      <c r="AM103" s="12"/>
      <c r="AN103" s="12" t="s">
        <v>377</v>
      </c>
      <c r="AP103" s="7">
        <v>272527</v>
      </c>
      <c r="AR103" s="7">
        <v>250</v>
      </c>
      <c r="AV103" s="7">
        <v>17731</v>
      </c>
      <c r="AX103" s="7">
        <v>2238</v>
      </c>
      <c r="AZ103" s="7">
        <v>0</v>
      </c>
      <c r="BB103" s="7">
        <f t="shared" si="34"/>
        <v>11344769</v>
      </c>
      <c r="BD103" s="7">
        <v>5498</v>
      </c>
      <c r="BF103" s="7">
        <v>0</v>
      </c>
      <c r="BH103" s="7">
        <v>0</v>
      </c>
      <c r="BJ103" s="7">
        <v>0</v>
      </c>
      <c r="BL103" s="7">
        <f t="shared" si="28"/>
        <v>11350267</v>
      </c>
      <c r="BN103" s="7">
        <f>+GenRev!AM103-GenExp!BL103</f>
        <v>-150500</v>
      </c>
      <c r="BP103" s="7">
        <v>269072</v>
      </c>
      <c r="BR103" s="7">
        <v>0</v>
      </c>
      <c r="BT103" s="7">
        <v>0</v>
      </c>
      <c r="BV103" s="7">
        <f t="shared" si="35"/>
        <v>118572</v>
      </c>
      <c r="BX103" s="8">
        <f>+BV103-'Gen Fd BS'!AE103+BT103</f>
        <v>0</v>
      </c>
      <c r="CB103" s="7" t="str">
        <f t="shared" si="23"/>
        <v>Chesapeake Union Exempted Village SD</v>
      </c>
      <c r="CC103" s="7" t="b">
        <f t="shared" si="20"/>
        <v>1</v>
      </c>
      <c r="CE103" s="12" t="str">
        <f>GenRev!A103</f>
        <v>Chesapeake Union Exempted Village SD</v>
      </c>
      <c r="CF103" s="7" t="b">
        <f t="shared" si="24"/>
        <v>1</v>
      </c>
      <c r="CG103" s="7" t="str">
        <f t="shared" si="21"/>
        <v>Lawrence</v>
      </c>
      <c r="CH103" s="7" t="b">
        <f t="shared" si="22"/>
        <v>1</v>
      </c>
      <c r="CI103" s="7" t="b">
        <f>C103=GenRev!C103</f>
        <v>1</v>
      </c>
    </row>
    <row r="104" spans="1:87">
      <c r="A104" s="12" t="s">
        <v>488</v>
      </c>
      <c r="B104" s="12"/>
      <c r="C104" s="12" t="s">
        <v>58</v>
      </c>
      <c r="D104" s="12"/>
      <c r="E104" s="12">
        <v>43745</v>
      </c>
      <c r="G104" s="7">
        <v>15014122</v>
      </c>
      <c r="I104" s="7">
        <v>1907377</v>
      </c>
      <c r="K104" s="7">
        <v>7226</v>
      </c>
      <c r="M104" s="7">
        <v>0</v>
      </c>
      <c r="O104" s="7">
        <v>489394</v>
      </c>
      <c r="Q104" s="7">
        <v>1503107</v>
      </c>
      <c r="S104" s="7">
        <v>1071524</v>
      </c>
      <c r="U104" s="7">
        <v>60106</v>
      </c>
      <c r="W104" s="7">
        <v>2338871</v>
      </c>
      <c r="Y104" s="7">
        <v>731895</v>
      </c>
      <c r="AA104" s="7">
        <v>95354</v>
      </c>
      <c r="AC104" s="7">
        <v>2144275</v>
      </c>
      <c r="AE104" s="7">
        <v>866564</v>
      </c>
      <c r="AG104" s="7">
        <v>142728</v>
      </c>
      <c r="AI104" s="7">
        <v>0</v>
      </c>
      <c r="AK104" s="7">
        <v>8624</v>
      </c>
      <c r="AL104" s="12" t="s">
        <v>488</v>
      </c>
      <c r="AM104" s="12"/>
      <c r="AN104" s="12" t="s">
        <v>58</v>
      </c>
      <c r="AP104" s="7">
        <v>421930</v>
      </c>
      <c r="AR104" s="7">
        <v>8304</v>
      </c>
      <c r="AV104" s="7">
        <v>195000</v>
      </c>
      <c r="AX104" s="7">
        <v>30750</v>
      </c>
      <c r="AZ104" s="7">
        <v>0</v>
      </c>
      <c r="BB104" s="7">
        <f t="shared" si="34"/>
        <v>27037151</v>
      </c>
      <c r="BD104" s="7">
        <v>0</v>
      </c>
      <c r="BF104" s="7">
        <v>0</v>
      </c>
      <c r="BH104" s="7">
        <v>0</v>
      </c>
      <c r="BJ104" s="7">
        <v>0</v>
      </c>
      <c r="BL104" s="7">
        <f t="shared" si="28"/>
        <v>27037151</v>
      </c>
      <c r="BN104" s="7">
        <f>+GenRev!AM104-GenExp!BL104</f>
        <v>-131068</v>
      </c>
      <c r="BP104" s="7">
        <v>3096021</v>
      </c>
      <c r="BR104" s="7">
        <v>0</v>
      </c>
      <c r="BT104" s="7">
        <v>0</v>
      </c>
      <c r="BV104" s="7">
        <f t="shared" si="35"/>
        <v>2964953</v>
      </c>
      <c r="BX104" s="8">
        <f>+BV104-'Gen Fd BS'!AE104+BT104</f>
        <v>0</v>
      </c>
      <c r="CB104" s="7" t="str">
        <f t="shared" si="23"/>
        <v>Chillicothe City SD</v>
      </c>
      <c r="CC104" s="7" t="b">
        <f t="shared" si="20"/>
        <v>1</v>
      </c>
      <c r="CE104" s="12" t="str">
        <f>GenRev!A104</f>
        <v>Chillicothe City SD</v>
      </c>
      <c r="CF104" s="7" t="b">
        <f t="shared" si="24"/>
        <v>1</v>
      </c>
      <c r="CG104" s="7" t="str">
        <f t="shared" si="21"/>
        <v>Ross</v>
      </c>
      <c r="CH104" s="7" t="b">
        <f t="shared" si="22"/>
        <v>1</v>
      </c>
      <c r="CI104" s="7" t="b">
        <f>C104=GenRev!C104</f>
        <v>1</v>
      </c>
    </row>
    <row r="105" spans="1:87">
      <c r="A105" s="12" t="s">
        <v>568</v>
      </c>
      <c r="B105" s="12"/>
      <c r="C105" s="12" t="s">
        <v>71</v>
      </c>
      <c r="D105" s="12"/>
      <c r="E105" s="12">
        <v>50534</v>
      </c>
      <c r="G105" s="7">
        <v>4765210</v>
      </c>
      <c r="I105" s="7">
        <v>601883</v>
      </c>
      <c r="K105" s="7">
        <v>21933</v>
      </c>
      <c r="M105" s="7">
        <v>0</v>
      </c>
      <c r="O105" s="7">
        <v>237088</v>
      </c>
      <c r="Q105" s="7">
        <v>169170</v>
      </c>
      <c r="S105" s="7">
        <v>433948</v>
      </c>
      <c r="U105" s="7">
        <v>41165</v>
      </c>
      <c r="W105" s="7">
        <v>1075483</v>
      </c>
      <c r="Y105" s="7">
        <v>358150</v>
      </c>
      <c r="AA105" s="7">
        <v>0</v>
      </c>
      <c r="AC105" s="7">
        <v>930754</v>
      </c>
      <c r="AE105" s="7">
        <v>608264</v>
      </c>
      <c r="AG105" s="7">
        <v>157896</v>
      </c>
      <c r="AI105" s="7">
        <v>0</v>
      </c>
      <c r="AK105" s="7">
        <v>156</v>
      </c>
      <c r="AL105" s="12" t="s">
        <v>568</v>
      </c>
      <c r="AM105" s="12"/>
      <c r="AN105" s="12" t="s">
        <v>71</v>
      </c>
      <c r="AP105" s="7">
        <v>352028</v>
      </c>
      <c r="AR105" s="7">
        <v>0</v>
      </c>
      <c r="AV105" s="7">
        <v>0</v>
      </c>
      <c r="AX105" s="7">
        <v>0</v>
      </c>
      <c r="AZ105" s="7">
        <v>0</v>
      </c>
      <c r="BB105" s="7">
        <f t="shared" si="34"/>
        <v>9753128</v>
      </c>
      <c r="BD105" s="7">
        <v>18500</v>
      </c>
      <c r="BF105" s="7">
        <v>0</v>
      </c>
      <c r="BH105" s="7">
        <v>0</v>
      </c>
      <c r="BJ105" s="7">
        <v>0</v>
      </c>
      <c r="BL105" s="7">
        <f t="shared" si="28"/>
        <v>9771628</v>
      </c>
      <c r="BN105" s="7">
        <f>+GenRev!AM105-GenExp!BL105</f>
        <v>1129859</v>
      </c>
      <c r="BP105" s="7">
        <v>4364956</v>
      </c>
      <c r="BR105" s="7">
        <v>0</v>
      </c>
      <c r="BT105" s="7">
        <v>0</v>
      </c>
      <c r="BV105" s="7">
        <f t="shared" si="35"/>
        <v>5494815</v>
      </c>
      <c r="BX105" s="8">
        <f>+BV105-'Gen Fd BS'!AE105+BT105</f>
        <v>0</v>
      </c>
      <c r="CB105" s="7" t="str">
        <f t="shared" si="23"/>
        <v>Chippewa Local SD</v>
      </c>
      <c r="CC105" s="7" t="b">
        <f t="shared" si="20"/>
        <v>1</v>
      </c>
      <c r="CE105" s="12" t="str">
        <f>GenRev!A105</f>
        <v>Chippewa Local SD</v>
      </c>
      <c r="CF105" s="7" t="b">
        <f t="shared" si="24"/>
        <v>1</v>
      </c>
      <c r="CG105" s="7" t="str">
        <f t="shared" si="21"/>
        <v>Wayne</v>
      </c>
      <c r="CH105" s="7" t="b">
        <f t="shared" si="22"/>
        <v>1</v>
      </c>
      <c r="CI105" s="7" t="b">
        <f>C105=GenRev!C105</f>
        <v>1</v>
      </c>
    </row>
    <row r="106" spans="1:87">
      <c r="A106" s="12" t="s">
        <v>683</v>
      </c>
      <c r="B106" s="12"/>
      <c r="C106" s="12" t="s">
        <v>32</v>
      </c>
      <c r="D106" s="12"/>
      <c r="E106" s="12">
        <v>43752</v>
      </c>
      <c r="G106" s="7">
        <v>126174501</v>
      </c>
      <c r="I106" s="7">
        <v>36953750</v>
      </c>
      <c r="K106" s="7">
        <v>5525707</v>
      </c>
      <c r="M106" s="7">
        <v>0</v>
      </c>
      <c r="O106" s="7">
        <v>17744</v>
      </c>
      <c r="Q106" s="7">
        <v>21588714</v>
      </c>
      <c r="S106" s="7">
        <v>12656584</v>
      </c>
      <c r="U106" s="7">
        <v>346538</v>
      </c>
      <c r="W106" s="7">
        <v>20341123</v>
      </c>
      <c r="Y106" s="7">
        <v>2134839</v>
      </c>
      <c r="AA106" s="7">
        <v>1142991</v>
      </c>
      <c r="AC106" s="7">
        <v>22306516</v>
      </c>
      <c r="AE106" s="7">
        <v>26783214</v>
      </c>
      <c r="AG106" s="7">
        <v>14129288</v>
      </c>
      <c r="AI106" s="7">
        <v>0</v>
      </c>
      <c r="AK106" s="7">
        <v>0</v>
      </c>
      <c r="AL106" s="12" t="s">
        <v>683</v>
      </c>
      <c r="AM106" s="12"/>
      <c r="AN106" s="12" t="s">
        <v>32</v>
      </c>
      <c r="AP106" s="7">
        <v>3846782</v>
      </c>
      <c r="AR106" s="7">
        <v>284400</v>
      </c>
      <c r="AV106" s="7">
        <v>0</v>
      </c>
      <c r="AX106" s="7">
        <v>80083</v>
      </c>
      <c r="AZ106" s="7">
        <v>0</v>
      </c>
      <c r="BB106" s="7">
        <f t="shared" si="34"/>
        <v>294312774</v>
      </c>
      <c r="BD106" s="7">
        <v>138157699</v>
      </c>
      <c r="BF106" s="7">
        <v>0</v>
      </c>
      <c r="BH106" s="7">
        <v>0</v>
      </c>
      <c r="BJ106" s="7">
        <v>0</v>
      </c>
      <c r="BL106" s="7">
        <f t="shared" si="28"/>
        <v>432470473</v>
      </c>
      <c r="BN106" s="7">
        <f>+GenRev!AM106-GenExp!BL106</f>
        <v>29347796</v>
      </c>
      <c r="BP106" s="7">
        <v>118683355</v>
      </c>
      <c r="BR106" s="7">
        <v>0</v>
      </c>
      <c r="BT106" s="7">
        <v>0</v>
      </c>
      <c r="BV106" s="7">
        <f t="shared" si="35"/>
        <v>148031151</v>
      </c>
      <c r="BX106" s="8">
        <f>+BV106-'Gen Fd BS'!AE106+BT106</f>
        <v>0</v>
      </c>
      <c r="CB106" s="7" t="str">
        <f t="shared" si="23"/>
        <v>Cincinnati City SD/Cincinnati Public SD</v>
      </c>
      <c r="CC106" s="7" t="b">
        <f t="shared" si="20"/>
        <v>1</v>
      </c>
      <c r="CE106" s="12" t="str">
        <f>GenRev!A106</f>
        <v>Cincinnati City SD/Cincinnati Public SD</v>
      </c>
      <c r="CF106" s="7" t="b">
        <f t="shared" si="24"/>
        <v>1</v>
      </c>
      <c r="CG106" s="7" t="str">
        <f t="shared" si="21"/>
        <v>Hamilton</v>
      </c>
      <c r="CH106" s="7" t="b">
        <f t="shared" si="22"/>
        <v>1</v>
      </c>
      <c r="CI106" s="7" t="b">
        <f>C106=GenRev!C106</f>
        <v>1</v>
      </c>
    </row>
    <row r="107" spans="1:87">
      <c r="A107" s="12" t="s">
        <v>467</v>
      </c>
      <c r="B107" s="12"/>
      <c r="C107" s="12" t="s">
        <v>54</v>
      </c>
      <c r="D107" s="12"/>
      <c r="E107" s="12">
        <v>43760</v>
      </c>
      <c r="G107" s="7">
        <v>9235223</v>
      </c>
      <c r="I107" s="7">
        <v>1703829</v>
      </c>
      <c r="K107" s="7">
        <v>41411</v>
      </c>
      <c r="M107" s="7">
        <v>0</v>
      </c>
      <c r="O107" s="7">
        <v>96319</v>
      </c>
      <c r="Q107" s="7">
        <v>929896</v>
      </c>
      <c r="S107" s="7">
        <v>1809017</v>
      </c>
      <c r="U107" s="7">
        <v>144854</v>
      </c>
      <c r="W107" s="7">
        <v>1250550</v>
      </c>
      <c r="Y107" s="7">
        <v>566409</v>
      </c>
      <c r="AA107" s="7">
        <v>0</v>
      </c>
      <c r="AC107" s="7">
        <v>1625101</v>
      </c>
      <c r="AE107" s="7">
        <v>671251</v>
      </c>
      <c r="AG107" s="7">
        <v>0</v>
      </c>
      <c r="AI107" s="7">
        <v>0</v>
      </c>
      <c r="AK107" s="7">
        <v>2160</v>
      </c>
      <c r="AL107" s="12" t="s">
        <v>467</v>
      </c>
      <c r="AM107" s="12"/>
      <c r="AN107" s="12" t="s">
        <v>54</v>
      </c>
      <c r="AP107" s="7">
        <v>388318</v>
      </c>
      <c r="AR107" s="7">
        <v>392087</v>
      </c>
      <c r="AV107" s="7">
        <v>19000</v>
      </c>
      <c r="AX107" s="7">
        <v>12701</v>
      </c>
      <c r="AZ107" s="7">
        <v>0</v>
      </c>
      <c r="BB107" s="7">
        <f t="shared" si="34"/>
        <v>18888126</v>
      </c>
      <c r="BD107" s="7">
        <v>115000</v>
      </c>
      <c r="BF107" s="7">
        <v>0</v>
      </c>
      <c r="BH107" s="7">
        <v>0</v>
      </c>
      <c r="BJ107" s="7">
        <v>0</v>
      </c>
      <c r="BL107" s="7">
        <f t="shared" si="28"/>
        <v>19003126</v>
      </c>
      <c r="BN107" s="7">
        <f>+GenRev!AM107-GenExp!BL107</f>
        <v>3365597</v>
      </c>
      <c r="BP107" s="7">
        <v>12906367</v>
      </c>
      <c r="BR107" s="7">
        <v>3734</v>
      </c>
      <c r="BT107" s="7">
        <v>0</v>
      </c>
      <c r="BV107" s="7">
        <f t="shared" si="35"/>
        <v>16268230</v>
      </c>
      <c r="BX107" s="8">
        <f>+BV107-'Gen Fd BS'!AE107+BT107</f>
        <v>0</v>
      </c>
      <c r="CB107" s="7" t="str">
        <f t="shared" si="23"/>
        <v>Circleville City SD</v>
      </c>
      <c r="CC107" s="7" t="b">
        <f t="shared" si="20"/>
        <v>1</v>
      </c>
      <c r="CE107" s="12" t="str">
        <f>GenRev!A107</f>
        <v>Circleville City SD</v>
      </c>
      <c r="CF107" s="7" t="b">
        <f t="shared" si="24"/>
        <v>1</v>
      </c>
      <c r="CG107" s="7" t="str">
        <f t="shared" si="21"/>
        <v>Pickaway</v>
      </c>
      <c r="CH107" s="7" t="b">
        <f t="shared" si="22"/>
        <v>1</v>
      </c>
      <c r="CI107" s="7" t="b">
        <f>C107=GenRev!C107</f>
        <v>1</v>
      </c>
    </row>
    <row r="108" spans="1:87">
      <c r="A108" s="12" t="s">
        <v>236</v>
      </c>
      <c r="B108" s="12"/>
      <c r="C108" s="12" t="s">
        <v>17</v>
      </c>
      <c r="D108" s="12"/>
      <c r="E108" s="12">
        <v>46284</v>
      </c>
      <c r="G108" s="7">
        <v>9589533</v>
      </c>
      <c r="I108" s="7">
        <v>1515492</v>
      </c>
      <c r="K108" s="7">
        <v>209069</v>
      </c>
      <c r="M108" s="7">
        <v>11527</v>
      </c>
      <c r="O108" s="7">
        <v>353726</v>
      </c>
      <c r="Q108" s="7">
        <v>661088</v>
      </c>
      <c r="S108" s="7">
        <v>537441</v>
      </c>
      <c r="U108" s="7">
        <v>81746</v>
      </c>
      <c r="W108" s="7">
        <v>1687194</v>
      </c>
      <c r="Y108" s="7">
        <v>482906</v>
      </c>
      <c r="AA108" s="7">
        <v>13464</v>
      </c>
      <c r="AC108" s="7">
        <v>1439157</v>
      </c>
      <c r="AE108" s="7">
        <v>917482</v>
      </c>
      <c r="AG108" s="7">
        <v>71617</v>
      </c>
      <c r="AI108" s="7">
        <v>0</v>
      </c>
      <c r="AK108" s="7">
        <v>79704</v>
      </c>
      <c r="AL108" s="12" t="s">
        <v>236</v>
      </c>
      <c r="AM108" s="12"/>
      <c r="AN108" s="12" t="s">
        <v>17</v>
      </c>
      <c r="AP108" s="7">
        <v>641437</v>
      </c>
      <c r="AR108" s="7">
        <v>0</v>
      </c>
      <c r="AV108" s="7">
        <v>24564</v>
      </c>
      <c r="AX108" s="7">
        <v>1085</v>
      </c>
      <c r="AZ108" s="7">
        <v>0</v>
      </c>
      <c r="BB108" s="7">
        <f t="shared" si="34"/>
        <v>18318232</v>
      </c>
      <c r="BD108" s="7">
        <v>0</v>
      </c>
      <c r="BF108" s="7">
        <v>0</v>
      </c>
      <c r="BH108" s="7">
        <v>0</v>
      </c>
      <c r="BJ108" s="7">
        <v>0</v>
      </c>
      <c r="BL108" s="7">
        <f t="shared" si="28"/>
        <v>18318232</v>
      </c>
      <c r="BN108" s="7">
        <f>+GenRev!AM108-GenExp!BL108</f>
        <v>812532</v>
      </c>
      <c r="BP108" s="7">
        <v>2621085</v>
      </c>
      <c r="BR108" s="7">
        <v>0</v>
      </c>
      <c r="BT108" s="7">
        <v>0</v>
      </c>
      <c r="BV108" s="7">
        <f t="shared" si="35"/>
        <v>3433617</v>
      </c>
      <c r="BX108" s="8">
        <f>+BV108-'Gen Fd BS'!AE108+BT108</f>
        <v>0</v>
      </c>
      <c r="CB108" s="7" t="str">
        <f t="shared" si="23"/>
        <v>Clark-Shawnee Local SD</v>
      </c>
      <c r="CC108" s="7" t="b">
        <f t="shared" si="20"/>
        <v>1</v>
      </c>
      <c r="CE108" s="12" t="str">
        <f>GenRev!A108</f>
        <v>Clark-Shawnee Local SD</v>
      </c>
      <c r="CF108" s="7" t="b">
        <f t="shared" si="24"/>
        <v>1</v>
      </c>
      <c r="CG108" s="7" t="str">
        <f t="shared" si="21"/>
        <v>Clark</v>
      </c>
      <c r="CH108" s="7" t="b">
        <f t="shared" si="22"/>
        <v>1</v>
      </c>
      <c r="CI108" s="7" t="b">
        <f>C108=GenRev!C108</f>
        <v>1</v>
      </c>
    </row>
    <row r="109" spans="1:87">
      <c r="A109" s="12" t="s">
        <v>495</v>
      </c>
      <c r="B109" s="12"/>
      <c r="C109" s="12" t="s">
        <v>59</v>
      </c>
      <c r="D109" s="12"/>
      <c r="E109" s="12">
        <v>49601</v>
      </c>
      <c r="G109" s="7">
        <v>2714066</v>
      </c>
      <c r="I109" s="7">
        <v>324192</v>
      </c>
      <c r="K109" s="7">
        <v>1697</v>
      </c>
      <c r="M109" s="7">
        <v>0</v>
      </c>
      <c r="O109" s="7">
        <v>2125</v>
      </c>
      <c r="Q109" s="7">
        <v>254881</v>
      </c>
      <c r="S109" s="7">
        <v>237790</v>
      </c>
      <c r="U109" s="7">
        <v>20279</v>
      </c>
      <c r="W109" s="7">
        <v>537358</v>
      </c>
      <c r="Y109" s="7">
        <v>134167</v>
      </c>
      <c r="AA109" s="7">
        <v>0</v>
      </c>
      <c r="AC109" s="7">
        <v>448165</v>
      </c>
      <c r="AE109" s="7">
        <v>237692</v>
      </c>
      <c r="AG109" s="7">
        <v>2651</v>
      </c>
      <c r="AI109" s="7">
        <v>0</v>
      </c>
      <c r="AK109" s="7">
        <v>0</v>
      </c>
      <c r="AL109" s="12" t="s">
        <v>495</v>
      </c>
      <c r="AM109" s="12"/>
      <c r="AN109" s="12" t="s">
        <v>59</v>
      </c>
      <c r="AP109" s="7">
        <v>86501</v>
      </c>
      <c r="AR109" s="7">
        <v>0</v>
      </c>
      <c r="AV109" s="7">
        <v>0</v>
      </c>
      <c r="AX109" s="7">
        <v>0</v>
      </c>
      <c r="AZ109" s="7">
        <v>0</v>
      </c>
      <c r="BB109" s="7">
        <f t="shared" si="34"/>
        <v>5001564</v>
      </c>
      <c r="BD109" s="7">
        <v>40152</v>
      </c>
      <c r="BF109" s="7">
        <v>0</v>
      </c>
      <c r="BH109" s="7">
        <v>0</v>
      </c>
      <c r="BJ109" s="7">
        <v>0</v>
      </c>
      <c r="BL109" s="7">
        <f t="shared" si="28"/>
        <v>5041716</v>
      </c>
      <c r="BN109" s="7">
        <f>+GenRev!AM109-GenExp!BL109</f>
        <v>165772</v>
      </c>
      <c r="BP109" s="7">
        <v>63470</v>
      </c>
      <c r="BR109" s="7">
        <v>0</v>
      </c>
      <c r="BT109" s="7">
        <v>0</v>
      </c>
      <c r="BV109" s="7">
        <f t="shared" si="35"/>
        <v>229242</v>
      </c>
      <c r="BX109" s="8">
        <f>+BV109-'Gen Fd BS'!AE109+BT109</f>
        <v>0</v>
      </c>
      <c r="CB109" s="7" t="str">
        <f t="shared" si="23"/>
        <v>Clay Local SD</v>
      </c>
      <c r="CC109" s="7" t="b">
        <f t="shared" si="20"/>
        <v>1</v>
      </c>
      <c r="CE109" s="12" t="str">
        <f>GenRev!A109</f>
        <v>Clay Local SD</v>
      </c>
      <c r="CF109" s="7" t="b">
        <f t="shared" si="24"/>
        <v>1</v>
      </c>
      <c r="CG109" s="7" t="str">
        <f t="shared" si="21"/>
        <v>Scioto</v>
      </c>
      <c r="CH109" s="7" t="b">
        <f t="shared" si="22"/>
        <v>1</v>
      </c>
      <c r="CI109" s="7" t="b">
        <f>C109=GenRev!C109</f>
        <v>1</v>
      </c>
    </row>
    <row r="110" spans="1:87">
      <c r="A110" s="12" t="s">
        <v>549</v>
      </c>
      <c r="B110" s="12"/>
      <c r="C110" s="12" t="s">
        <v>65</v>
      </c>
      <c r="D110" s="12"/>
      <c r="E110" s="12">
        <v>43778</v>
      </c>
      <c r="G110" s="7">
        <v>8169735</v>
      </c>
      <c r="I110" s="7">
        <v>1777925</v>
      </c>
      <c r="K110" s="7">
        <v>96650</v>
      </c>
      <c r="M110" s="7">
        <v>0</v>
      </c>
      <c r="O110" s="7">
        <v>6882</v>
      </c>
      <c r="Q110" s="7">
        <v>792851</v>
      </c>
      <c r="S110" s="7">
        <v>885189</v>
      </c>
      <c r="U110" s="7">
        <v>40159</v>
      </c>
      <c r="W110" s="7">
        <v>1242785</v>
      </c>
      <c r="Y110" s="7">
        <v>351508</v>
      </c>
      <c r="AA110" s="7">
        <v>72000</v>
      </c>
      <c r="AC110" s="7">
        <v>1885481</v>
      </c>
      <c r="AE110" s="7">
        <v>877967</v>
      </c>
      <c r="AG110" s="7">
        <v>322200</v>
      </c>
      <c r="AI110" s="7">
        <v>0</v>
      </c>
      <c r="AK110" s="7">
        <v>0</v>
      </c>
      <c r="AL110" s="12" t="s">
        <v>549</v>
      </c>
      <c r="AM110" s="12"/>
      <c r="AN110" s="12" t="s">
        <v>65</v>
      </c>
      <c r="AP110" s="7">
        <v>429899</v>
      </c>
      <c r="AR110" s="7">
        <v>121931</v>
      </c>
      <c r="AV110" s="7">
        <v>66217</v>
      </c>
      <c r="AX110" s="7">
        <v>7767</v>
      </c>
      <c r="AZ110" s="7">
        <v>0</v>
      </c>
      <c r="BB110" s="7">
        <f t="shared" si="34"/>
        <v>17147146</v>
      </c>
      <c r="BD110" s="7">
        <v>0</v>
      </c>
      <c r="BF110" s="7">
        <v>0</v>
      </c>
      <c r="BH110" s="7">
        <v>0</v>
      </c>
      <c r="BJ110" s="7">
        <v>0</v>
      </c>
      <c r="BL110" s="7">
        <f t="shared" si="28"/>
        <v>17147146</v>
      </c>
      <c r="BN110" s="7">
        <f>+GenRev!AM110-GenExp!BL110</f>
        <v>-178861</v>
      </c>
      <c r="BP110" s="7">
        <v>1611656</v>
      </c>
      <c r="BR110" s="7">
        <v>0</v>
      </c>
      <c r="BT110" s="7">
        <v>0</v>
      </c>
      <c r="BV110" s="7">
        <f t="shared" si="35"/>
        <v>1432795</v>
      </c>
      <c r="BX110" s="8">
        <f>+BV110-'Gen Fd BS'!AE110+BT110</f>
        <v>0</v>
      </c>
      <c r="CB110" s="7" t="str">
        <f t="shared" si="23"/>
        <v>Claymont City SD</v>
      </c>
      <c r="CC110" s="7" t="b">
        <f t="shared" si="20"/>
        <v>1</v>
      </c>
      <c r="CE110" s="12" t="str">
        <f>GenRev!A110</f>
        <v>Claymont City SD</v>
      </c>
      <c r="CF110" s="7" t="b">
        <f t="shared" si="24"/>
        <v>1</v>
      </c>
      <c r="CG110" s="7" t="str">
        <f t="shared" si="21"/>
        <v>Tuscarawas</v>
      </c>
      <c r="CH110" s="7" t="b">
        <f t="shared" si="22"/>
        <v>1</v>
      </c>
      <c r="CI110" s="7" t="b">
        <f>C110=GenRev!C110</f>
        <v>1</v>
      </c>
    </row>
    <row r="111" spans="1:87">
      <c r="A111" s="12" t="s">
        <v>483</v>
      </c>
      <c r="B111" s="12"/>
      <c r="C111" s="12" t="s">
        <v>110</v>
      </c>
      <c r="D111" s="12"/>
      <c r="E111" s="12">
        <v>49411</v>
      </c>
      <c r="G111" s="7">
        <v>6102015</v>
      </c>
      <c r="I111" s="7">
        <v>1346242</v>
      </c>
      <c r="K111" s="7">
        <v>160986</v>
      </c>
      <c r="M111" s="7">
        <v>0</v>
      </c>
      <c r="O111" s="7">
        <v>428202</v>
      </c>
      <c r="Q111" s="7">
        <v>343805</v>
      </c>
      <c r="S111" s="7">
        <v>441636</v>
      </c>
      <c r="U111" s="7">
        <v>68649</v>
      </c>
      <c r="W111" s="7">
        <v>952774</v>
      </c>
      <c r="Y111" s="7">
        <v>309753</v>
      </c>
      <c r="AA111" s="7">
        <v>0</v>
      </c>
      <c r="AC111" s="7">
        <v>1149636</v>
      </c>
      <c r="AE111" s="7">
        <v>1114772</v>
      </c>
      <c r="AG111" s="7">
        <v>12550</v>
      </c>
      <c r="AI111" s="7">
        <v>0</v>
      </c>
      <c r="AK111" s="7">
        <v>0</v>
      </c>
      <c r="AL111" s="12" t="s">
        <v>483</v>
      </c>
      <c r="AM111" s="12"/>
      <c r="AN111" s="12" t="s">
        <v>110</v>
      </c>
      <c r="AP111" s="7">
        <v>297529</v>
      </c>
      <c r="AR111" s="7">
        <v>0</v>
      </c>
      <c r="AV111" s="7">
        <v>0</v>
      </c>
      <c r="AX111" s="7">
        <v>0</v>
      </c>
      <c r="AZ111" s="7">
        <v>0</v>
      </c>
      <c r="BB111" s="7">
        <f t="shared" si="34"/>
        <v>12728549</v>
      </c>
      <c r="BD111" s="7">
        <v>5000</v>
      </c>
      <c r="BF111" s="7">
        <v>0</v>
      </c>
      <c r="BH111" s="7">
        <v>0</v>
      </c>
      <c r="BJ111" s="7">
        <v>0</v>
      </c>
      <c r="BL111" s="7">
        <f t="shared" si="28"/>
        <v>12733549</v>
      </c>
      <c r="BN111" s="7">
        <f>+GenRev!AM111-GenExp!BL111</f>
        <v>730364</v>
      </c>
      <c r="BP111" s="7">
        <v>5904816</v>
      </c>
      <c r="BR111" s="7">
        <v>-5957</v>
      </c>
      <c r="BT111" s="7">
        <v>0</v>
      </c>
      <c r="BV111" s="7">
        <f t="shared" si="35"/>
        <v>6641137</v>
      </c>
      <c r="BX111" s="8">
        <f>+BV111-'Gen Fd BS'!AE111+BT111</f>
        <v>0</v>
      </c>
      <c r="CB111" s="7" t="str">
        <f t="shared" si="23"/>
        <v>Clear Fork Valley Local SD</v>
      </c>
      <c r="CC111" s="7" t="b">
        <f t="shared" si="20"/>
        <v>1</v>
      </c>
      <c r="CE111" s="12" t="str">
        <f>GenRev!A111</f>
        <v>Clear Fork Valley Local SD</v>
      </c>
      <c r="CF111" s="7" t="b">
        <f t="shared" si="24"/>
        <v>1</v>
      </c>
      <c r="CG111" s="7" t="str">
        <f t="shared" si="21"/>
        <v>Richland</v>
      </c>
      <c r="CH111" s="7" t="b">
        <f t="shared" si="22"/>
        <v>1</v>
      </c>
      <c r="CI111" s="7" t="b">
        <f>C111=GenRev!C111</f>
        <v>1</v>
      </c>
    </row>
    <row r="112" spans="1:87">
      <c r="A112" s="12" t="s">
        <v>394</v>
      </c>
      <c r="B112" s="12"/>
      <c r="C112" s="12" t="s">
        <v>44</v>
      </c>
      <c r="D112" s="12"/>
      <c r="E112" s="12">
        <v>48132</v>
      </c>
      <c r="G112" s="7">
        <v>6737707</v>
      </c>
      <c r="I112" s="7">
        <v>844781</v>
      </c>
      <c r="K112" s="7">
        <v>175793</v>
      </c>
      <c r="M112" s="7">
        <v>0</v>
      </c>
      <c r="O112" s="7">
        <v>0</v>
      </c>
      <c r="Q112" s="7">
        <v>929999</v>
      </c>
      <c r="S112" s="7">
        <v>508059</v>
      </c>
      <c r="U112" s="7">
        <v>54335</v>
      </c>
      <c r="W112" s="7">
        <v>850386</v>
      </c>
      <c r="Y112" s="7">
        <v>361403</v>
      </c>
      <c r="AA112" s="7">
        <v>276583</v>
      </c>
      <c r="AC112" s="7">
        <v>1451697</v>
      </c>
      <c r="AE112" s="7">
        <v>474296</v>
      </c>
      <c r="AG112" s="7">
        <v>134578</v>
      </c>
      <c r="AI112" s="7">
        <v>0</v>
      </c>
      <c r="AK112" s="7">
        <v>27376</v>
      </c>
      <c r="AL112" s="12" t="s">
        <v>394</v>
      </c>
      <c r="AM112" s="12"/>
      <c r="AN112" s="12" t="s">
        <v>44</v>
      </c>
      <c r="AP112" s="7">
        <v>295652</v>
      </c>
      <c r="AR112" s="7">
        <v>0</v>
      </c>
      <c r="AV112" s="7">
        <v>43737</v>
      </c>
      <c r="AX112" s="7">
        <v>4000</v>
      </c>
      <c r="AZ112" s="7">
        <v>0</v>
      </c>
      <c r="BB112" s="7">
        <f t="shared" si="34"/>
        <v>13170382</v>
      </c>
      <c r="BD112" s="7">
        <v>54400</v>
      </c>
      <c r="BF112" s="7">
        <v>0</v>
      </c>
      <c r="BH112" s="7">
        <v>0</v>
      </c>
      <c r="BJ112" s="7">
        <v>0</v>
      </c>
      <c r="BL112" s="7">
        <f t="shared" si="28"/>
        <v>13224782</v>
      </c>
      <c r="BN112" s="7">
        <f>+GenRev!AM112-GenExp!BL112</f>
        <v>-247781</v>
      </c>
      <c r="BP112" s="7">
        <v>-176387</v>
      </c>
      <c r="BR112" s="7">
        <v>0</v>
      </c>
      <c r="BT112" s="7">
        <v>0</v>
      </c>
      <c r="BV112" s="7">
        <f t="shared" si="35"/>
        <v>-424168</v>
      </c>
      <c r="BX112" s="8">
        <f>+BV112-'Gen Fd BS'!AE112+BT112</f>
        <v>0</v>
      </c>
      <c r="CB112" s="7" t="str">
        <f t="shared" si="23"/>
        <v>Clearview Local SD</v>
      </c>
      <c r="CC112" s="7" t="b">
        <f t="shared" si="20"/>
        <v>1</v>
      </c>
      <c r="CE112" s="12" t="str">
        <f>GenRev!A112</f>
        <v>Clearview Local SD</v>
      </c>
      <c r="CF112" s="7" t="b">
        <f t="shared" si="24"/>
        <v>1</v>
      </c>
      <c r="CG112" s="7" t="str">
        <f t="shared" si="21"/>
        <v>Lorain</v>
      </c>
      <c r="CH112" s="7" t="b">
        <f t="shared" si="22"/>
        <v>1</v>
      </c>
      <c r="CI112" s="7" t="b">
        <f>C112=GenRev!C112</f>
        <v>1</v>
      </c>
    </row>
    <row r="113" spans="1:87">
      <c r="A113" s="12" t="s">
        <v>684</v>
      </c>
      <c r="B113" s="12"/>
      <c r="C113" s="12" t="s">
        <v>113</v>
      </c>
      <c r="D113" s="12"/>
      <c r="E113" s="12"/>
      <c r="G113" s="7">
        <v>7589293</v>
      </c>
      <c r="I113" s="7">
        <v>1382600</v>
      </c>
      <c r="K113" s="7">
        <v>0</v>
      </c>
      <c r="M113" s="7">
        <v>0</v>
      </c>
      <c r="O113" s="7">
        <v>247175</v>
      </c>
      <c r="Q113" s="7">
        <v>687727</v>
      </c>
      <c r="S113" s="7">
        <v>804059</v>
      </c>
      <c r="U113" s="7">
        <v>90570</v>
      </c>
      <c r="W113" s="7">
        <v>1444147</v>
      </c>
      <c r="Y113" s="7">
        <v>440641</v>
      </c>
      <c r="AA113" s="7">
        <v>30544</v>
      </c>
      <c r="AC113" s="7">
        <v>1475938</v>
      </c>
      <c r="AE113" s="7">
        <v>1574650</v>
      </c>
      <c r="AG113" s="7">
        <v>237953</v>
      </c>
      <c r="AI113" s="7">
        <v>0</v>
      </c>
      <c r="AK113" s="7">
        <v>0</v>
      </c>
      <c r="AL113" s="12" t="s">
        <v>684</v>
      </c>
      <c r="AM113" s="12"/>
      <c r="AN113" s="12" t="s">
        <v>113</v>
      </c>
      <c r="AP113" s="7">
        <v>47295</v>
      </c>
      <c r="AR113" s="7">
        <v>0</v>
      </c>
      <c r="AV113" s="7">
        <v>0</v>
      </c>
      <c r="AX113" s="7">
        <v>0</v>
      </c>
      <c r="AZ113" s="7">
        <v>0</v>
      </c>
      <c r="BB113" s="7">
        <f t="shared" si="34"/>
        <v>16052592</v>
      </c>
      <c r="BD113" s="7">
        <v>322000</v>
      </c>
      <c r="BF113" s="7">
        <v>0</v>
      </c>
      <c r="BH113" s="7">
        <v>0</v>
      </c>
      <c r="BJ113" s="7">
        <v>0</v>
      </c>
      <c r="BL113" s="7">
        <f t="shared" si="28"/>
        <v>16374592</v>
      </c>
      <c r="BN113" s="7">
        <f>+GenRev!AM113-GenExp!BL113</f>
        <v>-200140</v>
      </c>
      <c r="BP113" s="7">
        <v>1663766</v>
      </c>
      <c r="BR113" s="7">
        <v>0</v>
      </c>
      <c r="BT113" s="7">
        <v>0</v>
      </c>
      <c r="BV113" s="7">
        <f t="shared" si="35"/>
        <v>1463626</v>
      </c>
      <c r="BX113" s="8">
        <f>+BV113-'Gen Fd BS'!AE113+BT113</f>
        <v>0</v>
      </c>
      <c r="CB113" s="7" t="str">
        <f t="shared" si="23"/>
        <v>Clermont Northeastern Local SD</v>
      </c>
      <c r="CC113" s="7" t="b">
        <f t="shared" si="20"/>
        <v>1</v>
      </c>
      <c r="CE113" s="12" t="str">
        <f>GenRev!A113</f>
        <v>Clermont Northeastern Local SD</v>
      </c>
      <c r="CF113" s="7" t="b">
        <f t="shared" si="24"/>
        <v>1</v>
      </c>
      <c r="CG113" s="7" t="str">
        <f t="shared" si="21"/>
        <v>Clermont</v>
      </c>
      <c r="CH113" s="7" t="b">
        <f t="shared" si="22"/>
        <v>1</v>
      </c>
      <c r="CI113" s="7" t="b">
        <f>C113=GenRev!C113</f>
        <v>1</v>
      </c>
    </row>
    <row r="114" spans="1:87">
      <c r="A114" s="12" t="s">
        <v>682</v>
      </c>
      <c r="B114" s="12"/>
      <c r="C114" s="12" t="s">
        <v>20</v>
      </c>
      <c r="D114" s="12"/>
      <c r="E114" s="12">
        <v>43794</v>
      </c>
      <c r="G114" s="7">
        <v>38886198</v>
      </c>
      <c r="I114" s="7">
        <v>9954502</v>
      </c>
      <c r="K114" s="7">
        <f>2134115-228749</f>
        <v>1905366</v>
      </c>
      <c r="M114" s="7">
        <v>97311</v>
      </c>
      <c r="O114" s="7">
        <v>5039676</v>
      </c>
      <c r="Q114" s="7">
        <v>8016653</v>
      </c>
      <c r="S114" s="7">
        <v>3390022</v>
      </c>
      <c r="U114" s="7">
        <v>590607</v>
      </c>
      <c r="W114" s="7">
        <v>5436540</v>
      </c>
      <c r="Y114" s="7">
        <v>2339772</v>
      </c>
      <c r="AA114" s="7">
        <v>1862753</v>
      </c>
      <c r="AC114" s="7">
        <v>10189046</v>
      </c>
      <c r="AE114" s="7">
        <v>4545802</v>
      </c>
      <c r="AG114" s="7">
        <v>3535167</v>
      </c>
      <c r="AI114" s="7">
        <v>5446</v>
      </c>
      <c r="AK114" s="7">
        <f>11451+120907</f>
        <v>132358</v>
      </c>
      <c r="AL114" s="12" t="s">
        <v>682</v>
      </c>
      <c r="AM114" s="12"/>
      <c r="AN114" s="12" t="s">
        <v>20</v>
      </c>
      <c r="AP114" s="7">
        <v>1240149</v>
      </c>
      <c r="AR114" s="7">
        <v>0</v>
      </c>
      <c r="AV114" s="7">
        <v>219768</v>
      </c>
      <c r="AX114" s="7">
        <v>16721</v>
      </c>
      <c r="AZ114" s="7">
        <v>0</v>
      </c>
      <c r="BB114" s="7">
        <f t="shared" si="34"/>
        <v>97403857</v>
      </c>
      <c r="BD114" s="7">
        <v>467669</v>
      </c>
      <c r="BF114" s="7">
        <v>0</v>
      </c>
      <c r="BH114" s="7">
        <v>0</v>
      </c>
      <c r="BJ114" s="7">
        <v>0</v>
      </c>
      <c r="BL114" s="7">
        <f t="shared" si="28"/>
        <v>97871526</v>
      </c>
      <c r="BN114" s="7">
        <f>+GenRev!AM114-GenExp!BL114</f>
        <v>-7148637</v>
      </c>
      <c r="BP114" s="7">
        <v>61727234</v>
      </c>
      <c r="BR114" s="7">
        <v>0</v>
      </c>
      <c r="BT114" s="7">
        <v>0</v>
      </c>
      <c r="BV114" s="7">
        <f t="shared" si="35"/>
        <v>54578597</v>
      </c>
      <c r="BX114" s="8">
        <f>+BV114-'Gen Fd BS'!AE114+BT114</f>
        <v>0</v>
      </c>
      <c r="CB114" s="7" t="str">
        <f t="shared" si="23"/>
        <v>Cleveland Heights-University Heights City SD</v>
      </c>
      <c r="CC114" s="7" t="b">
        <f t="shared" si="20"/>
        <v>1</v>
      </c>
      <c r="CE114" s="12" t="str">
        <f>GenRev!A114</f>
        <v>Cleveland Heights-University Heights City SD</v>
      </c>
      <c r="CF114" s="7" t="b">
        <f t="shared" si="24"/>
        <v>1</v>
      </c>
      <c r="CG114" s="7" t="str">
        <f t="shared" si="21"/>
        <v>Cuyahoga</v>
      </c>
      <c r="CH114" s="7" t="b">
        <f t="shared" si="22"/>
        <v>1</v>
      </c>
      <c r="CI114" s="7" t="b">
        <f>C114=GenRev!C114</f>
        <v>1</v>
      </c>
    </row>
    <row r="115" spans="1:87">
      <c r="A115" s="12" t="s">
        <v>271</v>
      </c>
      <c r="B115" s="12"/>
      <c r="C115" s="12" t="s">
        <v>20</v>
      </c>
      <c r="D115" s="12"/>
      <c r="E115" s="12">
        <v>43786</v>
      </c>
      <c r="G115" s="7">
        <v>248708539</v>
      </c>
      <c r="I115" s="7">
        <v>119851450</v>
      </c>
      <c r="K115" s="7">
        <v>8733830</v>
      </c>
      <c r="M115" s="7">
        <v>-15311</v>
      </c>
      <c r="O115" s="7">
        <v>5354486</v>
      </c>
      <c r="Q115" s="7">
        <v>30761616</v>
      </c>
      <c r="S115" s="7">
        <v>21770817</v>
      </c>
      <c r="U115" s="7">
        <v>245987</v>
      </c>
      <c r="W115" s="7">
        <v>32972354</v>
      </c>
      <c r="Y115" s="7">
        <v>12355425</v>
      </c>
      <c r="AA115" s="7">
        <v>1637398</v>
      </c>
      <c r="AC115" s="7">
        <v>61289547</v>
      </c>
      <c r="AE115" s="7">
        <v>24604063</v>
      </c>
      <c r="AG115" s="7">
        <v>12419665</v>
      </c>
      <c r="AI115" s="7">
        <v>0</v>
      </c>
      <c r="AK115" s="7">
        <v>1630752</v>
      </c>
      <c r="AL115" s="12" t="s">
        <v>271</v>
      </c>
      <c r="AM115" s="12"/>
      <c r="AN115" s="12" t="s">
        <v>20</v>
      </c>
      <c r="AP115" s="7">
        <v>5745944</v>
      </c>
      <c r="AR115" s="7">
        <v>102937</v>
      </c>
      <c r="AV115" s="7">
        <v>1422030</v>
      </c>
      <c r="AX115" s="7">
        <v>422463</v>
      </c>
      <c r="AZ115" s="7">
        <v>0</v>
      </c>
      <c r="BB115" s="7">
        <f t="shared" si="34"/>
        <v>590013992</v>
      </c>
      <c r="BD115" s="7">
        <v>7944394</v>
      </c>
      <c r="BF115" s="7">
        <v>0</v>
      </c>
      <c r="BH115" s="7">
        <v>0</v>
      </c>
      <c r="BJ115" s="7">
        <v>0</v>
      </c>
      <c r="BL115" s="7">
        <f t="shared" si="28"/>
        <v>597958386</v>
      </c>
      <c r="BN115" s="7">
        <f>+GenRev!AM115-GenExp!BL115</f>
        <v>37740563</v>
      </c>
      <c r="BP115" s="7">
        <v>-21054003</v>
      </c>
      <c r="BR115" s="7">
        <v>0</v>
      </c>
      <c r="BT115" s="7">
        <v>0</v>
      </c>
      <c r="BV115" s="7">
        <f t="shared" si="35"/>
        <v>16686560</v>
      </c>
      <c r="BX115" s="8">
        <f>+BV115-'Gen Fd BS'!AE115+BT115</f>
        <v>0</v>
      </c>
      <c r="CB115" s="7" t="str">
        <f t="shared" si="23"/>
        <v>Cleveland Municipal SD</v>
      </c>
      <c r="CC115" s="7" t="b">
        <f t="shared" si="20"/>
        <v>1</v>
      </c>
      <c r="CE115" s="12" t="str">
        <f>GenRev!A115</f>
        <v>Cleveland Municipal SD</v>
      </c>
      <c r="CF115" s="7" t="b">
        <f t="shared" si="24"/>
        <v>1</v>
      </c>
      <c r="CG115" s="7" t="str">
        <f t="shared" si="21"/>
        <v>Cuyahoga</v>
      </c>
      <c r="CH115" s="7" t="b">
        <f t="shared" si="22"/>
        <v>1</v>
      </c>
      <c r="CI115" s="7" t="b">
        <f>C115=GenRev!C115</f>
        <v>1</v>
      </c>
    </row>
    <row r="116" spans="1:87">
      <c r="A116" s="12" t="s">
        <v>249</v>
      </c>
      <c r="B116" s="12"/>
      <c r="C116" s="12" t="s">
        <v>18</v>
      </c>
      <c r="D116" s="12"/>
      <c r="E116" s="12">
        <v>46391</v>
      </c>
      <c r="F116" s="10"/>
      <c r="G116" s="7">
        <v>6952587</v>
      </c>
      <c r="I116" s="7">
        <v>903705</v>
      </c>
      <c r="K116" s="7">
        <v>0</v>
      </c>
      <c r="M116" s="7">
        <v>0</v>
      </c>
      <c r="O116" s="7">
        <v>861865</v>
      </c>
      <c r="Q116" s="7">
        <v>868972</v>
      </c>
      <c r="S116" s="7">
        <v>844550</v>
      </c>
      <c r="U116" s="7">
        <v>74387</v>
      </c>
      <c r="W116" s="7">
        <v>1155080</v>
      </c>
      <c r="Y116" s="7">
        <v>385509</v>
      </c>
      <c r="AA116" s="7">
        <v>49</v>
      </c>
      <c r="AC116" s="7">
        <v>985636</v>
      </c>
      <c r="AE116" s="7">
        <v>992500</v>
      </c>
      <c r="AG116" s="7">
        <v>16</v>
      </c>
      <c r="AI116" s="7">
        <v>0</v>
      </c>
      <c r="AK116" s="7">
        <v>0</v>
      </c>
      <c r="AL116" s="12" t="s">
        <v>249</v>
      </c>
      <c r="AM116" s="12"/>
      <c r="AN116" s="12" t="s">
        <v>18</v>
      </c>
      <c r="AP116" s="7">
        <v>377677</v>
      </c>
      <c r="AR116" s="7">
        <v>108516</v>
      </c>
      <c r="AV116" s="7">
        <v>109183</v>
      </c>
      <c r="AX116" s="7">
        <v>16285</v>
      </c>
      <c r="AZ116" s="7">
        <v>0</v>
      </c>
      <c r="BB116" s="7">
        <f t="shared" si="34"/>
        <v>14636517</v>
      </c>
      <c r="BD116" s="7">
        <v>0</v>
      </c>
      <c r="BF116" s="7">
        <v>0</v>
      </c>
      <c r="BH116" s="7">
        <v>0</v>
      </c>
      <c r="BJ116" s="7">
        <v>0</v>
      </c>
      <c r="BL116" s="7">
        <f t="shared" si="28"/>
        <v>14636517</v>
      </c>
      <c r="BN116" s="7">
        <f>+GenRev!AM116-GenExp!BL116</f>
        <v>-260704</v>
      </c>
      <c r="BP116" s="7">
        <v>2436909</v>
      </c>
      <c r="BR116" s="7">
        <v>0</v>
      </c>
      <c r="BT116" s="7">
        <v>0</v>
      </c>
      <c r="BV116" s="7">
        <f t="shared" si="35"/>
        <v>2176205</v>
      </c>
      <c r="BX116" s="8">
        <f>+BV116-'Gen Fd BS'!AE116+BT116</f>
        <v>0</v>
      </c>
      <c r="CB116" s="7" t="str">
        <f t="shared" si="23"/>
        <v>Clinton-Massie Local SD</v>
      </c>
      <c r="CC116" s="7" t="b">
        <f t="shared" si="20"/>
        <v>1</v>
      </c>
      <c r="CE116" s="12" t="str">
        <f>GenRev!A116</f>
        <v>Clinton-Massie Local SD</v>
      </c>
      <c r="CF116" s="7" t="b">
        <f t="shared" si="24"/>
        <v>1</v>
      </c>
      <c r="CG116" s="7" t="str">
        <f t="shared" si="21"/>
        <v>Clinton</v>
      </c>
      <c r="CH116" s="7" t="b">
        <f t="shared" si="22"/>
        <v>1</v>
      </c>
      <c r="CI116" s="7" t="b">
        <f>C116=GenRev!C116</f>
        <v>1</v>
      </c>
    </row>
    <row r="117" spans="1:87">
      <c r="A117" s="12" t="s">
        <v>429</v>
      </c>
      <c r="B117" s="12"/>
      <c r="C117" s="12" t="s">
        <v>47</v>
      </c>
      <c r="D117" s="12"/>
      <c r="E117" s="12">
        <v>48488</v>
      </c>
      <c r="G117" s="7">
        <v>15049507</v>
      </c>
      <c r="I117" s="7">
        <v>0</v>
      </c>
      <c r="K117" s="7">
        <v>0</v>
      </c>
      <c r="M117" s="7">
        <v>0</v>
      </c>
      <c r="O117" s="7">
        <v>0</v>
      </c>
      <c r="Q117" s="7">
        <v>1198012</v>
      </c>
      <c r="S117" s="7">
        <v>1642060</v>
      </c>
      <c r="U117" s="7">
        <v>30351</v>
      </c>
      <c r="W117" s="7">
        <v>1722450</v>
      </c>
      <c r="Y117" s="7">
        <v>511841</v>
      </c>
      <c r="AA117" s="7">
        <v>284012</v>
      </c>
      <c r="AC117" s="7">
        <v>2038325</v>
      </c>
      <c r="AE117" s="7">
        <v>2199058</v>
      </c>
      <c r="AG117" s="7">
        <v>360505</v>
      </c>
      <c r="AI117" s="7">
        <v>97</v>
      </c>
      <c r="AK117" s="7">
        <v>456078</v>
      </c>
      <c r="AL117" s="12" t="s">
        <v>429</v>
      </c>
      <c r="AM117" s="12"/>
      <c r="AN117" s="12" t="s">
        <v>47</v>
      </c>
      <c r="AP117" s="7">
        <v>599161</v>
      </c>
      <c r="AR117" s="7">
        <v>0</v>
      </c>
      <c r="AV117" s="7">
        <v>0</v>
      </c>
      <c r="AX117" s="7">
        <v>3131</v>
      </c>
      <c r="AZ117" s="7">
        <v>0</v>
      </c>
      <c r="BB117" s="7">
        <f t="shared" si="34"/>
        <v>26094588</v>
      </c>
      <c r="BD117" s="7">
        <v>80758</v>
      </c>
      <c r="BF117" s="7">
        <v>0</v>
      </c>
      <c r="BH117" s="7">
        <v>0</v>
      </c>
      <c r="BJ117" s="7">
        <v>0</v>
      </c>
      <c r="BL117" s="7">
        <f t="shared" ref="BL117:BL148" si="36">+BB117+BD117+BF117+BJ117</f>
        <v>26175346</v>
      </c>
      <c r="BN117" s="7">
        <f>+GenRev!AM117-GenExp!BL117</f>
        <v>340966</v>
      </c>
      <c r="BP117" s="7">
        <v>-554834</v>
      </c>
      <c r="BR117" s="7">
        <v>0</v>
      </c>
      <c r="BT117" s="7">
        <v>0</v>
      </c>
      <c r="BV117" s="7">
        <f t="shared" si="35"/>
        <v>-213868</v>
      </c>
      <c r="BX117" s="8">
        <f>+BV117-'Gen Fd BS'!AE117+BT117</f>
        <v>0</v>
      </c>
      <c r="CB117" s="7" t="str">
        <f t="shared" si="23"/>
        <v>Cloverleaf Local SD</v>
      </c>
      <c r="CC117" s="7" t="b">
        <f t="shared" si="20"/>
        <v>1</v>
      </c>
      <c r="CE117" s="12" t="str">
        <f>GenRev!A117</f>
        <v>Cloverleaf Local SD</v>
      </c>
      <c r="CF117" s="7" t="b">
        <f t="shared" si="24"/>
        <v>1</v>
      </c>
      <c r="CG117" s="7" t="str">
        <f t="shared" si="21"/>
        <v>Medina</v>
      </c>
      <c r="CH117" s="7" t="b">
        <f t="shared" si="22"/>
        <v>1</v>
      </c>
      <c r="CI117" s="7" t="b">
        <f>C117=GenRev!C117</f>
        <v>1</v>
      </c>
    </row>
    <row r="118" spans="1:87">
      <c r="A118" s="12" t="s">
        <v>865</v>
      </c>
      <c r="B118" s="12"/>
      <c r="C118" s="12" t="s">
        <v>79</v>
      </c>
      <c r="D118" s="12"/>
      <c r="E118" s="12">
        <v>45302</v>
      </c>
      <c r="G118" s="7">
        <v>9089095</v>
      </c>
      <c r="I118" s="7">
        <v>1639266</v>
      </c>
      <c r="K118" s="7">
        <v>85971</v>
      </c>
      <c r="M118" s="7">
        <v>0</v>
      </c>
      <c r="O118" s="7">
        <v>702842</v>
      </c>
      <c r="Q118" s="7">
        <v>1111201</v>
      </c>
      <c r="S118" s="7">
        <v>542943</v>
      </c>
      <c r="U118" s="7">
        <v>27605</v>
      </c>
      <c r="W118" s="7">
        <v>1572485</v>
      </c>
      <c r="Y118" s="7">
        <v>527075</v>
      </c>
      <c r="AA118" s="7">
        <v>8543</v>
      </c>
      <c r="AC118" s="7">
        <v>1819270</v>
      </c>
      <c r="AE118" s="7">
        <v>916052</v>
      </c>
      <c r="AG118" s="7">
        <v>7861</v>
      </c>
      <c r="AI118" s="7">
        <v>0</v>
      </c>
      <c r="AK118" s="7">
        <v>0</v>
      </c>
      <c r="AL118" s="12" t="s">
        <v>865</v>
      </c>
      <c r="AM118" s="12"/>
      <c r="AN118" s="12" t="s">
        <v>79</v>
      </c>
      <c r="AP118" s="7">
        <v>437863</v>
      </c>
      <c r="AR118" s="7">
        <v>0</v>
      </c>
      <c r="AV118" s="7">
        <v>0</v>
      </c>
      <c r="AX118" s="7">
        <v>0</v>
      </c>
      <c r="AZ118" s="7">
        <v>0</v>
      </c>
      <c r="BB118" s="7">
        <f t="shared" si="34"/>
        <v>18488072</v>
      </c>
      <c r="BD118" s="7">
        <v>1778761</v>
      </c>
      <c r="BF118" s="7">
        <v>0</v>
      </c>
      <c r="BH118" s="7">
        <v>0</v>
      </c>
      <c r="BJ118" s="7">
        <v>0</v>
      </c>
      <c r="BL118" s="7">
        <f t="shared" si="36"/>
        <v>20266833</v>
      </c>
      <c r="BN118" s="7">
        <f>+GenRev!AM118-GenExp!BL118</f>
        <v>110648</v>
      </c>
      <c r="BP118" s="7">
        <v>2217957</v>
      </c>
      <c r="BR118" s="7">
        <v>4325</v>
      </c>
      <c r="BT118" s="7">
        <v>0</v>
      </c>
      <c r="BV118" s="7">
        <f t="shared" si="35"/>
        <v>2324280</v>
      </c>
      <c r="BX118" s="8">
        <f>+BV118-'Gen Fd BS'!AE118+BT118</f>
        <v>0</v>
      </c>
      <c r="CB118" s="7" t="str">
        <f t="shared" si="23"/>
        <v>Clyde-Green Springs Exempted Village SD</v>
      </c>
      <c r="CC118" s="7" t="b">
        <f t="shared" si="20"/>
        <v>1</v>
      </c>
      <c r="CE118" s="12" t="str">
        <f>GenRev!A118</f>
        <v>Clyde-Green Springs Exempted Village SD</v>
      </c>
      <c r="CF118" s="7" t="b">
        <f t="shared" si="24"/>
        <v>1</v>
      </c>
      <c r="CG118" s="7" t="str">
        <f t="shared" si="21"/>
        <v>Sandusky</v>
      </c>
      <c r="CH118" s="7" t="b">
        <f t="shared" si="22"/>
        <v>1</v>
      </c>
      <c r="CI118" s="7" t="b">
        <f>C118=GenRev!C118</f>
        <v>1</v>
      </c>
    </row>
    <row r="119" spans="1:87" hidden="1">
      <c r="A119" s="12" t="s">
        <v>685</v>
      </c>
      <c r="B119" s="12"/>
      <c r="C119" s="12" t="s">
        <v>435</v>
      </c>
      <c r="D119" s="12"/>
      <c r="E119" s="12"/>
      <c r="AL119" s="12" t="s">
        <v>685</v>
      </c>
      <c r="AM119" s="12"/>
      <c r="AN119" s="12" t="s">
        <v>435</v>
      </c>
      <c r="BB119" s="7">
        <f t="shared" si="34"/>
        <v>0</v>
      </c>
      <c r="BF119" s="7">
        <v>0</v>
      </c>
      <c r="BH119" s="7">
        <v>0</v>
      </c>
      <c r="BL119" s="7">
        <f t="shared" si="36"/>
        <v>0</v>
      </c>
      <c r="BN119" s="7">
        <f>+GenRev!AM119-GenExp!BL119</f>
        <v>0</v>
      </c>
      <c r="BT119" s="7">
        <v>0</v>
      </c>
      <c r="BV119" s="7">
        <f t="shared" si="35"/>
        <v>0</v>
      </c>
      <c r="BX119" s="8">
        <f>+BV119-'Gen Fd BS'!AE119+BT119</f>
        <v>0</v>
      </c>
      <c r="CA119" s="7" t="s">
        <v>778</v>
      </c>
      <c r="CB119" s="7" t="str">
        <f t="shared" si="23"/>
        <v>Coldwater Exempted Village SD (CASH)</v>
      </c>
      <c r="CC119" s="7" t="b">
        <f t="shared" si="20"/>
        <v>1</v>
      </c>
      <c r="CE119" s="12" t="str">
        <f>GenRev!A119</f>
        <v>Coldwater Exempted Village SD (CASH)</v>
      </c>
      <c r="CF119" s="7" t="b">
        <f t="shared" si="24"/>
        <v>1</v>
      </c>
      <c r="CG119" s="7" t="str">
        <f t="shared" si="21"/>
        <v>Mercer</v>
      </c>
      <c r="CH119" s="7" t="b">
        <f t="shared" si="22"/>
        <v>1</v>
      </c>
      <c r="CI119" s="7" t="b">
        <f>C119=GenRev!C119</f>
        <v>1</v>
      </c>
    </row>
    <row r="120" spans="1:87" hidden="1">
      <c r="A120" s="12" t="s">
        <v>636</v>
      </c>
      <c r="B120" s="12"/>
      <c r="C120" s="12" t="s">
        <v>57</v>
      </c>
      <c r="D120" s="12"/>
      <c r="E120" s="12">
        <v>64964</v>
      </c>
      <c r="AL120" s="12" t="s">
        <v>636</v>
      </c>
      <c r="AM120" s="12"/>
      <c r="AN120" s="12" t="s">
        <v>57</v>
      </c>
      <c r="BB120" s="7">
        <f t="shared" si="34"/>
        <v>0</v>
      </c>
      <c r="BF120" s="7">
        <v>0</v>
      </c>
      <c r="BH120" s="7">
        <v>0</v>
      </c>
      <c r="BL120" s="7">
        <f t="shared" si="36"/>
        <v>0</v>
      </c>
      <c r="BN120" s="7">
        <f>+GenRev!AM120-GenExp!BL120</f>
        <v>0</v>
      </c>
      <c r="BT120" s="7">
        <v>0</v>
      </c>
      <c r="BV120" s="7">
        <f t="shared" si="35"/>
        <v>0</v>
      </c>
      <c r="BX120" s="8">
        <f>+BV120-'Gen Fd BS'!AE120+BT120</f>
        <v>0</v>
      </c>
      <c r="CA120" s="7" t="s">
        <v>778</v>
      </c>
      <c r="CB120" s="7" t="str">
        <f t="shared" si="23"/>
        <v>College Corner Local SD (CASH)</v>
      </c>
      <c r="CC120" s="7" t="b">
        <f t="shared" si="20"/>
        <v>1</v>
      </c>
      <c r="CE120" s="12" t="str">
        <f>GenRev!A120</f>
        <v>College Corner Local SD (CASH)</v>
      </c>
      <c r="CF120" s="7" t="b">
        <f t="shared" si="24"/>
        <v>1</v>
      </c>
      <c r="CG120" s="7" t="str">
        <f t="shared" si="21"/>
        <v>Preble</v>
      </c>
      <c r="CH120" s="7" t="b">
        <f t="shared" si="22"/>
        <v>1</v>
      </c>
      <c r="CI120" s="7" t="b">
        <f>C120=GenRev!C120</f>
        <v>1</v>
      </c>
    </row>
    <row r="121" spans="1:87">
      <c r="A121" s="12" t="s">
        <v>264</v>
      </c>
      <c r="B121" s="12"/>
      <c r="C121" s="12" t="s">
        <v>111</v>
      </c>
      <c r="D121" s="12"/>
      <c r="E121" s="12">
        <v>46516</v>
      </c>
      <c r="G121" s="7">
        <v>3705719</v>
      </c>
      <c r="I121" s="7">
        <v>908904</v>
      </c>
      <c r="K121" s="7">
        <v>25759</v>
      </c>
      <c r="M121" s="7">
        <v>0</v>
      </c>
      <c r="O121" s="7">
        <v>418</v>
      </c>
      <c r="Q121" s="7">
        <v>586792</v>
      </c>
      <c r="S121" s="7">
        <v>243939</v>
      </c>
      <c r="U121" s="7">
        <v>23900</v>
      </c>
      <c r="W121" s="7">
        <v>714167</v>
      </c>
      <c r="Y121" s="7">
        <v>299808</v>
      </c>
      <c r="AA121" s="7">
        <v>206</v>
      </c>
      <c r="AC121" s="7">
        <v>753625</v>
      </c>
      <c r="AE121" s="7">
        <v>568434</v>
      </c>
      <c r="AG121" s="7">
        <v>59847</v>
      </c>
      <c r="AI121" s="7">
        <v>0</v>
      </c>
      <c r="AK121" s="7">
        <v>49648</v>
      </c>
      <c r="AL121" s="12" t="s">
        <v>264</v>
      </c>
      <c r="AM121" s="12"/>
      <c r="AN121" s="12" t="s">
        <v>111</v>
      </c>
      <c r="AP121" s="7">
        <v>315692</v>
      </c>
      <c r="AR121" s="7">
        <v>55373</v>
      </c>
      <c r="AV121" s="7">
        <v>10686</v>
      </c>
      <c r="AX121" s="7">
        <v>6083</v>
      </c>
      <c r="AZ121" s="7">
        <v>0</v>
      </c>
      <c r="BB121" s="7">
        <f t="shared" si="34"/>
        <v>8329000</v>
      </c>
      <c r="BD121" s="7">
        <v>0</v>
      </c>
      <c r="BF121" s="7">
        <v>0</v>
      </c>
      <c r="BH121" s="7">
        <v>0</v>
      </c>
      <c r="BJ121" s="7">
        <v>0</v>
      </c>
      <c r="BL121" s="7">
        <f t="shared" si="36"/>
        <v>8329000</v>
      </c>
      <c r="BN121" s="7">
        <f>+GenRev!AM121-GenExp!BL121</f>
        <v>293300</v>
      </c>
      <c r="BP121" s="7">
        <v>1568253</v>
      </c>
      <c r="BR121" s="7">
        <v>0</v>
      </c>
      <c r="BT121" s="7">
        <v>0</v>
      </c>
      <c r="BV121" s="7">
        <f t="shared" si="35"/>
        <v>1861553</v>
      </c>
      <c r="BX121" s="8">
        <f>+BV121-'Gen Fd BS'!AE121+BT121</f>
        <v>0</v>
      </c>
      <c r="CB121" s="7" t="str">
        <f t="shared" si="23"/>
        <v>Colonel Crawford Local SD</v>
      </c>
      <c r="CC121" s="7" t="b">
        <f t="shared" si="20"/>
        <v>1</v>
      </c>
      <c r="CE121" s="12" t="str">
        <f>GenRev!A121</f>
        <v>Colonel Crawford Local SD</v>
      </c>
      <c r="CF121" s="7" t="b">
        <f t="shared" si="24"/>
        <v>1</v>
      </c>
      <c r="CG121" s="7" t="str">
        <f t="shared" si="21"/>
        <v>Crawford</v>
      </c>
      <c r="CH121" s="7" t="b">
        <f t="shared" si="22"/>
        <v>1</v>
      </c>
      <c r="CI121" s="7" t="b">
        <f>C121=GenRev!C121</f>
        <v>1</v>
      </c>
    </row>
    <row r="122" spans="1:87">
      <c r="A122" s="12" t="s">
        <v>395</v>
      </c>
      <c r="B122" s="12"/>
      <c r="C122" s="12" t="s">
        <v>44</v>
      </c>
      <c r="D122" s="12"/>
      <c r="E122" s="12">
        <v>48140</v>
      </c>
      <c r="G122" s="7">
        <v>4421944</v>
      </c>
      <c r="I122" s="7">
        <v>852962</v>
      </c>
      <c r="K122" s="7">
        <v>177371</v>
      </c>
      <c r="M122" s="7">
        <v>0</v>
      </c>
      <c r="O122" s="7">
        <v>371021</v>
      </c>
      <c r="Q122" s="7">
        <v>478310</v>
      </c>
      <c r="S122" s="7">
        <v>376395</v>
      </c>
      <c r="U122" s="7">
        <v>26217</v>
      </c>
      <c r="W122" s="7">
        <v>992947</v>
      </c>
      <c r="Y122" s="7">
        <v>373036</v>
      </c>
      <c r="AA122" s="7">
        <v>0</v>
      </c>
      <c r="AC122" s="7">
        <v>982148</v>
      </c>
      <c r="AE122" s="7">
        <v>723515</v>
      </c>
      <c r="AG122" s="7">
        <v>43590</v>
      </c>
      <c r="AI122" s="7">
        <v>0</v>
      </c>
      <c r="AK122" s="7">
        <v>0</v>
      </c>
      <c r="AL122" s="12" t="s">
        <v>395</v>
      </c>
      <c r="AM122" s="12"/>
      <c r="AN122" s="12" t="s">
        <v>44</v>
      </c>
      <c r="AP122" s="7">
        <v>287082</v>
      </c>
      <c r="AR122" s="7">
        <v>39174</v>
      </c>
      <c r="AV122" s="7">
        <v>22377</v>
      </c>
      <c r="AX122" s="7">
        <v>4190</v>
      </c>
      <c r="AZ122" s="7">
        <v>0</v>
      </c>
      <c r="BB122" s="7">
        <f t="shared" si="34"/>
        <v>10172279</v>
      </c>
      <c r="BD122" s="7">
        <v>30000</v>
      </c>
      <c r="BF122" s="7">
        <v>0</v>
      </c>
      <c r="BH122" s="7">
        <v>0</v>
      </c>
      <c r="BJ122" s="7">
        <v>0</v>
      </c>
      <c r="BL122" s="7">
        <f t="shared" si="36"/>
        <v>10202279</v>
      </c>
      <c r="BN122" s="7">
        <f>+GenRev!AM122-GenExp!BL122</f>
        <v>-239623</v>
      </c>
      <c r="BP122" s="7">
        <v>843599</v>
      </c>
      <c r="BR122" s="7">
        <v>0</v>
      </c>
      <c r="BT122" s="7">
        <v>0</v>
      </c>
      <c r="BV122" s="7">
        <f t="shared" si="35"/>
        <v>603976</v>
      </c>
      <c r="BX122" s="8">
        <f>+BV122-'Gen Fd BS'!AE122+BT122</f>
        <v>0</v>
      </c>
      <c r="CB122" s="7" t="str">
        <f t="shared" si="23"/>
        <v>Columbia Local SD</v>
      </c>
      <c r="CC122" s="7" t="b">
        <f t="shared" si="20"/>
        <v>1</v>
      </c>
      <c r="CE122" s="12" t="str">
        <f>GenRev!A122</f>
        <v>Columbia Local SD</v>
      </c>
      <c r="CF122" s="7" t="b">
        <f t="shared" si="24"/>
        <v>1</v>
      </c>
      <c r="CG122" s="7" t="str">
        <f t="shared" si="21"/>
        <v>Lorain</v>
      </c>
      <c r="CH122" s="7" t="b">
        <f t="shared" si="22"/>
        <v>1</v>
      </c>
      <c r="CI122" s="7" t="b">
        <f>C122=GenRev!C122</f>
        <v>1</v>
      </c>
    </row>
    <row r="123" spans="1:87">
      <c r="A123" s="12" t="s">
        <v>866</v>
      </c>
      <c r="B123" s="12"/>
      <c r="C123" s="12" t="s">
        <v>112</v>
      </c>
      <c r="D123" s="12"/>
      <c r="E123" s="12">
        <v>45328</v>
      </c>
      <c r="F123" s="10"/>
      <c r="G123" s="7">
        <v>4860638</v>
      </c>
      <c r="I123" s="7">
        <v>1068777</v>
      </c>
      <c r="K123" s="7">
        <v>0</v>
      </c>
      <c r="M123" s="7">
        <v>0</v>
      </c>
      <c r="O123" s="7">
        <v>0</v>
      </c>
      <c r="Q123" s="7">
        <v>239434</v>
      </c>
      <c r="S123" s="7">
        <v>312681</v>
      </c>
      <c r="U123" s="7">
        <v>21732</v>
      </c>
      <c r="W123" s="7">
        <v>788529</v>
      </c>
      <c r="Y123" s="7">
        <v>330865</v>
      </c>
      <c r="AA123" s="7">
        <v>0</v>
      </c>
      <c r="AC123" s="7">
        <v>587783</v>
      </c>
      <c r="AE123" s="7">
        <v>324763</v>
      </c>
      <c r="AG123" s="7">
        <v>31359</v>
      </c>
      <c r="AI123" s="7">
        <v>0</v>
      </c>
      <c r="AK123" s="7">
        <v>0</v>
      </c>
      <c r="AL123" s="12" t="s">
        <v>866</v>
      </c>
      <c r="AM123" s="12"/>
      <c r="AN123" s="12" t="s">
        <v>112</v>
      </c>
      <c r="AP123" s="7">
        <v>199722</v>
      </c>
      <c r="AR123" s="7">
        <v>0</v>
      </c>
      <c r="AV123" s="7">
        <v>0</v>
      </c>
      <c r="AX123" s="7">
        <v>0</v>
      </c>
      <c r="AZ123" s="7">
        <v>0</v>
      </c>
      <c r="BB123" s="7">
        <f t="shared" si="34"/>
        <v>8766283</v>
      </c>
      <c r="BD123" s="7">
        <v>0</v>
      </c>
      <c r="BF123" s="7">
        <v>0</v>
      </c>
      <c r="BH123" s="7">
        <v>0</v>
      </c>
      <c r="BJ123" s="7">
        <v>0</v>
      </c>
      <c r="BL123" s="7">
        <f t="shared" si="36"/>
        <v>8766283</v>
      </c>
      <c r="BN123" s="7">
        <f>+GenRev!AM123-GenExp!BL123</f>
        <v>281198</v>
      </c>
      <c r="BP123" s="7">
        <v>1444097</v>
      </c>
      <c r="BR123" s="7">
        <v>0</v>
      </c>
      <c r="BT123" s="7">
        <v>0</v>
      </c>
      <c r="BV123" s="7">
        <f t="shared" si="35"/>
        <v>1725295</v>
      </c>
      <c r="BX123" s="8">
        <f>+BV123-'Gen Fd BS'!AE123+BT123</f>
        <v>0</v>
      </c>
      <c r="CB123" s="7" t="str">
        <f t="shared" si="23"/>
        <v>Columbiana Exempted Village SD</v>
      </c>
      <c r="CC123" s="7" t="b">
        <f t="shared" si="20"/>
        <v>1</v>
      </c>
      <c r="CE123" s="12" t="str">
        <f>GenRev!A123</f>
        <v>Columbiana Exempted Village SD</v>
      </c>
      <c r="CF123" s="7" t="b">
        <f t="shared" si="24"/>
        <v>1</v>
      </c>
      <c r="CG123" s="7" t="str">
        <f t="shared" si="21"/>
        <v>Columbiana</v>
      </c>
      <c r="CH123" s="7" t="b">
        <f t="shared" si="22"/>
        <v>1</v>
      </c>
      <c r="CI123" s="7" t="b">
        <f>C123=GenRev!C123</f>
        <v>1</v>
      </c>
    </row>
    <row r="124" spans="1:87">
      <c r="A124" s="12" t="s">
        <v>307</v>
      </c>
      <c r="B124" s="12"/>
      <c r="C124" s="12" t="s">
        <v>27</v>
      </c>
      <c r="D124" s="12"/>
      <c r="E124" s="12">
        <v>43802</v>
      </c>
      <c r="G124" s="7">
        <v>338267874</v>
      </c>
      <c r="I124" s="7">
        <v>73233850</v>
      </c>
      <c r="K124" s="7">
        <v>9404741</v>
      </c>
      <c r="M124" s="7">
        <v>138</v>
      </c>
      <c r="O124" s="7">
        <v>2046350</v>
      </c>
      <c r="Q124" s="7">
        <v>47421598</v>
      </c>
      <c r="S124" s="7">
        <v>35181909</v>
      </c>
      <c r="U124" s="7">
        <v>79137</v>
      </c>
      <c r="W124" s="7">
        <v>33530308</v>
      </c>
      <c r="Y124" s="7">
        <v>8062208</v>
      </c>
      <c r="AA124" s="7">
        <v>4147592</v>
      </c>
      <c r="AC124" s="7">
        <v>61012655</v>
      </c>
      <c r="AE124" s="7">
        <v>52451934</v>
      </c>
      <c r="AG124" s="7">
        <v>11583653</v>
      </c>
      <c r="AI124" s="7">
        <v>0</v>
      </c>
      <c r="AK124" s="7">
        <v>10857</v>
      </c>
      <c r="AL124" s="12" t="s">
        <v>307</v>
      </c>
      <c r="AM124" s="12"/>
      <c r="AN124" s="12" t="s">
        <v>27</v>
      </c>
      <c r="AP124" s="7">
        <v>5873157</v>
      </c>
      <c r="AR124" s="7">
        <v>10672</v>
      </c>
      <c r="AV124" s="7">
        <v>0</v>
      </c>
      <c r="AX124" s="7">
        <v>0</v>
      </c>
      <c r="AZ124" s="7">
        <v>0</v>
      </c>
      <c r="BB124" s="7">
        <f t="shared" si="34"/>
        <v>682318633</v>
      </c>
      <c r="BD124" s="7">
        <v>3488682</v>
      </c>
      <c r="BF124" s="7">
        <v>0</v>
      </c>
      <c r="BH124" s="7">
        <v>0</v>
      </c>
      <c r="BJ124" s="7">
        <v>0</v>
      </c>
      <c r="BL124" s="7">
        <f t="shared" si="36"/>
        <v>685807315</v>
      </c>
      <c r="BN124" s="7">
        <f>+GenRev!AM124-GenExp!BL124</f>
        <v>49954435</v>
      </c>
      <c r="BP124" s="7">
        <v>196821734</v>
      </c>
      <c r="BR124" s="7">
        <v>0</v>
      </c>
      <c r="BT124" s="7">
        <v>0</v>
      </c>
      <c r="BV124" s="7">
        <f t="shared" si="35"/>
        <v>246776169</v>
      </c>
      <c r="BX124" s="8">
        <f>+BV124-'Gen Fd BS'!AE124+BT124</f>
        <v>0</v>
      </c>
      <c r="CB124" s="7" t="str">
        <f t="shared" si="23"/>
        <v>Columbus City SD</v>
      </c>
      <c r="CC124" s="7" t="b">
        <f t="shared" si="20"/>
        <v>1</v>
      </c>
      <c r="CE124" s="12" t="str">
        <f>GenRev!A124</f>
        <v>Columbus City SD</v>
      </c>
      <c r="CF124" s="7" t="b">
        <f t="shared" si="24"/>
        <v>1</v>
      </c>
      <c r="CG124" s="7" t="str">
        <f t="shared" si="21"/>
        <v>Franklin</v>
      </c>
      <c r="CH124" s="7" t="b">
        <f t="shared" si="22"/>
        <v>1</v>
      </c>
      <c r="CI124" s="7" t="b">
        <f>C124=GenRev!C124</f>
        <v>1</v>
      </c>
    </row>
    <row r="125" spans="1:87" hidden="1">
      <c r="A125" s="12" t="s">
        <v>637</v>
      </c>
      <c r="B125" s="12"/>
      <c r="C125" s="12" t="s">
        <v>482</v>
      </c>
      <c r="D125" s="12"/>
      <c r="E125" s="12">
        <v>49312</v>
      </c>
      <c r="AL125" s="12" t="s">
        <v>637</v>
      </c>
      <c r="AM125" s="12"/>
      <c r="AN125" s="12" t="s">
        <v>482</v>
      </c>
      <c r="BB125" s="7">
        <f t="shared" si="34"/>
        <v>0</v>
      </c>
      <c r="BF125" s="7">
        <v>0</v>
      </c>
      <c r="BH125" s="7">
        <v>0</v>
      </c>
      <c r="BL125" s="7">
        <f t="shared" si="36"/>
        <v>0</v>
      </c>
      <c r="BN125" s="7">
        <f>+GenRev!AM125-GenExp!BL125</f>
        <v>0</v>
      </c>
      <c r="BT125" s="7">
        <v>0</v>
      </c>
      <c r="BV125" s="7">
        <f t="shared" si="35"/>
        <v>0</v>
      </c>
      <c r="BX125" s="8">
        <f>+BV125-'Gen Fd BS'!AE125+BT125</f>
        <v>0</v>
      </c>
      <c r="CA125" s="7" t="s">
        <v>778</v>
      </c>
      <c r="CB125" s="7" t="str">
        <f t="shared" si="23"/>
        <v>Columbus Grove Local SD (CASH)</v>
      </c>
      <c r="CC125" s="7" t="b">
        <f t="shared" si="20"/>
        <v>1</v>
      </c>
      <c r="CE125" s="12" t="str">
        <f>GenRev!A125</f>
        <v>Columbus Grove Local SD (CASH)</v>
      </c>
      <c r="CF125" s="7" t="b">
        <f t="shared" si="24"/>
        <v>1</v>
      </c>
      <c r="CG125" s="7" t="str">
        <f t="shared" si="21"/>
        <v>Putnam</v>
      </c>
      <c r="CH125" s="7" t="b">
        <f t="shared" si="22"/>
        <v>1</v>
      </c>
      <c r="CI125" s="7" t="b">
        <f>C125=GenRev!C125</f>
        <v>1</v>
      </c>
    </row>
    <row r="126" spans="1:87">
      <c r="A126" s="12" t="s">
        <v>208</v>
      </c>
      <c r="B126" s="12"/>
      <c r="C126" s="12" t="s">
        <v>12</v>
      </c>
      <c r="D126" s="12"/>
      <c r="E126" s="12">
        <v>43810</v>
      </c>
      <c r="F126" s="10"/>
      <c r="G126" s="7">
        <v>6773971</v>
      </c>
      <c r="I126" s="7">
        <v>1584953</v>
      </c>
      <c r="K126" s="7">
        <v>110938</v>
      </c>
      <c r="M126" s="7">
        <v>0</v>
      </c>
      <c r="O126" s="7">
        <v>1235445</v>
      </c>
      <c r="Q126" s="7">
        <v>777207</v>
      </c>
      <c r="S126" s="7">
        <v>711058</v>
      </c>
      <c r="U126" s="7">
        <v>30906</v>
      </c>
      <c r="W126" s="7">
        <v>1450215</v>
      </c>
      <c r="Y126" s="7">
        <v>392956</v>
      </c>
      <c r="AA126" s="7">
        <v>0</v>
      </c>
      <c r="AC126" s="7">
        <v>1706129</v>
      </c>
      <c r="AE126" s="7">
        <v>714133</v>
      </c>
      <c r="AG126" s="7">
        <v>44156</v>
      </c>
      <c r="AI126" s="7">
        <v>0</v>
      </c>
      <c r="AK126" s="7">
        <v>0</v>
      </c>
      <c r="AL126" s="12" t="s">
        <v>208</v>
      </c>
      <c r="AM126" s="12"/>
      <c r="AN126" s="12" t="s">
        <v>12</v>
      </c>
      <c r="AP126" s="7">
        <v>286339</v>
      </c>
      <c r="AR126" s="7">
        <v>0</v>
      </c>
      <c r="AV126" s="7">
        <v>0</v>
      </c>
      <c r="AX126" s="7">
        <v>66132</v>
      </c>
      <c r="AZ126" s="7">
        <v>0</v>
      </c>
      <c r="BB126" s="7">
        <f t="shared" si="34"/>
        <v>15884538</v>
      </c>
      <c r="BD126" s="7">
        <v>0</v>
      </c>
      <c r="BF126" s="7">
        <v>0</v>
      </c>
      <c r="BH126" s="7">
        <v>0</v>
      </c>
      <c r="BJ126" s="7">
        <v>0</v>
      </c>
      <c r="BL126" s="7">
        <f t="shared" si="36"/>
        <v>15884538</v>
      </c>
      <c r="BN126" s="7">
        <f>+GenRev!AM126-GenExp!BL126</f>
        <v>462501</v>
      </c>
      <c r="BP126" s="7">
        <v>3562516</v>
      </c>
      <c r="BR126" s="7">
        <v>0</v>
      </c>
      <c r="BT126" s="7">
        <v>0</v>
      </c>
      <c r="BV126" s="7">
        <f t="shared" si="35"/>
        <v>4025017</v>
      </c>
      <c r="BX126" s="8">
        <f>+BV126-'Gen Fd BS'!AE126+BT126</f>
        <v>0</v>
      </c>
      <c r="CB126" s="7" t="str">
        <f t="shared" si="23"/>
        <v>Conneaut Area City SD</v>
      </c>
      <c r="CC126" s="7" t="b">
        <f t="shared" si="20"/>
        <v>1</v>
      </c>
      <c r="CE126" s="12" t="str">
        <f>GenRev!A126</f>
        <v>Conneaut Area City SD</v>
      </c>
      <c r="CF126" s="7" t="b">
        <f t="shared" si="24"/>
        <v>1</v>
      </c>
      <c r="CG126" s="7" t="str">
        <f t="shared" si="21"/>
        <v>Ashtabula</v>
      </c>
      <c r="CH126" s="7" t="b">
        <f t="shared" si="22"/>
        <v>1</v>
      </c>
      <c r="CI126" s="7" t="b">
        <f>C126=GenRev!C126</f>
        <v>1</v>
      </c>
    </row>
    <row r="127" spans="1:87">
      <c r="A127" s="12" t="s">
        <v>351</v>
      </c>
      <c r="B127" s="12"/>
      <c r="C127" s="12" t="s">
        <v>352</v>
      </c>
      <c r="D127" s="12"/>
      <c r="E127" s="12">
        <v>47548</v>
      </c>
      <c r="G127" s="7">
        <v>2537687</v>
      </c>
      <c r="I127" s="7">
        <v>298853</v>
      </c>
      <c r="K127" s="7">
        <v>68309</v>
      </c>
      <c r="M127" s="7">
        <v>0</v>
      </c>
      <c r="O127" s="7">
        <v>13447</v>
      </c>
      <c r="Q127" s="7">
        <v>213437</v>
      </c>
      <c r="S127" s="7">
        <v>283490</v>
      </c>
      <c r="U127" s="7">
        <v>14471</v>
      </c>
      <c r="W127" s="7">
        <v>380102</v>
      </c>
      <c r="Y127" s="7">
        <v>227538</v>
      </c>
      <c r="AA127" s="7">
        <v>0</v>
      </c>
      <c r="AC127" s="7">
        <v>461716</v>
      </c>
      <c r="AE127" s="7">
        <v>395670</v>
      </c>
      <c r="AG127" s="7">
        <v>3486</v>
      </c>
      <c r="AI127" s="7">
        <v>0</v>
      </c>
      <c r="AK127" s="7">
        <v>0</v>
      </c>
      <c r="AL127" s="12" t="s">
        <v>351</v>
      </c>
      <c r="AM127" s="12"/>
      <c r="AN127" s="12" t="s">
        <v>352</v>
      </c>
      <c r="AP127" s="7">
        <v>106813</v>
      </c>
      <c r="AR127" s="7">
        <v>0</v>
      </c>
      <c r="AV127" s="7">
        <v>16037</v>
      </c>
      <c r="AX127" s="7">
        <v>703</v>
      </c>
      <c r="AZ127" s="7">
        <v>0</v>
      </c>
      <c r="BB127" s="7">
        <f t="shared" si="34"/>
        <v>5021759</v>
      </c>
      <c r="BD127" s="7">
        <v>50000</v>
      </c>
      <c r="BF127" s="7">
        <v>0</v>
      </c>
      <c r="BH127" s="7">
        <v>0</v>
      </c>
      <c r="BJ127" s="7">
        <v>0</v>
      </c>
      <c r="BL127" s="7">
        <f t="shared" si="36"/>
        <v>5071759</v>
      </c>
      <c r="BN127" s="7">
        <f>+GenRev!AM127-GenExp!BL127</f>
        <v>186788</v>
      </c>
      <c r="BP127" s="7">
        <v>604473</v>
      </c>
      <c r="BR127" s="7">
        <v>0</v>
      </c>
      <c r="BT127" s="7">
        <v>0</v>
      </c>
      <c r="BV127" s="7">
        <f t="shared" si="35"/>
        <v>791261</v>
      </c>
      <c r="BX127" s="8">
        <f>+BV127-'Gen Fd BS'!AE127+BT127</f>
        <v>0</v>
      </c>
      <c r="CB127" s="7" t="str">
        <f t="shared" si="23"/>
        <v>Conotton Valley Union Local SD</v>
      </c>
      <c r="CC127" s="7" t="b">
        <f t="shared" si="20"/>
        <v>1</v>
      </c>
      <c r="CE127" s="12" t="str">
        <f>GenRev!A127</f>
        <v>Conotton Valley Union Local SD</v>
      </c>
      <c r="CF127" s="7" t="b">
        <f t="shared" si="24"/>
        <v>1</v>
      </c>
      <c r="CG127" s="7" t="str">
        <f t="shared" si="21"/>
        <v>Harrison</v>
      </c>
      <c r="CH127" s="7" t="b">
        <f t="shared" si="22"/>
        <v>1</v>
      </c>
      <c r="CI127" s="7" t="b">
        <f>C127=GenRev!C127</f>
        <v>1</v>
      </c>
    </row>
    <row r="128" spans="1:87" hidden="1">
      <c r="A128" s="12" t="s">
        <v>709</v>
      </c>
      <c r="B128" s="12"/>
      <c r="C128" s="12" t="s">
        <v>482</v>
      </c>
      <c r="D128" s="12"/>
      <c r="E128" s="12">
        <v>49320</v>
      </c>
      <c r="AL128" s="12" t="s">
        <v>709</v>
      </c>
      <c r="AM128" s="12"/>
      <c r="AN128" s="12" t="s">
        <v>482</v>
      </c>
      <c r="BB128" s="7">
        <f t="shared" si="34"/>
        <v>0</v>
      </c>
      <c r="BF128" s="7">
        <v>0</v>
      </c>
      <c r="BH128" s="7">
        <v>0</v>
      </c>
      <c r="BL128" s="7">
        <f t="shared" si="36"/>
        <v>0</v>
      </c>
      <c r="BN128" s="7">
        <f>+GenRev!AM128-GenExp!BL128</f>
        <v>0</v>
      </c>
      <c r="BT128" s="7">
        <v>0</v>
      </c>
      <c r="BV128" s="7">
        <f t="shared" si="35"/>
        <v>0</v>
      </c>
      <c r="BX128" s="8">
        <f>+BV128-'Gen Fd BS'!AE128+BT128</f>
        <v>0</v>
      </c>
      <c r="CA128" s="7" t="s">
        <v>778</v>
      </c>
      <c r="CB128" s="7" t="str">
        <f t="shared" si="23"/>
        <v>Continental Local SD (CASH) Two year Audit</v>
      </c>
      <c r="CC128" s="7" t="b">
        <f t="shared" si="20"/>
        <v>1</v>
      </c>
      <c r="CE128" s="12" t="str">
        <f>GenRev!A128</f>
        <v>Continental Local SD (CASH) Two year Audit</v>
      </c>
      <c r="CF128" s="7" t="b">
        <f t="shared" si="24"/>
        <v>1</v>
      </c>
      <c r="CG128" s="7" t="str">
        <f t="shared" si="21"/>
        <v>Putnam</v>
      </c>
      <c r="CH128" s="7" t="b">
        <f t="shared" si="22"/>
        <v>1</v>
      </c>
      <c r="CI128" s="7" t="b">
        <f>C128=GenRev!C128</f>
        <v>1</v>
      </c>
    </row>
    <row r="129" spans="1:87">
      <c r="A129" s="12" t="s">
        <v>524</v>
      </c>
      <c r="B129" s="12"/>
      <c r="C129" s="12" t="s">
        <v>63</v>
      </c>
      <c r="D129" s="12"/>
      <c r="E129" s="12">
        <v>49981</v>
      </c>
      <c r="G129" s="7">
        <v>16183993</v>
      </c>
      <c r="I129" s="7">
        <v>2175948</v>
      </c>
      <c r="K129" s="7">
        <v>571419</v>
      </c>
      <c r="M129" s="7">
        <v>0</v>
      </c>
      <c r="O129" s="7">
        <v>0</v>
      </c>
      <c r="Q129" s="7">
        <v>1596118</v>
      </c>
      <c r="S129" s="7">
        <v>1674120</v>
      </c>
      <c r="U129" s="7">
        <v>141438</v>
      </c>
      <c r="W129" s="7">
        <v>1974543</v>
      </c>
      <c r="Y129" s="7">
        <v>917547</v>
      </c>
      <c r="AA129" s="7">
        <v>128652</v>
      </c>
      <c r="AC129" s="7">
        <v>2547550</v>
      </c>
      <c r="AE129" s="7">
        <v>1612320</v>
      </c>
      <c r="AG129" s="7">
        <v>226340</v>
      </c>
      <c r="AI129" s="7">
        <v>0</v>
      </c>
      <c r="AK129" s="7">
        <v>71067</v>
      </c>
      <c r="AL129" s="12" t="s">
        <v>524</v>
      </c>
      <c r="AM129" s="12"/>
      <c r="AN129" s="12" t="s">
        <v>63</v>
      </c>
      <c r="AP129" s="7">
        <v>668258</v>
      </c>
      <c r="AR129" s="7">
        <v>45741</v>
      </c>
      <c r="AV129" s="7">
        <v>0</v>
      </c>
      <c r="AX129" s="7">
        <v>0</v>
      </c>
      <c r="AZ129" s="7">
        <v>0</v>
      </c>
      <c r="BB129" s="7">
        <f t="shared" si="34"/>
        <v>30535054</v>
      </c>
      <c r="BD129" s="7">
        <v>69000</v>
      </c>
      <c r="BF129" s="7">
        <v>0</v>
      </c>
      <c r="BH129" s="7">
        <v>0</v>
      </c>
      <c r="BJ129" s="7">
        <v>0</v>
      </c>
      <c r="BL129" s="7">
        <f t="shared" si="36"/>
        <v>30604054</v>
      </c>
      <c r="BN129" s="7">
        <f>+GenRev!AM129-GenExp!BL129</f>
        <v>2012226</v>
      </c>
      <c r="BP129" s="7">
        <v>6004161</v>
      </c>
      <c r="BR129" s="7">
        <v>0</v>
      </c>
      <c r="BT129" s="7">
        <v>0</v>
      </c>
      <c r="BV129" s="7">
        <f t="shared" si="35"/>
        <v>8016387</v>
      </c>
      <c r="BX129" s="8">
        <f>+BV129-'Gen Fd BS'!AE129+BT129</f>
        <v>0</v>
      </c>
      <c r="CB129" s="7" t="str">
        <f t="shared" si="23"/>
        <v>Copley-Fairlawn City SD</v>
      </c>
      <c r="CC129" s="7" t="b">
        <f t="shared" si="20"/>
        <v>1</v>
      </c>
      <c r="CE129" s="12" t="str">
        <f>GenRev!A129</f>
        <v>Copley-Fairlawn City SD</v>
      </c>
      <c r="CF129" s="7" t="b">
        <f t="shared" si="24"/>
        <v>1</v>
      </c>
      <c r="CG129" s="7" t="str">
        <f t="shared" si="21"/>
        <v>Summit</v>
      </c>
      <c r="CH129" s="7" t="b">
        <f t="shared" si="22"/>
        <v>1</v>
      </c>
      <c r="CI129" s="7" t="b">
        <f>C129=GenRev!C129</f>
        <v>1</v>
      </c>
    </row>
    <row r="130" spans="1:87">
      <c r="A130" s="12" t="s">
        <v>345</v>
      </c>
      <c r="B130" s="12"/>
      <c r="C130" s="12" t="s">
        <v>33</v>
      </c>
      <c r="D130" s="12"/>
      <c r="E130" s="12">
        <v>47431</v>
      </c>
      <c r="G130" s="7">
        <v>3086845</v>
      </c>
      <c r="I130" s="7">
        <v>411270</v>
      </c>
      <c r="K130" s="7">
        <v>296842</v>
      </c>
      <c r="M130" s="7">
        <v>0</v>
      </c>
      <c r="O130" s="7">
        <v>0</v>
      </c>
      <c r="Q130" s="7">
        <v>183789</v>
      </c>
      <c r="S130" s="7">
        <v>266430</v>
      </c>
      <c r="U130" s="7">
        <v>30941</v>
      </c>
      <c r="W130" s="7">
        <v>857771</v>
      </c>
      <c r="Y130" s="7">
        <v>210970</v>
      </c>
      <c r="AA130" s="7">
        <v>0</v>
      </c>
      <c r="AC130" s="7">
        <v>481426</v>
      </c>
      <c r="AE130" s="7">
        <v>249936</v>
      </c>
      <c r="AG130" s="7">
        <v>4127</v>
      </c>
      <c r="AI130" s="7">
        <v>0</v>
      </c>
      <c r="AK130" s="7">
        <v>0</v>
      </c>
      <c r="AL130" s="12" t="s">
        <v>345</v>
      </c>
      <c r="AM130" s="12"/>
      <c r="AN130" s="12" t="s">
        <v>33</v>
      </c>
      <c r="AP130" s="7">
        <v>159104</v>
      </c>
      <c r="AR130" s="7">
        <v>0</v>
      </c>
      <c r="AV130" s="7">
        <v>1393</v>
      </c>
      <c r="AX130" s="7">
        <v>476</v>
      </c>
      <c r="AZ130" s="7">
        <v>0</v>
      </c>
      <c r="BB130" s="7">
        <f t="shared" si="34"/>
        <v>6241320</v>
      </c>
      <c r="BD130" s="7">
        <v>21420</v>
      </c>
      <c r="BF130" s="7">
        <v>0</v>
      </c>
      <c r="BH130" s="7">
        <v>0</v>
      </c>
      <c r="BJ130" s="7">
        <v>0</v>
      </c>
      <c r="BL130" s="7">
        <f t="shared" si="36"/>
        <v>6262740</v>
      </c>
      <c r="BN130" s="7">
        <f>+GenRev!AM130-GenExp!BL130</f>
        <v>325617</v>
      </c>
      <c r="BP130" s="7">
        <v>-238350</v>
      </c>
      <c r="BR130" s="7">
        <v>0</v>
      </c>
      <c r="BT130" s="7">
        <v>0</v>
      </c>
      <c r="BV130" s="7">
        <f t="shared" si="35"/>
        <v>87267</v>
      </c>
      <c r="BX130" s="8">
        <f>+BV130-'Gen Fd BS'!AE130+BT130</f>
        <v>0</v>
      </c>
      <c r="CB130" s="7" t="str">
        <f t="shared" si="23"/>
        <v>Cory-Rawson Local SD</v>
      </c>
      <c r="CC130" s="7" t="b">
        <f t="shared" si="20"/>
        <v>1</v>
      </c>
      <c r="CE130" s="12" t="str">
        <f>GenRev!A130</f>
        <v>Cory-Rawson Local SD</v>
      </c>
      <c r="CF130" s="7" t="b">
        <f t="shared" si="24"/>
        <v>1</v>
      </c>
      <c r="CG130" s="7" t="str">
        <f t="shared" si="21"/>
        <v>Hancock</v>
      </c>
      <c r="CH130" s="7" t="b">
        <f t="shared" si="22"/>
        <v>1</v>
      </c>
      <c r="CI130" s="7" t="b">
        <f>C130=GenRev!C130</f>
        <v>1</v>
      </c>
    </row>
    <row r="131" spans="1:87">
      <c r="A131" s="12" t="s">
        <v>259</v>
      </c>
      <c r="B131" s="12"/>
      <c r="C131" s="12" t="s">
        <v>19</v>
      </c>
      <c r="D131" s="12"/>
      <c r="E131" s="12">
        <v>43828</v>
      </c>
      <c r="F131" s="10"/>
      <c r="G131" s="7">
        <v>10139988</v>
      </c>
      <c r="I131" s="7">
        <v>0</v>
      </c>
      <c r="K131" s="7">
        <v>0</v>
      </c>
      <c r="M131" s="7">
        <v>0</v>
      </c>
      <c r="O131" s="7">
        <v>0</v>
      </c>
      <c r="Q131" s="7">
        <v>562861</v>
      </c>
      <c r="S131" s="7">
        <v>497391</v>
      </c>
      <c r="U131" s="7">
        <v>34194</v>
      </c>
      <c r="W131" s="7">
        <v>1365640</v>
      </c>
      <c r="Y131" s="7">
        <v>420845</v>
      </c>
      <c r="AA131" s="7">
        <v>284945</v>
      </c>
      <c r="AC131" s="7">
        <v>1502439</v>
      </c>
      <c r="AE131" s="7">
        <v>314750</v>
      </c>
      <c r="AG131" s="7">
        <v>5986</v>
      </c>
      <c r="AI131" s="7">
        <v>0</v>
      </c>
      <c r="AK131" s="7">
        <v>12101</v>
      </c>
      <c r="AL131" s="12" t="s">
        <v>259</v>
      </c>
      <c r="AM131" s="12"/>
      <c r="AN131" s="12" t="s">
        <v>19</v>
      </c>
      <c r="AP131" s="7">
        <v>200131</v>
      </c>
      <c r="AR131" s="7">
        <v>0</v>
      </c>
      <c r="AV131" s="7">
        <v>0</v>
      </c>
      <c r="AX131" s="7">
        <v>191216</v>
      </c>
      <c r="AZ131" s="7">
        <v>0</v>
      </c>
      <c r="BB131" s="7">
        <f t="shared" si="34"/>
        <v>15532487</v>
      </c>
      <c r="BD131" s="7">
        <v>139210</v>
      </c>
      <c r="BF131" s="7">
        <v>0</v>
      </c>
      <c r="BH131" s="7">
        <v>0</v>
      </c>
      <c r="BJ131" s="7">
        <v>0</v>
      </c>
      <c r="BL131" s="7">
        <f t="shared" si="36"/>
        <v>15671697</v>
      </c>
      <c r="BN131" s="7">
        <f>+GenRev!AM131-GenExp!BL131</f>
        <v>90967</v>
      </c>
      <c r="BP131" s="7">
        <v>555495</v>
      </c>
      <c r="BR131" s="7">
        <v>0</v>
      </c>
      <c r="BT131" s="7">
        <v>0</v>
      </c>
      <c r="BV131" s="7">
        <f>+BP131+BN131-BR131</f>
        <v>646462</v>
      </c>
      <c r="BX131" s="8">
        <f>+BV131-'Gen Fd BS'!AE131+BT131</f>
        <v>0</v>
      </c>
      <c r="CB131" s="7" t="str">
        <f t="shared" si="23"/>
        <v>Coshocton City SD</v>
      </c>
      <c r="CC131" s="7" t="b">
        <f t="shared" si="20"/>
        <v>1</v>
      </c>
      <c r="CE131" s="12" t="str">
        <f>GenRev!A131</f>
        <v>Coshocton City SD</v>
      </c>
      <c r="CF131" s="7" t="b">
        <f t="shared" si="24"/>
        <v>1</v>
      </c>
      <c r="CG131" s="7" t="str">
        <f t="shared" si="21"/>
        <v>Coshocton</v>
      </c>
      <c r="CH131" s="7" t="b">
        <f t="shared" si="22"/>
        <v>1</v>
      </c>
      <c r="CI131" s="7" t="b">
        <f>C131=GenRev!C131</f>
        <v>1</v>
      </c>
    </row>
    <row r="132" spans="1:87">
      <c r="A132" s="12" t="s">
        <v>629</v>
      </c>
      <c r="B132" s="12"/>
      <c r="C132" s="12" t="s">
        <v>63</v>
      </c>
      <c r="D132" s="12"/>
      <c r="E132" s="12"/>
      <c r="F132" s="10"/>
      <c r="G132" s="7">
        <v>9385642</v>
      </c>
      <c r="I132" s="7">
        <v>2070465</v>
      </c>
      <c r="K132" s="7">
        <v>86867</v>
      </c>
      <c r="M132" s="7">
        <v>0</v>
      </c>
      <c r="O132" s="7">
        <v>652844</v>
      </c>
      <c r="Q132" s="7">
        <v>1051021</v>
      </c>
      <c r="S132" s="7">
        <v>1039772</v>
      </c>
      <c r="U132" s="7">
        <v>116886</v>
      </c>
      <c r="W132" s="7">
        <v>1757284</v>
      </c>
      <c r="Y132" s="7">
        <v>403363</v>
      </c>
      <c r="AA132" s="7">
        <v>45314</v>
      </c>
      <c r="AC132" s="7">
        <v>2299762</v>
      </c>
      <c r="AE132" s="7">
        <v>1066664</v>
      </c>
      <c r="AG132" s="7">
        <v>157505</v>
      </c>
      <c r="AI132" s="7">
        <v>0</v>
      </c>
      <c r="AK132" s="7">
        <v>31122</v>
      </c>
      <c r="AL132" s="12" t="s">
        <v>629</v>
      </c>
      <c r="AM132" s="12"/>
      <c r="AN132" s="12" t="s">
        <v>63</v>
      </c>
      <c r="AP132" s="7">
        <v>323232</v>
      </c>
      <c r="AR132" s="7">
        <v>39112</v>
      </c>
      <c r="AV132" s="7">
        <v>216687</v>
      </c>
      <c r="AX132" s="7">
        <v>191103</v>
      </c>
      <c r="AZ132" s="7">
        <v>0</v>
      </c>
      <c r="BB132" s="7">
        <f t="shared" ref="BB132:BB154" si="37">SUM(G132:AZ132)</f>
        <v>20934645</v>
      </c>
      <c r="BD132" s="7">
        <v>36091</v>
      </c>
      <c r="BF132" s="7">
        <v>0</v>
      </c>
      <c r="BH132" s="7">
        <v>0</v>
      </c>
      <c r="BJ132" s="7">
        <v>0</v>
      </c>
      <c r="BL132" s="7">
        <f t="shared" si="36"/>
        <v>20970736</v>
      </c>
      <c r="BN132" s="7">
        <f>+GenRev!AM132-GenExp!BL132</f>
        <v>-728921</v>
      </c>
      <c r="BP132" s="7">
        <v>-2524180</v>
      </c>
      <c r="BR132" s="7">
        <v>0</v>
      </c>
      <c r="BT132" s="7">
        <v>0</v>
      </c>
      <c r="BV132" s="7">
        <f t="shared" si="35"/>
        <v>-3253101</v>
      </c>
      <c r="BX132" s="8">
        <f>+BV132-'Gen Fd BS'!AE132+BT132</f>
        <v>0</v>
      </c>
      <c r="CB132" s="7" t="str">
        <f t="shared" si="23"/>
        <v>Coventry Local SD</v>
      </c>
      <c r="CC132" s="7" t="b">
        <f t="shared" si="20"/>
        <v>1</v>
      </c>
      <c r="CE132" s="12" t="str">
        <f>GenRev!A132</f>
        <v>Coventry Local SD</v>
      </c>
      <c r="CF132" s="7" t="b">
        <f t="shared" si="24"/>
        <v>1</v>
      </c>
      <c r="CG132" s="7" t="str">
        <f t="shared" si="21"/>
        <v>Summit</v>
      </c>
      <c r="CH132" s="7" t="b">
        <f t="shared" si="22"/>
        <v>1</v>
      </c>
      <c r="CI132" s="7" t="b">
        <f>C132=GenRev!C132</f>
        <v>1</v>
      </c>
    </row>
    <row r="133" spans="1:87">
      <c r="A133" s="12" t="s">
        <v>867</v>
      </c>
      <c r="B133" s="12"/>
      <c r="C133" s="12" t="s">
        <v>48</v>
      </c>
      <c r="D133" s="12"/>
      <c r="E133" s="12">
        <v>45336</v>
      </c>
      <c r="G133" s="7">
        <v>3755351</v>
      </c>
      <c r="I133" s="7">
        <v>764370</v>
      </c>
      <c r="K133" s="7">
        <v>0</v>
      </c>
      <c r="M133" s="7">
        <v>0</v>
      </c>
      <c r="O133" s="7">
        <v>7712</v>
      </c>
      <c r="Q133" s="7">
        <v>351481</v>
      </c>
      <c r="S133" s="7">
        <v>305812</v>
      </c>
      <c r="U133" s="7">
        <v>12180</v>
      </c>
      <c r="W133" s="7">
        <v>693328</v>
      </c>
      <c r="Y133" s="7">
        <v>257740</v>
      </c>
      <c r="AA133" s="7">
        <v>0</v>
      </c>
      <c r="AC133" s="7">
        <v>537417</v>
      </c>
      <c r="AE133" s="7">
        <v>368178</v>
      </c>
      <c r="AG133" s="7">
        <v>82068</v>
      </c>
      <c r="AI133" s="7">
        <v>0</v>
      </c>
      <c r="AK133" s="7">
        <v>41711</v>
      </c>
      <c r="AL133" s="12" t="s">
        <v>867</v>
      </c>
      <c r="AM133" s="12"/>
      <c r="AN133" s="12" t="s">
        <v>48</v>
      </c>
      <c r="AP133" s="7">
        <v>268712</v>
      </c>
      <c r="AR133" s="7">
        <v>1000</v>
      </c>
      <c r="AV133" s="7">
        <v>41972</v>
      </c>
      <c r="AX133" s="7">
        <v>7191</v>
      </c>
      <c r="AZ133" s="7">
        <v>0</v>
      </c>
      <c r="BB133" s="7">
        <f t="shared" si="37"/>
        <v>7496223</v>
      </c>
      <c r="BD133" s="7">
        <v>0</v>
      </c>
      <c r="BF133" s="7">
        <v>0</v>
      </c>
      <c r="BH133" s="7">
        <v>0</v>
      </c>
      <c r="BJ133" s="7">
        <v>0</v>
      </c>
      <c r="BL133" s="7">
        <f t="shared" si="36"/>
        <v>7496223</v>
      </c>
      <c r="BN133" s="7">
        <f>+GenRev!AM133-GenExp!BL133</f>
        <v>-132632</v>
      </c>
      <c r="BP133" s="7">
        <v>1488928</v>
      </c>
      <c r="BR133" s="7">
        <v>0</v>
      </c>
      <c r="BT133" s="7">
        <v>0</v>
      </c>
      <c r="BV133" s="7">
        <f t="shared" si="35"/>
        <v>1356296</v>
      </c>
      <c r="BX133" s="8">
        <f>+BV133-'Gen Fd BS'!AE133+BT133</f>
        <v>0</v>
      </c>
      <c r="CB133" s="7" t="str">
        <f t="shared" si="23"/>
        <v>Covington Exempted Village SD</v>
      </c>
      <c r="CC133" s="7" t="b">
        <f t="shared" si="20"/>
        <v>1</v>
      </c>
      <c r="CE133" s="12" t="str">
        <f>GenRev!A133</f>
        <v>Covington Exempted Village SD</v>
      </c>
      <c r="CF133" s="7" t="b">
        <f t="shared" si="24"/>
        <v>1</v>
      </c>
      <c r="CG133" s="7" t="str">
        <f t="shared" si="21"/>
        <v>Miami</v>
      </c>
      <c r="CH133" s="7" t="b">
        <f t="shared" si="22"/>
        <v>1</v>
      </c>
      <c r="CI133" s="7" t="b">
        <f>C133=GenRev!C133</f>
        <v>1</v>
      </c>
    </row>
    <row r="134" spans="1:87" hidden="1">
      <c r="A134" s="12" t="s">
        <v>982</v>
      </c>
      <c r="B134" s="12"/>
      <c r="C134" s="12" t="s">
        <v>111</v>
      </c>
      <c r="D134" s="12"/>
      <c r="E134" s="12">
        <v>45344</v>
      </c>
      <c r="AL134" s="12" t="s">
        <v>982</v>
      </c>
      <c r="AM134" s="12"/>
      <c r="AN134" s="12" t="s">
        <v>111</v>
      </c>
      <c r="BB134" s="7">
        <f t="shared" si="37"/>
        <v>0</v>
      </c>
      <c r="BF134" s="7">
        <v>0</v>
      </c>
      <c r="BH134" s="7">
        <v>0</v>
      </c>
      <c r="BL134" s="7">
        <f t="shared" si="36"/>
        <v>0</v>
      </c>
      <c r="BN134" s="7">
        <f>+GenRev!AM134-GenExp!BL134</f>
        <v>0</v>
      </c>
      <c r="BT134" s="7">
        <v>0</v>
      </c>
      <c r="BV134" s="7">
        <f t="shared" si="35"/>
        <v>0</v>
      </c>
      <c r="BX134" s="8">
        <f>+BV134-'Gen Fd BS'!AE134+BT134</f>
        <v>0</v>
      </c>
      <c r="CA134" s="7" t="s">
        <v>903</v>
      </c>
      <c r="CB134" s="7" t="str">
        <f t="shared" si="23"/>
        <v>Crestline Exempted Village SD (CASH)</v>
      </c>
      <c r="CC134" s="7" t="b">
        <f t="shared" si="20"/>
        <v>1</v>
      </c>
      <c r="CE134" s="12" t="str">
        <f>GenRev!A134</f>
        <v>Crestline Exempted Village SD (CASH)</v>
      </c>
      <c r="CF134" s="7" t="b">
        <f t="shared" si="24"/>
        <v>1</v>
      </c>
      <c r="CG134" s="7" t="str">
        <f t="shared" si="21"/>
        <v>Crawford</v>
      </c>
      <c r="CH134" s="7" t="b">
        <f t="shared" si="22"/>
        <v>1</v>
      </c>
      <c r="CI134" s="7" t="b">
        <f>C134=GenRev!C134</f>
        <v>1</v>
      </c>
    </row>
    <row r="135" spans="1:87">
      <c r="A135" s="12" t="s">
        <v>253</v>
      </c>
      <c r="B135" s="12"/>
      <c r="C135" s="12" t="s">
        <v>112</v>
      </c>
      <c r="D135" s="12"/>
      <c r="E135" s="12">
        <v>46433</v>
      </c>
      <c r="F135" s="10"/>
      <c r="G135" s="7">
        <v>5062649</v>
      </c>
      <c r="I135" s="7">
        <v>807188</v>
      </c>
      <c r="K135" s="7">
        <v>97038</v>
      </c>
      <c r="M135" s="7">
        <v>0</v>
      </c>
      <c r="O135" s="7">
        <v>56670</v>
      </c>
      <c r="Q135" s="7">
        <v>560131</v>
      </c>
      <c r="S135" s="7">
        <v>274880</v>
      </c>
      <c r="U135" s="7">
        <v>15650</v>
      </c>
      <c r="W135" s="7">
        <v>675765</v>
      </c>
      <c r="Y135" s="7">
        <v>309052</v>
      </c>
      <c r="AA135" s="7">
        <v>0</v>
      </c>
      <c r="AC135" s="7">
        <v>1017260</v>
      </c>
      <c r="AE135" s="7">
        <v>754078</v>
      </c>
      <c r="AG135" s="7">
        <v>18216</v>
      </c>
      <c r="AI135" s="7">
        <v>0</v>
      </c>
      <c r="AK135" s="7">
        <v>0</v>
      </c>
      <c r="AL135" s="12" t="s">
        <v>253</v>
      </c>
      <c r="AM135" s="12"/>
      <c r="AN135" s="12" t="s">
        <v>112</v>
      </c>
      <c r="AP135" s="7">
        <v>257100</v>
      </c>
      <c r="AR135" s="7">
        <v>0</v>
      </c>
      <c r="AV135" s="7">
        <v>0</v>
      </c>
      <c r="AX135" s="7">
        <v>0</v>
      </c>
      <c r="AZ135" s="7">
        <v>0</v>
      </c>
      <c r="BB135" s="7">
        <f t="shared" si="37"/>
        <v>9905677</v>
      </c>
      <c r="BD135" s="7">
        <v>700</v>
      </c>
      <c r="BF135" s="7">
        <v>0</v>
      </c>
      <c r="BH135" s="7">
        <v>0</v>
      </c>
      <c r="BJ135" s="7">
        <v>0</v>
      </c>
      <c r="BL135" s="7">
        <f t="shared" si="36"/>
        <v>9906377</v>
      </c>
      <c r="BN135" s="7">
        <f>+GenRev!AM135-GenExp!BL135</f>
        <v>397652</v>
      </c>
      <c r="BP135" s="7">
        <v>376816</v>
      </c>
      <c r="BR135" s="7">
        <v>-69262</v>
      </c>
      <c r="BT135" s="7">
        <v>0</v>
      </c>
      <c r="BV135" s="7">
        <f t="shared" si="35"/>
        <v>843730</v>
      </c>
      <c r="BX135" s="8">
        <f>+BV135-'Gen Fd BS'!AE135+BT135</f>
        <v>0</v>
      </c>
      <c r="CB135" s="7" t="str">
        <f t="shared" si="23"/>
        <v>Crestview Local SD</v>
      </c>
      <c r="CC135" s="7" t="b">
        <f t="shared" si="20"/>
        <v>1</v>
      </c>
      <c r="CE135" s="12" t="str">
        <f>GenRev!A135</f>
        <v>Crestview Local SD</v>
      </c>
      <c r="CF135" s="7" t="b">
        <f t="shared" si="24"/>
        <v>1</v>
      </c>
      <c r="CG135" s="7" t="str">
        <f t="shared" si="21"/>
        <v>Columbiana</v>
      </c>
      <c r="CH135" s="7" t="b">
        <f t="shared" si="22"/>
        <v>1</v>
      </c>
      <c r="CI135" s="7" t="b">
        <f>C135=GenRev!C135</f>
        <v>1</v>
      </c>
    </row>
    <row r="136" spans="1:87">
      <c r="A136" s="12" t="s">
        <v>253</v>
      </c>
      <c r="B136" s="12"/>
      <c r="C136" s="12" t="s">
        <v>110</v>
      </c>
      <c r="D136" s="12"/>
      <c r="E136" s="12">
        <v>49429</v>
      </c>
      <c r="G136" s="7">
        <v>4803095</v>
      </c>
      <c r="I136" s="7">
        <v>717029</v>
      </c>
      <c r="K136" s="7">
        <v>246923</v>
      </c>
      <c r="M136" s="7">
        <v>0</v>
      </c>
      <c r="O136" s="7">
        <v>0</v>
      </c>
      <c r="Q136" s="7">
        <v>447516</v>
      </c>
      <c r="S136" s="7">
        <v>372186</v>
      </c>
      <c r="U136" s="7">
        <v>79801</v>
      </c>
      <c r="W136" s="7">
        <v>789354</v>
      </c>
      <c r="Y136" s="7">
        <v>238503</v>
      </c>
      <c r="AA136" s="7">
        <v>897</v>
      </c>
      <c r="AC136" s="7">
        <v>572515</v>
      </c>
      <c r="AE136" s="7">
        <v>631199</v>
      </c>
      <c r="AG136" s="7">
        <v>17434</v>
      </c>
      <c r="AI136" s="7">
        <v>0</v>
      </c>
      <c r="AK136" s="7">
        <v>22296</v>
      </c>
      <c r="AL136" s="12" t="s">
        <v>253</v>
      </c>
      <c r="AM136" s="12"/>
      <c r="AN136" s="12" t="s">
        <v>110</v>
      </c>
      <c r="AP136" s="7">
        <v>287822</v>
      </c>
      <c r="AR136" s="7">
        <v>0</v>
      </c>
      <c r="AV136" s="7">
        <v>0</v>
      </c>
      <c r="AX136" s="7">
        <v>0</v>
      </c>
      <c r="AZ136" s="7">
        <v>0</v>
      </c>
      <c r="BB136" s="7">
        <f t="shared" si="37"/>
        <v>9226570</v>
      </c>
      <c r="BD136" s="7">
        <v>13000</v>
      </c>
      <c r="BF136" s="7">
        <v>0</v>
      </c>
      <c r="BH136" s="7">
        <v>0</v>
      </c>
      <c r="BJ136" s="7">
        <v>0</v>
      </c>
      <c r="BL136" s="7">
        <f t="shared" si="36"/>
        <v>9239570</v>
      </c>
      <c r="BN136" s="7">
        <f>+GenRev!AM136-GenExp!BL136</f>
        <v>538270</v>
      </c>
      <c r="BP136" s="7">
        <v>5452098</v>
      </c>
      <c r="BR136" s="7">
        <v>0</v>
      </c>
      <c r="BT136" s="7">
        <v>0</v>
      </c>
      <c r="BV136" s="7">
        <f t="shared" si="35"/>
        <v>5990368</v>
      </c>
      <c r="BX136" s="8">
        <f>+BV136-'Gen Fd BS'!AE136+BT136</f>
        <v>0</v>
      </c>
      <c r="CB136" s="7" t="str">
        <f t="shared" si="23"/>
        <v>Crestview Local SD</v>
      </c>
      <c r="CC136" s="7" t="b">
        <f t="shared" si="20"/>
        <v>1</v>
      </c>
      <c r="CE136" s="12" t="str">
        <f>GenRev!A136</f>
        <v>Crestview Local SD</v>
      </c>
      <c r="CF136" s="7" t="b">
        <f t="shared" si="24"/>
        <v>1</v>
      </c>
      <c r="CG136" s="7" t="str">
        <f t="shared" si="21"/>
        <v>Richland</v>
      </c>
      <c r="CH136" s="7" t="b">
        <f t="shared" si="22"/>
        <v>1</v>
      </c>
      <c r="CI136" s="7" t="b">
        <f>C136=GenRev!C136</f>
        <v>1</v>
      </c>
    </row>
    <row r="137" spans="1:87" hidden="1">
      <c r="A137" s="12" t="s">
        <v>686</v>
      </c>
      <c r="B137" s="12"/>
      <c r="C137" s="12" t="s">
        <v>67</v>
      </c>
      <c r="D137" s="12"/>
      <c r="E137" s="12"/>
      <c r="AL137" s="12" t="s">
        <v>686</v>
      </c>
      <c r="AM137" s="12"/>
      <c r="AN137" s="12" t="s">
        <v>67</v>
      </c>
      <c r="BB137" s="7">
        <f t="shared" si="37"/>
        <v>0</v>
      </c>
      <c r="BF137" s="7">
        <v>0</v>
      </c>
      <c r="BH137" s="7">
        <v>0</v>
      </c>
      <c r="BL137" s="7">
        <f t="shared" si="36"/>
        <v>0</v>
      </c>
      <c r="BN137" s="7">
        <f>+GenRev!AM137-GenExp!BL137</f>
        <v>0</v>
      </c>
      <c r="BT137" s="7">
        <v>0</v>
      </c>
      <c r="BV137" s="7">
        <f t="shared" si="35"/>
        <v>0</v>
      </c>
      <c r="BX137" s="8">
        <f>+BV137-'Gen Fd BS'!AE137+BT137</f>
        <v>0</v>
      </c>
      <c r="CA137" s="7" t="s">
        <v>778</v>
      </c>
      <c r="CB137" s="7" t="str">
        <f t="shared" si="23"/>
        <v>Crestview Local SD (CASH)</v>
      </c>
      <c r="CC137" s="7" t="b">
        <f t="shared" si="20"/>
        <v>1</v>
      </c>
      <c r="CE137" s="12" t="str">
        <f>GenRev!A137</f>
        <v>Crestview Local SD (CASH)</v>
      </c>
      <c r="CF137" s="7" t="b">
        <f t="shared" si="24"/>
        <v>1</v>
      </c>
      <c r="CG137" s="7" t="str">
        <f t="shared" si="21"/>
        <v>Van Wert</v>
      </c>
      <c r="CH137" s="7" t="b">
        <f t="shared" si="22"/>
        <v>1</v>
      </c>
      <c r="CI137" s="7" t="b">
        <f>C137=GenRev!C137</f>
        <v>1</v>
      </c>
    </row>
    <row r="138" spans="1:87">
      <c r="A138" s="12" t="s">
        <v>758</v>
      </c>
      <c r="B138" s="12"/>
      <c r="C138" s="12" t="s">
        <v>56</v>
      </c>
      <c r="D138" s="12"/>
      <c r="E138" s="12">
        <v>49189</v>
      </c>
      <c r="G138" s="7">
        <v>7209237</v>
      </c>
      <c r="I138" s="7">
        <v>1441924</v>
      </c>
      <c r="K138" s="7">
        <v>219914</v>
      </c>
      <c r="M138" s="7">
        <f>214+107147</f>
        <v>107361</v>
      </c>
      <c r="O138" s="7">
        <v>1111672</v>
      </c>
      <c r="Q138" s="7">
        <v>872876</v>
      </c>
      <c r="S138" s="7">
        <v>950352</v>
      </c>
      <c r="U138" s="7">
        <v>19635</v>
      </c>
      <c r="W138" s="7">
        <v>2274922</v>
      </c>
      <c r="Y138" s="7">
        <v>441836</v>
      </c>
      <c r="AA138" s="7">
        <v>43154</v>
      </c>
      <c r="AC138" s="7">
        <v>2143162</v>
      </c>
      <c r="AE138" s="7">
        <v>1520171</v>
      </c>
      <c r="AG138" s="7">
        <v>568673</v>
      </c>
      <c r="AI138" s="7">
        <v>0</v>
      </c>
      <c r="AK138" s="7">
        <v>0</v>
      </c>
      <c r="AL138" s="12" t="s">
        <v>758</v>
      </c>
      <c r="AM138" s="12"/>
      <c r="AN138" s="12" t="s">
        <v>56</v>
      </c>
      <c r="AP138" s="7">
        <v>445862</v>
      </c>
      <c r="AR138" s="7">
        <v>20856</v>
      </c>
      <c r="AV138" s="7">
        <v>0</v>
      </c>
      <c r="AX138" s="7">
        <v>0</v>
      </c>
      <c r="AZ138" s="7">
        <v>0</v>
      </c>
      <c r="BB138" s="7">
        <f t="shared" si="37"/>
        <v>19391607</v>
      </c>
      <c r="BD138" s="7">
        <v>65801</v>
      </c>
      <c r="BF138" s="7">
        <v>0</v>
      </c>
      <c r="BH138" s="7">
        <v>0</v>
      </c>
      <c r="BJ138" s="7">
        <v>0</v>
      </c>
      <c r="BL138" s="7">
        <f t="shared" si="36"/>
        <v>19457408</v>
      </c>
      <c r="BN138" s="7">
        <f>+GenRev!AM138-GenExp!BL138</f>
        <v>-777772</v>
      </c>
      <c r="BP138" s="7">
        <v>3112842</v>
      </c>
      <c r="BR138" s="7">
        <v>0</v>
      </c>
      <c r="BT138" s="7">
        <v>0</v>
      </c>
      <c r="BV138" s="7">
        <f t="shared" si="35"/>
        <v>2335070</v>
      </c>
      <c r="BX138" s="8">
        <f>+BV138-'Gen Fd BS'!AE138+BT138</f>
        <v>0</v>
      </c>
      <c r="CB138" s="7" t="str">
        <f t="shared" si="23"/>
        <v xml:space="preserve">Crestwood Local SD </v>
      </c>
      <c r="CC138" s="7" t="b">
        <f t="shared" si="20"/>
        <v>1</v>
      </c>
      <c r="CE138" s="12" t="str">
        <f>GenRev!A138</f>
        <v xml:space="preserve">Crestwood Local SD </v>
      </c>
      <c r="CF138" s="7" t="b">
        <f t="shared" si="24"/>
        <v>1</v>
      </c>
      <c r="CG138" s="7" t="str">
        <f t="shared" si="21"/>
        <v>Portage</v>
      </c>
      <c r="CH138" s="7" t="b">
        <f t="shared" si="22"/>
        <v>1</v>
      </c>
      <c r="CI138" s="7" t="b">
        <f>C138=GenRev!C138</f>
        <v>1</v>
      </c>
    </row>
    <row r="139" spans="1:87">
      <c r="A139" s="12" t="s">
        <v>868</v>
      </c>
      <c r="B139" s="12"/>
      <c r="C139" s="12" t="s">
        <v>466</v>
      </c>
      <c r="D139" s="12"/>
      <c r="E139" s="12"/>
      <c r="G139" s="7">
        <v>5374618</v>
      </c>
      <c r="I139" s="7">
        <v>0</v>
      </c>
      <c r="K139" s="7">
        <v>0</v>
      </c>
      <c r="M139" s="7">
        <v>0</v>
      </c>
      <c r="O139" s="7">
        <v>0</v>
      </c>
      <c r="Q139" s="7">
        <v>407852</v>
      </c>
      <c r="S139" s="7">
        <v>216860</v>
      </c>
      <c r="U139" s="7">
        <v>37548</v>
      </c>
      <c r="W139" s="7">
        <v>907887</v>
      </c>
      <c r="Y139" s="7">
        <v>268096</v>
      </c>
      <c r="AA139" s="7">
        <v>0</v>
      </c>
      <c r="AC139" s="7">
        <v>1068929</v>
      </c>
      <c r="AE139" s="7">
        <v>800406</v>
      </c>
      <c r="AG139" s="7">
        <v>0</v>
      </c>
      <c r="AI139" s="7">
        <v>0</v>
      </c>
      <c r="AK139" s="7">
        <v>0</v>
      </c>
      <c r="AL139" s="12" t="s">
        <v>868</v>
      </c>
      <c r="AM139" s="12"/>
      <c r="AN139" s="12" t="s">
        <v>466</v>
      </c>
      <c r="AP139" s="7">
        <v>256118</v>
      </c>
      <c r="AR139" s="7">
        <v>0</v>
      </c>
      <c r="AV139" s="7">
        <v>35505</v>
      </c>
      <c r="AX139" s="7">
        <v>17383</v>
      </c>
      <c r="AZ139" s="7">
        <v>0</v>
      </c>
      <c r="BB139" s="7">
        <f t="shared" si="37"/>
        <v>9391202</v>
      </c>
      <c r="BD139" s="7">
        <v>0</v>
      </c>
      <c r="BF139" s="7">
        <v>0</v>
      </c>
      <c r="BH139" s="7">
        <v>0</v>
      </c>
      <c r="BJ139" s="7">
        <v>0</v>
      </c>
      <c r="BL139" s="7">
        <f t="shared" si="36"/>
        <v>9391202</v>
      </c>
      <c r="BN139" s="7">
        <f>+GenRev!AM139-GenExp!BL139</f>
        <v>-591653</v>
      </c>
      <c r="BP139" s="7">
        <v>733017</v>
      </c>
      <c r="BR139" s="7">
        <v>0</v>
      </c>
      <c r="BT139" s="7">
        <v>0</v>
      </c>
      <c r="BV139" s="7">
        <f t="shared" si="35"/>
        <v>141364</v>
      </c>
      <c r="BX139" s="8">
        <f>+BV139-'Gen Fd BS'!AE139+BT139</f>
        <v>0</v>
      </c>
      <c r="CB139" s="7" t="str">
        <f t="shared" si="23"/>
        <v>Crooksville Exempted Village SD</v>
      </c>
      <c r="CC139" s="7" t="b">
        <f t="shared" si="20"/>
        <v>1</v>
      </c>
      <c r="CE139" s="12" t="str">
        <f>GenRev!A139</f>
        <v>Crooksville Exempted Village SD</v>
      </c>
      <c r="CF139" s="7" t="b">
        <f t="shared" si="24"/>
        <v>1</v>
      </c>
      <c r="CG139" s="7" t="str">
        <f t="shared" si="21"/>
        <v>Perry</v>
      </c>
      <c r="CH139" s="7" t="b">
        <f t="shared" si="22"/>
        <v>1</v>
      </c>
      <c r="CI139" s="7" t="b">
        <f>C139=GenRev!C139</f>
        <v>1</v>
      </c>
    </row>
    <row r="140" spans="1:87">
      <c r="A140" s="12" t="s">
        <v>687</v>
      </c>
      <c r="B140" s="12"/>
      <c r="C140" s="12" t="s">
        <v>63</v>
      </c>
      <c r="D140" s="12"/>
      <c r="E140" s="12">
        <v>43836</v>
      </c>
      <c r="G140" s="7">
        <v>20378977</v>
      </c>
      <c r="I140" s="7">
        <v>4374073</v>
      </c>
      <c r="K140" s="7">
        <v>1279444</v>
      </c>
      <c r="M140" s="7">
        <v>0</v>
      </c>
      <c r="O140" s="7">
        <v>5361409</v>
      </c>
      <c r="Q140" s="7">
        <v>2584417</v>
      </c>
      <c r="S140" s="7">
        <v>941591</v>
      </c>
      <c r="U140" s="7">
        <v>69632</v>
      </c>
      <c r="W140" s="7">
        <v>2381808</v>
      </c>
      <c r="Y140" s="7">
        <v>1019473</v>
      </c>
      <c r="AA140" s="7">
        <v>377526</v>
      </c>
      <c r="AC140" s="7">
        <v>4641040</v>
      </c>
      <c r="AE140" s="7">
        <v>1210385</v>
      </c>
      <c r="AG140" s="7">
        <v>302263</v>
      </c>
      <c r="AI140" s="7">
        <v>0</v>
      </c>
      <c r="AK140" s="7">
        <v>177189</v>
      </c>
      <c r="AL140" s="12" t="s">
        <v>687</v>
      </c>
      <c r="AM140" s="12"/>
      <c r="AN140" s="12" t="s">
        <v>63</v>
      </c>
      <c r="AP140" s="7">
        <v>857453</v>
      </c>
      <c r="AR140" s="7">
        <v>34151</v>
      </c>
      <c r="AV140" s="7">
        <v>100945</v>
      </c>
      <c r="AX140" s="7">
        <v>9171</v>
      </c>
      <c r="AZ140" s="7">
        <v>0</v>
      </c>
      <c r="BB140" s="7">
        <f t="shared" si="37"/>
        <v>46100947</v>
      </c>
      <c r="BD140" s="7">
        <v>26364</v>
      </c>
      <c r="BF140" s="7">
        <v>0</v>
      </c>
      <c r="BH140" s="7">
        <v>0</v>
      </c>
      <c r="BJ140" s="7">
        <v>0</v>
      </c>
      <c r="BL140" s="7">
        <f t="shared" si="36"/>
        <v>46127311</v>
      </c>
      <c r="BN140" s="7">
        <f>+GenRev!AM140-GenExp!BL140</f>
        <v>-215889</v>
      </c>
      <c r="BP140" s="7">
        <v>3326815</v>
      </c>
      <c r="BR140" s="7">
        <v>0</v>
      </c>
      <c r="BT140" s="7">
        <v>0</v>
      </c>
      <c r="BV140" s="7">
        <f t="shared" si="35"/>
        <v>3110926</v>
      </c>
      <c r="BX140" s="8">
        <f>+BV140-'Gen Fd BS'!AE140+BT140</f>
        <v>0</v>
      </c>
      <c r="CB140" s="7" t="str">
        <f t="shared" si="23"/>
        <v xml:space="preserve">Cuyahoga Falls City SD </v>
      </c>
      <c r="CC140" s="7" t="b">
        <f t="shared" ref="CC140:CC203" si="38">A140=AL140</f>
        <v>1</v>
      </c>
      <c r="CE140" s="12" t="str">
        <f>GenRev!A140</f>
        <v xml:space="preserve">Cuyahoga Falls City SD </v>
      </c>
      <c r="CF140" s="7" t="b">
        <f t="shared" si="24"/>
        <v>1</v>
      </c>
      <c r="CG140" s="7" t="str">
        <f t="shared" ref="CG140:CG203" si="39">C140</f>
        <v>Summit</v>
      </c>
      <c r="CH140" s="7" t="b">
        <f t="shared" ref="CH140:CH203" si="40">C140=AN140</f>
        <v>1</v>
      </c>
      <c r="CI140" s="7" t="b">
        <f>C140=GenRev!C140</f>
        <v>1</v>
      </c>
    </row>
    <row r="141" spans="1:87">
      <c r="A141" s="12" t="s">
        <v>759</v>
      </c>
      <c r="B141" s="12"/>
      <c r="C141" s="12" t="s">
        <v>20</v>
      </c>
      <c r="D141" s="12"/>
      <c r="E141" s="12">
        <v>46557</v>
      </c>
      <c r="G141" s="7">
        <v>5845504</v>
      </c>
      <c r="I141" s="7">
        <v>1231141</v>
      </c>
      <c r="K141" s="7">
        <v>0</v>
      </c>
      <c r="M141" s="7">
        <v>0</v>
      </c>
      <c r="O141" s="7">
        <v>817</v>
      </c>
      <c r="Q141" s="7">
        <v>788546</v>
      </c>
      <c r="S141" s="7">
        <v>885048</v>
      </c>
      <c r="U141" s="7">
        <v>77984</v>
      </c>
      <c r="W141" s="7">
        <v>1559955</v>
      </c>
      <c r="Y141" s="7">
        <v>629113</v>
      </c>
      <c r="AA141" s="7">
        <v>119150</v>
      </c>
      <c r="AC141" s="7">
        <v>1690320</v>
      </c>
      <c r="AE141" s="7">
        <v>806240</v>
      </c>
      <c r="AG141" s="7">
        <v>677520</v>
      </c>
      <c r="AI141" s="7">
        <v>0</v>
      </c>
      <c r="AK141" s="7">
        <v>58518</v>
      </c>
      <c r="AL141" s="12" t="s">
        <v>759</v>
      </c>
      <c r="AM141" s="12"/>
      <c r="AN141" s="12" t="s">
        <v>20</v>
      </c>
      <c r="AP141" s="7">
        <v>882873</v>
      </c>
      <c r="AR141" s="7">
        <v>30130</v>
      </c>
      <c r="AV141" s="7">
        <v>0</v>
      </c>
      <c r="AX141" s="7">
        <v>0</v>
      </c>
      <c r="AZ141" s="7">
        <v>0</v>
      </c>
      <c r="BB141" s="7">
        <f t="shared" si="37"/>
        <v>15282859</v>
      </c>
      <c r="BD141" s="7">
        <v>251451</v>
      </c>
      <c r="BF141" s="7">
        <v>0</v>
      </c>
      <c r="BH141" s="7">
        <v>0</v>
      </c>
      <c r="BJ141" s="7">
        <v>0</v>
      </c>
      <c r="BL141" s="7">
        <f t="shared" si="36"/>
        <v>15534310</v>
      </c>
      <c r="BN141" s="7">
        <f>+GenRev!AM141-GenExp!BL141</f>
        <v>-2133514</v>
      </c>
      <c r="BP141" s="7">
        <v>3434902</v>
      </c>
      <c r="BR141" s="7">
        <v>0</v>
      </c>
      <c r="BT141" s="7">
        <v>0</v>
      </c>
      <c r="BV141" s="7">
        <f t="shared" si="35"/>
        <v>1301388</v>
      </c>
      <c r="BX141" s="8">
        <f>+BV141-'Gen Fd BS'!AE141+BT141</f>
        <v>0</v>
      </c>
      <c r="CB141" s="7" t="str">
        <f t="shared" ref="CB141:CB204" si="41">A141</f>
        <v xml:space="preserve">Cuyahoga Heights Local SD </v>
      </c>
      <c r="CC141" s="7" t="b">
        <f t="shared" si="38"/>
        <v>1</v>
      </c>
      <c r="CE141" s="12" t="str">
        <f>GenRev!A141</f>
        <v xml:space="preserve">Cuyahoga Heights Local SD </v>
      </c>
      <c r="CF141" s="7" t="b">
        <f t="shared" ref="CF141:CF204" si="42">CB141=CE141</f>
        <v>1</v>
      </c>
      <c r="CG141" s="7" t="str">
        <f t="shared" si="39"/>
        <v>Cuyahoga</v>
      </c>
      <c r="CH141" s="7" t="b">
        <f t="shared" si="40"/>
        <v>1</v>
      </c>
      <c r="CI141" s="7" t="b">
        <f>C141=GenRev!C141</f>
        <v>1</v>
      </c>
    </row>
    <row r="142" spans="1:87">
      <c r="A142" s="12" t="s">
        <v>635</v>
      </c>
      <c r="B142" s="12"/>
      <c r="C142" s="12" t="s">
        <v>71</v>
      </c>
      <c r="D142" s="12"/>
      <c r="E142" s="12"/>
      <c r="G142" s="7">
        <v>3315636</v>
      </c>
      <c r="I142" s="7">
        <v>379843</v>
      </c>
      <c r="K142" s="7">
        <v>225479</v>
      </c>
      <c r="M142" s="7">
        <v>0</v>
      </c>
      <c r="O142" s="7">
        <v>239274</v>
      </c>
      <c r="Q142" s="7">
        <v>386199</v>
      </c>
      <c r="S142" s="7">
        <v>395124</v>
      </c>
      <c r="U142" s="7">
        <v>24585</v>
      </c>
      <c r="W142" s="7">
        <v>520483</v>
      </c>
      <c r="Y142" s="7">
        <v>291229</v>
      </c>
      <c r="AA142" s="7">
        <v>0</v>
      </c>
      <c r="AC142" s="7">
        <v>746935</v>
      </c>
      <c r="AE142" s="7">
        <v>422796</v>
      </c>
      <c r="AG142" s="7">
        <v>36398</v>
      </c>
      <c r="AI142" s="7">
        <v>0</v>
      </c>
      <c r="AK142" s="7">
        <v>0</v>
      </c>
      <c r="AL142" s="12" t="s">
        <v>635</v>
      </c>
      <c r="AM142" s="12"/>
      <c r="AN142" s="12" t="s">
        <v>71</v>
      </c>
      <c r="AP142" s="7">
        <v>262896</v>
      </c>
      <c r="AR142" s="7">
        <v>52380</v>
      </c>
      <c r="AT142" s="7">
        <v>0</v>
      </c>
      <c r="AV142" s="7">
        <v>17133</v>
      </c>
      <c r="AX142" s="7">
        <v>2626</v>
      </c>
      <c r="AZ142" s="7">
        <v>0</v>
      </c>
      <c r="BB142" s="7">
        <f>SUM(G142:AZ142)</f>
        <v>7319016</v>
      </c>
      <c r="BD142" s="7">
        <v>87223</v>
      </c>
      <c r="BF142" s="7">
        <v>0</v>
      </c>
      <c r="BH142" s="7">
        <v>0</v>
      </c>
      <c r="BJ142" s="7">
        <v>0</v>
      </c>
      <c r="BL142" s="7">
        <f>+BB142+BD142+BF142+BJ142</f>
        <v>7406239</v>
      </c>
      <c r="BN142" s="7">
        <f>+GenRev!AM142-GenExp!BL142</f>
        <v>269429</v>
      </c>
      <c r="BP142" s="7">
        <v>88047</v>
      </c>
      <c r="BR142" s="7">
        <v>0</v>
      </c>
      <c r="BT142" s="7">
        <v>0</v>
      </c>
      <c r="BV142" s="7">
        <f t="shared" si="35"/>
        <v>357476</v>
      </c>
      <c r="BX142" s="8">
        <f>+BV142-'Gen Fd BS'!AE142+BT142</f>
        <v>0</v>
      </c>
      <c r="CB142" s="7" t="str">
        <f t="shared" si="41"/>
        <v>Dalton Local SD</v>
      </c>
      <c r="CC142" s="7" t="b">
        <f t="shared" si="38"/>
        <v>1</v>
      </c>
      <c r="CE142" s="12" t="str">
        <f>GenRev!A142</f>
        <v>Dalton Local SD</v>
      </c>
      <c r="CF142" s="7" t="b">
        <f t="shared" si="42"/>
        <v>1</v>
      </c>
      <c r="CG142" s="7" t="str">
        <f t="shared" si="39"/>
        <v>Wayne</v>
      </c>
      <c r="CH142" s="7" t="b">
        <f t="shared" si="40"/>
        <v>1</v>
      </c>
      <c r="CI142" s="7" t="b">
        <f>C142=GenRev!C142</f>
        <v>1</v>
      </c>
    </row>
    <row r="143" spans="1:87" hidden="1">
      <c r="A143" s="12" t="s">
        <v>838</v>
      </c>
      <c r="B143" s="12"/>
      <c r="C143" s="12" t="s">
        <v>53</v>
      </c>
      <c r="D143" s="12"/>
      <c r="E143" s="12">
        <v>48934</v>
      </c>
      <c r="AL143" s="12" t="s">
        <v>838</v>
      </c>
      <c r="AM143" s="12"/>
      <c r="AN143" s="12" t="s">
        <v>53</v>
      </c>
      <c r="BB143" s="7">
        <f t="shared" si="37"/>
        <v>0</v>
      </c>
      <c r="BD143" s="7">
        <v>0</v>
      </c>
      <c r="BL143" s="7">
        <f>+BB143+BD143+BF143+BJ143</f>
        <v>0</v>
      </c>
      <c r="BN143" s="7">
        <f>+GenRev!AM143-GenExp!BL143</f>
        <v>0</v>
      </c>
      <c r="BP143" s="7">
        <v>0</v>
      </c>
      <c r="BT143" s="7">
        <v>0</v>
      </c>
      <c r="BV143" s="7">
        <f t="shared" si="35"/>
        <v>0</v>
      </c>
      <c r="BX143" s="8">
        <f>+BV143-'Gen Fd BS'!AE143+BT143</f>
        <v>0</v>
      </c>
      <c r="CA143" s="7" t="s">
        <v>837</v>
      </c>
      <c r="CB143" s="7" t="str">
        <f t="shared" si="41"/>
        <v>Danbury Local SD (CASH)</v>
      </c>
      <c r="CC143" s="7" t="b">
        <f t="shared" si="38"/>
        <v>1</v>
      </c>
      <c r="CE143" s="12" t="str">
        <f>GenRev!A143</f>
        <v>Danbury Local SD (CASH)</v>
      </c>
      <c r="CF143" s="7" t="b">
        <f t="shared" si="42"/>
        <v>1</v>
      </c>
      <c r="CG143" s="7" t="str">
        <f t="shared" si="39"/>
        <v>Ottawa</v>
      </c>
      <c r="CH143" s="7" t="b">
        <f t="shared" si="40"/>
        <v>1</v>
      </c>
      <c r="CI143" s="7" t="b">
        <f>C143=GenRev!C143</f>
        <v>1</v>
      </c>
    </row>
    <row r="144" spans="1:87" hidden="1">
      <c r="A144" s="12" t="s">
        <v>688</v>
      </c>
      <c r="B144" s="12"/>
      <c r="C144" s="12" t="s">
        <v>40</v>
      </c>
      <c r="D144" s="12"/>
      <c r="E144" s="12">
        <v>47837</v>
      </c>
      <c r="AL144" s="12" t="s">
        <v>688</v>
      </c>
      <c r="AM144" s="12"/>
      <c r="AN144" s="12" t="s">
        <v>40</v>
      </c>
      <c r="BB144" s="7">
        <f t="shared" si="37"/>
        <v>0</v>
      </c>
      <c r="BL144" s="7">
        <f t="shared" si="36"/>
        <v>0</v>
      </c>
      <c r="BN144" s="7">
        <f>+GenRev!AM144-GenExp!BL144</f>
        <v>0</v>
      </c>
      <c r="BT144" s="7">
        <v>0</v>
      </c>
      <c r="BV144" s="7">
        <f t="shared" si="35"/>
        <v>0</v>
      </c>
      <c r="BX144" s="8">
        <f>+BV144-'Gen Fd BS'!AE144+BT144</f>
        <v>0</v>
      </c>
      <c r="CA144" s="7" t="s">
        <v>839</v>
      </c>
      <c r="CB144" s="7" t="str">
        <f t="shared" si="41"/>
        <v>Danville Local SD (CASH)</v>
      </c>
      <c r="CC144" s="7" t="b">
        <f t="shared" si="38"/>
        <v>1</v>
      </c>
      <c r="CE144" s="12" t="str">
        <f>GenRev!A144</f>
        <v>Danville Local SD (CASH)</v>
      </c>
      <c r="CF144" s="7" t="b">
        <f t="shared" si="42"/>
        <v>1</v>
      </c>
      <c r="CG144" s="7" t="str">
        <f t="shared" si="39"/>
        <v>Knox</v>
      </c>
      <c r="CH144" s="7" t="b">
        <f t="shared" si="40"/>
        <v>1</v>
      </c>
      <c r="CI144" s="7" t="b">
        <f>C144=GenRev!C144</f>
        <v>1</v>
      </c>
    </row>
    <row r="145" spans="1:87">
      <c r="A145" s="12" t="s">
        <v>378</v>
      </c>
      <c r="B145" s="12"/>
      <c r="C145" s="12" t="s">
        <v>377</v>
      </c>
      <c r="D145" s="12"/>
      <c r="E145" s="12">
        <v>47928</v>
      </c>
      <c r="G145" s="7">
        <v>5771412</v>
      </c>
      <c r="I145" s="7">
        <v>286559</v>
      </c>
      <c r="K145" s="7">
        <v>176731</v>
      </c>
      <c r="M145" s="7">
        <v>0</v>
      </c>
      <c r="O145" s="7">
        <v>0</v>
      </c>
      <c r="Q145" s="7">
        <v>490786</v>
      </c>
      <c r="S145" s="7">
        <v>268962</v>
      </c>
      <c r="U145" s="7">
        <v>36935</v>
      </c>
      <c r="W145" s="7">
        <v>788364</v>
      </c>
      <c r="Y145" s="7">
        <v>341579</v>
      </c>
      <c r="AA145" s="7">
        <v>80325</v>
      </c>
      <c r="AC145" s="7">
        <v>1239426</v>
      </c>
      <c r="AE145" s="7">
        <v>621368</v>
      </c>
      <c r="AG145" s="7">
        <v>175570</v>
      </c>
      <c r="AI145" s="7">
        <v>0</v>
      </c>
      <c r="AK145" s="7">
        <v>13442</v>
      </c>
      <c r="AL145" s="12" t="s">
        <v>378</v>
      </c>
      <c r="AM145" s="12"/>
      <c r="AN145" s="12" t="s">
        <v>377</v>
      </c>
      <c r="AP145" s="7">
        <v>292976</v>
      </c>
      <c r="AR145" s="7">
        <v>0</v>
      </c>
      <c r="AT145" s="7">
        <v>0</v>
      </c>
      <c r="AV145" s="7">
        <v>0</v>
      </c>
      <c r="AX145" s="7">
        <v>0</v>
      </c>
      <c r="AZ145" s="7">
        <v>0</v>
      </c>
      <c r="BB145" s="7">
        <f t="shared" si="37"/>
        <v>10584435</v>
      </c>
      <c r="BD145" s="7">
        <v>279127</v>
      </c>
      <c r="BF145" s="7">
        <v>0</v>
      </c>
      <c r="BH145" s="7">
        <v>0</v>
      </c>
      <c r="BJ145" s="7">
        <v>0</v>
      </c>
      <c r="BL145" s="7">
        <f t="shared" si="36"/>
        <v>10863562</v>
      </c>
      <c r="BN145" s="7">
        <f>+GenRev!AM145-GenExp!BL145</f>
        <v>-363307</v>
      </c>
      <c r="BP145" s="7">
        <v>3271707</v>
      </c>
      <c r="BR145" s="7">
        <v>0</v>
      </c>
      <c r="BT145" s="7">
        <v>0</v>
      </c>
      <c r="BV145" s="7">
        <f t="shared" si="35"/>
        <v>2908400</v>
      </c>
      <c r="BX145" s="8">
        <f>+BV145-'Gen Fd BS'!AE145+BT145</f>
        <v>0</v>
      </c>
      <c r="CB145" s="7" t="str">
        <f t="shared" si="41"/>
        <v>Dawson-Bryant Local SD</v>
      </c>
      <c r="CC145" s="7" t="b">
        <f t="shared" si="38"/>
        <v>1</v>
      </c>
      <c r="CE145" s="12" t="str">
        <f>GenRev!A145</f>
        <v>Dawson-Bryant Local SD</v>
      </c>
      <c r="CF145" s="7" t="b">
        <f t="shared" si="42"/>
        <v>1</v>
      </c>
      <c r="CG145" s="7" t="str">
        <f t="shared" si="39"/>
        <v>Lawrence</v>
      </c>
      <c r="CH145" s="7" t="b">
        <f t="shared" si="40"/>
        <v>1</v>
      </c>
      <c r="CI145" s="7" t="b">
        <f>C145=GenRev!C145</f>
        <v>1</v>
      </c>
    </row>
    <row r="146" spans="1:87">
      <c r="A146" s="12" t="s">
        <v>442</v>
      </c>
      <c r="B146" s="12"/>
      <c r="C146" s="12" t="s">
        <v>50</v>
      </c>
      <c r="D146" s="12"/>
      <c r="E146" s="12">
        <v>43844</v>
      </c>
      <c r="G146" s="7">
        <v>59196208</v>
      </c>
      <c r="I146" s="7">
        <v>20153570</v>
      </c>
      <c r="K146" s="7">
        <v>2075750</v>
      </c>
      <c r="M146" s="7">
        <v>18154</v>
      </c>
      <c r="O146" s="7">
        <f>168547+627334</f>
        <v>795881</v>
      </c>
      <c r="Q146" s="7">
        <v>6329900</v>
      </c>
      <c r="S146" s="7">
        <v>6029698</v>
      </c>
      <c r="U146" s="7">
        <v>732653</v>
      </c>
      <c r="W146" s="7">
        <v>10454477</v>
      </c>
      <c r="Y146" s="7">
        <v>2865507</v>
      </c>
      <c r="AA146" s="7">
        <v>1515999</v>
      </c>
      <c r="AC146" s="7">
        <v>19637277</v>
      </c>
      <c r="AE146" s="7">
        <v>16118241</v>
      </c>
      <c r="AG146" s="7">
        <v>5887044</v>
      </c>
      <c r="AI146" s="7">
        <v>0</v>
      </c>
      <c r="AK146" s="7">
        <v>57007524</v>
      </c>
      <c r="AL146" s="12" t="s">
        <v>442</v>
      </c>
      <c r="AM146" s="12"/>
      <c r="AN146" s="12" t="s">
        <v>50</v>
      </c>
      <c r="AP146" s="7">
        <v>1061861</v>
      </c>
      <c r="AR146" s="7">
        <v>0</v>
      </c>
      <c r="AT146" s="7">
        <v>0</v>
      </c>
      <c r="AV146" s="7">
        <v>942900</v>
      </c>
      <c r="AX146" s="7">
        <v>891007</v>
      </c>
      <c r="AZ146" s="7">
        <v>0</v>
      </c>
      <c r="BB146" s="7">
        <f t="shared" si="37"/>
        <v>211713651</v>
      </c>
      <c r="BD146" s="7">
        <v>2494518</v>
      </c>
      <c r="BF146" s="7">
        <v>0</v>
      </c>
      <c r="BH146" s="7">
        <v>0</v>
      </c>
      <c r="BJ146" s="7">
        <v>0</v>
      </c>
      <c r="BL146" s="7">
        <f t="shared" si="36"/>
        <v>214208169</v>
      </c>
      <c r="BN146" s="7">
        <f>+GenRev!AM146-GenExp!BL146</f>
        <v>4269429</v>
      </c>
      <c r="BP146" s="7">
        <v>5740170</v>
      </c>
      <c r="BR146" s="7">
        <v>0</v>
      </c>
      <c r="BT146" s="7">
        <v>0</v>
      </c>
      <c r="BV146" s="7">
        <f t="shared" si="35"/>
        <v>10009599</v>
      </c>
      <c r="BX146" s="8">
        <f>+BV146-'Gen Fd BS'!AE146+BT146</f>
        <v>0</v>
      </c>
      <c r="CA146" s="7" t="s">
        <v>843</v>
      </c>
      <c r="CB146" s="7" t="str">
        <f t="shared" si="41"/>
        <v>Dayton City SD</v>
      </c>
      <c r="CC146" s="7" t="b">
        <f t="shared" si="38"/>
        <v>1</v>
      </c>
      <c r="CE146" s="12" t="str">
        <f>GenRev!A146</f>
        <v>Dayton City SD</v>
      </c>
      <c r="CF146" s="7" t="b">
        <f t="shared" si="42"/>
        <v>1</v>
      </c>
      <c r="CG146" s="7" t="str">
        <f t="shared" si="39"/>
        <v>Montgomery</v>
      </c>
      <c r="CH146" s="7" t="b">
        <f t="shared" si="40"/>
        <v>1</v>
      </c>
      <c r="CI146" s="7" t="b">
        <f>C146=GenRev!C146</f>
        <v>1</v>
      </c>
    </row>
    <row r="147" spans="1:87">
      <c r="A147" s="12" t="s">
        <v>689</v>
      </c>
      <c r="B147" s="12"/>
      <c r="C147" s="12" t="s">
        <v>32</v>
      </c>
      <c r="D147" s="12"/>
      <c r="E147" s="12">
        <v>43851</v>
      </c>
      <c r="G147" s="7">
        <v>6518427</v>
      </c>
      <c r="I147" s="7">
        <v>1621812</v>
      </c>
      <c r="K147" s="7">
        <v>191044</v>
      </c>
      <c r="M147" s="7">
        <v>0</v>
      </c>
      <c r="O147" s="7">
        <v>0</v>
      </c>
      <c r="Q147" s="7">
        <v>902783</v>
      </c>
      <c r="S147" s="7">
        <v>274449</v>
      </c>
      <c r="U147" s="7">
        <v>84588</v>
      </c>
      <c r="W147" s="7">
        <v>1207156</v>
      </c>
      <c r="Y147" s="7">
        <v>528289</v>
      </c>
      <c r="AA147" s="7">
        <v>143773</v>
      </c>
      <c r="AC147" s="7">
        <v>1198304</v>
      </c>
      <c r="AE147" s="7">
        <v>301782</v>
      </c>
      <c r="AG147" s="7">
        <v>131810</v>
      </c>
      <c r="AI147" s="7">
        <v>0</v>
      </c>
      <c r="AK147" s="7">
        <v>44286</v>
      </c>
      <c r="AL147" s="12" t="s">
        <v>689</v>
      </c>
      <c r="AM147" s="12"/>
      <c r="AN147" s="12" t="s">
        <v>32</v>
      </c>
      <c r="AP147" s="7">
        <v>386072</v>
      </c>
      <c r="AR147" s="7">
        <v>0</v>
      </c>
      <c r="AT147" s="7">
        <v>0</v>
      </c>
      <c r="AV147" s="7">
        <v>126828</v>
      </c>
      <c r="AX147" s="7">
        <v>21384</v>
      </c>
      <c r="AZ147" s="7">
        <v>0</v>
      </c>
      <c r="BB147" s="7">
        <f t="shared" si="37"/>
        <v>13682787</v>
      </c>
      <c r="BD147" s="7">
        <v>69978</v>
      </c>
      <c r="BF147" s="7">
        <v>0</v>
      </c>
      <c r="BH147" s="7">
        <v>0</v>
      </c>
      <c r="BJ147" s="7">
        <v>0</v>
      </c>
      <c r="BL147" s="7">
        <f t="shared" si="36"/>
        <v>13752765</v>
      </c>
      <c r="BN147" s="7">
        <f>+GenRev!AM147-GenExp!BL147</f>
        <v>370342</v>
      </c>
      <c r="BP147" s="7">
        <v>6902905</v>
      </c>
      <c r="BR147" s="7">
        <v>0</v>
      </c>
      <c r="BT147" s="7">
        <v>0</v>
      </c>
      <c r="BV147" s="7">
        <f t="shared" si="35"/>
        <v>7273247</v>
      </c>
      <c r="BX147" s="8">
        <f>+BV147-'Gen Fd BS'!AE147+BT147</f>
        <v>0</v>
      </c>
      <c r="CB147" s="7" t="str">
        <f t="shared" si="41"/>
        <v>Deer Park City SD</v>
      </c>
      <c r="CC147" s="7" t="b">
        <f t="shared" si="38"/>
        <v>1</v>
      </c>
      <c r="CE147" s="12" t="str">
        <f>GenRev!A147</f>
        <v>Deer Park City SD</v>
      </c>
      <c r="CF147" s="7" t="b">
        <f t="shared" si="42"/>
        <v>1</v>
      </c>
      <c r="CG147" s="7" t="str">
        <f t="shared" si="39"/>
        <v>Hamilton</v>
      </c>
      <c r="CH147" s="7" t="b">
        <f t="shared" si="40"/>
        <v>1</v>
      </c>
      <c r="CI147" s="7" t="b">
        <f>C147=GenRev!C147</f>
        <v>1</v>
      </c>
    </row>
    <row r="148" spans="1:87" hidden="1">
      <c r="A148" s="12" t="s">
        <v>690</v>
      </c>
      <c r="B148" s="12"/>
      <c r="C148" s="12" t="s">
        <v>22</v>
      </c>
      <c r="D148" s="12"/>
      <c r="E148" s="12">
        <v>43869</v>
      </c>
      <c r="AL148" s="12" t="s">
        <v>690</v>
      </c>
      <c r="AM148" s="12"/>
      <c r="AN148" s="12" t="s">
        <v>22</v>
      </c>
      <c r="BB148" s="7">
        <f t="shared" si="37"/>
        <v>0</v>
      </c>
      <c r="BL148" s="7">
        <f t="shared" si="36"/>
        <v>0</v>
      </c>
      <c r="BN148" s="7">
        <f>+GenRev!AM148-GenExp!BL148</f>
        <v>0</v>
      </c>
      <c r="BT148" s="7">
        <v>0</v>
      </c>
      <c r="BV148" s="7">
        <f t="shared" si="35"/>
        <v>0</v>
      </c>
      <c r="BX148" s="8">
        <f>+BV148-'Gen Fd BS'!AE148+BT148</f>
        <v>0</v>
      </c>
      <c r="CA148" s="7" t="s">
        <v>839</v>
      </c>
      <c r="CB148" s="7" t="str">
        <f t="shared" si="41"/>
        <v>Defiance City SD (CASH)</v>
      </c>
      <c r="CC148" s="7" t="b">
        <f t="shared" si="38"/>
        <v>1</v>
      </c>
      <c r="CE148" s="12" t="str">
        <f>GenRev!A148</f>
        <v>Defiance City SD (CASH)</v>
      </c>
      <c r="CF148" s="7" t="b">
        <f t="shared" si="42"/>
        <v>1</v>
      </c>
      <c r="CG148" s="7" t="str">
        <f t="shared" si="39"/>
        <v>Defiance</v>
      </c>
      <c r="CH148" s="7" t="b">
        <f t="shared" si="40"/>
        <v>1</v>
      </c>
      <c r="CI148" s="7" t="b">
        <f>C148=GenRev!C148</f>
        <v>1</v>
      </c>
    </row>
    <row r="149" spans="1:87">
      <c r="A149" s="12" t="s">
        <v>840</v>
      </c>
      <c r="B149" s="12"/>
      <c r="C149" s="12" t="s">
        <v>23</v>
      </c>
      <c r="D149" s="12"/>
      <c r="E149" s="12"/>
      <c r="G149" s="7">
        <v>20397166</v>
      </c>
      <c r="I149" s="7">
        <v>4209782</v>
      </c>
      <c r="K149" s="7">
        <v>310320</v>
      </c>
      <c r="M149" s="7">
        <v>0</v>
      </c>
      <c r="O149" s="7">
        <f>108645+1957169</f>
        <v>2065814</v>
      </c>
      <c r="Q149" s="7">
        <v>2343126</v>
      </c>
      <c r="S149" s="7">
        <v>2518255</v>
      </c>
      <c r="U149" s="7">
        <v>163664</v>
      </c>
      <c r="W149" s="7">
        <v>2765117</v>
      </c>
      <c r="Y149" s="7">
        <v>979694</v>
      </c>
      <c r="AA149" s="7">
        <v>313856</v>
      </c>
      <c r="AC149" s="7">
        <v>4438969</v>
      </c>
      <c r="AE149" s="7">
        <v>2754139</v>
      </c>
      <c r="AG149" s="7">
        <v>143832</v>
      </c>
      <c r="AI149" s="7">
        <v>0</v>
      </c>
      <c r="AK149" s="7">
        <v>3476</v>
      </c>
      <c r="AL149" s="12" t="s">
        <v>840</v>
      </c>
      <c r="AM149" s="12"/>
      <c r="AN149" s="12" t="s">
        <v>23</v>
      </c>
      <c r="AP149" s="7">
        <v>809683</v>
      </c>
      <c r="AR149" s="7">
        <v>0</v>
      </c>
      <c r="AT149" s="7">
        <v>0</v>
      </c>
      <c r="AV149" s="7">
        <v>0</v>
      </c>
      <c r="AX149" s="7">
        <v>0</v>
      </c>
      <c r="AZ149" s="7">
        <v>0</v>
      </c>
      <c r="BB149" s="7">
        <f t="shared" si="37"/>
        <v>44216893</v>
      </c>
      <c r="BD149" s="7">
        <v>20000</v>
      </c>
      <c r="BF149" s="7">
        <v>0</v>
      </c>
      <c r="BH149" s="7">
        <v>0</v>
      </c>
      <c r="BJ149" s="7">
        <v>0</v>
      </c>
      <c r="BL149" s="7">
        <f t="shared" ref="BL149:BL154" si="43">+BB149+BD149+BF149+BJ149</f>
        <v>44236893</v>
      </c>
      <c r="BN149" s="7">
        <f>+GenRev!AM149-GenExp!BL149</f>
        <v>-1940598</v>
      </c>
      <c r="BP149" s="7">
        <v>4357887</v>
      </c>
      <c r="BR149" s="7">
        <v>0</v>
      </c>
      <c r="BT149" s="7">
        <v>0</v>
      </c>
      <c r="BV149" s="7">
        <f t="shared" si="35"/>
        <v>2417289</v>
      </c>
      <c r="BX149" s="8">
        <f>+BV149-'Gen Fd BS'!AE149+BT149</f>
        <v>0</v>
      </c>
      <c r="CB149" s="7" t="str">
        <f t="shared" si="41"/>
        <v>Delaware City SD</v>
      </c>
      <c r="CC149" s="7" t="b">
        <f t="shared" si="38"/>
        <v>1</v>
      </c>
      <c r="CE149" s="12" t="str">
        <f>GenRev!A149</f>
        <v>Delaware City SD</v>
      </c>
      <c r="CF149" s="7" t="b">
        <f t="shared" si="42"/>
        <v>1</v>
      </c>
      <c r="CG149" s="7" t="str">
        <f t="shared" si="39"/>
        <v>Delaware</v>
      </c>
      <c r="CH149" s="7" t="b">
        <f t="shared" si="40"/>
        <v>1</v>
      </c>
      <c r="CI149" s="7" t="b">
        <f>C149=GenRev!C149</f>
        <v>1</v>
      </c>
    </row>
    <row r="150" spans="1:87">
      <c r="A150" s="12" t="s">
        <v>202</v>
      </c>
      <c r="B150" s="12"/>
      <c r="C150" s="12" t="s">
        <v>10</v>
      </c>
      <c r="D150" s="12"/>
      <c r="E150" s="12">
        <v>43885</v>
      </c>
      <c r="F150" s="10"/>
      <c r="G150" s="7">
        <v>4266883</v>
      </c>
      <c r="I150" s="7">
        <v>602949</v>
      </c>
      <c r="K150" s="7">
        <v>567172</v>
      </c>
      <c r="M150" s="7">
        <v>0</v>
      </c>
      <c r="O150" s="7">
        <v>0</v>
      </c>
      <c r="Q150" s="7">
        <v>487887</v>
      </c>
      <c r="S150" s="7">
        <v>480482</v>
      </c>
      <c r="U150" s="7">
        <v>30682</v>
      </c>
      <c r="W150" s="7">
        <v>650354</v>
      </c>
      <c r="Y150" s="7">
        <v>338546</v>
      </c>
      <c r="AA150" s="7">
        <v>0</v>
      </c>
      <c r="AC150" s="7">
        <v>594893</v>
      </c>
      <c r="AE150" s="7">
        <v>481727</v>
      </c>
      <c r="AG150" s="7">
        <v>100</v>
      </c>
      <c r="AI150" s="7">
        <v>0</v>
      </c>
      <c r="AK150" s="7">
        <v>0</v>
      </c>
      <c r="AL150" s="12" t="s">
        <v>202</v>
      </c>
      <c r="AM150" s="12"/>
      <c r="AN150" s="12" t="s">
        <v>10</v>
      </c>
      <c r="AP150" s="7">
        <v>209086</v>
      </c>
      <c r="AR150" s="7">
        <v>0</v>
      </c>
      <c r="AT150" s="7">
        <v>0</v>
      </c>
      <c r="AV150" s="7">
        <v>0</v>
      </c>
      <c r="AX150" s="7">
        <v>0</v>
      </c>
      <c r="AZ150" s="7">
        <v>0</v>
      </c>
      <c r="BB150" s="7">
        <f t="shared" si="37"/>
        <v>8710761</v>
      </c>
      <c r="BD150" s="7">
        <v>0</v>
      </c>
      <c r="BF150" s="7">
        <v>0</v>
      </c>
      <c r="BH150" s="7">
        <v>0</v>
      </c>
      <c r="BJ150" s="7">
        <v>0</v>
      </c>
      <c r="BL150" s="7">
        <f t="shared" si="43"/>
        <v>8710761</v>
      </c>
      <c r="BN150" s="7">
        <f>+GenRev!AM150-GenExp!BL150</f>
        <v>-172128</v>
      </c>
      <c r="BP150" s="7">
        <v>-205278</v>
      </c>
      <c r="BR150" s="7">
        <v>0</v>
      </c>
      <c r="BT150" s="7">
        <v>0</v>
      </c>
      <c r="BV150" s="7">
        <f t="shared" si="35"/>
        <v>-377406</v>
      </c>
      <c r="BX150" s="8">
        <f>+BV150-'Gen Fd BS'!AE150+BT150</f>
        <v>0</v>
      </c>
      <c r="CB150" s="7" t="str">
        <f t="shared" si="41"/>
        <v>Delphos City SD</v>
      </c>
      <c r="CC150" s="7" t="b">
        <f t="shared" si="38"/>
        <v>1</v>
      </c>
      <c r="CE150" s="12" t="str">
        <f>GenRev!A150</f>
        <v>Delphos City SD</v>
      </c>
      <c r="CF150" s="7" t="b">
        <f t="shared" si="42"/>
        <v>1</v>
      </c>
      <c r="CG150" s="7" t="str">
        <f t="shared" si="39"/>
        <v>Allen</v>
      </c>
      <c r="CH150" s="7" t="b">
        <f t="shared" si="40"/>
        <v>1</v>
      </c>
      <c r="CI150" s="7" t="b">
        <f>C150=GenRev!C150</f>
        <v>1</v>
      </c>
    </row>
    <row r="151" spans="1:87">
      <c r="A151" s="12" t="s">
        <v>550</v>
      </c>
      <c r="B151" s="12"/>
      <c r="C151" s="12" t="s">
        <v>65</v>
      </c>
      <c r="D151" s="12"/>
      <c r="E151" s="12">
        <v>43893</v>
      </c>
      <c r="G151" s="7">
        <v>9807627</v>
      </c>
      <c r="I151" s="7">
        <v>1686897</v>
      </c>
      <c r="K151" s="7">
        <v>23266</v>
      </c>
      <c r="M151" s="7">
        <v>0</v>
      </c>
      <c r="O151" s="7">
        <f>59294+189211</f>
        <v>248505</v>
      </c>
      <c r="Q151" s="7">
        <v>1151548</v>
      </c>
      <c r="S151" s="7">
        <v>853551</v>
      </c>
      <c r="U151" s="7">
        <v>61439</v>
      </c>
      <c r="W151" s="7">
        <v>1758130</v>
      </c>
      <c r="Y151" s="7">
        <v>668510</v>
      </c>
      <c r="AA151" s="7">
        <v>0</v>
      </c>
      <c r="AC151" s="7">
        <v>1907663</v>
      </c>
      <c r="AE151" s="7">
        <v>836664</v>
      </c>
      <c r="AG151" s="7">
        <v>0</v>
      </c>
      <c r="AI151" s="7">
        <v>0</v>
      </c>
      <c r="AK151" s="7">
        <v>0</v>
      </c>
      <c r="AL151" s="12" t="s">
        <v>550</v>
      </c>
      <c r="AM151" s="12"/>
      <c r="AN151" s="12" t="s">
        <v>65</v>
      </c>
      <c r="AP151" s="7">
        <v>624965</v>
      </c>
      <c r="AR151" s="7">
        <v>0</v>
      </c>
      <c r="AT151" s="7">
        <v>0</v>
      </c>
      <c r="AV151" s="7">
        <v>42087</v>
      </c>
      <c r="AX151" s="7">
        <v>5375</v>
      </c>
      <c r="AZ151" s="7">
        <v>0</v>
      </c>
      <c r="BB151" s="7">
        <f t="shared" si="37"/>
        <v>19676227</v>
      </c>
      <c r="BD151" s="7">
        <v>0</v>
      </c>
      <c r="BF151" s="7">
        <v>0</v>
      </c>
      <c r="BH151" s="7">
        <v>0</v>
      </c>
      <c r="BJ151" s="7">
        <v>0</v>
      </c>
      <c r="BL151" s="7">
        <f t="shared" si="43"/>
        <v>19676227</v>
      </c>
      <c r="BN151" s="7">
        <f>+GenRev!AM151-GenExp!BL151</f>
        <v>1373498</v>
      </c>
      <c r="BP151" s="7">
        <v>5501095</v>
      </c>
      <c r="BR151" s="7">
        <v>0</v>
      </c>
      <c r="BT151" s="7">
        <v>0</v>
      </c>
      <c r="BV151" s="7">
        <f t="shared" ref="BV151:BV197" si="44">+BP151+BN151-BR151</f>
        <v>6874593</v>
      </c>
      <c r="BX151" s="8">
        <f>+BV151-'Gen Fd BS'!AE151+BT151</f>
        <v>0</v>
      </c>
      <c r="CB151" s="7" t="str">
        <f t="shared" si="41"/>
        <v>Dover City SD</v>
      </c>
      <c r="CC151" s="7" t="b">
        <f t="shared" si="38"/>
        <v>1</v>
      </c>
      <c r="CE151" s="12" t="str">
        <f>GenRev!A151</f>
        <v>Dover City SD</v>
      </c>
      <c r="CF151" s="7" t="b">
        <f t="shared" si="42"/>
        <v>1</v>
      </c>
      <c r="CG151" s="7" t="str">
        <f t="shared" si="39"/>
        <v>Tuscarawas</v>
      </c>
      <c r="CH151" s="7" t="b">
        <f t="shared" si="40"/>
        <v>1</v>
      </c>
      <c r="CI151" s="7" t="b">
        <f>C151=GenRev!C151</f>
        <v>1</v>
      </c>
    </row>
    <row r="152" spans="1:87">
      <c r="A152" s="12" t="s">
        <v>308</v>
      </c>
      <c r="B152" s="12"/>
      <c r="C152" s="12" t="s">
        <v>27</v>
      </c>
      <c r="D152" s="12"/>
      <c r="E152" s="12">
        <v>47027</v>
      </c>
      <c r="G152" s="7">
        <v>78653474</v>
      </c>
      <c r="I152" s="7">
        <v>19031600</v>
      </c>
      <c r="K152" s="7">
        <v>128608</v>
      </c>
      <c r="M152" s="7">
        <v>0</v>
      </c>
      <c r="O152" s="7">
        <v>0</v>
      </c>
      <c r="Q152" s="7">
        <v>9499238</v>
      </c>
      <c r="S152" s="7">
        <v>13443452</v>
      </c>
      <c r="U152" s="7">
        <v>170418</v>
      </c>
      <c r="W152" s="7">
        <v>11003843</v>
      </c>
      <c r="Y152" s="7">
        <v>3162361</v>
      </c>
      <c r="AA152" s="7">
        <v>725860</v>
      </c>
      <c r="AC152" s="7">
        <v>12631080</v>
      </c>
      <c r="AE152" s="7">
        <v>7805881</v>
      </c>
      <c r="AG152" s="7">
        <v>487973</v>
      </c>
      <c r="AI152" s="7">
        <v>0</v>
      </c>
      <c r="AK152" s="7">
        <v>31934</v>
      </c>
      <c r="AL152" s="12" t="s">
        <v>308</v>
      </c>
      <c r="AM152" s="12"/>
      <c r="AN152" s="12" t="s">
        <v>27</v>
      </c>
      <c r="AP152" s="7">
        <v>4190202</v>
      </c>
      <c r="AR152" s="7">
        <v>316776</v>
      </c>
      <c r="AT152" s="7">
        <v>0</v>
      </c>
      <c r="AV152" s="7">
        <v>5041</v>
      </c>
      <c r="AX152" s="7">
        <v>2476</v>
      </c>
      <c r="AZ152" s="7">
        <v>1998</v>
      </c>
      <c r="BB152" s="7">
        <f t="shared" si="37"/>
        <v>161292215</v>
      </c>
      <c r="BD152" s="7">
        <v>72921</v>
      </c>
      <c r="BF152" s="7">
        <v>0</v>
      </c>
      <c r="BH152" s="7">
        <v>0</v>
      </c>
      <c r="BJ152" s="7">
        <v>0</v>
      </c>
      <c r="BL152" s="7">
        <f t="shared" si="43"/>
        <v>161365136</v>
      </c>
      <c r="BN152" s="7">
        <f>+GenRev!AM152-GenExp!BL152</f>
        <v>2011561</v>
      </c>
      <c r="BP152" s="7">
        <v>64476465</v>
      </c>
      <c r="BR152" s="7">
        <v>-11497</v>
      </c>
      <c r="BT152" s="7">
        <v>0</v>
      </c>
      <c r="BV152" s="7">
        <f t="shared" si="44"/>
        <v>66499523</v>
      </c>
      <c r="BX152" s="8">
        <f>+BV152-'Gen Fd BS'!AE152+BT152</f>
        <v>0</v>
      </c>
      <c r="CB152" s="7" t="str">
        <f t="shared" si="41"/>
        <v>Dublin City SD</v>
      </c>
      <c r="CC152" s="7" t="b">
        <f t="shared" si="38"/>
        <v>1</v>
      </c>
      <c r="CE152" s="12" t="str">
        <f>GenRev!A152</f>
        <v>Dublin City SD</v>
      </c>
      <c r="CF152" s="7" t="b">
        <f t="shared" si="42"/>
        <v>1</v>
      </c>
      <c r="CG152" s="7" t="str">
        <f t="shared" si="39"/>
        <v>Franklin</v>
      </c>
      <c r="CH152" s="7" t="b">
        <f t="shared" si="40"/>
        <v>1</v>
      </c>
      <c r="CI152" s="7" t="b">
        <f>C152=GenRev!C152</f>
        <v>1</v>
      </c>
    </row>
    <row r="153" spans="1:87">
      <c r="A153" s="12" t="s">
        <v>272</v>
      </c>
      <c r="B153" s="12"/>
      <c r="C153" s="12" t="s">
        <v>20</v>
      </c>
      <c r="D153" s="12"/>
      <c r="E153" s="12">
        <v>43901</v>
      </c>
      <c r="G153" s="7">
        <v>13448116</v>
      </c>
      <c r="I153" s="7">
        <v>9261332</v>
      </c>
      <c r="K153" s="7">
        <v>1516148</v>
      </c>
      <c r="M153" s="7">
        <v>57362</v>
      </c>
      <c r="O153" s="7">
        <v>5212766</v>
      </c>
      <c r="Q153" s="7">
        <v>2245822</v>
      </c>
      <c r="S153" s="7">
        <v>1232933</v>
      </c>
      <c r="U153" s="7">
        <v>52061</v>
      </c>
      <c r="W153" s="7">
        <v>3194647</v>
      </c>
      <c r="Y153" s="7">
        <v>2177646</v>
      </c>
      <c r="AA153" s="7">
        <v>460675</v>
      </c>
      <c r="AC153" s="7">
        <v>5474593</v>
      </c>
      <c r="AE153" s="7">
        <v>1101110</v>
      </c>
      <c r="AG153" s="7">
        <v>2871845</v>
      </c>
      <c r="AI153" s="7">
        <v>0</v>
      </c>
      <c r="AK153" s="7">
        <v>912</v>
      </c>
      <c r="AL153" s="12" t="s">
        <v>272</v>
      </c>
      <c r="AM153" s="12"/>
      <c r="AN153" s="12" t="s">
        <v>20</v>
      </c>
      <c r="AP153" s="7">
        <v>289968</v>
      </c>
      <c r="AR153" s="7">
        <v>0</v>
      </c>
      <c r="AT153" s="7">
        <v>0</v>
      </c>
      <c r="AV153" s="7">
        <v>0</v>
      </c>
      <c r="AX153" s="7">
        <v>0</v>
      </c>
      <c r="AZ153" s="7">
        <v>0</v>
      </c>
      <c r="BB153" s="7">
        <f t="shared" si="37"/>
        <v>48597936</v>
      </c>
      <c r="BD153" s="7">
        <v>45000</v>
      </c>
      <c r="BF153" s="7">
        <v>0</v>
      </c>
      <c r="BH153" s="7">
        <v>0</v>
      </c>
      <c r="BJ153" s="7">
        <v>0</v>
      </c>
      <c r="BL153" s="7">
        <f t="shared" si="43"/>
        <v>48642936</v>
      </c>
      <c r="BN153" s="7">
        <f>+GenRev!AM153-GenExp!BL153</f>
        <v>-652484</v>
      </c>
      <c r="BP153" s="7">
        <v>34057010</v>
      </c>
      <c r="BR153" s="7">
        <v>0</v>
      </c>
      <c r="BT153" s="7">
        <v>0</v>
      </c>
      <c r="BV153" s="7">
        <f t="shared" si="44"/>
        <v>33404526</v>
      </c>
      <c r="BX153" s="8">
        <f>+BV153-'Gen Fd BS'!AE153+BT153</f>
        <v>0</v>
      </c>
      <c r="CA153" s="7" t="s">
        <v>843</v>
      </c>
      <c r="CB153" s="7" t="str">
        <f t="shared" si="41"/>
        <v>East Cleveland City SD</v>
      </c>
      <c r="CC153" s="7" t="b">
        <f t="shared" si="38"/>
        <v>1</v>
      </c>
      <c r="CE153" s="12" t="str">
        <f>GenRev!A153</f>
        <v>East Cleveland City SD</v>
      </c>
      <c r="CF153" s="7" t="b">
        <f t="shared" si="42"/>
        <v>1</v>
      </c>
      <c r="CG153" s="7" t="str">
        <f t="shared" si="39"/>
        <v>Cuyahoga</v>
      </c>
      <c r="CH153" s="7" t="b">
        <f t="shared" si="40"/>
        <v>1</v>
      </c>
      <c r="CI153" s="7" t="b">
        <f>C153=GenRev!C153</f>
        <v>1</v>
      </c>
    </row>
    <row r="154" spans="1:87">
      <c r="A154" s="12" t="s">
        <v>250</v>
      </c>
      <c r="B154" s="12"/>
      <c r="C154" s="12" t="s">
        <v>18</v>
      </c>
      <c r="D154" s="12"/>
      <c r="E154" s="12">
        <v>46409</v>
      </c>
      <c r="F154" s="10"/>
      <c r="G154" s="7">
        <v>5362476</v>
      </c>
      <c r="I154" s="7">
        <v>954755</v>
      </c>
      <c r="K154" s="7">
        <v>81707</v>
      </c>
      <c r="M154" s="7">
        <v>0</v>
      </c>
      <c r="O154" s="7">
        <v>179</v>
      </c>
      <c r="Q154" s="7">
        <v>470121</v>
      </c>
      <c r="S154" s="7">
        <v>771862</v>
      </c>
      <c r="U154" s="7">
        <v>39642</v>
      </c>
      <c r="W154" s="7">
        <v>658857</v>
      </c>
      <c r="Y154" s="7">
        <v>296792</v>
      </c>
      <c r="AA154" s="7">
        <v>4213</v>
      </c>
      <c r="AC154" s="7">
        <v>1114916</v>
      </c>
      <c r="AE154" s="7">
        <v>670282</v>
      </c>
      <c r="AG154" s="7">
        <v>108331</v>
      </c>
      <c r="AI154" s="7">
        <v>0</v>
      </c>
      <c r="AK154" s="7">
        <v>10462</v>
      </c>
      <c r="AL154" s="12" t="s">
        <v>250</v>
      </c>
      <c r="AM154" s="12"/>
      <c r="AN154" s="12" t="s">
        <v>18</v>
      </c>
      <c r="AP154" s="7">
        <v>157054</v>
      </c>
      <c r="AR154" s="7">
        <v>0</v>
      </c>
      <c r="AT154" s="7">
        <v>0</v>
      </c>
      <c r="AV154" s="7">
        <v>40000</v>
      </c>
      <c r="AX154" s="7">
        <v>7475</v>
      </c>
      <c r="AZ154" s="7">
        <v>0</v>
      </c>
      <c r="BB154" s="7">
        <f t="shared" si="37"/>
        <v>10749124</v>
      </c>
      <c r="BD154" s="7">
        <v>19</v>
      </c>
      <c r="BF154" s="7">
        <v>0</v>
      </c>
      <c r="BH154" s="7">
        <v>0</v>
      </c>
      <c r="BJ154" s="7">
        <v>0</v>
      </c>
      <c r="BL154" s="7">
        <f t="shared" si="43"/>
        <v>10749143</v>
      </c>
      <c r="BN154" s="7">
        <f>+GenRev!AM154-GenExp!BL154</f>
        <v>519408</v>
      </c>
      <c r="BP154" s="7">
        <v>568802</v>
      </c>
      <c r="BR154" s="7">
        <v>0</v>
      </c>
      <c r="BT154" s="7">
        <v>0</v>
      </c>
      <c r="BV154" s="7">
        <f t="shared" si="44"/>
        <v>1088210</v>
      </c>
      <c r="BX154" s="8">
        <f>+BV154-'Gen Fd BS'!AE154+BT154</f>
        <v>0</v>
      </c>
      <c r="CB154" s="7" t="str">
        <f t="shared" si="41"/>
        <v>East Clinton Local SD</v>
      </c>
      <c r="CC154" s="7" t="b">
        <f t="shared" si="38"/>
        <v>1</v>
      </c>
      <c r="CE154" s="12" t="str">
        <f>GenRev!A154</f>
        <v>East Clinton Local SD</v>
      </c>
      <c r="CF154" s="7" t="b">
        <f t="shared" si="42"/>
        <v>1</v>
      </c>
      <c r="CG154" s="7" t="str">
        <f t="shared" si="39"/>
        <v>Clinton</v>
      </c>
      <c r="CH154" s="7" t="b">
        <f t="shared" si="40"/>
        <v>1</v>
      </c>
      <c r="CI154" s="7" t="b">
        <f>C154=GenRev!C154</f>
        <v>1</v>
      </c>
    </row>
    <row r="155" spans="1:87">
      <c r="A155" s="12" t="s">
        <v>328</v>
      </c>
      <c r="B155" s="12"/>
      <c r="C155" s="12" t="s">
        <v>31</v>
      </c>
      <c r="D155" s="12"/>
      <c r="E155" s="12">
        <v>69682</v>
      </c>
      <c r="G155" s="7">
        <v>4165378</v>
      </c>
      <c r="I155" s="7">
        <v>603682</v>
      </c>
      <c r="K155" s="7">
        <v>277198</v>
      </c>
      <c r="M155" s="7">
        <v>6610</v>
      </c>
      <c r="O155" s="7">
        <v>1179</v>
      </c>
      <c r="Q155" s="7">
        <v>567993</v>
      </c>
      <c r="S155" s="7">
        <v>330121</v>
      </c>
      <c r="U155" s="7">
        <v>30589</v>
      </c>
      <c r="W155" s="7">
        <v>793279</v>
      </c>
      <c r="Y155" s="7">
        <v>310071</v>
      </c>
      <c r="AA155" s="7">
        <v>0</v>
      </c>
      <c r="AC155" s="7">
        <v>1088101</v>
      </c>
      <c r="AE155" s="7">
        <v>1041913</v>
      </c>
      <c r="AG155" s="7">
        <v>2899</v>
      </c>
      <c r="AI155" s="7">
        <v>0</v>
      </c>
      <c r="AK155" s="7">
        <v>0</v>
      </c>
      <c r="AL155" s="12" t="s">
        <v>328</v>
      </c>
      <c r="AM155" s="12"/>
      <c r="AN155" s="12" t="s">
        <v>31</v>
      </c>
      <c r="AP155" s="7">
        <v>212707</v>
      </c>
      <c r="AR155" s="7">
        <v>0</v>
      </c>
      <c r="AT155" s="7">
        <v>0</v>
      </c>
      <c r="AV155" s="7">
        <v>34127</v>
      </c>
      <c r="AX155" s="7">
        <v>8485</v>
      </c>
      <c r="AZ155" s="7">
        <v>0</v>
      </c>
      <c r="BB155" s="7">
        <f t="shared" ref="BB155:BB200" si="45">SUM(G155:AZ155)</f>
        <v>9474332</v>
      </c>
      <c r="BD155" s="7">
        <v>88732</v>
      </c>
      <c r="BF155" s="7">
        <v>0</v>
      </c>
      <c r="BH155" s="7">
        <v>0</v>
      </c>
      <c r="BJ155" s="7">
        <v>0</v>
      </c>
      <c r="BL155" s="7">
        <f t="shared" ref="BL155:BL200" si="46">+BB155+BD155+BF155+BJ155</f>
        <v>9563064</v>
      </c>
      <c r="BN155" s="7">
        <f>+GenRev!AM155-GenExp!BL155</f>
        <v>832847</v>
      </c>
      <c r="BP155" s="7">
        <v>1462236</v>
      </c>
      <c r="BR155" s="7">
        <v>0</v>
      </c>
      <c r="BT155" s="7">
        <v>0</v>
      </c>
      <c r="BV155" s="7">
        <f t="shared" si="44"/>
        <v>2295083</v>
      </c>
      <c r="BX155" s="8">
        <f>+BV155-'Gen Fd BS'!AE155+BT155</f>
        <v>0</v>
      </c>
      <c r="CB155" s="7" t="str">
        <f t="shared" si="41"/>
        <v>East Guernsey Local SD</v>
      </c>
      <c r="CC155" s="7" t="b">
        <f t="shared" si="38"/>
        <v>1</v>
      </c>
      <c r="CE155" s="12" t="str">
        <f>GenRev!A155</f>
        <v>East Guernsey Local SD</v>
      </c>
      <c r="CF155" s="7" t="b">
        <f t="shared" si="42"/>
        <v>1</v>
      </c>
      <c r="CG155" s="7" t="str">
        <f t="shared" si="39"/>
        <v>Guernsey</v>
      </c>
      <c r="CH155" s="7" t="b">
        <f t="shared" si="40"/>
        <v>1</v>
      </c>
      <c r="CI155" s="7" t="b">
        <f>C155=GenRev!C155</f>
        <v>1</v>
      </c>
    </row>
    <row r="156" spans="1:87">
      <c r="A156" s="12" t="s">
        <v>363</v>
      </c>
      <c r="B156" s="12"/>
      <c r="C156" s="12" t="s">
        <v>36</v>
      </c>
      <c r="D156" s="12"/>
      <c r="E156" s="12">
        <v>47688</v>
      </c>
      <c r="G156" s="7">
        <v>7447633</v>
      </c>
      <c r="I156" s="7">
        <v>813811</v>
      </c>
      <c r="K156" s="7">
        <v>358677</v>
      </c>
      <c r="M156" s="7">
        <v>0</v>
      </c>
      <c r="O156" s="7">
        <v>0</v>
      </c>
      <c r="Q156" s="7">
        <v>716169</v>
      </c>
      <c r="S156" s="7">
        <v>535006</v>
      </c>
      <c r="U156" s="7">
        <v>27526</v>
      </c>
      <c r="W156" s="7">
        <v>1604596</v>
      </c>
      <c r="Y156" s="7">
        <v>227688</v>
      </c>
      <c r="AA156" s="7">
        <v>0</v>
      </c>
      <c r="AC156" s="7">
        <v>1455222</v>
      </c>
      <c r="AE156" s="7">
        <v>1170801</v>
      </c>
      <c r="AG156" s="7">
        <v>110459</v>
      </c>
      <c r="AI156" s="7">
        <v>0</v>
      </c>
      <c r="AK156" s="7">
        <v>0</v>
      </c>
      <c r="AL156" s="12" t="s">
        <v>363</v>
      </c>
      <c r="AM156" s="12"/>
      <c r="AN156" s="12" t="s">
        <v>36</v>
      </c>
      <c r="AP156" s="7">
        <v>246060</v>
      </c>
      <c r="AR156" s="7">
        <v>4502</v>
      </c>
      <c r="AT156" s="7">
        <v>0</v>
      </c>
      <c r="AV156" s="7">
        <v>0</v>
      </c>
      <c r="AX156" s="7">
        <v>0</v>
      </c>
      <c r="AZ156" s="7">
        <v>0</v>
      </c>
      <c r="BB156" s="7">
        <f t="shared" si="45"/>
        <v>14718150</v>
      </c>
      <c r="BD156" s="7">
        <v>250000</v>
      </c>
      <c r="BF156" s="7">
        <v>0</v>
      </c>
      <c r="BH156" s="7">
        <v>0</v>
      </c>
      <c r="BJ156" s="7">
        <v>0</v>
      </c>
      <c r="BL156" s="7">
        <f t="shared" si="46"/>
        <v>14968150</v>
      </c>
      <c r="BN156" s="7">
        <f>+GenRev!AM156-GenExp!BL156</f>
        <v>-115825</v>
      </c>
      <c r="BP156" s="7">
        <v>3966426</v>
      </c>
      <c r="BR156" s="7">
        <v>0</v>
      </c>
      <c r="BT156" s="7">
        <v>0</v>
      </c>
      <c r="BV156" s="7">
        <f t="shared" si="44"/>
        <v>3850601</v>
      </c>
      <c r="BX156" s="8">
        <f>+BV156-'Gen Fd BS'!AE156+BT156</f>
        <v>0</v>
      </c>
      <c r="CA156" s="7" t="s">
        <v>843</v>
      </c>
      <c r="CB156" s="7" t="str">
        <f t="shared" si="41"/>
        <v>East Holmes Local SD</v>
      </c>
      <c r="CC156" s="7" t="b">
        <f t="shared" si="38"/>
        <v>1</v>
      </c>
      <c r="CE156" s="12" t="str">
        <f>GenRev!A156</f>
        <v>East Holmes Local SD</v>
      </c>
      <c r="CF156" s="7" t="b">
        <f t="shared" si="42"/>
        <v>1</v>
      </c>
      <c r="CG156" s="7" t="str">
        <f t="shared" si="39"/>
        <v>Holmes</v>
      </c>
      <c r="CH156" s="7" t="b">
        <f t="shared" si="40"/>
        <v>1</v>
      </c>
      <c r="CI156" s="7" t="b">
        <f>C156=GenRev!C156</f>
        <v>1</v>
      </c>
    </row>
    <row r="157" spans="1:87" hidden="1">
      <c r="A157" s="12" t="s">
        <v>691</v>
      </c>
      <c r="B157" s="12"/>
      <c r="C157" s="12" t="s">
        <v>40</v>
      </c>
      <c r="D157" s="12"/>
      <c r="E157" s="12"/>
      <c r="AL157" s="12" t="s">
        <v>691</v>
      </c>
      <c r="AM157" s="12"/>
      <c r="AN157" s="12" t="s">
        <v>40</v>
      </c>
      <c r="BB157" s="7">
        <f t="shared" si="45"/>
        <v>0</v>
      </c>
      <c r="BL157" s="7">
        <f t="shared" si="46"/>
        <v>0</v>
      </c>
      <c r="BN157" s="7">
        <f>+GenRev!AM157-GenExp!BL157</f>
        <v>0</v>
      </c>
      <c r="BT157" s="7">
        <v>0</v>
      </c>
      <c r="BV157" s="7">
        <f t="shared" si="44"/>
        <v>0</v>
      </c>
      <c r="BX157" s="8">
        <f>+BV157-'Gen Fd BS'!AE157+BT157</f>
        <v>0</v>
      </c>
      <c r="CA157" s="7" t="s">
        <v>839</v>
      </c>
      <c r="CB157" s="7" t="str">
        <f t="shared" si="41"/>
        <v>East Knox Local SD (CASH)</v>
      </c>
      <c r="CC157" s="7" t="b">
        <f t="shared" si="38"/>
        <v>1</v>
      </c>
      <c r="CE157" s="12" t="str">
        <f>GenRev!A157</f>
        <v>East Knox Local SD (CASH)</v>
      </c>
      <c r="CF157" s="7" t="b">
        <f t="shared" si="42"/>
        <v>1</v>
      </c>
      <c r="CG157" s="7" t="str">
        <f t="shared" si="39"/>
        <v>Knox</v>
      </c>
      <c r="CH157" s="7" t="b">
        <f t="shared" si="40"/>
        <v>1</v>
      </c>
      <c r="CI157" s="7" t="b">
        <f>C157=GenRev!C157</f>
        <v>1</v>
      </c>
    </row>
    <row r="158" spans="1:87">
      <c r="A158" s="12" t="s">
        <v>254</v>
      </c>
      <c r="B158" s="12"/>
      <c r="C158" s="12" t="s">
        <v>112</v>
      </c>
      <c r="D158" s="12"/>
      <c r="E158" s="12">
        <v>43919</v>
      </c>
      <c r="F158" s="10"/>
      <c r="G158" s="7">
        <v>9462900</v>
      </c>
      <c r="I158" s="7">
        <v>2621553</v>
      </c>
      <c r="K158" s="7">
        <v>927870</v>
      </c>
      <c r="M158" s="7">
        <v>0</v>
      </c>
      <c r="O158" s="7">
        <f>29296+1807621</f>
        <v>1836917</v>
      </c>
      <c r="Q158" s="7">
        <v>706652</v>
      </c>
      <c r="S158" s="7">
        <v>764117</v>
      </c>
      <c r="U158" s="7">
        <v>171096</v>
      </c>
      <c r="W158" s="7">
        <v>1324413</v>
      </c>
      <c r="Y158" s="7">
        <v>474727</v>
      </c>
      <c r="AA158" s="7">
        <v>8713</v>
      </c>
      <c r="AC158" s="7">
        <v>2177767</v>
      </c>
      <c r="AE158" s="7">
        <v>976114</v>
      </c>
      <c r="AG158" s="7">
        <v>0</v>
      </c>
      <c r="AI158" s="7">
        <v>1446</v>
      </c>
      <c r="AK158" s="7">
        <v>6971</v>
      </c>
      <c r="AL158" s="12" t="s">
        <v>254</v>
      </c>
      <c r="AM158" s="12"/>
      <c r="AN158" s="12" t="s">
        <v>112</v>
      </c>
      <c r="AP158" s="7">
        <v>220940</v>
      </c>
      <c r="AR158" s="7">
        <v>113711</v>
      </c>
      <c r="AT158" s="7">
        <v>0</v>
      </c>
      <c r="AV158" s="7">
        <v>120114</v>
      </c>
      <c r="AX158" s="7">
        <v>44669</v>
      </c>
      <c r="AZ158" s="7">
        <v>0</v>
      </c>
      <c r="BB158" s="7">
        <f t="shared" si="45"/>
        <v>21960690</v>
      </c>
      <c r="BD158" s="7">
        <v>603000</v>
      </c>
      <c r="BF158" s="7">
        <v>0</v>
      </c>
      <c r="BH158" s="7">
        <v>0</v>
      </c>
      <c r="BJ158" s="7">
        <v>0</v>
      </c>
      <c r="BL158" s="7">
        <f t="shared" si="46"/>
        <v>22563690</v>
      </c>
      <c r="BN158" s="7">
        <f>+GenRev!AM158-GenExp!BL158</f>
        <v>-645640</v>
      </c>
      <c r="BP158" s="7">
        <v>4461843</v>
      </c>
      <c r="BR158" s="7">
        <v>0</v>
      </c>
      <c r="BT158" s="7">
        <v>0</v>
      </c>
      <c r="BV158" s="7">
        <f t="shared" si="44"/>
        <v>3816203</v>
      </c>
      <c r="BX158" s="8">
        <f>+BV158-'Gen Fd BS'!AE158+BT158</f>
        <v>0</v>
      </c>
      <c r="CB158" s="7" t="str">
        <f t="shared" si="41"/>
        <v>East Liverpool City SD</v>
      </c>
      <c r="CC158" s="7" t="b">
        <f t="shared" si="38"/>
        <v>1</v>
      </c>
      <c r="CE158" s="12" t="str">
        <f>GenRev!A158</f>
        <v>East Liverpool City SD</v>
      </c>
      <c r="CF158" s="7" t="b">
        <f t="shared" si="42"/>
        <v>1</v>
      </c>
      <c r="CG158" s="7" t="str">
        <f t="shared" si="39"/>
        <v>Columbiana</v>
      </c>
      <c r="CH158" s="7" t="b">
        <f t="shared" si="40"/>
        <v>1</v>
      </c>
      <c r="CI158" s="7" t="b">
        <f>C158=GenRev!C158</f>
        <v>1</v>
      </c>
    </row>
    <row r="159" spans="1:87">
      <c r="A159" s="12" t="s">
        <v>456</v>
      </c>
      <c r="B159" s="12"/>
      <c r="C159" s="12" t="s">
        <v>51</v>
      </c>
      <c r="D159" s="12"/>
      <c r="E159" s="12">
        <v>48835</v>
      </c>
      <c r="G159" s="7">
        <v>7749498</v>
      </c>
      <c r="I159" s="7">
        <v>1183688</v>
      </c>
      <c r="K159" s="7">
        <v>299078</v>
      </c>
      <c r="M159" s="7">
        <v>0</v>
      </c>
      <c r="O159" s="7">
        <v>359436</v>
      </c>
      <c r="Q159" s="7">
        <v>416322</v>
      </c>
      <c r="S159" s="7">
        <v>950552</v>
      </c>
      <c r="U159" s="7">
        <v>39822</v>
      </c>
      <c r="W159" s="7">
        <v>1735224</v>
      </c>
      <c r="Y159" s="7">
        <v>378810</v>
      </c>
      <c r="AA159" s="7">
        <v>0</v>
      </c>
      <c r="AC159" s="7">
        <v>813669</v>
      </c>
      <c r="AE159" s="7">
        <v>1192919</v>
      </c>
      <c r="AG159" s="7">
        <v>160710</v>
      </c>
      <c r="AI159" s="7">
        <v>0</v>
      </c>
      <c r="AK159" s="7">
        <v>0</v>
      </c>
      <c r="AL159" s="12" t="s">
        <v>456</v>
      </c>
      <c r="AM159" s="12"/>
      <c r="AN159" s="12" t="s">
        <v>51</v>
      </c>
      <c r="AP159" s="7">
        <v>283825</v>
      </c>
      <c r="AR159" s="7">
        <v>0</v>
      </c>
      <c r="AT159" s="7">
        <v>0</v>
      </c>
      <c r="AV159" s="7">
        <v>12820</v>
      </c>
      <c r="AX159" s="7">
        <v>7451</v>
      </c>
      <c r="AZ159" s="7">
        <v>0</v>
      </c>
      <c r="BB159" s="7">
        <f t="shared" si="45"/>
        <v>15583824</v>
      </c>
      <c r="BD159" s="7">
        <v>0</v>
      </c>
      <c r="BF159" s="7">
        <v>0</v>
      </c>
      <c r="BH159" s="7">
        <v>0</v>
      </c>
      <c r="BJ159" s="7">
        <v>0</v>
      </c>
      <c r="BL159" s="7">
        <f t="shared" si="46"/>
        <v>15583824</v>
      </c>
      <c r="BN159" s="7">
        <f>+GenRev!AM159-GenExp!BL159</f>
        <v>1090188</v>
      </c>
      <c r="BP159" s="7">
        <v>2092084</v>
      </c>
      <c r="BR159" s="7">
        <v>0</v>
      </c>
      <c r="BT159" s="7">
        <v>0</v>
      </c>
      <c r="BV159" s="7">
        <f t="shared" si="44"/>
        <v>3182272</v>
      </c>
      <c r="BX159" s="8">
        <f>+BV159-'Gen Fd BS'!AE159+BT159</f>
        <v>0</v>
      </c>
      <c r="CB159" s="7" t="str">
        <f t="shared" si="41"/>
        <v>East Muskingum Local SD</v>
      </c>
      <c r="CC159" s="7" t="b">
        <f t="shared" si="38"/>
        <v>1</v>
      </c>
      <c r="CE159" s="12" t="str">
        <f>GenRev!A159</f>
        <v>East Muskingum Local SD</v>
      </c>
      <c r="CF159" s="7" t="b">
        <f t="shared" si="42"/>
        <v>1</v>
      </c>
      <c r="CG159" s="7" t="str">
        <f t="shared" si="39"/>
        <v>Muskingum</v>
      </c>
      <c r="CH159" s="7" t="b">
        <f t="shared" si="40"/>
        <v>1</v>
      </c>
      <c r="CI159" s="7" t="b">
        <f>C159=GenRev!C159</f>
        <v>1</v>
      </c>
    </row>
    <row r="160" spans="1:87">
      <c r="A160" s="12" t="s">
        <v>255</v>
      </c>
      <c r="B160" s="12"/>
      <c r="C160" s="12" t="s">
        <v>112</v>
      </c>
      <c r="D160" s="12"/>
      <c r="E160" s="12">
        <v>43927</v>
      </c>
      <c r="F160" s="10"/>
      <c r="G160" s="7">
        <v>3773919</v>
      </c>
      <c r="I160" s="7">
        <v>1208467</v>
      </c>
      <c r="K160" s="7">
        <v>37976</v>
      </c>
      <c r="M160" s="7">
        <v>0</v>
      </c>
      <c r="O160" s="7">
        <v>0</v>
      </c>
      <c r="Q160" s="7">
        <v>568976</v>
      </c>
      <c r="S160" s="7">
        <v>286277</v>
      </c>
      <c r="U160" s="7">
        <v>26506</v>
      </c>
      <c r="W160" s="7">
        <v>641118</v>
      </c>
      <c r="Y160" s="7">
        <v>250805</v>
      </c>
      <c r="AA160" s="7">
        <v>672101</v>
      </c>
      <c r="AC160" s="7">
        <v>928531</v>
      </c>
      <c r="AE160" s="7">
        <v>579701</v>
      </c>
      <c r="AG160" s="7">
        <v>0</v>
      </c>
      <c r="AI160" s="7">
        <v>0</v>
      </c>
      <c r="AK160" s="7">
        <v>4000</v>
      </c>
      <c r="AL160" s="12" t="s">
        <v>255</v>
      </c>
      <c r="AM160" s="12"/>
      <c r="AN160" s="12" t="s">
        <v>112</v>
      </c>
      <c r="AP160" s="7">
        <v>215126</v>
      </c>
      <c r="AR160" s="7">
        <v>0</v>
      </c>
      <c r="AT160" s="7">
        <v>0</v>
      </c>
      <c r="AV160" s="7">
        <v>0</v>
      </c>
      <c r="AX160" s="7">
        <v>0</v>
      </c>
      <c r="AZ160" s="7">
        <v>0</v>
      </c>
      <c r="BB160" s="7">
        <f t="shared" si="45"/>
        <v>9193503</v>
      </c>
      <c r="BD160" s="7">
        <v>0</v>
      </c>
      <c r="BF160" s="7">
        <v>0</v>
      </c>
      <c r="BH160" s="7">
        <v>0</v>
      </c>
      <c r="BJ160" s="7">
        <v>0</v>
      </c>
      <c r="BL160" s="7">
        <f t="shared" si="46"/>
        <v>9193503</v>
      </c>
      <c r="BN160" s="7">
        <f>+GenRev!AM160-GenExp!BL160</f>
        <v>934373</v>
      </c>
      <c r="BP160" s="7">
        <v>-808286</v>
      </c>
      <c r="BR160" s="7">
        <v>0</v>
      </c>
      <c r="BT160" s="7">
        <v>0</v>
      </c>
      <c r="BV160" s="7">
        <f t="shared" si="44"/>
        <v>126087</v>
      </c>
      <c r="BX160" s="8">
        <f>+BV160-'Gen Fd BS'!AE160+BT160</f>
        <v>0</v>
      </c>
      <c r="CB160" s="7" t="str">
        <f t="shared" si="41"/>
        <v>East Palestine City SD</v>
      </c>
      <c r="CC160" s="7" t="b">
        <f t="shared" si="38"/>
        <v>1</v>
      </c>
      <c r="CE160" s="12" t="str">
        <f>GenRev!A160</f>
        <v>East Palestine City SD</v>
      </c>
      <c r="CF160" s="7" t="b">
        <f t="shared" si="42"/>
        <v>1</v>
      </c>
      <c r="CG160" s="7" t="str">
        <f t="shared" si="39"/>
        <v>Columbiana</v>
      </c>
      <c r="CH160" s="7" t="b">
        <f t="shared" si="40"/>
        <v>1</v>
      </c>
      <c r="CI160" s="7" t="b">
        <f>C160=GenRev!C160</f>
        <v>1</v>
      </c>
    </row>
    <row r="161" spans="1:87">
      <c r="A161" s="12" t="s">
        <v>220</v>
      </c>
      <c r="B161" s="12"/>
      <c r="C161" s="12" t="s">
        <v>77</v>
      </c>
      <c r="D161" s="12"/>
      <c r="E161" s="12">
        <v>46037</v>
      </c>
      <c r="F161" s="10"/>
      <c r="G161" s="7">
        <v>3776083</v>
      </c>
      <c r="I161" s="7">
        <v>835508</v>
      </c>
      <c r="K161" s="7">
        <v>171606</v>
      </c>
      <c r="M161" s="7">
        <v>0</v>
      </c>
      <c r="O161" s="7">
        <v>922482</v>
      </c>
      <c r="Q161" s="7">
        <v>375537</v>
      </c>
      <c r="S161" s="7">
        <v>752707</v>
      </c>
      <c r="U161" s="7">
        <v>23896</v>
      </c>
      <c r="W161" s="7">
        <v>1033259</v>
      </c>
      <c r="Y161" s="7">
        <v>390912</v>
      </c>
      <c r="AA161" s="7">
        <v>0</v>
      </c>
      <c r="AC161" s="7">
        <v>889540</v>
      </c>
      <c r="AE161" s="7">
        <v>988259</v>
      </c>
      <c r="AG161" s="7">
        <v>36076</v>
      </c>
      <c r="AI161" s="7">
        <v>0</v>
      </c>
      <c r="AK161" s="7">
        <v>2405</v>
      </c>
      <c r="AL161" s="12" t="s">
        <v>220</v>
      </c>
      <c r="AM161" s="12"/>
      <c r="AN161" s="12" t="s">
        <v>77</v>
      </c>
      <c r="AP161" s="7">
        <v>125573</v>
      </c>
      <c r="AR161" s="7">
        <v>1290</v>
      </c>
      <c r="AT161" s="7">
        <v>0</v>
      </c>
      <c r="AV161" s="7">
        <v>0</v>
      </c>
      <c r="AX161" s="7">
        <v>0</v>
      </c>
      <c r="AZ161" s="7">
        <v>0</v>
      </c>
      <c r="BB161" s="7">
        <f t="shared" si="45"/>
        <v>10325133</v>
      </c>
      <c r="BD161" s="7">
        <v>0</v>
      </c>
      <c r="BF161" s="7">
        <v>0</v>
      </c>
      <c r="BH161" s="7">
        <v>0</v>
      </c>
      <c r="BJ161" s="7">
        <v>0</v>
      </c>
      <c r="BL161" s="7">
        <f t="shared" si="46"/>
        <v>10325133</v>
      </c>
      <c r="BN161" s="7">
        <f>+GenRev!AM161-GenExp!BL161</f>
        <v>902683</v>
      </c>
      <c r="BP161" s="7">
        <v>102799</v>
      </c>
      <c r="BR161" s="7">
        <v>0</v>
      </c>
      <c r="BT161" s="7">
        <v>0</v>
      </c>
      <c r="BV161" s="7">
        <f t="shared" si="44"/>
        <v>1005482</v>
      </c>
      <c r="BX161" s="8">
        <f>+BV161-'Gen Fd BS'!AE161+BT161</f>
        <v>0</v>
      </c>
      <c r="CB161" s="7" t="str">
        <f t="shared" si="41"/>
        <v>Eastern Local SD</v>
      </c>
      <c r="CC161" s="7" t="b">
        <f t="shared" si="38"/>
        <v>1</v>
      </c>
      <c r="CE161" s="12" t="str">
        <f>GenRev!A161</f>
        <v>Eastern Local SD</v>
      </c>
      <c r="CF161" s="7" t="b">
        <f t="shared" si="42"/>
        <v>1</v>
      </c>
      <c r="CG161" s="7" t="str">
        <f t="shared" si="39"/>
        <v>Brown</v>
      </c>
      <c r="CH161" s="7" t="b">
        <f t="shared" si="40"/>
        <v>1</v>
      </c>
      <c r="CI161" s="7" t="b">
        <f>C161=GenRev!C161</f>
        <v>1</v>
      </c>
    </row>
    <row r="162" spans="1:87">
      <c r="A162" s="12" t="s">
        <v>220</v>
      </c>
      <c r="B162" s="12"/>
      <c r="C162" s="12" t="s">
        <v>433</v>
      </c>
      <c r="D162" s="12"/>
      <c r="E162" s="12">
        <v>48512</v>
      </c>
      <c r="F162" s="10"/>
      <c r="G162" s="7">
        <v>3374075</v>
      </c>
      <c r="I162" s="7">
        <v>627312</v>
      </c>
      <c r="K162" s="7">
        <v>0</v>
      </c>
      <c r="M162" s="7">
        <v>0</v>
      </c>
      <c r="O162" s="7">
        <v>667</v>
      </c>
      <c r="Q162" s="7">
        <v>404922</v>
      </c>
      <c r="S162" s="7">
        <v>130528</v>
      </c>
      <c r="U162" s="7">
        <v>33111</v>
      </c>
      <c r="W162" s="7">
        <v>556198</v>
      </c>
      <c r="Y162" s="7">
        <v>272896</v>
      </c>
      <c r="AA162" s="7">
        <v>0</v>
      </c>
      <c r="AC162" s="7">
        <v>767793</v>
      </c>
      <c r="AE162" s="7">
        <v>524927</v>
      </c>
      <c r="AG162" s="7">
        <v>90932</v>
      </c>
      <c r="AI162" s="7">
        <v>0</v>
      </c>
      <c r="AK162" s="7">
        <v>2280</v>
      </c>
      <c r="AL162" s="12" t="s">
        <v>220</v>
      </c>
      <c r="AM162" s="12"/>
      <c r="AN162" s="12" t="s">
        <v>433</v>
      </c>
      <c r="AP162" s="7">
        <v>128517</v>
      </c>
      <c r="AR162" s="7">
        <v>15113</v>
      </c>
      <c r="AT162" s="7">
        <v>0</v>
      </c>
      <c r="AV162" s="7">
        <v>0</v>
      </c>
      <c r="AX162" s="7">
        <v>0</v>
      </c>
      <c r="AZ162" s="7">
        <v>0</v>
      </c>
      <c r="BB162" s="7">
        <f t="shared" si="45"/>
        <v>6929271</v>
      </c>
      <c r="BD162" s="7">
        <v>0</v>
      </c>
      <c r="BF162" s="7">
        <v>0</v>
      </c>
      <c r="BH162" s="7">
        <v>0</v>
      </c>
      <c r="BJ162" s="7">
        <v>0</v>
      </c>
      <c r="BL162" s="7">
        <f t="shared" si="46"/>
        <v>6929271</v>
      </c>
      <c r="BN162" s="7">
        <f>+GenRev!AM162-GenExp!BL162</f>
        <v>547031</v>
      </c>
      <c r="BP162" s="7">
        <v>-127112</v>
      </c>
      <c r="BR162" s="7">
        <v>0</v>
      </c>
      <c r="BT162" s="7">
        <v>0</v>
      </c>
      <c r="BV162" s="7">
        <f t="shared" si="44"/>
        <v>419919</v>
      </c>
      <c r="BX162" s="8">
        <f>+BV162-'Gen Fd BS'!AE162+BT162</f>
        <v>0</v>
      </c>
      <c r="CB162" s="7" t="str">
        <f t="shared" si="41"/>
        <v>Eastern Local SD</v>
      </c>
      <c r="CC162" s="7" t="b">
        <f t="shared" si="38"/>
        <v>1</v>
      </c>
      <c r="CE162" s="12" t="str">
        <f>GenRev!A162</f>
        <v>Eastern Local SD</v>
      </c>
      <c r="CF162" s="7" t="b">
        <f t="shared" si="42"/>
        <v>1</v>
      </c>
      <c r="CG162" s="7" t="str">
        <f t="shared" si="39"/>
        <v>Meigs</v>
      </c>
      <c r="CH162" s="7" t="b">
        <f t="shared" si="40"/>
        <v>1</v>
      </c>
      <c r="CI162" s="7" t="b">
        <f>C162=GenRev!C162</f>
        <v>1</v>
      </c>
    </row>
    <row r="163" spans="1:87" hidden="1">
      <c r="A163" s="12" t="s">
        <v>692</v>
      </c>
      <c r="B163" s="12"/>
      <c r="C163" s="12" t="s">
        <v>55</v>
      </c>
      <c r="D163" s="12"/>
      <c r="E163" s="12">
        <v>49122</v>
      </c>
      <c r="AL163" s="12" t="s">
        <v>692</v>
      </c>
      <c r="AM163" s="12"/>
      <c r="AN163" s="12" t="s">
        <v>55</v>
      </c>
      <c r="BB163" s="7">
        <f t="shared" si="45"/>
        <v>0</v>
      </c>
      <c r="BL163" s="7">
        <f t="shared" si="46"/>
        <v>0</v>
      </c>
      <c r="BN163" s="7">
        <f>+GenRev!AM163-GenExp!BL163</f>
        <v>0</v>
      </c>
      <c r="BT163" s="7">
        <v>0</v>
      </c>
      <c r="BV163" s="7">
        <f t="shared" si="44"/>
        <v>0</v>
      </c>
      <c r="BX163" s="8">
        <f>+BV163-'Gen Fd BS'!AE163+BT163</f>
        <v>0</v>
      </c>
      <c r="CA163" s="7" t="s">
        <v>839</v>
      </c>
      <c r="CB163" s="7" t="str">
        <f t="shared" si="41"/>
        <v>Eastern Local SD (CASH)</v>
      </c>
      <c r="CC163" s="7" t="b">
        <f t="shared" si="38"/>
        <v>1</v>
      </c>
      <c r="CE163" s="12" t="str">
        <f>GenRev!A163</f>
        <v>Eastern Local SD (CASH)</v>
      </c>
      <c r="CF163" s="7" t="b">
        <f t="shared" si="42"/>
        <v>1</v>
      </c>
      <c r="CG163" s="7" t="str">
        <f t="shared" si="39"/>
        <v>Pike</v>
      </c>
      <c r="CH163" s="7" t="b">
        <f t="shared" si="40"/>
        <v>1</v>
      </c>
      <c r="CI163" s="7" t="b">
        <f>C163=GenRev!C163</f>
        <v>1</v>
      </c>
    </row>
    <row r="164" spans="1:87">
      <c r="A164" s="12" t="s">
        <v>573</v>
      </c>
      <c r="B164" s="12"/>
      <c r="C164" s="12" t="s">
        <v>72</v>
      </c>
      <c r="D164" s="12"/>
      <c r="E164" s="12">
        <v>50674</v>
      </c>
      <c r="G164" s="7">
        <v>7180490</v>
      </c>
      <c r="I164" s="7">
        <v>1009276</v>
      </c>
      <c r="K164" s="7">
        <v>100588</v>
      </c>
      <c r="M164" s="7">
        <v>0</v>
      </c>
      <c r="O164" s="7">
        <v>0</v>
      </c>
      <c r="Q164" s="7">
        <v>380040</v>
      </c>
      <c r="S164" s="7">
        <v>443262</v>
      </c>
      <c r="U164" s="7">
        <v>71408</v>
      </c>
      <c r="W164" s="7">
        <v>1162027</v>
      </c>
      <c r="Y164" s="7">
        <v>506682</v>
      </c>
      <c r="AA164" s="7">
        <v>0</v>
      </c>
      <c r="AC164" s="7">
        <v>1215641</v>
      </c>
      <c r="AE164" s="7">
        <v>1013844</v>
      </c>
      <c r="AG164" s="7">
        <v>0</v>
      </c>
      <c r="AI164" s="7">
        <v>0</v>
      </c>
      <c r="AK164" s="7">
        <v>0</v>
      </c>
      <c r="AL164" s="12" t="s">
        <v>573</v>
      </c>
      <c r="AM164" s="12"/>
      <c r="AN164" s="12" t="s">
        <v>72</v>
      </c>
      <c r="AP164" s="7">
        <v>408025</v>
      </c>
      <c r="AR164" s="7">
        <v>0</v>
      </c>
      <c r="AT164" s="7">
        <v>0</v>
      </c>
      <c r="AV164" s="7">
        <v>16186</v>
      </c>
      <c r="AX164" s="7">
        <v>452</v>
      </c>
      <c r="AZ164" s="7">
        <v>0</v>
      </c>
      <c r="BB164" s="7">
        <f t="shared" si="45"/>
        <v>13507921</v>
      </c>
      <c r="BD164" s="7">
        <v>18240</v>
      </c>
      <c r="BF164" s="7">
        <v>0</v>
      </c>
      <c r="BH164" s="7">
        <v>0</v>
      </c>
      <c r="BJ164" s="7">
        <v>0</v>
      </c>
      <c r="BL164" s="7">
        <f t="shared" si="46"/>
        <v>13526161</v>
      </c>
      <c r="BN164" s="7">
        <f>+GenRev!AM164-GenExp!BL164</f>
        <v>1402966</v>
      </c>
      <c r="BP164" s="7">
        <v>5979816</v>
      </c>
      <c r="BR164" s="7">
        <v>0</v>
      </c>
      <c r="BT164" s="7">
        <v>0</v>
      </c>
      <c r="BV164" s="7">
        <f t="shared" si="44"/>
        <v>7382782</v>
      </c>
      <c r="BX164" s="8">
        <f>+BV164-'Gen Fd BS'!AE164+BT164</f>
        <v>0</v>
      </c>
      <c r="CA164" s="7" t="s">
        <v>845</v>
      </c>
      <c r="CB164" s="7" t="str">
        <f t="shared" si="41"/>
        <v>Eastwood Local SD</v>
      </c>
      <c r="CC164" s="7" t="b">
        <f t="shared" si="38"/>
        <v>1</v>
      </c>
      <c r="CE164" s="12" t="str">
        <f>GenRev!A164</f>
        <v>Eastwood Local SD</v>
      </c>
      <c r="CF164" s="7" t="b">
        <f t="shared" si="42"/>
        <v>1</v>
      </c>
      <c r="CG164" s="7" t="str">
        <f t="shared" si="39"/>
        <v>Wood</v>
      </c>
      <c r="CH164" s="7" t="b">
        <f t="shared" si="40"/>
        <v>1</v>
      </c>
      <c r="CI164" s="7" t="b">
        <f>C164=GenRev!C164</f>
        <v>1</v>
      </c>
    </row>
    <row r="165" spans="1:87">
      <c r="A165" s="12" t="s">
        <v>712</v>
      </c>
      <c r="B165" s="12"/>
      <c r="C165" s="12" t="s">
        <v>57</v>
      </c>
      <c r="D165" s="12"/>
      <c r="E165" s="12">
        <v>43935</v>
      </c>
      <c r="G165" s="7">
        <v>10482145</v>
      </c>
      <c r="I165" s="7">
        <v>0</v>
      </c>
      <c r="K165" s="7">
        <v>0</v>
      </c>
      <c r="M165" s="7">
        <v>0</v>
      </c>
      <c r="O165" s="7">
        <v>0</v>
      </c>
      <c r="Q165" s="7">
        <v>1087448</v>
      </c>
      <c r="S165" s="7">
        <v>841539</v>
      </c>
      <c r="U165" s="7">
        <v>27287</v>
      </c>
      <c r="W165" s="7">
        <v>1610759</v>
      </c>
      <c r="Y165" s="7">
        <v>556616</v>
      </c>
      <c r="AA165" s="7">
        <v>3639</v>
      </c>
      <c r="AC165" s="7">
        <v>1514735</v>
      </c>
      <c r="AE165" s="7">
        <v>1293838</v>
      </c>
      <c r="AG165" s="7">
        <v>211866</v>
      </c>
      <c r="AI165" s="7">
        <v>0</v>
      </c>
      <c r="AK165" s="7">
        <v>0</v>
      </c>
      <c r="AL165" s="12" t="s">
        <v>712</v>
      </c>
      <c r="AM165" s="12"/>
      <c r="AN165" s="12" t="s">
        <v>57</v>
      </c>
      <c r="AP165" s="7">
        <v>385970</v>
      </c>
      <c r="AR165" s="7">
        <v>211513</v>
      </c>
      <c r="AT165" s="7">
        <v>0</v>
      </c>
      <c r="AV165" s="7">
        <v>0</v>
      </c>
      <c r="AX165" s="7">
        <v>81209</v>
      </c>
      <c r="AZ165" s="7">
        <v>0</v>
      </c>
      <c r="BB165" s="7">
        <f t="shared" si="45"/>
        <v>18308564</v>
      </c>
      <c r="BD165" s="7">
        <v>0</v>
      </c>
      <c r="BF165" s="7">
        <v>0</v>
      </c>
      <c r="BH165" s="7">
        <v>0</v>
      </c>
      <c r="BJ165" s="7">
        <v>0</v>
      </c>
      <c r="BL165" s="7">
        <f t="shared" si="46"/>
        <v>18308564</v>
      </c>
      <c r="BN165" s="7">
        <f>+GenRev!AM165-GenExp!BL165</f>
        <v>116060</v>
      </c>
      <c r="BP165" s="7">
        <v>12308422</v>
      </c>
      <c r="BR165" s="7">
        <v>-1089</v>
      </c>
      <c r="BT165" s="7">
        <v>0</v>
      </c>
      <c r="BV165" s="7">
        <f t="shared" si="44"/>
        <v>12425571</v>
      </c>
      <c r="BX165" s="8">
        <f>+BV165-'Gen Fd BS'!AE165+BT165</f>
        <v>0</v>
      </c>
      <c r="CA165" s="7" t="s">
        <v>846</v>
      </c>
      <c r="CB165" s="7" t="str">
        <f t="shared" si="41"/>
        <v>Eaton Community SD</v>
      </c>
      <c r="CC165" s="7" t="b">
        <f t="shared" si="38"/>
        <v>1</v>
      </c>
      <c r="CE165" s="12" t="str">
        <f>GenRev!A165</f>
        <v>Eaton Community SD</v>
      </c>
      <c r="CF165" s="7" t="b">
        <f t="shared" si="42"/>
        <v>1</v>
      </c>
      <c r="CG165" s="7" t="str">
        <f t="shared" si="39"/>
        <v>Preble</v>
      </c>
      <c r="CH165" s="7" t="b">
        <f t="shared" si="40"/>
        <v>1</v>
      </c>
      <c r="CI165" s="7" t="b">
        <f>C165=GenRev!C165</f>
        <v>1</v>
      </c>
    </row>
    <row r="166" spans="1:87" hidden="1">
      <c r="A166" s="12" t="s">
        <v>693</v>
      </c>
      <c r="B166" s="12"/>
      <c r="C166" s="12" t="s">
        <v>570</v>
      </c>
      <c r="D166" s="12"/>
      <c r="E166" s="12">
        <v>50617</v>
      </c>
      <c r="AL166" s="12" t="s">
        <v>693</v>
      </c>
      <c r="AM166" s="12"/>
      <c r="AN166" s="12" t="s">
        <v>570</v>
      </c>
      <c r="AV166" s="7">
        <v>0</v>
      </c>
      <c r="BB166" s="7">
        <f t="shared" si="45"/>
        <v>0</v>
      </c>
      <c r="BL166" s="7">
        <f t="shared" si="46"/>
        <v>0</v>
      </c>
      <c r="BN166" s="7">
        <f>+GenRev!AM166-GenExp!BL166</f>
        <v>0</v>
      </c>
      <c r="BT166" s="7">
        <v>0</v>
      </c>
      <c r="BV166" s="7">
        <f t="shared" si="44"/>
        <v>0</v>
      </c>
      <c r="BX166" s="8">
        <f>+BV166-'Gen Fd BS'!AE166+BT166</f>
        <v>0</v>
      </c>
      <c r="CA166" s="7" t="s">
        <v>839</v>
      </c>
      <c r="CB166" s="7" t="str">
        <f t="shared" si="41"/>
        <v>Edgerton Local SD (CASH)</v>
      </c>
      <c r="CC166" s="7" t="b">
        <f t="shared" si="38"/>
        <v>1</v>
      </c>
      <c r="CE166" s="12" t="str">
        <f>GenRev!A166</f>
        <v>Edgerton Local SD (CASH)</v>
      </c>
      <c r="CF166" s="7" t="b">
        <f t="shared" si="42"/>
        <v>1</v>
      </c>
      <c r="CG166" s="7" t="str">
        <f t="shared" si="39"/>
        <v>Williams</v>
      </c>
      <c r="CH166" s="7" t="b">
        <f t="shared" si="40"/>
        <v>1</v>
      </c>
      <c r="CI166" s="7" t="b">
        <f>C166=GenRev!C166</f>
        <v>1</v>
      </c>
    </row>
    <row r="167" spans="1:87">
      <c r="A167" s="12" t="s">
        <v>694</v>
      </c>
      <c r="B167" s="12"/>
      <c r="C167" s="12" t="s">
        <v>223</v>
      </c>
      <c r="D167" s="12"/>
      <c r="E167" s="12">
        <v>46094</v>
      </c>
      <c r="F167" s="10"/>
      <c r="G167" s="7">
        <v>13148664</v>
      </c>
      <c r="I167" s="7">
        <v>2812876</v>
      </c>
      <c r="K167" s="7">
        <v>0</v>
      </c>
      <c r="M167" s="7">
        <v>0</v>
      </c>
      <c r="O167" s="7">
        <v>51623</v>
      </c>
      <c r="Q167" s="7">
        <v>2074601</v>
      </c>
      <c r="S167" s="7">
        <v>2263892</v>
      </c>
      <c r="U167" s="7">
        <v>34117</v>
      </c>
      <c r="W167" s="7">
        <v>2010604</v>
      </c>
      <c r="Y167" s="7">
        <v>601713</v>
      </c>
      <c r="AA167" s="7">
        <v>153784</v>
      </c>
      <c r="AC167" s="7">
        <v>2283981</v>
      </c>
      <c r="AE167" s="7">
        <v>1109388</v>
      </c>
      <c r="AG167" s="7">
        <v>123437</v>
      </c>
      <c r="AI167" s="7">
        <v>0</v>
      </c>
      <c r="AK167" s="7">
        <v>19833</v>
      </c>
      <c r="AL167" s="12" t="s">
        <v>694</v>
      </c>
      <c r="AM167" s="12"/>
      <c r="AN167" s="12" t="s">
        <v>223</v>
      </c>
      <c r="AP167" s="7">
        <v>339111</v>
      </c>
      <c r="AR167" s="7">
        <v>3700</v>
      </c>
      <c r="AT167" s="7">
        <v>0</v>
      </c>
      <c r="AV167" s="7">
        <v>82968</v>
      </c>
      <c r="AX167" s="7">
        <v>28839</v>
      </c>
      <c r="AZ167" s="7">
        <v>0</v>
      </c>
      <c r="BB167" s="7">
        <f t="shared" si="45"/>
        <v>27143131</v>
      </c>
      <c r="BD167" s="7">
        <v>0</v>
      </c>
      <c r="BF167" s="7">
        <v>0</v>
      </c>
      <c r="BH167" s="7">
        <v>0</v>
      </c>
      <c r="BJ167" s="7">
        <v>0</v>
      </c>
      <c r="BL167" s="7">
        <f t="shared" si="46"/>
        <v>27143131</v>
      </c>
      <c r="BN167" s="7">
        <f>+GenRev!AM167-GenExp!BL167</f>
        <v>1616499</v>
      </c>
      <c r="BP167" s="7">
        <v>-1191481</v>
      </c>
      <c r="BR167" s="7">
        <v>0</v>
      </c>
      <c r="BT167" s="7">
        <v>0</v>
      </c>
      <c r="BV167" s="7">
        <f t="shared" si="44"/>
        <v>425018</v>
      </c>
      <c r="BX167" s="8">
        <f>+BV167-'Gen Fd BS'!AE167+BT167</f>
        <v>0</v>
      </c>
      <c r="CB167" s="7" t="str">
        <f t="shared" si="41"/>
        <v xml:space="preserve">Edgewood City SD </v>
      </c>
      <c r="CC167" s="7" t="b">
        <f t="shared" si="38"/>
        <v>1</v>
      </c>
      <c r="CE167" s="12" t="str">
        <f>GenRev!A167</f>
        <v xml:space="preserve">Edgewood City SD </v>
      </c>
      <c r="CF167" s="7" t="b">
        <f t="shared" si="42"/>
        <v>1</v>
      </c>
      <c r="CG167" s="7" t="str">
        <f t="shared" si="39"/>
        <v>Butler</v>
      </c>
      <c r="CH167" s="7" t="b">
        <f t="shared" si="40"/>
        <v>1</v>
      </c>
      <c r="CI167" s="7" t="b">
        <f>C167=GenRev!C167</f>
        <v>1</v>
      </c>
    </row>
    <row r="168" spans="1:87">
      <c r="A168" s="12" t="s">
        <v>372</v>
      </c>
      <c r="B168" s="12"/>
      <c r="C168" s="12" t="s">
        <v>39</v>
      </c>
      <c r="D168" s="12"/>
      <c r="E168" s="12">
        <v>47795</v>
      </c>
      <c r="G168" s="7">
        <v>6864154</v>
      </c>
      <c r="I168" s="7">
        <v>1523868</v>
      </c>
      <c r="K168" s="7">
        <v>124161</v>
      </c>
      <c r="M168" s="7">
        <v>0</v>
      </c>
      <c r="O168" s="7">
        <v>2622540</v>
      </c>
      <c r="Q168" s="7">
        <v>557047</v>
      </c>
      <c r="S168" s="7">
        <v>423907</v>
      </c>
      <c r="U168" s="7">
        <v>107127</v>
      </c>
      <c r="W168" s="7">
        <v>969260</v>
      </c>
      <c r="Y168" s="7">
        <v>477958</v>
      </c>
      <c r="AA168" s="7">
        <v>92244</v>
      </c>
      <c r="AC168" s="7">
        <v>1872886</v>
      </c>
      <c r="AE168" s="7">
        <v>1482104</v>
      </c>
      <c r="AG168" s="7">
        <v>247929</v>
      </c>
      <c r="AI168" s="7">
        <v>0</v>
      </c>
      <c r="AK168" s="7">
        <v>555</v>
      </c>
      <c r="AL168" s="12" t="s">
        <v>372</v>
      </c>
      <c r="AM168" s="12"/>
      <c r="AN168" s="12" t="s">
        <v>39</v>
      </c>
      <c r="AP168" s="7">
        <v>261094</v>
      </c>
      <c r="AR168" s="7">
        <v>221313</v>
      </c>
      <c r="AT168" s="7">
        <v>0</v>
      </c>
      <c r="AV168" s="7">
        <v>36452</v>
      </c>
      <c r="AX168" s="7">
        <v>17704</v>
      </c>
      <c r="AZ168" s="7">
        <v>0</v>
      </c>
      <c r="BB168" s="7">
        <f t="shared" si="45"/>
        <v>17902303</v>
      </c>
      <c r="BD168" s="7">
        <v>272735</v>
      </c>
      <c r="BF168" s="7">
        <v>0</v>
      </c>
      <c r="BH168" s="7">
        <v>0</v>
      </c>
      <c r="BJ168" s="7">
        <v>0</v>
      </c>
      <c r="BL168" s="7">
        <f t="shared" si="46"/>
        <v>18175038</v>
      </c>
      <c r="BN168" s="7">
        <f>+GenRev!AM168-GenExp!BL168</f>
        <v>-334880</v>
      </c>
      <c r="BP168" s="7">
        <v>454065</v>
      </c>
      <c r="BR168" s="7">
        <v>0</v>
      </c>
      <c r="BT168" s="7">
        <v>0</v>
      </c>
      <c r="BV168" s="7">
        <f t="shared" si="44"/>
        <v>119185</v>
      </c>
      <c r="BX168" s="8">
        <f>+BV168-'Gen Fd BS'!AE168+BT168</f>
        <v>0</v>
      </c>
      <c r="CB168" s="7" t="str">
        <f t="shared" si="41"/>
        <v>Edison Local SD</v>
      </c>
      <c r="CC168" s="7" t="b">
        <f t="shared" si="38"/>
        <v>1</v>
      </c>
      <c r="CE168" s="12" t="str">
        <f>GenRev!A168</f>
        <v>Edison Local SD</v>
      </c>
      <c r="CF168" s="7" t="b">
        <f t="shared" si="42"/>
        <v>1</v>
      </c>
      <c r="CG168" s="7" t="str">
        <f t="shared" si="39"/>
        <v>Jefferson</v>
      </c>
      <c r="CH168" s="7" t="b">
        <f t="shared" si="40"/>
        <v>1</v>
      </c>
      <c r="CI168" s="7" t="b">
        <f>C168=GenRev!C168</f>
        <v>1</v>
      </c>
    </row>
    <row r="169" spans="1:87" hidden="1">
      <c r="A169" s="12" t="s">
        <v>847</v>
      </c>
      <c r="B169" s="12"/>
      <c r="C169" s="12" t="s">
        <v>570</v>
      </c>
      <c r="D169" s="12"/>
      <c r="E169" s="12">
        <v>50625</v>
      </c>
      <c r="AL169" s="12" t="s">
        <v>847</v>
      </c>
      <c r="AM169" s="12"/>
      <c r="AN169" s="12" t="s">
        <v>570</v>
      </c>
      <c r="BB169" s="7">
        <f t="shared" si="45"/>
        <v>0</v>
      </c>
      <c r="BL169" s="7">
        <f t="shared" si="46"/>
        <v>0</v>
      </c>
      <c r="BN169" s="7">
        <f>+GenRev!AM169-GenExp!BL169</f>
        <v>0</v>
      </c>
      <c r="BT169" s="7">
        <v>0</v>
      </c>
      <c r="BV169" s="7">
        <f t="shared" si="44"/>
        <v>0</v>
      </c>
      <c r="BX169" s="8">
        <f>+BV169-'Gen Fd BS'!AE169+BT169</f>
        <v>0</v>
      </c>
      <c r="CA169" s="7" t="s">
        <v>837</v>
      </c>
      <c r="CB169" s="7" t="str">
        <f t="shared" si="41"/>
        <v>Edon-Northwest Local SD (CASH)</v>
      </c>
      <c r="CC169" s="7" t="b">
        <f t="shared" si="38"/>
        <v>1</v>
      </c>
      <c r="CE169" s="12" t="str">
        <f>GenRev!A169</f>
        <v>Edon-Northwest Local SD (CASH)</v>
      </c>
      <c r="CF169" s="7" t="b">
        <f t="shared" si="42"/>
        <v>1</v>
      </c>
      <c r="CG169" s="7" t="str">
        <f t="shared" si="39"/>
        <v>Williams</v>
      </c>
      <c r="CH169" s="7" t="b">
        <f t="shared" si="40"/>
        <v>1</v>
      </c>
      <c r="CI169" s="7" t="b">
        <f>C169=GenRev!C169</f>
        <v>1</v>
      </c>
    </row>
    <row r="170" spans="1:87" hidden="1">
      <c r="A170" s="12" t="s">
        <v>695</v>
      </c>
      <c r="B170" s="12"/>
      <c r="C170" s="12" t="s">
        <v>10</v>
      </c>
      <c r="D170" s="12"/>
      <c r="E170" s="12"/>
      <c r="AL170" s="12" t="s">
        <v>695</v>
      </c>
      <c r="AM170" s="12"/>
      <c r="AN170" s="12" t="s">
        <v>10</v>
      </c>
      <c r="BB170" s="7">
        <f t="shared" si="45"/>
        <v>0</v>
      </c>
      <c r="BL170" s="7">
        <f t="shared" si="46"/>
        <v>0</v>
      </c>
      <c r="BN170" s="7">
        <f>+GenRev!AM170-GenExp!BL170</f>
        <v>0</v>
      </c>
      <c r="BT170" s="7">
        <v>0</v>
      </c>
      <c r="BV170" s="7">
        <f t="shared" si="44"/>
        <v>0</v>
      </c>
      <c r="BX170" s="8">
        <f>+BV170-'Gen Fd BS'!AE170+BT170</f>
        <v>0</v>
      </c>
      <c r="CA170" s="7" t="s">
        <v>839</v>
      </c>
      <c r="CB170" s="7" t="str">
        <f t="shared" si="41"/>
        <v>Elida Local SD (CASH)</v>
      </c>
      <c r="CC170" s="7" t="b">
        <f t="shared" si="38"/>
        <v>1</v>
      </c>
      <c r="CE170" s="12" t="str">
        <f>GenRev!A170</f>
        <v>Elida Local SD (CASH)</v>
      </c>
      <c r="CF170" s="7" t="b">
        <f t="shared" si="42"/>
        <v>1</v>
      </c>
      <c r="CG170" s="7" t="str">
        <f t="shared" si="39"/>
        <v>Allen</v>
      </c>
      <c r="CH170" s="7" t="b">
        <f t="shared" si="40"/>
        <v>1</v>
      </c>
      <c r="CI170" s="7" t="b">
        <f>C170=GenRev!C170</f>
        <v>1</v>
      </c>
    </row>
    <row r="171" spans="1:87">
      <c r="A171" s="12" t="s">
        <v>713</v>
      </c>
      <c r="B171" s="12"/>
      <c r="C171" s="12" t="s">
        <v>46</v>
      </c>
      <c r="D171" s="12"/>
      <c r="E171" s="12">
        <v>48413</v>
      </c>
      <c r="G171" s="7">
        <v>5591668</v>
      </c>
      <c r="I171" s="7">
        <v>901603</v>
      </c>
      <c r="K171" s="7">
        <v>70117</v>
      </c>
      <c r="M171" s="7">
        <v>0</v>
      </c>
      <c r="O171" s="7">
        <v>0</v>
      </c>
      <c r="Q171" s="7">
        <v>493536</v>
      </c>
      <c r="S171" s="7">
        <v>310927</v>
      </c>
      <c r="U171" s="7">
        <v>48423</v>
      </c>
      <c r="W171" s="7">
        <v>904910</v>
      </c>
      <c r="Y171" s="7">
        <v>396908</v>
      </c>
      <c r="AA171" s="7">
        <v>0</v>
      </c>
      <c r="AC171" s="7">
        <v>1093587</v>
      </c>
      <c r="AE171" s="7">
        <v>776639</v>
      </c>
      <c r="AG171" s="7">
        <v>118220</v>
      </c>
      <c r="AI171" s="7">
        <v>0</v>
      </c>
      <c r="AK171" s="7">
        <v>0</v>
      </c>
      <c r="AL171" s="12" t="s">
        <v>713</v>
      </c>
      <c r="AM171" s="12"/>
      <c r="AN171" s="12" t="s">
        <v>46</v>
      </c>
      <c r="AP171" s="7">
        <v>250732</v>
      </c>
      <c r="AR171" s="7">
        <v>0</v>
      </c>
      <c r="AT171" s="7">
        <v>0</v>
      </c>
      <c r="AV171" s="7">
        <v>0</v>
      </c>
      <c r="AX171" s="7">
        <v>0</v>
      </c>
      <c r="AZ171" s="7">
        <v>0</v>
      </c>
      <c r="BB171" s="7">
        <f t="shared" ref="BB171:BB172" si="47">SUM(G171:AZ171)</f>
        <v>10957270</v>
      </c>
      <c r="BD171" s="7">
        <v>2000</v>
      </c>
      <c r="BF171" s="7">
        <v>0</v>
      </c>
      <c r="BH171" s="7">
        <v>0</v>
      </c>
      <c r="BJ171" s="7">
        <v>0</v>
      </c>
      <c r="BL171" s="7">
        <f t="shared" ref="BL171:BL172" si="48">+BB171+BD171+BF171+BJ171</f>
        <v>10959270</v>
      </c>
      <c r="BN171" s="7">
        <f>+GenRev!AM171-GenExp!BL171</f>
        <v>1981738</v>
      </c>
      <c r="BP171" s="7">
        <v>1490749</v>
      </c>
      <c r="BR171" s="7">
        <v>0</v>
      </c>
      <c r="BT171" s="7">
        <v>0</v>
      </c>
      <c r="BV171" s="7">
        <f t="shared" ref="BV171:BV172" si="49">+BP171+BN171-BR171</f>
        <v>3472487</v>
      </c>
      <c r="BX171" s="8">
        <f>+BV171-'Gen Fd BS'!AE171+BT171</f>
        <v>0</v>
      </c>
      <c r="CB171" s="7" t="str">
        <f t="shared" ref="CB171" si="50">A171</f>
        <v xml:space="preserve">Elgin Local SD </v>
      </c>
      <c r="CC171" s="7" t="b">
        <f t="shared" si="38"/>
        <v>1</v>
      </c>
      <c r="CE171" s="12" t="str">
        <f>GenRev!A171</f>
        <v xml:space="preserve">Elgin Local SD </v>
      </c>
      <c r="CF171" s="7" t="b">
        <f t="shared" ref="CF171" si="51">CB171=CE171</f>
        <v>1</v>
      </c>
      <c r="CG171" s="7" t="str">
        <f t="shared" si="39"/>
        <v>Marion</v>
      </c>
      <c r="CH171" s="7" t="b">
        <f t="shared" si="40"/>
        <v>1</v>
      </c>
      <c r="CI171" s="7" t="b">
        <f>C171=GenRev!C171</f>
        <v>1</v>
      </c>
    </row>
    <row r="172" spans="1:87" hidden="1">
      <c r="A172" s="12" t="s">
        <v>728</v>
      </c>
      <c r="B172" s="12"/>
      <c r="C172" s="12" t="s">
        <v>72</v>
      </c>
      <c r="D172" s="12"/>
      <c r="E172" s="12"/>
      <c r="AL172" s="12" t="s">
        <v>728</v>
      </c>
      <c r="AM172" s="12"/>
      <c r="AN172" s="12" t="s">
        <v>72</v>
      </c>
      <c r="BB172" s="7">
        <f t="shared" si="47"/>
        <v>0</v>
      </c>
      <c r="BL172" s="7">
        <f t="shared" si="48"/>
        <v>0</v>
      </c>
      <c r="BN172" s="7">
        <f>+GenRev!AM172-GenExp!BL172</f>
        <v>0</v>
      </c>
      <c r="BT172" s="7">
        <v>0</v>
      </c>
      <c r="BV172" s="7">
        <f t="shared" si="49"/>
        <v>0</v>
      </c>
      <c r="BX172" s="8">
        <f>+BV172-'Gen Fd BS'!AE172+BT172</f>
        <v>0</v>
      </c>
      <c r="CA172" s="7" t="s">
        <v>839</v>
      </c>
      <c r="CB172" s="7" t="str">
        <f t="shared" si="41"/>
        <v>Elmwood Local SD (CASH)</v>
      </c>
      <c r="CC172" s="7" t="b">
        <f t="shared" si="38"/>
        <v>1</v>
      </c>
      <c r="CE172" s="12" t="str">
        <f>GenRev!A172</f>
        <v>Elmwood Local SD (CASH)</v>
      </c>
      <c r="CF172" s="7" t="b">
        <f t="shared" si="42"/>
        <v>1</v>
      </c>
      <c r="CG172" s="7" t="str">
        <f t="shared" si="39"/>
        <v>Wood</v>
      </c>
      <c r="CH172" s="7" t="b">
        <f t="shared" si="40"/>
        <v>1</v>
      </c>
      <c r="CI172" s="7" t="b">
        <f>C172=GenRev!C172</f>
        <v>1</v>
      </c>
    </row>
    <row r="173" spans="1:87">
      <c r="A173" s="12" t="s">
        <v>396</v>
      </c>
      <c r="B173" s="12"/>
      <c r="C173" s="12" t="s">
        <v>44</v>
      </c>
      <c r="D173" s="12"/>
      <c r="E173" s="12">
        <v>43943</v>
      </c>
      <c r="G173" s="7">
        <v>27485541</v>
      </c>
      <c r="I173" s="7">
        <v>8122270</v>
      </c>
      <c r="K173" s="7">
        <v>234433</v>
      </c>
      <c r="M173" s="7">
        <v>0</v>
      </c>
      <c r="O173" s="7">
        <f>174086+7789723</f>
        <v>7963809</v>
      </c>
      <c r="Q173" s="7">
        <v>3407170</v>
      </c>
      <c r="S173" s="7">
        <v>2506306</v>
      </c>
      <c r="W173" s="7">
        <v>4357951</v>
      </c>
      <c r="Y173" s="7">
        <v>1709165</v>
      </c>
      <c r="AA173" s="7">
        <v>620267</v>
      </c>
      <c r="AC173" s="7">
        <v>5440161</v>
      </c>
      <c r="AE173" s="7">
        <v>2994307</v>
      </c>
      <c r="AG173" s="7">
        <v>1448527</v>
      </c>
      <c r="AI173" s="7">
        <v>0</v>
      </c>
      <c r="AK173" s="7">
        <v>597754</v>
      </c>
      <c r="AL173" s="12" t="s">
        <v>396</v>
      </c>
      <c r="AM173" s="12"/>
      <c r="AN173" s="12" t="s">
        <v>44</v>
      </c>
      <c r="AP173" s="7">
        <v>1069876</v>
      </c>
      <c r="AR173" s="7">
        <v>29706</v>
      </c>
      <c r="AT173" s="7">
        <v>0</v>
      </c>
      <c r="AV173" s="7">
        <v>459683</v>
      </c>
      <c r="AX173" s="7">
        <v>189446</v>
      </c>
      <c r="AZ173" s="7">
        <v>0</v>
      </c>
      <c r="BB173" s="7">
        <f t="shared" si="45"/>
        <v>68636372</v>
      </c>
      <c r="BD173" s="7">
        <v>0</v>
      </c>
      <c r="BF173" s="7">
        <v>0</v>
      </c>
      <c r="BH173" s="7">
        <v>0</v>
      </c>
      <c r="BJ173" s="7">
        <v>0</v>
      </c>
      <c r="BL173" s="7">
        <f t="shared" si="46"/>
        <v>68636372</v>
      </c>
      <c r="BN173" s="7">
        <f>+GenRev!AM173-GenExp!BL173</f>
        <v>4153412</v>
      </c>
      <c r="BP173" s="7">
        <v>-494282</v>
      </c>
      <c r="BR173" s="7">
        <v>0</v>
      </c>
      <c r="BT173" s="7">
        <v>0</v>
      </c>
      <c r="BV173" s="7">
        <f t="shared" si="44"/>
        <v>3659130</v>
      </c>
      <c r="BX173" s="8">
        <f>+BV173-'Gen Fd BS'!AE173+BT173</f>
        <v>0</v>
      </c>
      <c r="CB173" s="7" t="str">
        <f t="shared" si="41"/>
        <v>Elyria City SD</v>
      </c>
      <c r="CC173" s="7" t="b">
        <f t="shared" si="38"/>
        <v>1</v>
      </c>
      <c r="CE173" s="12" t="str">
        <f>GenRev!A173</f>
        <v>Elyria City SD</v>
      </c>
      <c r="CF173" s="7" t="b">
        <f t="shared" si="42"/>
        <v>1</v>
      </c>
      <c r="CG173" s="7" t="str">
        <f t="shared" si="39"/>
        <v>Lorain</v>
      </c>
      <c r="CH173" s="7" t="b">
        <f t="shared" si="40"/>
        <v>1</v>
      </c>
      <c r="CI173" s="7" t="b">
        <f>C173=GenRev!C173</f>
        <v>1</v>
      </c>
    </row>
    <row r="174" spans="1:87">
      <c r="A174" s="12" t="s">
        <v>273</v>
      </c>
      <c r="B174" s="12"/>
      <c r="C174" s="12" t="s">
        <v>20</v>
      </c>
      <c r="D174" s="12"/>
      <c r="E174" s="12">
        <v>43950</v>
      </c>
      <c r="G174" s="7">
        <v>27595625</v>
      </c>
      <c r="I174" s="7">
        <v>13686510</v>
      </c>
      <c r="K174" s="7">
        <v>1122036</v>
      </c>
      <c r="M174" s="7">
        <v>0</v>
      </c>
      <c r="O174" s="7">
        <v>43318</v>
      </c>
      <c r="Q174" s="7">
        <v>4414668</v>
      </c>
      <c r="S174" s="7">
        <v>4262302</v>
      </c>
      <c r="U174" s="7">
        <v>54028</v>
      </c>
      <c r="W174" s="7">
        <v>5070678</v>
      </c>
      <c r="Y174" s="7">
        <v>1935254</v>
      </c>
      <c r="AA174" s="7">
        <v>676803</v>
      </c>
      <c r="AC174" s="7">
        <v>7719826</v>
      </c>
      <c r="AE174" s="7">
        <v>4726376</v>
      </c>
      <c r="AG174" s="7">
        <v>1585767</v>
      </c>
      <c r="AI174" s="7">
        <v>0</v>
      </c>
      <c r="AK174" s="7">
        <v>42495</v>
      </c>
      <c r="AL174" s="12" t="s">
        <v>273</v>
      </c>
      <c r="AM174" s="12"/>
      <c r="AN174" s="12" t="s">
        <v>20</v>
      </c>
      <c r="AP174" s="7">
        <v>884213</v>
      </c>
      <c r="AR174" s="7">
        <v>0</v>
      </c>
      <c r="AT174" s="7">
        <v>0</v>
      </c>
      <c r="AV174" s="7">
        <v>0</v>
      </c>
      <c r="AX174" s="7">
        <v>0</v>
      </c>
      <c r="AZ174" s="7">
        <v>0</v>
      </c>
      <c r="BB174" s="7">
        <f t="shared" si="45"/>
        <v>73819899</v>
      </c>
      <c r="BD174" s="7">
        <v>304732</v>
      </c>
      <c r="BF174" s="7">
        <v>0</v>
      </c>
      <c r="BH174" s="7">
        <v>0</v>
      </c>
      <c r="BJ174" s="7">
        <v>0</v>
      </c>
      <c r="BL174" s="7">
        <f t="shared" si="46"/>
        <v>74124631</v>
      </c>
      <c r="BN174" s="7">
        <f>+GenRev!AM174-GenExp!BL174</f>
        <v>-2492022</v>
      </c>
      <c r="BP174" s="7">
        <v>6604911</v>
      </c>
      <c r="BR174" s="7">
        <v>0</v>
      </c>
      <c r="BT174" s="7">
        <v>0</v>
      </c>
      <c r="BV174" s="7">
        <f t="shared" si="44"/>
        <v>4112889</v>
      </c>
      <c r="BX174" s="8">
        <f>+BV174-'Gen Fd BS'!AE174+BT174</f>
        <v>0</v>
      </c>
      <c r="CB174" s="7" t="str">
        <f t="shared" si="41"/>
        <v>Euclid City SD</v>
      </c>
      <c r="CC174" s="7" t="b">
        <f t="shared" si="38"/>
        <v>1</v>
      </c>
      <c r="CE174" s="12" t="str">
        <f>GenRev!A174</f>
        <v>Euclid City SD</v>
      </c>
      <c r="CF174" s="7" t="b">
        <f t="shared" si="42"/>
        <v>1</v>
      </c>
      <c r="CG174" s="7" t="str">
        <f t="shared" si="39"/>
        <v>Cuyahoga</v>
      </c>
      <c r="CH174" s="7" t="b">
        <f t="shared" si="40"/>
        <v>1</v>
      </c>
      <c r="CI174" s="7" t="b">
        <f>C174=GenRev!C174</f>
        <v>1</v>
      </c>
    </row>
    <row r="175" spans="1:87" hidden="1">
      <c r="A175" s="12" t="s">
        <v>646</v>
      </c>
      <c r="B175" s="12"/>
      <c r="C175" s="12" t="s">
        <v>28</v>
      </c>
      <c r="D175" s="12"/>
      <c r="E175" s="12">
        <v>47050</v>
      </c>
      <c r="AL175" s="12" t="s">
        <v>646</v>
      </c>
      <c r="AM175" s="12"/>
      <c r="AN175" s="12" t="s">
        <v>28</v>
      </c>
      <c r="BB175" s="7">
        <f t="shared" si="45"/>
        <v>0</v>
      </c>
      <c r="BL175" s="7">
        <f t="shared" si="46"/>
        <v>0</v>
      </c>
      <c r="BN175" s="7">
        <f>+GenRev!AM175-GenExp!BL175</f>
        <v>0</v>
      </c>
      <c r="BT175" s="7">
        <v>0</v>
      </c>
      <c r="BV175" s="7">
        <f t="shared" si="44"/>
        <v>0</v>
      </c>
      <c r="BX175" s="8">
        <f>+BV175-'Gen Fd BS'!AE175+BT175</f>
        <v>0</v>
      </c>
      <c r="CA175" s="7" t="s">
        <v>839</v>
      </c>
      <c r="CB175" s="7" t="str">
        <f t="shared" si="41"/>
        <v>Evergreen Local SD (CASH)</v>
      </c>
      <c r="CC175" s="7" t="b">
        <f t="shared" si="38"/>
        <v>1</v>
      </c>
      <c r="CE175" s="12" t="str">
        <f>GenRev!A175</f>
        <v>Evergreen Local SD (CASH)</v>
      </c>
      <c r="CF175" s="7" t="b">
        <f t="shared" si="42"/>
        <v>1</v>
      </c>
      <c r="CG175" s="7" t="str">
        <f t="shared" si="39"/>
        <v>Fulton</v>
      </c>
      <c r="CH175" s="7" t="b">
        <f t="shared" si="40"/>
        <v>1</v>
      </c>
      <c r="CI175" s="7" t="b">
        <f>C175=GenRev!C175</f>
        <v>1</v>
      </c>
    </row>
    <row r="176" spans="1:87">
      <c r="A176" s="12" t="s">
        <v>555</v>
      </c>
      <c r="B176" s="12"/>
      <c r="C176" s="12" t="s">
        <v>66</v>
      </c>
      <c r="D176" s="12"/>
      <c r="E176" s="12">
        <v>50328</v>
      </c>
      <c r="G176" s="7">
        <v>4664472</v>
      </c>
      <c r="I176" s="7">
        <v>833813</v>
      </c>
      <c r="K176" s="7">
        <v>40752</v>
      </c>
      <c r="M176" s="7">
        <v>0</v>
      </c>
      <c r="O176" s="7">
        <v>65298</v>
      </c>
      <c r="Q176" s="7">
        <v>593660</v>
      </c>
      <c r="S176" s="7">
        <v>297564</v>
      </c>
      <c r="U176" s="7">
        <v>63073</v>
      </c>
      <c r="W176" s="7">
        <v>925635</v>
      </c>
      <c r="Y176" s="7">
        <v>392668</v>
      </c>
      <c r="AA176" s="7">
        <v>0</v>
      </c>
      <c r="AC176" s="7">
        <v>948542</v>
      </c>
      <c r="AE176" s="7">
        <v>730085</v>
      </c>
      <c r="AG176" s="7">
        <v>0</v>
      </c>
      <c r="AI176" s="7">
        <v>0</v>
      </c>
      <c r="AK176" s="7">
        <v>1585</v>
      </c>
      <c r="AL176" s="12" t="s">
        <v>555</v>
      </c>
      <c r="AM176" s="12"/>
      <c r="AN176" s="12" t="s">
        <v>66</v>
      </c>
      <c r="AP176" s="7">
        <v>216708</v>
      </c>
      <c r="AR176" s="7">
        <v>0</v>
      </c>
      <c r="AT176" s="7">
        <v>0</v>
      </c>
      <c r="AV176" s="7">
        <v>26069</v>
      </c>
      <c r="AX176" s="7">
        <v>1691</v>
      </c>
      <c r="AZ176" s="7">
        <v>0</v>
      </c>
      <c r="BB176" s="7">
        <f t="shared" si="45"/>
        <v>9801615</v>
      </c>
      <c r="BD176" s="7">
        <v>45434</v>
      </c>
      <c r="BF176" s="7">
        <v>0</v>
      </c>
      <c r="BH176" s="7">
        <v>0</v>
      </c>
      <c r="BJ176" s="7">
        <v>0</v>
      </c>
      <c r="BL176" s="7">
        <f t="shared" si="46"/>
        <v>9847049</v>
      </c>
      <c r="BN176" s="7">
        <f>+GenRev!AM176-GenExp!BL176</f>
        <v>-283552</v>
      </c>
      <c r="BP176" s="7">
        <v>2197680</v>
      </c>
      <c r="BR176" s="7">
        <v>0</v>
      </c>
      <c r="BT176" s="7">
        <v>0</v>
      </c>
      <c r="BV176" s="7">
        <f t="shared" si="44"/>
        <v>1914128</v>
      </c>
      <c r="BX176" s="8">
        <f>+BV176-'Gen Fd BS'!AE176+BT176</f>
        <v>0</v>
      </c>
      <c r="CB176" s="7" t="str">
        <f t="shared" si="41"/>
        <v>Fairbanks Local SD</v>
      </c>
      <c r="CC176" s="7" t="b">
        <f t="shared" si="38"/>
        <v>1</v>
      </c>
      <c r="CE176" s="12" t="str">
        <f>GenRev!A176</f>
        <v>Fairbanks Local SD</v>
      </c>
      <c r="CF176" s="7" t="b">
        <f t="shared" si="42"/>
        <v>1</v>
      </c>
      <c r="CG176" s="7" t="str">
        <f t="shared" si="39"/>
        <v>Union</v>
      </c>
      <c r="CH176" s="7" t="b">
        <f t="shared" si="40"/>
        <v>1</v>
      </c>
      <c r="CI176" s="7" t="b">
        <f>C176=GenRev!C176</f>
        <v>1</v>
      </c>
    </row>
    <row r="177" spans="1:87">
      <c r="A177" s="12" t="s">
        <v>653</v>
      </c>
      <c r="B177" s="12"/>
      <c r="C177" s="12" t="s">
        <v>114</v>
      </c>
      <c r="D177" s="12"/>
      <c r="E177" s="12">
        <v>46102</v>
      </c>
      <c r="F177" s="10"/>
      <c r="G177" s="7">
        <v>18110499</v>
      </c>
      <c r="I177" s="7">
        <v>5332653</v>
      </c>
      <c r="K177" s="7">
        <v>0</v>
      </c>
      <c r="M177" s="7">
        <v>0</v>
      </c>
      <c r="O177" s="7">
        <v>2449701</v>
      </c>
      <c r="Q177" s="7">
        <v>3139263</v>
      </c>
      <c r="S177" s="7">
        <v>1404676</v>
      </c>
      <c r="U177" s="7">
        <v>68524</v>
      </c>
      <c r="W177" s="7">
        <v>3048461</v>
      </c>
      <c r="Y177" s="7">
        <v>841598</v>
      </c>
      <c r="AA177" s="7">
        <v>232685</v>
      </c>
      <c r="AC177" s="7">
        <v>3465855</v>
      </c>
      <c r="AE177" s="7">
        <v>2243327</v>
      </c>
      <c r="AG177" s="7">
        <v>369331</v>
      </c>
      <c r="AI177" s="7">
        <v>0</v>
      </c>
      <c r="AK177" s="7">
        <v>0</v>
      </c>
      <c r="AL177" s="12" t="s">
        <v>653</v>
      </c>
      <c r="AM177" s="12"/>
      <c r="AN177" s="12" t="s">
        <v>114</v>
      </c>
      <c r="AP177" s="7">
        <v>615399</v>
      </c>
      <c r="AR177" s="7">
        <v>0</v>
      </c>
      <c r="AT177" s="7">
        <v>0</v>
      </c>
      <c r="AV177" s="7">
        <v>0</v>
      </c>
      <c r="AX177" s="7">
        <v>0</v>
      </c>
      <c r="AZ177" s="7">
        <v>0</v>
      </c>
      <c r="BB177" s="7">
        <f>SUM(G177:AZ177)</f>
        <v>41321972</v>
      </c>
      <c r="BD177" s="7">
        <v>243875</v>
      </c>
      <c r="BF177" s="7">
        <v>0</v>
      </c>
      <c r="BH177" s="7">
        <v>0</v>
      </c>
      <c r="BJ177" s="7">
        <v>0</v>
      </c>
      <c r="BL177" s="7">
        <f>+BB177+BD177+BF177+BJ177</f>
        <v>41565847</v>
      </c>
      <c r="BN177" s="7">
        <f>+GenRev!AM177-GenExp!BL177</f>
        <v>93493</v>
      </c>
      <c r="BP177" s="7">
        <v>2507749</v>
      </c>
      <c r="BR177" s="7">
        <v>0</v>
      </c>
      <c r="BT177" s="7">
        <v>0</v>
      </c>
      <c r="BV177" s="7">
        <f>+BP177+BN177-BR177</f>
        <v>2601242</v>
      </c>
      <c r="BX177" s="8">
        <f>+BV177-'Gen Fd BS'!AE177+BT177</f>
        <v>0</v>
      </c>
      <c r="CB177" s="7" t="str">
        <f t="shared" si="41"/>
        <v>Fairborn City SD</v>
      </c>
      <c r="CC177" s="7" t="b">
        <f t="shared" si="38"/>
        <v>1</v>
      </c>
      <c r="CE177" s="12" t="str">
        <f>GenRev!A177</f>
        <v>Fairborn City SD</v>
      </c>
      <c r="CF177" s="7" t="b">
        <f t="shared" si="42"/>
        <v>1</v>
      </c>
      <c r="CG177" s="7" t="str">
        <f t="shared" si="39"/>
        <v>Greene</v>
      </c>
      <c r="CH177" s="7" t="b">
        <f t="shared" si="40"/>
        <v>1</v>
      </c>
      <c r="CI177" s="7" t="b">
        <f>C177=GenRev!C177</f>
        <v>1</v>
      </c>
    </row>
    <row r="178" spans="1:87">
      <c r="A178" s="12" t="s">
        <v>224</v>
      </c>
      <c r="B178" s="12"/>
      <c r="C178" s="12" t="s">
        <v>223</v>
      </c>
      <c r="D178" s="12"/>
      <c r="E178" s="12">
        <v>46102</v>
      </c>
      <c r="F178" s="10"/>
      <c r="G178" s="7">
        <v>35121956</v>
      </c>
      <c r="I178" s="7">
        <v>6766519</v>
      </c>
      <c r="K178" s="7">
        <v>0</v>
      </c>
      <c r="M178" s="7">
        <v>0</v>
      </c>
      <c r="O178" s="7">
        <v>2274327</v>
      </c>
      <c r="Q178" s="7">
        <v>3776832</v>
      </c>
      <c r="S178" s="7">
        <v>5854392</v>
      </c>
      <c r="U178" s="7">
        <v>19095</v>
      </c>
      <c r="W178" s="7">
        <v>4715048</v>
      </c>
      <c r="Y178" s="7">
        <v>1171690</v>
      </c>
      <c r="AA178" s="7">
        <v>310651</v>
      </c>
      <c r="AC178" s="7">
        <v>5317460</v>
      </c>
      <c r="AE178" s="7">
        <v>6770843</v>
      </c>
      <c r="AG178" s="7">
        <v>125314</v>
      </c>
      <c r="AI178" s="7">
        <v>0</v>
      </c>
      <c r="AK178" s="7">
        <v>645891</v>
      </c>
      <c r="AL178" s="12" t="s">
        <v>224</v>
      </c>
      <c r="AM178" s="12"/>
      <c r="AN178" s="12" t="s">
        <v>223</v>
      </c>
      <c r="AP178" s="7">
        <v>1253821</v>
      </c>
      <c r="AR178" s="7">
        <v>0</v>
      </c>
      <c r="AT178" s="7">
        <v>0</v>
      </c>
      <c r="AV178" s="7">
        <v>91971</v>
      </c>
      <c r="AX178" s="7">
        <v>0</v>
      </c>
      <c r="AZ178" s="7">
        <v>0</v>
      </c>
      <c r="BB178" s="7">
        <f t="shared" si="45"/>
        <v>74215810</v>
      </c>
      <c r="BD178" s="7">
        <v>0</v>
      </c>
      <c r="BF178" s="7">
        <v>0</v>
      </c>
      <c r="BH178" s="7">
        <v>0</v>
      </c>
      <c r="BJ178" s="7">
        <v>0</v>
      </c>
      <c r="BL178" s="7">
        <f t="shared" si="46"/>
        <v>74215810</v>
      </c>
      <c r="BN178" s="7">
        <f>+GenRev!AM178-GenExp!BL178</f>
        <v>-1613895</v>
      </c>
      <c r="BP178" s="7">
        <v>4775578</v>
      </c>
      <c r="BR178" s="7">
        <v>0</v>
      </c>
      <c r="BT178" s="7">
        <v>0</v>
      </c>
      <c r="BV178" s="7">
        <f t="shared" si="44"/>
        <v>3161683</v>
      </c>
      <c r="BX178" s="8">
        <f>+BV178-'Gen Fd BS'!AE178+BT178</f>
        <v>0</v>
      </c>
      <c r="CB178" s="7" t="str">
        <f t="shared" si="41"/>
        <v>Fairfield City SD</v>
      </c>
      <c r="CC178" s="7" t="b">
        <f t="shared" si="38"/>
        <v>1</v>
      </c>
      <c r="CE178" s="12" t="str">
        <f>GenRev!A178</f>
        <v>Fairfield City SD</v>
      </c>
      <c r="CF178" s="7" t="b">
        <f t="shared" si="42"/>
        <v>1</v>
      </c>
      <c r="CG178" s="7" t="str">
        <f t="shared" si="39"/>
        <v>Butler</v>
      </c>
      <c r="CH178" s="7" t="b">
        <f t="shared" si="40"/>
        <v>1</v>
      </c>
      <c r="CI178" s="7" t="b">
        <f>C178=GenRev!C178</f>
        <v>1</v>
      </c>
    </row>
    <row r="179" spans="1:87">
      <c r="A179" s="12" t="s">
        <v>359</v>
      </c>
      <c r="B179" s="12"/>
      <c r="C179" s="12" t="s">
        <v>358</v>
      </c>
      <c r="D179" s="12"/>
      <c r="E179" s="12">
        <v>47621</v>
      </c>
      <c r="G179" s="7">
        <v>3527931</v>
      </c>
      <c r="I179" s="7">
        <v>297842</v>
      </c>
      <c r="K179" s="7">
        <v>182943</v>
      </c>
      <c r="M179" s="7">
        <v>0</v>
      </c>
      <c r="O179" s="7">
        <v>1092</v>
      </c>
      <c r="Q179" s="7">
        <v>281165</v>
      </c>
      <c r="S179" s="7">
        <v>309253</v>
      </c>
      <c r="U179" s="7">
        <v>40874</v>
      </c>
      <c r="W179" s="7">
        <v>514242</v>
      </c>
      <c r="Y179" s="7">
        <v>263375</v>
      </c>
      <c r="AA179" s="7">
        <v>24811</v>
      </c>
      <c r="AC179" s="7">
        <v>275538</v>
      </c>
      <c r="AE179" s="7">
        <v>396720</v>
      </c>
      <c r="AG179" s="7">
        <v>47706</v>
      </c>
      <c r="AI179" s="7">
        <v>0</v>
      </c>
      <c r="AK179" s="7">
        <v>0</v>
      </c>
      <c r="AL179" s="12" t="s">
        <v>359</v>
      </c>
      <c r="AM179" s="12"/>
      <c r="AN179" s="12" t="s">
        <v>358</v>
      </c>
      <c r="AP179" s="7">
        <v>85346</v>
      </c>
      <c r="AR179" s="7">
        <v>0</v>
      </c>
      <c r="AT179" s="7">
        <v>0</v>
      </c>
      <c r="AV179" s="7">
        <v>0</v>
      </c>
      <c r="AX179" s="7">
        <v>0</v>
      </c>
      <c r="AZ179" s="7">
        <v>0</v>
      </c>
      <c r="BB179" s="7">
        <f t="shared" si="45"/>
        <v>6248838</v>
      </c>
      <c r="BD179" s="7">
        <v>0</v>
      </c>
      <c r="BF179" s="7">
        <v>0</v>
      </c>
      <c r="BH179" s="7">
        <v>0</v>
      </c>
      <c r="BJ179" s="7">
        <v>0</v>
      </c>
      <c r="BL179" s="7">
        <f t="shared" si="46"/>
        <v>6248838</v>
      </c>
      <c r="BN179" s="7">
        <f>+GenRev!AM179-GenExp!BL179</f>
        <v>547249</v>
      </c>
      <c r="BP179" s="7">
        <v>678961</v>
      </c>
      <c r="BR179" s="7">
        <v>0</v>
      </c>
      <c r="BT179" s="7">
        <v>0</v>
      </c>
      <c r="BV179" s="7">
        <f t="shared" si="44"/>
        <v>1226210</v>
      </c>
      <c r="BX179" s="8">
        <f>+BV179-'Gen Fd BS'!AE179+BT179</f>
        <v>0</v>
      </c>
      <c r="CB179" s="7" t="str">
        <f t="shared" si="41"/>
        <v>Fairfield Local SD</v>
      </c>
      <c r="CC179" s="7" t="b">
        <f t="shared" si="38"/>
        <v>1</v>
      </c>
      <c r="CE179" s="12" t="str">
        <f>GenRev!A179</f>
        <v>Fairfield Local SD</v>
      </c>
      <c r="CF179" s="7" t="b">
        <f t="shared" si="42"/>
        <v>1</v>
      </c>
      <c r="CG179" s="7" t="str">
        <f t="shared" si="39"/>
        <v>Highland</v>
      </c>
      <c r="CH179" s="7" t="b">
        <f t="shared" si="40"/>
        <v>1</v>
      </c>
      <c r="CI179" s="7" t="b">
        <f>C179=GenRev!C179</f>
        <v>1</v>
      </c>
    </row>
    <row r="180" spans="1:87">
      <c r="A180" s="12" t="s">
        <v>300</v>
      </c>
      <c r="B180" s="12"/>
      <c r="C180" s="12" t="s">
        <v>25</v>
      </c>
      <c r="D180" s="12"/>
      <c r="E180" s="12">
        <v>46870</v>
      </c>
      <c r="G180" s="7">
        <v>7615562</v>
      </c>
      <c r="I180" s="7">
        <v>1658369</v>
      </c>
      <c r="K180" s="7">
        <v>380741</v>
      </c>
      <c r="M180" s="7">
        <v>0</v>
      </c>
      <c r="O180" s="7">
        <v>292573</v>
      </c>
      <c r="Q180" s="7">
        <v>912123</v>
      </c>
      <c r="S180" s="7">
        <v>800534</v>
      </c>
      <c r="U180" s="7">
        <v>42973</v>
      </c>
      <c r="W180" s="7">
        <v>1361348</v>
      </c>
      <c r="Y180" s="7">
        <v>577562</v>
      </c>
      <c r="AA180" s="7">
        <v>0</v>
      </c>
      <c r="AC180" s="7">
        <v>1429697</v>
      </c>
      <c r="AE180" s="7">
        <v>1220585</v>
      </c>
      <c r="AG180" s="7">
        <v>92908</v>
      </c>
      <c r="AI180" s="7">
        <v>0</v>
      </c>
      <c r="AK180" s="7">
        <v>0</v>
      </c>
      <c r="AL180" s="12" t="s">
        <v>300</v>
      </c>
      <c r="AM180" s="12"/>
      <c r="AN180" s="12" t="s">
        <v>25</v>
      </c>
      <c r="AP180" s="7">
        <v>421200</v>
      </c>
      <c r="AR180" s="7">
        <v>0</v>
      </c>
      <c r="AT180" s="7">
        <v>0</v>
      </c>
      <c r="AV180" s="7">
        <v>68027</v>
      </c>
      <c r="AX180" s="7">
        <v>17090</v>
      </c>
      <c r="AZ180" s="7">
        <v>0</v>
      </c>
      <c r="BB180" s="7">
        <f t="shared" si="45"/>
        <v>16891292</v>
      </c>
      <c r="BD180" s="7">
        <v>1578525</v>
      </c>
      <c r="BF180" s="7">
        <v>0</v>
      </c>
      <c r="BH180" s="7">
        <v>0</v>
      </c>
      <c r="BJ180" s="7">
        <v>0</v>
      </c>
      <c r="BL180" s="7">
        <f t="shared" si="46"/>
        <v>18469817</v>
      </c>
      <c r="BN180" s="7">
        <f>+GenRev!AM180-GenExp!BL180</f>
        <v>473730</v>
      </c>
      <c r="BP180" s="7">
        <v>4171848</v>
      </c>
      <c r="BR180" s="7">
        <v>0</v>
      </c>
      <c r="BT180" s="7">
        <v>0</v>
      </c>
      <c r="BV180" s="7">
        <f t="shared" si="44"/>
        <v>4645578</v>
      </c>
      <c r="BX180" s="8">
        <f>+BV180-'Gen Fd BS'!AE180+BT180</f>
        <v>0</v>
      </c>
      <c r="CB180" s="7" t="str">
        <f t="shared" si="41"/>
        <v>Fairfield Union Local SD</v>
      </c>
      <c r="CC180" s="7" t="b">
        <f t="shared" si="38"/>
        <v>1</v>
      </c>
      <c r="CE180" s="12" t="str">
        <f>GenRev!A180</f>
        <v>Fairfield Union Local SD</v>
      </c>
      <c r="CF180" s="7" t="b">
        <f t="shared" si="42"/>
        <v>1</v>
      </c>
      <c r="CG180" s="7" t="str">
        <f t="shared" si="39"/>
        <v>Fairfield</v>
      </c>
      <c r="CH180" s="7" t="b">
        <f t="shared" si="40"/>
        <v>1</v>
      </c>
      <c r="CI180" s="7" t="b">
        <f>C180=GenRev!C180</f>
        <v>1</v>
      </c>
    </row>
    <row r="181" spans="1:87" s="32" customFormat="1">
      <c r="A181" s="31" t="s">
        <v>379</v>
      </c>
      <c r="B181" s="31"/>
      <c r="C181" s="31" t="s">
        <v>377</v>
      </c>
      <c r="D181" s="31"/>
      <c r="E181" s="31">
        <v>47936</v>
      </c>
      <c r="G181" s="32">
        <v>6222137</v>
      </c>
      <c r="I181" s="32">
        <v>1126261</v>
      </c>
      <c r="K181" s="32">
        <v>72700</v>
      </c>
      <c r="M181" s="32">
        <v>0</v>
      </c>
      <c r="O181" s="32">
        <f>5889+59817</f>
        <v>65706</v>
      </c>
      <c r="Q181" s="32">
        <v>354114</v>
      </c>
      <c r="S181" s="32">
        <v>587624</v>
      </c>
      <c r="U181" s="32">
        <v>157141</v>
      </c>
      <c r="W181" s="32">
        <v>1363496</v>
      </c>
      <c r="Y181" s="32">
        <v>378833</v>
      </c>
      <c r="AA181" s="32">
        <v>280</v>
      </c>
      <c r="AC181" s="32">
        <v>1492506</v>
      </c>
      <c r="AE181" s="32">
        <v>754007</v>
      </c>
      <c r="AG181" s="32">
        <v>904</v>
      </c>
      <c r="AI181" s="32">
        <v>0</v>
      </c>
      <c r="AK181" s="32">
        <v>8382</v>
      </c>
      <c r="AL181" s="31" t="s">
        <v>379</v>
      </c>
      <c r="AM181" s="31"/>
      <c r="AN181" s="31" t="s">
        <v>377</v>
      </c>
      <c r="AP181" s="32">
        <v>209382</v>
      </c>
      <c r="AR181" s="32">
        <v>0</v>
      </c>
      <c r="AT181" s="32">
        <v>0</v>
      </c>
      <c r="AV181" s="32">
        <v>0</v>
      </c>
      <c r="AX181" s="32">
        <v>0</v>
      </c>
      <c r="AZ181" s="32">
        <v>0</v>
      </c>
      <c r="BB181" s="32">
        <f t="shared" si="45"/>
        <v>12793473</v>
      </c>
      <c r="BD181" s="32">
        <v>15972</v>
      </c>
      <c r="BF181" s="32">
        <v>0</v>
      </c>
      <c r="BH181" s="32">
        <v>0</v>
      </c>
      <c r="BJ181" s="32">
        <v>0</v>
      </c>
      <c r="BL181" s="32">
        <f t="shared" si="46"/>
        <v>12809445</v>
      </c>
      <c r="BN181" s="32">
        <f>+GenRev!AM181-GenExp!BL181</f>
        <v>34979</v>
      </c>
      <c r="BP181" s="32">
        <v>3623488</v>
      </c>
      <c r="BR181" s="32">
        <v>0</v>
      </c>
      <c r="BT181" s="32">
        <v>0</v>
      </c>
      <c r="BV181" s="32">
        <f t="shared" si="44"/>
        <v>3658467</v>
      </c>
      <c r="BX181" s="36">
        <f>+BV181-'Gen Fd BS'!AE181+BT181</f>
        <v>0</v>
      </c>
      <c r="CB181" s="32" t="str">
        <f t="shared" si="41"/>
        <v>Fairland Local SD</v>
      </c>
      <c r="CC181" s="32" t="b">
        <f t="shared" si="38"/>
        <v>1</v>
      </c>
      <c r="CE181" s="31" t="str">
        <f>GenRev!A181</f>
        <v>Fairland Local SD</v>
      </c>
      <c r="CF181" s="32" t="b">
        <f t="shared" si="42"/>
        <v>1</v>
      </c>
      <c r="CG181" s="32" t="str">
        <f t="shared" si="39"/>
        <v>Lawrence</v>
      </c>
      <c r="CH181" s="32" t="b">
        <f t="shared" si="40"/>
        <v>1</v>
      </c>
      <c r="CI181" s="32" t="b">
        <f>C181=GenRev!C181</f>
        <v>1</v>
      </c>
    </row>
    <row r="182" spans="1:87" hidden="1">
      <c r="A182" s="12" t="s">
        <v>647</v>
      </c>
      <c r="B182" s="12"/>
      <c r="C182" s="12" t="s">
        <v>61</v>
      </c>
      <c r="D182" s="12"/>
      <c r="E182" s="12">
        <v>49775</v>
      </c>
      <c r="AL182" s="12" t="s">
        <v>647</v>
      </c>
      <c r="AM182" s="12"/>
      <c r="AN182" s="12" t="s">
        <v>61</v>
      </c>
      <c r="BB182" s="7">
        <f t="shared" si="45"/>
        <v>0</v>
      </c>
      <c r="BL182" s="7">
        <f t="shared" si="46"/>
        <v>0</v>
      </c>
      <c r="BN182" s="7">
        <f>+GenRev!AM182-GenExp!BL182</f>
        <v>0</v>
      </c>
      <c r="BT182" s="7">
        <v>0</v>
      </c>
      <c r="BV182" s="7">
        <f t="shared" si="44"/>
        <v>0</v>
      </c>
      <c r="BX182" s="8">
        <f>+BV182-'Gen Fd BS'!AE182+BT182</f>
        <v>0</v>
      </c>
      <c r="CA182" s="7" t="s">
        <v>839</v>
      </c>
      <c r="CB182" s="7" t="str">
        <f t="shared" si="41"/>
        <v>Fairlawn Local SD (CASH)</v>
      </c>
      <c r="CC182" s="7" t="b">
        <f t="shared" si="38"/>
        <v>1</v>
      </c>
      <c r="CE182" s="12" t="str">
        <f>GenRev!A182</f>
        <v>Fairlawn Local SD (CASH)</v>
      </c>
      <c r="CF182" s="7" t="b">
        <f t="shared" si="42"/>
        <v>1</v>
      </c>
      <c r="CG182" s="7" t="str">
        <f t="shared" si="39"/>
        <v>Shelby</v>
      </c>
      <c r="CH182" s="7" t="b">
        <f t="shared" si="40"/>
        <v>1</v>
      </c>
      <c r="CI182" s="7" t="b">
        <f>C182=GenRev!C182</f>
        <v>1</v>
      </c>
    </row>
    <row r="183" spans="1:87">
      <c r="A183" s="12" t="s">
        <v>511</v>
      </c>
      <c r="B183" s="12"/>
      <c r="C183" s="12" t="s">
        <v>62</v>
      </c>
      <c r="D183" s="12"/>
      <c r="E183" s="12">
        <v>49841</v>
      </c>
      <c r="G183" s="7">
        <v>6659571</v>
      </c>
      <c r="I183" s="7">
        <v>1790680</v>
      </c>
      <c r="K183" s="7">
        <v>298936</v>
      </c>
      <c r="M183" s="7">
        <v>0</v>
      </c>
      <c r="O183" s="7">
        <v>233767</v>
      </c>
      <c r="Q183" s="7">
        <v>1039700</v>
      </c>
      <c r="S183" s="7">
        <v>324723</v>
      </c>
      <c r="U183" s="7">
        <v>16210</v>
      </c>
      <c r="W183" s="7">
        <v>1005053</v>
      </c>
      <c r="Y183" s="7">
        <v>402057</v>
      </c>
      <c r="AA183" s="7">
        <v>0</v>
      </c>
      <c r="AC183" s="7">
        <v>1414917</v>
      </c>
      <c r="AE183" s="7">
        <v>984465</v>
      </c>
      <c r="AG183" s="7">
        <v>21497</v>
      </c>
      <c r="AI183" s="7">
        <v>0</v>
      </c>
      <c r="AK183" s="7">
        <v>30671</v>
      </c>
      <c r="AL183" s="12" t="s">
        <v>511</v>
      </c>
      <c r="AM183" s="12"/>
      <c r="AN183" s="12" t="s">
        <v>62</v>
      </c>
      <c r="AP183" s="7">
        <v>297782</v>
      </c>
      <c r="AR183" s="7">
        <v>0</v>
      </c>
      <c r="AT183" s="7">
        <v>0</v>
      </c>
      <c r="AV183" s="7">
        <v>0</v>
      </c>
      <c r="AX183" s="7">
        <v>0</v>
      </c>
      <c r="AZ183" s="7">
        <v>0</v>
      </c>
      <c r="BB183" s="7">
        <f t="shared" si="45"/>
        <v>14520029</v>
      </c>
      <c r="BD183" s="7">
        <v>115713</v>
      </c>
      <c r="BF183" s="7">
        <v>0</v>
      </c>
      <c r="BH183" s="7">
        <v>0</v>
      </c>
      <c r="BJ183" s="7">
        <v>0</v>
      </c>
      <c r="BL183" s="7">
        <f t="shared" si="46"/>
        <v>14635742</v>
      </c>
      <c r="BN183" s="7">
        <f>+GenRev!AM183-GenExp!BL183</f>
        <v>981418</v>
      </c>
      <c r="BP183" s="7">
        <v>1826099</v>
      </c>
      <c r="BR183" s="7">
        <v>0</v>
      </c>
      <c r="BT183" s="7">
        <v>0</v>
      </c>
      <c r="BV183" s="7">
        <f t="shared" si="44"/>
        <v>2807517</v>
      </c>
      <c r="BX183" s="8">
        <f>+BV183-'Gen Fd BS'!AE183+BT183</f>
        <v>0</v>
      </c>
      <c r="CB183" s="7" t="str">
        <f t="shared" si="41"/>
        <v>Fairless Local SD</v>
      </c>
      <c r="CC183" s="7" t="b">
        <f t="shared" si="38"/>
        <v>1</v>
      </c>
      <c r="CE183" s="12" t="str">
        <f>GenRev!A183</f>
        <v>Fairless Local SD</v>
      </c>
      <c r="CF183" s="7" t="b">
        <f t="shared" si="42"/>
        <v>1</v>
      </c>
      <c r="CG183" s="7" t="str">
        <f t="shared" si="39"/>
        <v>Stark</v>
      </c>
      <c r="CH183" s="7" t="b">
        <f t="shared" si="40"/>
        <v>1</v>
      </c>
      <c r="CI183" s="7" t="b">
        <f>C183=GenRev!C183</f>
        <v>1</v>
      </c>
    </row>
    <row r="184" spans="1:87" hidden="1">
      <c r="A184" s="12" t="s">
        <v>711</v>
      </c>
      <c r="B184" s="12"/>
      <c r="C184" s="12" t="s">
        <v>41</v>
      </c>
      <c r="D184" s="12"/>
      <c r="E184" s="12">
        <v>45369</v>
      </c>
      <c r="AL184" s="12" t="s">
        <v>711</v>
      </c>
      <c r="AM184" s="12"/>
      <c r="AN184" s="12" t="s">
        <v>41</v>
      </c>
      <c r="BB184" s="7">
        <f t="shared" si="45"/>
        <v>0</v>
      </c>
      <c r="BL184" s="7">
        <f t="shared" si="46"/>
        <v>0</v>
      </c>
      <c r="BN184" s="7">
        <f>+GenRev!AM184-GenExp!BL184</f>
        <v>0</v>
      </c>
      <c r="BT184" s="7">
        <v>0</v>
      </c>
      <c r="BV184" s="7">
        <f t="shared" si="44"/>
        <v>0</v>
      </c>
      <c r="BX184" s="8">
        <f>+BV184-'Gen Fd BS'!AE184+BT184</f>
        <v>0</v>
      </c>
      <c r="CA184" s="7" t="s">
        <v>848</v>
      </c>
      <c r="CB184" s="7" t="str">
        <f t="shared" si="41"/>
        <v>Fairport Harbor Ex Vill SD - Two Year Audit</v>
      </c>
      <c r="CC184" s="7" t="b">
        <f t="shared" si="38"/>
        <v>1</v>
      </c>
      <c r="CE184" s="12" t="str">
        <f>GenRev!A184</f>
        <v>Fairport Harbor Ex Vill SD - Two Year Audit</v>
      </c>
      <c r="CF184" s="7" t="b">
        <f t="shared" si="42"/>
        <v>1</v>
      </c>
      <c r="CG184" s="7" t="str">
        <f t="shared" si="39"/>
        <v>Lake</v>
      </c>
      <c r="CH184" s="7" t="b">
        <f t="shared" si="40"/>
        <v>1</v>
      </c>
      <c r="CI184" s="7" t="b">
        <f>C184=GenRev!C184</f>
        <v>1</v>
      </c>
    </row>
    <row r="185" spans="1:87">
      <c r="A185" s="12" t="s">
        <v>274</v>
      </c>
      <c r="B185" s="12"/>
      <c r="C185" s="12" t="s">
        <v>20</v>
      </c>
      <c r="D185" s="12"/>
      <c r="E185" s="12">
        <v>43976</v>
      </c>
      <c r="G185" s="7">
        <v>8985550</v>
      </c>
      <c r="I185" s="7">
        <v>1663132</v>
      </c>
      <c r="K185" s="7">
        <v>88669</v>
      </c>
      <c r="M185" s="7">
        <v>0</v>
      </c>
      <c r="O185" s="7">
        <v>16920</v>
      </c>
      <c r="Q185" s="7">
        <v>1138443</v>
      </c>
      <c r="S185" s="7">
        <v>1315843</v>
      </c>
      <c r="U185" s="7">
        <v>27523</v>
      </c>
      <c r="W185" s="7">
        <v>1419647</v>
      </c>
      <c r="Y185" s="7">
        <v>804543</v>
      </c>
      <c r="AA185" s="7">
        <v>37798</v>
      </c>
      <c r="AC185" s="7">
        <v>1626391</v>
      </c>
      <c r="AE185" s="7">
        <v>487238</v>
      </c>
      <c r="AG185" s="7">
        <v>576370</v>
      </c>
      <c r="AI185" s="7">
        <v>0</v>
      </c>
      <c r="AK185" s="7">
        <v>446</v>
      </c>
      <c r="AL185" s="12" t="s">
        <v>274</v>
      </c>
      <c r="AM185" s="12"/>
      <c r="AN185" s="12" t="s">
        <v>20</v>
      </c>
      <c r="AP185" s="7">
        <v>454589</v>
      </c>
      <c r="AR185" s="7">
        <v>0</v>
      </c>
      <c r="AT185" s="7">
        <v>0</v>
      </c>
      <c r="AV185" s="7">
        <v>0</v>
      </c>
      <c r="AX185" s="7">
        <v>0</v>
      </c>
      <c r="AZ185" s="7">
        <v>0</v>
      </c>
      <c r="BB185" s="7">
        <f t="shared" si="45"/>
        <v>18643102</v>
      </c>
      <c r="BD185" s="7">
        <v>1092883</v>
      </c>
      <c r="BF185" s="7">
        <v>0</v>
      </c>
      <c r="BH185" s="7">
        <v>0</v>
      </c>
      <c r="BJ185" s="7">
        <v>0</v>
      </c>
      <c r="BL185" s="7">
        <f t="shared" si="46"/>
        <v>19735985</v>
      </c>
      <c r="BN185" s="7">
        <f>+GenRev!AM185-GenExp!BL185</f>
        <v>902534</v>
      </c>
      <c r="BP185" s="7">
        <v>12115068</v>
      </c>
      <c r="BR185" s="7">
        <v>0</v>
      </c>
      <c r="BT185" s="7">
        <v>0</v>
      </c>
      <c r="BV185" s="7">
        <f t="shared" si="44"/>
        <v>13017602</v>
      </c>
      <c r="BX185" s="8">
        <f>+BV185-'Gen Fd BS'!AE185+BT185</f>
        <v>0</v>
      </c>
      <c r="CB185" s="7" t="str">
        <f t="shared" si="41"/>
        <v>Fairview Park City SD</v>
      </c>
      <c r="CC185" s="7" t="b">
        <f t="shared" si="38"/>
        <v>1</v>
      </c>
      <c r="CE185" s="12" t="str">
        <f>GenRev!A185</f>
        <v>Fairview Park City SD</v>
      </c>
      <c r="CF185" s="7" t="b">
        <f t="shared" si="42"/>
        <v>1</v>
      </c>
      <c r="CG185" s="7" t="str">
        <f t="shared" si="39"/>
        <v>Cuyahoga</v>
      </c>
      <c r="CH185" s="7" t="b">
        <f t="shared" si="40"/>
        <v>1</v>
      </c>
      <c r="CI185" s="7" t="b">
        <f>C185=GenRev!C185</f>
        <v>1</v>
      </c>
    </row>
    <row r="186" spans="1:87" hidden="1">
      <c r="A186" s="12" t="s">
        <v>849</v>
      </c>
      <c r="B186" s="12"/>
      <c r="C186" s="12" t="s">
        <v>28</v>
      </c>
      <c r="D186" s="12"/>
      <c r="E186" s="12">
        <v>47068</v>
      </c>
      <c r="AL186" s="12" t="s">
        <v>849</v>
      </c>
      <c r="AM186" s="12"/>
      <c r="AN186" s="12" t="s">
        <v>28</v>
      </c>
      <c r="BB186" s="7">
        <f t="shared" si="45"/>
        <v>0</v>
      </c>
      <c r="BL186" s="7">
        <f t="shared" si="46"/>
        <v>0</v>
      </c>
      <c r="BN186" s="7">
        <f>+GenRev!AM186-GenExp!BL186</f>
        <v>0</v>
      </c>
      <c r="BT186" s="7">
        <v>0</v>
      </c>
      <c r="BV186" s="7">
        <f t="shared" si="44"/>
        <v>0</v>
      </c>
      <c r="BX186" s="8">
        <f>+BV186-'Gen Fd BS'!AE186+BT186</f>
        <v>0</v>
      </c>
      <c r="CA186" s="7" t="s">
        <v>837</v>
      </c>
      <c r="CB186" s="7" t="str">
        <f t="shared" si="41"/>
        <v>Fayette Local SD (CASH)</v>
      </c>
      <c r="CC186" s="7" t="b">
        <f t="shared" si="38"/>
        <v>1</v>
      </c>
      <c r="CE186" s="12" t="str">
        <f>GenRev!A186</f>
        <v>Fayette Local SD (CASH)</v>
      </c>
      <c r="CF186" s="7" t="b">
        <f t="shared" si="42"/>
        <v>1</v>
      </c>
      <c r="CG186" s="7" t="str">
        <f t="shared" si="39"/>
        <v>Fulton</v>
      </c>
      <c r="CH186" s="7" t="b">
        <f t="shared" si="40"/>
        <v>1</v>
      </c>
      <c r="CI186" s="7" t="b">
        <f>C186=GenRev!C186</f>
        <v>1</v>
      </c>
    </row>
    <row r="187" spans="1:87">
      <c r="A187" s="12" t="s">
        <v>221</v>
      </c>
      <c r="B187" s="12"/>
      <c r="C187" s="12" t="s">
        <v>77</v>
      </c>
      <c r="D187" s="12"/>
      <c r="E187" s="12">
        <v>46045</v>
      </c>
      <c r="F187" s="10"/>
      <c r="G187" s="7">
        <v>2652684</v>
      </c>
      <c r="I187" s="7">
        <v>961103</v>
      </c>
      <c r="K187" s="7">
        <v>185984</v>
      </c>
      <c r="M187" s="7">
        <v>0</v>
      </c>
      <c r="O187" s="7">
        <v>1836</v>
      </c>
      <c r="Q187" s="7">
        <v>278425</v>
      </c>
      <c r="S187" s="7">
        <v>471570</v>
      </c>
      <c r="U187" s="7">
        <v>52462</v>
      </c>
      <c r="W187" s="7">
        <v>746648</v>
      </c>
      <c r="Y187" s="7">
        <v>288226</v>
      </c>
      <c r="AA187" s="7">
        <v>0</v>
      </c>
      <c r="AC187" s="7">
        <v>777964</v>
      </c>
      <c r="AE187" s="7">
        <v>512093</v>
      </c>
      <c r="AG187" s="7">
        <v>3189</v>
      </c>
      <c r="AI187" s="7">
        <v>0</v>
      </c>
      <c r="AK187" s="7">
        <v>73020</v>
      </c>
      <c r="AL187" s="12" t="s">
        <v>221</v>
      </c>
      <c r="AM187" s="12"/>
      <c r="AN187" s="12" t="s">
        <v>77</v>
      </c>
      <c r="AP187" s="7">
        <v>89248</v>
      </c>
      <c r="AR187" s="7">
        <v>0</v>
      </c>
      <c r="AT187" s="7">
        <v>0</v>
      </c>
      <c r="AV187" s="7">
        <v>0</v>
      </c>
      <c r="AX187" s="7">
        <v>0</v>
      </c>
      <c r="AZ187" s="7">
        <v>0</v>
      </c>
      <c r="BB187" s="7">
        <f t="shared" si="45"/>
        <v>7094452</v>
      </c>
      <c r="BD187" s="7">
        <v>0</v>
      </c>
      <c r="BF187" s="7">
        <v>0</v>
      </c>
      <c r="BH187" s="7">
        <v>0</v>
      </c>
      <c r="BJ187" s="7">
        <v>0</v>
      </c>
      <c r="BL187" s="7">
        <f t="shared" si="46"/>
        <v>7094452</v>
      </c>
      <c r="BN187" s="7">
        <f>+GenRev!AM187-GenExp!BL187</f>
        <v>382685</v>
      </c>
      <c r="BP187" s="7">
        <v>452852</v>
      </c>
      <c r="BR187" s="7">
        <v>0</v>
      </c>
      <c r="BT187" s="7">
        <v>0</v>
      </c>
      <c r="BV187" s="7">
        <f t="shared" si="44"/>
        <v>835537</v>
      </c>
      <c r="BX187" s="8">
        <f>+BV187-'Gen Fd BS'!AE187+BT187</f>
        <v>0</v>
      </c>
      <c r="CA187" s="7" t="s">
        <v>850</v>
      </c>
      <c r="CB187" s="7" t="str">
        <f t="shared" si="41"/>
        <v>Fayetteville-Perry Local SD</v>
      </c>
      <c r="CC187" s="7" t="b">
        <f t="shared" si="38"/>
        <v>1</v>
      </c>
      <c r="CE187" s="12" t="str">
        <f>GenRev!A187</f>
        <v>Fayetteville-Perry Local SD</v>
      </c>
      <c r="CF187" s="7" t="b">
        <f t="shared" si="42"/>
        <v>1</v>
      </c>
      <c r="CG187" s="7" t="str">
        <f t="shared" si="39"/>
        <v>Brown</v>
      </c>
      <c r="CH187" s="7" t="b">
        <f t="shared" si="40"/>
        <v>1</v>
      </c>
      <c r="CI187" s="7" t="b">
        <f>C187=GenRev!C187</f>
        <v>1</v>
      </c>
    </row>
    <row r="188" spans="1:87">
      <c r="A188" s="12" t="s">
        <v>841</v>
      </c>
      <c r="B188" s="12"/>
      <c r="C188" s="12" t="s">
        <v>13</v>
      </c>
      <c r="D188" s="12"/>
      <c r="E188" s="12"/>
      <c r="F188" s="10"/>
      <c r="G188" s="7">
        <v>4006023</v>
      </c>
      <c r="I188" s="7">
        <v>1008474</v>
      </c>
      <c r="K188" s="7">
        <v>205998</v>
      </c>
      <c r="M188" s="7">
        <v>0</v>
      </c>
      <c r="O188" s="7">
        <v>0</v>
      </c>
      <c r="Q188" s="7">
        <v>239695</v>
      </c>
      <c r="S188" s="7">
        <v>282077</v>
      </c>
      <c r="U188" s="7">
        <v>37483</v>
      </c>
      <c r="W188" s="7">
        <v>720218</v>
      </c>
      <c r="Y188" s="7">
        <v>1935585</v>
      </c>
      <c r="AA188" s="7">
        <v>0</v>
      </c>
      <c r="AC188" s="7">
        <v>837007</v>
      </c>
      <c r="AE188" s="7">
        <v>1059403</v>
      </c>
      <c r="AG188" s="7">
        <v>44041</v>
      </c>
      <c r="AI188" s="7">
        <v>0</v>
      </c>
      <c r="AK188" s="7">
        <v>804</v>
      </c>
      <c r="AL188" s="12" t="s">
        <v>841</v>
      </c>
      <c r="AM188" s="12"/>
      <c r="AN188" s="12" t="s">
        <v>13</v>
      </c>
      <c r="AP188" s="7">
        <v>32395</v>
      </c>
      <c r="AR188" s="7">
        <v>0</v>
      </c>
      <c r="AT188" s="7">
        <v>0</v>
      </c>
      <c r="AV188" s="7">
        <v>0</v>
      </c>
      <c r="AX188" s="7">
        <v>0</v>
      </c>
      <c r="AZ188" s="7">
        <v>0</v>
      </c>
      <c r="BB188" s="7">
        <f t="shared" si="45"/>
        <v>10409203</v>
      </c>
      <c r="BD188" s="7">
        <v>0</v>
      </c>
      <c r="BF188" s="7">
        <v>0</v>
      </c>
      <c r="BH188" s="7">
        <v>0</v>
      </c>
      <c r="BJ188" s="7">
        <v>0</v>
      </c>
      <c r="BL188" s="7">
        <f t="shared" si="46"/>
        <v>10409203</v>
      </c>
      <c r="BN188" s="7">
        <f>+GenRev!AM188-GenExp!BL188</f>
        <v>550962</v>
      </c>
      <c r="BP188" s="7">
        <v>1446304</v>
      </c>
      <c r="BR188" s="7">
        <v>0</v>
      </c>
      <c r="BT188" s="7">
        <v>0</v>
      </c>
      <c r="BV188" s="7">
        <f t="shared" si="44"/>
        <v>1997266</v>
      </c>
      <c r="BX188" s="8">
        <f>+BV188-'Gen Fd BS'!AE188+BT188</f>
        <v>0</v>
      </c>
      <c r="CB188" s="7" t="str">
        <f t="shared" si="41"/>
        <v>Federal Hocking Local SD</v>
      </c>
      <c r="CC188" s="7" t="b">
        <f t="shared" si="38"/>
        <v>1</v>
      </c>
      <c r="CE188" s="12" t="str">
        <f>GenRev!A188</f>
        <v>Federal Hocking Local SD</v>
      </c>
      <c r="CF188" s="7" t="b">
        <f t="shared" si="42"/>
        <v>1</v>
      </c>
      <c r="CG188" s="7" t="str">
        <f t="shared" si="39"/>
        <v>Athens</v>
      </c>
      <c r="CH188" s="7" t="b">
        <f t="shared" si="40"/>
        <v>1</v>
      </c>
      <c r="CI188" s="7" t="b">
        <f>C188=GenRev!C188</f>
        <v>1</v>
      </c>
    </row>
    <row r="189" spans="1:87">
      <c r="A189" s="12" t="s">
        <v>244</v>
      </c>
      <c r="B189" s="12"/>
      <c r="C189" s="12" t="s">
        <v>113</v>
      </c>
      <c r="D189" s="12"/>
      <c r="E189" s="12">
        <v>46334</v>
      </c>
      <c r="F189" s="10"/>
      <c r="G189" s="7">
        <v>4013968</v>
      </c>
      <c r="I189" s="7">
        <v>1407093</v>
      </c>
      <c r="K189" s="7">
        <v>0</v>
      </c>
      <c r="M189" s="7">
        <v>0</v>
      </c>
      <c r="O189" s="7">
        <v>102359</v>
      </c>
      <c r="Q189" s="7">
        <v>318392</v>
      </c>
      <c r="S189" s="7">
        <v>159819</v>
      </c>
      <c r="U189" s="7">
        <v>16076</v>
      </c>
      <c r="W189" s="7">
        <v>617935</v>
      </c>
      <c r="Y189" s="7">
        <v>345617</v>
      </c>
      <c r="AA189" s="7">
        <v>0</v>
      </c>
      <c r="AC189" s="7">
        <v>555625</v>
      </c>
      <c r="AE189" s="7">
        <v>473516</v>
      </c>
      <c r="AG189" s="7">
        <v>33047</v>
      </c>
      <c r="AI189" s="7">
        <v>0</v>
      </c>
      <c r="AK189" s="7">
        <v>0</v>
      </c>
      <c r="AL189" s="12" t="s">
        <v>244</v>
      </c>
      <c r="AM189" s="12"/>
      <c r="AN189" s="12" t="s">
        <v>113</v>
      </c>
      <c r="AP189" s="7">
        <v>76198</v>
      </c>
      <c r="AR189" s="7">
        <v>0</v>
      </c>
      <c r="AT189" s="7">
        <v>0</v>
      </c>
      <c r="AV189" s="7">
        <v>59452</v>
      </c>
      <c r="AX189" s="7">
        <v>4051</v>
      </c>
      <c r="AZ189" s="7">
        <v>0</v>
      </c>
      <c r="BB189" s="7">
        <f t="shared" si="45"/>
        <v>8183148</v>
      </c>
      <c r="BD189" s="7">
        <v>0</v>
      </c>
      <c r="BF189" s="7">
        <v>0</v>
      </c>
      <c r="BH189" s="7">
        <v>0</v>
      </c>
      <c r="BJ189" s="7">
        <v>0</v>
      </c>
      <c r="BL189" s="7">
        <f t="shared" si="46"/>
        <v>8183148</v>
      </c>
      <c r="BN189" s="7">
        <f>+GenRev!AM189-GenExp!BL189</f>
        <v>884758</v>
      </c>
      <c r="BP189" s="7">
        <v>-72145</v>
      </c>
      <c r="BR189" s="7">
        <v>0</v>
      </c>
      <c r="BT189" s="7">
        <v>0</v>
      </c>
      <c r="BV189" s="7">
        <f t="shared" si="44"/>
        <v>812613</v>
      </c>
      <c r="BX189" s="8">
        <f>+BV189-'Gen Fd BS'!AE189+BT189</f>
        <v>0</v>
      </c>
      <c r="CB189" s="7" t="str">
        <f t="shared" si="41"/>
        <v>Felicity-Franklin Local SD</v>
      </c>
      <c r="CC189" s="7" t="b">
        <f t="shared" si="38"/>
        <v>1</v>
      </c>
      <c r="CE189" s="12" t="str">
        <f>GenRev!A189</f>
        <v>Felicity-Franklin Local SD</v>
      </c>
      <c r="CF189" s="7" t="b">
        <f t="shared" si="42"/>
        <v>1</v>
      </c>
      <c r="CG189" s="7" t="str">
        <f t="shared" si="39"/>
        <v>Clermont</v>
      </c>
      <c r="CH189" s="7" t="b">
        <f t="shared" si="40"/>
        <v>1</v>
      </c>
      <c r="CI189" s="7" t="b">
        <f>C189=GenRev!C189</f>
        <v>1</v>
      </c>
    </row>
    <row r="190" spans="1:87">
      <c r="A190" s="12" t="s">
        <v>760</v>
      </c>
      <c r="B190" s="12"/>
      <c r="C190" s="12" t="s">
        <v>56</v>
      </c>
      <c r="D190" s="12"/>
      <c r="E190" s="12">
        <v>49197</v>
      </c>
      <c r="G190" s="7">
        <v>10639889</v>
      </c>
      <c r="I190" s="7">
        <v>1251007</v>
      </c>
      <c r="K190" s="7">
        <v>143496</v>
      </c>
      <c r="M190" s="7">
        <v>2891</v>
      </c>
      <c r="O190" s="7">
        <v>8599</v>
      </c>
      <c r="Q190" s="7">
        <v>951674</v>
      </c>
      <c r="S190" s="7">
        <v>523053</v>
      </c>
      <c r="U190" s="7">
        <v>26424</v>
      </c>
      <c r="W190" s="7">
        <v>2262492</v>
      </c>
      <c r="Y190" s="7">
        <v>461059</v>
      </c>
      <c r="AA190" s="7">
        <v>204</v>
      </c>
      <c r="AC190" s="7">
        <v>1684036</v>
      </c>
      <c r="AE190" s="7">
        <v>1210075</v>
      </c>
      <c r="AG190" s="7">
        <v>102754</v>
      </c>
      <c r="AI190" s="7">
        <v>0</v>
      </c>
      <c r="AK190" s="7">
        <v>31220</v>
      </c>
      <c r="AL190" s="12" t="s">
        <v>760</v>
      </c>
      <c r="AM190" s="12"/>
      <c r="AN190" s="12" t="s">
        <v>56</v>
      </c>
      <c r="AP190" s="7">
        <v>347718</v>
      </c>
      <c r="AR190" s="7">
        <v>34846</v>
      </c>
      <c r="AT190" s="7">
        <v>0</v>
      </c>
      <c r="AV190" s="7">
        <v>71988</v>
      </c>
      <c r="AX190" s="7">
        <v>7683</v>
      </c>
      <c r="AZ190" s="7">
        <v>0</v>
      </c>
      <c r="BB190" s="7">
        <f t="shared" si="45"/>
        <v>19761108</v>
      </c>
      <c r="BD190" s="7">
        <v>0</v>
      </c>
      <c r="BF190" s="7">
        <v>0</v>
      </c>
      <c r="BH190" s="7">
        <v>0</v>
      </c>
      <c r="BJ190" s="7">
        <v>0</v>
      </c>
      <c r="BL190" s="7">
        <f t="shared" si="46"/>
        <v>19761108</v>
      </c>
      <c r="BN190" s="7">
        <f>+GenRev!AM190-GenExp!BL190</f>
        <v>-1018124</v>
      </c>
      <c r="BP190" s="7">
        <v>1215108</v>
      </c>
      <c r="BR190" s="7">
        <v>0</v>
      </c>
      <c r="BT190" s="7">
        <v>0</v>
      </c>
      <c r="BV190" s="7">
        <f t="shared" si="44"/>
        <v>196984</v>
      </c>
      <c r="BX190" s="8">
        <f>+BV190-'Gen Fd BS'!AE190+BT190</f>
        <v>0</v>
      </c>
      <c r="CA190" s="7" t="s">
        <v>850</v>
      </c>
      <c r="CB190" s="7" t="str">
        <f t="shared" si="41"/>
        <v xml:space="preserve">Field Local SD </v>
      </c>
      <c r="CC190" s="7" t="b">
        <f t="shared" si="38"/>
        <v>1</v>
      </c>
      <c r="CE190" s="12" t="str">
        <f>GenRev!A190</f>
        <v xml:space="preserve">Field Local SD </v>
      </c>
      <c r="CF190" s="7" t="b">
        <f t="shared" si="42"/>
        <v>1</v>
      </c>
      <c r="CG190" s="7" t="str">
        <f t="shared" si="39"/>
        <v>Portage</v>
      </c>
      <c r="CH190" s="7" t="b">
        <f t="shared" si="40"/>
        <v>1</v>
      </c>
      <c r="CI190" s="7" t="b">
        <f>C190=GenRev!C190</f>
        <v>1</v>
      </c>
    </row>
    <row r="191" spans="1:87">
      <c r="A191" s="12" t="s">
        <v>346</v>
      </c>
      <c r="B191" s="12"/>
      <c r="C191" s="12" t="s">
        <v>33</v>
      </c>
      <c r="D191" s="12"/>
      <c r="E191" s="12">
        <v>43984</v>
      </c>
      <c r="G191" s="7">
        <v>22799468</v>
      </c>
      <c r="I191" s="7">
        <v>5783501</v>
      </c>
      <c r="K191" s="7">
        <v>2738979</v>
      </c>
      <c r="M191" s="7">
        <v>112088</v>
      </c>
      <c r="O191" s="7">
        <v>3998915</v>
      </c>
      <c r="Q191" s="7">
        <v>2653163</v>
      </c>
      <c r="S191" s="7">
        <v>3693195</v>
      </c>
      <c r="U191" s="7">
        <v>180295</v>
      </c>
      <c r="W191" s="7">
        <v>4124866</v>
      </c>
      <c r="Y191" s="7">
        <v>1528310</v>
      </c>
      <c r="AA191" s="7">
        <v>0</v>
      </c>
      <c r="AC191" s="7">
        <v>5521172</v>
      </c>
      <c r="AE191" s="7">
        <v>2128910</v>
      </c>
      <c r="AG191" s="7">
        <v>53747</v>
      </c>
      <c r="AI191" s="7">
        <v>0</v>
      </c>
      <c r="AK191" s="7">
        <v>159253</v>
      </c>
      <c r="AL191" s="12" t="s">
        <v>346</v>
      </c>
      <c r="AM191" s="12"/>
      <c r="AN191" s="12" t="s">
        <v>33</v>
      </c>
      <c r="AP191" s="7">
        <v>214908</v>
      </c>
      <c r="AR191" s="7">
        <v>0</v>
      </c>
      <c r="AT191" s="7">
        <v>0</v>
      </c>
      <c r="AV191" s="7">
        <v>308082</v>
      </c>
      <c r="AX191" s="7">
        <v>60226</v>
      </c>
      <c r="AZ191" s="7">
        <v>0</v>
      </c>
      <c r="BB191" s="7">
        <f t="shared" si="45"/>
        <v>56059078</v>
      </c>
      <c r="BD191" s="7">
        <v>75000</v>
      </c>
      <c r="BF191" s="7">
        <v>0</v>
      </c>
      <c r="BH191" s="7">
        <v>0</v>
      </c>
      <c r="BJ191" s="7">
        <v>0</v>
      </c>
      <c r="BL191" s="7">
        <f t="shared" si="46"/>
        <v>56134078</v>
      </c>
      <c r="BN191" s="7">
        <f>+GenRev!AM191-GenExp!BL191</f>
        <v>634345</v>
      </c>
      <c r="BP191" s="7">
        <v>6615558</v>
      </c>
      <c r="BR191" s="7">
        <v>9123</v>
      </c>
      <c r="BT191" s="7">
        <v>0</v>
      </c>
      <c r="BV191" s="7">
        <f t="shared" si="44"/>
        <v>7240780</v>
      </c>
      <c r="BX191" s="8">
        <f>+BV191-'Gen Fd BS'!AE191+BT191</f>
        <v>0</v>
      </c>
      <c r="CB191" s="7" t="str">
        <f t="shared" si="41"/>
        <v>Findlay City SD</v>
      </c>
      <c r="CC191" s="7" t="b">
        <f t="shared" si="38"/>
        <v>1</v>
      </c>
      <c r="CE191" s="12" t="str">
        <f>GenRev!A191</f>
        <v>Findlay City SD</v>
      </c>
      <c r="CF191" s="7" t="b">
        <f t="shared" si="42"/>
        <v>1</v>
      </c>
      <c r="CG191" s="7" t="str">
        <f t="shared" si="39"/>
        <v>Hancock</v>
      </c>
      <c r="CH191" s="7" t="b">
        <f t="shared" si="40"/>
        <v>1</v>
      </c>
      <c r="CI191" s="7" t="b">
        <f>C191=GenRev!C191</f>
        <v>1</v>
      </c>
    </row>
    <row r="192" spans="1:87">
      <c r="A192" s="12" t="s">
        <v>330</v>
      </c>
      <c r="B192" s="12"/>
      <c r="C192" s="12" t="s">
        <v>32</v>
      </c>
      <c r="D192" s="12"/>
      <c r="E192" s="12">
        <v>47332</v>
      </c>
      <c r="G192" s="7">
        <v>6846450</v>
      </c>
      <c r="I192" s="7">
        <v>2215748</v>
      </c>
      <c r="K192" s="7">
        <v>107728</v>
      </c>
      <c r="M192" s="7">
        <v>0</v>
      </c>
      <c r="O192" s="7">
        <v>530181</v>
      </c>
      <c r="Q192" s="7">
        <v>1302747</v>
      </c>
      <c r="S192" s="7">
        <v>1321703</v>
      </c>
      <c r="U192" s="7">
        <v>24595</v>
      </c>
      <c r="W192" s="7">
        <v>1226759</v>
      </c>
      <c r="Y192" s="7">
        <v>432541</v>
      </c>
      <c r="AA192" s="7">
        <v>404351</v>
      </c>
      <c r="AC192" s="7">
        <v>1649704</v>
      </c>
      <c r="AE192" s="7">
        <v>775189</v>
      </c>
      <c r="AG192" s="7">
        <v>228819</v>
      </c>
      <c r="AI192" s="7">
        <v>0</v>
      </c>
      <c r="AK192" s="7">
        <v>111774</v>
      </c>
      <c r="AL192" s="12" t="s">
        <v>330</v>
      </c>
      <c r="AM192" s="12"/>
      <c r="AN192" s="12" t="s">
        <v>32</v>
      </c>
      <c r="AP192" s="7">
        <v>405376</v>
      </c>
      <c r="AR192" s="7">
        <v>255113</v>
      </c>
      <c r="AT192" s="7">
        <v>0</v>
      </c>
      <c r="AV192" s="7">
        <v>0</v>
      </c>
      <c r="AX192" s="7">
        <v>59752</v>
      </c>
      <c r="AZ192" s="7">
        <v>0</v>
      </c>
      <c r="BB192" s="7">
        <f t="shared" si="45"/>
        <v>17898530</v>
      </c>
      <c r="BD192" s="7">
        <v>5542</v>
      </c>
      <c r="BF192" s="7">
        <v>0</v>
      </c>
      <c r="BH192" s="7">
        <v>0</v>
      </c>
      <c r="BJ192" s="7">
        <v>0</v>
      </c>
      <c r="BL192" s="7">
        <f t="shared" si="46"/>
        <v>17904072</v>
      </c>
      <c r="BN192" s="7">
        <f>+GenRev!AM192-GenExp!BL192</f>
        <v>491157</v>
      </c>
      <c r="BP192" s="7">
        <v>2748346</v>
      </c>
      <c r="BR192" s="7">
        <v>0</v>
      </c>
      <c r="BT192" s="7">
        <v>0</v>
      </c>
      <c r="BV192" s="7">
        <f t="shared" si="44"/>
        <v>3239503</v>
      </c>
      <c r="BX192" s="8">
        <f>+BV192-'Gen Fd BS'!AE192+BT192</f>
        <v>0</v>
      </c>
      <c r="CA192" s="7" t="s">
        <v>850</v>
      </c>
      <c r="CB192" s="7" t="str">
        <f t="shared" si="41"/>
        <v>Finneytown Local SD</v>
      </c>
      <c r="CC192" s="7" t="b">
        <f t="shared" si="38"/>
        <v>1</v>
      </c>
      <c r="CE192" s="12" t="str">
        <f>GenRev!A192</f>
        <v>Finneytown Local SD</v>
      </c>
      <c r="CF192" s="7" t="b">
        <f t="shared" si="42"/>
        <v>1</v>
      </c>
      <c r="CG192" s="7" t="str">
        <f t="shared" si="39"/>
        <v>Hamilton</v>
      </c>
      <c r="CH192" s="7" t="b">
        <f t="shared" si="40"/>
        <v>1</v>
      </c>
      <c r="CI192" s="7" t="b">
        <f>C192=GenRev!C192</f>
        <v>1</v>
      </c>
    </row>
    <row r="193" spans="1:87">
      <c r="A193" s="12" t="s">
        <v>397</v>
      </c>
      <c r="B193" s="12"/>
      <c r="C193" s="12" t="s">
        <v>44</v>
      </c>
      <c r="D193" s="12"/>
      <c r="E193" s="12">
        <v>48157</v>
      </c>
      <c r="G193" s="7">
        <v>7255531</v>
      </c>
      <c r="I193" s="7">
        <v>1335080</v>
      </c>
      <c r="K193" s="7">
        <v>327709</v>
      </c>
      <c r="M193" s="7">
        <v>0</v>
      </c>
      <c r="O193" s="7">
        <v>1171316</v>
      </c>
      <c r="Q193" s="7">
        <v>1180675</v>
      </c>
      <c r="S193" s="7">
        <v>516129</v>
      </c>
      <c r="U193" s="7">
        <v>22204</v>
      </c>
      <c r="W193" s="7">
        <v>1662483</v>
      </c>
      <c r="Y193" s="7">
        <v>343189</v>
      </c>
      <c r="AA193" s="7">
        <v>0</v>
      </c>
      <c r="AC193" s="7">
        <v>990483</v>
      </c>
      <c r="AE193" s="7">
        <v>1456936</v>
      </c>
      <c r="AG193" s="7">
        <v>266003</v>
      </c>
      <c r="AI193" s="7">
        <v>0</v>
      </c>
      <c r="AK193" s="7">
        <v>0</v>
      </c>
      <c r="AL193" s="12" t="s">
        <v>397</v>
      </c>
      <c r="AM193" s="12"/>
      <c r="AN193" s="12" t="s">
        <v>44</v>
      </c>
      <c r="AP193" s="7">
        <v>501393</v>
      </c>
      <c r="AR193" s="7">
        <v>0</v>
      </c>
      <c r="AT193" s="7">
        <v>0</v>
      </c>
      <c r="AV193" s="7">
        <v>65000</v>
      </c>
      <c r="AX193" s="7">
        <v>41340</v>
      </c>
      <c r="AZ193" s="7">
        <v>0</v>
      </c>
      <c r="BB193" s="7">
        <f t="shared" si="45"/>
        <v>17135471</v>
      </c>
      <c r="BD193" s="7">
        <v>0</v>
      </c>
      <c r="BF193" s="7">
        <v>0</v>
      </c>
      <c r="BH193" s="7">
        <v>0</v>
      </c>
      <c r="BJ193" s="7">
        <v>0</v>
      </c>
      <c r="BL193" s="7">
        <f t="shared" si="46"/>
        <v>17135471</v>
      </c>
      <c r="BN193" s="7">
        <f>+GenRev!AM193-GenExp!BL193</f>
        <v>-687372</v>
      </c>
      <c r="BP193" s="7">
        <v>1276886</v>
      </c>
      <c r="BR193" s="7">
        <v>0</v>
      </c>
      <c r="BT193" s="7">
        <v>0</v>
      </c>
      <c r="BV193" s="7">
        <f t="shared" si="44"/>
        <v>589514</v>
      </c>
      <c r="BX193" s="8">
        <f>+BV193-'Gen Fd BS'!AE193+BT193</f>
        <v>0</v>
      </c>
      <c r="CB193" s="7" t="str">
        <f t="shared" si="41"/>
        <v>Firelands Local SD</v>
      </c>
      <c r="CC193" s="7" t="b">
        <f t="shared" si="38"/>
        <v>1</v>
      </c>
      <c r="CE193" s="12" t="str">
        <f>GenRev!A193</f>
        <v>Firelands Local SD</v>
      </c>
      <c r="CF193" s="7" t="b">
        <f t="shared" si="42"/>
        <v>1</v>
      </c>
      <c r="CG193" s="7" t="str">
        <f t="shared" si="39"/>
        <v>Lorain</v>
      </c>
      <c r="CH193" s="7" t="b">
        <f t="shared" si="40"/>
        <v>1</v>
      </c>
      <c r="CI193" s="7" t="b">
        <f>C193=GenRev!C193</f>
        <v>1</v>
      </c>
    </row>
    <row r="194" spans="1:87">
      <c r="A194" s="12" t="s">
        <v>331</v>
      </c>
      <c r="B194" s="12"/>
      <c r="C194" s="12" t="s">
        <v>32</v>
      </c>
      <c r="D194" s="12"/>
      <c r="E194" s="12">
        <v>47340</v>
      </c>
      <c r="G194" s="7">
        <v>34542633</v>
      </c>
      <c r="I194" s="7">
        <v>9092993</v>
      </c>
      <c r="K194" s="7">
        <v>0</v>
      </c>
      <c r="M194" s="7">
        <v>0</v>
      </c>
      <c r="O194" s="7">
        <v>1484926</v>
      </c>
      <c r="Q194" s="7">
        <v>3289963</v>
      </c>
      <c r="S194" s="7">
        <v>7275159</v>
      </c>
      <c r="U194" s="7">
        <v>30316</v>
      </c>
      <c r="W194" s="7">
        <v>5131352</v>
      </c>
      <c r="Y194" s="7">
        <v>1265353</v>
      </c>
      <c r="AA194" s="7">
        <v>175178</v>
      </c>
      <c r="AC194" s="7">
        <v>4413117</v>
      </c>
      <c r="AE194" s="7">
        <v>3826358</v>
      </c>
      <c r="AG194" s="7">
        <v>548853</v>
      </c>
      <c r="AI194" s="7">
        <v>0</v>
      </c>
      <c r="AK194" s="7">
        <v>59080</v>
      </c>
      <c r="AL194" s="12" t="s">
        <v>331</v>
      </c>
      <c r="AM194" s="12"/>
      <c r="AN194" s="12" t="s">
        <v>32</v>
      </c>
      <c r="AP194" s="7">
        <v>1512689</v>
      </c>
      <c r="AR194" s="7">
        <v>0</v>
      </c>
      <c r="AT194" s="7">
        <v>0</v>
      </c>
      <c r="AV194" s="7">
        <v>0</v>
      </c>
      <c r="AX194" s="7">
        <v>0</v>
      </c>
      <c r="AZ194" s="7">
        <v>0</v>
      </c>
      <c r="BB194" s="7">
        <f t="shared" si="45"/>
        <v>72647970</v>
      </c>
      <c r="BD194" s="7">
        <v>233430</v>
      </c>
      <c r="BF194" s="7">
        <v>0</v>
      </c>
      <c r="BH194" s="7">
        <v>0</v>
      </c>
      <c r="BJ194" s="7">
        <v>0</v>
      </c>
      <c r="BL194" s="7">
        <f t="shared" si="46"/>
        <v>72881400</v>
      </c>
      <c r="BN194" s="7">
        <f>+GenRev!AM194-GenExp!BL194</f>
        <v>-1449917</v>
      </c>
      <c r="BP194" s="7">
        <v>20073185</v>
      </c>
      <c r="BR194" s="7">
        <v>0</v>
      </c>
      <c r="BT194" s="7">
        <v>0</v>
      </c>
      <c r="BV194" s="7">
        <f t="shared" si="44"/>
        <v>18623268</v>
      </c>
      <c r="BX194" s="8">
        <f>+BV194-'Gen Fd BS'!AE194+BT194</f>
        <v>0</v>
      </c>
      <c r="CA194" s="7" t="s">
        <v>852</v>
      </c>
      <c r="CB194" s="7" t="str">
        <f t="shared" si="41"/>
        <v>Forest Hills Local SD</v>
      </c>
      <c r="CC194" s="7" t="b">
        <f t="shared" si="38"/>
        <v>1</v>
      </c>
      <c r="CE194" s="12" t="str">
        <f>GenRev!A194</f>
        <v>Forest Hills Local SD</v>
      </c>
      <c r="CF194" s="7" t="b">
        <f t="shared" si="42"/>
        <v>1</v>
      </c>
      <c r="CG194" s="7" t="str">
        <f t="shared" si="39"/>
        <v>Hamilton</v>
      </c>
      <c r="CH194" s="7" t="b">
        <f t="shared" si="40"/>
        <v>1</v>
      </c>
      <c r="CI194" s="7" t="b">
        <f>C194=GenRev!C194</f>
        <v>1</v>
      </c>
    </row>
    <row r="195" spans="1:87" hidden="1">
      <c r="A195" s="12" t="s">
        <v>642</v>
      </c>
      <c r="B195" s="12"/>
      <c r="C195" s="12" t="s">
        <v>70</v>
      </c>
      <c r="D195" s="12"/>
      <c r="E195" s="12">
        <v>50484</v>
      </c>
      <c r="AL195" s="12" t="s">
        <v>642</v>
      </c>
      <c r="AM195" s="12"/>
      <c r="AN195" s="12" t="s">
        <v>70</v>
      </c>
      <c r="BB195" s="7">
        <f t="shared" si="45"/>
        <v>0</v>
      </c>
      <c r="BL195" s="7">
        <f t="shared" si="46"/>
        <v>0</v>
      </c>
      <c r="BN195" s="7">
        <f>+GenRev!AM195-GenExp!BL195</f>
        <v>0</v>
      </c>
      <c r="BT195" s="7">
        <v>0</v>
      </c>
      <c r="BV195" s="7">
        <f t="shared" si="44"/>
        <v>0</v>
      </c>
      <c r="BX195" s="8">
        <f>+BV195-'Gen Fd BS'!AE195+BT195</f>
        <v>0</v>
      </c>
      <c r="CA195" s="7" t="s">
        <v>839</v>
      </c>
      <c r="CB195" s="7" t="str">
        <f t="shared" si="41"/>
        <v>Fort Frye Local SD (CASH)</v>
      </c>
      <c r="CC195" s="7" t="b">
        <f t="shared" si="38"/>
        <v>1</v>
      </c>
      <c r="CE195" s="12" t="str">
        <f>GenRev!A195</f>
        <v>Fort Frye Local SD (CASH)</v>
      </c>
      <c r="CF195" s="7" t="b">
        <f t="shared" si="42"/>
        <v>1</v>
      </c>
      <c r="CG195" s="7" t="str">
        <f t="shared" si="39"/>
        <v>Washington</v>
      </c>
      <c r="CH195" s="7" t="b">
        <f t="shared" si="40"/>
        <v>1</v>
      </c>
      <c r="CI195" s="7" t="b">
        <f>C195=GenRev!C195</f>
        <v>1</v>
      </c>
    </row>
    <row r="196" spans="1:87">
      <c r="A196" s="12" t="s">
        <v>505</v>
      </c>
      <c r="B196" s="12"/>
      <c r="C196" s="12" t="s">
        <v>61</v>
      </c>
      <c r="D196" s="12"/>
      <c r="E196" s="12">
        <v>49783</v>
      </c>
      <c r="G196" s="7">
        <v>3625024</v>
      </c>
      <c r="I196" s="7">
        <v>468377</v>
      </c>
      <c r="K196" s="7">
        <v>56</v>
      </c>
      <c r="M196" s="7">
        <v>0</v>
      </c>
      <c r="O196" s="7">
        <v>0</v>
      </c>
      <c r="Q196" s="7">
        <v>471004</v>
      </c>
      <c r="S196" s="7">
        <v>364431</v>
      </c>
      <c r="U196" s="7">
        <v>20978</v>
      </c>
      <c r="W196" s="7">
        <v>547352</v>
      </c>
      <c r="Y196" s="7">
        <v>199839</v>
      </c>
      <c r="AA196" s="7">
        <v>626</v>
      </c>
      <c r="AC196" s="7">
        <v>391539</v>
      </c>
      <c r="AE196" s="7">
        <v>406899</v>
      </c>
      <c r="AG196" s="7">
        <v>44941</v>
      </c>
      <c r="AI196" s="7">
        <v>0</v>
      </c>
      <c r="AK196" s="7">
        <v>0</v>
      </c>
      <c r="AL196" s="12" t="s">
        <v>505</v>
      </c>
      <c r="AM196" s="12"/>
      <c r="AN196" s="12" t="s">
        <v>61</v>
      </c>
      <c r="AP196" s="7">
        <v>269631</v>
      </c>
      <c r="AR196" s="7">
        <v>498</v>
      </c>
      <c r="AT196" s="7">
        <v>0</v>
      </c>
      <c r="AV196" s="7">
        <v>0</v>
      </c>
      <c r="AX196" s="7">
        <v>0</v>
      </c>
      <c r="AZ196" s="7">
        <v>0</v>
      </c>
      <c r="BB196" s="7">
        <f t="shared" si="45"/>
        <v>6811195</v>
      </c>
      <c r="BD196" s="7">
        <v>50105</v>
      </c>
      <c r="BF196" s="7">
        <v>0</v>
      </c>
      <c r="BH196" s="7">
        <v>0</v>
      </c>
      <c r="BJ196" s="7">
        <v>0</v>
      </c>
      <c r="BL196" s="7">
        <f t="shared" si="46"/>
        <v>6861300</v>
      </c>
      <c r="BN196" s="7">
        <f>+GenRev!AM196-GenExp!BL196</f>
        <v>138</v>
      </c>
      <c r="BP196" s="7">
        <v>2588187</v>
      </c>
      <c r="BR196" s="7">
        <v>0</v>
      </c>
      <c r="BT196" s="7">
        <v>0</v>
      </c>
      <c r="BV196" s="7">
        <f t="shared" si="44"/>
        <v>2588325</v>
      </c>
      <c r="BX196" s="8">
        <f>+BV196-'Gen Fd BS'!AE196+BT196</f>
        <v>0</v>
      </c>
      <c r="CA196" s="7" t="s">
        <v>853</v>
      </c>
      <c r="CB196" s="7" t="str">
        <f t="shared" si="41"/>
        <v>Fort Loramie Local SD</v>
      </c>
      <c r="CC196" s="7" t="b">
        <f t="shared" si="38"/>
        <v>1</v>
      </c>
      <c r="CE196" s="12" t="str">
        <f>GenRev!A196</f>
        <v>Fort Loramie Local SD</v>
      </c>
      <c r="CF196" s="7" t="b">
        <f t="shared" si="42"/>
        <v>1</v>
      </c>
      <c r="CG196" s="7" t="str">
        <f t="shared" si="39"/>
        <v>Shelby</v>
      </c>
      <c r="CH196" s="7" t="b">
        <f t="shared" si="40"/>
        <v>1</v>
      </c>
      <c r="CI196" s="7" t="b">
        <f>C196=GenRev!C196</f>
        <v>1</v>
      </c>
    </row>
    <row r="197" spans="1:87" hidden="1">
      <c r="A197" s="12" t="s">
        <v>873</v>
      </c>
      <c r="B197" s="12"/>
      <c r="C197" s="12" t="s">
        <v>435</v>
      </c>
      <c r="D197" s="12"/>
      <c r="E197" s="12"/>
      <c r="AL197" s="12" t="s">
        <v>873</v>
      </c>
      <c r="AM197" s="12"/>
      <c r="AN197" s="12" t="s">
        <v>435</v>
      </c>
      <c r="BB197" s="7">
        <f t="shared" si="45"/>
        <v>0</v>
      </c>
      <c r="BL197" s="7">
        <f t="shared" si="46"/>
        <v>0</v>
      </c>
      <c r="BN197" s="7">
        <f>+GenRev!AM197-GenExp!BL197</f>
        <v>0</v>
      </c>
      <c r="BT197" s="7">
        <v>0</v>
      </c>
      <c r="BV197" s="7">
        <f t="shared" si="44"/>
        <v>0</v>
      </c>
      <c r="BX197" s="8">
        <f>+BV197-'Gen Fd BS'!AE197+BT197</f>
        <v>0</v>
      </c>
      <c r="CA197" s="7" t="s">
        <v>839</v>
      </c>
      <c r="CB197" s="7" t="str">
        <f t="shared" si="41"/>
        <v>Fort Recovery Local SD (CASH)</v>
      </c>
      <c r="CC197" s="7" t="b">
        <f t="shared" si="38"/>
        <v>1</v>
      </c>
      <c r="CE197" s="12" t="str">
        <f>GenRev!A197</f>
        <v>Fort Recovery Local SD (CASH)</v>
      </c>
      <c r="CF197" s="7" t="b">
        <f t="shared" si="42"/>
        <v>1</v>
      </c>
      <c r="CG197" s="7" t="str">
        <f t="shared" si="39"/>
        <v>Mercer</v>
      </c>
      <c r="CH197" s="7" t="b">
        <f t="shared" si="40"/>
        <v>1</v>
      </c>
      <c r="CI197" s="7" t="b">
        <f>C197=GenRev!C197</f>
        <v>1</v>
      </c>
    </row>
    <row r="198" spans="1:87" hidden="1">
      <c r="A198" s="12" t="s">
        <v>854</v>
      </c>
      <c r="B198" s="12"/>
      <c r="C198" s="12" t="s">
        <v>60</v>
      </c>
      <c r="D198" s="12"/>
      <c r="E198" s="12">
        <v>43992</v>
      </c>
      <c r="AL198" s="12" t="s">
        <v>854</v>
      </c>
      <c r="AM198" s="12"/>
      <c r="AN198" s="12" t="s">
        <v>60</v>
      </c>
      <c r="BB198" s="7">
        <f t="shared" si="45"/>
        <v>0</v>
      </c>
      <c r="BL198" s="7">
        <f t="shared" si="46"/>
        <v>0</v>
      </c>
      <c r="BN198" s="7">
        <f>+GenRev!AM198-GenExp!BL198</f>
        <v>0</v>
      </c>
      <c r="BT198" s="7">
        <v>0</v>
      </c>
      <c r="BV198" s="7">
        <f t="shared" ref="BV198:BV219" si="52">+BP198+BN198-BR198</f>
        <v>0</v>
      </c>
      <c r="BX198" s="8">
        <f>+BV198-'Gen Fd BS'!AE198+BT198</f>
        <v>0</v>
      </c>
      <c r="CA198" s="7" t="s">
        <v>855</v>
      </c>
      <c r="CB198" s="7" t="str">
        <f t="shared" si="41"/>
        <v>Fostoria City SD (CASH)</v>
      </c>
      <c r="CC198" s="7" t="b">
        <f t="shared" si="38"/>
        <v>1</v>
      </c>
      <c r="CE198" s="12" t="str">
        <f>GenRev!A198</f>
        <v>Fostoria City SD (CASH)</v>
      </c>
      <c r="CF198" s="7" t="b">
        <f t="shared" si="42"/>
        <v>1</v>
      </c>
      <c r="CG198" s="7" t="str">
        <f t="shared" si="39"/>
        <v>Seneca</v>
      </c>
      <c r="CH198" s="7" t="b">
        <f t="shared" si="40"/>
        <v>1</v>
      </c>
      <c r="CI198" s="7" t="b">
        <f>C198=GenRev!C198</f>
        <v>1</v>
      </c>
    </row>
    <row r="199" spans="1:87">
      <c r="A199" s="12" t="s">
        <v>561</v>
      </c>
      <c r="B199" s="12"/>
      <c r="C199" s="12" t="s">
        <v>69</v>
      </c>
      <c r="D199" s="12"/>
      <c r="E199" s="12">
        <v>44008</v>
      </c>
      <c r="G199" s="7">
        <v>13049168</v>
      </c>
      <c r="I199" s="7">
        <v>3235953</v>
      </c>
      <c r="K199" s="7">
        <v>425134</v>
      </c>
      <c r="M199" s="7">
        <v>0</v>
      </c>
      <c r="O199" s="7">
        <f>11170+57187</f>
        <v>68357</v>
      </c>
      <c r="Q199" s="7">
        <v>1221512</v>
      </c>
      <c r="S199" s="7">
        <v>1449978</v>
      </c>
      <c r="U199" s="7">
        <v>31392</v>
      </c>
      <c r="W199" s="7">
        <v>1766511</v>
      </c>
      <c r="Y199" s="7">
        <v>619760</v>
      </c>
      <c r="AA199" s="7">
        <v>187505</v>
      </c>
      <c r="AC199" s="7">
        <v>2227051</v>
      </c>
      <c r="AE199" s="7">
        <v>1156176</v>
      </c>
      <c r="AG199" s="7">
        <v>385942</v>
      </c>
      <c r="AI199" s="7">
        <v>0</v>
      </c>
      <c r="AK199" s="7">
        <v>9399</v>
      </c>
      <c r="AL199" s="12" t="s">
        <v>561</v>
      </c>
      <c r="AM199" s="12"/>
      <c r="AN199" s="12" t="s">
        <v>69</v>
      </c>
      <c r="AP199" s="7">
        <v>624083</v>
      </c>
      <c r="AR199" s="7">
        <v>681085</v>
      </c>
      <c r="AT199" s="7">
        <v>0</v>
      </c>
      <c r="AV199" s="7">
        <v>63933</v>
      </c>
      <c r="AX199" s="7">
        <v>1820</v>
      </c>
      <c r="AZ199" s="7">
        <v>0</v>
      </c>
      <c r="BB199" s="7">
        <f t="shared" si="45"/>
        <v>27204759</v>
      </c>
      <c r="BD199" s="7">
        <v>0</v>
      </c>
      <c r="BF199" s="7">
        <v>0</v>
      </c>
      <c r="BH199" s="7">
        <v>0</v>
      </c>
      <c r="BJ199" s="7">
        <v>0</v>
      </c>
      <c r="BL199" s="7">
        <f t="shared" si="46"/>
        <v>27204759</v>
      </c>
      <c r="BN199" s="7">
        <f>+GenRev!AM199-GenExp!BL199</f>
        <v>-512474</v>
      </c>
      <c r="BP199" s="7">
        <v>3961300</v>
      </c>
      <c r="BR199" s="7">
        <v>0</v>
      </c>
      <c r="BT199" s="7">
        <v>0</v>
      </c>
      <c r="BV199" s="7">
        <f t="shared" si="52"/>
        <v>3448826</v>
      </c>
      <c r="BX199" s="8">
        <f>+BV199-'Gen Fd BS'!AE199+BT199</f>
        <v>0</v>
      </c>
      <c r="CB199" s="7" t="str">
        <f t="shared" si="41"/>
        <v>Franklin City SD</v>
      </c>
      <c r="CC199" s="7" t="b">
        <f t="shared" si="38"/>
        <v>1</v>
      </c>
      <c r="CE199" s="12" t="str">
        <f>GenRev!A199</f>
        <v>Franklin City SD</v>
      </c>
      <c r="CF199" s="7" t="b">
        <f t="shared" si="42"/>
        <v>1</v>
      </c>
      <c r="CG199" s="7" t="str">
        <f t="shared" si="39"/>
        <v>Warren</v>
      </c>
      <c r="CH199" s="7" t="b">
        <f t="shared" si="40"/>
        <v>1</v>
      </c>
      <c r="CI199" s="7" t="b">
        <f>C199=GenRev!C199</f>
        <v>1</v>
      </c>
    </row>
    <row r="200" spans="1:87">
      <c r="A200" s="12" t="s">
        <v>457</v>
      </c>
      <c r="B200" s="12"/>
      <c r="C200" s="12" t="s">
        <v>51</v>
      </c>
      <c r="D200" s="12"/>
      <c r="E200" s="12">
        <v>48843</v>
      </c>
      <c r="G200" s="7">
        <v>10424322</v>
      </c>
      <c r="I200" s="7">
        <v>1253597</v>
      </c>
      <c r="K200" s="7">
        <v>144968</v>
      </c>
      <c r="M200" s="7">
        <v>0</v>
      </c>
      <c r="O200" s="7">
        <v>241724</v>
      </c>
      <c r="Q200" s="7">
        <v>658924</v>
      </c>
      <c r="S200" s="7">
        <v>827379</v>
      </c>
      <c r="U200" s="7">
        <v>68588</v>
      </c>
      <c r="W200" s="7">
        <v>898716</v>
      </c>
      <c r="Y200" s="7">
        <v>456515</v>
      </c>
      <c r="AA200" s="7">
        <v>0</v>
      </c>
      <c r="AC200" s="7">
        <v>1353603</v>
      </c>
      <c r="AE200" s="7">
        <v>1493435</v>
      </c>
      <c r="AG200" s="7">
        <v>186905</v>
      </c>
      <c r="AI200" s="7">
        <v>2797</v>
      </c>
      <c r="AK200" s="7">
        <v>0</v>
      </c>
      <c r="AL200" s="12" t="s">
        <v>457</v>
      </c>
      <c r="AM200" s="12"/>
      <c r="AN200" s="12" t="s">
        <v>51</v>
      </c>
      <c r="AP200" s="7">
        <v>341560</v>
      </c>
      <c r="AR200" s="7">
        <v>5000</v>
      </c>
      <c r="AT200" s="7">
        <v>0</v>
      </c>
      <c r="AV200" s="7">
        <v>49399</v>
      </c>
      <c r="AX200" s="7">
        <v>6437</v>
      </c>
      <c r="AZ200" s="7">
        <v>0</v>
      </c>
      <c r="BB200" s="7">
        <f t="shared" si="45"/>
        <v>18413869</v>
      </c>
      <c r="BD200" s="7">
        <v>283000</v>
      </c>
      <c r="BF200" s="7">
        <v>0</v>
      </c>
      <c r="BH200" s="7">
        <v>0</v>
      </c>
      <c r="BJ200" s="7">
        <v>0</v>
      </c>
      <c r="BL200" s="7">
        <f t="shared" si="46"/>
        <v>18696869</v>
      </c>
      <c r="BN200" s="7">
        <f>+GenRev!AM200-GenExp!BL200</f>
        <v>152047</v>
      </c>
      <c r="BP200" s="7">
        <v>3297019</v>
      </c>
      <c r="BR200" s="7">
        <v>0</v>
      </c>
      <c r="BT200" s="7">
        <v>0</v>
      </c>
      <c r="BV200" s="7">
        <f t="shared" si="52"/>
        <v>3449066</v>
      </c>
      <c r="BX200" s="8">
        <f>+BV200-'Gen Fd BS'!AE200+BT200</f>
        <v>0</v>
      </c>
      <c r="CB200" s="7" t="str">
        <f t="shared" si="41"/>
        <v>Franklin Local SD</v>
      </c>
      <c r="CC200" s="7" t="b">
        <f t="shared" si="38"/>
        <v>1</v>
      </c>
      <c r="CE200" s="12" t="str">
        <f>GenRev!A200</f>
        <v>Franklin Local SD</v>
      </c>
      <c r="CF200" s="7" t="b">
        <f t="shared" si="42"/>
        <v>1</v>
      </c>
      <c r="CG200" s="7" t="str">
        <f t="shared" si="39"/>
        <v>Muskingum</v>
      </c>
      <c r="CH200" s="7" t="b">
        <f t="shared" si="40"/>
        <v>1</v>
      </c>
      <c r="CI200" s="7" t="b">
        <f>C200=GenRev!C200</f>
        <v>1</v>
      </c>
    </row>
    <row r="201" spans="1:87" hidden="1">
      <c r="A201" s="12" t="s">
        <v>641</v>
      </c>
      <c r="B201" s="12"/>
      <c r="C201" s="12" t="s">
        <v>21</v>
      </c>
      <c r="D201" s="12"/>
      <c r="E201" s="12">
        <v>46649</v>
      </c>
      <c r="AL201" s="12" t="s">
        <v>641</v>
      </c>
      <c r="AM201" s="12"/>
      <c r="AN201" s="12" t="s">
        <v>21</v>
      </c>
      <c r="BB201" s="7">
        <f t="shared" ref="BB201:BB204" si="53">SUM(G201:AZ201)</f>
        <v>0</v>
      </c>
      <c r="BL201" s="7">
        <f t="shared" ref="BL201:BL219" si="54">+BB201+BD201+BF201+BJ201</f>
        <v>0</v>
      </c>
      <c r="BN201" s="7">
        <f>+GenRev!AM201-GenExp!BL201</f>
        <v>0</v>
      </c>
      <c r="BT201" s="7">
        <v>0</v>
      </c>
      <c r="BV201" s="7">
        <f t="shared" si="52"/>
        <v>0</v>
      </c>
      <c r="BX201" s="8">
        <f>+BV201-'Gen Fd BS'!AE201+BT201</f>
        <v>0</v>
      </c>
      <c r="CA201" s="7" t="s">
        <v>839</v>
      </c>
      <c r="CB201" s="7" t="str">
        <f t="shared" si="41"/>
        <v>Franklin Monroe Local SD (CASH)</v>
      </c>
      <c r="CC201" s="7" t="b">
        <f t="shared" si="38"/>
        <v>1</v>
      </c>
      <c r="CE201" s="12" t="str">
        <f>GenRev!A201</f>
        <v>Franklin Monroe Local SD (CASH)</v>
      </c>
      <c r="CF201" s="7" t="b">
        <f t="shared" si="42"/>
        <v>1</v>
      </c>
      <c r="CG201" s="7" t="str">
        <f t="shared" si="39"/>
        <v>Darke</v>
      </c>
      <c r="CH201" s="7" t="b">
        <f t="shared" si="40"/>
        <v>1</v>
      </c>
      <c r="CI201" s="7" t="b">
        <f>C201=GenRev!C201</f>
        <v>1</v>
      </c>
    </row>
    <row r="202" spans="1:87" hidden="1">
      <c r="A202" s="12" t="s">
        <v>696</v>
      </c>
      <c r="B202" s="12"/>
      <c r="C202" s="12" t="s">
        <v>40</v>
      </c>
      <c r="D202" s="12"/>
      <c r="E202" s="12">
        <v>47852</v>
      </c>
      <c r="AL202" s="12" t="s">
        <v>696</v>
      </c>
      <c r="AM202" s="12"/>
      <c r="AN202" s="12" t="s">
        <v>40</v>
      </c>
      <c r="BB202" s="7">
        <f t="shared" si="53"/>
        <v>0</v>
      </c>
      <c r="BL202" s="7">
        <f t="shared" si="54"/>
        <v>0</v>
      </c>
      <c r="BN202" s="7">
        <f>+GenRev!AM202-GenExp!BL202</f>
        <v>0</v>
      </c>
      <c r="BT202" s="7">
        <v>0</v>
      </c>
      <c r="BV202" s="7">
        <f t="shared" si="52"/>
        <v>0</v>
      </c>
      <c r="BX202" s="8">
        <f>+BV202-'Gen Fd BS'!AE202+BT202</f>
        <v>0</v>
      </c>
      <c r="CA202" s="7" t="s">
        <v>839</v>
      </c>
      <c r="CB202" s="7" t="str">
        <f t="shared" si="41"/>
        <v>Fredericktown Local SD (CASH)</v>
      </c>
      <c r="CC202" s="7" t="b">
        <f t="shared" si="38"/>
        <v>1</v>
      </c>
      <c r="CE202" s="12" t="str">
        <f>GenRev!A202</f>
        <v>Fredericktown Local SD (CASH)</v>
      </c>
      <c r="CF202" s="7" t="b">
        <f t="shared" si="42"/>
        <v>1</v>
      </c>
      <c r="CG202" s="7" t="str">
        <f t="shared" si="39"/>
        <v>Knox</v>
      </c>
      <c r="CH202" s="7" t="b">
        <f t="shared" si="40"/>
        <v>1</v>
      </c>
      <c r="CI202" s="7" t="b">
        <f>C202=GenRev!C202</f>
        <v>1</v>
      </c>
    </row>
    <row r="203" spans="1:87">
      <c r="A203" s="12" t="s">
        <v>673</v>
      </c>
      <c r="B203" s="12"/>
      <c r="C203" s="12" t="s">
        <v>79</v>
      </c>
      <c r="D203" s="12"/>
      <c r="E203" s="12">
        <v>44016</v>
      </c>
      <c r="G203" s="7">
        <v>17468651</v>
      </c>
      <c r="I203" s="7">
        <v>4253223</v>
      </c>
      <c r="K203" s="7">
        <v>55470</v>
      </c>
      <c r="M203" s="7">
        <v>0</v>
      </c>
      <c r="O203" s="7">
        <v>324296</v>
      </c>
      <c r="Q203" s="7">
        <v>2103976</v>
      </c>
      <c r="S203" s="7">
        <v>1082030</v>
      </c>
      <c r="U203" s="7">
        <v>82441</v>
      </c>
      <c r="W203" s="7">
        <v>2648721</v>
      </c>
      <c r="Y203" s="7">
        <v>645847</v>
      </c>
      <c r="AA203" s="7">
        <v>145126</v>
      </c>
      <c r="AC203" s="7">
        <v>2283510</v>
      </c>
      <c r="AE203" s="7">
        <v>1077206</v>
      </c>
      <c r="AG203" s="7">
        <v>69686</v>
      </c>
      <c r="AI203" s="7">
        <v>0</v>
      </c>
      <c r="AK203" s="7">
        <v>26028</v>
      </c>
      <c r="AL203" s="12" t="s">
        <v>673</v>
      </c>
      <c r="AM203" s="12"/>
      <c r="AN203" s="12" t="s">
        <v>79</v>
      </c>
      <c r="AP203" s="7">
        <v>528771</v>
      </c>
      <c r="AR203" s="7">
        <v>28151</v>
      </c>
      <c r="AT203" s="7">
        <v>0</v>
      </c>
      <c r="AV203" s="7">
        <v>2007</v>
      </c>
      <c r="AX203" s="7">
        <v>624</v>
      </c>
      <c r="AZ203" s="7">
        <v>0</v>
      </c>
      <c r="BB203" s="7">
        <f t="shared" si="53"/>
        <v>32825764</v>
      </c>
      <c r="BD203" s="7">
        <v>0</v>
      </c>
      <c r="BF203" s="7">
        <v>0</v>
      </c>
      <c r="BH203" s="7">
        <v>0</v>
      </c>
      <c r="BJ203" s="7">
        <v>0</v>
      </c>
      <c r="BL203" s="7">
        <f t="shared" si="54"/>
        <v>32825764</v>
      </c>
      <c r="BN203" s="7">
        <f>+GenRev!AM203-GenExp!BL203</f>
        <v>1166707</v>
      </c>
      <c r="BP203" s="7">
        <v>5708157</v>
      </c>
      <c r="BR203" s="7">
        <v>0</v>
      </c>
      <c r="BT203" s="7">
        <v>0</v>
      </c>
      <c r="BV203" s="7">
        <f t="shared" si="52"/>
        <v>6874864</v>
      </c>
      <c r="BX203" s="8">
        <f>+BV203-'Gen Fd BS'!AE203+BT203</f>
        <v>0</v>
      </c>
      <c r="CB203" s="7" t="str">
        <f t="shared" si="41"/>
        <v xml:space="preserve">Fremont City SD </v>
      </c>
      <c r="CC203" s="7" t="b">
        <f t="shared" si="38"/>
        <v>1</v>
      </c>
      <c r="CE203" s="12" t="str">
        <f>GenRev!A203</f>
        <v xml:space="preserve">Fremont City SD </v>
      </c>
      <c r="CF203" s="7" t="b">
        <f t="shared" si="42"/>
        <v>1</v>
      </c>
      <c r="CG203" s="7" t="str">
        <f t="shared" si="39"/>
        <v>Sandusky</v>
      </c>
      <c r="CH203" s="7" t="b">
        <f t="shared" si="40"/>
        <v>1</v>
      </c>
      <c r="CI203" s="7" t="b">
        <f>C203=GenRev!C203</f>
        <v>1</v>
      </c>
    </row>
    <row r="204" spans="1:87">
      <c r="A204" s="12" t="s">
        <v>565</v>
      </c>
      <c r="B204" s="12"/>
      <c r="C204" s="12" t="s">
        <v>70</v>
      </c>
      <c r="D204" s="12"/>
      <c r="E204" s="12">
        <v>50492</v>
      </c>
      <c r="G204" s="7">
        <v>2546077</v>
      </c>
      <c r="I204" s="7">
        <v>501743</v>
      </c>
      <c r="K204" s="7">
        <v>274399</v>
      </c>
      <c r="M204" s="7">
        <v>0</v>
      </c>
      <c r="O204" s="7">
        <v>0</v>
      </c>
      <c r="Q204" s="7">
        <v>202089</v>
      </c>
      <c r="S204" s="7">
        <v>102839</v>
      </c>
      <c r="U204" s="7">
        <v>21060</v>
      </c>
      <c r="W204" s="7">
        <v>479634</v>
      </c>
      <c r="Y204" s="7">
        <v>269964</v>
      </c>
      <c r="AA204" s="7">
        <v>0</v>
      </c>
      <c r="AC204" s="7">
        <v>1016586</v>
      </c>
      <c r="AE204" s="7">
        <v>802340</v>
      </c>
      <c r="AG204" s="7">
        <v>5262</v>
      </c>
      <c r="AI204" s="7">
        <v>0</v>
      </c>
      <c r="AK204" s="7">
        <v>0</v>
      </c>
      <c r="AL204" s="12" t="s">
        <v>565</v>
      </c>
      <c r="AM204" s="12"/>
      <c r="AN204" s="12" t="s">
        <v>70</v>
      </c>
      <c r="AP204" s="7">
        <v>77625</v>
      </c>
      <c r="AR204" s="7">
        <v>1305</v>
      </c>
      <c r="AT204" s="7">
        <v>0</v>
      </c>
      <c r="AV204" s="7">
        <v>19206</v>
      </c>
      <c r="AX204" s="7">
        <v>2554</v>
      </c>
      <c r="AZ204" s="7">
        <v>0</v>
      </c>
      <c r="BB204" s="7">
        <f t="shared" si="53"/>
        <v>6322683</v>
      </c>
      <c r="BD204" s="7">
        <v>45000</v>
      </c>
      <c r="BF204" s="7">
        <v>0</v>
      </c>
      <c r="BH204" s="7">
        <v>0</v>
      </c>
      <c r="BJ204" s="7">
        <v>0</v>
      </c>
      <c r="BL204" s="7">
        <f t="shared" si="54"/>
        <v>6367683</v>
      </c>
      <c r="BN204" s="7">
        <f>+GenRev!AM204-GenExp!BL204</f>
        <v>191634</v>
      </c>
      <c r="BP204" s="7">
        <v>979880</v>
      </c>
      <c r="BR204" s="7">
        <v>0</v>
      </c>
      <c r="BT204" s="7">
        <v>0</v>
      </c>
      <c r="BV204" s="7">
        <f t="shared" si="52"/>
        <v>1171514</v>
      </c>
      <c r="BX204" s="8">
        <f>+BV204-'Gen Fd BS'!AE204+BT204</f>
        <v>0</v>
      </c>
      <c r="CB204" s="7" t="str">
        <f t="shared" si="41"/>
        <v>Frontier Local SD</v>
      </c>
      <c r="CC204" s="7" t="b">
        <f t="shared" ref="CC204:CC267" si="55">A204=AL204</f>
        <v>1</v>
      </c>
      <c r="CE204" s="12" t="str">
        <f>GenRev!A204</f>
        <v>Frontier Local SD</v>
      </c>
      <c r="CF204" s="7" t="b">
        <f t="shared" si="42"/>
        <v>1</v>
      </c>
      <c r="CG204" s="7" t="str">
        <f t="shared" ref="CG204:CG267" si="56">C204</f>
        <v>Washington</v>
      </c>
      <c r="CH204" s="7" t="b">
        <f t="shared" ref="CH204:CH267" si="57">C204=AN204</f>
        <v>1</v>
      </c>
      <c r="CI204" s="7" t="b">
        <f>C204=GenRev!C204</f>
        <v>1</v>
      </c>
    </row>
    <row r="205" spans="1:87">
      <c r="A205" s="12" t="s">
        <v>670</v>
      </c>
      <c r="B205" s="12"/>
      <c r="C205" s="12" t="s">
        <v>27</v>
      </c>
      <c r="D205" s="12"/>
      <c r="E205" s="12">
        <v>46961</v>
      </c>
      <c r="G205" s="7">
        <v>40424284</v>
      </c>
      <c r="I205" s="7">
        <v>9964090</v>
      </c>
      <c r="K205" s="7">
        <v>902313</v>
      </c>
      <c r="M205" s="7">
        <v>0</v>
      </c>
      <c r="O205" s="7">
        <v>0</v>
      </c>
      <c r="Q205" s="7">
        <v>3725324</v>
      </c>
      <c r="S205" s="7">
        <v>3068805</v>
      </c>
      <c r="U205" s="7">
        <v>264969</v>
      </c>
      <c r="W205" s="7">
        <v>6786480</v>
      </c>
      <c r="Y205" s="7">
        <v>1396372</v>
      </c>
      <c r="AA205" s="7">
        <v>0</v>
      </c>
      <c r="AC205" s="7">
        <v>6040227</v>
      </c>
      <c r="AE205" s="7">
        <v>2688397</v>
      </c>
      <c r="AG205" s="7">
        <v>457203</v>
      </c>
      <c r="AI205" s="7">
        <v>0</v>
      </c>
      <c r="AK205" s="7">
        <v>0</v>
      </c>
      <c r="AL205" s="12" t="s">
        <v>670</v>
      </c>
      <c r="AM205" s="12"/>
      <c r="AN205" s="12" t="s">
        <v>27</v>
      </c>
      <c r="AP205" s="7">
        <v>927114</v>
      </c>
      <c r="AR205" s="7">
        <v>2350330</v>
      </c>
      <c r="AT205" s="7">
        <v>0</v>
      </c>
      <c r="AV205" s="7">
        <v>422490</v>
      </c>
      <c r="AX205" s="7">
        <v>71730</v>
      </c>
      <c r="AZ205" s="7">
        <v>0</v>
      </c>
      <c r="BB205" s="7">
        <f t="shared" ref="BB205:BB219" si="58">SUM(G205:AZ205)</f>
        <v>79490128</v>
      </c>
      <c r="BD205" s="7">
        <v>1791514</v>
      </c>
      <c r="BF205" s="7">
        <v>0</v>
      </c>
      <c r="BH205" s="7">
        <v>0</v>
      </c>
      <c r="BJ205" s="7">
        <v>0</v>
      </c>
      <c r="BL205" s="7">
        <f t="shared" si="54"/>
        <v>81281642</v>
      </c>
      <c r="BN205" s="7">
        <f>+GenRev!AM205-GenExp!BL205</f>
        <v>-4507783</v>
      </c>
      <c r="BP205" s="7">
        <v>23746560</v>
      </c>
      <c r="BR205" s="7">
        <v>0</v>
      </c>
      <c r="BT205" s="7">
        <v>0</v>
      </c>
      <c r="BV205" s="7">
        <f t="shared" si="52"/>
        <v>19238777</v>
      </c>
      <c r="BX205" s="8">
        <f>+BV205-'Gen Fd BS'!AE205+BT205</f>
        <v>0</v>
      </c>
      <c r="CB205" s="7" t="str">
        <f t="shared" ref="CB205:CB268" si="59">A205</f>
        <v xml:space="preserve">Gahanna-Jefferson City SD </v>
      </c>
      <c r="CC205" s="7" t="b">
        <f t="shared" si="55"/>
        <v>1</v>
      </c>
      <c r="CE205" s="12" t="str">
        <f>GenRev!A205</f>
        <v xml:space="preserve">Gahanna-Jefferson City SD </v>
      </c>
      <c r="CF205" s="7" t="b">
        <f t="shared" ref="CF205:CF268" si="60">CB205=CE205</f>
        <v>1</v>
      </c>
      <c r="CG205" s="7" t="str">
        <f t="shared" si="56"/>
        <v>Franklin</v>
      </c>
      <c r="CH205" s="7" t="b">
        <f t="shared" si="57"/>
        <v>1</v>
      </c>
      <c r="CI205" s="7" t="b">
        <f>C205=GenRev!C205</f>
        <v>1</v>
      </c>
    </row>
    <row r="206" spans="1:87">
      <c r="A206" s="12" t="s">
        <v>265</v>
      </c>
      <c r="B206" s="12"/>
      <c r="C206" s="12" t="s">
        <v>111</v>
      </c>
      <c r="D206" s="12"/>
      <c r="E206" s="12">
        <v>44024</v>
      </c>
      <c r="G206" s="7">
        <v>8012783</v>
      </c>
      <c r="I206" s="7">
        <v>2139918</v>
      </c>
      <c r="K206" s="7">
        <v>59060</v>
      </c>
      <c r="M206" s="7">
        <v>0</v>
      </c>
      <c r="O206" s="7">
        <v>0</v>
      </c>
      <c r="Q206" s="7">
        <v>666039</v>
      </c>
      <c r="S206" s="7">
        <v>551759</v>
      </c>
      <c r="U206" s="7">
        <v>69893</v>
      </c>
      <c r="W206" s="7">
        <v>1312897</v>
      </c>
      <c r="Y206" s="7">
        <v>394041</v>
      </c>
      <c r="AA206" s="7">
        <v>0</v>
      </c>
      <c r="AC206" s="7">
        <v>1567412</v>
      </c>
      <c r="AE206" s="7">
        <v>755305</v>
      </c>
      <c r="AG206" s="7">
        <v>116695</v>
      </c>
      <c r="AI206" s="7">
        <v>0</v>
      </c>
      <c r="AK206" s="7">
        <v>0</v>
      </c>
      <c r="AL206" s="12" t="s">
        <v>265</v>
      </c>
      <c r="AM206" s="12"/>
      <c r="AN206" s="12" t="s">
        <v>111</v>
      </c>
      <c r="AP206" s="7">
        <v>520339</v>
      </c>
      <c r="AR206" s="7">
        <v>0</v>
      </c>
      <c r="AT206" s="7">
        <v>0</v>
      </c>
      <c r="AV206" s="7">
        <v>36175</v>
      </c>
      <c r="AX206" s="7">
        <v>3455</v>
      </c>
      <c r="AZ206" s="7">
        <v>0</v>
      </c>
      <c r="BB206" s="7">
        <f t="shared" si="58"/>
        <v>16205771</v>
      </c>
      <c r="BD206" s="7">
        <v>50182</v>
      </c>
      <c r="BF206" s="7">
        <v>0</v>
      </c>
      <c r="BH206" s="7">
        <v>0</v>
      </c>
      <c r="BJ206" s="7">
        <v>0</v>
      </c>
      <c r="BL206" s="7">
        <f t="shared" si="54"/>
        <v>16255953</v>
      </c>
      <c r="BN206" s="7">
        <f>+GenRev!AM206-GenExp!BL206</f>
        <v>-293330</v>
      </c>
      <c r="BP206" s="7">
        <v>1797059</v>
      </c>
      <c r="BR206" s="7">
        <v>0</v>
      </c>
      <c r="BT206" s="7">
        <v>0</v>
      </c>
      <c r="BV206" s="7">
        <f t="shared" si="52"/>
        <v>1503729</v>
      </c>
      <c r="BX206" s="8">
        <f>+BV206-'Gen Fd BS'!AE206+BT206</f>
        <v>0</v>
      </c>
      <c r="CB206" s="7" t="str">
        <f t="shared" si="59"/>
        <v>Galion City SD</v>
      </c>
      <c r="CC206" s="7" t="b">
        <f t="shared" si="55"/>
        <v>1</v>
      </c>
      <c r="CE206" s="12" t="str">
        <f>GenRev!A206</f>
        <v>Galion City SD</v>
      </c>
      <c r="CF206" s="7" t="b">
        <f t="shared" si="60"/>
        <v>1</v>
      </c>
      <c r="CG206" s="7" t="str">
        <f t="shared" si="56"/>
        <v>Crawford</v>
      </c>
      <c r="CH206" s="7" t="b">
        <f t="shared" si="57"/>
        <v>1</v>
      </c>
      <c r="CI206" s="7" t="b">
        <f>C206=GenRev!C206</f>
        <v>1</v>
      </c>
    </row>
    <row r="207" spans="1:87" hidden="1">
      <c r="A207" s="12" t="s">
        <v>671</v>
      </c>
      <c r="B207" s="12"/>
      <c r="C207" s="12" t="s">
        <v>29</v>
      </c>
      <c r="D207" s="12"/>
      <c r="E207" s="12">
        <v>65680</v>
      </c>
      <c r="AL207" s="12" t="s">
        <v>671</v>
      </c>
      <c r="AM207" s="12"/>
      <c r="AN207" s="12" t="s">
        <v>29</v>
      </c>
      <c r="BB207" s="7">
        <f t="shared" si="58"/>
        <v>0</v>
      </c>
      <c r="BL207" s="7">
        <f t="shared" si="54"/>
        <v>0</v>
      </c>
      <c r="BN207" s="7">
        <f>+GenRev!AM207-GenExp!BL207</f>
        <v>0</v>
      </c>
      <c r="BT207" s="7">
        <v>0</v>
      </c>
      <c r="BV207" s="7">
        <f t="shared" si="52"/>
        <v>0</v>
      </c>
      <c r="BX207" s="8">
        <f>+BV207-'Gen Fd BS'!AE207+BT207</f>
        <v>0</v>
      </c>
      <c r="CA207" s="7" t="s">
        <v>856</v>
      </c>
      <c r="CB207" s="7" t="str">
        <f t="shared" si="59"/>
        <v xml:space="preserve">Gallia County Local SD </v>
      </c>
      <c r="CC207" s="7" t="b">
        <f t="shared" si="55"/>
        <v>1</v>
      </c>
      <c r="CE207" s="12" t="str">
        <f>GenRev!A207</f>
        <v xml:space="preserve">Gallia County Local SD </v>
      </c>
      <c r="CF207" s="7" t="b">
        <f t="shared" si="60"/>
        <v>1</v>
      </c>
      <c r="CG207" s="7" t="str">
        <f t="shared" si="56"/>
        <v>Gallia</v>
      </c>
      <c r="CH207" s="7" t="b">
        <f t="shared" si="57"/>
        <v>1</v>
      </c>
      <c r="CI207" s="7" t="b">
        <f>C207=GenRev!C207</f>
        <v>1</v>
      </c>
    </row>
    <row r="208" spans="1:87">
      <c r="A208" s="12" t="s">
        <v>320</v>
      </c>
      <c r="B208" s="12"/>
      <c r="C208" s="12" t="s">
        <v>29</v>
      </c>
      <c r="D208" s="12"/>
      <c r="E208" s="12">
        <v>44032</v>
      </c>
      <c r="G208" s="7">
        <v>8202724</v>
      </c>
      <c r="I208" s="7">
        <v>2486792</v>
      </c>
      <c r="K208" s="7">
        <v>112188</v>
      </c>
      <c r="M208" s="7">
        <v>0</v>
      </c>
      <c r="O208" s="7">
        <v>804637</v>
      </c>
      <c r="Q208" s="7">
        <v>1020813</v>
      </c>
      <c r="S208" s="7">
        <v>551062</v>
      </c>
      <c r="U208" s="7">
        <v>25750</v>
      </c>
      <c r="W208" s="7">
        <v>1388262</v>
      </c>
      <c r="Y208" s="7">
        <v>391192</v>
      </c>
      <c r="AA208" s="7">
        <v>0</v>
      </c>
      <c r="AC208" s="7">
        <v>1772086</v>
      </c>
      <c r="AE208" s="7">
        <v>1527094</v>
      </c>
      <c r="AG208" s="7">
        <v>101934</v>
      </c>
      <c r="AI208" s="7">
        <v>0</v>
      </c>
      <c r="AK208" s="7">
        <v>0</v>
      </c>
      <c r="AL208" s="12" t="s">
        <v>320</v>
      </c>
      <c r="AM208" s="12"/>
      <c r="AN208" s="12" t="s">
        <v>29</v>
      </c>
      <c r="AP208" s="7">
        <v>310854</v>
      </c>
      <c r="AR208" s="7">
        <v>25455</v>
      </c>
      <c r="AT208" s="7">
        <v>0</v>
      </c>
      <c r="AV208" s="7">
        <v>0</v>
      </c>
      <c r="AX208" s="7">
        <v>0</v>
      </c>
      <c r="AZ208" s="7">
        <v>0</v>
      </c>
      <c r="BB208" s="7">
        <f t="shared" si="58"/>
        <v>18720843</v>
      </c>
      <c r="BD208" s="7">
        <v>0</v>
      </c>
      <c r="BF208" s="7">
        <v>0</v>
      </c>
      <c r="BH208" s="7">
        <v>0</v>
      </c>
      <c r="BJ208" s="7">
        <v>0</v>
      </c>
      <c r="BL208" s="7">
        <f t="shared" si="54"/>
        <v>18720843</v>
      </c>
      <c r="BN208" s="7">
        <f>+GenRev!AM208-GenExp!BL208</f>
        <v>-452192</v>
      </c>
      <c r="BP208" s="7">
        <v>-3370</v>
      </c>
      <c r="BR208" s="7">
        <v>-27429</v>
      </c>
      <c r="BT208" s="7">
        <v>0</v>
      </c>
      <c r="BV208" s="7">
        <f t="shared" si="52"/>
        <v>-428133</v>
      </c>
      <c r="BX208" s="8">
        <f>+BV208-'Gen Fd BS'!AE208+BT208</f>
        <v>0</v>
      </c>
      <c r="CB208" s="7" t="str">
        <f t="shared" si="59"/>
        <v>Gallipolis City SD</v>
      </c>
      <c r="CC208" s="7" t="b">
        <f t="shared" si="55"/>
        <v>1</v>
      </c>
      <c r="CE208" s="12" t="str">
        <f>GenRev!A208</f>
        <v>Gallipolis City SD</v>
      </c>
      <c r="CF208" s="7" t="b">
        <f t="shared" si="60"/>
        <v>1</v>
      </c>
      <c r="CG208" s="7" t="str">
        <f t="shared" si="56"/>
        <v>Gallia</v>
      </c>
      <c r="CH208" s="7" t="b">
        <f t="shared" si="57"/>
        <v>1</v>
      </c>
      <c r="CI208" s="7" t="b">
        <f>C208=GenRev!C208</f>
        <v>1</v>
      </c>
    </row>
    <row r="209" spans="1:87">
      <c r="A209" s="12" t="s">
        <v>551</v>
      </c>
      <c r="B209" s="12"/>
      <c r="C209" s="12" t="s">
        <v>65</v>
      </c>
      <c r="D209" s="12"/>
      <c r="E209" s="12">
        <v>50278</v>
      </c>
      <c r="G209" s="7">
        <v>5366062</v>
      </c>
      <c r="I209" s="7">
        <v>688146</v>
      </c>
      <c r="K209" s="7">
        <v>1126</v>
      </c>
      <c r="M209" s="7">
        <v>0</v>
      </c>
      <c r="O209" s="7">
        <v>96120</v>
      </c>
      <c r="Q209" s="7">
        <v>338308</v>
      </c>
      <c r="S209" s="7">
        <v>450046</v>
      </c>
      <c r="U209" s="7">
        <v>15057</v>
      </c>
      <c r="W209" s="7">
        <v>1102320</v>
      </c>
      <c r="Y209" s="7">
        <v>377087</v>
      </c>
      <c r="AA209" s="7">
        <v>0</v>
      </c>
      <c r="AC209" s="7">
        <v>857586</v>
      </c>
      <c r="AE209" s="7">
        <v>797363</v>
      </c>
      <c r="AG209" s="7">
        <v>39388</v>
      </c>
      <c r="AI209" s="7">
        <v>0</v>
      </c>
      <c r="AK209" s="7">
        <v>0</v>
      </c>
      <c r="AL209" s="12" t="s">
        <v>551</v>
      </c>
      <c r="AM209" s="12"/>
      <c r="AN209" s="12" t="s">
        <v>65</v>
      </c>
      <c r="AP209" s="7">
        <v>262243</v>
      </c>
      <c r="AR209" s="7">
        <v>0</v>
      </c>
      <c r="AT209" s="7">
        <v>0</v>
      </c>
      <c r="AV209" s="7">
        <v>0</v>
      </c>
      <c r="AX209" s="7">
        <v>0</v>
      </c>
      <c r="AZ209" s="7">
        <v>0</v>
      </c>
      <c r="BB209" s="7">
        <f t="shared" si="58"/>
        <v>10390852</v>
      </c>
      <c r="BD209" s="7">
        <v>10000</v>
      </c>
      <c r="BF209" s="7">
        <v>0</v>
      </c>
      <c r="BH209" s="7">
        <v>0</v>
      </c>
      <c r="BJ209" s="7">
        <v>0</v>
      </c>
      <c r="BL209" s="7">
        <f t="shared" si="54"/>
        <v>10400852</v>
      </c>
      <c r="BN209" s="7">
        <f>+GenRev!AM209-GenExp!BL209</f>
        <v>-195727</v>
      </c>
      <c r="BP209" s="7">
        <v>2538646</v>
      </c>
      <c r="BR209" s="7">
        <v>0</v>
      </c>
      <c r="BT209" s="7">
        <v>0</v>
      </c>
      <c r="BV209" s="7">
        <f t="shared" si="52"/>
        <v>2342919</v>
      </c>
      <c r="BX209" s="8">
        <f>+BV209-'Gen Fd BS'!AE209+BT209</f>
        <v>0</v>
      </c>
      <c r="CB209" s="7" t="str">
        <f t="shared" si="59"/>
        <v>Garaway Local SD</v>
      </c>
      <c r="CC209" s="7" t="b">
        <f t="shared" si="55"/>
        <v>1</v>
      </c>
      <c r="CE209" s="12" t="str">
        <f>GenRev!A209</f>
        <v>Garaway Local SD</v>
      </c>
      <c r="CF209" s="7" t="b">
        <f t="shared" si="60"/>
        <v>1</v>
      </c>
      <c r="CG209" s="7" t="str">
        <f t="shared" si="56"/>
        <v>Tuscarawas</v>
      </c>
      <c r="CH209" s="7" t="b">
        <f t="shared" si="57"/>
        <v>1</v>
      </c>
      <c r="CI209" s="7" t="b">
        <f>C209=GenRev!C209</f>
        <v>1</v>
      </c>
    </row>
    <row r="210" spans="1:87">
      <c r="A210" s="12" t="s">
        <v>714</v>
      </c>
      <c r="B210" s="12"/>
      <c r="C210" s="12" t="s">
        <v>20</v>
      </c>
      <c r="D210" s="12"/>
      <c r="E210" s="12">
        <v>44040</v>
      </c>
      <c r="G210" s="7">
        <v>12494128</v>
      </c>
      <c r="I210" s="7">
        <v>2533865</v>
      </c>
      <c r="K210" s="7">
        <v>260268</v>
      </c>
      <c r="M210" s="7">
        <v>0</v>
      </c>
      <c r="O210" s="7">
        <v>2447096</v>
      </c>
      <c r="Q210" s="7">
        <v>1890530</v>
      </c>
      <c r="S210" s="7">
        <v>1851697</v>
      </c>
      <c r="U210" s="7">
        <v>42263</v>
      </c>
      <c r="W210" s="7">
        <v>3110643</v>
      </c>
      <c r="Y210" s="7">
        <v>817766</v>
      </c>
      <c r="AA210" s="7">
        <v>704786</v>
      </c>
      <c r="AC210" s="7">
        <v>3335409</v>
      </c>
      <c r="AE210" s="7">
        <v>777720</v>
      </c>
      <c r="AG210" s="7">
        <v>352999</v>
      </c>
      <c r="AI210" s="7">
        <v>0</v>
      </c>
      <c r="AK210" s="7">
        <v>237</v>
      </c>
      <c r="AL210" s="12" t="s">
        <v>714</v>
      </c>
      <c r="AM210" s="12"/>
      <c r="AN210" s="12" t="s">
        <v>20</v>
      </c>
      <c r="AP210" s="7">
        <v>320335</v>
      </c>
      <c r="AR210" s="7">
        <v>1180498</v>
      </c>
      <c r="AT210" s="7">
        <v>0</v>
      </c>
      <c r="AV210" s="7">
        <v>688791</v>
      </c>
      <c r="AX210" s="7">
        <v>45294</v>
      </c>
      <c r="AZ210" s="7">
        <v>0</v>
      </c>
      <c r="BB210" s="7">
        <f t="shared" si="58"/>
        <v>32854325</v>
      </c>
      <c r="BD210" s="7">
        <v>0</v>
      </c>
      <c r="BF210" s="7">
        <v>0</v>
      </c>
      <c r="BH210" s="7">
        <v>0</v>
      </c>
      <c r="BJ210" s="7">
        <v>0</v>
      </c>
      <c r="BL210" s="7">
        <f t="shared" si="54"/>
        <v>32854325</v>
      </c>
      <c r="BN210" s="7">
        <f>+GenRev!AM210-GenExp!BL210</f>
        <v>200779</v>
      </c>
      <c r="BP210" s="7">
        <v>2184163</v>
      </c>
      <c r="BR210" s="7">
        <v>0</v>
      </c>
      <c r="BT210" s="7">
        <v>0</v>
      </c>
      <c r="BV210" s="7">
        <f t="shared" si="52"/>
        <v>2384942</v>
      </c>
      <c r="BX210" s="8">
        <f>+BV210-'Gen Fd BS'!AE210+BT210</f>
        <v>0</v>
      </c>
      <c r="CA210" s="7" t="s">
        <v>850</v>
      </c>
      <c r="CB210" s="7" t="str">
        <f t="shared" si="59"/>
        <v xml:space="preserve">Garfield Heights City SD </v>
      </c>
      <c r="CC210" s="7" t="b">
        <f t="shared" si="55"/>
        <v>1</v>
      </c>
      <c r="CE210" s="12" t="str">
        <f>GenRev!A210</f>
        <v xml:space="preserve">Garfield Heights City SD </v>
      </c>
      <c r="CF210" s="7" t="b">
        <f t="shared" si="60"/>
        <v>1</v>
      </c>
      <c r="CG210" s="7" t="str">
        <f t="shared" si="56"/>
        <v>Cuyahoga</v>
      </c>
      <c r="CH210" s="7" t="b">
        <f t="shared" si="57"/>
        <v>1</v>
      </c>
      <c r="CI210" s="7" t="b">
        <f>C210=GenRev!C210</f>
        <v>1</v>
      </c>
    </row>
    <row r="211" spans="1:87">
      <c r="A211" s="12" t="s">
        <v>672</v>
      </c>
      <c r="B211" s="12"/>
      <c r="C211" s="12" t="s">
        <v>12</v>
      </c>
      <c r="D211" s="12"/>
      <c r="E211" s="12">
        <v>44057</v>
      </c>
      <c r="F211" s="10"/>
      <c r="G211" s="7">
        <v>9579930</v>
      </c>
      <c r="I211" s="7">
        <v>2283832</v>
      </c>
      <c r="K211" s="7">
        <v>392352</v>
      </c>
      <c r="M211" s="7">
        <v>0</v>
      </c>
      <c r="O211" s="7">
        <v>1342366</v>
      </c>
      <c r="Q211" s="7">
        <v>1359685</v>
      </c>
      <c r="S211" s="7">
        <v>518237</v>
      </c>
      <c r="U211" s="7">
        <v>20177</v>
      </c>
      <c r="W211" s="7">
        <v>1650819</v>
      </c>
      <c r="Y211" s="7">
        <v>488376</v>
      </c>
      <c r="AA211" s="7">
        <v>33992</v>
      </c>
      <c r="AC211" s="7">
        <v>2120151</v>
      </c>
      <c r="AE211" s="7">
        <v>1350339</v>
      </c>
      <c r="AG211" s="7">
        <v>4047</v>
      </c>
      <c r="AI211" s="7">
        <v>0</v>
      </c>
      <c r="AK211" s="7">
        <v>43725</v>
      </c>
      <c r="AL211" s="12" t="s">
        <v>672</v>
      </c>
      <c r="AM211" s="12"/>
      <c r="AN211" s="12" t="s">
        <v>12</v>
      </c>
      <c r="AP211" s="7">
        <v>463054</v>
      </c>
      <c r="AR211" s="7">
        <v>93181</v>
      </c>
      <c r="AT211" s="7">
        <v>0</v>
      </c>
      <c r="AV211" s="7">
        <v>0</v>
      </c>
      <c r="AX211" s="7">
        <v>0</v>
      </c>
      <c r="AZ211" s="7">
        <v>0</v>
      </c>
      <c r="BB211" s="7">
        <f t="shared" si="58"/>
        <v>21744263</v>
      </c>
      <c r="BD211" s="7">
        <v>55243</v>
      </c>
      <c r="BF211" s="7">
        <v>0</v>
      </c>
      <c r="BH211" s="7">
        <v>0</v>
      </c>
      <c r="BJ211" s="7">
        <v>0</v>
      </c>
      <c r="BL211" s="7">
        <f t="shared" si="54"/>
        <v>21799506</v>
      </c>
      <c r="BN211" s="7">
        <f>+GenRev!AM211-GenExp!BL211</f>
        <v>-376467</v>
      </c>
      <c r="BP211" s="7">
        <v>2200831</v>
      </c>
      <c r="BR211" s="7">
        <v>0</v>
      </c>
      <c r="BT211" s="7">
        <v>0</v>
      </c>
      <c r="BV211" s="7">
        <f t="shared" si="52"/>
        <v>1824364</v>
      </c>
      <c r="BX211" s="8">
        <f>+BV211-'Gen Fd BS'!AE211+BT211</f>
        <v>0</v>
      </c>
      <c r="CB211" s="7" t="str">
        <f t="shared" si="59"/>
        <v>Geneva Area City SD</v>
      </c>
      <c r="CC211" s="7" t="b">
        <f t="shared" si="55"/>
        <v>1</v>
      </c>
      <c r="CE211" s="12" t="str">
        <f>GenRev!A211</f>
        <v>Geneva Area City SD</v>
      </c>
      <c r="CF211" s="7" t="b">
        <f t="shared" si="60"/>
        <v>1</v>
      </c>
      <c r="CG211" s="7" t="str">
        <f t="shared" si="56"/>
        <v>Ashtabula</v>
      </c>
      <c r="CH211" s="7" t="b">
        <f t="shared" si="57"/>
        <v>1</v>
      </c>
      <c r="CI211" s="7" t="b">
        <f>C211=GenRev!C211</f>
        <v>1</v>
      </c>
    </row>
    <row r="212" spans="1:87" hidden="1">
      <c r="A212" s="12" t="s">
        <v>983</v>
      </c>
      <c r="B212" s="12"/>
      <c r="C212" s="12" t="s">
        <v>53</v>
      </c>
      <c r="D212" s="12"/>
      <c r="E212" s="12">
        <v>48942</v>
      </c>
      <c r="AL212" s="12" t="s">
        <v>983</v>
      </c>
      <c r="AM212" s="12"/>
      <c r="AN212" s="12" t="s">
        <v>53</v>
      </c>
      <c r="BB212" s="7">
        <f t="shared" si="58"/>
        <v>0</v>
      </c>
      <c r="BL212" s="7">
        <f t="shared" si="54"/>
        <v>0</v>
      </c>
      <c r="BN212" s="7">
        <f>+GenRev!AM212-GenExp!BL212</f>
        <v>0</v>
      </c>
      <c r="BT212" s="7">
        <v>0</v>
      </c>
      <c r="BV212" s="7">
        <f t="shared" si="52"/>
        <v>0</v>
      </c>
      <c r="BX212" s="8">
        <f>+BV212-'Gen Fd BS'!AE212+BT212</f>
        <v>0</v>
      </c>
      <c r="CA212" s="7" t="s">
        <v>984</v>
      </c>
      <c r="CB212" s="7" t="str">
        <f t="shared" si="59"/>
        <v>Genoa Area Local SD (CASH)</v>
      </c>
      <c r="CC212" s="7" t="b">
        <f t="shared" si="55"/>
        <v>1</v>
      </c>
      <c r="CE212" s="12" t="str">
        <f>GenRev!A212</f>
        <v>Genoa Area Local SD (CASH)</v>
      </c>
      <c r="CF212" s="7" t="b">
        <f t="shared" si="60"/>
        <v>1</v>
      </c>
      <c r="CG212" s="7" t="str">
        <f t="shared" si="56"/>
        <v>Ottawa</v>
      </c>
      <c r="CH212" s="7" t="b">
        <f t="shared" si="57"/>
        <v>1</v>
      </c>
      <c r="CI212" s="7" t="b">
        <f>C212=GenRev!C212</f>
        <v>1</v>
      </c>
    </row>
    <row r="213" spans="1:87" hidden="1">
      <c r="A213" s="12" t="s">
        <v>697</v>
      </c>
      <c r="B213" s="12"/>
      <c r="C213" s="12" t="s">
        <v>77</v>
      </c>
      <c r="D213" s="12"/>
      <c r="E213" s="12">
        <v>45377</v>
      </c>
      <c r="AL213" s="12" t="s">
        <v>697</v>
      </c>
      <c r="AM213" s="12"/>
      <c r="AN213" s="12" t="s">
        <v>77</v>
      </c>
      <c r="BB213" s="7">
        <f t="shared" si="58"/>
        <v>0</v>
      </c>
      <c r="BL213" s="7">
        <f t="shared" si="54"/>
        <v>0</v>
      </c>
      <c r="BN213" s="7">
        <f>+GenRev!AM213-GenExp!BL213</f>
        <v>0</v>
      </c>
      <c r="BT213" s="7">
        <v>0</v>
      </c>
      <c r="BV213" s="7">
        <f t="shared" si="52"/>
        <v>0</v>
      </c>
      <c r="BX213" s="8">
        <f>+BV213-'Gen Fd BS'!AE213+BT213</f>
        <v>0</v>
      </c>
      <c r="CA213" s="7" t="s">
        <v>839</v>
      </c>
      <c r="CB213" s="7" t="str">
        <f t="shared" si="59"/>
        <v>Georgetown Exempted Village SD (CASH)</v>
      </c>
      <c r="CC213" s="7" t="b">
        <f t="shared" si="55"/>
        <v>1</v>
      </c>
      <c r="CE213" s="12" t="str">
        <f>GenRev!A213</f>
        <v>Georgetown Exempted Village SD (CASH)</v>
      </c>
      <c r="CF213" s="7" t="b">
        <f t="shared" si="60"/>
        <v>1</v>
      </c>
      <c r="CG213" s="7" t="str">
        <f t="shared" si="56"/>
        <v>Brown</v>
      </c>
      <c r="CH213" s="7" t="b">
        <f t="shared" si="57"/>
        <v>1</v>
      </c>
      <c r="CI213" s="7" t="b">
        <f>C213=GenRev!C213</f>
        <v>1</v>
      </c>
    </row>
    <row r="214" spans="1:87">
      <c r="A214" s="12" t="s">
        <v>857</v>
      </c>
      <c r="B214" s="12"/>
      <c r="C214" s="12" t="s">
        <v>79</v>
      </c>
      <c r="D214" s="12"/>
      <c r="E214" s="12">
        <v>45385</v>
      </c>
      <c r="G214" s="7">
        <v>3924998</v>
      </c>
      <c r="I214" s="7">
        <v>584057</v>
      </c>
      <c r="K214" s="7">
        <v>173516</v>
      </c>
      <c r="M214" s="7">
        <v>0</v>
      </c>
      <c r="O214" s="7">
        <v>0</v>
      </c>
      <c r="Q214" s="7">
        <v>411598</v>
      </c>
      <c r="S214" s="7">
        <v>76492</v>
      </c>
      <c r="U214" s="7">
        <v>42214</v>
      </c>
      <c r="W214" s="7">
        <v>774473</v>
      </c>
      <c r="Y214" s="7">
        <v>407142</v>
      </c>
      <c r="AA214" s="7">
        <v>6569</v>
      </c>
      <c r="AC214" s="7">
        <v>833129</v>
      </c>
      <c r="AE214" s="7">
        <v>394141</v>
      </c>
      <c r="AG214" s="7">
        <v>1733</v>
      </c>
      <c r="AI214" s="7">
        <v>0</v>
      </c>
      <c r="AK214" s="7">
        <v>97005</v>
      </c>
      <c r="AL214" s="12" t="s">
        <v>857</v>
      </c>
      <c r="AM214" s="12"/>
      <c r="AN214" s="12" t="s">
        <v>79</v>
      </c>
      <c r="AP214" s="7">
        <v>239947</v>
      </c>
      <c r="AR214" s="7">
        <v>0</v>
      </c>
      <c r="AT214" s="7">
        <v>0</v>
      </c>
      <c r="AV214" s="7">
        <v>9351</v>
      </c>
      <c r="AX214" s="7">
        <v>1969</v>
      </c>
      <c r="AZ214" s="7">
        <v>0</v>
      </c>
      <c r="BB214" s="7">
        <f t="shared" si="58"/>
        <v>7978334</v>
      </c>
      <c r="BD214" s="7">
        <v>0</v>
      </c>
      <c r="BF214" s="7">
        <v>0</v>
      </c>
      <c r="BH214" s="7">
        <v>0</v>
      </c>
      <c r="BJ214" s="7">
        <v>0</v>
      </c>
      <c r="BL214" s="7">
        <f t="shared" si="54"/>
        <v>7978334</v>
      </c>
      <c r="BN214" s="7">
        <f>+GenRev!AM214-GenExp!BL214</f>
        <v>120622</v>
      </c>
      <c r="BP214" s="7">
        <v>1791200</v>
      </c>
      <c r="BR214" s="7">
        <v>0</v>
      </c>
      <c r="BT214" s="7">
        <v>0</v>
      </c>
      <c r="BV214" s="7">
        <f t="shared" si="52"/>
        <v>1911822</v>
      </c>
      <c r="BX214" s="8">
        <f>+BV214-'Gen Fd BS'!AE214+BT214</f>
        <v>0</v>
      </c>
      <c r="CB214" s="7" t="str">
        <f t="shared" si="59"/>
        <v>Gibsonburg Exempted Village SD</v>
      </c>
      <c r="CC214" s="7" t="b">
        <f t="shared" si="55"/>
        <v>1</v>
      </c>
      <c r="CE214" s="12" t="str">
        <f>GenRev!A214</f>
        <v>Gibsonburg Exempted Village SD</v>
      </c>
      <c r="CF214" s="7" t="b">
        <f t="shared" si="60"/>
        <v>1</v>
      </c>
      <c r="CG214" s="7" t="str">
        <f t="shared" si="56"/>
        <v>Sandusky</v>
      </c>
      <c r="CH214" s="7" t="b">
        <f t="shared" si="57"/>
        <v>1</v>
      </c>
      <c r="CI214" s="7" t="b">
        <f>C214=GenRev!C214</f>
        <v>1</v>
      </c>
    </row>
    <row r="215" spans="1:87">
      <c r="A215" s="12" t="s">
        <v>537</v>
      </c>
      <c r="B215" s="12"/>
      <c r="C215" s="12" t="s">
        <v>64</v>
      </c>
      <c r="D215" s="12"/>
      <c r="E215" s="12">
        <v>44065</v>
      </c>
      <c r="G215" s="7">
        <v>5322867</v>
      </c>
      <c r="I215" s="7">
        <v>1100576</v>
      </c>
      <c r="K215" s="7">
        <v>165400</v>
      </c>
      <c r="M215" s="7">
        <v>0</v>
      </c>
      <c r="O215" s="7">
        <v>706064</v>
      </c>
      <c r="Q215" s="7">
        <v>549570</v>
      </c>
      <c r="S215" s="7">
        <v>151393</v>
      </c>
      <c r="U215" s="7">
        <v>54406</v>
      </c>
      <c r="W215" s="7">
        <v>1264552</v>
      </c>
      <c r="Y215" s="7">
        <v>772395</v>
      </c>
      <c r="AA215" s="7">
        <v>0</v>
      </c>
      <c r="AC215" s="7">
        <v>1371412</v>
      </c>
      <c r="AE215" s="7">
        <v>573279</v>
      </c>
      <c r="AG215" s="7">
        <v>4000</v>
      </c>
      <c r="AI215" s="7">
        <v>0</v>
      </c>
      <c r="AK215" s="7">
        <v>0</v>
      </c>
      <c r="AL215" s="12" t="s">
        <v>537</v>
      </c>
      <c r="AM215" s="12"/>
      <c r="AN215" s="12" t="s">
        <v>64</v>
      </c>
      <c r="AP215" s="7">
        <v>395127</v>
      </c>
      <c r="AR215" s="7">
        <v>575</v>
      </c>
      <c r="AT215" s="7">
        <v>0</v>
      </c>
      <c r="AV215" s="7">
        <v>100000</v>
      </c>
      <c r="AX215" s="7">
        <v>42000</v>
      </c>
      <c r="AZ215" s="7">
        <v>0</v>
      </c>
      <c r="BB215" s="7">
        <f t="shared" si="58"/>
        <v>12573616</v>
      </c>
      <c r="BD215" s="7">
        <v>0</v>
      </c>
      <c r="BF215" s="7">
        <v>0</v>
      </c>
      <c r="BH215" s="7">
        <v>0</v>
      </c>
      <c r="BJ215" s="7">
        <v>0</v>
      </c>
      <c r="BL215" s="7">
        <f t="shared" si="54"/>
        <v>12573616</v>
      </c>
      <c r="BN215" s="7">
        <f>+GenRev!AM215-GenExp!BL215</f>
        <v>424107</v>
      </c>
      <c r="BP215" s="7">
        <v>5329809</v>
      </c>
      <c r="BR215" s="7">
        <v>0</v>
      </c>
      <c r="BT215" s="7">
        <v>0</v>
      </c>
      <c r="BV215" s="7">
        <f t="shared" si="52"/>
        <v>5753916</v>
      </c>
      <c r="BX215" s="8">
        <f>+BV215-'Gen Fd BS'!AE215+BT215</f>
        <v>0</v>
      </c>
      <c r="CB215" s="7" t="str">
        <f t="shared" si="59"/>
        <v>Girard City SD</v>
      </c>
      <c r="CC215" s="7" t="b">
        <f t="shared" si="55"/>
        <v>1</v>
      </c>
      <c r="CE215" s="12" t="str">
        <f>GenRev!A215</f>
        <v>Girard City SD</v>
      </c>
      <c r="CF215" s="7" t="b">
        <f t="shared" si="60"/>
        <v>1</v>
      </c>
      <c r="CG215" s="7" t="str">
        <f t="shared" si="56"/>
        <v>Trumbull</v>
      </c>
      <c r="CH215" s="7" t="b">
        <f t="shared" si="57"/>
        <v>1</v>
      </c>
      <c r="CI215" s="7" t="b">
        <f>C215=GenRev!C215</f>
        <v>1</v>
      </c>
    </row>
    <row r="216" spans="1:87" hidden="1">
      <c r="A216" s="12" t="s">
        <v>735</v>
      </c>
      <c r="B216" s="12"/>
      <c r="C216" s="12" t="s">
        <v>28</v>
      </c>
      <c r="D216" s="12"/>
      <c r="E216" s="12">
        <v>47068</v>
      </c>
      <c r="F216" s="10"/>
      <c r="AL216" s="12" t="s">
        <v>735</v>
      </c>
      <c r="AM216" s="12"/>
      <c r="AN216" s="12" t="s">
        <v>28</v>
      </c>
      <c r="BB216" s="7">
        <f t="shared" si="58"/>
        <v>0</v>
      </c>
      <c r="BL216" s="7">
        <f t="shared" si="54"/>
        <v>0</v>
      </c>
      <c r="BN216" s="7">
        <f>+GenRev!AM216-GenExp!BL216</f>
        <v>0</v>
      </c>
      <c r="BT216" s="7">
        <v>0</v>
      </c>
      <c r="BV216" s="7">
        <f t="shared" si="52"/>
        <v>0</v>
      </c>
      <c r="BX216" s="8">
        <f>+BV216-'Gen Fd BS'!AE216+BT216</f>
        <v>0</v>
      </c>
      <c r="CA216" s="14" t="s">
        <v>787</v>
      </c>
      <c r="CB216" s="7" t="str">
        <f t="shared" si="59"/>
        <v>Gorham Fayette Local SD - name changed to Fayette Local.  See below</v>
      </c>
      <c r="CC216" s="7" t="b">
        <f t="shared" si="55"/>
        <v>1</v>
      </c>
      <c r="CE216" s="12" t="str">
        <f>GenRev!A216</f>
        <v>Gorham Fayette Local SD - name changed to Fayette Local.  See below</v>
      </c>
      <c r="CF216" s="7" t="b">
        <f t="shared" si="60"/>
        <v>1</v>
      </c>
      <c r="CG216" s="7" t="str">
        <f t="shared" si="56"/>
        <v>Fulton</v>
      </c>
      <c r="CH216" s="7" t="b">
        <f t="shared" si="57"/>
        <v>1</v>
      </c>
      <c r="CI216" s="7" t="b">
        <f>C216=GenRev!C216</f>
        <v>1</v>
      </c>
    </row>
    <row r="217" spans="1:87">
      <c r="A217" s="12" t="s">
        <v>245</v>
      </c>
      <c r="B217" s="12"/>
      <c r="C217" s="12" t="s">
        <v>113</v>
      </c>
      <c r="D217" s="12"/>
      <c r="E217" s="12">
        <v>46342</v>
      </c>
      <c r="F217" s="10"/>
      <c r="G217" s="7">
        <v>9167232</v>
      </c>
      <c r="I217" s="7">
        <v>1966764</v>
      </c>
      <c r="K217" s="7">
        <v>380624</v>
      </c>
      <c r="M217" s="7">
        <v>0</v>
      </c>
      <c r="O217" s="7">
        <v>0</v>
      </c>
      <c r="Q217" s="7">
        <v>1415397</v>
      </c>
      <c r="S217" s="7">
        <v>3212734</v>
      </c>
      <c r="U217" s="7">
        <v>35762</v>
      </c>
      <c r="W217" s="7">
        <v>1291741</v>
      </c>
      <c r="Y217" s="7">
        <v>478638</v>
      </c>
      <c r="AA217" s="7">
        <v>11475</v>
      </c>
      <c r="AC217" s="7">
        <v>945820</v>
      </c>
      <c r="AE217" s="7">
        <v>2096693</v>
      </c>
      <c r="AG217" s="7">
        <v>0</v>
      </c>
      <c r="AI217" s="7">
        <v>0</v>
      </c>
      <c r="AK217" s="7">
        <v>840</v>
      </c>
      <c r="AL217" s="12" t="s">
        <v>245</v>
      </c>
      <c r="AM217" s="12"/>
      <c r="AN217" s="12" t="s">
        <v>113</v>
      </c>
      <c r="AP217" s="7">
        <v>290415</v>
      </c>
      <c r="AR217" s="7">
        <v>2421</v>
      </c>
      <c r="AT217" s="7">
        <v>0</v>
      </c>
      <c r="AV217" s="7">
        <v>0</v>
      </c>
      <c r="AX217" s="7">
        <v>0</v>
      </c>
      <c r="AZ217" s="7">
        <v>0</v>
      </c>
      <c r="BB217" s="7">
        <f t="shared" si="58"/>
        <v>21296556</v>
      </c>
      <c r="BD217" s="7">
        <v>19881</v>
      </c>
      <c r="BF217" s="7">
        <v>0</v>
      </c>
      <c r="BH217" s="7">
        <v>0</v>
      </c>
      <c r="BJ217" s="7">
        <v>0</v>
      </c>
      <c r="BL217" s="7">
        <f t="shared" si="54"/>
        <v>21316437</v>
      </c>
      <c r="BN217" s="7">
        <f>+GenRev!AM217-GenExp!BL217</f>
        <v>842814</v>
      </c>
      <c r="BP217" s="7">
        <v>1831206</v>
      </c>
      <c r="BR217" s="7">
        <v>0</v>
      </c>
      <c r="BT217" s="7">
        <v>0</v>
      </c>
      <c r="BV217" s="7">
        <f t="shared" si="52"/>
        <v>2674020</v>
      </c>
      <c r="BX217" s="8">
        <f>+BV217-'Gen Fd BS'!AE217+BT217</f>
        <v>0</v>
      </c>
      <c r="CB217" s="7" t="str">
        <f t="shared" si="59"/>
        <v>Goshen Local SD</v>
      </c>
      <c r="CC217" s="7" t="b">
        <f t="shared" si="55"/>
        <v>1</v>
      </c>
      <c r="CE217" s="12" t="str">
        <f>GenRev!A217</f>
        <v>Goshen Local SD</v>
      </c>
      <c r="CF217" s="7" t="b">
        <f t="shared" si="60"/>
        <v>1</v>
      </c>
      <c r="CG217" s="7" t="str">
        <f t="shared" si="56"/>
        <v>Clermont</v>
      </c>
      <c r="CH217" s="7" t="b">
        <f t="shared" si="57"/>
        <v>1</v>
      </c>
      <c r="CI217" s="7" t="b">
        <f>C217=GenRev!C217</f>
        <v>1</v>
      </c>
    </row>
    <row r="218" spans="1:87" hidden="1">
      <c r="A218" s="12" t="s">
        <v>902</v>
      </c>
      <c r="B218" s="12"/>
      <c r="C218" s="12" t="s">
        <v>232</v>
      </c>
      <c r="D218" s="12"/>
      <c r="E218" s="12">
        <v>46193</v>
      </c>
      <c r="F218" s="10"/>
      <c r="AL218" s="12" t="s">
        <v>902</v>
      </c>
      <c r="AM218" s="12"/>
      <c r="AN218" s="12" t="s">
        <v>232</v>
      </c>
      <c r="BB218" s="7">
        <f t="shared" si="58"/>
        <v>0</v>
      </c>
      <c r="BL218" s="7">
        <f t="shared" si="54"/>
        <v>0</v>
      </c>
      <c r="BN218" s="7">
        <f>+GenRev!AM218-GenExp!BL218</f>
        <v>0</v>
      </c>
      <c r="BT218" s="7">
        <v>0</v>
      </c>
      <c r="BV218" s="7">
        <f t="shared" si="52"/>
        <v>0</v>
      </c>
      <c r="BX218" s="8">
        <f>+BV218-'Gen Fd BS'!AE218+BT218</f>
        <v>0</v>
      </c>
      <c r="CA218" s="7" t="s">
        <v>901</v>
      </c>
      <c r="CB218" s="7" t="str">
        <f t="shared" si="59"/>
        <v>Graham Local SD (CASH)</v>
      </c>
      <c r="CC218" s="7" t="b">
        <f t="shared" si="55"/>
        <v>1</v>
      </c>
      <c r="CE218" s="12" t="str">
        <f>GenRev!A218</f>
        <v>Graham Local SD (CASH)</v>
      </c>
      <c r="CF218" s="7" t="b">
        <f t="shared" si="60"/>
        <v>1</v>
      </c>
      <c r="CG218" s="7" t="str">
        <f t="shared" si="56"/>
        <v>Champaign</v>
      </c>
      <c r="CH218" s="7" t="b">
        <f t="shared" si="57"/>
        <v>1</v>
      </c>
      <c r="CI218" s="7" t="b">
        <f>C218=GenRev!C218</f>
        <v>1</v>
      </c>
    </row>
    <row r="219" spans="1:87">
      <c r="A219" s="12" t="s">
        <v>209</v>
      </c>
      <c r="B219" s="12"/>
      <c r="C219" s="12" t="s">
        <v>12</v>
      </c>
      <c r="D219" s="12"/>
      <c r="E219" s="12">
        <v>45864</v>
      </c>
      <c r="G219" s="7">
        <v>5381313</v>
      </c>
      <c r="I219" s="7">
        <v>549084</v>
      </c>
      <c r="K219" s="7">
        <v>182692</v>
      </c>
      <c r="M219" s="7">
        <v>0</v>
      </c>
      <c r="O219" s="7">
        <v>0</v>
      </c>
      <c r="Q219" s="7">
        <v>444794</v>
      </c>
      <c r="S219" s="7">
        <v>178025</v>
      </c>
      <c r="U219" s="7">
        <v>17014</v>
      </c>
      <c r="W219" s="7">
        <v>1175528</v>
      </c>
      <c r="Y219" s="7">
        <v>298094</v>
      </c>
      <c r="AA219" s="7">
        <v>23575</v>
      </c>
      <c r="AC219" s="7">
        <v>1054484</v>
      </c>
      <c r="AE219" s="7">
        <v>1072235</v>
      </c>
      <c r="AG219" s="7">
        <v>2526</v>
      </c>
      <c r="AI219" s="7">
        <v>0</v>
      </c>
      <c r="AK219" s="7">
        <v>0</v>
      </c>
      <c r="AL219" s="12" t="s">
        <v>209</v>
      </c>
      <c r="AM219" s="12"/>
      <c r="AN219" s="12" t="s">
        <v>12</v>
      </c>
      <c r="AP219" s="7">
        <v>302581</v>
      </c>
      <c r="AR219" s="7">
        <v>0</v>
      </c>
      <c r="AT219" s="7">
        <v>0</v>
      </c>
      <c r="AV219" s="7">
        <v>0</v>
      </c>
      <c r="AX219" s="7">
        <v>0</v>
      </c>
      <c r="AZ219" s="7">
        <v>0</v>
      </c>
      <c r="BB219" s="7">
        <f t="shared" si="58"/>
        <v>10681945</v>
      </c>
      <c r="BD219" s="7">
        <v>10000</v>
      </c>
      <c r="BF219" s="7">
        <v>0</v>
      </c>
      <c r="BH219" s="7">
        <v>0</v>
      </c>
      <c r="BJ219" s="7">
        <v>0</v>
      </c>
      <c r="BL219" s="7">
        <f t="shared" si="54"/>
        <v>10691945</v>
      </c>
      <c r="BN219" s="7">
        <f>+GenRev!AM219-GenExp!BL219</f>
        <v>-50436</v>
      </c>
      <c r="BP219" s="7">
        <v>1400706</v>
      </c>
      <c r="BR219" s="7">
        <v>0</v>
      </c>
      <c r="BT219" s="7">
        <v>0</v>
      </c>
      <c r="BV219" s="7">
        <f t="shared" si="52"/>
        <v>1350270</v>
      </c>
      <c r="BX219" s="8">
        <f>+BV219-'Gen Fd BS'!AE219+BT219</f>
        <v>0</v>
      </c>
      <c r="CB219" s="7" t="str">
        <f t="shared" si="59"/>
        <v>Grand Valley Local SD</v>
      </c>
      <c r="CC219" s="7" t="b">
        <f t="shared" si="55"/>
        <v>1</v>
      </c>
      <c r="CE219" s="12" t="str">
        <f>GenRev!A219</f>
        <v>Grand Valley Local SD</v>
      </c>
      <c r="CF219" s="7" t="b">
        <f t="shared" si="60"/>
        <v>1</v>
      </c>
      <c r="CG219" s="7" t="str">
        <f t="shared" si="56"/>
        <v>Ashtabula</v>
      </c>
      <c r="CH219" s="7" t="b">
        <f t="shared" si="57"/>
        <v>1</v>
      </c>
      <c r="CI219" s="7" t="b">
        <f>C219=GenRev!C219</f>
        <v>1</v>
      </c>
    </row>
    <row r="220" spans="1:87">
      <c r="A220" s="12" t="s">
        <v>309</v>
      </c>
      <c r="B220" s="12"/>
      <c r="C220" s="12" t="s">
        <v>27</v>
      </c>
      <c r="D220" s="12"/>
      <c r="E220" s="12">
        <v>44073</v>
      </c>
      <c r="G220" s="7">
        <v>7075909</v>
      </c>
      <c r="I220" s="7">
        <v>2343936</v>
      </c>
      <c r="K220" s="7">
        <v>115719</v>
      </c>
      <c r="M220" s="7">
        <v>0</v>
      </c>
      <c r="O220" s="7">
        <v>0</v>
      </c>
      <c r="Q220" s="7">
        <v>1423788</v>
      </c>
      <c r="S220" s="7">
        <v>686302</v>
      </c>
      <c r="U220" s="7">
        <v>17615</v>
      </c>
      <c r="W220" s="7">
        <v>1094142</v>
      </c>
      <c r="Y220" s="7">
        <v>682671</v>
      </c>
      <c r="AA220" s="7">
        <v>45197</v>
      </c>
      <c r="AC220" s="7">
        <v>1435860</v>
      </c>
      <c r="AE220" s="7">
        <v>10722</v>
      </c>
      <c r="AG220" s="7">
        <v>54799</v>
      </c>
      <c r="AI220" s="7">
        <v>0</v>
      </c>
      <c r="AK220" s="7">
        <v>41833</v>
      </c>
      <c r="AL220" s="12" t="s">
        <v>309</v>
      </c>
      <c r="AM220" s="12"/>
      <c r="AN220" s="12" t="s">
        <v>27</v>
      </c>
      <c r="AP220" s="7">
        <v>651217</v>
      </c>
      <c r="AR220" s="7">
        <v>241064</v>
      </c>
      <c r="AT220" s="7">
        <v>0</v>
      </c>
      <c r="AV220" s="7">
        <v>172902</v>
      </c>
      <c r="AX220" s="7">
        <v>2795</v>
      </c>
      <c r="AZ220" s="7">
        <v>0</v>
      </c>
      <c r="BB220" s="7">
        <f t="shared" ref="BB220:BB283" si="61">SUM(G220:AZ220)</f>
        <v>16096471</v>
      </c>
      <c r="BD220" s="7">
        <v>41301</v>
      </c>
      <c r="BF220" s="7">
        <v>0</v>
      </c>
      <c r="BH220" s="7">
        <v>0</v>
      </c>
      <c r="BJ220" s="7">
        <v>0</v>
      </c>
      <c r="BL220" s="7">
        <f t="shared" ref="BL220:BL283" si="62">+BB220+BD220+BF220+BJ220</f>
        <v>16137772</v>
      </c>
      <c r="BN220" s="7">
        <f>+GenRev!AM220-GenExp!BL220</f>
        <v>233399</v>
      </c>
      <c r="BP220" s="7">
        <v>7529579</v>
      </c>
      <c r="BR220" s="7">
        <v>0</v>
      </c>
      <c r="BT220" s="7">
        <v>0</v>
      </c>
      <c r="BV220" s="7">
        <f t="shared" ref="BV220:BV265" si="63">+BP220+BN220-BR220</f>
        <v>7762978</v>
      </c>
      <c r="BX220" s="8">
        <f>+BV220-'Gen Fd BS'!AE220+BT220</f>
        <v>0</v>
      </c>
      <c r="CB220" s="7" t="str">
        <f t="shared" si="59"/>
        <v>Grandview Heights City SD</v>
      </c>
      <c r="CC220" s="7" t="b">
        <f t="shared" si="55"/>
        <v>1</v>
      </c>
      <c r="CE220" s="12" t="str">
        <f>GenRev!A220</f>
        <v>Grandview Heights City SD</v>
      </c>
      <c r="CF220" s="7" t="b">
        <f t="shared" si="60"/>
        <v>1</v>
      </c>
      <c r="CG220" s="7" t="str">
        <f t="shared" si="56"/>
        <v>Franklin</v>
      </c>
      <c r="CH220" s="7" t="b">
        <f t="shared" si="57"/>
        <v>1</v>
      </c>
      <c r="CI220" s="7" t="b">
        <f>C220=GenRev!C220</f>
        <v>1</v>
      </c>
    </row>
    <row r="221" spans="1:87">
      <c r="A221" s="12" t="s">
        <v>698</v>
      </c>
      <c r="B221" s="12"/>
      <c r="C221" s="12" t="s">
        <v>42</v>
      </c>
      <c r="D221" s="12"/>
      <c r="E221" s="12">
        <v>45393</v>
      </c>
      <c r="G221" s="7">
        <v>11492063</v>
      </c>
      <c r="I221" s="7">
        <v>1486189</v>
      </c>
      <c r="K221" s="7">
        <v>155174</v>
      </c>
      <c r="M221" s="7">
        <v>0</v>
      </c>
      <c r="O221" s="7">
        <v>0</v>
      </c>
      <c r="Q221" s="7">
        <v>1585990</v>
      </c>
      <c r="S221" s="7">
        <v>1175537</v>
      </c>
      <c r="U221" s="7">
        <v>51918</v>
      </c>
      <c r="W221" s="7">
        <v>1527345</v>
      </c>
      <c r="Y221" s="7">
        <v>725631</v>
      </c>
      <c r="AA221" s="7">
        <v>128857</v>
      </c>
      <c r="AC221" s="7">
        <v>1851075</v>
      </c>
      <c r="AE221" s="7">
        <v>1534614</v>
      </c>
      <c r="AG221" s="7">
        <v>359739</v>
      </c>
      <c r="AI221" s="7">
        <v>0</v>
      </c>
      <c r="AK221" s="7">
        <v>59162</v>
      </c>
      <c r="AL221" s="12" t="s">
        <v>698</v>
      </c>
      <c r="AM221" s="12"/>
      <c r="AN221" s="12" t="s">
        <v>42</v>
      </c>
      <c r="AP221" s="7">
        <v>732142</v>
      </c>
      <c r="AR221" s="7">
        <v>0</v>
      </c>
      <c r="AT221" s="7">
        <v>0</v>
      </c>
      <c r="AV221" s="7">
        <v>21476</v>
      </c>
      <c r="AX221" s="7">
        <v>598</v>
      </c>
      <c r="AZ221" s="7">
        <v>0</v>
      </c>
      <c r="BB221" s="7">
        <f t="shared" si="61"/>
        <v>22887510</v>
      </c>
      <c r="BD221" s="7">
        <v>0</v>
      </c>
      <c r="BF221" s="7">
        <v>0</v>
      </c>
      <c r="BH221" s="7">
        <v>0</v>
      </c>
      <c r="BJ221" s="7">
        <v>0</v>
      </c>
      <c r="BL221" s="7">
        <f t="shared" si="62"/>
        <v>22887510</v>
      </c>
      <c r="BN221" s="7">
        <f>+GenRev!AM221-GenExp!BL221</f>
        <v>-1365610</v>
      </c>
      <c r="BP221" s="7">
        <v>4489350</v>
      </c>
      <c r="BR221" s="7">
        <v>0</v>
      </c>
      <c r="BT221" s="7">
        <v>0</v>
      </c>
      <c r="BV221" s="7">
        <f t="shared" si="63"/>
        <v>3123740</v>
      </c>
      <c r="BX221" s="8">
        <f>+BV221-'Gen Fd BS'!AE221+BT221</f>
        <v>0</v>
      </c>
      <c r="CB221" s="7" t="str">
        <f t="shared" si="59"/>
        <v>Granville Exempted Village SD</v>
      </c>
      <c r="CC221" s="7" t="b">
        <f t="shared" si="55"/>
        <v>1</v>
      </c>
      <c r="CE221" s="12" t="str">
        <f>GenRev!A221</f>
        <v>Granville Exempted Village SD</v>
      </c>
      <c r="CF221" s="7" t="b">
        <f t="shared" si="60"/>
        <v>1</v>
      </c>
      <c r="CG221" s="7" t="str">
        <f t="shared" si="56"/>
        <v>Licking</v>
      </c>
      <c r="CH221" s="7" t="b">
        <f t="shared" si="57"/>
        <v>1</v>
      </c>
      <c r="CI221" s="7" t="b">
        <f>C221=GenRev!C221</f>
        <v>1</v>
      </c>
    </row>
    <row r="222" spans="1:87">
      <c r="A222" s="12" t="s">
        <v>496</v>
      </c>
      <c r="B222" s="12"/>
      <c r="C222" s="12" t="s">
        <v>59</v>
      </c>
      <c r="D222" s="12"/>
      <c r="E222" s="12">
        <v>49619</v>
      </c>
      <c r="G222" s="7">
        <v>2093117</v>
      </c>
      <c r="I222" s="7">
        <v>312916</v>
      </c>
      <c r="K222" s="7">
        <v>27275</v>
      </c>
      <c r="M222" s="7">
        <v>0</v>
      </c>
      <c r="O222" s="7">
        <v>565561</v>
      </c>
      <c r="Q222" s="7">
        <v>401584</v>
      </c>
      <c r="S222" s="7">
        <v>225448</v>
      </c>
      <c r="U222" s="7">
        <v>36629</v>
      </c>
      <c r="W222" s="7">
        <v>504093</v>
      </c>
      <c r="Y222" s="7">
        <v>239475</v>
      </c>
      <c r="AA222" s="7">
        <v>0</v>
      </c>
      <c r="AC222" s="7">
        <v>575260</v>
      </c>
      <c r="AE222" s="7">
        <v>443663</v>
      </c>
      <c r="AG222" s="7">
        <v>0</v>
      </c>
      <c r="AI222" s="7">
        <v>0</v>
      </c>
      <c r="AK222" s="7">
        <v>0</v>
      </c>
      <c r="AL222" s="12" t="s">
        <v>496</v>
      </c>
      <c r="AM222" s="12"/>
      <c r="AN222" s="12" t="s">
        <v>59</v>
      </c>
      <c r="AP222" s="7">
        <v>63815</v>
      </c>
      <c r="AR222" s="7">
        <v>255754</v>
      </c>
      <c r="AT222" s="7">
        <v>0</v>
      </c>
      <c r="AV222" s="7">
        <v>35714</v>
      </c>
      <c r="AX222" s="7">
        <v>4751</v>
      </c>
      <c r="AZ222" s="7">
        <v>0</v>
      </c>
      <c r="BB222" s="7">
        <f t="shared" si="61"/>
        <v>5785055</v>
      </c>
      <c r="BD222" s="7">
        <v>0</v>
      </c>
      <c r="BF222" s="7">
        <v>0</v>
      </c>
      <c r="BH222" s="7">
        <v>0</v>
      </c>
      <c r="BJ222" s="7">
        <v>0</v>
      </c>
      <c r="BL222" s="7">
        <f t="shared" si="62"/>
        <v>5785055</v>
      </c>
      <c r="BN222" s="7">
        <f>+GenRev!AM222-GenExp!BL222</f>
        <v>164761</v>
      </c>
      <c r="BP222" s="7">
        <v>485774</v>
      </c>
      <c r="BR222" s="7">
        <v>0</v>
      </c>
      <c r="BT222" s="7">
        <v>0</v>
      </c>
      <c r="BV222" s="7">
        <f t="shared" si="63"/>
        <v>650535</v>
      </c>
      <c r="BX222" s="8">
        <f>+BV222-'Gen Fd BS'!AE222+BT222</f>
        <v>0</v>
      </c>
      <c r="CB222" s="7" t="str">
        <f t="shared" si="59"/>
        <v>Green Local SD</v>
      </c>
      <c r="CC222" s="7" t="b">
        <f t="shared" si="55"/>
        <v>1</v>
      </c>
      <c r="CE222" s="12" t="str">
        <f>GenRev!A222</f>
        <v>Green Local SD</v>
      </c>
      <c r="CF222" s="7" t="b">
        <f t="shared" si="60"/>
        <v>1</v>
      </c>
      <c r="CG222" s="7" t="str">
        <f t="shared" si="56"/>
        <v>Scioto</v>
      </c>
      <c r="CH222" s="7" t="b">
        <f t="shared" si="57"/>
        <v>1</v>
      </c>
      <c r="CI222" s="7" t="b">
        <f>C222=GenRev!C222</f>
        <v>1</v>
      </c>
    </row>
    <row r="223" spans="1:87">
      <c r="A223" s="12" t="s">
        <v>496</v>
      </c>
      <c r="B223" s="12"/>
      <c r="C223" s="12" t="s">
        <v>63</v>
      </c>
      <c r="D223" s="12"/>
      <c r="E223" s="12">
        <v>50013</v>
      </c>
      <c r="G223" s="7">
        <v>14935953</v>
      </c>
      <c r="I223" s="7">
        <v>4148829</v>
      </c>
      <c r="K223" s="7">
        <v>147942</v>
      </c>
      <c r="M223" s="7">
        <v>60761</v>
      </c>
      <c r="O223" s="7">
        <v>952916</v>
      </c>
      <c r="Q223" s="7">
        <v>1934236</v>
      </c>
      <c r="S223" s="7">
        <v>1094331</v>
      </c>
      <c r="U223" s="7">
        <v>21594</v>
      </c>
      <c r="W223" s="7">
        <v>2288514</v>
      </c>
      <c r="Y223" s="7">
        <v>1133205</v>
      </c>
      <c r="AA223" s="7">
        <v>157917</v>
      </c>
      <c r="AC223" s="7">
        <v>2872331</v>
      </c>
      <c r="AE223" s="7">
        <v>1719217</v>
      </c>
      <c r="AG223" s="7">
        <v>9051</v>
      </c>
      <c r="AI223" s="7">
        <v>0</v>
      </c>
      <c r="AK223" s="7">
        <v>1488</v>
      </c>
      <c r="AL223" s="12" t="s">
        <v>496</v>
      </c>
      <c r="AM223" s="12"/>
      <c r="AN223" s="12" t="s">
        <v>63</v>
      </c>
      <c r="AP223" s="7">
        <v>891490</v>
      </c>
      <c r="AR223" s="7">
        <v>0</v>
      </c>
      <c r="AT223" s="7">
        <v>0</v>
      </c>
      <c r="AV223" s="7">
        <v>0</v>
      </c>
      <c r="AX223" s="7">
        <v>19152</v>
      </c>
      <c r="AZ223" s="7">
        <v>0</v>
      </c>
      <c r="BB223" s="7">
        <f t="shared" si="61"/>
        <v>32388927</v>
      </c>
      <c r="BD223" s="7">
        <v>2094</v>
      </c>
      <c r="BF223" s="7">
        <v>0</v>
      </c>
      <c r="BH223" s="7">
        <v>0</v>
      </c>
      <c r="BJ223" s="7">
        <v>0</v>
      </c>
      <c r="BL223" s="7">
        <f t="shared" si="62"/>
        <v>32391021</v>
      </c>
      <c r="BN223" s="7">
        <f>+GenRev!AM223-GenExp!BL223</f>
        <v>-823397</v>
      </c>
      <c r="BP223" s="7">
        <v>-2320621</v>
      </c>
      <c r="BR223" s="7">
        <v>0</v>
      </c>
      <c r="BT223" s="7">
        <v>0</v>
      </c>
      <c r="BV223" s="7">
        <f t="shared" si="63"/>
        <v>-3144018</v>
      </c>
      <c r="BX223" s="8">
        <f>+BV223-'Gen Fd BS'!AE223+BT223</f>
        <v>0</v>
      </c>
      <c r="CB223" s="7" t="str">
        <f t="shared" si="59"/>
        <v>Green Local SD</v>
      </c>
      <c r="CC223" s="7" t="b">
        <f t="shared" si="55"/>
        <v>1</v>
      </c>
      <c r="CE223" s="12" t="str">
        <f>GenRev!A223</f>
        <v>Green Local SD</v>
      </c>
      <c r="CF223" s="7" t="b">
        <f t="shared" si="60"/>
        <v>1</v>
      </c>
      <c r="CG223" s="7" t="str">
        <f t="shared" si="56"/>
        <v>Summit</v>
      </c>
      <c r="CH223" s="7" t="b">
        <f t="shared" si="57"/>
        <v>1</v>
      </c>
      <c r="CI223" s="7" t="b">
        <f>C223=GenRev!C223</f>
        <v>1</v>
      </c>
    </row>
    <row r="224" spans="1:87" hidden="1">
      <c r="A224" s="12" t="s">
        <v>496</v>
      </c>
      <c r="B224" s="12"/>
      <c r="C224" s="12" t="s">
        <v>71</v>
      </c>
      <c r="D224" s="12"/>
      <c r="E224" s="12">
        <v>50559</v>
      </c>
      <c r="AL224" s="12" t="s">
        <v>496</v>
      </c>
      <c r="AM224" s="12"/>
      <c r="AN224" s="12" t="s">
        <v>71</v>
      </c>
      <c r="BB224" s="7">
        <f t="shared" si="61"/>
        <v>0</v>
      </c>
      <c r="BL224" s="7">
        <f t="shared" si="62"/>
        <v>0</v>
      </c>
      <c r="BN224" s="7">
        <f>+GenRev!AM224-GenExp!BL224</f>
        <v>0</v>
      </c>
      <c r="BT224" s="7">
        <v>0</v>
      </c>
      <c r="BV224" s="7">
        <f t="shared" si="63"/>
        <v>0</v>
      </c>
      <c r="BX224" s="8">
        <f>+BV224-'Gen Fd BS'!AE224+BT224</f>
        <v>0</v>
      </c>
      <c r="CA224" s="7" t="s">
        <v>839</v>
      </c>
      <c r="CB224" s="7" t="str">
        <f t="shared" si="59"/>
        <v>Green Local SD</v>
      </c>
      <c r="CC224" s="7" t="b">
        <f t="shared" si="55"/>
        <v>1</v>
      </c>
      <c r="CE224" s="12" t="str">
        <f>GenRev!A224</f>
        <v>Green Local SD</v>
      </c>
      <c r="CF224" s="7" t="b">
        <f t="shared" si="60"/>
        <v>1</v>
      </c>
      <c r="CG224" s="7" t="str">
        <f t="shared" si="56"/>
        <v>Wayne</v>
      </c>
      <c r="CH224" s="7" t="b">
        <f t="shared" si="57"/>
        <v>1</v>
      </c>
      <c r="CI224" s="7" t="b">
        <f>C224=GenRev!C224</f>
        <v>1</v>
      </c>
    </row>
    <row r="225" spans="1:87">
      <c r="A225" s="12" t="s">
        <v>326</v>
      </c>
      <c r="B225" s="12"/>
      <c r="C225" s="12" t="s">
        <v>114</v>
      </c>
      <c r="D225" s="12"/>
      <c r="E225" s="12">
        <v>47266</v>
      </c>
      <c r="G225" s="7">
        <v>4884900</v>
      </c>
      <c r="I225" s="7">
        <v>1142264</v>
      </c>
      <c r="K225" s="7">
        <v>63281</v>
      </c>
      <c r="M225" s="7">
        <v>0</v>
      </c>
      <c r="O225" s="7">
        <v>11286</v>
      </c>
      <c r="Q225" s="7">
        <v>476479</v>
      </c>
      <c r="S225" s="7">
        <v>537315</v>
      </c>
      <c r="U225" s="7">
        <v>67056</v>
      </c>
      <c r="W225" s="7">
        <v>1203369</v>
      </c>
      <c r="Y225" s="7">
        <v>355876</v>
      </c>
      <c r="AA225" s="7">
        <v>0</v>
      </c>
      <c r="AC225" s="7">
        <v>1013407</v>
      </c>
      <c r="AE225" s="7">
        <v>872440</v>
      </c>
      <c r="AG225" s="7">
        <v>0</v>
      </c>
      <c r="AI225" s="7">
        <v>0</v>
      </c>
      <c r="AK225" s="7">
        <v>5768</v>
      </c>
      <c r="AL225" s="12" t="s">
        <v>326</v>
      </c>
      <c r="AM225" s="12"/>
      <c r="AN225" s="12" t="s">
        <v>114</v>
      </c>
      <c r="AP225" s="7">
        <v>268159</v>
      </c>
      <c r="AR225" s="7">
        <v>0</v>
      </c>
      <c r="AT225" s="7">
        <v>0</v>
      </c>
      <c r="AV225" s="7">
        <v>0</v>
      </c>
      <c r="AX225" s="7">
        <v>0</v>
      </c>
      <c r="AZ225" s="7">
        <v>0</v>
      </c>
      <c r="BB225" s="7">
        <f t="shared" si="61"/>
        <v>10901600</v>
      </c>
      <c r="BD225" s="7">
        <v>0</v>
      </c>
      <c r="BF225" s="7">
        <v>0</v>
      </c>
      <c r="BH225" s="7">
        <v>0</v>
      </c>
      <c r="BJ225" s="7">
        <v>0</v>
      </c>
      <c r="BL225" s="7">
        <f t="shared" si="62"/>
        <v>10901600</v>
      </c>
      <c r="BN225" s="7">
        <f>+GenRev!AM225-GenExp!BL225</f>
        <v>1035159</v>
      </c>
      <c r="BP225" s="7">
        <v>5012986</v>
      </c>
      <c r="BR225" s="7">
        <v>0</v>
      </c>
      <c r="BT225" s="7">
        <v>0</v>
      </c>
      <c r="BV225" s="7">
        <f t="shared" si="63"/>
        <v>6048145</v>
      </c>
      <c r="BX225" s="8">
        <f>+BV225-'Gen Fd BS'!AE225+BT225</f>
        <v>0</v>
      </c>
      <c r="CB225" s="7" t="str">
        <f t="shared" si="59"/>
        <v>Greeneview Local SD</v>
      </c>
      <c r="CC225" s="7" t="b">
        <f t="shared" si="55"/>
        <v>1</v>
      </c>
      <c r="CE225" s="12" t="str">
        <f>GenRev!A225</f>
        <v>Greeneview Local SD</v>
      </c>
      <c r="CF225" s="7" t="b">
        <f t="shared" si="60"/>
        <v>1</v>
      </c>
      <c r="CG225" s="7" t="str">
        <f t="shared" si="56"/>
        <v>Greene</v>
      </c>
      <c r="CH225" s="7" t="b">
        <f t="shared" si="57"/>
        <v>1</v>
      </c>
      <c r="CI225" s="7" t="b">
        <f>C225=GenRev!C225</f>
        <v>1</v>
      </c>
    </row>
    <row r="226" spans="1:87">
      <c r="A226" s="12" t="s">
        <v>869</v>
      </c>
      <c r="B226" s="12"/>
      <c r="C226" s="12" t="s">
        <v>358</v>
      </c>
      <c r="D226" s="12"/>
      <c r="E226" s="12">
        <v>45401</v>
      </c>
      <c r="F226" s="10"/>
      <c r="G226" s="7">
        <v>6860024</v>
      </c>
      <c r="I226" s="7">
        <v>1170074</v>
      </c>
      <c r="K226" s="7">
        <v>483956</v>
      </c>
      <c r="M226" s="7">
        <v>0</v>
      </c>
      <c r="O226" s="7">
        <v>1158451</v>
      </c>
      <c r="Q226" s="7">
        <v>639095</v>
      </c>
      <c r="S226" s="7">
        <v>748186</v>
      </c>
      <c r="U226" s="7">
        <v>60381</v>
      </c>
      <c r="W226" s="7">
        <v>1475611</v>
      </c>
      <c r="Y226" s="7">
        <v>385311</v>
      </c>
      <c r="AA226" s="7">
        <v>0</v>
      </c>
      <c r="AC226" s="7">
        <v>1606873</v>
      </c>
      <c r="AE226" s="7">
        <v>1099797</v>
      </c>
      <c r="AG226" s="7">
        <v>57249</v>
      </c>
      <c r="AI226" s="7">
        <v>0</v>
      </c>
      <c r="AK226" s="7">
        <v>0</v>
      </c>
      <c r="AL226" s="12" t="s">
        <v>869</v>
      </c>
      <c r="AM226" s="12"/>
      <c r="AN226" s="12" t="s">
        <v>358</v>
      </c>
      <c r="AP226" s="7">
        <v>263316</v>
      </c>
      <c r="AR226" s="7">
        <v>659</v>
      </c>
      <c r="AT226" s="7">
        <v>0</v>
      </c>
      <c r="AV226" s="7">
        <v>24716</v>
      </c>
      <c r="AX226" s="7">
        <v>3641</v>
      </c>
      <c r="AZ226" s="7">
        <v>0</v>
      </c>
      <c r="BB226" s="7">
        <f t="shared" si="61"/>
        <v>16037340</v>
      </c>
      <c r="BD226" s="7">
        <v>242049</v>
      </c>
      <c r="BF226" s="7">
        <v>0</v>
      </c>
      <c r="BH226" s="7">
        <v>0</v>
      </c>
      <c r="BJ226" s="7">
        <v>0</v>
      </c>
      <c r="BL226" s="7">
        <f t="shared" si="62"/>
        <v>16279389</v>
      </c>
      <c r="BN226" s="7">
        <f>+GenRev!AM226-GenExp!BL226</f>
        <v>1392353</v>
      </c>
      <c r="BP226" s="7">
        <v>5600835</v>
      </c>
      <c r="BR226" s="7">
        <v>0</v>
      </c>
      <c r="BT226" s="7">
        <v>0</v>
      </c>
      <c r="BV226" s="7">
        <f t="shared" si="63"/>
        <v>6993188</v>
      </c>
      <c r="BX226" s="8">
        <f>+BV226-'Gen Fd BS'!AE226+BT226</f>
        <v>0</v>
      </c>
      <c r="CB226" s="7" t="str">
        <f t="shared" si="59"/>
        <v>Greenfield Exempted Village SD</v>
      </c>
      <c r="CC226" s="7" t="b">
        <f t="shared" si="55"/>
        <v>1</v>
      </c>
      <c r="CE226" s="12" t="str">
        <f>GenRev!A226</f>
        <v>Greenfield Exempted Village SD</v>
      </c>
      <c r="CF226" s="7" t="b">
        <f t="shared" si="60"/>
        <v>1</v>
      </c>
      <c r="CG226" s="7" t="str">
        <f t="shared" si="56"/>
        <v>Highland</v>
      </c>
      <c r="CH226" s="7" t="b">
        <f t="shared" si="57"/>
        <v>1</v>
      </c>
      <c r="CI226" s="7" t="b">
        <f>C226=GenRev!C226</f>
        <v>1</v>
      </c>
    </row>
    <row r="227" spans="1:87">
      <c r="A227" s="12" t="s">
        <v>237</v>
      </c>
      <c r="B227" s="12"/>
      <c r="C227" s="12" t="s">
        <v>17</v>
      </c>
      <c r="D227" s="12"/>
      <c r="E227" s="12">
        <v>46235</v>
      </c>
      <c r="G227" s="7">
        <v>7144720</v>
      </c>
      <c r="I227" s="7">
        <v>791437</v>
      </c>
      <c r="K227" s="7">
        <v>458137</v>
      </c>
      <c r="M227" s="7">
        <v>0</v>
      </c>
      <c r="O227" s="7">
        <v>348012</v>
      </c>
      <c r="Q227" s="7">
        <v>280108</v>
      </c>
      <c r="S227" s="7">
        <v>341476</v>
      </c>
      <c r="U227" s="7">
        <v>149278</v>
      </c>
      <c r="W227" s="7">
        <v>1431483</v>
      </c>
      <c r="Y227" s="7">
        <v>545744</v>
      </c>
      <c r="AA227" s="7">
        <v>193880</v>
      </c>
      <c r="AC227" s="7">
        <v>1336433</v>
      </c>
      <c r="AE227" s="7">
        <v>1069075</v>
      </c>
      <c r="AG227" s="7">
        <v>103060</v>
      </c>
      <c r="AI227" s="7">
        <v>0</v>
      </c>
      <c r="AK227" s="7">
        <v>5527</v>
      </c>
      <c r="AL227" s="12" t="s">
        <v>237</v>
      </c>
      <c r="AM227" s="12"/>
      <c r="AN227" s="12" t="s">
        <v>17</v>
      </c>
      <c r="AP227" s="7">
        <v>312965</v>
      </c>
      <c r="AR227" s="7">
        <v>0</v>
      </c>
      <c r="AT227" s="7">
        <v>0</v>
      </c>
      <c r="AV227" s="7">
        <v>23290</v>
      </c>
      <c r="AX227" s="7">
        <v>753</v>
      </c>
      <c r="AZ227" s="7">
        <v>0</v>
      </c>
      <c r="BB227" s="7">
        <f t="shared" si="61"/>
        <v>14535378</v>
      </c>
      <c r="BD227" s="7">
        <v>0</v>
      </c>
      <c r="BF227" s="7">
        <v>0</v>
      </c>
      <c r="BH227" s="7">
        <v>0</v>
      </c>
      <c r="BJ227" s="7">
        <v>0</v>
      </c>
      <c r="BL227" s="7">
        <f t="shared" si="62"/>
        <v>14535378</v>
      </c>
      <c r="BN227" s="7">
        <f>+GenRev!AM227-GenExp!BL227</f>
        <v>486419</v>
      </c>
      <c r="BP227" s="7">
        <v>1657518</v>
      </c>
      <c r="BR227" s="7">
        <v>0</v>
      </c>
      <c r="BT227" s="7">
        <v>0</v>
      </c>
      <c r="BV227" s="7">
        <f t="shared" si="63"/>
        <v>2143937</v>
      </c>
      <c r="BX227" s="8">
        <f>+BV227-'Gen Fd BS'!AE227+BT227</f>
        <v>0</v>
      </c>
      <c r="CA227" s="14"/>
      <c r="CB227" s="7" t="str">
        <f t="shared" si="59"/>
        <v>Greenon Local SD</v>
      </c>
      <c r="CC227" s="7" t="b">
        <f t="shared" si="55"/>
        <v>1</v>
      </c>
      <c r="CE227" s="12" t="str">
        <f>GenRev!A227</f>
        <v>Greenon Local SD</v>
      </c>
      <c r="CF227" s="7" t="b">
        <f t="shared" si="60"/>
        <v>1</v>
      </c>
      <c r="CG227" s="7" t="str">
        <f t="shared" si="56"/>
        <v>Clark</v>
      </c>
      <c r="CH227" s="7" t="b">
        <f t="shared" si="57"/>
        <v>1</v>
      </c>
      <c r="CI227" s="7" t="b">
        <f>C227=GenRev!C227</f>
        <v>1</v>
      </c>
    </row>
    <row r="228" spans="1:87">
      <c r="A228" s="12" t="s">
        <v>288</v>
      </c>
      <c r="B228" s="12"/>
      <c r="C228" s="12" t="s">
        <v>21</v>
      </c>
      <c r="D228" s="12"/>
      <c r="E228" s="12">
        <v>44099</v>
      </c>
      <c r="G228" s="7">
        <v>12175321</v>
      </c>
      <c r="I228" s="7">
        <v>2942251</v>
      </c>
      <c r="K228" s="7">
        <v>1782851</v>
      </c>
      <c r="M228" s="7">
        <v>0</v>
      </c>
      <c r="O228" s="7">
        <v>96632</v>
      </c>
      <c r="Q228" s="7">
        <v>1078134</v>
      </c>
      <c r="S228" s="7">
        <v>740810</v>
      </c>
      <c r="U228" s="7">
        <v>59211</v>
      </c>
      <c r="W228" s="7">
        <v>1920725</v>
      </c>
      <c r="Y228" s="7">
        <v>708547</v>
      </c>
      <c r="AA228" s="7">
        <v>16853</v>
      </c>
      <c r="AC228" s="7">
        <v>1081864</v>
      </c>
      <c r="AE228" s="7">
        <v>886405</v>
      </c>
      <c r="AG228" s="7">
        <v>130485</v>
      </c>
      <c r="AI228" s="7">
        <v>0</v>
      </c>
      <c r="AK228" s="7">
        <v>6704</v>
      </c>
      <c r="AL228" s="12" t="s">
        <v>288</v>
      </c>
      <c r="AM228" s="12"/>
      <c r="AN228" s="12" t="s">
        <v>21</v>
      </c>
      <c r="AP228" s="7">
        <v>337541</v>
      </c>
      <c r="AR228" s="7">
        <v>354</v>
      </c>
      <c r="AT228" s="7">
        <v>0</v>
      </c>
      <c r="AV228" s="7">
        <v>0</v>
      </c>
      <c r="AX228" s="7">
        <v>0</v>
      </c>
      <c r="AZ228" s="7">
        <v>0</v>
      </c>
      <c r="BB228" s="7">
        <f t="shared" si="61"/>
        <v>23964688</v>
      </c>
      <c r="BD228" s="7">
        <v>203000</v>
      </c>
      <c r="BF228" s="7">
        <v>0</v>
      </c>
      <c r="BH228" s="7">
        <v>0</v>
      </c>
      <c r="BJ228" s="7">
        <v>0</v>
      </c>
      <c r="BL228" s="7">
        <f t="shared" si="62"/>
        <v>24167688</v>
      </c>
      <c r="BN228" s="7">
        <f>+GenRev!AM228-GenExp!BL228</f>
        <v>1797402</v>
      </c>
      <c r="BP228" s="7">
        <v>6180304</v>
      </c>
      <c r="BR228" s="7">
        <v>0</v>
      </c>
      <c r="BT228" s="7">
        <v>0</v>
      </c>
      <c r="BV228" s="7">
        <f t="shared" si="63"/>
        <v>7977706</v>
      </c>
      <c r="BX228" s="8">
        <f>+BV228-'Gen Fd BS'!AE228+BT228</f>
        <v>0</v>
      </c>
      <c r="CB228" s="7" t="str">
        <f t="shared" si="59"/>
        <v>Greenville City SD</v>
      </c>
      <c r="CC228" s="7" t="b">
        <f t="shared" si="55"/>
        <v>1</v>
      </c>
      <c r="CE228" s="12" t="str">
        <f>GenRev!A228</f>
        <v>Greenville City SD</v>
      </c>
      <c r="CF228" s="7" t="b">
        <f t="shared" si="60"/>
        <v>1</v>
      </c>
      <c r="CG228" s="7" t="str">
        <f t="shared" si="56"/>
        <v>Darke</v>
      </c>
      <c r="CH228" s="7" t="b">
        <f t="shared" si="57"/>
        <v>1</v>
      </c>
      <c r="CI228" s="7" t="b">
        <f>C228=GenRev!C228</f>
        <v>1</v>
      </c>
    </row>
    <row r="229" spans="1:87">
      <c r="A229" s="12" t="s">
        <v>310</v>
      </c>
      <c r="B229" s="12"/>
      <c r="C229" s="12" t="s">
        <v>27</v>
      </c>
      <c r="D229" s="12"/>
      <c r="E229" s="12">
        <v>46979</v>
      </c>
      <c r="G229" s="7">
        <v>30425376</v>
      </c>
      <c r="I229" s="7">
        <v>7842268</v>
      </c>
      <c r="K229" s="7">
        <v>106555</v>
      </c>
      <c r="M229" s="7">
        <v>0</v>
      </c>
      <c r="O229" s="7">
        <v>275262</v>
      </c>
      <c r="Q229" s="7">
        <v>2983924</v>
      </c>
      <c r="S229" s="7">
        <v>2860636</v>
      </c>
      <c r="U229" s="7">
        <v>254108</v>
      </c>
      <c r="W229" s="7">
        <v>4240770</v>
      </c>
      <c r="Y229" s="7">
        <v>1324277</v>
      </c>
      <c r="AA229" s="7">
        <v>109512</v>
      </c>
      <c r="AC229" s="7">
        <v>4624996</v>
      </c>
      <c r="AE229" s="7">
        <v>3972569</v>
      </c>
      <c r="AG229" s="7">
        <v>721969</v>
      </c>
      <c r="AI229" s="7">
        <v>0</v>
      </c>
      <c r="AK229" s="7">
        <v>144190</v>
      </c>
      <c r="AL229" s="12" t="s">
        <v>310</v>
      </c>
      <c r="AM229" s="12"/>
      <c r="AN229" s="12" t="s">
        <v>27</v>
      </c>
      <c r="AP229" s="7">
        <v>589316</v>
      </c>
      <c r="AR229" s="7">
        <v>0</v>
      </c>
      <c r="AT229" s="7">
        <v>0</v>
      </c>
      <c r="AV229" s="7">
        <v>0</v>
      </c>
      <c r="AX229" s="7">
        <v>0</v>
      </c>
      <c r="AZ229" s="7">
        <v>0</v>
      </c>
      <c r="BB229" s="7">
        <f t="shared" si="61"/>
        <v>60475728</v>
      </c>
      <c r="BD229" s="7">
        <v>331398</v>
      </c>
      <c r="BF229" s="7">
        <v>0</v>
      </c>
      <c r="BH229" s="7">
        <v>0</v>
      </c>
      <c r="BJ229" s="7">
        <v>0</v>
      </c>
      <c r="BL229" s="7">
        <f t="shared" si="62"/>
        <v>60807126</v>
      </c>
      <c r="BN229" s="7">
        <f>+GenRev!AM229-GenExp!BL229</f>
        <v>1576342</v>
      </c>
      <c r="BP229" s="7">
        <v>4128152</v>
      </c>
      <c r="BR229" s="7">
        <v>0</v>
      </c>
      <c r="BT229" s="7">
        <v>0</v>
      </c>
      <c r="BV229" s="7">
        <f t="shared" si="63"/>
        <v>5704494</v>
      </c>
      <c r="BX229" s="8">
        <f>+BV229-'Gen Fd BS'!AE229+BT229</f>
        <v>0</v>
      </c>
      <c r="CA229" s="14"/>
      <c r="CB229" s="7" t="str">
        <f t="shared" si="59"/>
        <v>Groveport Madison Local SD</v>
      </c>
      <c r="CC229" s="7" t="b">
        <f t="shared" si="55"/>
        <v>1</v>
      </c>
      <c r="CE229" s="12" t="str">
        <f>GenRev!A229</f>
        <v>Groveport Madison Local SD</v>
      </c>
      <c r="CF229" s="7" t="b">
        <f t="shared" si="60"/>
        <v>1</v>
      </c>
      <c r="CG229" s="7" t="str">
        <f t="shared" si="56"/>
        <v>Franklin</v>
      </c>
      <c r="CH229" s="7" t="b">
        <f t="shared" si="57"/>
        <v>1</v>
      </c>
      <c r="CI229" s="7" t="b">
        <f>C229=GenRev!C229</f>
        <v>1</v>
      </c>
    </row>
    <row r="230" spans="1:87" hidden="1">
      <c r="A230" s="12" t="s">
        <v>225</v>
      </c>
      <c r="B230" s="12"/>
      <c r="C230" s="12" t="s">
        <v>223</v>
      </c>
      <c r="D230" s="12"/>
      <c r="E230" s="12">
        <v>44107</v>
      </c>
      <c r="AI230" s="7">
        <v>0</v>
      </c>
      <c r="AL230" s="12" t="s">
        <v>225</v>
      </c>
      <c r="AM230" s="12"/>
      <c r="AN230" s="12" t="s">
        <v>223</v>
      </c>
      <c r="BB230" s="7">
        <f t="shared" si="61"/>
        <v>0</v>
      </c>
      <c r="BL230" s="7">
        <f t="shared" si="62"/>
        <v>0</v>
      </c>
      <c r="BN230" s="7">
        <f>+GenRev!AM230-GenExp!BL230</f>
        <v>0</v>
      </c>
      <c r="BT230" s="7">
        <v>0</v>
      </c>
      <c r="BV230" s="7">
        <f t="shared" si="63"/>
        <v>0</v>
      </c>
      <c r="BX230" s="8">
        <f>+BV230-'Gen Fd BS'!AE230+BT230</f>
        <v>0</v>
      </c>
      <c r="CA230" s="7" t="s">
        <v>903</v>
      </c>
      <c r="CB230" s="7" t="str">
        <f t="shared" si="59"/>
        <v>Hamilton City SD</v>
      </c>
      <c r="CC230" s="7" t="b">
        <f t="shared" si="55"/>
        <v>1</v>
      </c>
      <c r="CE230" s="12" t="str">
        <f>GenRev!A230</f>
        <v>Hamilton City SD</v>
      </c>
      <c r="CF230" s="7" t="b">
        <f t="shared" si="60"/>
        <v>1</v>
      </c>
      <c r="CG230" s="7" t="str">
        <f t="shared" si="56"/>
        <v>Butler</v>
      </c>
      <c r="CH230" s="7" t="b">
        <f t="shared" si="57"/>
        <v>1</v>
      </c>
      <c r="CI230" s="7" t="b">
        <f>C230=GenRev!C230</f>
        <v>1</v>
      </c>
    </row>
    <row r="231" spans="1:87">
      <c r="A231" s="12" t="s">
        <v>925</v>
      </c>
      <c r="B231" s="12"/>
      <c r="C231" s="12" t="s">
        <v>27</v>
      </c>
      <c r="D231" s="12"/>
      <c r="E231" s="12">
        <v>46953</v>
      </c>
      <c r="G231" s="7">
        <v>9435946</v>
      </c>
      <c r="I231" s="7">
        <v>1451717</v>
      </c>
      <c r="K231" s="7">
        <v>195787</v>
      </c>
      <c r="M231" s="7">
        <v>0</v>
      </c>
      <c r="O231" s="7">
        <v>1449087</v>
      </c>
      <c r="Q231" s="7">
        <v>550048</v>
      </c>
      <c r="S231" s="7">
        <v>421151</v>
      </c>
      <c r="U231" s="7">
        <v>5149</v>
      </c>
      <c r="W231" s="7">
        <v>2070723</v>
      </c>
      <c r="Y231" s="7">
        <v>1254832</v>
      </c>
      <c r="AA231" s="7">
        <v>0</v>
      </c>
      <c r="AC231" s="7">
        <v>2617557</v>
      </c>
      <c r="AE231" s="7">
        <v>944944</v>
      </c>
      <c r="AG231" s="7">
        <v>45154</v>
      </c>
      <c r="AI231" s="7">
        <v>0</v>
      </c>
      <c r="AK231" s="7">
        <v>85230</v>
      </c>
      <c r="AL231" s="12" t="s">
        <v>925</v>
      </c>
      <c r="AM231" s="12"/>
      <c r="AN231" s="12" t="s">
        <v>27</v>
      </c>
      <c r="AP231" s="7">
        <v>574095</v>
      </c>
      <c r="AR231" s="7">
        <v>0</v>
      </c>
      <c r="AT231" s="7">
        <v>0</v>
      </c>
      <c r="AV231" s="7">
        <v>0</v>
      </c>
      <c r="AX231" s="7">
        <v>0</v>
      </c>
      <c r="AZ231" s="7">
        <v>0</v>
      </c>
      <c r="BB231" s="7">
        <f t="shared" si="61"/>
        <v>21101420</v>
      </c>
      <c r="BD231" s="7">
        <v>112174</v>
      </c>
      <c r="BF231" s="7">
        <v>0</v>
      </c>
      <c r="BH231" s="7">
        <v>0</v>
      </c>
      <c r="BJ231" s="7">
        <v>0</v>
      </c>
      <c r="BL231" s="7">
        <f t="shared" si="62"/>
        <v>21213594</v>
      </c>
      <c r="BN231" s="7">
        <f>+GenRev!AM231-GenExp!BL231</f>
        <v>1425647</v>
      </c>
      <c r="BP231" s="7">
        <v>5163399</v>
      </c>
      <c r="BR231" s="7">
        <v>0</v>
      </c>
      <c r="BT231" s="7">
        <v>0</v>
      </c>
      <c r="BV231" s="7">
        <f t="shared" si="63"/>
        <v>6589046</v>
      </c>
      <c r="BX231" s="8">
        <f>+BV231-'Gen Fd BS'!AE231+BT231</f>
        <v>0</v>
      </c>
      <c r="CB231" s="7" t="str">
        <f t="shared" si="59"/>
        <v>Hamilton Local SD</v>
      </c>
      <c r="CC231" s="7" t="b">
        <f t="shared" si="55"/>
        <v>1</v>
      </c>
      <c r="CE231" s="12" t="str">
        <f>GenRev!A231</f>
        <v>Hamilton Local SD</v>
      </c>
      <c r="CF231" s="7" t="b">
        <f t="shared" si="60"/>
        <v>1</v>
      </c>
      <c r="CG231" s="7" t="str">
        <f t="shared" si="56"/>
        <v>Franklin</v>
      </c>
      <c r="CH231" s="7" t="b">
        <f t="shared" si="57"/>
        <v>1</v>
      </c>
      <c r="CI231" s="7" t="b">
        <f>C231=GenRev!C231</f>
        <v>1</v>
      </c>
    </row>
    <row r="232" spans="1:87">
      <c r="A232" s="12" t="s">
        <v>349</v>
      </c>
      <c r="B232" s="12"/>
      <c r="C232" s="12" t="s">
        <v>348</v>
      </c>
      <c r="D232" s="12"/>
      <c r="E232" s="12">
        <v>47498</v>
      </c>
      <c r="G232" s="7">
        <v>2118985</v>
      </c>
      <c r="I232" s="7">
        <v>211047</v>
      </c>
      <c r="K232" s="7">
        <v>316697</v>
      </c>
      <c r="M232" s="7">
        <v>0</v>
      </c>
      <c r="O232" s="7">
        <v>0</v>
      </c>
      <c r="Q232" s="7">
        <v>155648</v>
      </c>
      <c r="S232" s="7">
        <v>97641</v>
      </c>
      <c r="U232" s="7">
        <v>47605</v>
      </c>
      <c r="W232" s="7">
        <v>449702</v>
      </c>
      <c r="Y232" s="7">
        <v>214087</v>
      </c>
      <c r="AA232" s="7">
        <v>0</v>
      </c>
      <c r="AC232" s="7">
        <v>386434</v>
      </c>
      <c r="AE232" s="7">
        <v>177177</v>
      </c>
      <c r="AG232" s="7">
        <v>0</v>
      </c>
      <c r="AI232" s="7">
        <v>0</v>
      </c>
      <c r="AK232" s="7">
        <v>467</v>
      </c>
      <c r="AL232" s="12" t="s">
        <v>349</v>
      </c>
      <c r="AM232" s="12"/>
      <c r="AN232" s="12" t="s">
        <v>348</v>
      </c>
      <c r="AP232" s="7">
        <v>126926</v>
      </c>
      <c r="AR232" s="7">
        <v>0</v>
      </c>
      <c r="AT232" s="7">
        <v>0</v>
      </c>
      <c r="AV232" s="7">
        <v>0</v>
      </c>
      <c r="AX232" s="7">
        <v>0</v>
      </c>
      <c r="AZ232" s="7">
        <v>0</v>
      </c>
      <c r="BB232" s="7">
        <f t="shared" si="61"/>
        <v>4302416</v>
      </c>
      <c r="BD232" s="7">
        <v>27800</v>
      </c>
      <c r="BE232" s="102"/>
      <c r="BF232" s="7">
        <v>0</v>
      </c>
      <c r="BH232" s="7">
        <v>0</v>
      </c>
      <c r="BJ232" s="7">
        <v>0</v>
      </c>
      <c r="BL232" s="7">
        <f t="shared" si="62"/>
        <v>4330216</v>
      </c>
      <c r="BN232" s="7">
        <f>+GenRev!AM232-GenExp!BL232</f>
        <v>282006</v>
      </c>
      <c r="BP232" s="7">
        <v>2212236</v>
      </c>
      <c r="BR232" s="7">
        <v>0</v>
      </c>
      <c r="BT232" s="7">
        <v>0</v>
      </c>
      <c r="BV232" s="7">
        <f t="shared" si="63"/>
        <v>2494242</v>
      </c>
      <c r="BX232" s="8">
        <f>+BV232-'Gen Fd BS'!AE232+BT232</f>
        <v>0</v>
      </c>
      <c r="CA232" s="14"/>
      <c r="CB232" s="7" t="str">
        <f t="shared" si="59"/>
        <v>Hardin Northern Local SD</v>
      </c>
      <c r="CC232" s="7" t="b">
        <f t="shared" si="55"/>
        <v>1</v>
      </c>
      <c r="CE232" s="12" t="str">
        <f>GenRev!A232</f>
        <v>Hardin Northern Local SD</v>
      </c>
      <c r="CF232" s="7" t="b">
        <f t="shared" si="60"/>
        <v>1</v>
      </c>
      <c r="CG232" s="7" t="str">
        <f t="shared" si="56"/>
        <v>Hardin</v>
      </c>
      <c r="CH232" s="7" t="b">
        <f t="shared" si="57"/>
        <v>1</v>
      </c>
      <c r="CI232" s="7" t="b">
        <f>C232=GenRev!C232</f>
        <v>1</v>
      </c>
    </row>
    <row r="233" spans="1:87">
      <c r="A233" s="12" t="s">
        <v>506</v>
      </c>
      <c r="B233" s="12"/>
      <c r="C233" s="12" t="s">
        <v>61</v>
      </c>
      <c r="D233" s="12"/>
      <c r="E233" s="12">
        <v>49791</v>
      </c>
      <c r="G233" s="7">
        <v>3875118</v>
      </c>
      <c r="I233" s="7">
        <v>481461</v>
      </c>
      <c r="K233" s="7">
        <v>99530</v>
      </c>
      <c r="M233" s="7">
        <v>0</v>
      </c>
      <c r="O233" s="7">
        <f>3064+57914</f>
        <v>60978</v>
      </c>
      <c r="Q233" s="7">
        <v>435823</v>
      </c>
      <c r="S233" s="7">
        <v>337684</v>
      </c>
      <c r="U233" s="7">
        <v>10273</v>
      </c>
      <c r="W233" s="7">
        <v>552056</v>
      </c>
      <c r="Y233" s="7">
        <v>231395</v>
      </c>
      <c r="AA233" s="7">
        <v>1539</v>
      </c>
      <c r="AC233" s="7">
        <v>398522</v>
      </c>
      <c r="AE233" s="7">
        <v>357768</v>
      </c>
      <c r="AG233" s="7">
        <v>10856</v>
      </c>
      <c r="AI233" s="7">
        <v>0</v>
      </c>
      <c r="AK233" s="7">
        <v>0</v>
      </c>
      <c r="AL233" s="12" t="s">
        <v>506</v>
      </c>
      <c r="AM233" s="12"/>
      <c r="AN233" s="12" t="s">
        <v>61</v>
      </c>
      <c r="AP233" s="7">
        <v>143941</v>
      </c>
      <c r="AR233" s="7">
        <v>5976</v>
      </c>
      <c r="AT233" s="7">
        <v>0</v>
      </c>
      <c r="AV233" s="7">
        <v>17451</v>
      </c>
      <c r="AX233" s="7">
        <v>2919</v>
      </c>
      <c r="AZ233" s="7">
        <v>0</v>
      </c>
      <c r="BB233" s="7">
        <f t="shared" si="61"/>
        <v>7023290</v>
      </c>
      <c r="BD233" s="7">
        <v>0</v>
      </c>
      <c r="BF233" s="7">
        <v>0</v>
      </c>
      <c r="BH233" s="7">
        <v>0</v>
      </c>
      <c r="BJ233" s="7">
        <v>0</v>
      </c>
      <c r="BL233" s="7">
        <f t="shared" si="62"/>
        <v>7023290</v>
      </c>
      <c r="BN233" s="7">
        <f>+GenRev!AM233-GenExp!BL233</f>
        <v>-39588</v>
      </c>
      <c r="BP233" s="7">
        <v>1097992</v>
      </c>
      <c r="BR233" s="7">
        <v>0</v>
      </c>
      <c r="BT233" s="7">
        <v>0</v>
      </c>
      <c r="BV233" s="7">
        <f t="shared" si="63"/>
        <v>1058404</v>
      </c>
      <c r="BX233" s="8">
        <f>+BV233-'Gen Fd BS'!AE233+BT233</f>
        <v>0</v>
      </c>
      <c r="CB233" s="7" t="str">
        <f t="shared" si="59"/>
        <v>Hardin-Houston Local SD</v>
      </c>
      <c r="CC233" s="7" t="b">
        <f t="shared" si="55"/>
        <v>1</v>
      </c>
      <c r="CE233" s="12" t="str">
        <f>GenRev!A233</f>
        <v>Hardin-Houston Local SD</v>
      </c>
      <c r="CF233" s="7" t="b">
        <f t="shared" si="60"/>
        <v>1</v>
      </c>
      <c r="CG233" s="7" t="str">
        <f t="shared" si="56"/>
        <v>Shelby</v>
      </c>
      <c r="CH233" s="7" t="b">
        <f t="shared" si="57"/>
        <v>1</v>
      </c>
      <c r="CI233" s="7" t="b">
        <f>C233=GenRev!C233</f>
        <v>1</v>
      </c>
    </row>
    <row r="234" spans="1:87" hidden="1">
      <c r="A234" s="12" t="s">
        <v>353</v>
      </c>
      <c r="B234" s="12"/>
      <c r="C234" s="12" t="s">
        <v>352</v>
      </c>
      <c r="D234" s="12"/>
      <c r="E234" s="12">
        <v>45245</v>
      </c>
      <c r="AL234" s="12" t="s">
        <v>353</v>
      </c>
      <c r="AM234" s="12"/>
      <c r="AN234" s="12" t="s">
        <v>352</v>
      </c>
      <c r="BB234" s="7">
        <f t="shared" si="61"/>
        <v>0</v>
      </c>
      <c r="BL234" s="7">
        <f t="shared" si="62"/>
        <v>0</v>
      </c>
      <c r="BN234" s="7">
        <f>+GenRev!AM234-GenExp!BL234</f>
        <v>0</v>
      </c>
      <c r="BT234" s="7">
        <v>0</v>
      </c>
      <c r="BV234" s="7">
        <f t="shared" si="63"/>
        <v>0</v>
      </c>
      <c r="BX234" s="8">
        <f>+BV234-'Gen Fd BS'!AE234+BT234</f>
        <v>0</v>
      </c>
      <c r="CA234" s="7" t="s">
        <v>903</v>
      </c>
      <c r="CB234" s="7" t="str">
        <f t="shared" si="59"/>
        <v>Harrison Hills City SD</v>
      </c>
      <c r="CC234" s="7" t="b">
        <f t="shared" si="55"/>
        <v>1</v>
      </c>
      <c r="CE234" s="12" t="str">
        <f>GenRev!A234</f>
        <v>Harrison Hills City SD</v>
      </c>
      <c r="CF234" s="7" t="b">
        <f t="shared" si="60"/>
        <v>1</v>
      </c>
      <c r="CG234" s="7" t="str">
        <f t="shared" si="56"/>
        <v>Harrison</v>
      </c>
      <c r="CH234" s="7" t="b">
        <f t="shared" si="57"/>
        <v>1</v>
      </c>
      <c r="CI234" s="7" t="b">
        <f>C234=GenRev!C234</f>
        <v>1</v>
      </c>
    </row>
    <row r="235" spans="1:87">
      <c r="A235" s="12" t="s">
        <v>384</v>
      </c>
      <c r="B235" s="12"/>
      <c r="C235" s="12" t="s">
        <v>42</v>
      </c>
      <c r="D235" s="12"/>
      <c r="E235" s="12">
        <v>44115</v>
      </c>
      <c r="G235" s="7">
        <v>7999261</v>
      </c>
      <c r="I235" s="7">
        <v>0</v>
      </c>
      <c r="K235" s="7">
        <v>0</v>
      </c>
      <c r="M235" s="7">
        <v>0</v>
      </c>
      <c r="O235" s="7">
        <v>0</v>
      </c>
      <c r="Q235" s="7">
        <v>893407</v>
      </c>
      <c r="S235" s="7">
        <v>288106</v>
      </c>
      <c r="U235" s="7">
        <v>16901</v>
      </c>
      <c r="W235" s="7">
        <v>1277497</v>
      </c>
      <c r="Y235" s="7">
        <v>468184</v>
      </c>
      <c r="AA235" s="7">
        <v>34834</v>
      </c>
      <c r="AC235" s="7">
        <v>1189989</v>
      </c>
      <c r="AE235" s="7">
        <v>571969</v>
      </c>
      <c r="AG235" s="7">
        <v>294039</v>
      </c>
      <c r="AI235" s="7">
        <v>3537</v>
      </c>
      <c r="AK235" s="7">
        <v>0</v>
      </c>
      <c r="AL235" s="12" t="s">
        <v>384</v>
      </c>
      <c r="AM235" s="12"/>
      <c r="AN235" s="12" t="s">
        <v>42</v>
      </c>
      <c r="AP235" s="7">
        <v>334825</v>
      </c>
      <c r="AR235" s="7">
        <v>38750</v>
      </c>
      <c r="AT235" s="7">
        <v>0</v>
      </c>
      <c r="AV235" s="7">
        <v>48702</v>
      </c>
      <c r="AX235" s="7">
        <v>8838</v>
      </c>
      <c r="AZ235" s="7">
        <v>0</v>
      </c>
      <c r="BB235" s="7">
        <f t="shared" si="61"/>
        <v>13468839</v>
      </c>
      <c r="BD235" s="7">
        <v>0</v>
      </c>
      <c r="BF235" s="7">
        <v>0</v>
      </c>
      <c r="BH235" s="7">
        <v>0</v>
      </c>
      <c r="BJ235" s="7">
        <v>0</v>
      </c>
      <c r="BL235" s="7">
        <f t="shared" si="62"/>
        <v>13468839</v>
      </c>
      <c r="BN235" s="7">
        <f>+GenRev!AM235-GenExp!BL235</f>
        <v>204253</v>
      </c>
      <c r="BP235" s="7">
        <v>2468131</v>
      </c>
      <c r="BR235" s="7">
        <v>0</v>
      </c>
      <c r="BT235" s="7">
        <v>0</v>
      </c>
      <c r="BV235" s="7">
        <f t="shared" si="63"/>
        <v>2672384</v>
      </c>
      <c r="BX235" s="8">
        <f>+BV235-'Gen Fd BS'!AE235+BT235</f>
        <v>0</v>
      </c>
      <c r="CA235" s="7" t="s">
        <v>804</v>
      </c>
      <c r="CB235" s="7" t="str">
        <f t="shared" si="59"/>
        <v>Heath City SD</v>
      </c>
      <c r="CC235" s="7" t="b">
        <f t="shared" si="55"/>
        <v>1</v>
      </c>
      <c r="CE235" s="12" t="str">
        <f>GenRev!A235</f>
        <v>Heath City SD</v>
      </c>
      <c r="CF235" s="7" t="b">
        <f t="shared" si="60"/>
        <v>1</v>
      </c>
      <c r="CG235" s="7" t="str">
        <f t="shared" si="56"/>
        <v>Licking</v>
      </c>
      <c r="CH235" s="7" t="b">
        <f t="shared" si="57"/>
        <v>1</v>
      </c>
      <c r="CI235" s="7" t="b">
        <f>C235=GenRev!C235</f>
        <v>1</v>
      </c>
    </row>
    <row r="236" spans="1:87" hidden="1">
      <c r="A236" s="12" t="s">
        <v>699</v>
      </c>
      <c r="B236" s="12"/>
      <c r="C236" s="12" t="s">
        <v>22</v>
      </c>
      <c r="D236" s="12"/>
      <c r="E236" s="12">
        <v>45419</v>
      </c>
      <c r="AL236" s="12" t="s">
        <v>699</v>
      </c>
      <c r="AM236" s="12"/>
      <c r="AN236" s="12" t="s">
        <v>22</v>
      </c>
      <c r="BB236" s="7">
        <f t="shared" si="61"/>
        <v>0</v>
      </c>
      <c r="BL236" s="7">
        <f t="shared" si="62"/>
        <v>0</v>
      </c>
      <c r="BN236" s="7">
        <f>+GenRev!AM236-GenExp!BL236</f>
        <v>0</v>
      </c>
      <c r="BT236" s="7">
        <v>0</v>
      </c>
      <c r="BV236" s="7">
        <f t="shared" si="63"/>
        <v>0</v>
      </c>
      <c r="BX236" s="8">
        <f>+BV236-'Gen Fd BS'!AE236+BT236</f>
        <v>0</v>
      </c>
      <c r="CA236" s="7" t="s">
        <v>904</v>
      </c>
      <c r="CB236" s="7" t="str">
        <f t="shared" si="59"/>
        <v>Hicksville Ex Vill SD  (CASH)</v>
      </c>
      <c r="CC236" s="7" t="b">
        <f t="shared" si="55"/>
        <v>1</v>
      </c>
      <c r="CE236" s="12" t="str">
        <f>GenRev!A236</f>
        <v>Hicksville Ex Vill SD  (CASH)</v>
      </c>
      <c r="CF236" s="7" t="b">
        <f t="shared" si="60"/>
        <v>1</v>
      </c>
      <c r="CG236" s="7" t="str">
        <f t="shared" si="56"/>
        <v>Defiance</v>
      </c>
      <c r="CH236" s="7" t="b">
        <f t="shared" si="57"/>
        <v>1</v>
      </c>
      <c r="CI236" s="7" t="b">
        <f>C236=GenRev!C236</f>
        <v>1</v>
      </c>
    </row>
    <row r="237" spans="1:87">
      <c r="A237" s="12" t="s">
        <v>430</v>
      </c>
      <c r="B237" s="12"/>
      <c r="C237" s="12" t="s">
        <v>47</v>
      </c>
      <c r="D237" s="12"/>
      <c r="E237" s="12">
        <v>48496</v>
      </c>
      <c r="G237" s="7">
        <v>11894604</v>
      </c>
      <c r="I237" s="7">
        <v>2352881</v>
      </c>
      <c r="K237" s="7">
        <v>141847</v>
      </c>
      <c r="M237" s="7">
        <v>0</v>
      </c>
      <c r="O237" s="7">
        <v>143339</v>
      </c>
      <c r="Q237" s="7">
        <v>1474971</v>
      </c>
      <c r="S237" s="7">
        <v>1239525</v>
      </c>
      <c r="U237" s="7">
        <v>24458</v>
      </c>
      <c r="W237" s="7">
        <v>1809057</v>
      </c>
      <c r="Y237" s="7">
        <v>695566</v>
      </c>
      <c r="AA237" s="7">
        <v>22625</v>
      </c>
      <c r="AC237" s="7">
        <v>2395486</v>
      </c>
      <c r="AE237" s="7">
        <v>1629459</v>
      </c>
      <c r="AG237" s="7">
        <v>257876</v>
      </c>
      <c r="AI237" s="7">
        <v>15781</v>
      </c>
      <c r="AK237" s="7">
        <v>198365</v>
      </c>
      <c r="AL237" s="12" t="s">
        <v>430</v>
      </c>
      <c r="AM237" s="12"/>
      <c r="AN237" s="12" t="s">
        <v>47</v>
      </c>
      <c r="AP237" s="7">
        <v>935803</v>
      </c>
      <c r="AR237" s="7">
        <v>30161</v>
      </c>
      <c r="AT237" s="7">
        <v>0</v>
      </c>
      <c r="AV237" s="7">
        <v>41101</v>
      </c>
      <c r="AX237" s="7">
        <v>3575</v>
      </c>
      <c r="AZ237" s="7">
        <v>0</v>
      </c>
      <c r="BB237" s="7">
        <f t="shared" si="61"/>
        <v>25306480</v>
      </c>
      <c r="BD237" s="7">
        <v>0</v>
      </c>
      <c r="BF237" s="7">
        <v>0</v>
      </c>
      <c r="BH237" s="7">
        <v>0</v>
      </c>
      <c r="BJ237" s="7">
        <v>0</v>
      </c>
      <c r="BL237" s="7">
        <f t="shared" si="62"/>
        <v>25306480</v>
      </c>
      <c r="BN237" s="7">
        <f>+GenRev!AM237-GenExp!BL237</f>
        <v>-1819616</v>
      </c>
      <c r="BP237" s="7">
        <v>6239185</v>
      </c>
      <c r="BR237" s="7">
        <v>0</v>
      </c>
      <c r="BT237" s="7">
        <v>0</v>
      </c>
      <c r="BV237" s="7">
        <f t="shared" si="63"/>
        <v>4419569</v>
      </c>
      <c r="BX237" s="8">
        <f>+BV237-'Gen Fd BS'!AE237+BT237</f>
        <v>0</v>
      </c>
      <c r="CB237" s="7" t="str">
        <f t="shared" si="59"/>
        <v>Highland Local SD</v>
      </c>
      <c r="CC237" s="7" t="b">
        <f t="shared" si="55"/>
        <v>1</v>
      </c>
      <c r="CE237" s="12" t="str">
        <f>GenRev!A237</f>
        <v>Highland Local SD</v>
      </c>
      <c r="CF237" s="7" t="b">
        <f t="shared" si="60"/>
        <v>1</v>
      </c>
      <c r="CG237" s="7" t="str">
        <f t="shared" si="56"/>
        <v>Medina</v>
      </c>
      <c r="CH237" s="7" t="b">
        <f t="shared" si="57"/>
        <v>1</v>
      </c>
      <c r="CI237" s="7" t="b">
        <f>C237=GenRev!C237</f>
        <v>1</v>
      </c>
    </row>
    <row r="238" spans="1:87">
      <c r="A238" s="12" t="s">
        <v>430</v>
      </c>
      <c r="B238" s="12"/>
      <c r="C238" s="12" t="s">
        <v>78</v>
      </c>
      <c r="D238" s="12"/>
      <c r="E238" s="12">
        <v>48801</v>
      </c>
      <c r="G238" s="7">
        <v>6512034</v>
      </c>
      <c r="I238" s="7">
        <v>2002401</v>
      </c>
      <c r="K238" s="7">
        <v>187252</v>
      </c>
      <c r="M238" s="7">
        <v>0</v>
      </c>
      <c r="O238" s="7">
        <v>0</v>
      </c>
      <c r="Q238" s="7">
        <v>415797</v>
      </c>
      <c r="S238" s="7">
        <v>567714</v>
      </c>
      <c r="U238" s="7">
        <v>212337</v>
      </c>
      <c r="W238" s="7">
        <v>463335</v>
      </c>
      <c r="Y238" s="7">
        <v>369221</v>
      </c>
      <c r="AA238" s="7">
        <v>0</v>
      </c>
      <c r="AC238" s="7">
        <v>1197926</v>
      </c>
      <c r="AE238" s="7">
        <v>1244550</v>
      </c>
      <c r="AG238" s="7">
        <v>0</v>
      </c>
      <c r="AI238" s="7">
        <v>0</v>
      </c>
      <c r="AK238" s="7">
        <v>0</v>
      </c>
      <c r="AL238" s="12" t="s">
        <v>430</v>
      </c>
      <c r="AM238" s="12"/>
      <c r="AN238" s="12" t="s">
        <v>78</v>
      </c>
      <c r="AP238" s="7">
        <v>234518</v>
      </c>
      <c r="AR238" s="7">
        <v>1175</v>
      </c>
      <c r="AT238" s="7">
        <v>0</v>
      </c>
      <c r="AV238" s="7">
        <v>16000</v>
      </c>
      <c r="AX238" s="7">
        <v>1526</v>
      </c>
      <c r="AZ238" s="7">
        <v>0</v>
      </c>
      <c r="BB238" s="7">
        <f t="shared" si="61"/>
        <v>13425786</v>
      </c>
      <c r="BD238" s="7">
        <v>0</v>
      </c>
      <c r="BF238" s="7">
        <v>0</v>
      </c>
      <c r="BH238" s="7">
        <v>0</v>
      </c>
      <c r="BJ238" s="7">
        <v>0</v>
      </c>
      <c r="BL238" s="7">
        <f t="shared" si="62"/>
        <v>13425786</v>
      </c>
      <c r="BN238" s="7">
        <f>+GenRev!AM238-GenExp!BL238</f>
        <v>342351</v>
      </c>
      <c r="BP238" s="7">
        <v>2002170</v>
      </c>
      <c r="BR238" s="7">
        <v>0</v>
      </c>
      <c r="BT238" s="7">
        <v>0</v>
      </c>
      <c r="BV238" s="7">
        <f t="shared" si="63"/>
        <v>2344521</v>
      </c>
      <c r="BX238" s="8">
        <f>+BV238-'Gen Fd BS'!AE238+BT238</f>
        <v>0</v>
      </c>
      <c r="CB238" s="7" t="str">
        <f t="shared" si="59"/>
        <v>Highland Local SD</v>
      </c>
      <c r="CC238" s="7" t="b">
        <f t="shared" si="55"/>
        <v>1</v>
      </c>
      <c r="CE238" s="12" t="str">
        <f>GenRev!A238</f>
        <v>Highland Local SD</v>
      </c>
      <c r="CF238" s="7" t="b">
        <f t="shared" si="60"/>
        <v>1</v>
      </c>
      <c r="CG238" s="7" t="str">
        <f t="shared" si="56"/>
        <v>Morrow</v>
      </c>
      <c r="CH238" s="7" t="b">
        <f t="shared" si="57"/>
        <v>1</v>
      </c>
      <c r="CI238" s="7" t="b">
        <f>C238=GenRev!C238</f>
        <v>1</v>
      </c>
    </row>
    <row r="239" spans="1:87">
      <c r="A239" s="12" t="s">
        <v>311</v>
      </c>
      <c r="B239" s="12"/>
      <c r="C239" s="12" t="s">
        <v>27</v>
      </c>
      <c r="D239" s="12"/>
      <c r="E239" s="12">
        <v>47019</v>
      </c>
      <c r="F239" s="10"/>
      <c r="G239" s="7">
        <v>83933462</v>
      </c>
      <c r="I239" s="7">
        <v>14267139</v>
      </c>
      <c r="K239" s="7">
        <v>1448326</v>
      </c>
      <c r="M239" s="7">
        <v>0</v>
      </c>
      <c r="O239" s="7">
        <v>0</v>
      </c>
      <c r="Q239" s="7">
        <v>10484369</v>
      </c>
      <c r="S239" s="7">
        <v>8318974</v>
      </c>
      <c r="U239" s="7">
        <v>276592</v>
      </c>
      <c r="W239" s="7">
        <v>9900956</v>
      </c>
      <c r="Y239" s="7">
        <v>3598872</v>
      </c>
      <c r="AA239" s="7">
        <v>1011884</v>
      </c>
      <c r="AC239" s="7">
        <v>13970876</v>
      </c>
      <c r="AE239" s="7">
        <v>7399520</v>
      </c>
      <c r="AG239" s="7">
        <v>557896</v>
      </c>
      <c r="AI239" s="7">
        <v>0</v>
      </c>
      <c r="AK239" s="7">
        <v>33175</v>
      </c>
      <c r="AL239" s="12" t="s">
        <v>311</v>
      </c>
      <c r="AM239" s="12"/>
      <c r="AN239" s="12" t="s">
        <v>27</v>
      </c>
      <c r="AP239" s="7">
        <v>3768776</v>
      </c>
      <c r="AR239" s="7">
        <v>88750</v>
      </c>
      <c r="AT239" s="7">
        <v>0</v>
      </c>
      <c r="AV239" s="7">
        <v>349561</v>
      </c>
      <c r="AX239" s="7">
        <v>7455</v>
      </c>
      <c r="AZ239" s="7">
        <v>0</v>
      </c>
      <c r="BB239" s="7">
        <f t="shared" si="61"/>
        <v>159416583</v>
      </c>
      <c r="BD239" s="7">
        <v>0</v>
      </c>
      <c r="BF239" s="7">
        <v>0</v>
      </c>
      <c r="BH239" s="7">
        <v>0</v>
      </c>
      <c r="BJ239" s="7">
        <v>0</v>
      </c>
      <c r="BL239" s="7">
        <f t="shared" si="62"/>
        <v>159416583</v>
      </c>
      <c r="BN239" s="7">
        <f>+GenRev!AM239-GenExp!BL239</f>
        <v>-4419620</v>
      </c>
      <c r="BP239" s="7">
        <v>40096814</v>
      </c>
      <c r="BR239" s="7">
        <v>0</v>
      </c>
      <c r="BT239" s="7">
        <v>0</v>
      </c>
      <c r="BV239" s="7">
        <f t="shared" si="63"/>
        <v>35677194</v>
      </c>
      <c r="BX239" s="8">
        <f>+BV239-'Gen Fd BS'!AE239+BT239</f>
        <v>0</v>
      </c>
      <c r="CB239" s="7" t="str">
        <f t="shared" si="59"/>
        <v>Hilliard City SD</v>
      </c>
      <c r="CC239" s="7" t="b">
        <f t="shared" si="55"/>
        <v>1</v>
      </c>
      <c r="CE239" s="12" t="str">
        <f>GenRev!A239</f>
        <v>Hilliard City SD</v>
      </c>
      <c r="CF239" s="7" t="b">
        <f t="shared" si="60"/>
        <v>1</v>
      </c>
      <c r="CG239" s="7" t="str">
        <f t="shared" si="56"/>
        <v>Franklin</v>
      </c>
      <c r="CH239" s="7" t="b">
        <f t="shared" si="57"/>
        <v>1</v>
      </c>
      <c r="CI239" s="7" t="b">
        <f>C239=GenRev!C239</f>
        <v>1</v>
      </c>
    </row>
    <row r="240" spans="1:87">
      <c r="A240" s="12" t="s">
        <v>360</v>
      </c>
      <c r="B240" s="12"/>
      <c r="C240" s="12" t="s">
        <v>358</v>
      </c>
      <c r="D240" s="12"/>
      <c r="E240" s="12">
        <v>44123</v>
      </c>
      <c r="G240" s="7">
        <v>10123451</v>
      </c>
      <c r="I240" s="7">
        <v>1492616</v>
      </c>
      <c r="K240" s="7">
        <v>655557</v>
      </c>
      <c r="M240" s="7">
        <v>0</v>
      </c>
      <c r="O240" s="7">
        <v>13052</v>
      </c>
      <c r="Q240" s="7">
        <v>1049962</v>
      </c>
      <c r="S240" s="7">
        <v>1219144</v>
      </c>
      <c r="U240" s="7">
        <v>22445</v>
      </c>
      <c r="W240" s="7">
        <v>1526487</v>
      </c>
      <c r="Y240" s="7">
        <v>554504</v>
      </c>
      <c r="AA240" s="7">
        <v>1375</v>
      </c>
      <c r="AC240" s="7">
        <v>1563926</v>
      </c>
      <c r="AE240" s="7">
        <v>1670315</v>
      </c>
      <c r="AG240" s="7">
        <v>95664</v>
      </c>
      <c r="AI240" s="7">
        <v>3453</v>
      </c>
      <c r="AK240" s="7">
        <v>37728</v>
      </c>
      <c r="AL240" s="12" t="s">
        <v>360</v>
      </c>
      <c r="AM240" s="12"/>
      <c r="AN240" s="12" t="s">
        <v>358</v>
      </c>
      <c r="AP240" s="7">
        <v>392643</v>
      </c>
      <c r="AR240" s="7">
        <v>26329</v>
      </c>
      <c r="AT240" s="7">
        <v>0</v>
      </c>
      <c r="AV240" s="7">
        <v>0</v>
      </c>
      <c r="AX240" s="7">
        <v>0</v>
      </c>
      <c r="AZ240" s="7">
        <v>0</v>
      </c>
      <c r="BB240" s="7">
        <f t="shared" si="61"/>
        <v>20448651</v>
      </c>
      <c r="BD240" s="7">
        <v>406241</v>
      </c>
      <c r="BF240" s="7">
        <v>0</v>
      </c>
      <c r="BH240" s="7">
        <v>0</v>
      </c>
      <c r="BJ240" s="7">
        <v>0</v>
      </c>
      <c r="BL240" s="7">
        <f t="shared" si="62"/>
        <v>20854892</v>
      </c>
      <c r="BN240" s="7">
        <f>+GenRev!AM240-GenExp!BL240</f>
        <v>727462</v>
      </c>
      <c r="BP240" s="7">
        <v>3393559</v>
      </c>
      <c r="BR240" s="7">
        <v>0</v>
      </c>
      <c r="BT240" s="7">
        <v>0</v>
      </c>
      <c r="BV240" s="7">
        <f t="shared" si="63"/>
        <v>4121021</v>
      </c>
      <c r="BX240" s="8">
        <f>+BV240-'Gen Fd BS'!AE240+BT240</f>
        <v>0</v>
      </c>
      <c r="CB240" s="7" t="str">
        <f t="shared" si="59"/>
        <v>Hillsboro City SD</v>
      </c>
      <c r="CC240" s="7" t="b">
        <f t="shared" si="55"/>
        <v>1</v>
      </c>
      <c r="CE240" s="12" t="str">
        <f>GenRev!A240</f>
        <v>Hillsboro City SD</v>
      </c>
      <c r="CF240" s="7" t="b">
        <f t="shared" si="60"/>
        <v>1</v>
      </c>
      <c r="CG240" s="7" t="str">
        <f t="shared" si="56"/>
        <v>Highland</v>
      </c>
      <c r="CH240" s="7" t="b">
        <f t="shared" si="57"/>
        <v>1</v>
      </c>
      <c r="CI240" s="7" t="b">
        <f>C240=GenRev!C240</f>
        <v>1</v>
      </c>
    </row>
    <row r="241" spans="1:87">
      <c r="A241" s="12" t="s">
        <v>205</v>
      </c>
      <c r="B241" s="12"/>
      <c r="C241" s="12" t="s">
        <v>11</v>
      </c>
      <c r="D241" s="12"/>
      <c r="E241" s="12">
        <v>45823</v>
      </c>
      <c r="G241" s="7">
        <v>4535346</v>
      </c>
      <c r="I241" s="7">
        <v>462916</v>
      </c>
      <c r="K241" s="7">
        <v>453952</v>
      </c>
      <c r="M241" s="7">
        <v>0</v>
      </c>
      <c r="O241" s="7">
        <v>0</v>
      </c>
      <c r="Q241" s="7">
        <v>470539</v>
      </c>
      <c r="S241" s="7">
        <v>330158</v>
      </c>
      <c r="U241" s="7">
        <v>34401</v>
      </c>
      <c r="W241" s="7">
        <v>813727</v>
      </c>
      <c r="Y241" s="7">
        <v>326675</v>
      </c>
      <c r="AA241" s="7">
        <v>0</v>
      </c>
      <c r="AC241" s="7">
        <v>648885</v>
      </c>
      <c r="AE241" s="7">
        <v>781459</v>
      </c>
      <c r="AG241" s="7">
        <v>0</v>
      </c>
      <c r="AI241" s="7">
        <v>0</v>
      </c>
      <c r="AK241" s="7">
        <v>1367</v>
      </c>
      <c r="AL241" s="12" t="s">
        <v>205</v>
      </c>
      <c r="AM241" s="12"/>
      <c r="AN241" s="12" t="s">
        <v>11</v>
      </c>
      <c r="AP241" s="7">
        <v>244807</v>
      </c>
      <c r="AR241" s="7">
        <v>2462</v>
      </c>
      <c r="AT241" s="7">
        <v>0</v>
      </c>
      <c r="AV241" s="7">
        <v>0</v>
      </c>
      <c r="AX241" s="7">
        <v>0</v>
      </c>
      <c r="AZ241" s="7">
        <v>0</v>
      </c>
      <c r="BB241" s="7">
        <f t="shared" si="61"/>
        <v>9106694</v>
      </c>
      <c r="BD241" s="7">
        <v>33604</v>
      </c>
      <c r="BF241" s="7">
        <v>0</v>
      </c>
      <c r="BH241" s="7">
        <v>0</v>
      </c>
      <c r="BJ241" s="7">
        <v>0</v>
      </c>
      <c r="BL241" s="7">
        <f t="shared" si="62"/>
        <v>9140298</v>
      </c>
      <c r="BN241" s="7">
        <f>+GenRev!AM241-GenExp!BL241</f>
        <v>-187632</v>
      </c>
      <c r="BP241" s="7">
        <v>1722161</v>
      </c>
      <c r="BR241" s="7">
        <v>0</v>
      </c>
      <c r="BT241" s="7">
        <v>0</v>
      </c>
      <c r="BV241" s="7">
        <f t="shared" si="63"/>
        <v>1534529</v>
      </c>
      <c r="BX241" s="8">
        <f>+BV241-'Gen Fd BS'!AE241+BT241</f>
        <v>0</v>
      </c>
      <c r="CB241" s="7" t="str">
        <f t="shared" si="59"/>
        <v>Hillsdale Local SD</v>
      </c>
      <c r="CC241" s="7" t="b">
        <f t="shared" si="55"/>
        <v>1</v>
      </c>
      <c r="CE241" s="12" t="str">
        <f>GenRev!A241</f>
        <v>Hillsdale Local SD</v>
      </c>
      <c r="CF241" s="7" t="b">
        <f t="shared" si="60"/>
        <v>1</v>
      </c>
      <c r="CG241" s="7" t="str">
        <f t="shared" si="56"/>
        <v>Ashland</v>
      </c>
      <c r="CH241" s="7" t="b">
        <f t="shared" si="57"/>
        <v>1</v>
      </c>
      <c r="CI241" s="7" t="b">
        <f>C241=GenRev!C241</f>
        <v>1</v>
      </c>
    </row>
    <row r="242" spans="1:87">
      <c r="A242" s="12" t="s">
        <v>354</v>
      </c>
      <c r="B242" s="12"/>
      <c r="C242" s="12" t="s">
        <v>34</v>
      </c>
      <c r="D242" s="12"/>
      <c r="E242" s="12">
        <v>47571</v>
      </c>
      <c r="G242" s="7">
        <v>2411078</v>
      </c>
      <c r="I242" s="7">
        <v>411445</v>
      </c>
      <c r="K242" s="7">
        <v>105993</v>
      </c>
      <c r="M242" s="7">
        <v>0</v>
      </c>
      <c r="O242" s="7">
        <v>0</v>
      </c>
      <c r="Q242" s="7">
        <v>291532</v>
      </c>
      <c r="S242" s="7">
        <v>194422</v>
      </c>
      <c r="U242" s="7">
        <v>30296</v>
      </c>
      <c r="W242" s="7">
        <v>493561</v>
      </c>
      <c r="Y242" s="7">
        <v>148762</v>
      </c>
      <c r="AA242" s="7">
        <v>7283</v>
      </c>
      <c r="AC242" s="7">
        <v>245169</v>
      </c>
      <c r="AE242" s="7">
        <v>178709</v>
      </c>
      <c r="AG242" s="7">
        <v>58399</v>
      </c>
      <c r="AI242" s="7">
        <v>0</v>
      </c>
      <c r="AK242" s="7">
        <v>0</v>
      </c>
      <c r="AL242" s="12" t="s">
        <v>354</v>
      </c>
      <c r="AM242" s="12"/>
      <c r="AN242" s="12" t="s">
        <v>34</v>
      </c>
      <c r="AP242" s="7">
        <v>142121</v>
      </c>
      <c r="AR242" s="7">
        <v>101720</v>
      </c>
      <c r="AT242" s="7">
        <v>0</v>
      </c>
      <c r="AV242" s="7">
        <v>0</v>
      </c>
      <c r="AX242" s="7">
        <v>0</v>
      </c>
      <c r="AZ242" s="7">
        <v>0</v>
      </c>
      <c r="BB242" s="7">
        <f t="shared" si="61"/>
        <v>4820490</v>
      </c>
      <c r="BD242" s="7">
        <v>0</v>
      </c>
      <c r="BF242" s="7">
        <v>0</v>
      </c>
      <c r="BH242" s="7">
        <v>0</v>
      </c>
      <c r="BJ242" s="7">
        <v>0</v>
      </c>
      <c r="BL242" s="7">
        <f t="shared" si="62"/>
        <v>4820490</v>
      </c>
      <c r="BN242" s="7">
        <f>+GenRev!AM242-GenExp!BL242</f>
        <v>-333303</v>
      </c>
      <c r="BP242" s="7">
        <v>2235621</v>
      </c>
      <c r="BR242" s="7">
        <v>0</v>
      </c>
      <c r="BT242" s="7">
        <v>0</v>
      </c>
      <c r="BV242" s="7">
        <f t="shared" si="63"/>
        <v>1902318</v>
      </c>
      <c r="BX242" s="8">
        <f>+BV242-'Gen Fd BS'!AE242+BT242</f>
        <v>0</v>
      </c>
      <c r="CB242" s="7" t="str">
        <f t="shared" si="59"/>
        <v>Holgate Local SD</v>
      </c>
      <c r="CC242" s="7" t="b">
        <f t="shared" si="55"/>
        <v>1</v>
      </c>
      <c r="CE242" s="12" t="str">
        <f>GenRev!A242</f>
        <v>Holgate Local SD</v>
      </c>
      <c r="CF242" s="7" t="b">
        <f t="shared" si="60"/>
        <v>1</v>
      </c>
      <c r="CG242" s="7" t="str">
        <f t="shared" si="56"/>
        <v>Henry</v>
      </c>
      <c r="CH242" s="7" t="b">
        <f t="shared" si="57"/>
        <v>1</v>
      </c>
      <c r="CI242" s="7" t="b">
        <f>C242=GenRev!C242</f>
        <v>1</v>
      </c>
    </row>
    <row r="243" spans="1:87">
      <c r="A243" s="12" t="s">
        <v>538</v>
      </c>
      <c r="B243" s="12"/>
      <c r="C243" s="12" t="s">
        <v>64</v>
      </c>
      <c r="D243" s="12"/>
      <c r="E243" s="12">
        <v>50161</v>
      </c>
      <c r="G243" s="7">
        <v>12643902</v>
      </c>
      <c r="I243" s="7">
        <v>4453300</v>
      </c>
      <c r="K243" s="7">
        <v>644076</v>
      </c>
      <c r="M243" s="7">
        <v>0</v>
      </c>
      <c r="O243" s="7">
        <v>0</v>
      </c>
      <c r="Q243" s="7">
        <v>1673707</v>
      </c>
      <c r="S243" s="7">
        <v>752902</v>
      </c>
      <c r="U243" s="7">
        <v>337319</v>
      </c>
      <c r="W243" s="7">
        <v>2320202</v>
      </c>
      <c r="Y243" s="7">
        <v>695574</v>
      </c>
      <c r="AA243" s="7">
        <v>110463</v>
      </c>
      <c r="AC243" s="7">
        <v>2714322</v>
      </c>
      <c r="AE243" s="7">
        <v>1775858</v>
      </c>
      <c r="AG243" s="7">
        <v>16312</v>
      </c>
      <c r="AI243" s="7">
        <v>0</v>
      </c>
      <c r="AK243" s="7">
        <v>538</v>
      </c>
      <c r="AL243" s="12" t="s">
        <v>538</v>
      </c>
      <c r="AM243" s="12"/>
      <c r="AN243" s="12" t="s">
        <v>64</v>
      </c>
      <c r="AP243" s="7">
        <v>577584</v>
      </c>
      <c r="AR243" s="7">
        <v>0</v>
      </c>
      <c r="AT243" s="7">
        <v>0</v>
      </c>
      <c r="AV243" s="7">
        <v>0</v>
      </c>
      <c r="AX243" s="7">
        <v>0</v>
      </c>
      <c r="AZ243" s="7">
        <v>0</v>
      </c>
      <c r="BB243" s="7">
        <f t="shared" si="61"/>
        <v>28716059</v>
      </c>
      <c r="BD243" s="7">
        <v>118100</v>
      </c>
      <c r="BF243" s="7">
        <v>0</v>
      </c>
      <c r="BH243" s="7">
        <v>0</v>
      </c>
      <c r="BJ243" s="7">
        <v>0</v>
      </c>
      <c r="BL243" s="7">
        <f t="shared" si="62"/>
        <v>28834159</v>
      </c>
      <c r="BN243" s="7">
        <f>+GenRev!AM243-GenExp!BL243</f>
        <v>-55149</v>
      </c>
      <c r="BP243" s="7">
        <v>-2149382</v>
      </c>
      <c r="BR243" s="7">
        <v>0</v>
      </c>
      <c r="BT243" s="7">
        <v>0</v>
      </c>
      <c r="BV243" s="7">
        <f t="shared" si="63"/>
        <v>-2204531</v>
      </c>
      <c r="BX243" s="8">
        <f>+BV243-'Gen Fd BS'!AE243+BT243</f>
        <v>0</v>
      </c>
      <c r="CB243" s="7" t="str">
        <f t="shared" si="59"/>
        <v>Howland Local SD</v>
      </c>
      <c r="CC243" s="7" t="b">
        <f t="shared" si="55"/>
        <v>1</v>
      </c>
      <c r="CE243" s="12" t="str">
        <f>GenRev!A243</f>
        <v>Howland Local SD</v>
      </c>
      <c r="CF243" s="7" t="b">
        <f t="shared" si="60"/>
        <v>1</v>
      </c>
      <c r="CG243" s="7" t="str">
        <f t="shared" si="56"/>
        <v>Trumbull</v>
      </c>
      <c r="CH243" s="7" t="b">
        <f t="shared" si="57"/>
        <v>1</v>
      </c>
      <c r="CI243" s="7" t="b">
        <f>C243=GenRev!C243</f>
        <v>1</v>
      </c>
    </row>
    <row r="244" spans="1:87">
      <c r="A244" s="12" t="s">
        <v>870</v>
      </c>
      <c r="B244" s="12"/>
      <c r="C244" s="12" t="s">
        <v>64</v>
      </c>
      <c r="D244" s="12"/>
      <c r="E244" s="12">
        <v>45427</v>
      </c>
      <c r="G244" s="7">
        <v>8450166</v>
      </c>
      <c r="I244" s="7">
        <v>1353601</v>
      </c>
      <c r="K244" s="7">
        <v>353779</v>
      </c>
      <c r="M244" s="7">
        <v>0</v>
      </c>
      <c r="O244" s="7">
        <v>676352</v>
      </c>
      <c r="Q244" s="7">
        <v>991564</v>
      </c>
      <c r="S244" s="7">
        <v>855111</v>
      </c>
      <c r="U244" s="7">
        <v>14748</v>
      </c>
      <c r="W244" s="7">
        <v>1458278</v>
      </c>
      <c r="Y244" s="7">
        <v>494664</v>
      </c>
      <c r="AA244" s="7">
        <v>27736</v>
      </c>
      <c r="AC244" s="7">
        <v>1954497</v>
      </c>
      <c r="AE244" s="7">
        <v>973126</v>
      </c>
      <c r="AG244" s="7">
        <v>314728</v>
      </c>
      <c r="AI244" s="7">
        <v>0</v>
      </c>
      <c r="AK244" s="7">
        <v>329217</v>
      </c>
      <c r="AL244" s="12" t="s">
        <v>870</v>
      </c>
      <c r="AM244" s="12"/>
      <c r="AN244" s="12" t="s">
        <v>64</v>
      </c>
      <c r="AP244" s="7">
        <v>463105</v>
      </c>
      <c r="AR244" s="7">
        <v>0</v>
      </c>
      <c r="AT244" s="7">
        <v>0</v>
      </c>
      <c r="AV244" s="7">
        <v>0</v>
      </c>
      <c r="AX244" s="7">
        <v>0</v>
      </c>
      <c r="AZ244" s="7">
        <v>0</v>
      </c>
      <c r="BB244" s="7">
        <f t="shared" si="61"/>
        <v>18710672</v>
      </c>
      <c r="BD244" s="7">
        <v>207559</v>
      </c>
      <c r="BF244" s="7">
        <v>0</v>
      </c>
      <c r="BH244" s="7">
        <v>0</v>
      </c>
      <c r="BJ244" s="7">
        <v>0</v>
      </c>
      <c r="BL244" s="7">
        <f t="shared" si="62"/>
        <v>18918231</v>
      </c>
      <c r="BN244" s="7">
        <f>+GenRev!AM244-GenExp!BL244</f>
        <v>-1505305</v>
      </c>
      <c r="BP244" s="7">
        <v>4507667</v>
      </c>
      <c r="BR244" s="7">
        <v>0</v>
      </c>
      <c r="BT244" s="7">
        <v>0</v>
      </c>
      <c r="BV244" s="7">
        <f t="shared" si="63"/>
        <v>3002362</v>
      </c>
      <c r="BX244" s="8">
        <f>+BV244-'Gen Fd BS'!AE244+BT244</f>
        <v>0</v>
      </c>
      <c r="CB244" s="7" t="str">
        <f t="shared" si="59"/>
        <v>Hubbard Exempted Village SD</v>
      </c>
      <c r="CC244" s="7" t="b">
        <f t="shared" si="55"/>
        <v>1</v>
      </c>
      <c r="CE244" s="12" t="str">
        <f>GenRev!A244</f>
        <v>Hubbard Exempted Village SD</v>
      </c>
      <c r="CF244" s="7" t="b">
        <f t="shared" si="60"/>
        <v>1</v>
      </c>
      <c r="CG244" s="7" t="str">
        <f t="shared" si="56"/>
        <v>Trumbull</v>
      </c>
      <c r="CH244" s="7" t="b">
        <f t="shared" si="57"/>
        <v>1</v>
      </c>
      <c r="CI244" s="7" t="b">
        <f>C244=GenRev!C244</f>
        <v>1</v>
      </c>
    </row>
    <row r="245" spans="1:87">
      <c r="A245" s="12" t="s">
        <v>443</v>
      </c>
      <c r="B245" s="12"/>
      <c r="C245" s="12" t="s">
        <v>50</v>
      </c>
      <c r="D245" s="12"/>
      <c r="E245" s="12">
        <v>48751</v>
      </c>
      <c r="G245" s="7">
        <v>43268809</v>
      </c>
      <c r="I245" s="7">
        <v>0</v>
      </c>
      <c r="K245" s="7">
        <v>0</v>
      </c>
      <c r="M245" s="7">
        <v>0</v>
      </c>
      <c r="O245" s="7">
        <v>0</v>
      </c>
      <c r="Q245" s="7">
        <v>3178106</v>
      </c>
      <c r="S245" s="7">
        <v>4217101</v>
      </c>
      <c r="U245" s="7">
        <v>36455</v>
      </c>
      <c r="W245" s="7">
        <v>4453918</v>
      </c>
      <c r="Y245" s="7">
        <v>1023596</v>
      </c>
      <c r="AA245" s="7">
        <v>581452</v>
      </c>
      <c r="AC245" s="7">
        <v>3813811</v>
      </c>
      <c r="AE245" s="7">
        <v>2819869</v>
      </c>
      <c r="AG245" s="7">
        <v>497839</v>
      </c>
      <c r="AI245" s="7">
        <v>0</v>
      </c>
      <c r="AK245" s="7">
        <v>133799</v>
      </c>
      <c r="AL245" s="12" t="s">
        <v>443</v>
      </c>
      <c r="AM245" s="12"/>
      <c r="AN245" s="12" t="s">
        <v>50</v>
      </c>
      <c r="AP245" s="7">
        <v>640196</v>
      </c>
      <c r="AR245" s="7">
        <v>0</v>
      </c>
      <c r="AT245" s="7">
        <v>0</v>
      </c>
      <c r="AV245" s="7">
        <v>90365</v>
      </c>
      <c r="AX245" s="7">
        <v>119679</v>
      </c>
      <c r="AZ245" s="7">
        <v>0</v>
      </c>
      <c r="BB245" s="7">
        <f t="shared" si="61"/>
        <v>64874995</v>
      </c>
      <c r="BD245" s="7">
        <v>0</v>
      </c>
      <c r="BF245" s="7">
        <v>0</v>
      </c>
      <c r="BH245" s="7">
        <v>0</v>
      </c>
      <c r="BJ245" s="7">
        <v>0</v>
      </c>
      <c r="BL245" s="7">
        <f t="shared" si="62"/>
        <v>64874995</v>
      </c>
      <c r="BN245" s="7">
        <f>+GenRev!AM245-GenExp!BL245</f>
        <v>-5077255</v>
      </c>
      <c r="BP245" s="7">
        <v>17379053</v>
      </c>
      <c r="BR245" s="7">
        <v>-23567</v>
      </c>
      <c r="BT245" s="7">
        <v>0</v>
      </c>
      <c r="BV245" s="7">
        <f t="shared" si="63"/>
        <v>12325365</v>
      </c>
      <c r="BX245" s="8">
        <f>+BV245-'Gen Fd BS'!AE245+BT245</f>
        <v>0</v>
      </c>
      <c r="CA245" s="7" t="s">
        <v>804</v>
      </c>
      <c r="CB245" s="7" t="str">
        <f t="shared" si="59"/>
        <v>Huber Heights City SD</v>
      </c>
      <c r="CC245" s="7" t="b">
        <f t="shared" si="55"/>
        <v>1</v>
      </c>
      <c r="CE245" s="12" t="str">
        <f>GenRev!A245</f>
        <v>Huber Heights City SD</v>
      </c>
      <c r="CF245" s="7" t="b">
        <f t="shared" si="60"/>
        <v>1</v>
      </c>
      <c r="CG245" s="7" t="str">
        <f t="shared" si="56"/>
        <v>Montgomery</v>
      </c>
      <c r="CH245" s="7" t="b">
        <f t="shared" si="57"/>
        <v>1</v>
      </c>
      <c r="CI245" s="7" t="b">
        <f>C245=GenRev!C245</f>
        <v>1</v>
      </c>
    </row>
    <row r="246" spans="1:87">
      <c r="A246" s="12" t="s">
        <v>525</v>
      </c>
      <c r="B246" s="12"/>
      <c r="C246" s="12" t="s">
        <v>63</v>
      </c>
      <c r="D246" s="12"/>
      <c r="E246" s="12">
        <v>50021</v>
      </c>
      <c r="G246" s="7">
        <v>27780541</v>
      </c>
      <c r="I246" s="7">
        <v>6266532</v>
      </c>
      <c r="K246" s="7">
        <v>395679</v>
      </c>
      <c r="M246" s="7">
        <v>0</v>
      </c>
      <c r="O246" s="7">
        <v>1357132</v>
      </c>
      <c r="Q246" s="7">
        <v>3955549</v>
      </c>
      <c r="S246" s="7">
        <v>4610264</v>
      </c>
      <c r="U246" s="7">
        <v>34423</v>
      </c>
      <c r="W246" s="7">
        <v>3777550</v>
      </c>
      <c r="Y246" s="7">
        <v>1378788</v>
      </c>
      <c r="AA246" s="7">
        <v>573689</v>
      </c>
      <c r="AC246" s="7">
        <v>4703936</v>
      </c>
      <c r="AE246" s="7">
        <v>3174722</v>
      </c>
      <c r="AG246" s="7">
        <v>459868</v>
      </c>
      <c r="AI246" s="7">
        <v>0</v>
      </c>
      <c r="AK246" s="7">
        <v>7271</v>
      </c>
      <c r="AL246" s="12" t="s">
        <v>525</v>
      </c>
      <c r="AM246" s="12"/>
      <c r="AN246" s="12" t="s">
        <v>63</v>
      </c>
      <c r="AP246" s="7">
        <v>958698</v>
      </c>
      <c r="AR246" s="7">
        <v>0</v>
      </c>
      <c r="AT246" s="7">
        <v>0</v>
      </c>
      <c r="AV246" s="7">
        <v>470517</v>
      </c>
      <c r="AX246" s="7">
        <v>146101</v>
      </c>
      <c r="AZ246" s="7">
        <v>0</v>
      </c>
      <c r="BB246" s="7">
        <f t="shared" si="61"/>
        <v>60051260</v>
      </c>
      <c r="BD246" s="7">
        <v>34135</v>
      </c>
      <c r="BF246" s="7">
        <v>0</v>
      </c>
      <c r="BH246" s="7">
        <v>0</v>
      </c>
      <c r="BJ246" s="7">
        <v>0</v>
      </c>
      <c r="BL246" s="7">
        <f t="shared" si="62"/>
        <v>60085395</v>
      </c>
      <c r="BN246" s="7">
        <f>+GenRev!AM246-GenExp!BL246</f>
        <v>-1151175</v>
      </c>
      <c r="BP246" s="7">
        <v>8442865</v>
      </c>
      <c r="BR246" s="7">
        <v>0</v>
      </c>
      <c r="BT246" s="7">
        <v>0</v>
      </c>
      <c r="BV246" s="7">
        <f t="shared" si="63"/>
        <v>7291690</v>
      </c>
      <c r="BX246" s="8">
        <f>+BV246-'Gen Fd BS'!AE246+BT246</f>
        <v>0</v>
      </c>
      <c r="CB246" s="7" t="str">
        <f t="shared" si="59"/>
        <v>Hudson City SD</v>
      </c>
      <c r="CC246" s="7" t="b">
        <f t="shared" si="55"/>
        <v>1</v>
      </c>
      <c r="CE246" s="12" t="str">
        <f>GenRev!A246</f>
        <v>Hudson City SD</v>
      </c>
      <c r="CF246" s="7" t="b">
        <f t="shared" si="60"/>
        <v>1</v>
      </c>
      <c r="CG246" s="7" t="str">
        <f t="shared" si="56"/>
        <v>Summit</v>
      </c>
      <c r="CH246" s="7" t="b">
        <f t="shared" si="57"/>
        <v>1</v>
      </c>
      <c r="CI246" s="7" t="b">
        <f>C246=GenRev!C246</f>
        <v>1</v>
      </c>
    </row>
    <row r="247" spans="1:87">
      <c r="A247" s="12" t="s">
        <v>489</v>
      </c>
      <c r="B247" s="12"/>
      <c r="C247" s="12" t="s">
        <v>58</v>
      </c>
      <c r="D247" s="12"/>
      <c r="E247" s="12">
        <v>49502</v>
      </c>
      <c r="G247" s="7">
        <v>6434288</v>
      </c>
      <c r="I247" s="7">
        <v>539440</v>
      </c>
      <c r="K247" s="7">
        <v>0</v>
      </c>
      <c r="M247" s="7">
        <v>0</v>
      </c>
      <c r="O247" s="7">
        <v>222876</v>
      </c>
      <c r="Q247" s="7">
        <v>326873</v>
      </c>
      <c r="S247" s="7">
        <v>133456</v>
      </c>
      <c r="U247" s="7">
        <v>28682</v>
      </c>
      <c r="W247" s="7">
        <v>279847</v>
      </c>
      <c r="Y247" s="7">
        <v>611897</v>
      </c>
      <c r="AA247" s="7">
        <v>0</v>
      </c>
      <c r="AC247" s="7">
        <v>1117859</v>
      </c>
      <c r="AE247" s="7">
        <v>871314</v>
      </c>
      <c r="AG247" s="7">
        <v>0</v>
      </c>
      <c r="AI247" s="7">
        <v>0</v>
      </c>
      <c r="AK247" s="7">
        <v>0</v>
      </c>
      <c r="AL247" s="12" t="s">
        <v>489</v>
      </c>
      <c r="AM247" s="12"/>
      <c r="AN247" s="12" t="s">
        <v>58</v>
      </c>
      <c r="AP247" s="7">
        <v>181278</v>
      </c>
      <c r="AR247" s="7">
        <v>0</v>
      </c>
      <c r="AT247" s="7">
        <v>0</v>
      </c>
      <c r="AV247" s="7">
        <v>39851</v>
      </c>
      <c r="AX247" s="7">
        <v>10376</v>
      </c>
      <c r="AZ247" s="7">
        <v>0</v>
      </c>
      <c r="BB247" s="8">
        <f t="shared" si="61"/>
        <v>10798037</v>
      </c>
      <c r="BD247" s="7">
        <v>8738</v>
      </c>
      <c r="BF247" s="7">
        <v>0</v>
      </c>
      <c r="BH247" s="7">
        <v>0</v>
      </c>
      <c r="BJ247" s="7">
        <v>0</v>
      </c>
      <c r="BL247" s="7">
        <f t="shared" si="62"/>
        <v>10806775</v>
      </c>
      <c r="BN247" s="7">
        <f>+GenRev!AM247-GenExp!BL247</f>
        <v>-638736</v>
      </c>
      <c r="BP247" s="7">
        <v>4417942</v>
      </c>
      <c r="BR247" s="7">
        <v>0</v>
      </c>
      <c r="BT247" s="7">
        <v>0</v>
      </c>
      <c r="BV247" s="7">
        <f t="shared" si="63"/>
        <v>3779206</v>
      </c>
      <c r="BX247" s="8">
        <f>+BV247-'Gen Fd BS'!AE247+BT247</f>
        <v>0</v>
      </c>
      <c r="CB247" s="7" t="str">
        <f t="shared" si="59"/>
        <v>Huntington Local SD</v>
      </c>
      <c r="CC247" s="7" t="b">
        <f t="shared" si="55"/>
        <v>1</v>
      </c>
      <c r="CE247" s="12" t="str">
        <f>GenRev!A247</f>
        <v>Huntington Local SD</v>
      </c>
      <c r="CF247" s="7" t="b">
        <f t="shared" si="60"/>
        <v>1</v>
      </c>
      <c r="CG247" s="7" t="str">
        <f t="shared" si="56"/>
        <v>Ross</v>
      </c>
      <c r="CH247" s="7" t="b">
        <f t="shared" si="57"/>
        <v>1</v>
      </c>
      <c r="CI247" s="7" t="b">
        <f>C247=GenRev!C247</f>
        <v>1</v>
      </c>
    </row>
    <row r="248" spans="1:87">
      <c r="A248" s="12" t="s">
        <v>292</v>
      </c>
      <c r="B248" s="12"/>
      <c r="C248" s="12" t="s">
        <v>24</v>
      </c>
      <c r="D248" s="12"/>
      <c r="E248" s="12">
        <v>44131</v>
      </c>
      <c r="G248" s="7">
        <v>7065465</v>
      </c>
      <c r="I248" s="7">
        <v>1830936</v>
      </c>
      <c r="K248" s="7">
        <v>0</v>
      </c>
      <c r="M248" s="7">
        <v>0</v>
      </c>
      <c r="O248" s="7">
        <v>26036</v>
      </c>
      <c r="Q248" s="7">
        <v>460803</v>
      </c>
      <c r="S248" s="7">
        <v>451910</v>
      </c>
      <c r="U248" s="7">
        <v>40410</v>
      </c>
      <c r="W248" s="7">
        <v>1473367</v>
      </c>
      <c r="Y248" s="7">
        <v>489178</v>
      </c>
      <c r="AA248" s="7">
        <v>0</v>
      </c>
      <c r="AC248" s="7">
        <v>1326254</v>
      </c>
      <c r="AE248" s="7">
        <v>798975</v>
      </c>
      <c r="AG248" s="7">
        <v>3306</v>
      </c>
      <c r="AI248" s="7">
        <v>0</v>
      </c>
      <c r="AK248" s="7">
        <v>122279</v>
      </c>
      <c r="AL248" s="12" t="s">
        <v>292</v>
      </c>
      <c r="AM248" s="12"/>
      <c r="AN248" s="12" t="s">
        <v>24</v>
      </c>
      <c r="AP248" s="7">
        <v>422967</v>
      </c>
      <c r="AR248" s="7">
        <v>0</v>
      </c>
      <c r="AT248" s="7">
        <v>0</v>
      </c>
      <c r="AV248" s="7">
        <v>210791</v>
      </c>
      <c r="AX248" s="7">
        <v>86943</v>
      </c>
      <c r="AZ248" s="7">
        <v>0</v>
      </c>
      <c r="BB248" s="7">
        <f t="shared" si="61"/>
        <v>14809620</v>
      </c>
      <c r="BD248" s="7">
        <v>36184</v>
      </c>
      <c r="BF248" s="7">
        <v>0</v>
      </c>
      <c r="BH248" s="7">
        <v>0</v>
      </c>
      <c r="BJ248" s="7">
        <v>0</v>
      </c>
      <c r="BL248" s="7">
        <f t="shared" si="62"/>
        <v>14845804</v>
      </c>
      <c r="BN248" s="7">
        <f>+GenRev!AM248-GenExp!BL248</f>
        <v>694559</v>
      </c>
      <c r="BP248" s="7">
        <v>7042298</v>
      </c>
      <c r="BR248" s="7">
        <v>0</v>
      </c>
      <c r="BT248" s="7">
        <v>0</v>
      </c>
      <c r="BV248" s="7">
        <f t="shared" si="63"/>
        <v>7736857</v>
      </c>
      <c r="BX248" s="8">
        <f>+BV248-'Gen Fd BS'!AE248+BT248</f>
        <v>0</v>
      </c>
      <c r="CB248" s="7" t="str">
        <f t="shared" si="59"/>
        <v>Huron City SD</v>
      </c>
      <c r="CC248" s="7" t="b">
        <f t="shared" si="55"/>
        <v>1</v>
      </c>
      <c r="CE248" s="12" t="str">
        <f>GenRev!A248</f>
        <v>Huron City SD</v>
      </c>
      <c r="CF248" s="7" t="b">
        <f t="shared" si="60"/>
        <v>1</v>
      </c>
      <c r="CG248" s="7" t="str">
        <f t="shared" si="56"/>
        <v>Erie</v>
      </c>
      <c r="CH248" s="7" t="b">
        <f t="shared" si="57"/>
        <v>1</v>
      </c>
      <c r="CI248" s="7" t="b">
        <f>C248=GenRev!C248</f>
        <v>1</v>
      </c>
    </row>
    <row r="249" spans="1:87">
      <c r="A249" s="12" t="s">
        <v>275</v>
      </c>
      <c r="B249" s="12"/>
      <c r="C249" s="12" t="s">
        <v>20</v>
      </c>
      <c r="D249" s="12"/>
      <c r="E249" s="12">
        <v>46565</v>
      </c>
      <c r="G249" s="7">
        <v>7275621</v>
      </c>
      <c r="I249" s="7">
        <v>388049</v>
      </c>
      <c r="K249" s="7">
        <v>0</v>
      </c>
      <c r="M249" s="7">
        <v>0</v>
      </c>
      <c r="O249" s="7">
        <f>185530+27008</f>
        <v>212538</v>
      </c>
      <c r="Q249" s="7">
        <v>891805</v>
      </c>
      <c r="S249" s="7">
        <v>1861809</v>
      </c>
      <c r="U249" s="7">
        <v>212736</v>
      </c>
      <c r="W249" s="7">
        <v>1121360</v>
      </c>
      <c r="Y249" s="7">
        <v>567201</v>
      </c>
      <c r="AA249" s="7">
        <v>251530</v>
      </c>
      <c r="AC249" s="7">
        <v>1678551</v>
      </c>
      <c r="AE249" s="7">
        <v>867650</v>
      </c>
      <c r="AG249" s="7">
        <v>0</v>
      </c>
      <c r="AI249" s="7">
        <v>200</v>
      </c>
      <c r="AK249" s="7">
        <v>0</v>
      </c>
      <c r="AL249" s="12" t="s">
        <v>275</v>
      </c>
      <c r="AM249" s="12"/>
      <c r="AN249" s="12" t="s">
        <v>20</v>
      </c>
      <c r="AP249" s="7">
        <v>481589</v>
      </c>
      <c r="AR249" s="7">
        <v>0</v>
      </c>
      <c r="AT249" s="7">
        <v>0</v>
      </c>
      <c r="AV249" s="7">
        <v>0</v>
      </c>
      <c r="AX249" s="7">
        <v>0</v>
      </c>
      <c r="AZ249" s="7">
        <v>0</v>
      </c>
      <c r="BB249" s="7">
        <f t="shared" si="61"/>
        <v>15810639</v>
      </c>
      <c r="BD249" s="7">
        <v>67970</v>
      </c>
      <c r="BF249" s="7">
        <v>0</v>
      </c>
      <c r="BH249" s="7">
        <v>0</v>
      </c>
      <c r="BJ249" s="7">
        <v>0</v>
      </c>
      <c r="BL249" s="7">
        <f t="shared" si="62"/>
        <v>15878609</v>
      </c>
      <c r="BN249" s="7">
        <f>+GenRev!AM249-GenExp!BL249</f>
        <v>524919</v>
      </c>
      <c r="BP249" s="7">
        <v>1539054</v>
      </c>
      <c r="BR249" s="7">
        <v>0</v>
      </c>
      <c r="BT249" s="7">
        <v>0</v>
      </c>
      <c r="BV249" s="7">
        <f t="shared" si="63"/>
        <v>2063973</v>
      </c>
      <c r="BX249" s="8">
        <f>+BV249-'Gen Fd BS'!AE249+BT249</f>
        <v>0</v>
      </c>
      <c r="CB249" s="7" t="str">
        <f t="shared" si="59"/>
        <v>Independence Local SD</v>
      </c>
      <c r="CC249" s="7" t="b">
        <f t="shared" si="55"/>
        <v>1</v>
      </c>
      <c r="CE249" s="12" t="str">
        <f>GenRev!A249</f>
        <v>Independence Local SD</v>
      </c>
      <c r="CF249" s="7" t="b">
        <f t="shared" si="60"/>
        <v>1</v>
      </c>
      <c r="CG249" s="7" t="str">
        <f t="shared" si="56"/>
        <v>Cuyahoga</v>
      </c>
      <c r="CH249" s="7" t="b">
        <f t="shared" si="57"/>
        <v>1</v>
      </c>
      <c r="CI249" s="7" t="b">
        <f>C249=GenRev!C249</f>
        <v>1</v>
      </c>
    </row>
    <row r="250" spans="1:87">
      <c r="A250" s="12" t="s">
        <v>373</v>
      </c>
      <c r="B250" s="12"/>
      <c r="C250" s="12" t="s">
        <v>39</v>
      </c>
      <c r="D250" s="12"/>
      <c r="E250" s="12">
        <v>47803</v>
      </c>
      <c r="G250" s="7">
        <v>9612797</v>
      </c>
      <c r="I250" s="7">
        <v>1795874</v>
      </c>
      <c r="K250" s="7">
        <v>197711</v>
      </c>
      <c r="M250" s="7">
        <v>1249</v>
      </c>
      <c r="O250" s="7">
        <v>156948</v>
      </c>
      <c r="Q250" s="7">
        <v>700483</v>
      </c>
      <c r="S250" s="7">
        <v>479951</v>
      </c>
      <c r="U250" s="7">
        <v>16295</v>
      </c>
      <c r="W250" s="7">
        <v>1573322</v>
      </c>
      <c r="Y250" s="7">
        <v>430741</v>
      </c>
      <c r="AA250" s="7">
        <v>0</v>
      </c>
      <c r="AC250" s="7">
        <v>1786326</v>
      </c>
      <c r="AE250" s="7">
        <v>996456</v>
      </c>
      <c r="AG250" s="7">
        <v>46171</v>
      </c>
      <c r="AI250" s="7">
        <v>0</v>
      </c>
      <c r="AK250" s="7">
        <v>2964</v>
      </c>
      <c r="AL250" s="12" t="s">
        <v>373</v>
      </c>
      <c r="AM250" s="12"/>
      <c r="AN250" s="12" t="s">
        <v>39</v>
      </c>
      <c r="AP250" s="7">
        <v>230588</v>
      </c>
      <c r="AR250" s="7">
        <v>0</v>
      </c>
      <c r="AT250" s="7">
        <v>0</v>
      </c>
      <c r="AV250" s="7">
        <v>71428</v>
      </c>
      <c r="AX250" s="7">
        <v>8778</v>
      </c>
      <c r="AZ250" s="7">
        <v>0</v>
      </c>
      <c r="BB250" s="7">
        <f t="shared" si="61"/>
        <v>18108082</v>
      </c>
      <c r="BD250" s="7">
        <v>71850</v>
      </c>
      <c r="BF250" s="7">
        <v>0</v>
      </c>
      <c r="BH250" s="7">
        <v>0</v>
      </c>
      <c r="BJ250" s="7">
        <v>0</v>
      </c>
      <c r="BL250" s="7">
        <f t="shared" si="62"/>
        <v>18179932</v>
      </c>
      <c r="BN250" s="7">
        <f>+GenRev!AM250-GenExp!BL250</f>
        <v>-32778</v>
      </c>
      <c r="BP250" s="7">
        <v>-1448786</v>
      </c>
      <c r="BR250" s="7">
        <v>0</v>
      </c>
      <c r="BT250" s="7">
        <v>0</v>
      </c>
      <c r="BV250" s="7">
        <f t="shared" si="63"/>
        <v>-1481564</v>
      </c>
      <c r="BX250" s="8">
        <f>+BV250-'Gen Fd BS'!AE250+BT250</f>
        <v>0</v>
      </c>
      <c r="CB250" s="7" t="str">
        <f t="shared" si="59"/>
        <v>Indian Creek Local SD</v>
      </c>
      <c r="CC250" s="7" t="b">
        <f t="shared" si="55"/>
        <v>1</v>
      </c>
      <c r="CE250" s="12" t="str">
        <f>GenRev!A250</f>
        <v>Indian Creek Local SD</v>
      </c>
      <c r="CF250" s="7" t="b">
        <f t="shared" si="60"/>
        <v>1</v>
      </c>
      <c r="CG250" s="7" t="str">
        <f t="shared" si="56"/>
        <v>Jefferson</v>
      </c>
      <c r="CH250" s="7" t="b">
        <f t="shared" si="57"/>
        <v>1</v>
      </c>
      <c r="CI250" s="7" t="b">
        <f>C250=GenRev!C250</f>
        <v>1</v>
      </c>
    </row>
    <row r="251" spans="1:87">
      <c r="A251" s="12" t="s">
        <v>871</v>
      </c>
      <c r="B251" s="12"/>
      <c r="C251" s="12" t="s">
        <v>32</v>
      </c>
      <c r="D251" s="12"/>
      <c r="E251" s="12">
        <v>45435</v>
      </c>
      <c r="G251" s="7">
        <v>14030748</v>
      </c>
      <c r="I251" s="7">
        <v>2276116</v>
      </c>
      <c r="K251" s="7">
        <v>0</v>
      </c>
      <c r="M251" s="7">
        <v>0</v>
      </c>
      <c r="O251" s="7">
        <v>370303</v>
      </c>
      <c r="Q251" s="7">
        <v>2316732</v>
      </c>
      <c r="S251" s="7">
        <v>2122817</v>
      </c>
      <c r="U251" s="7">
        <v>21224</v>
      </c>
      <c r="W251" s="7">
        <v>2396214</v>
      </c>
      <c r="Y251" s="7">
        <v>723691</v>
      </c>
      <c r="AA251" s="7">
        <v>106709</v>
      </c>
      <c r="AC251" s="7">
        <v>3217439</v>
      </c>
      <c r="AE251" s="7">
        <v>1736289</v>
      </c>
      <c r="AG251" s="7">
        <v>52368</v>
      </c>
      <c r="AI251" s="7">
        <v>0</v>
      </c>
      <c r="AK251" s="7">
        <v>35168</v>
      </c>
      <c r="AL251" s="12" t="s">
        <v>871</v>
      </c>
      <c r="AM251" s="12"/>
      <c r="AN251" s="12" t="s">
        <v>32</v>
      </c>
      <c r="AP251" s="7">
        <v>692448</v>
      </c>
      <c r="AR251" s="7">
        <v>591000</v>
      </c>
      <c r="AT251" s="7">
        <v>0</v>
      </c>
      <c r="AV251" s="7">
        <v>200000</v>
      </c>
      <c r="AX251" s="7">
        <v>29732</v>
      </c>
      <c r="AZ251" s="7">
        <v>0</v>
      </c>
      <c r="BB251" s="7">
        <f t="shared" si="61"/>
        <v>30918998</v>
      </c>
      <c r="BD251" s="7">
        <v>0</v>
      </c>
      <c r="BF251" s="7">
        <v>0</v>
      </c>
      <c r="BH251" s="7">
        <v>0</v>
      </c>
      <c r="BJ251" s="7">
        <v>0</v>
      </c>
      <c r="BL251" s="7">
        <f t="shared" si="62"/>
        <v>30918998</v>
      </c>
      <c r="BN251" s="7">
        <f>+GenRev!AM251-GenExp!BL251</f>
        <v>2516692</v>
      </c>
      <c r="BP251" s="7">
        <v>31942675</v>
      </c>
      <c r="BR251" s="7">
        <v>0</v>
      </c>
      <c r="BT251" s="7">
        <v>0</v>
      </c>
      <c r="BV251" s="7">
        <f t="shared" si="63"/>
        <v>34459367</v>
      </c>
      <c r="BX251" s="8">
        <f>+BV251-'Gen Fd BS'!AE251+BT251</f>
        <v>0</v>
      </c>
      <c r="CB251" s="7" t="str">
        <f t="shared" si="59"/>
        <v>Indian Hill Exempted Village SD</v>
      </c>
      <c r="CC251" s="7" t="b">
        <f t="shared" si="55"/>
        <v>1</v>
      </c>
      <c r="CE251" s="12" t="str">
        <f>GenRev!A251</f>
        <v>Indian Hill Exempted Village SD</v>
      </c>
      <c r="CF251" s="7" t="b">
        <f t="shared" si="60"/>
        <v>1</v>
      </c>
      <c r="CG251" s="7" t="str">
        <f t="shared" si="56"/>
        <v>Hamilton</v>
      </c>
      <c r="CH251" s="7" t="b">
        <f t="shared" si="57"/>
        <v>1</v>
      </c>
      <c r="CI251" s="7" t="b">
        <f>C251=GenRev!C251</f>
        <v>1</v>
      </c>
    </row>
    <row r="252" spans="1:87" hidden="1">
      <c r="A252" s="12" t="s">
        <v>909</v>
      </c>
      <c r="B252" s="12"/>
      <c r="C252" s="12" t="s">
        <v>43</v>
      </c>
      <c r="D252" s="12"/>
      <c r="E252" s="12"/>
      <c r="AL252" s="12" t="s">
        <v>909</v>
      </c>
      <c r="AM252" s="12"/>
      <c r="AN252" s="12" t="s">
        <v>43</v>
      </c>
      <c r="AT252" s="7">
        <v>0</v>
      </c>
      <c r="AZ252" s="7">
        <v>0</v>
      </c>
      <c r="BB252" s="7">
        <f t="shared" si="61"/>
        <v>0</v>
      </c>
      <c r="BF252" s="7">
        <v>0</v>
      </c>
      <c r="BH252" s="7">
        <v>0</v>
      </c>
      <c r="BJ252" s="7">
        <v>0</v>
      </c>
      <c r="BL252" s="7">
        <f t="shared" si="62"/>
        <v>0</v>
      </c>
      <c r="BN252" s="7">
        <f>+GenRev!AM252-GenExp!BL252</f>
        <v>0</v>
      </c>
      <c r="BT252" s="7">
        <v>0</v>
      </c>
      <c r="BV252" s="7">
        <f t="shared" si="63"/>
        <v>0</v>
      </c>
      <c r="BX252" s="8">
        <f>+BV252-'Gen Fd BS'!AE252+BT252</f>
        <v>0</v>
      </c>
      <c r="CA252" s="7" t="s">
        <v>904</v>
      </c>
      <c r="CB252" s="7" t="str">
        <f t="shared" si="59"/>
        <v>Indian Lake Local SD (CASH)</v>
      </c>
      <c r="CC252" s="7" t="b">
        <f t="shared" si="55"/>
        <v>1</v>
      </c>
      <c r="CE252" s="12" t="str">
        <f>GenRev!A252</f>
        <v>Indian Lake Local SD (CASH)</v>
      </c>
      <c r="CF252" s="7" t="b">
        <f t="shared" si="60"/>
        <v>1</v>
      </c>
      <c r="CG252" s="7" t="str">
        <f t="shared" si="56"/>
        <v>Logan</v>
      </c>
      <c r="CH252" s="7" t="b">
        <f t="shared" si="57"/>
        <v>1</v>
      </c>
      <c r="CI252" s="7" t="b">
        <f>C252=GenRev!C252</f>
        <v>1</v>
      </c>
    </row>
    <row r="253" spans="1:87">
      <c r="A253" s="12" t="s">
        <v>552</v>
      </c>
      <c r="B253" s="12"/>
      <c r="C253" s="12" t="s">
        <v>65</v>
      </c>
      <c r="D253" s="12"/>
      <c r="E253" s="12">
        <v>50286</v>
      </c>
      <c r="G253" s="7">
        <v>5540345</v>
      </c>
      <c r="I253" s="7">
        <v>764145</v>
      </c>
      <c r="K253" s="7">
        <v>192308</v>
      </c>
      <c r="M253" s="7">
        <v>0</v>
      </c>
      <c r="O253" s="7">
        <v>1764741</v>
      </c>
      <c r="Q253" s="7">
        <v>508120</v>
      </c>
      <c r="S253" s="7">
        <v>443388</v>
      </c>
      <c r="U253" s="7">
        <v>59774</v>
      </c>
      <c r="W253" s="7">
        <v>1090975</v>
      </c>
      <c r="Y253" s="7">
        <v>374936</v>
      </c>
      <c r="AA253" s="7">
        <v>117145</v>
      </c>
      <c r="AC253" s="7">
        <v>1486564</v>
      </c>
      <c r="AE253" s="7">
        <v>1096794</v>
      </c>
      <c r="AG253" s="7">
        <v>4411</v>
      </c>
      <c r="AI253" s="7">
        <v>0</v>
      </c>
      <c r="AK253" s="7">
        <v>0</v>
      </c>
      <c r="AL253" s="12" t="s">
        <v>552</v>
      </c>
      <c r="AM253" s="12"/>
      <c r="AN253" s="12" t="s">
        <v>65</v>
      </c>
      <c r="AP253" s="7">
        <v>376542</v>
      </c>
      <c r="AR253" s="7">
        <v>114800</v>
      </c>
      <c r="AT253" s="7">
        <v>0</v>
      </c>
      <c r="AV253" s="7">
        <v>93007</v>
      </c>
      <c r="AX253" s="7">
        <v>6355</v>
      </c>
      <c r="AZ253" s="7">
        <v>0</v>
      </c>
      <c r="BB253" s="7">
        <f t="shared" si="61"/>
        <v>14034350</v>
      </c>
      <c r="BD253" s="7">
        <v>0</v>
      </c>
      <c r="BF253" s="7">
        <v>0</v>
      </c>
      <c r="BH253" s="7">
        <v>0</v>
      </c>
      <c r="BJ253" s="7">
        <v>0</v>
      </c>
      <c r="BL253" s="7">
        <f t="shared" si="62"/>
        <v>14034350</v>
      </c>
      <c r="BN253" s="7">
        <f>+GenRev!AM253-GenExp!BL253</f>
        <v>666554</v>
      </c>
      <c r="BP253" s="7">
        <v>1188895</v>
      </c>
      <c r="BR253" s="7">
        <v>0</v>
      </c>
      <c r="BT253" s="7">
        <v>0</v>
      </c>
      <c r="BV253" s="7">
        <f t="shared" si="63"/>
        <v>1855449</v>
      </c>
      <c r="BX253" s="8">
        <f>+BV253-'Gen Fd BS'!AE253+BT253</f>
        <v>0</v>
      </c>
      <c r="CA253" s="14"/>
      <c r="CB253" s="7" t="str">
        <f t="shared" si="59"/>
        <v>Indian Valley Local SD</v>
      </c>
      <c r="CC253" s="7" t="b">
        <f t="shared" si="55"/>
        <v>1</v>
      </c>
      <c r="CE253" s="12" t="str">
        <f>GenRev!A253</f>
        <v>Indian Valley Local SD</v>
      </c>
      <c r="CF253" s="7" t="b">
        <f t="shared" si="60"/>
        <v>1</v>
      </c>
      <c r="CG253" s="7" t="str">
        <f t="shared" si="56"/>
        <v>Tuscarawas</v>
      </c>
      <c r="CH253" s="7" t="b">
        <f t="shared" si="57"/>
        <v>1</v>
      </c>
      <c r="CI253" s="7" t="b">
        <f>C253=GenRev!C253</f>
        <v>1</v>
      </c>
    </row>
    <row r="254" spans="1:87">
      <c r="A254" s="12" t="s">
        <v>380</v>
      </c>
      <c r="B254" s="12"/>
      <c r="C254" s="12" t="s">
        <v>377</v>
      </c>
      <c r="D254" s="12"/>
      <c r="E254" s="12">
        <v>44149</v>
      </c>
      <c r="G254" s="7">
        <v>5618125</v>
      </c>
      <c r="I254" s="7">
        <v>1177794</v>
      </c>
      <c r="K254" s="7">
        <v>236776</v>
      </c>
      <c r="M254" s="7">
        <v>0</v>
      </c>
      <c r="O254" s="7">
        <v>100485</v>
      </c>
      <c r="Q254" s="7">
        <v>470643</v>
      </c>
      <c r="S254" s="7">
        <v>287526</v>
      </c>
      <c r="U254" s="7">
        <v>234185</v>
      </c>
      <c r="W254" s="7">
        <v>788763</v>
      </c>
      <c r="Y254" s="7">
        <v>468610</v>
      </c>
      <c r="AA254" s="7">
        <v>0</v>
      </c>
      <c r="AC254" s="7">
        <v>1277842</v>
      </c>
      <c r="AE254" s="7">
        <v>519629</v>
      </c>
      <c r="AG254" s="7">
        <v>55938</v>
      </c>
      <c r="AI254" s="7">
        <v>0</v>
      </c>
      <c r="AK254" s="7">
        <v>0</v>
      </c>
      <c r="AL254" s="12" t="s">
        <v>380</v>
      </c>
      <c r="AM254" s="12"/>
      <c r="AN254" s="12" t="s">
        <v>377</v>
      </c>
      <c r="AP254" s="7">
        <v>354405</v>
      </c>
      <c r="AR254" s="7">
        <v>170407</v>
      </c>
      <c r="AT254" s="7">
        <v>0</v>
      </c>
      <c r="AV254" s="7">
        <v>0</v>
      </c>
      <c r="AX254" s="7">
        <v>0</v>
      </c>
      <c r="AZ254" s="7">
        <v>0</v>
      </c>
      <c r="BB254" s="7">
        <f t="shared" si="61"/>
        <v>11761128</v>
      </c>
      <c r="BD254" s="7">
        <v>75035</v>
      </c>
      <c r="BF254" s="7">
        <v>0</v>
      </c>
      <c r="BH254" s="7">
        <v>0</v>
      </c>
      <c r="BJ254" s="7">
        <v>0</v>
      </c>
      <c r="BL254" s="7">
        <f t="shared" si="62"/>
        <v>11836163</v>
      </c>
      <c r="BN254" s="7">
        <f>+GenRev!AM254-GenExp!BL254</f>
        <v>-265959</v>
      </c>
      <c r="BP254" s="7">
        <v>1424433</v>
      </c>
      <c r="BR254" s="7">
        <v>0</v>
      </c>
      <c r="BT254" s="7">
        <v>0</v>
      </c>
      <c r="BV254" s="7">
        <f t="shared" si="63"/>
        <v>1158474</v>
      </c>
      <c r="BX254" s="8">
        <f>+BV254-'Gen Fd BS'!AE254+BT254</f>
        <v>0</v>
      </c>
      <c r="CB254" s="7" t="str">
        <f t="shared" si="59"/>
        <v>Ironton City SD</v>
      </c>
      <c r="CC254" s="7" t="b">
        <f t="shared" si="55"/>
        <v>1</v>
      </c>
      <c r="CE254" s="12" t="str">
        <f>GenRev!A254</f>
        <v>Ironton City SD</v>
      </c>
      <c r="CF254" s="7" t="b">
        <f t="shared" si="60"/>
        <v>1</v>
      </c>
      <c r="CG254" s="7" t="str">
        <f t="shared" si="56"/>
        <v>Lawrence</v>
      </c>
      <c r="CH254" s="7" t="b">
        <f t="shared" si="57"/>
        <v>1</v>
      </c>
      <c r="CI254" s="7" t="b">
        <f>C254=GenRev!C254</f>
        <v>1</v>
      </c>
    </row>
    <row r="255" spans="1:87" hidden="1">
      <c r="A255" s="12" t="s">
        <v>700</v>
      </c>
      <c r="B255" s="12"/>
      <c r="C255" s="12" t="s">
        <v>61</v>
      </c>
      <c r="D255" s="12"/>
      <c r="E255" s="12">
        <v>49809</v>
      </c>
      <c r="AL255" s="12" t="s">
        <v>700</v>
      </c>
      <c r="AM255" s="12"/>
      <c r="AN255" s="12" t="s">
        <v>61</v>
      </c>
      <c r="AT255" s="7">
        <v>0</v>
      </c>
      <c r="AZ255" s="7">
        <v>0</v>
      </c>
      <c r="BB255" s="7">
        <f t="shared" si="61"/>
        <v>0</v>
      </c>
      <c r="BF255" s="7">
        <v>0</v>
      </c>
      <c r="BH255" s="7">
        <v>0</v>
      </c>
      <c r="BJ255" s="7">
        <v>0</v>
      </c>
      <c r="BL255" s="7">
        <f t="shared" si="62"/>
        <v>0</v>
      </c>
      <c r="BN255" s="7">
        <f>+GenRev!AM255-GenExp!BL255</f>
        <v>0</v>
      </c>
      <c r="BT255" s="7">
        <v>0</v>
      </c>
      <c r="BV255" s="7">
        <f t="shared" si="63"/>
        <v>0</v>
      </c>
      <c r="BX255" s="8">
        <f>+BV255-'Gen Fd BS'!AE255+BT255</f>
        <v>0</v>
      </c>
      <c r="CA255" s="7" t="s">
        <v>904</v>
      </c>
      <c r="CB255" s="7" t="str">
        <f t="shared" si="59"/>
        <v>Jackson Center Local SD (CASH)</v>
      </c>
      <c r="CC255" s="7" t="b">
        <f t="shared" si="55"/>
        <v>1</v>
      </c>
      <c r="CE255" s="12" t="str">
        <f>GenRev!A255</f>
        <v>Jackson Center Local SD (CASH)</v>
      </c>
      <c r="CF255" s="7" t="b">
        <f t="shared" si="60"/>
        <v>1</v>
      </c>
      <c r="CG255" s="7" t="str">
        <f t="shared" si="56"/>
        <v>Shelby</v>
      </c>
      <c r="CH255" s="7" t="b">
        <f t="shared" si="57"/>
        <v>1</v>
      </c>
      <c r="CI255" s="7" t="b">
        <f>C255=GenRev!C255</f>
        <v>1</v>
      </c>
    </row>
    <row r="256" spans="1:87" hidden="1">
      <c r="A256" s="12" t="s">
        <v>715</v>
      </c>
      <c r="B256" s="12"/>
      <c r="C256" s="12" t="s">
        <v>38</v>
      </c>
      <c r="D256" s="12"/>
      <c r="E256" s="12"/>
      <c r="AL256" s="12" t="s">
        <v>715</v>
      </c>
      <c r="AM256" s="12"/>
      <c r="AN256" s="12" t="s">
        <v>38</v>
      </c>
      <c r="AT256" s="7">
        <v>0</v>
      </c>
      <c r="AZ256" s="7">
        <v>0</v>
      </c>
      <c r="BB256" s="7">
        <f t="shared" si="61"/>
        <v>0</v>
      </c>
      <c r="BF256" s="7">
        <v>0</v>
      </c>
      <c r="BH256" s="7">
        <v>0</v>
      </c>
      <c r="BJ256" s="7">
        <v>0</v>
      </c>
      <c r="BL256" s="7">
        <f t="shared" si="62"/>
        <v>0</v>
      </c>
      <c r="BN256" s="7">
        <f>+GenRev!AM256-GenExp!BL256</f>
        <v>0</v>
      </c>
      <c r="BT256" s="7">
        <v>0</v>
      </c>
      <c r="BV256" s="7">
        <f t="shared" si="63"/>
        <v>0</v>
      </c>
      <c r="BX256" s="8">
        <f>+BV256-'Gen Fd BS'!AE256+BT256</f>
        <v>0</v>
      </c>
      <c r="CA256" s="7" t="s">
        <v>904</v>
      </c>
      <c r="CB256" s="7" t="str">
        <f t="shared" si="59"/>
        <v>Jackson City SD (CASH)</v>
      </c>
      <c r="CC256" s="7" t="b">
        <f t="shared" si="55"/>
        <v>1</v>
      </c>
      <c r="CE256" s="12" t="str">
        <f>GenRev!A256</f>
        <v>Jackson City SD (CASH)</v>
      </c>
      <c r="CF256" s="7" t="b">
        <f t="shared" si="60"/>
        <v>1</v>
      </c>
      <c r="CG256" s="7" t="str">
        <f t="shared" si="56"/>
        <v>Jackson</v>
      </c>
      <c r="CH256" s="7" t="b">
        <f t="shared" si="57"/>
        <v>1</v>
      </c>
      <c r="CI256" s="7" t="b">
        <f>C256=GenRev!C256</f>
        <v>1</v>
      </c>
    </row>
    <row r="257" spans="1:87">
      <c r="A257" s="12" t="s">
        <v>512</v>
      </c>
      <c r="B257" s="12"/>
      <c r="C257" s="12" t="s">
        <v>62</v>
      </c>
      <c r="D257" s="12"/>
      <c r="E257" s="12">
        <v>49858</v>
      </c>
      <c r="G257" s="7">
        <v>21944236</v>
      </c>
      <c r="I257" s="7">
        <v>2369142</v>
      </c>
      <c r="K257" s="7">
        <v>913139</v>
      </c>
      <c r="M257" s="7">
        <v>59556</v>
      </c>
      <c r="O257" s="7">
        <v>1485018</v>
      </c>
      <c r="Q257" s="7">
        <v>3465441</v>
      </c>
      <c r="S257" s="7">
        <v>2737338</v>
      </c>
      <c r="U257" s="7">
        <v>18784</v>
      </c>
      <c r="W257" s="7">
        <v>2734817</v>
      </c>
      <c r="Y257" s="7">
        <v>1064606</v>
      </c>
      <c r="AA257" s="7">
        <v>426497</v>
      </c>
      <c r="AC257" s="7">
        <v>4854200</v>
      </c>
      <c r="AE257" s="7">
        <v>2913014</v>
      </c>
      <c r="AG257" s="7">
        <v>1194855</v>
      </c>
      <c r="AI257" s="7">
        <v>0</v>
      </c>
      <c r="AK257" s="7">
        <v>8568</v>
      </c>
      <c r="AL257" s="12" t="s">
        <v>512</v>
      </c>
      <c r="AM257" s="12"/>
      <c r="AN257" s="12" t="s">
        <v>62</v>
      </c>
      <c r="AP257" s="7">
        <v>1302493</v>
      </c>
      <c r="AR257" s="7">
        <v>375451</v>
      </c>
      <c r="AT257" s="7">
        <v>0</v>
      </c>
      <c r="AV257" s="7">
        <v>155557</v>
      </c>
      <c r="AX257" s="7">
        <v>14213</v>
      </c>
      <c r="AZ257" s="7">
        <v>0</v>
      </c>
      <c r="BB257" s="7">
        <f t="shared" si="61"/>
        <v>48036925</v>
      </c>
      <c r="BD257" s="7">
        <v>0</v>
      </c>
      <c r="BF257" s="7">
        <v>0</v>
      </c>
      <c r="BH257" s="7">
        <v>0</v>
      </c>
      <c r="BJ257" s="7">
        <v>0</v>
      </c>
      <c r="BL257" s="7">
        <f t="shared" si="62"/>
        <v>48036925</v>
      </c>
      <c r="BN257" s="7">
        <f>+GenRev!AM257-GenExp!BL257</f>
        <v>7401335</v>
      </c>
      <c r="BP257" s="7">
        <v>6669586</v>
      </c>
      <c r="BR257" s="7">
        <v>-44108</v>
      </c>
      <c r="BT257" s="7">
        <v>0</v>
      </c>
      <c r="BV257" s="7">
        <f t="shared" si="63"/>
        <v>14115029</v>
      </c>
      <c r="BX257" s="8">
        <f>+BV257-'Gen Fd BS'!AE257+BT257</f>
        <v>0</v>
      </c>
      <c r="CB257" s="7" t="str">
        <f t="shared" si="59"/>
        <v>Jackson Local SD</v>
      </c>
      <c r="CC257" s="7" t="b">
        <f t="shared" si="55"/>
        <v>1</v>
      </c>
      <c r="CE257" s="12" t="str">
        <f>GenRev!A257</f>
        <v>Jackson Local SD</v>
      </c>
      <c r="CF257" s="7" t="b">
        <f t="shared" si="60"/>
        <v>1</v>
      </c>
      <c r="CG257" s="7" t="str">
        <f t="shared" si="56"/>
        <v>Stark</v>
      </c>
      <c r="CH257" s="7" t="b">
        <f t="shared" si="57"/>
        <v>1</v>
      </c>
      <c r="CI257" s="7" t="b">
        <f>C257=GenRev!C257</f>
        <v>1</v>
      </c>
    </row>
    <row r="258" spans="1:87">
      <c r="A258" s="12" t="s">
        <v>417</v>
      </c>
      <c r="B258" s="12"/>
      <c r="C258" s="12" t="s">
        <v>45</v>
      </c>
      <c r="D258" s="12"/>
      <c r="E258" s="12">
        <v>48322</v>
      </c>
      <c r="F258" s="10"/>
      <c r="G258" s="7">
        <v>2747274</v>
      </c>
      <c r="I258" s="7">
        <v>1010062</v>
      </c>
      <c r="K258" s="7">
        <v>87577</v>
      </c>
      <c r="M258" s="7">
        <v>0</v>
      </c>
      <c r="O258" s="7">
        <v>0</v>
      </c>
      <c r="Q258" s="7">
        <v>278953</v>
      </c>
      <c r="S258" s="7">
        <v>118593</v>
      </c>
      <c r="U258" s="7">
        <v>97247</v>
      </c>
      <c r="W258" s="7">
        <v>568790</v>
      </c>
      <c r="Y258" s="7">
        <v>364702</v>
      </c>
      <c r="AA258" s="7">
        <v>0</v>
      </c>
      <c r="AC258" s="7">
        <v>691989</v>
      </c>
      <c r="AE258" s="7">
        <v>643880</v>
      </c>
      <c r="AG258" s="7">
        <v>0</v>
      </c>
      <c r="AI258" s="7">
        <v>0</v>
      </c>
      <c r="AK258" s="7">
        <v>1536</v>
      </c>
      <c r="AL258" s="12" t="s">
        <v>417</v>
      </c>
      <c r="AM258" s="12"/>
      <c r="AN258" s="12" t="s">
        <v>45</v>
      </c>
      <c r="AP258" s="7">
        <v>333189</v>
      </c>
      <c r="AR258" s="7">
        <v>0</v>
      </c>
      <c r="AT258" s="7">
        <v>0</v>
      </c>
      <c r="AV258" s="7">
        <v>0</v>
      </c>
      <c r="AX258" s="7">
        <v>0</v>
      </c>
      <c r="AZ258" s="7">
        <v>0</v>
      </c>
      <c r="BB258" s="7">
        <f t="shared" si="61"/>
        <v>6943792</v>
      </c>
      <c r="BD258" s="7">
        <v>129172</v>
      </c>
      <c r="BF258" s="7">
        <v>0</v>
      </c>
      <c r="BH258" s="7">
        <v>0</v>
      </c>
      <c r="BJ258" s="7">
        <v>0</v>
      </c>
      <c r="BL258" s="7">
        <f t="shared" si="62"/>
        <v>7072964</v>
      </c>
      <c r="BN258" s="7">
        <f>+GenRev!AM258-GenExp!BL258</f>
        <v>-34186</v>
      </c>
      <c r="BP258" s="7">
        <v>1876964</v>
      </c>
      <c r="BR258" s="7">
        <v>0</v>
      </c>
      <c r="BT258" s="7">
        <v>0</v>
      </c>
      <c r="BV258" s="7">
        <f t="shared" si="63"/>
        <v>1842778</v>
      </c>
      <c r="BX258" s="8">
        <f>+BV258-'Gen Fd BS'!AE258+BT258</f>
        <v>0</v>
      </c>
      <c r="CB258" s="7" t="str">
        <f t="shared" si="59"/>
        <v>Jackson-Milton Local SD</v>
      </c>
      <c r="CC258" s="7" t="b">
        <f t="shared" si="55"/>
        <v>1</v>
      </c>
      <c r="CE258" s="12" t="str">
        <f>GenRev!A258</f>
        <v>Jackson-Milton Local SD</v>
      </c>
      <c r="CF258" s="7" t="b">
        <f t="shared" si="60"/>
        <v>1</v>
      </c>
      <c r="CG258" s="7" t="str">
        <f t="shared" si="56"/>
        <v>Mahoning</v>
      </c>
      <c r="CH258" s="7" t="b">
        <f t="shared" si="57"/>
        <v>1</v>
      </c>
      <c r="CI258" s="7" t="b">
        <f>C258=GenRev!C258</f>
        <v>1</v>
      </c>
    </row>
    <row r="259" spans="1:87">
      <c r="A259" s="12" t="s">
        <v>475</v>
      </c>
      <c r="B259" s="12"/>
      <c r="C259" s="12" t="s">
        <v>56</v>
      </c>
      <c r="D259" s="12"/>
      <c r="E259" s="12">
        <v>49205</v>
      </c>
      <c r="G259" s="7">
        <v>5695891</v>
      </c>
      <c r="I259" s="7">
        <v>873826</v>
      </c>
      <c r="K259" s="7">
        <v>0</v>
      </c>
      <c r="M259" s="7">
        <v>0</v>
      </c>
      <c r="O259" s="7">
        <v>7367</v>
      </c>
      <c r="Q259" s="7">
        <v>546635</v>
      </c>
      <c r="S259" s="7">
        <v>466444</v>
      </c>
      <c r="U259" s="7">
        <v>34113</v>
      </c>
      <c r="W259" s="7">
        <v>999700</v>
      </c>
      <c r="Y259" s="7">
        <v>304221</v>
      </c>
      <c r="AA259" s="7">
        <v>0</v>
      </c>
      <c r="AC259" s="7">
        <v>1225928</v>
      </c>
      <c r="AE259" s="7">
        <v>886187</v>
      </c>
      <c r="AG259" s="7">
        <v>27502</v>
      </c>
      <c r="AI259" s="7">
        <v>0</v>
      </c>
      <c r="AK259" s="7">
        <v>0</v>
      </c>
      <c r="AL259" s="12" t="s">
        <v>475</v>
      </c>
      <c r="AM259" s="12"/>
      <c r="AN259" s="12" t="s">
        <v>56</v>
      </c>
      <c r="AP259" s="7">
        <v>415811</v>
      </c>
      <c r="AR259" s="7">
        <v>0</v>
      </c>
      <c r="AT259" s="7">
        <v>0</v>
      </c>
      <c r="AV259" s="7">
        <v>31919</v>
      </c>
      <c r="AX259" s="7">
        <v>2005</v>
      </c>
      <c r="AZ259" s="7">
        <v>0</v>
      </c>
      <c r="BB259" s="7">
        <f t="shared" si="61"/>
        <v>11517549</v>
      </c>
      <c r="BD259" s="7">
        <v>0</v>
      </c>
      <c r="BF259" s="7">
        <v>0</v>
      </c>
      <c r="BH259" s="7">
        <v>0</v>
      </c>
      <c r="BJ259" s="7">
        <v>0</v>
      </c>
      <c r="BL259" s="7">
        <f t="shared" si="62"/>
        <v>11517549</v>
      </c>
      <c r="BN259" s="7">
        <f>+GenRev!AM259-GenExp!BL259</f>
        <v>-342835</v>
      </c>
      <c r="BP259" s="7">
        <v>2513200</v>
      </c>
      <c r="BR259" s="7">
        <v>0</v>
      </c>
      <c r="BT259" s="7">
        <v>0</v>
      </c>
      <c r="BV259" s="7">
        <f t="shared" si="63"/>
        <v>2170365</v>
      </c>
      <c r="BX259" s="8">
        <f>+BV259-'Gen Fd BS'!AE259+BT259</f>
        <v>0</v>
      </c>
      <c r="CB259" s="7" t="str">
        <f t="shared" si="59"/>
        <v>James A Garfield Local SD</v>
      </c>
      <c r="CC259" s="7" t="b">
        <f t="shared" si="55"/>
        <v>1</v>
      </c>
      <c r="CE259" s="12" t="str">
        <f>GenRev!A259</f>
        <v>James A Garfield Local SD</v>
      </c>
      <c r="CF259" s="7" t="b">
        <f t="shared" si="60"/>
        <v>1</v>
      </c>
      <c r="CG259" s="7" t="str">
        <f t="shared" si="56"/>
        <v>Portage</v>
      </c>
      <c r="CH259" s="7" t="b">
        <f t="shared" si="57"/>
        <v>1</v>
      </c>
      <c r="CI259" s="7" t="b">
        <f>C259=GenRev!C259</f>
        <v>1</v>
      </c>
    </row>
    <row r="260" spans="1:87">
      <c r="A260" s="12" t="s">
        <v>210</v>
      </c>
      <c r="B260" s="12"/>
      <c r="C260" s="12" t="s">
        <v>12</v>
      </c>
      <c r="D260" s="12"/>
      <c r="E260" s="12">
        <v>45872</v>
      </c>
      <c r="G260" s="7">
        <v>7759534</v>
      </c>
      <c r="I260" s="7">
        <v>1416143</v>
      </c>
      <c r="K260" s="7">
        <v>143838</v>
      </c>
      <c r="M260" s="7">
        <v>0</v>
      </c>
      <c r="O260" s="7">
        <v>0</v>
      </c>
      <c r="Q260" s="7">
        <v>1464409</v>
      </c>
      <c r="S260" s="7">
        <v>131033</v>
      </c>
      <c r="U260" s="7">
        <v>20942</v>
      </c>
      <c r="W260" s="7">
        <v>1152012</v>
      </c>
      <c r="Y260" s="7">
        <v>690689</v>
      </c>
      <c r="AA260" s="7">
        <v>12085</v>
      </c>
      <c r="AC260" s="7">
        <v>1601003</v>
      </c>
      <c r="AE260" s="7">
        <v>1235147</v>
      </c>
      <c r="AG260" s="7">
        <v>99776</v>
      </c>
      <c r="AI260" s="7">
        <v>0</v>
      </c>
      <c r="AK260" s="7">
        <v>112372</v>
      </c>
      <c r="AL260" s="12" t="s">
        <v>210</v>
      </c>
      <c r="AM260" s="12"/>
      <c r="AN260" s="12" t="s">
        <v>12</v>
      </c>
      <c r="AP260" s="7">
        <v>396372</v>
      </c>
      <c r="AR260" s="7">
        <v>0</v>
      </c>
      <c r="AT260" s="7">
        <v>0</v>
      </c>
      <c r="AV260" s="7">
        <v>0</v>
      </c>
      <c r="AX260" s="7">
        <v>0</v>
      </c>
      <c r="AZ260" s="7">
        <v>0</v>
      </c>
      <c r="BB260" s="7">
        <f t="shared" si="61"/>
        <v>16235355</v>
      </c>
      <c r="BD260" s="7">
        <v>162105</v>
      </c>
      <c r="BF260" s="7">
        <v>0</v>
      </c>
      <c r="BH260" s="7">
        <v>0</v>
      </c>
      <c r="BJ260" s="7">
        <v>0</v>
      </c>
      <c r="BL260" s="7">
        <f t="shared" si="62"/>
        <v>16397460</v>
      </c>
      <c r="BN260" s="7">
        <f>+GenRev!AM260-GenExp!BL260</f>
        <v>-388268</v>
      </c>
      <c r="BP260" s="7">
        <v>3460418</v>
      </c>
      <c r="BR260" s="7">
        <v>0</v>
      </c>
      <c r="BT260" s="7">
        <v>0</v>
      </c>
      <c r="BV260" s="7">
        <f t="shared" si="63"/>
        <v>3072150</v>
      </c>
      <c r="BX260" s="8">
        <f>+BV260-'Gen Fd BS'!AE260+BT260</f>
        <v>0</v>
      </c>
      <c r="CB260" s="7" t="str">
        <f t="shared" si="59"/>
        <v>Jefferson Area Local SD</v>
      </c>
      <c r="CC260" s="7" t="b">
        <f t="shared" si="55"/>
        <v>1</v>
      </c>
      <c r="CE260" s="12" t="str">
        <f>GenRev!A260</f>
        <v>Jefferson Area Local SD</v>
      </c>
      <c r="CF260" s="7" t="b">
        <f t="shared" si="60"/>
        <v>1</v>
      </c>
      <c r="CG260" s="7" t="str">
        <f t="shared" si="56"/>
        <v>Ashtabula</v>
      </c>
      <c r="CH260" s="7" t="b">
        <f t="shared" si="57"/>
        <v>1</v>
      </c>
      <c r="CI260" s="7" t="b">
        <f>C260=GenRev!C260</f>
        <v>1</v>
      </c>
    </row>
    <row r="261" spans="1:87">
      <c r="A261" s="12" t="s">
        <v>410</v>
      </c>
      <c r="B261" s="12"/>
      <c r="C261" s="12" t="s">
        <v>411</v>
      </c>
      <c r="D261" s="12"/>
      <c r="E261" s="12">
        <v>48256</v>
      </c>
      <c r="G261" s="7">
        <v>5477204</v>
      </c>
      <c r="I261" s="7">
        <v>1330499</v>
      </c>
      <c r="K261" s="7">
        <v>0</v>
      </c>
      <c r="M261" s="7">
        <v>0</v>
      </c>
      <c r="O261" s="7">
        <v>0</v>
      </c>
      <c r="Q261" s="7">
        <v>316086</v>
      </c>
      <c r="S261" s="7">
        <v>639376</v>
      </c>
      <c r="U261" s="7">
        <v>75889</v>
      </c>
      <c r="W261" s="7">
        <v>793457</v>
      </c>
      <c r="Y261" s="7">
        <v>428336</v>
      </c>
      <c r="AA261" s="7">
        <v>64662</v>
      </c>
      <c r="AC261" s="7">
        <v>1257279</v>
      </c>
      <c r="AE261" s="7">
        <v>637858</v>
      </c>
      <c r="AG261" s="7">
        <v>299894</v>
      </c>
      <c r="AI261" s="7">
        <v>0</v>
      </c>
      <c r="AK261" s="7">
        <v>11966</v>
      </c>
      <c r="AL261" s="12" t="s">
        <v>410</v>
      </c>
      <c r="AM261" s="12"/>
      <c r="AN261" s="12" t="s">
        <v>411</v>
      </c>
      <c r="AP261" s="7">
        <v>437739</v>
      </c>
      <c r="AR261" s="7">
        <v>3058</v>
      </c>
      <c r="AT261" s="7">
        <v>0</v>
      </c>
      <c r="AV261" s="7">
        <v>0</v>
      </c>
      <c r="AX261" s="7">
        <v>0</v>
      </c>
      <c r="AZ261" s="7">
        <v>0</v>
      </c>
      <c r="BB261" s="7">
        <f t="shared" si="61"/>
        <v>11773303</v>
      </c>
      <c r="BD261" s="7">
        <v>301998</v>
      </c>
      <c r="BF261" s="7">
        <v>0</v>
      </c>
      <c r="BH261" s="7">
        <v>0</v>
      </c>
      <c r="BJ261" s="7">
        <v>0</v>
      </c>
      <c r="BL261" s="7">
        <f t="shared" si="62"/>
        <v>12075301</v>
      </c>
      <c r="BN261" s="7">
        <f>+GenRev!AM261-GenExp!BL261</f>
        <v>-1289169</v>
      </c>
      <c r="BP261" s="7">
        <v>7524928</v>
      </c>
      <c r="BR261" s="7">
        <v>0</v>
      </c>
      <c r="BT261" s="7">
        <v>0</v>
      </c>
      <c r="BV261" s="7">
        <f t="shared" si="63"/>
        <v>6235759</v>
      </c>
      <c r="BX261" s="8">
        <f>+BV261-'Gen Fd BS'!AE261+BT261</f>
        <v>0</v>
      </c>
      <c r="CB261" s="7" t="str">
        <f t="shared" si="59"/>
        <v>Jefferson Local SD</v>
      </c>
      <c r="CC261" s="7" t="b">
        <f t="shared" si="55"/>
        <v>1</v>
      </c>
      <c r="CE261" s="12" t="str">
        <f>GenRev!A261</f>
        <v>Jefferson Local SD</v>
      </c>
      <c r="CF261" s="7" t="b">
        <f t="shared" si="60"/>
        <v>1</v>
      </c>
      <c r="CG261" s="7" t="str">
        <f t="shared" si="56"/>
        <v>Madison</v>
      </c>
      <c r="CH261" s="7" t="b">
        <f t="shared" si="57"/>
        <v>1</v>
      </c>
      <c r="CI261" s="7" t="b">
        <f>C261=GenRev!C261</f>
        <v>1</v>
      </c>
    </row>
    <row r="262" spans="1:87">
      <c r="A262" s="12" t="s">
        <v>716</v>
      </c>
      <c r="B262" s="12"/>
      <c r="C262" s="12" t="s">
        <v>50</v>
      </c>
      <c r="D262" s="12"/>
      <c r="E262" s="12">
        <v>48686</v>
      </c>
      <c r="G262" s="7">
        <v>1285318</v>
      </c>
      <c r="I262" s="7">
        <v>1265169</v>
      </c>
      <c r="K262" s="7">
        <v>0</v>
      </c>
      <c r="M262" s="7">
        <v>0</v>
      </c>
      <c r="O262" s="7">
        <v>1728869</v>
      </c>
      <c r="Q262" s="7">
        <v>94062</v>
      </c>
      <c r="S262" s="7">
        <v>264041</v>
      </c>
      <c r="U262" s="7">
        <v>16596</v>
      </c>
      <c r="W262" s="7">
        <v>556704</v>
      </c>
      <c r="Y262" s="7">
        <v>240848</v>
      </c>
      <c r="AA262" s="7">
        <v>586</v>
      </c>
      <c r="AC262" s="7">
        <v>592924</v>
      </c>
      <c r="AE262" s="7">
        <v>345770</v>
      </c>
      <c r="AG262" s="7">
        <v>41312</v>
      </c>
      <c r="AI262" s="7">
        <v>0</v>
      </c>
      <c r="AK262" s="7">
        <v>0</v>
      </c>
      <c r="AL262" s="12" t="s">
        <v>716</v>
      </c>
      <c r="AM262" s="12"/>
      <c r="AN262" s="12" t="s">
        <v>50</v>
      </c>
      <c r="AP262" s="7">
        <v>69362</v>
      </c>
      <c r="AR262" s="7">
        <v>235584</v>
      </c>
      <c r="AT262" s="7">
        <v>0</v>
      </c>
      <c r="AV262" s="7">
        <v>750000</v>
      </c>
      <c r="AX262" s="7">
        <v>0</v>
      </c>
      <c r="AZ262" s="7">
        <v>0</v>
      </c>
      <c r="BB262" s="7">
        <f t="shared" si="61"/>
        <v>7487145</v>
      </c>
      <c r="BD262" s="7">
        <v>11402</v>
      </c>
      <c r="BF262" s="7">
        <v>0</v>
      </c>
      <c r="BH262" s="7">
        <v>0</v>
      </c>
      <c r="BJ262" s="7">
        <v>0</v>
      </c>
      <c r="BL262" s="7">
        <f t="shared" si="62"/>
        <v>7498547</v>
      </c>
      <c r="BN262" s="7">
        <f>+GenRev!AM262-GenExp!BL262</f>
        <v>161256</v>
      </c>
      <c r="BP262" s="7">
        <v>1601257</v>
      </c>
      <c r="BR262" s="7">
        <v>0</v>
      </c>
      <c r="BT262" s="7">
        <v>0</v>
      </c>
      <c r="BV262" s="7">
        <f t="shared" si="63"/>
        <v>1762513</v>
      </c>
      <c r="BX262" s="8">
        <f>+BV262-'Gen Fd BS'!AE262+BT262</f>
        <v>0</v>
      </c>
      <c r="CB262" s="7" t="str">
        <f t="shared" si="59"/>
        <v xml:space="preserve">Jefferson Township Local SD </v>
      </c>
      <c r="CC262" s="7" t="b">
        <f t="shared" si="55"/>
        <v>1</v>
      </c>
      <c r="CE262" s="12" t="str">
        <f>GenRev!A262</f>
        <v xml:space="preserve">Jefferson Township Local SD </v>
      </c>
      <c r="CF262" s="7" t="b">
        <f t="shared" si="60"/>
        <v>1</v>
      </c>
      <c r="CG262" s="7" t="str">
        <f t="shared" si="56"/>
        <v>Montgomery</v>
      </c>
      <c r="CH262" s="7" t="b">
        <f t="shared" si="57"/>
        <v>1</v>
      </c>
      <c r="CI262" s="7" t="b">
        <f>C262=GenRev!C262</f>
        <v>1</v>
      </c>
    </row>
    <row r="263" spans="1:87" hidden="1">
      <c r="A263" s="12" t="s">
        <v>910</v>
      </c>
      <c r="B263" s="12"/>
      <c r="C263" s="12" t="s">
        <v>482</v>
      </c>
      <c r="D263" s="12"/>
      <c r="E263" s="12"/>
      <c r="AL263" s="12" t="s">
        <v>910</v>
      </c>
      <c r="AM263" s="12"/>
      <c r="AN263" s="12" t="s">
        <v>482</v>
      </c>
      <c r="AT263" s="7">
        <v>0</v>
      </c>
      <c r="AZ263" s="7">
        <v>0</v>
      </c>
      <c r="BB263" s="7">
        <f t="shared" si="61"/>
        <v>0</v>
      </c>
      <c r="BF263" s="7">
        <v>0</v>
      </c>
      <c r="BH263" s="7">
        <v>0</v>
      </c>
      <c r="BJ263" s="7">
        <v>0</v>
      </c>
      <c r="BL263" s="7">
        <f t="shared" si="62"/>
        <v>0</v>
      </c>
      <c r="BN263" s="7">
        <f>+GenRev!AM263-GenExp!BL263</f>
        <v>0</v>
      </c>
      <c r="BT263" s="7">
        <v>0</v>
      </c>
      <c r="BV263" s="7">
        <f t="shared" si="63"/>
        <v>0</v>
      </c>
      <c r="BX263" s="8">
        <f>+BV263-'Gen Fd BS'!AE263+BT263</f>
        <v>0</v>
      </c>
      <c r="CA263" s="7" t="s">
        <v>904</v>
      </c>
      <c r="CB263" s="7" t="str">
        <f t="shared" si="59"/>
        <v xml:space="preserve">Jennings Local SD (CASH) </v>
      </c>
      <c r="CC263" s="7" t="b">
        <f t="shared" si="55"/>
        <v>1</v>
      </c>
      <c r="CE263" s="12" t="str">
        <f>GenRev!A263</f>
        <v xml:space="preserve">Jennings Local SD (CASH) </v>
      </c>
      <c r="CF263" s="7" t="b">
        <f t="shared" si="60"/>
        <v>1</v>
      </c>
      <c r="CG263" s="7" t="str">
        <f t="shared" si="56"/>
        <v>Putnam</v>
      </c>
      <c r="CH263" s="7" t="b">
        <f t="shared" si="57"/>
        <v>1</v>
      </c>
      <c r="CI263" s="7" t="b">
        <f>C263=GenRev!C263</f>
        <v>1</v>
      </c>
    </row>
    <row r="264" spans="1:87">
      <c r="A264" s="12" t="s">
        <v>385</v>
      </c>
      <c r="B264" s="12"/>
      <c r="C264" s="12" t="s">
        <v>42</v>
      </c>
      <c r="D264" s="12"/>
      <c r="E264" s="12">
        <v>47985</v>
      </c>
      <c r="G264" s="7">
        <v>5794050</v>
      </c>
      <c r="I264" s="7">
        <v>967134</v>
      </c>
      <c r="K264" s="7">
        <v>152578</v>
      </c>
      <c r="M264" s="7">
        <v>0</v>
      </c>
      <c r="O264" s="7">
        <v>163573</v>
      </c>
      <c r="Q264" s="7">
        <v>372458</v>
      </c>
      <c r="S264" s="7">
        <v>396993</v>
      </c>
      <c r="U264" s="7">
        <v>64483</v>
      </c>
      <c r="W264" s="7">
        <v>983419</v>
      </c>
      <c r="Y264" s="7">
        <v>403185</v>
      </c>
      <c r="AA264" s="7">
        <v>1230</v>
      </c>
      <c r="AC264" s="7">
        <v>1058935</v>
      </c>
      <c r="AE264" s="7">
        <v>758791</v>
      </c>
      <c r="AG264" s="7">
        <v>37701</v>
      </c>
      <c r="AI264" s="7">
        <v>0</v>
      </c>
      <c r="AK264" s="7">
        <v>8445</v>
      </c>
      <c r="AL264" s="12" t="s">
        <v>385</v>
      </c>
      <c r="AM264" s="12"/>
      <c r="AN264" s="12" t="s">
        <v>42</v>
      </c>
      <c r="AP264" s="7">
        <v>280952</v>
      </c>
      <c r="AR264" s="7">
        <v>0</v>
      </c>
      <c r="AT264" s="7">
        <v>0</v>
      </c>
      <c r="AV264" s="7">
        <v>13558</v>
      </c>
      <c r="AX264" s="7">
        <v>3338</v>
      </c>
      <c r="AZ264" s="7">
        <v>0</v>
      </c>
      <c r="BB264" s="7">
        <f t="shared" si="61"/>
        <v>11460823</v>
      </c>
      <c r="BD264" s="7">
        <v>124161</v>
      </c>
      <c r="BF264" s="7">
        <v>0</v>
      </c>
      <c r="BH264" s="7">
        <v>0</v>
      </c>
      <c r="BJ264" s="7">
        <v>0</v>
      </c>
      <c r="BL264" s="7">
        <f t="shared" si="62"/>
        <v>11584984</v>
      </c>
      <c r="BN264" s="7">
        <f>+GenRev!AM264-GenExp!BL264</f>
        <v>2031726</v>
      </c>
      <c r="BP264" s="7">
        <v>7327443</v>
      </c>
      <c r="BR264" s="7">
        <v>0</v>
      </c>
      <c r="BT264" s="7">
        <v>0</v>
      </c>
      <c r="BV264" s="7">
        <f t="shared" si="63"/>
        <v>9359169</v>
      </c>
      <c r="BX264" s="8">
        <f>+BV264-'Gen Fd BS'!AE264+BT264</f>
        <v>0</v>
      </c>
      <c r="CB264" s="7" t="str">
        <f t="shared" si="59"/>
        <v>Johnstown-Monroe Local SD</v>
      </c>
      <c r="CC264" s="7" t="b">
        <f t="shared" si="55"/>
        <v>1</v>
      </c>
      <c r="CE264" s="12" t="str">
        <f>GenRev!A264</f>
        <v>Johnstown-Monroe Local SD</v>
      </c>
      <c r="CF264" s="7" t="b">
        <f t="shared" si="60"/>
        <v>1</v>
      </c>
      <c r="CG264" s="7" t="str">
        <f t="shared" si="56"/>
        <v>Licking</v>
      </c>
      <c r="CH264" s="7" t="b">
        <f t="shared" si="57"/>
        <v>1</v>
      </c>
      <c r="CI264" s="7" t="b">
        <f>C264=GenRev!C264</f>
        <v>1</v>
      </c>
    </row>
    <row r="265" spans="1:87">
      <c r="A265" s="12" t="s">
        <v>412</v>
      </c>
      <c r="B265" s="12"/>
      <c r="C265" s="12" t="s">
        <v>411</v>
      </c>
      <c r="D265" s="12"/>
      <c r="E265" s="12">
        <v>48264</v>
      </c>
      <c r="G265" s="7">
        <v>7714667</v>
      </c>
      <c r="I265" s="7">
        <v>1738928</v>
      </c>
      <c r="K265" s="7">
        <v>160536</v>
      </c>
      <c r="M265" s="7">
        <v>0</v>
      </c>
      <c r="O265" s="7">
        <v>172945</v>
      </c>
      <c r="Q265" s="7">
        <v>1266826</v>
      </c>
      <c r="S265" s="7">
        <v>512897</v>
      </c>
      <c r="U265" s="7">
        <v>44578</v>
      </c>
      <c r="W265" s="7">
        <v>1413644</v>
      </c>
      <c r="Y265" s="7">
        <v>679984</v>
      </c>
      <c r="AA265" s="7">
        <v>12563</v>
      </c>
      <c r="AC265" s="7">
        <v>1044014</v>
      </c>
      <c r="AE265" s="7">
        <v>1025475</v>
      </c>
      <c r="AG265" s="7">
        <v>0</v>
      </c>
      <c r="AI265" s="7">
        <v>0</v>
      </c>
      <c r="AK265" s="7">
        <v>0</v>
      </c>
      <c r="AL265" s="12" t="s">
        <v>412</v>
      </c>
      <c r="AM265" s="12"/>
      <c r="AN265" s="12" t="s">
        <v>411</v>
      </c>
      <c r="AP265" s="7">
        <v>258099</v>
      </c>
      <c r="AR265" s="7">
        <v>0</v>
      </c>
      <c r="AT265" s="7">
        <v>0</v>
      </c>
      <c r="AV265" s="7">
        <v>0</v>
      </c>
      <c r="AX265" s="7">
        <v>0</v>
      </c>
      <c r="AZ265" s="7">
        <v>0</v>
      </c>
      <c r="BB265" s="7">
        <f t="shared" si="61"/>
        <v>16045156</v>
      </c>
      <c r="BD265" s="7">
        <v>606333</v>
      </c>
      <c r="BF265" s="7">
        <v>0</v>
      </c>
      <c r="BH265" s="7">
        <v>0</v>
      </c>
      <c r="BJ265" s="7">
        <v>0</v>
      </c>
      <c r="BL265" s="7">
        <f t="shared" si="62"/>
        <v>16651489</v>
      </c>
      <c r="BN265" s="7">
        <f>+GenRev!AM265-GenExp!BL265</f>
        <v>-645192</v>
      </c>
      <c r="BP265" s="7">
        <v>2208942</v>
      </c>
      <c r="BR265" s="7">
        <v>0</v>
      </c>
      <c r="BT265" s="7">
        <v>0</v>
      </c>
      <c r="BV265" s="7">
        <f t="shared" si="63"/>
        <v>1563750</v>
      </c>
      <c r="BX265" s="8">
        <f>+BV265-'Gen Fd BS'!AE265+BT265</f>
        <v>0</v>
      </c>
      <c r="CB265" s="7" t="str">
        <f t="shared" si="59"/>
        <v>Jonathan Alder Local SD</v>
      </c>
      <c r="CC265" s="7" t="b">
        <f t="shared" si="55"/>
        <v>1</v>
      </c>
      <c r="CE265" s="12" t="str">
        <f>GenRev!A265</f>
        <v>Jonathan Alder Local SD</v>
      </c>
      <c r="CF265" s="7" t="b">
        <f t="shared" si="60"/>
        <v>1</v>
      </c>
      <c r="CG265" s="7" t="str">
        <f t="shared" si="56"/>
        <v>Madison</v>
      </c>
      <c r="CH265" s="7" t="b">
        <f t="shared" si="57"/>
        <v>1</v>
      </c>
      <c r="CI265" s="7" t="b">
        <f>C265=GenRev!C265</f>
        <v>1</v>
      </c>
    </row>
    <row r="266" spans="1:87">
      <c r="A266" s="12" t="s">
        <v>539</v>
      </c>
      <c r="B266" s="12"/>
      <c r="C266" s="12" t="s">
        <v>64</v>
      </c>
      <c r="D266" s="12"/>
      <c r="E266" s="12">
        <v>50179</v>
      </c>
      <c r="G266" s="7">
        <v>3551515</v>
      </c>
      <c r="I266" s="7">
        <v>360033</v>
      </c>
      <c r="K266" s="7">
        <v>71338</v>
      </c>
      <c r="M266" s="7">
        <v>0</v>
      </c>
      <c r="O266" s="7">
        <v>53835</v>
      </c>
      <c r="Q266" s="7">
        <v>364230</v>
      </c>
      <c r="S266" s="7">
        <v>89013</v>
      </c>
      <c r="U266" s="7">
        <v>84813</v>
      </c>
      <c r="W266" s="7">
        <v>670445</v>
      </c>
      <c r="Y266" s="7">
        <v>319865</v>
      </c>
      <c r="AA266" s="7">
        <v>0</v>
      </c>
      <c r="AC266" s="7">
        <v>713014</v>
      </c>
      <c r="AE266" s="7">
        <v>632541</v>
      </c>
      <c r="AG266" s="7">
        <v>115270</v>
      </c>
      <c r="AI266" s="7">
        <v>0</v>
      </c>
      <c r="AK266" s="7">
        <v>443367</v>
      </c>
      <c r="AL266" s="12" t="s">
        <v>539</v>
      </c>
      <c r="AM266" s="12"/>
      <c r="AN266" s="12" t="s">
        <v>64</v>
      </c>
      <c r="AP266" s="7">
        <v>190537</v>
      </c>
      <c r="AR266" s="7">
        <v>700</v>
      </c>
      <c r="AT266" s="7">
        <v>0</v>
      </c>
      <c r="AV266" s="7">
        <v>10483</v>
      </c>
      <c r="AX266" s="7">
        <v>460</v>
      </c>
      <c r="AZ266" s="7">
        <v>0</v>
      </c>
      <c r="BB266" s="7">
        <f t="shared" si="61"/>
        <v>7671459</v>
      </c>
      <c r="BD266" s="7">
        <v>1914</v>
      </c>
      <c r="BF266" s="7">
        <v>0</v>
      </c>
      <c r="BH266" s="7">
        <v>0</v>
      </c>
      <c r="BJ266" s="7">
        <v>0</v>
      </c>
      <c r="BL266" s="7">
        <f t="shared" si="62"/>
        <v>7673373</v>
      </c>
      <c r="BN266" s="7">
        <f>+GenRev!AM266-GenExp!BL266</f>
        <v>27693</v>
      </c>
      <c r="BP266" s="7">
        <v>1617423</v>
      </c>
      <c r="BR266" s="7">
        <v>0</v>
      </c>
      <c r="BT266" s="7">
        <v>0</v>
      </c>
      <c r="BV266" s="7">
        <f t="shared" ref="BV266:BV292" si="64">+BP266+BN266-BR266</f>
        <v>1645116</v>
      </c>
      <c r="BX266" s="8">
        <f>+BV266-'Gen Fd BS'!AE266+BT266</f>
        <v>0</v>
      </c>
      <c r="CB266" s="7" t="str">
        <f t="shared" si="59"/>
        <v>Joseph Badger Local SD</v>
      </c>
      <c r="CC266" s="7" t="b">
        <f t="shared" si="55"/>
        <v>1</v>
      </c>
      <c r="CE266" s="12" t="str">
        <f>GenRev!A266</f>
        <v>Joseph Badger Local SD</v>
      </c>
      <c r="CF266" s="7" t="b">
        <f t="shared" si="60"/>
        <v>1</v>
      </c>
      <c r="CG266" s="7" t="str">
        <f t="shared" si="56"/>
        <v>Trumbull</v>
      </c>
      <c r="CH266" s="7" t="b">
        <f t="shared" si="57"/>
        <v>1</v>
      </c>
      <c r="CI266" s="7" t="b">
        <f>C266=GenRev!C266</f>
        <v>1</v>
      </c>
    </row>
    <row r="267" spans="1:87">
      <c r="A267" s="12" t="s">
        <v>293</v>
      </c>
      <c r="B267" s="12"/>
      <c r="C267" s="12" t="s">
        <v>24</v>
      </c>
      <c r="D267" s="12"/>
      <c r="E267" s="12">
        <v>46797</v>
      </c>
      <c r="G267" s="7">
        <v>381950</v>
      </c>
      <c r="I267" s="7">
        <v>0</v>
      </c>
      <c r="K267" s="7">
        <v>0</v>
      </c>
      <c r="M267" s="7">
        <v>0</v>
      </c>
      <c r="O267" s="7">
        <v>0</v>
      </c>
      <c r="Q267" s="7">
        <v>17472</v>
      </c>
      <c r="S267" s="7">
        <v>84827</v>
      </c>
      <c r="U267" s="7">
        <v>25839</v>
      </c>
      <c r="W267" s="7">
        <v>95859</v>
      </c>
      <c r="Y267" s="7">
        <v>31630</v>
      </c>
      <c r="AA267" s="7">
        <v>0</v>
      </c>
      <c r="AC267" s="7">
        <v>115524</v>
      </c>
      <c r="AE267" s="7">
        <v>0</v>
      </c>
      <c r="AG267" s="7">
        <v>0</v>
      </c>
      <c r="AI267" s="7">
        <v>0</v>
      </c>
      <c r="AK267" s="7">
        <v>0</v>
      </c>
      <c r="AL267" s="12" t="s">
        <v>293</v>
      </c>
      <c r="AM267" s="12"/>
      <c r="AN267" s="12" t="s">
        <v>24</v>
      </c>
      <c r="AP267" s="7">
        <v>1259</v>
      </c>
      <c r="AR267" s="7">
        <v>0</v>
      </c>
      <c r="AT267" s="7">
        <v>0</v>
      </c>
      <c r="AV267" s="7">
        <v>0</v>
      </c>
      <c r="AX267" s="7">
        <v>0</v>
      </c>
      <c r="AZ267" s="7">
        <v>0</v>
      </c>
      <c r="BB267" s="7">
        <f t="shared" si="61"/>
        <v>754360</v>
      </c>
      <c r="BD267" s="7">
        <v>0</v>
      </c>
      <c r="BF267" s="7">
        <v>0</v>
      </c>
      <c r="BH267" s="7">
        <v>0</v>
      </c>
      <c r="BJ267" s="7">
        <v>0</v>
      </c>
      <c r="BL267" s="7">
        <f t="shared" si="62"/>
        <v>754360</v>
      </c>
      <c r="BN267" s="7">
        <f>+GenRev!AM267-GenExp!BL267</f>
        <v>399346</v>
      </c>
      <c r="BP267" s="7">
        <v>551174</v>
      </c>
      <c r="BR267" s="7">
        <v>0</v>
      </c>
      <c r="BT267" s="7">
        <v>0</v>
      </c>
      <c r="BV267" s="7">
        <f t="shared" si="64"/>
        <v>950520</v>
      </c>
      <c r="BX267" s="8">
        <f>+BV267-'Gen Fd BS'!AE267+BT267</f>
        <v>0</v>
      </c>
      <c r="CB267" s="7" t="str">
        <f t="shared" si="59"/>
        <v>Kelleys Island Local SD</v>
      </c>
      <c r="CC267" s="7" t="b">
        <f t="shared" si="55"/>
        <v>1</v>
      </c>
      <c r="CE267" s="12" t="str">
        <f>GenRev!A267</f>
        <v>Kelleys Island Local SD</v>
      </c>
      <c r="CF267" s="7" t="b">
        <f t="shared" si="60"/>
        <v>1</v>
      </c>
      <c r="CG267" s="7" t="str">
        <f t="shared" si="56"/>
        <v>Erie</v>
      </c>
      <c r="CH267" s="7" t="b">
        <f t="shared" si="57"/>
        <v>1</v>
      </c>
      <c r="CI267" s="7" t="b">
        <f>C267=GenRev!C267</f>
        <v>1</v>
      </c>
    </row>
    <row r="268" spans="1:87">
      <c r="A268" s="12" t="s">
        <v>321</v>
      </c>
      <c r="B268" s="12"/>
      <c r="C268" s="12" t="s">
        <v>30</v>
      </c>
      <c r="D268" s="12"/>
      <c r="E268" s="12">
        <v>47191</v>
      </c>
      <c r="G268" s="7">
        <v>14707721</v>
      </c>
      <c r="I268" s="7">
        <v>3813869</v>
      </c>
      <c r="K268" s="7">
        <v>159802</v>
      </c>
      <c r="M268" s="7">
        <v>0</v>
      </c>
      <c r="O268" s="7">
        <v>570629</v>
      </c>
      <c r="Q268" s="7">
        <v>2315750</v>
      </c>
      <c r="S268" s="7">
        <v>1181037</v>
      </c>
      <c r="U268" s="7">
        <v>42396</v>
      </c>
      <c r="W268" s="7">
        <v>2416130</v>
      </c>
      <c r="Y268" s="7">
        <v>968740</v>
      </c>
      <c r="AA268" s="7">
        <v>38024</v>
      </c>
      <c r="AC268" s="7">
        <v>3586035</v>
      </c>
      <c r="AE268" s="7">
        <v>2373299</v>
      </c>
      <c r="AG268" s="7">
        <v>3751</v>
      </c>
      <c r="AI268" s="7">
        <v>0</v>
      </c>
      <c r="AK268" s="7">
        <f>103388+11500</f>
        <v>114888</v>
      </c>
      <c r="AL268" s="12" t="s">
        <v>321</v>
      </c>
      <c r="AM268" s="12"/>
      <c r="AN268" s="12" t="s">
        <v>30</v>
      </c>
      <c r="AP268" s="7">
        <v>998268</v>
      </c>
      <c r="AR268" s="7">
        <v>222729</v>
      </c>
      <c r="AT268" s="7">
        <v>0</v>
      </c>
      <c r="AV268" s="7">
        <v>35259</v>
      </c>
      <c r="AX268" s="7">
        <v>13887</v>
      </c>
      <c r="AZ268" s="7">
        <v>0</v>
      </c>
      <c r="BB268" s="7">
        <f t="shared" si="61"/>
        <v>33562214</v>
      </c>
      <c r="BD268" s="7">
        <v>111815</v>
      </c>
      <c r="BF268" s="7">
        <v>0</v>
      </c>
      <c r="BH268" s="7">
        <v>0</v>
      </c>
      <c r="BJ268" s="7">
        <v>0</v>
      </c>
      <c r="BL268" s="7">
        <f t="shared" si="62"/>
        <v>33674029</v>
      </c>
      <c r="BN268" s="7">
        <f>+GenRev!AM268-GenExp!BL268</f>
        <v>1817650</v>
      </c>
      <c r="BP268" s="7">
        <v>8353735</v>
      </c>
      <c r="BR268" s="7">
        <v>0</v>
      </c>
      <c r="BT268" s="7">
        <v>0</v>
      </c>
      <c r="BV268" s="7">
        <f t="shared" si="64"/>
        <v>10171385</v>
      </c>
      <c r="BX268" s="8">
        <f>+BV268-'Gen Fd BS'!AE268+BT268</f>
        <v>0</v>
      </c>
      <c r="CB268" s="7" t="str">
        <f t="shared" si="59"/>
        <v>Kenston Local SD</v>
      </c>
      <c r="CC268" s="7" t="b">
        <f t="shared" ref="CC268:CC332" si="65">A268=AL268</f>
        <v>1</v>
      </c>
      <c r="CE268" s="12" t="str">
        <f>GenRev!A268</f>
        <v>Kenston Local SD</v>
      </c>
      <c r="CF268" s="7" t="b">
        <f t="shared" si="60"/>
        <v>1</v>
      </c>
      <c r="CG268" s="7" t="str">
        <f t="shared" ref="CG268:CG332" si="66">C268</f>
        <v>Geauga</v>
      </c>
      <c r="CH268" s="7" t="b">
        <f t="shared" ref="CH268:CH332" si="67">C268=AN268</f>
        <v>1</v>
      </c>
      <c r="CI268" s="7" t="b">
        <f>C268=GenRev!C268</f>
        <v>1</v>
      </c>
    </row>
    <row r="269" spans="1:87">
      <c r="A269" s="12" t="s">
        <v>476</v>
      </c>
      <c r="B269" s="12"/>
      <c r="C269" s="12" t="s">
        <v>56</v>
      </c>
      <c r="D269" s="12"/>
      <c r="E269" s="12">
        <v>44164</v>
      </c>
      <c r="G269" s="7">
        <v>17942175</v>
      </c>
      <c r="I269" s="7">
        <v>3830433</v>
      </c>
      <c r="K269" s="7">
        <v>2132166</v>
      </c>
      <c r="M269" s="7">
        <v>45089</v>
      </c>
      <c r="O269" s="7">
        <f>388046+542413</f>
        <v>930459</v>
      </c>
      <c r="Q269" s="7">
        <v>2271970</v>
      </c>
      <c r="S269" s="7">
        <v>1843979</v>
      </c>
      <c r="U269" s="7">
        <v>210930</v>
      </c>
      <c r="W269" s="7">
        <v>2890961</v>
      </c>
      <c r="Y269" s="7">
        <v>896864</v>
      </c>
      <c r="AA269" s="7">
        <v>356137</v>
      </c>
      <c r="AC269" s="7">
        <v>2887277</v>
      </c>
      <c r="AE269" s="7">
        <v>1533866</v>
      </c>
      <c r="AG269" s="7">
        <v>211064</v>
      </c>
      <c r="AI269" s="7">
        <v>0</v>
      </c>
      <c r="AK269" s="7">
        <v>220637</v>
      </c>
      <c r="AL269" s="12" t="s">
        <v>476</v>
      </c>
      <c r="AM269" s="12"/>
      <c r="AN269" s="12" t="s">
        <v>56</v>
      </c>
      <c r="AP269" s="7">
        <v>672780</v>
      </c>
      <c r="AR269" s="7">
        <v>296174</v>
      </c>
      <c r="AT269" s="7">
        <v>0</v>
      </c>
      <c r="AV269" s="7">
        <v>135449</v>
      </c>
      <c r="AX269" s="7">
        <v>55825</v>
      </c>
      <c r="AZ269" s="7">
        <v>0</v>
      </c>
      <c r="BB269" s="7">
        <f t="shared" si="61"/>
        <v>39364235</v>
      </c>
      <c r="BD269" s="7">
        <v>454350</v>
      </c>
      <c r="BF269" s="7">
        <v>0</v>
      </c>
      <c r="BH269" s="7">
        <v>0</v>
      </c>
      <c r="BJ269" s="7">
        <v>0</v>
      </c>
      <c r="BL269" s="7">
        <f t="shared" si="62"/>
        <v>39818585</v>
      </c>
      <c r="BN269" s="7">
        <f>+GenRev!AM269-GenExp!BL269</f>
        <v>39026</v>
      </c>
      <c r="BP269" s="7">
        <v>16175839</v>
      </c>
      <c r="BR269" s="7">
        <v>0</v>
      </c>
      <c r="BT269" s="7">
        <v>0</v>
      </c>
      <c r="BV269" s="7">
        <f t="shared" si="64"/>
        <v>16214865</v>
      </c>
      <c r="BX269" s="8">
        <f>+BV269-'Gen Fd BS'!AE269+BT269</f>
        <v>0</v>
      </c>
      <c r="CB269" s="7" t="str">
        <f t="shared" ref="CB269:CB334" si="68">A269</f>
        <v>Kent City SD</v>
      </c>
      <c r="CC269" s="7" t="b">
        <f t="shared" si="65"/>
        <v>1</v>
      </c>
      <c r="CE269" s="12" t="str">
        <f>GenRev!A269</f>
        <v>Kent City SD</v>
      </c>
      <c r="CF269" s="7" t="b">
        <f t="shared" ref="CF269:CF334" si="69">CB269=CE269</f>
        <v>1</v>
      </c>
      <c r="CG269" s="7" t="str">
        <f t="shared" si="66"/>
        <v>Portage</v>
      </c>
      <c r="CH269" s="7" t="b">
        <f t="shared" si="67"/>
        <v>1</v>
      </c>
      <c r="CI269" s="7" t="b">
        <f>C269=GenRev!C269</f>
        <v>1</v>
      </c>
    </row>
    <row r="270" spans="1:87">
      <c r="A270" s="12" t="s">
        <v>350</v>
      </c>
      <c r="B270" s="12"/>
      <c r="C270" s="12" t="s">
        <v>348</v>
      </c>
      <c r="D270" s="12"/>
      <c r="E270" s="12">
        <v>44172</v>
      </c>
      <c r="G270" s="7">
        <v>8532238</v>
      </c>
      <c r="I270" s="7">
        <v>1644399</v>
      </c>
      <c r="K270" s="7">
        <v>158156</v>
      </c>
      <c r="M270" s="7">
        <v>0</v>
      </c>
      <c r="O270" s="7">
        <v>0</v>
      </c>
      <c r="Q270" s="7">
        <v>505327</v>
      </c>
      <c r="S270" s="7">
        <v>615701</v>
      </c>
      <c r="U270" s="7">
        <v>24637</v>
      </c>
      <c r="W270" s="7">
        <v>1579602</v>
      </c>
      <c r="Y270" s="7">
        <v>431235</v>
      </c>
      <c r="AA270" s="7">
        <v>0</v>
      </c>
      <c r="AC270" s="7">
        <v>1480637</v>
      </c>
      <c r="AE270" s="7">
        <v>675855</v>
      </c>
      <c r="AG270" s="7">
        <v>64471</v>
      </c>
      <c r="AI270" s="7">
        <v>0</v>
      </c>
      <c r="AK270" s="7">
        <v>0</v>
      </c>
      <c r="AL270" s="12" t="s">
        <v>350</v>
      </c>
      <c r="AM270" s="12"/>
      <c r="AN270" s="12" t="s">
        <v>348</v>
      </c>
      <c r="AP270" s="7">
        <v>27913</v>
      </c>
      <c r="AR270" s="7">
        <v>0</v>
      </c>
      <c r="AT270" s="7">
        <v>0</v>
      </c>
      <c r="AV270" s="7">
        <v>31524</v>
      </c>
      <c r="AX270" s="7">
        <v>4970</v>
      </c>
      <c r="AZ270" s="7">
        <v>0</v>
      </c>
      <c r="BB270" s="7">
        <f t="shared" si="61"/>
        <v>15776665</v>
      </c>
      <c r="BD270" s="7">
        <v>0</v>
      </c>
      <c r="BF270" s="7">
        <v>0</v>
      </c>
      <c r="BH270" s="7">
        <v>0</v>
      </c>
      <c r="BJ270" s="7">
        <v>0</v>
      </c>
      <c r="BL270" s="7">
        <f t="shared" si="62"/>
        <v>15776665</v>
      </c>
      <c r="BN270" s="7">
        <f>+GenRev!AM270-GenExp!BL270</f>
        <v>393536</v>
      </c>
      <c r="BP270" s="7">
        <v>1380206</v>
      </c>
      <c r="BR270" s="7">
        <v>0</v>
      </c>
      <c r="BT270" s="7">
        <v>0</v>
      </c>
      <c r="BV270" s="7">
        <f t="shared" si="64"/>
        <v>1773742</v>
      </c>
      <c r="BX270" s="8">
        <f>+BV270-'Gen Fd BS'!AE270+BT270</f>
        <v>0</v>
      </c>
      <c r="CB270" s="7" t="str">
        <f t="shared" si="68"/>
        <v>Kenton City SD</v>
      </c>
      <c r="CC270" s="7" t="b">
        <f t="shared" si="65"/>
        <v>1</v>
      </c>
      <c r="CE270" s="12" t="str">
        <f>GenRev!A270</f>
        <v>Kenton City SD</v>
      </c>
      <c r="CF270" s="7" t="b">
        <f t="shared" si="69"/>
        <v>1</v>
      </c>
      <c r="CG270" s="7" t="str">
        <f t="shared" si="66"/>
        <v>Hardin</v>
      </c>
      <c r="CH270" s="7" t="b">
        <f t="shared" si="67"/>
        <v>1</v>
      </c>
      <c r="CI270" s="7" t="b">
        <f>C270=GenRev!C270</f>
        <v>1</v>
      </c>
    </row>
    <row r="271" spans="1:87" s="32" customFormat="1">
      <c r="A271" s="31" t="s">
        <v>444</v>
      </c>
      <c r="B271" s="31"/>
      <c r="C271" s="31" t="s">
        <v>50</v>
      </c>
      <c r="D271" s="31"/>
      <c r="E271" s="31">
        <v>44180</v>
      </c>
      <c r="G271" s="32">
        <v>33610690</v>
      </c>
      <c r="I271" s="32">
        <v>6708247</v>
      </c>
      <c r="K271" s="32">
        <v>2561806</v>
      </c>
      <c r="M271" s="32">
        <v>0</v>
      </c>
      <c r="O271" s="32">
        <v>2214279</v>
      </c>
      <c r="Q271" s="32">
        <v>7200620</v>
      </c>
      <c r="S271" s="32">
        <v>4710809</v>
      </c>
      <c r="U271" s="32">
        <v>62748</v>
      </c>
      <c r="W271" s="32">
        <v>5211009</v>
      </c>
      <c r="Y271" s="32">
        <v>1682772</v>
      </c>
      <c r="AA271" s="32">
        <v>588832</v>
      </c>
      <c r="AC271" s="32">
        <v>8377529</v>
      </c>
      <c r="AE271" s="32">
        <v>3278245</v>
      </c>
      <c r="AG271" s="32">
        <v>1823275</v>
      </c>
      <c r="AI271" s="32">
        <v>0</v>
      </c>
      <c r="AK271" s="32">
        <v>472331</v>
      </c>
      <c r="AL271" s="31" t="s">
        <v>444</v>
      </c>
      <c r="AM271" s="31"/>
      <c r="AN271" s="31" t="s">
        <v>50</v>
      </c>
      <c r="AP271" s="32">
        <v>1202113</v>
      </c>
      <c r="AR271" s="32">
        <v>34596</v>
      </c>
      <c r="AT271" s="32">
        <v>0</v>
      </c>
      <c r="AV271" s="32">
        <v>476507</v>
      </c>
      <c r="AX271" s="32">
        <v>31060</v>
      </c>
      <c r="AZ271" s="32">
        <v>0</v>
      </c>
      <c r="BB271" s="32">
        <f t="shared" si="61"/>
        <v>80247468</v>
      </c>
      <c r="BD271" s="32">
        <v>13500</v>
      </c>
      <c r="BF271" s="32">
        <v>0</v>
      </c>
      <c r="BH271" s="32">
        <v>0</v>
      </c>
      <c r="BJ271" s="32">
        <v>0</v>
      </c>
      <c r="BL271" s="32">
        <f t="shared" si="62"/>
        <v>80260968</v>
      </c>
      <c r="BN271" s="32">
        <f>+GenRev!AM271-GenExp!BL271</f>
        <v>2226360</v>
      </c>
      <c r="BP271" s="32">
        <v>3938975</v>
      </c>
      <c r="BR271" s="32">
        <v>9109</v>
      </c>
      <c r="BT271" s="32">
        <v>0</v>
      </c>
      <c r="BV271" s="32">
        <f t="shared" si="64"/>
        <v>6156226</v>
      </c>
      <c r="BX271" s="36">
        <f>+BV271-'Gen Fd BS'!AE271+BT271</f>
        <v>0</v>
      </c>
      <c r="CB271" s="32" t="str">
        <f t="shared" si="68"/>
        <v>Kettering City SD</v>
      </c>
      <c r="CC271" s="32" t="b">
        <f t="shared" si="65"/>
        <v>1</v>
      </c>
      <c r="CE271" s="31" t="str">
        <f>GenRev!A271</f>
        <v>Kettering City SD</v>
      </c>
      <c r="CF271" s="32" t="b">
        <f t="shared" si="69"/>
        <v>1</v>
      </c>
      <c r="CG271" s="32" t="str">
        <f t="shared" si="66"/>
        <v>Montgomery</v>
      </c>
      <c r="CH271" s="32" t="b">
        <f t="shared" si="67"/>
        <v>1</v>
      </c>
      <c r="CI271" s="32" t="b">
        <f>C271=GenRev!C271</f>
        <v>1</v>
      </c>
    </row>
    <row r="272" spans="1:87">
      <c r="A272" s="12" t="s">
        <v>666</v>
      </c>
      <c r="B272" s="12"/>
      <c r="C272" s="12" t="s">
        <v>44</v>
      </c>
      <c r="D272" s="12"/>
      <c r="E272" s="12">
        <v>48165</v>
      </c>
      <c r="G272" s="7">
        <v>7269469</v>
      </c>
      <c r="I272" s="7">
        <v>1118252</v>
      </c>
      <c r="K272" s="7">
        <v>102179</v>
      </c>
      <c r="M272" s="7">
        <v>0</v>
      </c>
      <c r="O272" s="7">
        <v>75986</v>
      </c>
      <c r="Q272" s="7">
        <v>843474</v>
      </c>
      <c r="S272" s="7">
        <v>349974</v>
      </c>
      <c r="U272" s="7">
        <v>32725</v>
      </c>
      <c r="W272" s="7">
        <v>1122077</v>
      </c>
      <c r="Y272" s="7">
        <v>428813</v>
      </c>
      <c r="AA272" s="7">
        <v>0</v>
      </c>
      <c r="AC272" s="7">
        <v>855612</v>
      </c>
      <c r="AE272" s="7">
        <v>818420</v>
      </c>
      <c r="AG272" s="7">
        <v>239161</v>
      </c>
      <c r="AI272" s="7">
        <v>0</v>
      </c>
      <c r="AK272" s="7">
        <v>49485</v>
      </c>
      <c r="AL272" s="12" t="s">
        <v>666</v>
      </c>
      <c r="AM272" s="12"/>
      <c r="AN272" s="12" t="s">
        <v>44</v>
      </c>
      <c r="AP272" s="7">
        <v>296963</v>
      </c>
      <c r="AR272" s="7">
        <v>372368</v>
      </c>
      <c r="AT272" s="7">
        <v>0</v>
      </c>
      <c r="AV272" s="7">
        <v>32287</v>
      </c>
      <c r="AX272" s="7">
        <v>12833</v>
      </c>
      <c r="AZ272" s="7">
        <v>0</v>
      </c>
      <c r="BB272" s="7">
        <f t="shared" si="61"/>
        <v>14020078</v>
      </c>
      <c r="BD272" s="7">
        <v>17096</v>
      </c>
      <c r="BF272" s="7">
        <v>0</v>
      </c>
      <c r="BH272" s="7">
        <v>0</v>
      </c>
      <c r="BJ272" s="7">
        <v>0</v>
      </c>
      <c r="BL272" s="7">
        <f t="shared" si="62"/>
        <v>14037174</v>
      </c>
      <c r="BN272" s="7">
        <f>+GenRev!AM272-GenExp!BL272</f>
        <v>78300</v>
      </c>
      <c r="BP272" s="7">
        <v>4368282</v>
      </c>
      <c r="BR272" s="7">
        <v>0</v>
      </c>
      <c r="BT272" s="7">
        <v>0</v>
      </c>
      <c r="BV272" s="7">
        <f t="shared" si="64"/>
        <v>4446582</v>
      </c>
      <c r="BX272" s="8">
        <f>+BV272-'Gen Fd BS'!AE272+BT272</f>
        <v>0</v>
      </c>
      <c r="CB272" s="7" t="str">
        <f t="shared" si="68"/>
        <v xml:space="preserve">Keystone Local SD </v>
      </c>
      <c r="CC272" s="7" t="b">
        <f t="shared" si="65"/>
        <v>1</v>
      </c>
      <c r="CE272" s="12" t="str">
        <f>GenRev!A272</f>
        <v xml:space="preserve">Keystone Local SD </v>
      </c>
      <c r="CF272" s="7" t="b">
        <f t="shared" si="69"/>
        <v>1</v>
      </c>
      <c r="CG272" s="7" t="str">
        <f t="shared" si="66"/>
        <v>Lorain</v>
      </c>
      <c r="CH272" s="7" t="b">
        <f t="shared" si="67"/>
        <v>1</v>
      </c>
      <c r="CI272" s="7" t="b">
        <f>C272=GenRev!C272</f>
        <v>1</v>
      </c>
    </row>
    <row r="273" spans="1:87">
      <c r="A273" s="12" t="s">
        <v>761</v>
      </c>
      <c r="B273" s="12"/>
      <c r="C273" s="12" t="s">
        <v>69</v>
      </c>
      <c r="D273" s="12"/>
      <c r="E273" s="12">
        <v>50435</v>
      </c>
      <c r="G273" s="7">
        <v>17747233</v>
      </c>
      <c r="I273" s="7">
        <v>3539262</v>
      </c>
      <c r="K273" s="7">
        <v>0</v>
      </c>
      <c r="M273" s="7">
        <v>0</v>
      </c>
      <c r="O273" s="7">
        <v>713102</v>
      </c>
      <c r="Q273" s="7">
        <v>1784707</v>
      </c>
      <c r="S273" s="7">
        <v>1087267</v>
      </c>
      <c r="U273" s="7">
        <v>64035</v>
      </c>
      <c r="W273" s="7">
        <v>3458498</v>
      </c>
      <c r="Y273" s="7">
        <v>904976</v>
      </c>
      <c r="AA273" s="7">
        <v>151691</v>
      </c>
      <c r="AC273" s="7">
        <v>3734757</v>
      </c>
      <c r="AE273" s="7">
        <v>2262223</v>
      </c>
      <c r="AG273" s="7">
        <v>263809</v>
      </c>
      <c r="AI273" s="7">
        <v>0</v>
      </c>
      <c r="AK273" s="7">
        <v>0</v>
      </c>
      <c r="AL273" s="12" t="s">
        <v>761</v>
      </c>
      <c r="AM273" s="12"/>
      <c r="AN273" s="12" t="s">
        <v>69</v>
      </c>
      <c r="AP273" s="7">
        <v>1015783</v>
      </c>
      <c r="AR273" s="7">
        <v>0</v>
      </c>
      <c r="AT273" s="7">
        <v>0</v>
      </c>
      <c r="AV273" s="7">
        <v>0</v>
      </c>
      <c r="AX273" s="7">
        <v>0</v>
      </c>
      <c r="AZ273" s="7">
        <v>0</v>
      </c>
      <c r="BB273" s="7">
        <f t="shared" si="61"/>
        <v>36727343</v>
      </c>
      <c r="BD273" s="7">
        <v>0</v>
      </c>
      <c r="BF273" s="7">
        <v>0</v>
      </c>
      <c r="BH273" s="7">
        <v>0</v>
      </c>
      <c r="BJ273" s="7">
        <v>0</v>
      </c>
      <c r="BL273" s="7">
        <f t="shared" si="62"/>
        <v>36727343</v>
      </c>
      <c r="BN273" s="7">
        <f>+GenRev!AM273-GenExp!BL273</f>
        <v>2243746</v>
      </c>
      <c r="BP273" s="7">
        <v>5123369</v>
      </c>
      <c r="BR273" s="7">
        <v>0</v>
      </c>
      <c r="BT273" s="7">
        <v>0</v>
      </c>
      <c r="BV273" s="7">
        <f t="shared" si="64"/>
        <v>7367115</v>
      </c>
      <c r="BX273" s="8">
        <f>+BV273-'Gen Fd BS'!AE273+BT273</f>
        <v>0</v>
      </c>
      <c r="CA273" s="14"/>
      <c r="CB273" s="7" t="str">
        <f t="shared" si="68"/>
        <v xml:space="preserve">Kings Local SD  </v>
      </c>
      <c r="CC273" s="7" t="b">
        <f t="shared" si="65"/>
        <v>1</v>
      </c>
      <c r="CE273" s="12" t="str">
        <f>GenRev!A273</f>
        <v xml:space="preserve">Kings Local SD  </v>
      </c>
      <c r="CF273" s="7" t="b">
        <f t="shared" si="69"/>
        <v>1</v>
      </c>
      <c r="CG273" s="7" t="str">
        <f t="shared" si="66"/>
        <v>Warren</v>
      </c>
      <c r="CH273" s="7" t="b">
        <f t="shared" si="67"/>
        <v>1</v>
      </c>
      <c r="CI273" s="7" t="b">
        <f>C273=GenRev!C273</f>
        <v>1</v>
      </c>
    </row>
    <row r="274" spans="1:87" hidden="1">
      <c r="A274" s="12" t="s">
        <v>729</v>
      </c>
      <c r="B274" s="12"/>
      <c r="C274" s="12" t="s">
        <v>41</v>
      </c>
      <c r="D274" s="12"/>
      <c r="E274" s="12">
        <v>47878</v>
      </c>
      <c r="AL274" s="12" t="s">
        <v>729</v>
      </c>
      <c r="AM274" s="12"/>
      <c r="AN274" s="12" t="s">
        <v>41</v>
      </c>
      <c r="AT274" s="7">
        <v>0</v>
      </c>
      <c r="AZ274" s="7">
        <v>0</v>
      </c>
      <c r="BB274" s="7">
        <f t="shared" si="61"/>
        <v>0</v>
      </c>
      <c r="BF274" s="7">
        <v>0</v>
      </c>
      <c r="BH274" s="7">
        <v>0</v>
      </c>
      <c r="BJ274" s="7">
        <v>0</v>
      </c>
      <c r="BL274" s="7">
        <f t="shared" si="62"/>
        <v>0</v>
      </c>
      <c r="BN274" s="7">
        <f>+GenRev!AM274-GenExp!BL274</f>
        <v>0</v>
      </c>
      <c r="BT274" s="7">
        <v>0</v>
      </c>
      <c r="BV274" s="7">
        <f t="shared" si="64"/>
        <v>0</v>
      </c>
      <c r="BX274" s="8">
        <f>+BV274-'Gen Fd BS'!AE274+BT274</f>
        <v>0</v>
      </c>
      <c r="CA274" s="7" t="s">
        <v>911</v>
      </c>
      <c r="CB274" s="7" t="str">
        <f t="shared" si="68"/>
        <v>Kirtland Local SD (CASH)</v>
      </c>
      <c r="CC274" s="7" t="b">
        <f t="shared" si="65"/>
        <v>1</v>
      </c>
      <c r="CE274" s="12" t="str">
        <f>GenRev!A274</f>
        <v>Kirtland Local SD (CASH)</v>
      </c>
      <c r="CF274" s="7" t="b">
        <f t="shared" si="69"/>
        <v>1</v>
      </c>
      <c r="CG274" s="7" t="str">
        <f t="shared" si="66"/>
        <v>Lake</v>
      </c>
      <c r="CH274" s="7" t="b">
        <f t="shared" si="67"/>
        <v>1</v>
      </c>
      <c r="CI274" s="7" t="b">
        <f>C274=GenRev!C274</f>
        <v>1</v>
      </c>
    </row>
    <row r="275" spans="1:87">
      <c r="A275" s="12" t="s">
        <v>540</v>
      </c>
      <c r="B275" s="12"/>
      <c r="C275" s="12" t="s">
        <v>64</v>
      </c>
      <c r="D275" s="12"/>
      <c r="E275" s="12">
        <v>50245</v>
      </c>
      <c r="G275" s="7">
        <v>5799151</v>
      </c>
      <c r="I275" s="7">
        <v>993313</v>
      </c>
      <c r="K275" s="7">
        <v>51822</v>
      </c>
      <c r="M275" s="7">
        <v>476</v>
      </c>
      <c r="O275" s="7">
        <v>461262</v>
      </c>
      <c r="Q275" s="7">
        <v>666704</v>
      </c>
      <c r="S275" s="7">
        <v>138820</v>
      </c>
      <c r="U275" s="7">
        <v>52298</v>
      </c>
      <c r="W275" s="7">
        <v>842555</v>
      </c>
      <c r="Y275" s="7">
        <v>296714</v>
      </c>
      <c r="AA275" s="7">
        <v>0</v>
      </c>
      <c r="AC275" s="7">
        <v>855084</v>
      </c>
      <c r="AE275" s="7">
        <v>541070</v>
      </c>
      <c r="AG275" s="7">
        <v>102735</v>
      </c>
      <c r="AI275" s="7">
        <v>0</v>
      </c>
      <c r="AK275" s="7">
        <v>2788</v>
      </c>
      <c r="AL275" s="12" t="s">
        <v>540</v>
      </c>
      <c r="AM275" s="12"/>
      <c r="AN275" s="12" t="s">
        <v>64</v>
      </c>
      <c r="AP275" s="7">
        <v>249281</v>
      </c>
      <c r="AR275" s="7">
        <v>19457</v>
      </c>
      <c r="AT275" s="7">
        <v>0</v>
      </c>
      <c r="AV275" s="7">
        <v>41000</v>
      </c>
      <c r="AX275" s="7">
        <v>98610</v>
      </c>
      <c r="AZ275" s="7">
        <v>0</v>
      </c>
      <c r="BB275" s="7">
        <f t="shared" si="61"/>
        <v>11213140</v>
      </c>
      <c r="BD275" s="7">
        <v>0</v>
      </c>
      <c r="BF275" s="7">
        <v>0</v>
      </c>
      <c r="BH275" s="7">
        <v>0</v>
      </c>
      <c r="BJ275" s="7">
        <v>0</v>
      </c>
      <c r="BL275" s="7">
        <f t="shared" si="62"/>
        <v>11213140</v>
      </c>
      <c r="BN275" s="7">
        <f>+GenRev!AM275-GenExp!BL275</f>
        <v>828909</v>
      </c>
      <c r="BP275" s="7">
        <v>1408302</v>
      </c>
      <c r="BR275" s="7">
        <v>-1940</v>
      </c>
      <c r="BT275" s="7">
        <v>0</v>
      </c>
      <c r="BV275" s="7">
        <f t="shared" si="64"/>
        <v>2239151</v>
      </c>
      <c r="BX275" s="8">
        <f>+BV275-'Gen Fd BS'!AE275+BT275</f>
        <v>0</v>
      </c>
      <c r="CB275" s="7" t="str">
        <f t="shared" si="68"/>
        <v>LaBrae Local SD</v>
      </c>
      <c r="CC275" s="7" t="b">
        <f t="shared" si="65"/>
        <v>1</v>
      </c>
      <c r="CE275" s="12" t="str">
        <f>GenRev!A275</f>
        <v>LaBrae Local SD</v>
      </c>
      <c r="CF275" s="7" t="b">
        <f t="shared" si="69"/>
        <v>1</v>
      </c>
      <c r="CG275" s="7" t="str">
        <f t="shared" si="66"/>
        <v>Trumbull</v>
      </c>
      <c r="CH275" s="7" t="b">
        <f t="shared" si="67"/>
        <v>1</v>
      </c>
      <c r="CI275" s="7" t="b">
        <f>C275=GenRev!C275</f>
        <v>1</v>
      </c>
    </row>
    <row r="276" spans="1:87">
      <c r="A276" s="12" t="s">
        <v>513</v>
      </c>
      <c r="B276" s="12"/>
      <c r="C276" s="12" t="s">
        <v>62</v>
      </c>
      <c r="D276" s="12"/>
      <c r="E276" s="12">
        <v>49866</v>
      </c>
      <c r="G276" s="7">
        <v>13924417</v>
      </c>
      <c r="I276" s="7">
        <v>2180920</v>
      </c>
      <c r="K276" s="7">
        <v>442676</v>
      </c>
      <c r="M276" s="7">
        <v>0</v>
      </c>
      <c r="O276" s="7">
        <f>196728+1043516</f>
        <v>1240244</v>
      </c>
      <c r="Q276" s="7">
        <v>974289</v>
      </c>
      <c r="S276" s="7">
        <v>1588086</v>
      </c>
      <c r="U276" s="7">
        <v>27212</v>
      </c>
      <c r="W276" s="7">
        <v>2131351</v>
      </c>
      <c r="Y276" s="7">
        <v>628587</v>
      </c>
      <c r="AA276" s="7">
        <v>76531</v>
      </c>
      <c r="AC276" s="7">
        <v>3082911</v>
      </c>
      <c r="AE276" s="7">
        <v>2143176</v>
      </c>
      <c r="AG276" s="7">
        <v>157439</v>
      </c>
      <c r="AI276" s="7">
        <v>0</v>
      </c>
      <c r="AK276" s="7">
        <v>42851</v>
      </c>
      <c r="AL276" s="12" t="s">
        <v>513</v>
      </c>
      <c r="AM276" s="12"/>
      <c r="AN276" s="12" t="s">
        <v>62</v>
      </c>
      <c r="AP276" s="7">
        <v>649224</v>
      </c>
      <c r="AR276" s="7">
        <v>250123</v>
      </c>
      <c r="AT276" s="7">
        <v>0</v>
      </c>
      <c r="AV276" s="7">
        <v>0</v>
      </c>
      <c r="AX276" s="7">
        <v>0</v>
      </c>
      <c r="AZ276" s="7">
        <v>0</v>
      </c>
      <c r="BB276" s="7">
        <f t="shared" si="61"/>
        <v>29540037</v>
      </c>
      <c r="BD276" s="7">
        <v>0</v>
      </c>
      <c r="BF276" s="7">
        <v>0</v>
      </c>
      <c r="BH276" s="7">
        <v>0</v>
      </c>
      <c r="BJ276" s="7">
        <v>0</v>
      </c>
      <c r="BL276" s="7">
        <f t="shared" si="62"/>
        <v>29540037</v>
      </c>
      <c r="BN276" s="7">
        <f>+GenRev!AM276-GenExp!BL276</f>
        <v>536810</v>
      </c>
      <c r="BP276" s="7">
        <v>3503623</v>
      </c>
      <c r="BR276" s="7">
        <v>0</v>
      </c>
      <c r="BT276" s="7">
        <v>0</v>
      </c>
      <c r="BV276" s="7">
        <f t="shared" si="64"/>
        <v>4040433</v>
      </c>
      <c r="BX276" s="8">
        <f>+BV276-'Gen Fd BS'!AE276+BT276</f>
        <v>0</v>
      </c>
      <c r="CB276" s="7" t="str">
        <f t="shared" si="68"/>
        <v>Lake Local SD</v>
      </c>
      <c r="CC276" s="7" t="b">
        <f t="shared" si="65"/>
        <v>1</v>
      </c>
      <c r="CE276" s="12" t="str">
        <f>GenRev!A276</f>
        <v>Lake Local SD</v>
      </c>
      <c r="CF276" s="7" t="b">
        <f t="shared" si="69"/>
        <v>1</v>
      </c>
      <c r="CG276" s="7" t="str">
        <f t="shared" si="66"/>
        <v>Stark</v>
      </c>
      <c r="CH276" s="7" t="b">
        <f t="shared" si="67"/>
        <v>1</v>
      </c>
      <c r="CI276" s="7" t="b">
        <f>C276=GenRev!C276</f>
        <v>1</v>
      </c>
    </row>
    <row r="277" spans="1:87" hidden="1">
      <c r="A277" s="12" t="s">
        <v>913</v>
      </c>
      <c r="B277" s="12"/>
      <c r="C277" s="12" t="s">
        <v>72</v>
      </c>
      <c r="D277" s="12"/>
      <c r="E277" s="12">
        <v>50690</v>
      </c>
      <c r="AL277" s="12" t="s">
        <v>913</v>
      </c>
      <c r="AM277" s="12"/>
      <c r="AN277" s="12" t="s">
        <v>72</v>
      </c>
      <c r="AT277" s="7">
        <v>0</v>
      </c>
      <c r="AZ277" s="7">
        <v>0</v>
      </c>
      <c r="BB277" s="7">
        <f t="shared" si="61"/>
        <v>0</v>
      </c>
      <c r="BF277" s="7">
        <v>0</v>
      </c>
      <c r="BH277" s="7">
        <v>0</v>
      </c>
      <c r="BJ277" s="7">
        <v>0</v>
      </c>
      <c r="BL277" s="7">
        <f t="shared" si="62"/>
        <v>0</v>
      </c>
      <c r="BN277" s="7">
        <f>+GenRev!AM277-GenExp!BL277</f>
        <v>0</v>
      </c>
      <c r="BT277" s="7">
        <v>0</v>
      </c>
      <c r="BV277" s="7">
        <f t="shared" si="64"/>
        <v>0</v>
      </c>
      <c r="BX277" s="8">
        <f>+BV277-'Gen Fd BS'!AE277+BT277</f>
        <v>0</v>
      </c>
      <c r="CA277" s="7" t="s">
        <v>912</v>
      </c>
      <c r="CB277" s="7" t="str">
        <f t="shared" si="68"/>
        <v>Lake Local SD (CASH)</v>
      </c>
      <c r="CC277" s="7" t="b">
        <f t="shared" si="65"/>
        <v>1</v>
      </c>
      <c r="CE277" s="12" t="str">
        <f>GenRev!A277</f>
        <v>Lake Local SD (CASH)</v>
      </c>
      <c r="CF277" s="7" t="b">
        <f t="shared" si="69"/>
        <v>1</v>
      </c>
      <c r="CG277" s="7" t="str">
        <f t="shared" si="66"/>
        <v>Wood</v>
      </c>
      <c r="CH277" s="7" t="b">
        <f t="shared" si="67"/>
        <v>1</v>
      </c>
      <c r="CI277" s="7" t="b">
        <f>C277=GenRev!C277</f>
        <v>1</v>
      </c>
    </row>
    <row r="278" spans="1:87">
      <c r="A278" s="12" t="s">
        <v>541</v>
      </c>
      <c r="B278" s="12"/>
      <c r="C278" s="12" t="s">
        <v>64</v>
      </c>
      <c r="D278" s="12"/>
      <c r="E278" s="12">
        <v>50187</v>
      </c>
      <c r="G278" s="7">
        <v>6507025</v>
      </c>
      <c r="I278" s="7">
        <v>2710820</v>
      </c>
      <c r="K278" s="7">
        <v>0</v>
      </c>
      <c r="M278" s="7">
        <v>0</v>
      </c>
      <c r="O278" s="7">
        <v>0</v>
      </c>
      <c r="Q278" s="7">
        <v>858564</v>
      </c>
      <c r="S278" s="7">
        <v>760674</v>
      </c>
      <c r="U278" s="7">
        <v>14281</v>
      </c>
      <c r="W278" s="7">
        <v>1156270</v>
      </c>
      <c r="Y278" s="7">
        <v>438004</v>
      </c>
      <c r="AA278" s="7">
        <v>0</v>
      </c>
      <c r="AC278" s="7">
        <v>1337016</v>
      </c>
      <c r="AE278" s="7">
        <v>839066</v>
      </c>
      <c r="AG278" s="7">
        <v>0</v>
      </c>
      <c r="AI278" s="7">
        <v>0</v>
      </c>
      <c r="AK278" s="7">
        <v>11514</v>
      </c>
      <c r="AL278" s="12" t="s">
        <v>541</v>
      </c>
      <c r="AM278" s="12"/>
      <c r="AN278" s="12" t="s">
        <v>64</v>
      </c>
      <c r="AP278" s="7">
        <v>300213</v>
      </c>
      <c r="AR278" s="7">
        <v>0</v>
      </c>
      <c r="AT278" s="7">
        <v>0</v>
      </c>
      <c r="AV278" s="7">
        <v>28731</v>
      </c>
      <c r="AX278" s="7">
        <v>4516</v>
      </c>
      <c r="AZ278" s="7">
        <v>0</v>
      </c>
      <c r="BB278" s="7">
        <f t="shared" si="61"/>
        <v>14966694</v>
      </c>
      <c r="BD278" s="7">
        <v>80</v>
      </c>
      <c r="BF278" s="7">
        <v>0</v>
      </c>
      <c r="BH278" s="7">
        <v>0</v>
      </c>
      <c r="BJ278" s="7">
        <v>0</v>
      </c>
      <c r="BL278" s="7">
        <f t="shared" si="62"/>
        <v>14966774</v>
      </c>
      <c r="BN278" s="7">
        <f>+GenRev!AM278-GenExp!BL278</f>
        <v>-454871</v>
      </c>
      <c r="BP278" s="7">
        <v>430691</v>
      </c>
      <c r="BR278" s="7">
        <v>0</v>
      </c>
      <c r="BT278" s="7">
        <v>0</v>
      </c>
      <c r="BV278" s="7">
        <f t="shared" si="64"/>
        <v>-24180</v>
      </c>
      <c r="BX278" s="8">
        <f>+BV278-'Gen Fd BS'!AE278+BT278</f>
        <v>0</v>
      </c>
      <c r="CB278" s="7" t="str">
        <f t="shared" si="68"/>
        <v>Lakeview Local SD</v>
      </c>
      <c r="CC278" s="7" t="b">
        <f t="shared" si="65"/>
        <v>1</v>
      </c>
      <c r="CE278" s="12" t="str">
        <f>GenRev!A278</f>
        <v>Lakeview Local SD</v>
      </c>
      <c r="CF278" s="7" t="b">
        <f t="shared" si="69"/>
        <v>1</v>
      </c>
      <c r="CG278" s="7" t="str">
        <f t="shared" si="66"/>
        <v>Trumbull</v>
      </c>
      <c r="CH278" s="7" t="b">
        <f t="shared" si="67"/>
        <v>1</v>
      </c>
      <c r="CI278" s="7" t="b">
        <f>C278=GenRev!C278</f>
        <v>1</v>
      </c>
    </row>
    <row r="279" spans="1:87">
      <c r="A279" s="12" t="s">
        <v>276</v>
      </c>
      <c r="B279" s="12"/>
      <c r="C279" s="12" t="s">
        <v>20</v>
      </c>
      <c r="D279" s="12"/>
      <c r="E279" s="12">
        <v>44198</v>
      </c>
      <c r="F279" s="10"/>
      <c r="G279" s="7">
        <v>25986109</v>
      </c>
      <c r="I279" s="7">
        <v>10308731</v>
      </c>
      <c r="K279" s="7">
        <v>2474926</v>
      </c>
      <c r="M279" s="7">
        <v>201598</v>
      </c>
      <c r="O279" s="7">
        <v>2832209</v>
      </c>
      <c r="Q279" s="7">
        <v>3937613</v>
      </c>
      <c r="S279" s="7">
        <v>3182643</v>
      </c>
      <c r="U279" s="7">
        <v>94785</v>
      </c>
      <c r="W279" s="7">
        <v>3241166</v>
      </c>
      <c r="Y279" s="7">
        <v>1702300</v>
      </c>
      <c r="AA279" s="7">
        <v>612279</v>
      </c>
      <c r="AC279" s="7">
        <v>7795014</v>
      </c>
      <c r="AE279" s="7">
        <v>79474</v>
      </c>
      <c r="AG279" s="7">
        <v>261790</v>
      </c>
      <c r="AI279" s="7">
        <v>0</v>
      </c>
      <c r="AK279" s="7">
        <v>1529938</v>
      </c>
      <c r="AL279" s="12" t="s">
        <v>276</v>
      </c>
      <c r="AM279" s="12"/>
      <c r="AN279" s="12" t="s">
        <v>20</v>
      </c>
      <c r="AP279" s="7">
        <v>792783</v>
      </c>
      <c r="AR279" s="7">
        <v>1243</v>
      </c>
      <c r="AT279" s="7">
        <v>0</v>
      </c>
      <c r="AV279" s="7">
        <v>392369</v>
      </c>
      <c r="AX279" s="7">
        <v>45627</v>
      </c>
      <c r="AZ279" s="7">
        <v>0</v>
      </c>
      <c r="BB279" s="7">
        <f t="shared" si="61"/>
        <v>65472597</v>
      </c>
      <c r="BD279" s="7">
        <v>20000</v>
      </c>
      <c r="BF279" s="7">
        <v>0</v>
      </c>
      <c r="BH279" s="7">
        <v>0</v>
      </c>
      <c r="BJ279" s="7">
        <v>0</v>
      </c>
      <c r="BL279" s="7">
        <f t="shared" si="62"/>
        <v>65492597</v>
      </c>
      <c r="BN279" s="7">
        <f>+GenRev!AM279-GenExp!BL279</f>
        <v>1944001</v>
      </c>
      <c r="BP279" s="7">
        <v>11813210</v>
      </c>
      <c r="BR279" s="7">
        <v>0</v>
      </c>
      <c r="BT279" s="7">
        <v>0</v>
      </c>
      <c r="BV279" s="7">
        <f t="shared" si="64"/>
        <v>13757211</v>
      </c>
      <c r="BX279" s="8">
        <f>+BV279-'Gen Fd BS'!AE279+BT279</f>
        <v>0</v>
      </c>
      <c r="CA279" s="7" t="s">
        <v>914</v>
      </c>
      <c r="CB279" s="7" t="str">
        <f t="shared" si="68"/>
        <v>Lakewood City SD</v>
      </c>
      <c r="CC279" s="7" t="b">
        <f t="shared" si="65"/>
        <v>1</v>
      </c>
      <c r="CE279" s="12" t="str">
        <f>GenRev!A279</f>
        <v>Lakewood City SD</v>
      </c>
      <c r="CF279" s="7" t="b">
        <f t="shared" si="69"/>
        <v>1</v>
      </c>
      <c r="CG279" s="7" t="str">
        <f t="shared" si="66"/>
        <v>Cuyahoga</v>
      </c>
      <c r="CH279" s="7" t="b">
        <f t="shared" si="67"/>
        <v>1</v>
      </c>
      <c r="CI279" s="7" t="b">
        <f>C279=GenRev!C279</f>
        <v>1</v>
      </c>
    </row>
    <row r="280" spans="1:87">
      <c r="A280" s="12" t="s">
        <v>657</v>
      </c>
      <c r="B280" s="12"/>
      <c r="C280" s="12" t="s">
        <v>42</v>
      </c>
      <c r="D280" s="12"/>
      <c r="E280" s="12">
        <v>47993</v>
      </c>
      <c r="G280" s="7">
        <v>11830008</v>
      </c>
      <c r="I280" s="7">
        <v>0</v>
      </c>
      <c r="K280" s="7">
        <v>0</v>
      </c>
      <c r="M280" s="7">
        <v>0</v>
      </c>
      <c r="O280" s="7">
        <v>0</v>
      </c>
      <c r="Q280" s="7">
        <v>1132370</v>
      </c>
      <c r="S280" s="7">
        <v>286613</v>
      </c>
      <c r="U280" s="7">
        <v>54198</v>
      </c>
      <c r="W280" s="7">
        <v>1643921</v>
      </c>
      <c r="Y280" s="7">
        <v>584540</v>
      </c>
      <c r="AA280" s="7">
        <v>19723</v>
      </c>
      <c r="AC280" s="7">
        <v>1360240</v>
      </c>
      <c r="AE280" s="7">
        <v>1419379</v>
      </c>
      <c r="AG280" s="7">
        <v>278824</v>
      </c>
      <c r="AI280" s="7">
        <v>0</v>
      </c>
      <c r="AK280" s="7">
        <v>5051</v>
      </c>
      <c r="AL280" s="12" t="s">
        <v>657</v>
      </c>
      <c r="AM280" s="12"/>
      <c r="AN280" s="12" t="s">
        <v>42</v>
      </c>
      <c r="AP280" s="7">
        <v>220559</v>
      </c>
      <c r="AR280" s="7">
        <v>0</v>
      </c>
      <c r="AT280" s="7">
        <v>0</v>
      </c>
      <c r="AV280" s="7">
        <v>43458</v>
      </c>
      <c r="AX280" s="7">
        <v>9075</v>
      </c>
      <c r="AZ280" s="7">
        <v>0</v>
      </c>
      <c r="BB280" s="7">
        <f t="shared" si="61"/>
        <v>18887959</v>
      </c>
      <c r="BD280" s="7">
        <v>0</v>
      </c>
      <c r="BF280" s="7">
        <v>0</v>
      </c>
      <c r="BH280" s="7">
        <v>0</v>
      </c>
      <c r="BJ280" s="7">
        <v>0</v>
      </c>
      <c r="BL280" s="7">
        <f t="shared" si="62"/>
        <v>18887959</v>
      </c>
      <c r="BN280" s="7">
        <f>+GenRev!AM280-GenExp!BL280</f>
        <v>329750</v>
      </c>
      <c r="BP280" s="7">
        <v>4199142</v>
      </c>
      <c r="BR280" s="7">
        <v>12091</v>
      </c>
      <c r="BT280" s="7">
        <v>0</v>
      </c>
      <c r="BV280" s="7">
        <f t="shared" si="64"/>
        <v>4516801</v>
      </c>
      <c r="BX280" s="8">
        <f>+BV280-'Gen Fd BS'!AE280+BT280</f>
        <v>0</v>
      </c>
      <c r="CB280" s="7" t="str">
        <f t="shared" si="68"/>
        <v>Lakewood Local  SD</v>
      </c>
      <c r="CC280" s="7" t="b">
        <f t="shared" si="65"/>
        <v>1</v>
      </c>
      <c r="CE280" s="12" t="str">
        <f>GenRev!A280</f>
        <v>Lakewood Local  SD</v>
      </c>
      <c r="CF280" s="7" t="b">
        <f t="shared" si="69"/>
        <v>1</v>
      </c>
      <c r="CG280" s="7" t="str">
        <f t="shared" si="66"/>
        <v>Licking</v>
      </c>
      <c r="CH280" s="7" t="b">
        <f t="shared" si="67"/>
        <v>1</v>
      </c>
      <c r="CI280" s="7" t="b">
        <f>C280=GenRev!C280</f>
        <v>1</v>
      </c>
    </row>
    <row r="281" spans="1:87">
      <c r="A281" s="12" t="s">
        <v>226</v>
      </c>
      <c r="B281" s="12"/>
      <c r="C281" s="12" t="s">
        <v>223</v>
      </c>
      <c r="D281" s="12"/>
      <c r="E281" s="12">
        <v>46110</v>
      </c>
      <c r="G281" s="7">
        <v>72534076</v>
      </c>
      <c r="I281" s="7">
        <v>14861002</v>
      </c>
      <c r="K281" s="7">
        <v>258</v>
      </c>
      <c r="M281" s="7">
        <v>0</v>
      </c>
      <c r="O281" s="7">
        <v>4741419</v>
      </c>
      <c r="Q281" s="7">
        <v>10338879</v>
      </c>
      <c r="S281" s="7">
        <v>9416017</v>
      </c>
      <c r="U281" s="7">
        <v>93099</v>
      </c>
      <c r="W281" s="7">
        <v>12360834</v>
      </c>
      <c r="Y281" s="7">
        <v>1158273</v>
      </c>
      <c r="AA281" s="7">
        <v>329850</v>
      </c>
      <c r="AC281" s="7">
        <v>12701784</v>
      </c>
      <c r="AE281" s="7">
        <v>11261154</v>
      </c>
      <c r="AG281" s="7">
        <v>3038797</v>
      </c>
      <c r="AI281" s="7">
        <v>0</v>
      </c>
      <c r="AK281" s="7">
        <v>47549</v>
      </c>
      <c r="AL281" s="12" t="s">
        <v>226</v>
      </c>
      <c r="AM281" s="12"/>
      <c r="AN281" s="12" t="s">
        <v>223</v>
      </c>
      <c r="AP281" s="7">
        <v>236702</v>
      </c>
      <c r="AR281" s="7">
        <v>1467616</v>
      </c>
      <c r="AT281" s="7">
        <v>0</v>
      </c>
      <c r="AV281" s="7">
        <v>0</v>
      </c>
      <c r="AX281" s="7">
        <v>0</v>
      </c>
      <c r="AZ281" s="7">
        <v>0</v>
      </c>
      <c r="BB281" s="7">
        <f t="shared" si="61"/>
        <v>154587309</v>
      </c>
      <c r="BD281" s="7">
        <v>1500000</v>
      </c>
      <c r="BF281" s="7">
        <v>0</v>
      </c>
      <c r="BH281" s="7">
        <v>0</v>
      </c>
      <c r="BJ281" s="7">
        <v>0</v>
      </c>
      <c r="BL281" s="7">
        <f t="shared" si="62"/>
        <v>156087309</v>
      </c>
      <c r="BN281" s="7">
        <f>+GenRev!AM281-GenExp!BL281</f>
        <v>-13463941</v>
      </c>
      <c r="BP281" s="7">
        <v>26567773</v>
      </c>
      <c r="BR281" s="7">
        <v>0</v>
      </c>
      <c r="BT281" s="7">
        <v>0</v>
      </c>
      <c r="BV281" s="7">
        <f t="shared" si="64"/>
        <v>13103832</v>
      </c>
      <c r="BX281" s="8">
        <f>+BV281-'Gen Fd BS'!AE281+BT281</f>
        <v>0</v>
      </c>
      <c r="CB281" s="7" t="str">
        <f t="shared" si="68"/>
        <v>Lakota Local SD</v>
      </c>
      <c r="CC281" s="7" t="b">
        <f t="shared" si="65"/>
        <v>1</v>
      </c>
      <c r="CE281" s="12" t="str">
        <f>GenRev!A281</f>
        <v>Lakota Local SD</v>
      </c>
      <c r="CF281" s="7" t="b">
        <f t="shared" si="69"/>
        <v>1</v>
      </c>
      <c r="CG281" s="7" t="str">
        <f t="shared" si="66"/>
        <v>Butler</v>
      </c>
      <c r="CH281" s="7" t="b">
        <f t="shared" si="67"/>
        <v>1</v>
      </c>
      <c r="CI281" s="7" t="b">
        <f>C281=GenRev!C281</f>
        <v>1</v>
      </c>
    </row>
    <row r="282" spans="1:87" hidden="1">
      <c r="A282" s="12" t="s">
        <v>915</v>
      </c>
      <c r="B282" s="12"/>
      <c r="C282" s="12" t="s">
        <v>79</v>
      </c>
      <c r="D282" s="12"/>
      <c r="E282" s="12">
        <v>49569</v>
      </c>
      <c r="AL282" s="12" t="s">
        <v>915</v>
      </c>
      <c r="AM282" s="12"/>
      <c r="AN282" s="12" t="s">
        <v>79</v>
      </c>
      <c r="AT282" s="7">
        <v>0</v>
      </c>
      <c r="AZ282" s="7">
        <v>0</v>
      </c>
      <c r="BB282" s="7">
        <f t="shared" si="61"/>
        <v>0</v>
      </c>
      <c r="BF282" s="7">
        <v>0</v>
      </c>
      <c r="BH282" s="7">
        <v>0</v>
      </c>
      <c r="BJ282" s="7">
        <v>0</v>
      </c>
      <c r="BL282" s="7">
        <f t="shared" si="62"/>
        <v>0</v>
      </c>
      <c r="BN282" s="7">
        <f>+GenRev!AM282-GenExp!BL282</f>
        <v>0</v>
      </c>
      <c r="BT282" s="7">
        <v>0</v>
      </c>
      <c r="BV282" s="7">
        <f t="shared" si="64"/>
        <v>0</v>
      </c>
      <c r="BX282" s="8">
        <f>+BV282-'Gen Fd BS'!AE282+BT282</f>
        <v>0</v>
      </c>
      <c r="CA282" s="7" t="s">
        <v>903</v>
      </c>
      <c r="CB282" s="7" t="str">
        <f t="shared" si="68"/>
        <v>Lakota Local SD (CASH)</v>
      </c>
      <c r="CC282" s="7" t="b">
        <f t="shared" si="65"/>
        <v>1</v>
      </c>
      <c r="CE282" s="12" t="str">
        <f>GenRev!A282</f>
        <v>Lakota Local SD (CASH)</v>
      </c>
      <c r="CF282" s="7" t="b">
        <f t="shared" si="69"/>
        <v>1</v>
      </c>
      <c r="CG282" s="7" t="str">
        <f t="shared" si="66"/>
        <v>Sandusky</v>
      </c>
      <c r="CH282" s="7" t="b">
        <f t="shared" si="67"/>
        <v>1</v>
      </c>
      <c r="CI282" s="7" t="b">
        <f>C282=GenRev!C282</f>
        <v>1</v>
      </c>
    </row>
    <row r="283" spans="1:87">
      <c r="A283" s="12" t="s">
        <v>301</v>
      </c>
      <c r="B283" s="12"/>
      <c r="C283" s="12" t="s">
        <v>25</v>
      </c>
      <c r="D283" s="12"/>
      <c r="E283" s="12">
        <v>44206</v>
      </c>
      <c r="G283" s="7">
        <v>24233729</v>
      </c>
      <c r="I283" s="7">
        <v>4838769</v>
      </c>
      <c r="K283" s="7">
        <v>1853512</v>
      </c>
      <c r="M283" s="7">
        <v>0</v>
      </c>
      <c r="O283" s="7">
        <v>312874</v>
      </c>
      <c r="Q283" s="7">
        <v>2509664</v>
      </c>
      <c r="S283" s="7">
        <v>2796104</v>
      </c>
      <c r="U283" s="7">
        <v>138662</v>
      </c>
      <c r="W283" s="7">
        <v>3750669</v>
      </c>
      <c r="Y283" s="7">
        <v>1220695</v>
      </c>
      <c r="AA283" s="7">
        <v>297106</v>
      </c>
      <c r="AC283" s="7">
        <v>3771238</v>
      </c>
      <c r="AE283" s="7">
        <v>1795112</v>
      </c>
      <c r="AG283" s="7">
        <v>801575</v>
      </c>
      <c r="AI283" s="7">
        <v>310</v>
      </c>
      <c r="AK283" s="7">
        <v>98749</v>
      </c>
      <c r="AL283" s="12" t="s">
        <v>301</v>
      </c>
      <c r="AM283" s="12"/>
      <c r="AN283" s="12" t="s">
        <v>25</v>
      </c>
      <c r="AP283" s="7">
        <v>931823</v>
      </c>
      <c r="AR283" s="7">
        <v>450401</v>
      </c>
      <c r="AT283" s="7">
        <v>0</v>
      </c>
      <c r="AV283" s="7">
        <v>136219</v>
      </c>
      <c r="AX283" s="7">
        <v>48045</v>
      </c>
      <c r="AZ283" s="7">
        <v>0</v>
      </c>
      <c r="BB283" s="7">
        <f t="shared" si="61"/>
        <v>49985256</v>
      </c>
      <c r="BD283" s="7">
        <v>14427</v>
      </c>
      <c r="BF283" s="7">
        <v>0</v>
      </c>
      <c r="BH283" s="7">
        <v>0</v>
      </c>
      <c r="BJ283" s="7">
        <v>0</v>
      </c>
      <c r="BL283" s="7">
        <f t="shared" si="62"/>
        <v>49999683</v>
      </c>
      <c r="BN283" s="7">
        <f>+GenRev!AM283-GenExp!BL283</f>
        <v>6261292</v>
      </c>
      <c r="BP283" s="7">
        <v>19404292</v>
      </c>
      <c r="BR283" s="7">
        <v>0</v>
      </c>
      <c r="BT283" s="7">
        <v>0</v>
      </c>
      <c r="BV283" s="7">
        <f t="shared" si="64"/>
        <v>25665584</v>
      </c>
      <c r="BX283" s="8">
        <f>+BV283-'Gen Fd BS'!AE283+BT283</f>
        <v>0</v>
      </c>
      <c r="CB283" s="7" t="str">
        <f t="shared" si="68"/>
        <v>Lancaster City SD</v>
      </c>
      <c r="CC283" s="7" t="b">
        <f t="shared" si="65"/>
        <v>1</v>
      </c>
      <c r="CE283" s="12" t="str">
        <f>GenRev!A283</f>
        <v>Lancaster City SD</v>
      </c>
      <c r="CF283" s="7" t="b">
        <f t="shared" si="69"/>
        <v>1</v>
      </c>
      <c r="CG283" s="7" t="str">
        <f t="shared" si="66"/>
        <v>Fairfield</v>
      </c>
      <c r="CH283" s="7" t="b">
        <f t="shared" si="67"/>
        <v>1</v>
      </c>
      <c r="CI283" s="7" t="b">
        <f>C283=GenRev!C283</f>
        <v>1</v>
      </c>
    </row>
    <row r="284" spans="1:87" hidden="1">
      <c r="A284" s="12" t="s">
        <v>771</v>
      </c>
      <c r="B284" s="12"/>
      <c r="C284" s="12" t="s">
        <v>69</v>
      </c>
      <c r="D284" s="12"/>
      <c r="E284" s="12">
        <v>44214</v>
      </c>
      <c r="AL284" s="12" t="s">
        <v>771</v>
      </c>
      <c r="AM284" s="12"/>
      <c r="AN284" s="12" t="s">
        <v>69</v>
      </c>
      <c r="AT284" s="7">
        <v>0</v>
      </c>
      <c r="AZ284" s="7">
        <v>0</v>
      </c>
      <c r="BB284" s="7">
        <f>SUM(G284:AZ284)</f>
        <v>0</v>
      </c>
      <c r="BF284" s="7">
        <v>0</v>
      </c>
      <c r="BH284" s="7">
        <v>0</v>
      </c>
      <c r="BJ284" s="7">
        <v>0</v>
      </c>
      <c r="BL284" s="7">
        <f>+BB284+BD284+BF284+BJ284</f>
        <v>0</v>
      </c>
      <c r="BN284" s="7">
        <f>+GenRev!AM284-GenExp!BL284</f>
        <v>0</v>
      </c>
      <c r="BT284" s="7">
        <v>0</v>
      </c>
      <c r="BV284" s="7">
        <f t="shared" si="64"/>
        <v>0</v>
      </c>
      <c r="BX284" s="8">
        <f>+BV284-'Gen Fd BS'!AE284+BT284</f>
        <v>0</v>
      </c>
      <c r="CA284" s="7" t="s">
        <v>839</v>
      </c>
      <c r="CB284" s="7" t="str">
        <f t="shared" si="68"/>
        <v xml:space="preserve">Lebanon City SD (CASH) </v>
      </c>
      <c r="CC284" s="7" t="b">
        <f t="shared" si="65"/>
        <v>1</v>
      </c>
      <c r="CE284" s="12" t="str">
        <f>GenRev!A284</f>
        <v xml:space="preserve">Lebanon City SD (CASH) </v>
      </c>
      <c r="CF284" s="7" t="b">
        <f t="shared" si="69"/>
        <v>1</v>
      </c>
      <c r="CG284" s="7" t="str">
        <f t="shared" si="66"/>
        <v>Warren</v>
      </c>
      <c r="CH284" s="7" t="b">
        <f t="shared" si="67"/>
        <v>1</v>
      </c>
      <c r="CI284" s="7" t="b">
        <f>C284=GenRev!C284</f>
        <v>1</v>
      </c>
    </row>
    <row r="285" spans="1:87">
      <c r="A285" s="12" t="s">
        <v>322</v>
      </c>
      <c r="B285" s="12"/>
      <c r="C285" s="12" t="s">
        <v>30</v>
      </c>
      <c r="D285" s="12"/>
      <c r="E285" s="12">
        <v>47209</v>
      </c>
      <c r="G285" s="7">
        <v>2307625</v>
      </c>
      <c r="I285" s="7">
        <v>800771</v>
      </c>
      <c r="K285" s="7">
        <v>103995</v>
      </c>
      <c r="M285" s="7">
        <v>0</v>
      </c>
      <c r="O285" s="7">
        <v>638307</v>
      </c>
      <c r="Q285" s="7">
        <v>104547</v>
      </c>
      <c r="S285" s="7">
        <v>92765</v>
      </c>
      <c r="U285" s="7">
        <v>34332</v>
      </c>
      <c r="W285" s="7">
        <v>489400</v>
      </c>
      <c r="Y285" s="7">
        <v>228475</v>
      </c>
      <c r="AA285" s="7">
        <v>0</v>
      </c>
      <c r="AC285" s="7">
        <v>684611</v>
      </c>
      <c r="AE285" s="7">
        <v>519439</v>
      </c>
      <c r="AG285" s="7">
        <v>10172</v>
      </c>
      <c r="AI285" s="7">
        <v>0</v>
      </c>
      <c r="AK285" s="7">
        <v>3961</v>
      </c>
      <c r="AL285" s="12" t="s">
        <v>322</v>
      </c>
      <c r="AM285" s="12"/>
      <c r="AN285" s="12" t="s">
        <v>30</v>
      </c>
      <c r="AP285" s="7">
        <v>87296</v>
      </c>
      <c r="AR285" s="7">
        <v>20</v>
      </c>
      <c r="AT285" s="7">
        <v>0</v>
      </c>
      <c r="AV285" s="7">
        <v>0</v>
      </c>
      <c r="AX285" s="7">
        <v>2479</v>
      </c>
      <c r="AZ285" s="7">
        <v>0</v>
      </c>
      <c r="BB285" s="7">
        <f t="shared" ref="BB285:BB297" si="70">SUM(G285:AZ285)</f>
        <v>6108195</v>
      </c>
      <c r="BD285" s="7">
        <v>1350</v>
      </c>
      <c r="BF285" s="7">
        <v>0</v>
      </c>
      <c r="BH285" s="7">
        <v>0</v>
      </c>
      <c r="BJ285" s="7">
        <v>0</v>
      </c>
      <c r="BL285" s="7">
        <f>+BB285+BD285+BF285+BJ285</f>
        <v>6109545</v>
      </c>
      <c r="BN285" s="7">
        <f>+GenRev!AM285-GenExp!BL285</f>
        <v>-1100795</v>
      </c>
      <c r="BP285" s="7">
        <v>-680368</v>
      </c>
      <c r="BR285" s="7">
        <v>0</v>
      </c>
      <c r="BT285" s="7">
        <v>0</v>
      </c>
      <c r="BV285" s="7">
        <f t="shared" si="64"/>
        <v>-1781163</v>
      </c>
      <c r="BX285" s="8">
        <f>+BV285-'Gen Fd BS'!AE285+BT285</f>
        <v>0</v>
      </c>
      <c r="CB285" s="7" t="str">
        <f t="shared" si="68"/>
        <v>Ledgemont Local SD</v>
      </c>
      <c r="CC285" s="7" t="b">
        <f t="shared" si="65"/>
        <v>1</v>
      </c>
      <c r="CE285" s="12" t="str">
        <f>GenRev!A285</f>
        <v>Ledgemont Local SD</v>
      </c>
      <c r="CF285" s="7" t="b">
        <f t="shared" si="69"/>
        <v>1</v>
      </c>
      <c r="CG285" s="7" t="str">
        <f t="shared" si="66"/>
        <v>Geauga</v>
      </c>
      <c r="CH285" s="7" t="b">
        <f t="shared" si="67"/>
        <v>1</v>
      </c>
      <c r="CI285" s="7" t="b">
        <f>C285=GenRev!C285</f>
        <v>1</v>
      </c>
    </row>
    <row r="286" spans="1:87" hidden="1">
      <c r="A286" s="12" t="s">
        <v>872</v>
      </c>
      <c r="B286" s="12"/>
      <c r="C286" s="12" t="s">
        <v>112</v>
      </c>
      <c r="D286" s="12"/>
      <c r="E286" s="12"/>
      <c r="AL286" s="12" t="s">
        <v>872</v>
      </c>
      <c r="AM286" s="12"/>
      <c r="AN286" s="12" t="s">
        <v>112</v>
      </c>
      <c r="AT286" s="7">
        <v>0</v>
      </c>
      <c r="AZ286" s="7">
        <v>0</v>
      </c>
      <c r="BF286" s="7">
        <v>0</v>
      </c>
      <c r="BH286" s="7">
        <v>0</v>
      </c>
      <c r="BJ286" s="7">
        <v>0</v>
      </c>
      <c r="BN286" s="7">
        <f>+GenRev!AM286-GenExp!BL286</f>
        <v>0</v>
      </c>
      <c r="BT286" s="7">
        <v>0</v>
      </c>
      <c r="BX286" s="8">
        <f>+BV286-'Gen Fd BS'!AE286+BT286</f>
        <v>0</v>
      </c>
      <c r="CA286" s="7" t="s">
        <v>917</v>
      </c>
      <c r="CB286" s="7" t="str">
        <f t="shared" ref="CB286" si="71">A286</f>
        <v>Leetonia Exempted Village SD (CASH)</v>
      </c>
      <c r="CC286" s="7" t="b">
        <f t="shared" si="65"/>
        <v>1</v>
      </c>
      <c r="CE286" s="12" t="str">
        <f>GenRev!A286</f>
        <v>Leetonia Exempted Village SD (CASH)</v>
      </c>
      <c r="CF286" s="7" t="b">
        <f t="shared" ref="CF286" si="72">CB286=CE286</f>
        <v>1</v>
      </c>
      <c r="CG286" s="7" t="str">
        <f t="shared" si="66"/>
        <v>Columbiana</v>
      </c>
      <c r="CH286" s="7" t="b">
        <f t="shared" si="67"/>
        <v>1</v>
      </c>
      <c r="CI286" s="7" t="b">
        <f>C286=GenRev!C286</f>
        <v>1</v>
      </c>
    </row>
    <row r="287" spans="1:87" hidden="1">
      <c r="A287" s="12" t="s">
        <v>717</v>
      </c>
      <c r="B287" s="12"/>
      <c r="C287" s="12" t="s">
        <v>482</v>
      </c>
      <c r="D287" s="12"/>
      <c r="E287" s="12">
        <v>49353</v>
      </c>
      <c r="AL287" s="12" t="s">
        <v>717</v>
      </c>
      <c r="AM287" s="12"/>
      <c r="AN287" s="12" t="s">
        <v>482</v>
      </c>
      <c r="AT287" s="7">
        <v>0</v>
      </c>
      <c r="AZ287" s="7">
        <v>0</v>
      </c>
      <c r="BB287" s="7">
        <f t="shared" si="70"/>
        <v>0</v>
      </c>
      <c r="BF287" s="7">
        <v>0</v>
      </c>
      <c r="BH287" s="7">
        <v>0</v>
      </c>
      <c r="BJ287" s="7">
        <v>0</v>
      </c>
      <c r="BL287" s="7">
        <f>+BB287+BD287+BF287+BJ287</f>
        <v>0</v>
      </c>
      <c r="BN287" s="7">
        <f>+GenRev!AM287-GenExp!BL287</f>
        <v>0</v>
      </c>
      <c r="BT287" s="7">
        <v>0</v>
      </c>
      <c r="BV287" s="7">
        <f t="shared" si="64"/>
        <v>0</v>
      </c>
      <c r="BX287" s="8">
        <f>+BV287-'Gen Fd BS'!AE287+BT287</f>
        <v>0</v>
      </c>
      <c r="CA287" s="7" t="s">
        <v>839</v>
      </c>
      <c r="CB287" s="7" t="str">
        <f t="shared" si="68"/>
        <v>Leipsic Local SD (CASH)</v>
      </c>
      <c r="CC287" s="7" t="b">
        <f t="shared" si="65"/>
        <v>1</v>
      </c>
      <c r="CE287" s="12" t="str">
        <f>GenRev!A287</f>
        <v>Leipsic Local SD (CASH)</v>
      </c>
      <c r="CF287" s="7" t="b">
        <f t="shared" si="69"/>
        <v>1</v>
      </c>
      <c r="CG287" s="7" t="str">
        <f t="shared" si="66"/>
        <v>Putnam</v>
      </c>
      <c r="CH287" s="7" t="b">
        <f t="shared" si="67"/>
        <v>1</v>
      </c>
      <c r="CI287" s="7" t="b">
        <f>C287=GenRev!C287</f>
        <v>1</v>
      </c>
    </row>
    <row r="288" spans="1:87" hidden="1">
      <c r="A288" s="12" t="s">
        <v>918</v>
      </c>
      <c r="B288" s="12"/>
      <c r="C288" s="12" t="s">
        <v>110</v>
      </c>
      <c r="D288" s="12"/>
      <c r="E288" s="12">
        <v>49437</v>
      </c>
      <c r="AL288" s="12" t="s">
        <v>918</v>
      </c>
      <c r="AM288" s="12"/>
      <c r="AN288" s="12" t="s">
        <v>110</v>
      </c>
      <c r="AT288" s="7">
        <v>0</v>
      </c>
      <c r="AZ288" s="7">
        <v>0</v>
      </c>
      <c r="BB288" s="7">
        <f t="shared" si="70"/>
        <v>0</v>
      </c>
      <c r="BF288" s="7">
        <v>0</v>
      </c>
      <c r="BH288" s="7">
        <v>0</v>
      </c>
      <c r="BJ288" s="7">
        <v>0</v>
      </c>
      <c r="BL288" s="7">
        <f t="shared" ref="BL288:BL310" si="73">+BB288+BD288+BF288+BJ288</f>
        <v>0</v>
      </c>
      <c r="BN288" s="7">
        <f>+GenRev!AM288-GenExp!BL288</f>
        <v>0</v>
      </c>
      <c r="BT288" s="7">
        <v>0</v>
      </c>
      <c r="BV288" s="7">
        <f t="shared" si="64"/>
        <v>0</v>
      </c>
      <c r="BX288" s="8">
        <f>+BV288-'Gen Fd BS'!AE288+BT288</f>
        <v>0</v>
      </c>
      <c r="CA288" s="7" t="s">
        <v>912</v>
      </c>
      <c r="CB288" s="7" t="str">
        <f t="shared" si="68"/>
        <v>Lexington Local SD (CASH)</v>
      </c>
      <c r="CC288" s="7" t="b">
        <f t="shared" si="65"/>
        <v>1</v>
      </c>
      <c r="CE288" s="12" t="str">
        <f>GenRev!A288</f>
        <v>Lexington Local SD (CASH)</v>
      </c>
      <c r="CF288" s="7" t="b">
        <f t="shared" si="69"/>
        <v>1</v>
      </c>
      <c r="CG288" s="7" t="str">
        <f t="shared" si="66"/>
        <v>Richland</v>
      </c>
      <c r="CH288" s="7" t="b">
        <f t="shared" si="67"/>
        <v>1</v>
      </c>
      <c r="CI288" s="7" t="b">
        <f>C288=GenRev!C288</f>
        <v>1</v>
      </c>
    </row>
    <row r="289" spans="1:87">
      <c r="A289" s="12" t="s">
        <v>920</v>
      </c>
      <c r="B289" s="12"/>
      <c r="C289" s="12" t="s">
        <v>33</v>
      </c>
      <c r="D289" s="12"/>
      <c r="E289" s="12">
        <v>47449</v>
      </c>
      <c r="F289" s="10"/>
      <c r="G289" s="7">
        <v>5564135</v>
      </c>
      <c r="I289" s="7">
        <v>1132558</v>
      </c>
      <c r="K289" s="7">
        <v>359083</v>
      </c>
      <c r="M289" s="7">
        <v>0</v>
      </c>
      <c r="O289" s="7">
        <v>0</v>
      </c>
      <c r="Q289" s="7">
        <v>805576</v>
      </c>
      <c r="S289" s="7">
        <v>378036</v>
      </c>
      <c r="U289" s="7">
        <v>8334</v>
      </c>
      <c r="W289" s="7">
        <v>856702</v>
      </c>
      <c r="Y289" s="7">
        <v>302661</v>
      </c>
      <c r="AA289" s="7">
        <v>1931</v>
      </c>
      <c r="AC289" s="7">
        <v>813522</v>
      </c>
      <c r="AE289" s="7">
        <v>502655</v>
      </c>
      <c r="AG289" s="7">
        <v>103240</v>
      </c>
      <c r="AI289" s="7">
        <v>0</v>
      </c>
      <c r="AK289" s="7">
        <v>0</v>
      </c>
      <c r="AL289" s="12" t="s">
        <v>920</v>
      </c>
      <c r="AM289" s="12"/>
      <c r="AN289" s="12" t="s">
        <v>33</v>
      </c>
      <c r="AP289" s="7">
        <v>304398</v>
      </c>
      <c r="AR289" s="7">
        <v>18043</v>
      </c>
      <c r="AT289" s="7">
        <v>0</v>
      </c>
      <c r="AV289" s="7">
        <v>0</v>
      </c>
      <c r="AX289" s="7">
        <v>0</v>
      </c>
      <c r="AZ289" s="7">
        <v>0</v>
      </c>
      <c r="BB289" s="7">
        <f>SUM(G289:AZ289)</f>
        <v>11150874</v>
      </c>
      <c r="BD289" s="7">
        <v>159301</v>
      </c>
      <c r="BF289" s="7">
        <v>0</v>
      </c>
      <c r="BH289" s="7">
        <v>0</v>
      </c>
      <c r="BJ289" s="7">
        <v>0</v>
      </c>
      <c r="BL289" s="7">
        <f>+BB289+BD289+BF289+BJ289</f>
        <v>11310175</v>
      </c>
      <c r="BN289" s="7">
        <f>+GenRev!AM289-GenExp!BL289</f>
        <v>756909</v>
      </c>
      <c r="BP289" s="7">
        <v>3964750</v>
      </c>
      <c r="BR289" s="7">
        <v>0</v>
      </c>
      <c r="BT289" s="7">
        <v>0</v>
      </c>
      <c r="BV289" s="7">
        <f>+BP289+BN289-BR289</f>
        <v>4721659</v>
      </c>
      <c r="BX289" s="8">
        <f>+BV289-'Gen Fd BS'!AE289+BT289</f>
        <v>0</v>
      </c>
      <c r="CB289" s="7" t="str">
        <f>A289</f>
        <v>Liberty Benton Local SD</v>
      </c>
      <c r="CC289" s="7" t="b">
        <f>A289=AL289</f>
        <v>1</v>
      </c>
      <c r="CE289" s="12" t="str">
        <f>GenRev!A289</f>
        <v>Liberty Benton Local SD</v>
      </c>
      <c r="CF289" s="7" t="b">
        <f>CB289=CE289</f>
        <v>1</v>
      </c>
      <c r="CG289" s="7" t="str">
        <f>C289</f>
        <v>Hancock</v>
      </c>
      <c r="CH289" s="7" t="b">
        <f>C289=AN289</f>
        <v>1</v>
      </c>
      <c r="CI289" s="7" t="b">
        <f>C289=GenRev!C289</f>
        <v>1</v>
      </c>
    </row>
    <row r="290" spans="1:87">
      <c r="A290" s="12" t="s">
        <v>355</v>
      </c>
      <c r="B290" s="12"/>
      <c r="C290" s="12" t="s">
        <v>34</v>
      </c>
      <c r="D290" s="12"/>
      <c r="E290" s="12">
        <v>47589</v>
      </c>
      <c r="G290" s="7">
        <v>4066812</v>
      </c>
      <c r="I290" s="7">
        <v>1730661</v>
      </c>
      <c r="K290" s="7">
        <v>243094</v>
      </c>
      <c r="M290" s="7">
        <v>0</v>
      </c>
      <c r="O290" s="7">
        <f>55560+280282</f>
        <v>335842</v>
      </c>
      <c r="Q290" s="7">
        <v>714593</v>
      </c>
      <c r="S290" s="7">
        <v>511334</v>
      </c>
      <c r="U290" s="7">
        <v>76919</v>
      </c>
      <c r="W290" s="7">
        <v>767354</v>
      </c>
      <c r="Y290" s="7">
        <v>297559</v>
      </c>
      <c r="AA290" s="7">
        <v>0</v>
      </c>
      <c r="AC290" s="7">
        <v>757686</v>
      </c>
      <c r="AE290" s="7">
        <v>471927</v>
      </c>
      <c r="AG290" s="7">
        <v>97410</v>
      </c>
      <c r="AI290" s="7">
        <v>0</v>
      </c>
      <c r="AK290" s="7">
        <v>0</v>
      </c>
      <c r="AL290" s="12" t="s">
        <v>355</v>
      </c>
      <c r="AM290" s="12"/>
      <c r="AN290" s="12" t="s">
        <v>34</v>
      </c>
      <c r="AP290" s="7">
        <v>315123</v>
      </c>
      <c r="AR290" s="7">
        <v>25984</v>
      </c>
      <c r="AT290" s="7">
        <v>0</v>
      </c>
      <c r="AV290" s="7">
        <v>62418</v>
      </c>
      <c r="AX290" s="7">
        <v>0</v>
      </c>
      <c r="AZ290" s="7">
        <v>0</v>
      </c>
      <c r="BB290" s="7">
        <f t="shared" si="70"/>
        <v>10474716</v>
      </c>
      <c r="BD290" s="7">
        <v>0</v>
      </c>
      <c r="BF290" s="7">
        <v>0</v>
      </c>
      <c r="BH290" s="7">
        <v>0</v>
      </c>
      <c r="BJ290" s="7">
        <v>0</v>
      </c>
      <c r="BL290" s="7">
        <f t="shared" si="73"/>
        <v>10474716</v>
      </c>
      <c r="BN290" s="7">
        <f>+GenRev!AM290-GenExp!BL290</f>
        <v>1072336</v>
      </c>
      <c r="BP290" s="7">
        <v>3582218</v>
      </c>
      <c r="BR290" s="7">
        <v>0</v>
      </c>
      <c r="BT290" s="7">
        <v>0</v>
      </c>
      <c r="BV290" s="7">
        <f t="shared" si="64"/>
        <v>4654554</v>
      </c>
      <c r="BX290" s="8">
        <f>+BV290-'Gen Fd BS'!AE290+BT290</f>
        <v>0</v>
      </c>
      <c r="CB290" s="7" t="str">
        <f t="shared" si="68"/>
        <v>Liberty Center Local SD</v>
      </c>
      <c r="CC290" s="7" t="b">
        <f t="shared" si="65"/>
        <v>1</v>
      </c>
      <c r="CE290" s="12" t="str">
        <f>GenRev!A290</f>
        <v>Liberty Center Local SD</v>
      </c>
      <c r="CF290" s="7" t="b">
        <f t="shared" si="69"/>
        <v>1</v>
      </c>
      <c r="CG290" s="7" t="str">
        <f t="shared" si="66"/>
        <v>Henry</v>
      </c>
      <c r="CH290" s="7" t="b">
        <f t="shared" si="67"/>
        <v>1</v>
      </c>
      <c r="CI290" s="7" t="b">
        <f>C290=GenRev!C290</f>
        <v>1</v>
      </c>
    </row>
    <row r="291" spans="1:87">
      <c r="A291" s="12" t="s">
        <v>542</v>
      </c>
      <c r="B291" s="12"/>
      <c r="C291" s="12" t="s">
        <v>64</v>
      </c>
      <c r="D291" s="12"/>
      <c r="E291" s="12">
        <v>50195</v>
      </c>
      <c r="G291" s="7">
        <v>9357380</v>
      </c>
      <c r="I291" s="7">
        <v>692363</v>
      </c>
      <c r="K291" s="7">
        <v>43614</v>
      </c>
      <c r="M291" s="7">
        <v>0</v>
      </c>
      <c r="O291" s="7">
        <v>0</v>
      </c>
      <c r="Q291" s="7">
        <v>408593</v>
      </c>
      <c r="S291" s="7">
        <v>270791</v>
      </c>
      <c r="U291" s="7">
        <v>14608</v>
      </c>
      <c r="W291" s="7">
        <v>2032136</v>
      </c>
      <c r="Y291" s="7">
        <v>848107</v>
      </c>
      <c r="AA291" s="7">
        <v>4749</v>
      </c>
      <c r="AC291" s="7">
        <v>1088226</v>
      </c>
      <c r="AE291" s="7">
        <v>768181</v>
      </c>
      <c r="AG291" s="7">
        <v>33985</v>
      </c>
      <c r="AI291" s="7">
        <v>0</v>
      </c>
      <c r="AK291" s="7">
        <v>958</v>
      </c>
      <c r="AL291" s="12" t="s">
        <v>542</v>
      </c>
      <c r="AM291" s="12"/>
      <c r="AN291" s="12" t="s">
        <v>64</v>
      </c>
      <c r="AP291" s="7">
        <v>314039</v>
      </c>
      <c r="AR291" s="7">
        <v>0</v>
      </c>
      <c r="AT291" s="7">
        <v>0</v>
      </c>
      <c r="AV291" s="7">
        <v>0</v>
      </c>
      <c r="AX291" s="7">
        <v>102002</v>
      </c>
      <c r="AZ291" s="7">
        <v>0</v>
      </c>
      <c r="BB291" s="7">
        <f t="shared" si="70"/>
        <v>15979732</v>
      </c>
      <c r="BD291" s="7">
        <v>41795</v>
      </c>
      <c r="BF291" s="7">
        <v>0</v>
      </c>
      <c r="BH291" s="7">
        <v>0</v>
      </c>
      <c r="BJ291" s="7">
        <v>0</v>
      </c>
      <c r="BL291" s="7">
        <f t="shared" si="73"/>
        <v>16021527</v>
      </c>
      <c r="BN291" s="7">
        <f>+GenRev!AM291-GenExp!BL291</f>
        <v>-892698</v>
      </c>
      <c r="BP291" s="7">
        <v>-2871144</v>
      </c>
      <c r="BR291" s="7">
        <v>5471</v>
      </c>
      <c r="BT291" s="7">
        <v>0</v>
      </c>
      <c r="BV291" s="7">
        <f t="shared" si="64"/>
        <v>-3769313</v>
      </c>
      <c r="BX291" s="8">
        <f>+BV291-'Gen Fd BS'!AE291+BT291</f>
        <v>0</v>
      </c>
      <c r="CB291" s="7" t="str">
        <f t="shared" si="68"/>
        <v>Liberty Local SD</v>
      </c>
      <c r="CC291" s="7" t="b">
        <f t="shared" si="65"/>
        <v>1</v>
      </c>
      <c r="CE291" s="12" t="str">
        <f>GenRev!A291</f>
        <v>Liberty Local SD</v>
      </c>
      <c r="CF291" s="7" t="b">
        <f t="shared" si="69"/>
        <v>1</v>
      </c>
      <c r="CG291" s="7" t="str">
        <f t="shared" si="66"/>
        <v>Trumbull</v>
      </c>
      <c r="CH291" s="7" t="b">
        <f t="shared" si="67"/>
        <v>1</v>
      </c>
      <c r="CI291" s="7" t="b">
        <f>C291=GenRev!C291</f>
        <v>1</v>
      </c>
    </row>
    <row r="292" spans="1:87">
      <c r="A292" s="12" t="s">
        <v>842</v>
      </c>
      <c r="B292" s="12"/>
      <c r="C292" s="12" t="s">
        <v>25</v>
      </c>
      <c r="D292" s="12"/>
      <c r="E292" s="12">
        <v>46888</v>
      </c>
      <c r="G292" s="7">
        <v>4962129</v>
      </c>
      <c r="I292" s="7">
        <v>1004217</v>
      </c>
      <c r="K292" s="7">
        <v>433552</v>
      </c>
      <c r="M292" s="7">
        <v>0</v>
      </c>
      <c r="O292" s="7">
        <f>2745+114215</f>
        <v>116960</v>
      </c>
      <c r="Q292" s="7">
        <v>665208</v>
      </c>
      <c r="S292" s="7">
        <v>675843</v>
      </c>
      <c r="U292" s="7">
        <v>75856</v>
      </c>
      <c r="W292" s="7">
        <v>1052685</v>
      </c>
      <c r="Y292" s="7">
        <v>445885</v>
      </c>
      <c r="AA292" s="7">
        <v>0</v>
      </c>
      <c r="AC292" s="7">
        <v>1335009</v>
      </c>
      <c r="AE292" s="7">
        <v>584176</v>
      </c>
      <c r="AG292" s="7">
        <v>0</v>
      </c>
      <c r="AI292" s="7">
        <v>0</v>
      </c>
      <c r="AK292" s="7">
        <v>0</v>
      </c>
      <c r="AL292" s="12" t="s">
        <v>842</v>
      </c>
      <c r="AM292" s="12"/>
      <c r="AN292" s="12" t="s">
        <v>25</v>
      </c>
      <c r="AP292" s="7">
        <v>300788</v>
      </c>
      <c r="AR292" s="7">
        <v>16011</v>
      </c>
      <c r="AT292" s="7">
        <v>0</v>
      </c>
      <c r="AV292" s="7">
        <v>20361</v>
      </c>
      <c r="AX292" s="7">
        <v>3837</v>
      </c>
      <c r="AZ292" s="7">
        <v>0</v>
      </c>
      <c r="BB292" s="7">
        <f t="shared" si="70"/>
        <v>11692517</v>
      </c>
      <c r="BD292" s="7">
        <v>0</v>
      </c>
      <c r="BF292" s="7">
        <v>0</v>
      </c>
      <c r="BH292" s="7">
        <v>0</v>
      </c>
      <c r="BJ292" s="7">
        <v>0</v>
      </c>
      <c r="BL292" s="7">
        <f t="shared" si="73"/>
        <v>11692517</v>
      </c>
      <c r="BN292" s="7">
        <f>+GenRev!AM292-GenExp!BL292</f>
        <v>272424</v>
      </c>
      <c r="BP292" s="7">
        <v>4249065</v>
      </c>
      <c r="BR292" s="7">
        <v>0</v>
      </c>
      <c r="BT292" s="7">
        <v>0</v>
      </c>
      <c r="BV292" s="7">
        <f t="shared" si="64"/>
        <v>4521489</v>
      </c>
      <c r="BX292" s="8">
        <f>+BV292-'Gen Fd BS'!AE292+BT292</f>
        <v>0</v>
      </c>
      <c r="CB292" s="7" t="str">
        <f t="shared" si="68"/>
        <v>Liberty Union-Thurston Local SD</v>
      </c>
      <c r="CC292" s="7" t="b">
        <f t="shared" si="65"/>
        <v>1</v>
      </c>
      <c r="CE292" s="12" t="str">
        <f>GenRev!A292</f>
        <v>Liberty Union-Thurston Local SD</v>
      </c>
      <c r="CF292" s="7" t="b">
        <f t="shared" si="69"/>
        <v>1</v>
      </c>
      <c r="CG292" s="7" t="str">
        <f t="shared" si="66"/>
        <v>Fairfield</v>
      </c>
      <c r="CH292" s="7" t="b">
        <f t="shared" si="67"/>
        <v>1</v>
      </c>
      <c r="CI292" s="7" t="b">
        <f>C292=GenRev!C292</f>
        <v>1</v>
      </c>
    </row>
    <row r="293" spans="1:87">
      <c r="A293" s="12" t="s">
        <v>386</v>
      </c>
      <c r="B293" s="12"/>
      <c r="C293" s="12" t="s">
        <v>42</v>
      </c>
      <c r="D293" s="12"/>
      <c r="E293" s="12">
        <v>48009</v>
      </c>
      <c r="G293" s="7">
        <v>12434316</v>
      </c>
      <c r="I293" s="7">
        <v>3254203</v>
      </c>
      <c r="K293" s="7">
        <v>289796</v>
      </c>
      <c r="M293" s="7">
        <v>0</v>
      </c>
      <c r="O293" s="7">
        <v>312573</v>
      </c>
      <c r="Q293" s="7">
        <v>1065923</v>
      </c>
      <c r="S293" s="7">
        <v>1342589</v>
      </c>
      <c r="U293" s="7">
        <v>90480</v>
      </c>
      <c r="W293" s="7">
        <v>2024429</v>
      </c>
      <c r="Y293" s="7">
        <v>604312</v>
      </c>
      <c r="AA293" s="7">
        <v>0</v>
      </c>
      <c r="AC293" s="7">
        <v>2757388</v>
      </c>
      <c r="AE293" s="7">
        <v>2353641</v>
      </c>
      <c r="AG293" s="7">
        <v>108415</v>
      </c>
      <c r="AI293" s="7">
        <v>0</v>
      </c>
      <c r="AK293" s="7">
        <v>0</v>
      </c>
      <c r="AL293" s="12" t="s">
        <v>386</v>
      </c>
      <c r="AM293" s="12"/>
      <c r="AN293" s="12" t="s">
        <v>42</v>
      </c>
      <c r="AP293" s="7">
        <v>579962</v>
      </c>
      <c r="AR293" s="7">
        <v>0</v>
      </c>
      <c r="AT293" s="7">
        <v>0</v>
      </c>
      <c r="AV293" s="7">
        <v>3370</v>
      </c>
      <c r="AX293" s="7">
        <v>1106</v>
      </c>
      <c r="AZ293" s="7">
        <v>0</v>
      </c>
      <c r="BB293" s="7">
        <f t="shared" si="70"/>
        <v>27222503</v>
      </c>
      <c r="BD293" s="7">
        <v>0</v>
      </c>
      <c r="BF293" s="7">
        <v>0</v>
      </c>
      <c r="BH293" s="7">
        <v>0</v>
      </c>
      <c r="BJ293" s="7">
        <v>0</v>
      </c>
      <c r="BL293" s="7">
        <f t="shared" si="73"/>
        <v>27222503</v>
      </c>
      <c r="BN293" s="7">
        <f>+GenRev!AM293-GenExp!BL293</f>
        <v>-1693305</v>
      </c>
      <c r="BP293" s="7">
        <v>3666012</v>
      </c>
      <c r="BR293" s="7">
        <v>0</v>
      </c>
      <c r="BT293" s="7">
        <v>0</v>
      </c>
      <c r="BV293" s="7">
        <f t="shared" ref="BV293:BV312" si="74">+BP293+BN293-BR293</f>
        <v>1972707</v>
      </c>
      <c r="BX293" s="8">
        <f>+BV293-'Gen Fd BS'!AE293+BT293</f>
        <v>0</v>
      </c>
      <c r="CB293" s="7" t="str">
        <f t="shared" si="68"/>
        <v>Licking Heights Local SD</v>
      </c>
      <c r="CC293" s="7" t="b">
        <f t="shared" si="65"/>
        <v>1</v>
      </c>
      <c r="CE293" s="12" t="str">
        <f>GenRev!A293</f>
        <v>Licking Heights Local SD</v>
      </c>
      <c r="CF293" s="7" t="b">
        <f t="shared" si="69"/>
        <v>1</v>
      </c>
      <c r="CG293" s="7" t="str">
        <f t="shared" si="66"/>
        <v>Licking</v>
      </c>
      <c r="CH293" s="7" t="b">
        <f t="shared" si="67"/>
        <v>1</v>
      </c>
      <c r="CI293" s="7" t="b">
        <f>C293=GenRev!C293</f>
        <v>1</v>
      </c>
    </row>
    <row r="294" spans="1:87">
      <c r="A294" s="12" t="s">
        <v>387</v>
      </c>
      <c r="B294" s="12"/>
      <c r="C294" s="12" t="s">
        <v>42</v>
      </c>
      <c r="D294" s="12"/>
      <c r="E294" s="12">
        <v>48017</v>
      </c>
      <c r="F294" s="10"/>
      <c r="G294" s="7">
        <v>6288309</v>
      </c>
      <c r="I294" s="7">
        <v>1212548</v>
      </c>
      <c r="K294" s="7">
        <v>288997</v>
      </c>
      <c r="M294" s="7">
        <v>0</v>
      </c>
      <c r="O294" s="7">
        <v>35197</v>
      </c>
      <c r="Q294" s="7">
        <v>451292</v>
      </c>
      <c r="S294" s="7">
        <v>786219</v>
      </c>
      <c r="U294" s="7">
        <v>38904</v>
      </c>
      <c r="W294" s="7">
        <v>1886893</v>
      </c>
      <c r="Y294" s="7">
        <v>433310</v>
      </c>
      <c r="AA294" s="7">
        <v>65309</v>
      </c>
      <c r="AC294" s="7">
        <v>1679999</v>
      </c>
      <c r="AE294" s="7">
        <v>1310066</v>
      </c>
      <c r="AG294" s="7">
        <v>152335</v>
      </c>
      <c r="AI294" s="7">
        <v>0</v>
      </c>
      <c r="AK294" s="7">
        <v>600</v>
      </c>
      <c r="AL294" s="12" t="s">
        <v>387</v>
      </c>
      <c r="AM294" s="12"/>
      <c r="AN294" s="12" t="s">
        <v>42</v>
      </c>
      <c r="AP294" s="7">
        <v>252031</v>
      </c>
      <c r="AR294" s="7">
        <v>542359</v>
      </c>
      <c r="AT294" s="7">
        <v>0</v>
      </c>
      <c r="AV294" s="7">
        <v>443104</v>
      </c>
      <c r="AX294" s="7">
        <v>91442</v>
      </c>
      <c r="AZ294" s="7">
        <v>0</v>
      </c>
      <c r="BB294" s="7">
        <f t="shared" si="70"/>
        <v>15958914</v>
      </c>
      <c r="BD294" s="7">
        <v>188529</v>
      </c>
      <c r="BF294" s="7">
        <v>0</v>
      </c>
      <c r="BH294" s="7">
        <v>0</v>
      </c>
      <c r="BJ294" s="7">
        <v>0</v>
      </c>
      <c r="BL294" s="7">
        <f t="shared" si="73"/>
        <v>16147443</v>
      </c>
      <c r="BN294" s="7">
        <f>+GenRev!AM294-GenExp!BL294</f>
        <v>283358</v>
      </c>
      <c r="BP294" s="7">
        <v>5640887</v>
      </c>
      <c r="BR294" s="7">
        <v>0</v>
      </c>
      <c r="BT294" s="7">
        <v>0</v>
      </c>
      <c r="BV294" s="7">
        <f t="shared" si="74"/>
        <v>5924245</v>
      </c>
      <c r="BX294" s="8">
        <f>+BV294-'Gen Fd BS'!AE294+BT294</f>
        <v>0</v>
      </c>
      <c r="CA294" s="97"/>
      <c r="CB294" s="7" t="str">
        <f t="shared" si="68"/>
        <v>Licking Valley Local SD</v>
      </c>
      <c r="CC294" s="7" t="b">
        <f t="shared" si="65"/>
        <v>1</v>
      </c>
      <c r="CE294" s="12" t="str">
        <f>GenRev!A294</f>
        <v>Licking Valley Local SD</v>
      </c>
      <c r="CF294" s="7" t="b">
        <f t="shared" si="69"/>
        <v>1</v>
      </c>
      <c r="CG294" s="7" t="str">
        <f t="shared" si="66"/>
        <v>Licking</v>
      </c>
      <c r="CH294" s="7" t="b">
        <f t="shared" si="67"/>
        <v>1</v>
      </c>
      <c r="CI294" s="7" t="b">
        <f>C294=GenRev!C294</f>
        <v>1</v>
      </c>
    </row>
    <row r="295" spans="1:87" hidden="1">
      <c r="A295" s="12" t="s">
        <v>718</v>
      </c>
      <c r="B295" s="12"/>
      <c r="C295" s="12" t="s">
        <v>10</v>
      </c>
      <c r="D295" s="12"/>
      <c r="E295" s="12"/>
      <c r="F295" s="10"/>
      <c r="AL295" s="12" t="s">
        <v>718</v>
      </c>
      <c r="AM295" s="12"/>
      <c r="AN295" s="12" t="s">
        <v>10</v>
      </c>
      <c r="AT295" s="7">
        <v>0</v>
      </c>
      <c r="AZ295" s="7">
        <v>0</v>
      </c>
      <c r="BB295" s="7">
        <f t="shared" si="70"/>
        <v>0</v>
      </c>
      <c r="BF295" s="7">
        <v>0</v>
      </c>
      <c r="BH295" s="7">
        <v>0</v>
      </c>
      <c r="BJ295" s="7">
        <v>0</v>
      </c>
      <c r="BL295" s="7">
        <f t="shared" si="73"/>
        <v>0</v>
      </c>
      <c r="BN295" s="7">
        <f>+GenRev!AM295-GenExp!BL295</f>
        <v>0</v>
      </c>
      <c r="BT295" s="7">
        <v>0</v>
      </c>
      <c r="BV295" s="7">
        <f t="shared" si="74"/>
        <v>0</v>
      </c>
      <c r="BX295" s="8">
        <f>+BV295-'Gen Fd BS'!AE295+BT295</f>
        <v>0</v>
      </c>
      <c r="CA295" s="7" t="s">
        <v>921</v>
      </c>
      <c r="CB295" s="7" t="str">
        <f t="shared" si="68"/>
        <v>Lima City School District (CASH)</v>
      </c>
      <c r="CC295" s="7" t="b">
        <f t="shared" si="65"/>
        <v>1</v>
      </c>
      <c r="CE295" s="12" t="str">
        <f>GenRev!A295</f>
        <v>Lima City School District (CASH)</v>
      </c>
      <c r="CF295" s="7" t="b">
        <f t="shared" si="69"/>
        <v>1</v>
      </c>
      <c r="CG295" s="7" t="str">
        <f t="shared" si="66"/>
        <v>Allen</v>
      </c>
      <c r="CH295" s="7" t="b">
        <f t="shared" si="67"/>
        <v>1</v>
      </c>
      <c r="CI295" s="7" t="b">
        <f>C295=GenRev!C295</f>
        <v>1</v>
      </c>
    </row>
    <row r="296" spans="1:87">
      <c r="A296" s="12" t="s">
        <v>557</v>
      </c>
      <c r="B296" s="12"/>
      <c r="C296" s="12" t="s">
        <v>67</v>
      </c>
      <c r="D296" s="12"/>
      <c r="E296" s="12">
        <v>50369</v>
      </c>
      <c r="G296" s="7">
        <v>3430816</v>
      </c>
      <c r="I296" s="7">
        <v>853002</v>
      </c>
      <c r="K296" s="7">
        <v>161829</v>
      </c>
      <c r="M296" s="7">
        <v>0</v>
      </c>
      <c r="O296" s="7">
        <v>743859</v>
      </c>
      <c r="Q296" s="7">
        <v>158042</v>
      </c>
      <c r="S296" s="7">
        <v>239393</v>
      </c>
      <c r="U296" s="7">
        <v>27488</v>
      </c>
      <c r="W296" s="7">
        <v>560805</v>
      </c>
      <c r="Y296" s="7">
        <v>256329</v>
      </c>
      <c r="AA296" s="7">
        <v>0</v>
      </c>
      <c r="AC296" s="7">
        <v>525885</v>
      </c>
      <c r="AE296" s="7">
        <v>377004</v>
      </c>
      <c r="AG296" s="7">
        <v>9703</v>
      </c>
      <c r="AI296" s="7">
        <v>0</v>
      </c>
      <c r="AK296" s="7">
        <v>0</v>
      </c>
      <c r="AL296" s="12" t="s">
        <v>557</v>
      </c>
      <c r="AM296" s="12"/>
      <c r="AN296" s="12" t="s">
        <v>67</v>
      </c>
      <c r="AP296" s="7">
        <v>136402</v>
      </c>
      <c r="AR296" s="7">
        <v>0</v>
      </c>
      <c r="AT296" s="7">
        <v>0</v>
      </c>
      <c r="AV296" s="7">
        <v>0</v>
      </c>
      <c r="AX296" s="7">
        <v>0</v>
      </c>
      <c r="AZ296" s="7">
        <v>0</v>
      </c>
      <c r="BB296" s="7">
        <f t="shared" si="70"/>
        <v>7480557</v>
      </c>
      <c r="BD296" s="7">
        <v>0</v>
      </c>
      <c r="BF296" s="7">
        <v>0</v>
      </c>
      <c r="BH296" s="7">
        <v>0</v>
      </c>
      <c r="BJ296" s="7">
        <v>0</v>
      </c>
      <c r="BL296" s="7">
        <f t="shared" si="73"/>
        <v>7480557</v>
      </c>
      <c r="BN296" s="7">
        <f>+GenRev!AM296-GenExp!BL296</f>
        <v>1089944</v>
      </c>
      <c r="BP296" s="7">
        <v>8551399</v>
      </c>
      <c r="BR296" s="7">
        <v>0</v>
      </c>
      <c r="BT296" s="7">
        <v>0</v>
      </c>
      <c r="BV296" s="7">
        <f t="shared" si="74"/>
        <v>9641343</v>
      </c>
      <c r="BX296" s="8">
        <f>+BV296-'Gen Fd BS'!AE296+BT296</f>
        <v>0</v>
      </c>
      <c r="CB296" s="7" t="str">
        <f t="shared" si="68"/>
        <v>Lincolnview Local SD</v>
      </c>
      <c r="CC296" s="7" t="b">
        <f t="shared" si="65"/>
        <v>1</v>
      </c>
      <c r="CE296" s="12" t="str">
        <f>GenRev!A296</f>
        <v>Lincolnview Local SD</v>
      </c>
      <c r="CF296" s="7" t="b">
        <f t="shared" si="69"/>
        <v>1</v>
      </c>
      <c r="CG296" s="7" t="str">
        <f t="shared" si="66"/>
        <v>Van Wert</v>
      </c>
      <c r="CH296" s="7" t="b">
        <f t="shared" si="67"/>
        <v>1</v>
      </c>
      <c r="CI296" s="7" t="b">
        <f>C296=GenRev!C296</f>
        <v>1</v>
      </c>
    </row>
    <row r="297" spans="1:87">
      <c r="A297" s="12" t="s">
        <v>875</v>
      </c>
      <c r="B297" s="12"/>
      <c r="C297" s="12" t="s">
        <v>112</v>
      </c>
      <c r="D297" s="12"/>
      <c r="E297" s="12">
        <v>45450</v>
      </c>
      <c r="G297" s="7">
        <v>4196569</v>
      </c>
      <c r="I297" s="7">
        <v>776709</v>
      </c>
      <c r="K297" s="7">
        <v>91527</v>
      </c>
      <c r="M297" s="7">
        <v>0</v>
      </c>
      <c r="O297" s="7">
        <v>3350</v>
      </c>
      <c r="Q297" s="7">
        <v>438084</v>
      </c>
      <c r="S297" s="7">
        <v>227377</v>
      </c>
      <c r="U297" s="7">
        <v>28567</v>
      </c>
      <c r="W297" s="7">
        <v>766141</v>
      </c>
      <c r="Y297" s="7">
        <v>272054</v>
      </c>
      <c r="AA297" s="7">
        <v>0</v>
      </c>
      <c r="AC297" s="7">
        <v>1754820</v>
      </c>
      <c r="AE297" s="7">
        <v>366476</v>
      </c>
      <c r="AG297" s="7">
        <v>42392</v>
      </c>
      <c r="AI297" s="7">
        <v>0</v>
      </c>
      <c r="AK297" s="7">
        <v>0</v>
      </c>
      <c r="AL297" s="12" t="s">
        <v>875</v>
      </c>
      <c r="AM297" s="12"/>
      <c r="AN297" s="12" t="s">
        <v>112</v>
      </c>
      <c r="AP297" s="7">
        <v>249191</v>
      </c>
      <c r="AR297" s="7">
        <v>0</v>
      </c>
      <c r="AT297" s="7">
        <v>0</v>
      </c>
      <c r="AV297" s="7">
        <v>0</v>
      </c>
      <c r="AX297" s="7">
        <v>35417</v>
      </c>
      <c r="AZ297" s="7">
        <v>0</v>
      </c>
      <c r="BB297" s="7">
        <f t="shared" si="70"/>
        <v>9248674</v>
      </c>
      <c r="BD297" s="7">
        <v>0</v>
      </c>
      <c r="BF297" s="7">
        <v>0</v>
      </c>
      <c r="BH297" s="7">
        <v>0</v>
      </c>
      <c r="BJ297" s="7">
        <v>0</v>
      </c>
      <c r="BL297" s="7">
        <f t="shared" si="73"/>
        <v>9248674</v>
      </c>
      <c r="BN297" s="7">
        <f>+GenRev!AM297-GenExp!BL297</f>
        <v>69324</v>
      </c>
      <c r="BP297" s="7">
        <v>3243271</v>
      </c>
      <c r="BR297" s="7">
        <v>0</v>
      </c>
      <c r="BT297" s="7">
        <v>0</v>
      </c>
      <c r="BV297" s="7">
        <f t="shared" si="74"/>
        <v>3312595</v>
      </c>
      <c r="BX297" s="8">
        <f>+BV297-'Gen Fd BS'!AE297+BT297</f>
        <v>0</v>
      </c>
      <c r="CB297" s="7" t="str">
        <f t="shared" si="68"/>
        <v>Lisbon Exempted Village SD</v>
      </c>
      <c r="CC297" s="7" t="b">
        <f t="shared" si="65"/>
        <v>1</v>
      </c>
      <c r="CE297" s="12" t="str">
        <f>GenRev!A297</f>
        <v>Lisbon Exempted Village SD</v>
      </c>
      <c r="CF297" s="7" t="b">
        <f t="shared" si="69"/>
        <v>1</v>
      </c>
      <c r="CG297" s="7" t="str">
        <f t="shared" si="66"/>
        <v>Columbiana</v>
      </c>
      <c r="CH297" s="7" t="b">
        <f t="shared" si="67"/>
        <v>1</v>
      </c>
      <c r="CI297" s="7" t="b">
        <f>C297=GenRev!C297</f>
        <v>1</v>
      </c>
    </row>
    <row r="298" spans="1:87">
      <c r="A298" s="12" t="s">
        <v>562</v>
      </c>
      <c r="B298" s="12"/>
      <c r="C298" s="12" t="s">
        <v>69</v>
      </c>
      <c r="D298" s="12"/>
      <c r="E298" s="12">
        <v>50443</v>
      </c>
      <c r="G298" s="7">
        <v>13050568</v>
      </c>
      <c r="I298" s="7">
        <v>3623698</v>
      </c>
      <c r="K298" s="7">
        <v>0</v>
      </c>
      <c r="M298" s="7">
        <v>0</v>
      </c>
      <c r="O298" s="7">
        <v>2103791</v>
      </c>
      <c r="Q298" s="7">
        <v>963210</v>
      </c>
      <c r="S298" s="7">
        <v>393904</v>
      </c>
      <c r="U298" s="7">
        <v>23342</v>
      </c>
      <c r="W298" s="7">
        <v>2157731</v>
      </c>
      <c r="Y298" s="7">
        <v>562906</v>
      </c>
      <c r="AA298" s="7">
        <v>154153</v>
      </c>
      <c r="AC298" s="7">
        <v>1279917</v>
      </c>
      <c r="AE298" s="7">
        <v>2218551</v>
      </c>
      <c r="AG298" s="7">
        <v>258751</v>
      </c>
      <c r="AI298" s="7">
        <v>0</v>
      </c>
      <c r="AK298" s="7">
        <v>0</v>
      </c>
      <c r="AL298" s="12" t="s">
        <v>562</v>
      </c>
      <c r="AM298" s="12"/>
      <c r="AN298" s="12" t="s">
        <v>69</v>
      </c>
      <c r="AP298" s="7">
        <v>448883</v>
      </c>
      <c r="AR298" s="7">
        <v>493500</v>
      </c>
      <c r="AT298" s="7">
        <v>0</v>
      </c>
      <c r="AV298" s="7">
        <v>0</v>
      </c>
      <c r="AX298" s="7">
        <v>2128</v>
      </c>
      <c r="AZ298" s="7">
        <v>0</v>
      </c>
      <c r="BB298" s="7">
        <f t="shared" ref="BB298:BB310" si="75">SUM(G298:AZ298)</f>
        <v>27735033</v>
      </c>
      <c r="BD298" s="7">
        <v>1950000</v>
      </c>
      <c r="BF298" s="7">
        <v>0</v>
      </c>
      <c r="BH298" s="7">
        <v>0</v>
      </c>
      <c r="BJ298" s="7">
        <v>0</v>
      </c>
      <c r="BL298" s="7">
        <f t="shared" si="73"/>
        <v>29685033</v>
      </c>
      <c r="BN298" s="7">
        <f>+GenRev!AM298-GenExp!BL298</f>
        <v>-584878</v>
      </c>
      <c r="BP298" s="7">
        <v>-4934820</v>
      </c>
      <c r="BR298" s="7">
        <v>0</v>
      </c>
      <c r="BT298" s="7">
        <v>0</v>
      </c>
      <c r="BV298" s="7">
        <f t="shared" si="74"/>
        <v>-5519698</v>
      </c>
      <c r="BX298" s="8">
        <f>+BV298-'Gen Fd BS'!AE298+BT298</f>
        <v>0</v>
      </c>
      <c r="CA298" s="97"/>
      <c r="CB298" s="7" t="str">
        <f t="shared" si="68"/>
        <v>Little Miami Local SD</v>
      </c>
      <c r="CC298" s="7" t="b">
        <f t="shared" si="65"/>
        <v>1</v>
      </c>
      <c r="CE298" s="12" t="str">
        <f>GenRev!A298</f>
        <v>Little Miami Local SD</v>
      </c>
      <c r="CF298" s="7" t="b">
        <f t="shared" si="69"/>
        <v>1</v>
      </c>
      <c r="CG298" s="7" t="str">
        <f t="shared" si="66"/>
        <v>Warren</v>
      </c>
      <c r="CH298" s="7" t="b">
        <f t="shared" si="67"/>
        <v>1</v>
      </c>
      <c r="CI298" s="7" t="b">
        <f>C298=GenRev!C298</f>
        <v>1</v>
      </c>
    </row>
    <row r="299" spans="1:87" hidden="1">
      <c r="A299" s="12" t="s">
        <v>922</v>
      </c>
      <c r="B299" s="12"/>
      <c r="C299" s="12" t="s">
        <v>32</v>
      </c>
      <c r="D299" s="12"/>
      <c r="E299" s="12">
        <v>44230</v>
      </c>
      <c r="AL299" s="12" t="s">
        <v>922</v>
      </c>
      <c r="AM299" s="12"/>
      <c r="AN299" s="12" t="s">
        <v>32</v>
      </c>
      <c r="AT299" s="7">
        <v>0</v>
      </c>
      <c r="AZ299" s="7">
        <v>0</v>
      </c>
      <c r="BB299" s="7">
        <f t="shared" si="75"/>
        <v>0</v>
      </c>
      <c r="BF299" s="7">
        <v>0</v>
      </c>
      <c r="BH299" s="7">
        <v>0</v>
      </c>
      <c r="BJ299" s="7">
        <v>0</v>
      </c>
      <c r="BL299" s="7">
        <f t="shared" si="73"/>
        <v>0</v>
      </c>
      <c r="BN299" s="7">
        <f>+GenRev!AM299-GenExp!BL299</f>
        <v>0</v>
      </c>
      <c r="BT299" s="7">
        <v>0</v>
      </c>
      <c r="BV299" s="7">
        <f t="shared" si="74"/>
        <v>0</v>
      </c>
      <c r="BX299" s="8">
        <f>+BV299-'Gen Fd BS'!AE299+BT299</f>
        <v>0</v>
      </c>
      <c r="CA299" s="7" t="s">
        <v>839</v>
      </c>
      <c r="CB299" s="7" t="str">
        <f t="shared" si="68"/>
        <v>Lockland Local SD (CASH)</v>
      </c>
      <c r="CC299" s="7" t="b">
        <f t="shared" si="65"/>
        <v>1</v>
      </c>
      <c r="CE299" s="12" t="str">
        <f>GenRev!A299</f>
        <v>Lockland Local SD (CASH)</v>
      </c>
      <c r="CF299" s="7" t="b">
        <f t="shared" si="69"/>
        <v>1</v>
      </c>
      <c r="CG299" s="7" t="str">
        <f t="shared" si="66"/>
        <v>Hamilton</v>
      </c>
      <c r="CH299" s="7" t="b">
        <f t="shared" si="67"/>
        <v>1</v>
      </c>
      <c r="CI299" s="7" t="b">
        <f>C299=GenRev!C299</f>
        <v>1</v>
      </c>
    </row>
    <row r="300" spans="1:87">
      <c r="A300" s="12" t="s">
        <v>468</v>
      </c>
      <c r="B300" s="12"/>
      <c r="C300" s="12" t="s">
        <v>54</v>
      </c>
      <c r="D300" s="12"/>
      <c r="E300" s="12">
        <v>49080</v>
      </c>
      <c r="G300" s="7">
        <v>9347267</v>
      </c>
      <c r="I300" s="7">
        <v>1634612</v>
      </c>
      <c r="K300" s="7">
        <v>12310</v>
      </c>
      <c r="M300" s="7">
        <v>0</v>
      </c>
      <c r="O300" s="7">
        <v>113897</v>
      </c>
      <c r="Q300" s="7">
        <v>910155</v>
      </c>
      <c r="S300" s="7">
        <v>901332</v>
      </c>
      <c r="U300" s="7">
        <v>95084</v>
      </c>
      <c r="W300" s="7">
        <v>1432995</v>
      </c>
      <c r="Y300" s="7">
        <v>520638</v>
      </c>
      <c r="AA300" s="7">
        <v>4101</v>
      </c>
      <c r="AC300" s="7">
        <v>1815302</v>
      </c>
      <c r="AE300" s="7">
        <v>1707048</v>
      </c>
      <c r="AG300" s="7">
        <v>306256</v>
      </c>
      <c r="AI300" s="7">
        <v>0</v>
      </c>
      <c r="AK300" s="7">
        <v>0</v>
      </c>
      <c r="AL300" s="12" t="s">
        <v>468</v>
      </c>
      <c r="AM300" s="12"/>
      <c r="AN300" s="12" t="s">
        <v>54</v>
      </c>
      <c r="AP300" s="7">
        <v>305320</v>
      </c>
      <c r="AR300" s="7">
        <v>0</v>
      </c>
      <c r="AT300" s="7">
        <v>0</v>
      </c>
      <c r="AV300" s="7">
        <v>0</v>
      </c>
      <c r="AX300" s="7">
        <v>0</v>
      </c>
      <c r="AZ300" s="7">
        <v>0</v>
      </c>
      <c r="BB300" s="7">
        <f t="shared" si="75"/>
        <v>19106317</v>
      </c>
      <c r="BD300" s="7">
        <v>2500000</v>
      </c>
      <c r="BF300" s="7">
        <v>0</v>
      </c>
      <c r="BH300" s="7">
        <v>0</v>
      </c>
      <c r="BJ300" s="7">
        <v>0</v>
      </c>
      <c r="BL300" s="7">
        <f t="shared" si="73"/>
        <v>21606317</v>
      </c>
      <c r="BN300" s="7">
        <f>+GenRev!AM300-GenExp!BL300</f>
        <v>-2006864</v>
      </c>
      <c r="BP300" s="7">
        <v>7957766</v>
      </c>
      <c r="BR300" s="7">
        <v>0</v>
      </c>
      <c r="BT300" s="7">
        <v>0</v>
      </c>
      <c r="BV300" s="7">
        <f t="shared" si="74"/>
        <v>5950902</v>
      </c>
      <c r="BX300" s="8">
        <f>+BV300-'Gen Fd BS'!AE300+BT300</f>
        <v>0</v>
      </c>
      <c r="CB300" s="7" t="str">
        <f t="shared" si="68"/>
        <v>Logan Elm Local SD</v>
      </c>
      <c r="CC300" s="7" t="b">
        <f t="shared" si="65"/>
        <v>1</v>
      </c>
      <c r="CE300" s="12" t="str">
        <f>GenRev!A300</f>
        <v>Logan Elm Local SD</v>
      </c>
      <c r="CF300" s="7" t="b">
        <f t="shared" si="69"/>
        <v>1</v>
      </c>
      <c r="CG300" s="7" t="str">
        <f t="shared" si="66"/>
        <v>Pickaway</v>
      </c>
      <c r="CH300" s="7" t="b">
        <f t="shared" si="67"/>
        <v>1</v>
      </c>
      <c r="CI300" s="7" t="b">
        <f>C300=GenRev!C300</f>
        <v>1</v>
      </c>
    </row>
    <row r="301" spans="1:87">
      <c r="A301" s="12" t="s">
        <v>362</v>
      </c>
      <c r="B301" s="12"/>
      <c r="C301" s="12" t="s">
        <v>35</v>
      </c>
      <c r="D301" s="12"/>
      <c r="E301" s="12">
        <v>44248</v>
      </c>
      <c r="G301" s="7">
        <v>13396061</v>
      </c>
      <c r="I301" s="7">
        <v>3441458</v>
      </c>
      <c r="K301" s="7">
        <v>438729</v>
      </c>
      <c r="M301" s="7">
        <v>0</v>
      </c>
      <c r="O301" s="7">
        <v>27031</v>
      </c>
      <c r="Q301" s="7">
        <v>1999474</v>
      </c>
      <c r="S301" s="7">
        <v>1274780</v>
      </c>
      <c r="U301" s="7">
        <v>93641</v>
      </c>
      <c r="W301" s="7">
        <v>2813133</v>
      </c>
      <c r="Y301" s="7">
        <v>968006</v>
      </c>
      <c r="AA301" s="7">
        <v>0</v>
      </c>
      <c r="AC301" s="7">
        <v>3589797</v>
      </c>
      <c r="AE301" s="7">
        <v>2710714</v>
      </c>
      <c r="AG301" s="7">
        <v>0</v>
      </c>
      <c r="AI301" s="7">
        <v>0</v>
      </c>
      <c r="AK301" s="7">
        <v>8209</v>
      </c>
      <c r="AL301" s="12" t="s">
        <v>362</v>
      </c>
      <c r="AM301" s="12"/>
      <c r="AN301" s="12" t="s">
        <v>35</v>
      </c>
      <c r="AP301" s="7">
        <v>499005</v>
      </c>
      <c r="AR301" s="7">
        <v>0</v>
      </c>
      <c r="AT301" s="7">
        <v>0</v>
      </c>
      <c r="AV301" s="7">
        <v>0</v>
      </c>
      <c r="AX301" s="7">
        <v>0</v>
      </c>
      <c r="AZ301" s="7">
        <v>0</v>
      </c>
      <c r="BB301" s="7">
        <f t="shared" si="75"/>
        <v>31260038</v>
      </c>
      <c r="BD301" s="7">
        <v>89700</v>
      </c>
      <c r="BF301" s="7">
        <v>0</v>
      </c>
      <c r="BH301" s="7">
        <v>0</v>
      </c>
      <c r="BJ301" s="7">
        <v>0</v>
      </c>
      <c r="BL301" s="7">
        <f t="shared" si="73"/>
        <v>31349738</v>
      </c>
      <c r="BN301" s="7">
        <f>+GenRev!AM301-GenExp!BL301</f>
        <v>1138795</v>
      </c>
      <c r="BP301" s="7">
        <v>5512042</v>
      </c>
      <c r="BR301" s="7">
        <v>-42805</v>
      </c>
      <c r="BT301" s="7">
        <v>0</v>
      </c>
      <c r="BV301" s="7">
        <f t="shared" si="74"/>
        <v>6693642</v>
      </c>
      <c r="BX301" s="8">
        <f>+BV301-'Gen Fd BS'!AE301+BT301</f>
        <v>0</v>
      </c>
      <c r="CB301" s="7" t="str">
        <f t="shared" si="68"/>
        <v>Logan-Hocking Local SD</v>
      </c>
      <c r="CC301" s="7" t="b">
        <f t="shared" si="65"/>
        <v>1</v>
      </c>
      <c r="CE301" s="12" t="str">
        <f>GenRev!A301</f>
        <v>Logan-Hocking Local SD</v>
      </c>
      <c r="CF301" s="7" t="b">
        <f t="shared" si="69"/>
        <v>1</v>
      </c>
      <c r="CG301" s="7" t="str">
        <f t="shared" si="66"/>
        <v>Hocking</v>
      </c>
      <c r="CH301" s="7" t="b">
        <f t="shared" si="67"/>
        <v>1</v>
      </c>
      <c r="CI301" s="7" t="b">
        <f>C301=GenRev!C301</f>
        <v>1</v>
      </c>
    </row>
    <row r="302" spans="1:87">
      <c r="A302" s="12" t="s">
        <v>413</v>
      </c>
      <c r="B302" s="12"/>
      <c r="C302" s="12" t="s">
        <v>411</v>
      </c>
      <c r="D302" s="12"/>
      <c r="E302" s="12">
        <v>44255</v>
      </c>
      <c r="G302" s="7">
        <v>8212363</v>
      </c>
      <c r="I302" s="7">
        <v>2874375</v>
      </c>
      <c r="K302" s="7">
        <v>426698</v>
      </c>
      <c r="M302" s="7">
        <v>0</v>
      </c>
      <c r="O302" s="7">
        <v>0</v>
      </c>
      <c r="Q302" s="7">
        <v>809207</v>
      </c>
      <c r="S302" s="7">
        <v>832393</v>
      </c>
      <c r="U302" s="7">
        <v>214164</v>
      </c>
      <c r="W302" s="7">
        <v>1842261</v>
      </c>
      <c r="Y302" s="7">
        <v>700149</v>
      </c>
      <c r="AA302" s="7">
        <v>0</v>
      </c>
      <c r="AC302" s="7">
        <v>2048813</v>
      </c>
      <c r="AE302" s="7">
        <v>781204</v>
      </c>
      <c r="AG302" s="7">
        <v>258301</v>
      </c>
      <c r="AI302" s="7">
        <v>0</v>
      </c>
      <c r="AK302" s="7">
        <v>0</v>
      </c>
      <c r="AL302" s="12" t="s">
        <v>413</v>
      </c>
      <c r="AM302" s="12"/>
      <c r="AN302" s="12" t="s">
        <v>411</v>
      </c>
      <c r="AP302" s="7">
        <v>619413</v>
      </c>
      <c r="AR302" s="7">
        <v>107307</v>
      </c>
      <c r="AT302" s="7">
        <v>0</v>
      </c>
      <c r="AV302" s="7">
        <v>329514</v>
      </c>
      <c r="AX302" s="7">
        <v>31689</v>
      </c>
      <c r="AZ302" s="7">
        <v>0</v>
      </c>
      <c r="BB302" s="7">
        <f t="shared" si="75"/>
        <v>20087851</v>
      </c>
      <c r="BD302" s="7">
        <v>75177</v>
      </c>
      <c r="BF302" s="7">
        <v>0</v>
      </c>
      <c r="BH302" s="7">
        <v>0</v>
      </c>
      <c r="BJ302" s="7">
        <v>0</v>
      </c>
      <c r="BL302" s="7">
        <f t="shared" si="73"/>
        <v>20163028</v>
      </c>
      <c r="BN302" s="7">
        <f>+GenRev!AM302-GenExp!BL302</f>
        <v>992961</v>
      </c>
      <c r="BP302" s="7">
        <v>1294742</v>
      </c>
      <c r="BR302" s="7">
        <v>0</v>
      </c>
      <c r="BT302" s="7">
        <v>0</v>
      </c>
      <c r="BV302" s="7">
        <f t="shared" si="74"/>
        <v>2287703</v>
      </c>
      <c r="BX302" s="8">
        <f>+BV302-'Gen Fd BS'!AE302+BT302</f>
        <v>0</v>
      </c>
      <c r="CB302" s="7" t="str">
        <f t="shared" si="68"/>
        <v>London City SD</v>
      </c>
      <c r="CC302" s="7" t="b">
        <f t="shared" si="65"/>
        <v>1</v>
      </c>
      <c r="CE302" s="12" t="str">
        <f>GenRev!A302</f>
        <v>London City SD</v>
      </c>
      <c r="CF302" s="7" t="b">
        <f t="shared" si="69"/>
        <v>1</v>
      </c>
      <c r="CG302" s="7" t="str">
        <f t="shared" si="66"/>
        <v>Madison</v>
      </c>
      <c r="CH302" s="7" t="b">
        <f t="shared" si="67"/>
        <v>1</v>
      </c>
      <c r="CI302" s="7" t="b">
        <f>C302=GenRev!C302</f>
        <v>1</v>
      </c>
    </row>
    <row r="303" spans="1:87">
      <c r="A303" s="12" t="s">
        <v>398</v>
      </c>
      <c r="B303" s="12"/>
      <c r="C303" s="12" t="s">
        <v>44</v>
      </c>
      <c r="D303" s="12"/>
      <c r="E303" s="12">
        <v>44263</v>
      </c>
      <c r="G303" s="7">
        <v>28869088</v>
      </c>
      <c r="I303" s="7">
        <v>8847763</v>
      </c>
      <c r="K303" s="7">
        <v>3346919</v>
      </c>
      <c r="M303" s="7">
        <v>0</v>
      </c>
      <c r="O303" s="7">
        <f>4853+18306752</f>
        <v>18311605</v>
      </c>
      <c r="Q303" s="7">
        <v>1977954</v>
      </c>
      <c r="S303" s="7">
        <v>1618147</v>
      </c>
      <c r="U303" s="7">
        <v>410015</v>
      </c>
      <c r="W303" s="7">
        <v>6848865</v>
      </c>
      <c r="Y303" s="7">
        <v>1138782</v>
      </c>
      <c r="AA303" s="7">
        <v>427367</v>
      </c>
      <c r="AC303" s="7">
        <v>7470499</v>
      </c>
      <c r="AE303" s="7">
        <v>2642112</v>
      </c>
      <c r="AG303" s="7">
        <v>1306975</v>
      </c>
      <c r="AI303" s="7">
        <v>0</v>
      </c>
      <c r="AK303" s="7">
        <v>129160</v>
      </c>
      <c r="AL303" s="12" t="s">
        <v>398</v>
      </c>
      <c r="AM303" s="12"/>
      <c r="AN303" s="12" t="s">
        <v>44</v>
      </c>
      <c r="AP303" s="7">
        <v>951053</v>
      </c>
      <c r="AR303" s="7">
        <v>57755</v>
      </c>
      <c r="AT303" s="7">
        <v>0</v>
      </c>
      <c r="AV303" s="7">
        <v>0</v>
      </c>
      <c r="AX303" s="7">
        <v>76950</v>
      </c>
      <c r="AZ303" s="7">
        <v>0</v>
      </c>
      <c r="BB303" s="7">
        <f t="shared" si="75"/>
        <v>84431009</v>
      </c>
      <c r="BD303" s="7">
        <v>389816</v>
      </c>
      <c r="BF303" s="7">
        <v>0</v>
      </c>
      <c r="BH303" s="7">
        <v>0</v>
      </c>
      <c r="BJ303" s="7">
        <v>0</v>
      </c>
      <c r="BL303" s="7">
        <f t="shared" si="73"/>
        <v>84820825</v>
      </c>
      <c r="BN303" s="7">
        <f>+GenRev!AM303-GenExp!BL303</f>
        <v>102205</v>
      </c>
      <c r="BP303" s="7">
        <v>-429024</v>
      </c>
      <c r="BR303" s="7">
        <v>0</v>
      </c>
      <c r="BT303" s="7">
        <v>0</v>
      </c>
      <c r="BV303" s="7">
        <f t="shared" si="74"/>
        <v>-326819</v>
      </c>
      <c r="BX303" s="8">
        <f>+BV303-'Gen Fd BS'!AE303+BT303</f>
        <v>0</v>
      </c>
      <c r="CA303" s="97"/>
      <c r="CB303" s="7" t="str">
        <f t="shared" si="68"/>
        <v>Lorain City SD</v>
      </c>
      <c r="CC303" s="7" t="b">
        <f t="shared" si="65"/>
        <v>1</v>
      </c>
      <c r="CE303" s="12" t="str">
        <f>GenRev!A303</f>
        <v>Lorain City SD</v>
      </c>
      <c r="CF303" s="7" t="b">
        <f t="shared" si="69"/>
        <v>1</v>
      </c>
      <c r="CG303" s="7" t="str">
        <f t="shared" si="66"/>
        <v>Lorain</v>
      </c>
      <c r="CH303" s="7" t="b">
        <f t="shared" si="67"/>
        <v>1</v>
      </c>
      <c r="CI303" s="7" t="b">
        <f>C303=GenRev!C303</f>
        <v>1</v>
      </c>
    </row>
    <row r="304" spans="1:87">
      <c r="A304" s="12" t="s">
        <v>543</v>
      </c>
      <c r="B304" s="12"/>
      <c r="C304" s="12" t="s">
        <v>64</v>
      </c>
      <c r="D304" s="12"/>
      <c r="E304" s="12">
        <v>50203</v>
      </c>
      <c r="G304" s="7">
        <v>2849357</v>
      </c>
      <c r="I304" s="7">
        <v>536986</v>
      </c>
      <c r="K304" s="7">
        <v>45285</v>
      </c>
      <c r="M304" s="7">
        <v>0</v>
      </c>
      <c r="O304" s="7">
        <v>252612</v>
      </c>
      <c r="Q304" s="7">
        <v>182376</v>
      </c>
      <c r="S304" s="7">
        <v>135608</v>
      </c>
      <c r="U304" s="7">
        <v>104596</v>
      </c>
      <c r="W304" s="7">
        <v>528293</v>
      </c>
      <c r="Y304" s="7">
        <v>345730</v>
      </c>
      <c r="AA304" s="7">
        <v>34730</v>
      </c>
      <c r="AC304" s="7">
        <v>1005957</v>
      </c>
      <c r="AE304" s="7">
        <v>248423</v>
      </c>
      <c r="AG304" s="7">
        <v>0</v>
      </c>
      <c r="AI304" s="7">
        <v>0</v>
      </c>
      <c r="AK304" s="7">
        <v>0</v>
      </c>
      <c r="AL304" s="12" t="s">
        <v>543</v>
      </c>
      <c r="AM304" s="12"/>
      <c r="AN304" s="12" t="s">
        <v>64</v>
      </c>
      <c r="AP304" s="7">
        <v>215543</v>
      </c>
      <c r="AR304" s="7">
        <v>0</v>
      </c>
      <c r="AT304" s="7">
        <v>0</v>
      </c>
      <c r="AV304" s="7">
        <v>67264</v>
      </c>
      <c r="AX304" s="7">
        <v>2042</v>
      </c>
      <c r="AZ304" s="7">
        <v>0</v>
      </c>
      <c r="BB304" s="7">
        <f t="shared" si="75"/>
        <v>6554802</v>
      </c>
      <c r="BD304" s="7">
        <v>0</v>
      </c>
      <c r="BF304" s="7">
        <v>0</v>
      </c>
      <c r="BH304" s="7">
        <v>0</v>
      </c>
      <c r="BJ304" s="7">
        <v>0</v>
      </c>
      <c r="BL304" s="7">
        <f t="shared" si="73"/>
        <v>6554802</v>
      </c>
      <c r="BN304" s="7">
        <f>+GenRev!AM304-GenExp!BL304</f>
        <v>-946246</v>
      </c>
      <c r="BP304" s="7">
        <v>947111</v>
      </c>
      <c r="BR304" s="7">
        <v>0</v>
      </c>
      <c r="BT304" s="7">
        <v>0</v>
      </c>
      <c r="BV304" s="7">
        <f t="shared" si="74"/>
        <v>865</v>
      </c>
      <c r="BX304" s="8">
        <f>+BV304-'Gen Fd BS'!AE304+BT304</f>
        <v>0</v>
      </c>
      <c r="CB304" s="7" t="str">
        <f t="shared" si="68"/>
        <v>Lordstown Local SD</v>
      </c>
      <c r="CC304" s="7" t="b">
        <f t="shared" si="65"/>
        <v>1</v>
      </c>
      <c r="CE304" s="12" t="str">
        <f>GenRev!A304</f>
        <v>Lordstown Local SD</v>
      </c>
      <c r="CF304" s="7" t="b">
        <f t="shared" si="69"/>
        <v>1</v>
      </c>
      <c r="CG304" s="7" t="str">
        <f t="shared" si="66"/>
        <v>Trumbull</v>
      </c>
      <c r="CH304" s="7" t="b">
        <f t="shared" si="67"/>
        <v>1</v>
      </c>
      <c r="CI304" s="7" t="b">
        <f>C304=GenRev!C304</f>
        <v>1</v>
      </c>
    </row>
    <row r="305" spans="1:87">
      <c r="A305" s="12" t="s">
        <v>719</v>
      </c>
      <c r="B305" s="12"/>
      <c r="C305" s="12" t="s">
        <v>11</v>
      </c>
      <c r="D305" s="12"/>
      <c r="E305" s="12">
        <v>45468</v>
      </c>
      <c r="G305" s="7">
        <v>4978858</v>
      </c>
      <c r="I305" s="7">
        <v>688233</v>
      </c>
      <c r="K305" s="7">
        <v>301224</v>
      </c>
      <c r="M305" s="7">
        <v>0</v>
      </c>
      <c r="O305" s="7">
        <v>931849</v>
      </c>
      <c r="Q305" s="7">
        <v>658730</v>
      </c>
      <c r="S305" s="7">
        <v>800536</v>
      </c>
      <c r="U305" s="7">
        <v>24410</v>
      </c>
      <c r="W305" s="7">
        <v>1045234</v>
      </c>
      <c r="Y305" s="7">
        <v>393070</v>
      </c>
      <c r="AA305" s="7">
        <v>11266</v>
      </c>
      <c r="AC305" s="7">
        <v>806878</v>
      </c>
      <c r="AE305" s="7">
        <v>728930</v>
      </c>
      <c r="AG305" s="7">
        <v>78731</v>
      </c>
      <c r="AI305" s="7">
        <v>0</v>
      </c>
      <c r="AK305" s="7">
        <v>52953</v>
      </c>
      <c r="AL305" s="12" t="s">
        <v>719</v>
      </c>
      <c r="AM305" s="12"/>
      <c r="AN305" s="12" t="s">
        <v>11</v>
      </c>
      <c r="AP305" s="7">
        <v>323751</v>
      </c>
      <c r="AR305" s="7">
        <v>39599</v>
      </c>
      <c r="AT305" s="7">
        <v>0</v>
      </c>
      <c r="AV305" s="7">
        <v>66970</v>
      </c>
      <c r="AX305" s="7">
        <v>47945</v>
      </c>
      <c r="AZ305" s="7">
        <v>0</v>
      </c>
      <c r="BB305" s="7">
        <f t="shared" si="75"/>
        <v>11979167</v>
      </c>
      <c r="BD305" s="7">
        <v>0</v>
      </c>
      <c r="BF305" s="7">
        <v>0</v>
      </c>
      <c r="BH305" s="7">
        <v>0</v>
      </c>
      <c r="BJ305" s="7">
        <v>0</v>
      </c>
      <c r="BL305" s="7">
        <f t="shared" si="73"/>
        <v>11979167</v>
      </c>
      <c r="BN305" s="7">
        <f>+GenRev!AM305-GenExp!BL305</f>
        <v>-265121</v>
      </c>
      <c r="BP305" s="7">
        <v>3956405</v>
      </c>
      <c r="BR305" s="7">
        <v>0</v>
      </c>
      <c r="BT305" s="7">
        <v>0</v>
      </c>
      <c r="BV305" s="7">
        <f t="shared" si="74"/>
        <v>3691284</v>
      </c>
      <c r="BX305" s="8">
        <f>+BV305-'Gen Fd BS'!AE305+BT305</f>
        <v>0</v>
      </c>
      <c r="CA305" s="7" t="s">
        <v>914</v>
      </c>
      <c r="CB305" s="7" t="str">
        <f t="shared" si="68"/>
        <v>Loudonville-Perrysville Exempted Village SD</v>
      </c>
      <c r="CC305" s="7" t="b">
        <f t="shared" si="65"/>
        <v>1</v>
      </c>
      <c r="CE305" s="12" t="str">
        <f>GenRev!A305</f>
        <v>Loudonville-Perrysville Exempted Village SD</v>
      </c>
      <c r="CF305" s="7" t="b">
        <f t="shared" si="69"/>
        <v>1</v>
      </c>
      <c r="CG305" s="7" t="str">
        <f t="shared" si="66"/>
        <v>Ashland</v>
      </c>
      <c r="CH305" s="7" t="b">
        <f t="shared" si="67"/>
        <v>1</v>
      </c>
      <c r="CI305" s="7" t="b">
        <f>C305=GenRev!C305</f>
        <v>1</v>
      </c>
    </row>
    <row r="306" spans="1:87">
      <c r="A306" s="12" t="s">
        <v>514</v>
      </c>
      <c r="B306" s="12"/>
      <c r="C306" s="12" t="s">
        <v>62</v>
      </c>
      <c r="D306" s="12"/>
      <c r="E306" s="12">
        <v>49874</v>
      </c>
      <c r="G306" s="7">
        <v>11657132</v>
      </c>
      <c r="I306" s="7">
        <v>2520679</v>
      </c>
      <c r="K306" s="7">
        <v>411521</v>
      </c>
      <c r="M306" s="7">
        <v>0</v>
      </c>
      <c r="O306" s="7">
        <v>861725</v>
      </c>
      <c r="Q306" s="7">
        <v>1432570</v>
      </c>
      <c r="S306" s="7">
        <v>832010</v>
      </c>
      <c r="U306" s="7">
        <v>64819</v>
      </c>
      <c r="W306" s="7">
        <v>1710376</v>
      </c>
      <c r="Y306" s="7">
        <v>456601</v>
      </c>
      <c r="AA306" s="7">
        <v>69756</v>
      </c>
      <c r="AC306" s="7">
        <v>2260332</v>
      </c>
      <c r="AE306" s="7">
        <v>1169242</v>
      </c>
      <c r="AG306" s="7">
        <v>20770</v>
      </c>
      <c r="AI306" s="7">
        <v>0</v>
      </c>
      <c r="AK306" s="7">
        <v>9474</v>
      </c>
      <c r="AL306" s="12" t="s">
        <v>514</v>
      </c>
      <c r="AM306" s="12"/>
      <c r="AN306" s="12" t="s">
        <v>62</v>
      </c>
      <c r="AP306" s="7">
        <v>572782</v>
      </c>
      <c r="AR306" s="7">
        <v>1285</v>
      </c>
      <c r="AT306" s="7">
        <v>0</v>
      </c>
      <c r="AV306" s="7">
        <v>0</v>
      </c>
      <c r="AX306" s="7">
        <v>0</v>
      </c>
      <c r="AZ306" s="7">
        <v>0</v>
      </c>
      <c r="BB306" s="7">
        <f t="shared" si="75"/>
        <v>24051074</v>
      </c>
      <c r="BD306" s="7">
        <v>54700</v>
      </c>
      <c r="BF306" s="7">
        <v>0</v>
      </c>
      <c r="BH306" s="7">
        <v>0</v>
      </c>
      <c r="BJ306" s="7">
        <v>0</v>
      </c>
      <c r="BL306" s="7">
        <f t="shared" si="73"/>
        <v>24105774</v>
      </c>
      <c r="BN306" s="7">
        <f>+GenRev!AM306-GenExp!BL306</f>
        <v>-916944</v>
      </c>
      <c r="BP306" s="7">
        <v>3088029</v>
      </c>
      <c r="BR306" s="7">
        <v>0</v>
      </c>
      <c r="BT306" s="7">
        <v>0</v>
      </c>
      <c r="BV306" s="7">
        <f t="shared" si="74"/>
        <v>2171085</v>
      </c>
      <c r="BX306" s="8">
        <f>+BV306-'Gen Fd BS'!AE306+BT306</f>
        <v>0</v>
      </c>
      <c r="CA306" s="7" t="s">
        <v>923</v>
      </c>
      <c r="CB306" s="7" t="str">
        <f t="shared" si="68"/>
        <v>Louisville City SD</v>
      </c>
      <c r="CC306" s="7" t="b">
        <f t="shared" si="65"/>
        <v>1</v>
      </c>
      <c r="CE306" s="12" t="str">
        <f>GenRev!A306</f>
        <v>Louisville City SD</v>
      </c>
      <c r="CF306" s="7" t="b">
        <f t="shared" si="69"/>
        <v>1</v>
      </c>
      <c r="CG306" s="7" t="str">
        <f t="shared" si="66"/>
        <v>Stark</v>
      </c>
      <c r="CH306" s="7" t="b">
        <f t="shared" si="67"/>
        <v>1</v>
      </c>
      <c r="CI306" s="7" t="b">
        <f>C306=GenRev!C306</f>
        <v>1</v>
      </c>
    </row>
    <row r="307" spans="1:87">
      <c r="A307" s="12" t="s">
        <v>332</v>
      </c>
      <c r="B307" s="12"/>
      <c r="C307" s="12" t="s">
        <v>32</v>
      </c>
      <c r="D307" s="12"/>
      <c r="E307" s="12">
        <v>44271</v>
      </c>
      <c r="G307" s="7">
        <v>18686446</v>
      </c>
      <c r="I307" s="7">
        <v>4918909</v>
      </c>
      <c r="K307" s="7">
        <v>176374</v>
      </c>
      <c r="M307" s="7">
        <v>0</v>
      </c>
      <c r="O307" s="7">
        <v>790642</v>
      </c>
      <c r="Q307" s="7">
        <v>2200947</v>
      </c>
      <c r="S307" s="7">
        <v>981928</v>
      </c>
      <c r="U307" s="7">
        <v>101631</v>
      </c>
      <c r="W307" s="7">
        <v>2882962</v>
      </c>
      <c r="Y307" s="7">
        <v>928419</v>
      </c>
      <c r="AA307" s="7">
        <v>231888</v>
      </c>
      <c r="AC307" s="7">
        <v>2231774</v>
      </c>
      <c r="AE307" s="7">
        <v>2581396</v>
      </c>
      <c r="AG307" s="7">
        <v>494140</v>
      </c>
      <c r="AI307" s="7">
        <v>0</v>
      </c>
      <c r="AK307" s="7">
        <v>25790</v>
      </c>
      <c r="AL307" s="12" t="s">
        <v>332</v>
      </c>
      <c r="AM307" s="12"/>
      <c r="AN307" s="12" t="s">
        <v>32</v>
      </c>
      <c r="AP307" s="7">
        <v>888642</v>
      </c>
      <c r="AR307" s="7">
        <v>29267</v>
      </c>
      <c r="AT307" s="7">
        <v>0</v>
      </c>
      <c r="AV307" s="7">
        <v>255000</v>
      </c>
      <c r="AX307" s="7">
        <v>0</v>
      </c>
      <c r="AZ307" s="7">
        <v>0</v>
      </c>
      <c r="BB307" s="7">
        <f t="shared" si="75"/>
        <v>38406155</v>
      </c>
      <c r="BD307" s="7">
        <v>36226</v>
      </c>
      <c r="BF307" s="7">
        <v>0</v>
      </c>
      <c r="BH307" s="7">
        <v>0</v>
      </c>
      <c r="BJ307" s="7">
        <v>0</v>
      </c>
      <c r="BL307" s="7">
        <f t="shared" si="73"/>
        <v>38442381</v>
      </c>
      <c r="BN307" s="7">
        <f>+GenRev!AM307-GenExp!BL307</f>
        <v>1680922</v>
      </c>
      <c r="BP307" s="7">
        <v>7586683</v>
      </c>
      <c r="BR307" s="7">
        <v>0</v>
      </c>
      <c r="BT307" s="7">
        <v>0</v>
      </c>
      <c r="BV307" s="7">
        <f t="shared" si="74"/>
        <v>9267605</v>
      </c>
      <c r="BX307" s="8">
        <f>+BV307-'Gen Fd BS'!AE307+BT307</f>
        <v>0</v>
      </c>
      <c r="CB307" s="7" t="str">
        <f t="shared" si="68"/>
        <v>Loveland City SD</v>
      </c>
      <c r="CC307" s="7" t="b">
        <f t="shared" si="65"/>
        <v>1</v>
      </c>
      <c r="CE307" s="12" t="str">
        <f>GenRev!A307</f>
        <v>Loveland City SD</v>
      </c>
      <c r="CF307" s="7" t="b">
        <f t="shared" si="69"/>
        <v>1</v>
      </c>
      <c r="CG307" s="7" t="str">
        <f t="shared" si="66"/>
        <v>Hamilton</v>
      </c>
      <c r="CH307" s="7" t="b">
        <f t="shared" si="67"/>
        <v>1</v>
      </c>
      <c r="CI307" s="7" t="b">
        <f>C307=GenRev!C307</f>
        <v>1</v>
      </c>
    </row>
    <row r="308" spans="1:87">
      <c r="A308" s="12" t="s">
        <v>720</v>
      </c>
      <c r="B308" s="12"/>
      <c r="C308" s="12" t="s">
        <v>45</v>
      </c>
      <c r="D308" s="12"/>
      <c r="E308" s="12">
        <v>48330</v>
      </c>
      <c r="G308" s="7">
        <v>2538448</v>
      </c>
      <c r="I308" s="7">
        <v>135913</v>
      </c>
      <c r="K308" s="7">
        <v>31040</v>
      </c>
      <c r="M308" s="7">
        <v>0</v>
      </c>
      <c r="O308" s="7">
        <v>710</v>
      </c>
      <c r="Q308" s="7">
        <v>130508</v>
      </c>
      <c r="S308" s="7">
        <v>339037</v>
      </c>
      <c r="U308" s="7">
        <v>37687</v>
      </c>
      <c r="W308" s="7">
        <v>325937</v>
      </c>
      <c r="Y308" s="7">
        <v>157889</v>
      </c>
      <c r="AA308" s="7">
        <v>0</v>
      </c>
      <c r="AC308" s="7">
        <v>322426</v>
      </c>
      <c r="AE308" s="7">
        <v>110835</v>
      </c>
      <c r="AG308" s="7">
        <v>26449</v>
      </c>
      <c r="AI308" s="7">
        <v>0</v>
      </c>
      <c r="AK308" s="7">
        <v>0</v>
      </c>
      <c r="AL308" s="12" t="s">
        <v>720</v>
      </c>
      <c r="AM308" s="12"/>
      <c r="AN308" s="12" t="s">
        <v>45</v>
      </c>
      <c r="AP308" s="7">
        <v>210369</v>
      </c>
      <c r="AR308" s="7">
        <v>0</v>
      </c>
      <c r="AT308" s="7">
        <v>0</v>
      </c>
      <c r="AV308" s="7">
        <v>0</v>
      </c>
      <c r="AX308" s="7">
        <v>0</v>
      </c>
      <c r="AZ308" s="7">
        <v>0</v>
      </c>
      <c r="BB308" s="7">
        <f t="shared" si="75"/>
        <v>4367248</v>
      </c>
      <c r="BD308" s="7">
        <v>33767</v>
      </c>
      <c r="BF308" s="7">
        <v>0</v>
      </c>
      <c r="BH308" s="7">
        <v>0</v>
      </c>
      <c r="BJ308" s="7">
        <v>0</v>
      </c>
      <c r="BL308" s="7">
        <f t="shared" si="73"/>
        <v>4401015</v>
      </c>
      <c r="BN308" s="7">
        <f>+GenRev!AM308-GenExp!BL308</f>
        <v>211452</v>
      </c>
      <c r="BP308" s="7">
        <v>2176566</v>
      </c>
      <c r="BR308" s="7">
        <v>0</v>
      </c>
      <c r="BT308" s="7">
        <v>0</v>
      </c>
      <c r="BV308" s="7">
        <f t="shared" si="74"/>
        <v>2388018</v>
      </c>
      <c r="BX308" s="8">
        <f>+BV308-'Gen Fd BS'!AE308+BT308</f>
        <v>0</v>
      </c>
      <c r="CB308" s="7" t="str">
        <f t="shared" si="68"/>
        <v xml:space="preserve">Lowellville Local SD </v>
      </c>
      <c r="CC308" s="7" t="b">
        <f t="shared" si="65"/>
        <v>1</v>
      </c>
      <c r="CE308" s="12" t="str">
        <f>GenRev!A308</f>
        <v xml:space="preserve">Lowellville Local SD </v>
      </c>
      <c r="CF308" s="7" t="b">
        <f t="shared" si="69"/>
        <v>1</v>
      </c>
      <c r="CG308" s="7" t="str">
        <f t="shared" si="66"/>
        <v>Mahoning</v>
      </c>
      <c r="CH308" s="7" t="b">
        <f t="shared" si="67"/>
        <v>1</v>
      </c>
      <c r="CI308" s="7" t="b">
        <f>C308=GenRev!C308</f>
        <v>1</v>
      </c>
    </row>
    <row r="309" spans="1:87">
      <c r="A309" s="12" t="s">
        <v>924</v>
      </c>
      <c r="B309" s="12"/>
      <c r="C309" s="12" t="s">
        <v>110</v>
      </c>
      <c r="D309" s="12"/>
      <c r="E309" s="12">
        <v>49445</v>
      </c>
      <c r="F309" s="10"/>
      <c r="G309" s="7">
        <v>2432916</v>
      </c>
      <c r="I309" s="7">
        <v>301512</v>
      </c>
      <c r="K309" s="7">
        <v>0</v>
      </c>
      <c r="M309" s="7">
        <v>0</v>
      </c>
      <c r="O309" s="7">
        <v>377790</v>
      </c>
      <c r="Q309" s="7">
        <v>71310</v>
      </c>
      <c r="S309" s="7">
        <v>136933</v>
      </c>
      <c r="U309" s="7">
        <v>35376</v>
      </c>
      <c r="W309" s="7">
        <v>367753</v>
      </c>
      <c r="Y309" s="7">
        <v>214371</v>
      </c>
      <c r="AA309" s="7">
        <v>0</v>
      </c>
      <c r="AC309" s="7">
        <v>442957</v>
      </c>
      <c r="AE309" s="7">
        <v>297358</v>
      </c>
      <c r="AG309" s="7">
        <v>38537</v>
      </c>
      <c r="AI309" s="7">
        <v>0</v>
      </c>
      <c r="AK309" s="7">
        <v>1547</v>
      </c>
      <c r="AL309" s="12" t="s">
        <v>924</v>
      </c>
      <c r="AM309" s="12"/>
      <c r="AN309" s="12" t="s">
        <v>110</v>
      </c>
      <c r="AP309" s="7">
        <v>98665</v>
      </c>
      <c r="AR309" s="7">
        <v>0</v>
      </c>
      <c r="AT309" s="7">
        <v>0</v>
      </c>
      <c r="AV309" s="7">
        <v>0</v>
      </c>
      <c r="AX309" s="7">
        <f>16198+19114</f>
        <v>35312</v>
      </c>
      <c r="AZ309" s="7">
        <v>0</v>
      </c>
      <c r="BB309" s="7">
        <f t="shared" si="75"/>
        <v>4852337</v>
      </c>
      <c r="BD309" s="7">
        <v>25000</v>
      </c>
      <c r="BF309" s="7">
        <v>0</v>
      </c>
      <c r="BH309" s="7">
        <v>0</v>
      </c>
      <c r="BJ309" s="7">
        <v>0</v>
      </c>
      <c r="BL309" s="7">
        <f t="shared" si="73"/>
        <v>4877337</v>
      </c>
      <c r="BN309" s="7">
        <f>+GenRev!AM309-GenExp!BL309</f>
        <v>713520</v>
      </c>
      <c r="BP309" s="7">
        <v>2879704</v>
      </c>
      <c r="BR309" s="7">
        <v>0</v>
      </c>
      <c r="BT309" s="7">
        <v>0</v>
      </c>
      <c r="BV309" s="7">
        <f t="shared" si="74"/>
        <v>3593224</v>
      </c>
      <c r="BX309" s="8">
        <f>+BV309-'Gen Fd BS'!AE309+BT309</f>
        <v>0</v>
      </c>
      <c r="CB309" s="7" t="str">
        <f t="shared" si="68"/>
        <v>Lucas Local SD</v>
      </c>
      <c r="CC309" s="7" t="b">
        <f t="shared" si="65"/>
        <v>1</v>
      </c>
      <c r="CE309" s="12" t="str">
        <f>GenRev!A309</f>
        <v>Lucas Local SD</v>
      </c>
      <c r="CF309" s="7" t="b">
        <f t="shared" si="69"/>
        <v>1</v>
      </c>
      <c r="CG309" s="7" t="str">
        <f t="shared" si="66"/>
        <v>Richland</v>
      </c>
      <c r="CH309" s="7" t="b">
        <f t="shared" si="67"/>
        <v>1</v>
      </c>
      <c r="CI309" s="7" t="b">
        <f>C309=GenRev!C309</f>
        <v>1</v>
      </c>
    </row>
    <row r="310" spans="1:87">
      <c r="A310" s="12" t="s">
        <v>361</v>
      </c>
      <c r="B310" s="12"/>
      <c r="C310" s="12" t="s">
        <v>358</v>
      </c>
      <c r="D310" s="12"/>
      <c r="E310" s="12">
        <v>47639</v>
      </c>
      <c r="G310" s="7">
        <v>5821313</v>
      </c>
      <c r="I310" s="7">
        <v>751716</v>
      </c>
      <c r="K310" s="7">
        <v>193408</v>
      </c>
      <c r="M310" s="7">
        <v>0</v>
      </c>
      <c r="O310" s="7">
        <v>2217</v>
      </c>
      <c r="Q310" s="7">
        <v>335285</v>
      </c>
      <c r="S310" s="7">
        <v>484338</v>
      </c>
      <c r="U310" s="7">
        <v>58150</v>
      </c>
      <c r="W310" s="7">
        <v>1056474</v>
      </c>
      <c r="Y310" s="7">
        <v>329165</v>
      </c>
      <c r="AA310" s="7">
        <v>43889</v>
      </c>
      <c r="AC310" s="7">
        <v>879388</v>
      </c>
      <c r="AE310" s="7">
        <v>925533</v>
      </c>
      <c r="AG310" s="7">
        <v>8666</v>
      </c>
      <c r="AI310" s="7">
        <v>421</v>
      </c>
      <c r="AK310" s="7">
        <v>49</v>
      </c>
      <c r="AL310" s="12" t="s">
        <v>361</v>
      </c>
      <c r="AM310" s="12"/>
      <c r="AN310" s="12" t="s">
        <v>358</v>
      </c>
      <c r="AP310" s="7">
        <v>122706</v>
      </c>
      <c r="AR310" s="7">
        <v>0</v>
      </c>
      <c r="AT310" s="7">
        <v>0</v>
      </c>
      <c r="AV310" s="7">
        <v>0</v>
      </c>
      <c r="AX310" s="7">
        <v>0</v>
      </c>
      <c r="AZ310" s="7">
        <v>0</v>
      </c>
      <c r="BB310" s="7">
        <f t="shared" si="75"/>
        <v>11012718</v>
      </c>
      <c r="BD310" s="7">
        <v>98632</v>
      </c>
      <c r="BF310" s="7">
        <v>0</v>
      </c>
      <c r="BH310" s="7">
        <v>0</v>
      </c>
      <c r="BJ310" s="7">
        <v>0</v>
      </c>
      <c r="BL310" s="7">
        <f t="shared" si="73"/>
        <v>11111350</v>
      </c>
      <c r="BN310" s="7">
        <f>+GenRev!AM310-GenExp!BL310</f>
        <v>-274518</v>
      </c>
      <c r="BP310" s="7">
        <v>6666447</v>
      </c>
      <c r="BR310" s="7">
        <v>0</v>
      </c>
      <c r="BT310" s="7">
        <v>0</v>
      </c>
      <c r="BV310" s="7">
        <f t="shared" si="74"/>
        <v>6391929</v>
      </c>
      <c r="BX310" s="8">
        <f>+BV310-'Gen Fd BS'!AE310+BT310</f>
        <v>0</v>
      </c>
      <c r="CA310" s="7" t="s">
        <v>927</v>
      </c>
      <c r="CB310" s="7" t="str">
        <f t="shared" si="68"/>
        <v>Lynchburg-Clay Local SD</v>
      </c>
      <c r="CC310" s="7" t="b">
        <f t="shared" si="65"/>
        <v>1</v>
      </c>
      <c r="CE310" s="12" t="str">
        <f>GenRev!A310</f>
        <v>Lynchburg-Clay Local SD</v>
      </c>
      <c r="CF310" s="7" t="b">
        <f t="shared" si="69"/>
        <v>1</v>
      </c>
      <c r="CG310" s="7" t="str">
        <f t="shared" si="66"/>
        <v>Highland</v>
      </c>
      <c r="CH310" s="7" t="b">
        <f t="shared" si="67"/>
        <v>1</v>
      </c>
      <c r="CI310" s="7" t="b">
        <f>C310=GenRev!C310</f>
        <v>1</v>
      </c>
    </row>
    <row r="311" spans="1:87">
      <c r="A311" s="12" t="s">
        <v>750</v>
      </c>
      <c r="B311" s="12"/>
      <c r="C311" s="12" t="s">
        <v>50</v>
      </c>
      <c r="D311" s="12"/>
      <c r="E311" s="12">
        <v>48702</v>
      </c>
      <c r="G311" s="7">
        <v>14507855</v>
      </c>
      <c r="I311" s="7">
        <v>3339771</v>
      </c>
      <c r="K311" s="7">
        <v>1764139</v>
      </c>
      <c r="M311" s="7">
        <v>33389</v>
      </c>
      <c r="O311" s="7">
        <v>1526622</v>
      </c>
      <c r="Q311" s="7">
        <v>2831793</v>
      </c>
      <c r="S311" s="7">
        <v>2854051</v>
      </c>
      <c r="U311" s="7">
        <v>90423</v>
      </c>
      <c r="W311" s="7">
        <v>3054054</v>
      </c>
      <c r="Y311" s="7">
        <v>550781</v>
      </c>
      <c r="AA311" s="7">
        <v>192</v>
      </c>
      <c r="AC311" s="7">
        <v>4088768</v>
      </c>
      <c r="AE311" s="7">
        <v>1381912</v>
      </c>
      <c r="AG311" s="7">
        <v>405310</v>
      </c>
      <c r="AI311" s="7">
        <v>0</v>
      </c>
      <c r="AK311" s="7">
        <v>0</v>
      </c>
      <c r="AL311" s="12" t="s">
        <v>750</v>
      </c>
      <c r="AM311" s="12"/>
      <c r="AN311" s="12" t="s">
        <v>50</v>
      </c>
      <c r="AP311" s="7">
        <v>476758</v>
      </c>
      <c r="AR311" s="7">
        <v>0</v>
      </c>
      <c r="AT311" s="7">
        <v>0</v>
      </c>
      <c r="AV311" s="7">
        <v>163758</v>
      </c>
      <c r="AX311" s="7">
        <v>74645</v>
      </c>
      <c r="AZ311" s="7">
        <v>0</v>
      </c>
      <c r="BB311" s="7">
        <f t="shared" ref="BB311:BB379" si="76">SUM(G311:AZ311)</f>
        <v>37144221</v>
      </c>
      <c r="BD311" s="7">
        <v>0</v>
      </c>
      <c r="BF311" s="7">
        <v>0</v>
      </c>
      <c r="BH311" s="7">
        <v>0</v>
      </c>
      <c r="BJ311" s="7">
        <v>0</v>
      </c>
      <c r="BL311" s="7">
        <f t="shared" ref="BL311:BL379" si="77">+BB311+BD311+BF311+BJ311</f>
        <v>37144221</v>
      </c>
      <c r="BN311" s="7">
        <f>+GenRev!AM311-GenExp!BL311</f>
        <v>-3326075</v>
      </c>
      <c r="BP311" s="7">
        <v>10935339</v>
      </c>
      <c r="BR311" s="7">
        <v>0</v>
      </c>
      <c r="BT311" s="7">
        <v>0</v>
      </c>
      <c r="BV311" s="7">
        <f t="shared" si="74"/>
        <v>7609264</v>
      </c>
      <c r="BX311" s="8">
        <f>+BV311-'Gen Fd BS'!AE311+BT311</f>
        <v>0</v>
      </c>
      <c r="CA311" s="14"/>
      <c r="CB311" s="7" t="str">
        <f t="shared" si="68"/>
        <v xml:space="preserve">Mad River Local SD </v>
      </c>
      <c r="CC311" s="7" t="b">
        <f t="shared" si="65"/>
        <v>1</v>
      </c>
      <c r="CE311" s="12" t="str">
        <f>GenRev!A311</f>
        <v xml:space="preserve">Mad River Local SD </v>
      </c>
      <c r="CF311" s="7" t="b">
        <f t="shared" si="69"/>
        <v>1</v>
      </c>
      <c r="CG311" s="7" t="str">
        <f t="shared" si="66"/>
        <v>Montgomery</v>
      </c>
      <c r="CH311" s="7" t="b">
        <f t="shared" si="67"/>
        <v>1</v>
      </c>
      <c r="CI311" s="7" t="b">
        <f>C311=GenRev!C311</f>
        <v>1</v>
      </c>
    </row>
    <row r="312" spans="1:87">
      <c r="A312" s="12" t="s">
        <v>333</v>
      </c>
      <c r="B312" s="12"/>
      <c r="C312" s="12" t="s">
        <v>32</v>
      </c>
      <c r="D312" s="12"/>
      <c r="E312" s="12">
        <v>44289</v>
      </c>
      <c r="G312" s="7">
        <v>7281390</v>
      </c>
      <c r="I312" s="7">
        <v>1695293</v>
      </c>
      <c r="K312" s="7">
        <v>0</v>
      </c>
      <c r="M312" s="7">
        <v>0</v>
      </c>
      <c r="O312" s="7">
        <v>69268</v>
      </c>
      <c r="Q312" s="7">
        <v>1095609</v>
      </c>
      <c r="S312" s="7">
        <v>342787</v>
      </c>
      <c r="U312" s="7">
        <v>44941</v>
      </c>
      <c r="W312" s="7">
        <v>1253918</v>
      </c>
      <c r="Y312" s="7">
        <v>481854</v>
      </c>
      <c r="AA312" s="7">
        <v>54841</v>
      </c>
      <c r="AC312" s="7">
        <v>1313360</v>
      </c>
      <c r="AE312" s="7">
        <v>779482</v>
      </c>
      <c r="AG312" s="7">
        <v>484027</v>
      </c>
      <c r="AI312" s="7">
        <v>0</v>
      </c>
      <c r="AK312" s="7">
        <v>970</v>
      </c>
      <c r="AL312" s="12" t="s">
        <v>333</v>
      </c>
      <c r="AM312" s="12"/>
      <c r="AN312" s="12" t="s">
        <v>32</v>
      </c>
      <c r="AP312" s="7">
        <v>308130</v>
      </c>
      <c r="AR312" s="7">
        <v>162109</v>
      </c>
      <c r="AT312" s="7">
        <v>0</v>
      </c>
      <c r="AV312" s="7">
        <v>241071</v>
      </c>
      <c r="AX312" s="7">
        <v>15648</v>
      </c>
      <c r="AZ312" s="7">
        <v>0</v>
      </c>
      <c r="BB312" s="7">
        <f t="shared" si="76"/>
        <v>15624698</v>
      </c>
      <c r="BD312" s="7">
        <v>40000</v>
      </c>
      <c r="BF312" s="7">
        <v>0</v>
      </c>
      <c r="BH312" s="7">
        <v>0</v>
      </c>
      <c r="BJ312" s="7">
        <v>0</v>
      </c>
      <c r="BL312" s="7">
        <f t="shared" si="77"/>
        <v>15664698</v>
      </c>
      <c r="BN312" s="7">
        <f>+GenRev!AM312-GenExp!BL312</f>
        <v>485250</v>
      </c>
      <c r="BP312" s="7">
        <v>7420282</v>
      </c>
      <c r="BR312" s="7">
        <v>0</v>
      </c>
      <c r="BT312" s="7">
        <v>0</v>
      </c>
      <c r="BV312" s="7">
        <f t="shared" si="74"/>
        <v>7905532</v>
      </c>
      <c r="BX312" s="8">
        <f>+BV312-'Gen Fd BS'!AE312+BT312</f>
        <v>0</v>
      </c>
      <c r="CB312" s="7" t="str">
        <f t="shared" si="68"/>
        <v>Madeira City SD</v>
      </c>
      <c r="CC312" s="7" t="b">
        <f t="shared" si="65"/>
        <v>1</v>
      </c>
      <c r="CE312" s="12" t="str">
        <f>GenRev!A312</f>
        <v>Madeira City SD</v>
      </c>
      <c r="CF312" s="7" t="b">
        <f t="shared" si="69"/>
        <v>1</v>
      </c>
      <c r="CG312" s="7" t="str">
        <f t="shared" si="66"/>
        <v>Hamilton</v>
      </c>
      <c r="CH312" s="7" t="b">
        <f t="shared" si="67"/>
        <v>1</v>
      </c>
      <c r="CI312" s="7" t="b">
        <f>C312=GenRev!C312</f>
        <v>1</v>
      </c>
    </row>
    <row r="313" spans="1:87">
      <c r="A313" s="12" t="s">
        <v>227</v>
      </c>
      <c r="B313" s="12"/>
      <c r="C313" s="12" t="s">
        <v>223</v>
      </c>
      <c r="D313" s="12"/>
      <c r="E313" s="12">
        <v>46128</v>
      </c>
      <c r="F313" s="10"/>
      <c r="G313" s="7">
        <v>5240006</v>
      </c>
      <c r="I313" s="7">
        <v>969914</v>
      </c>
      <c r="K313" s="7">
        <v>0</v>
      </c>
      <c r="M313" s="7">
        <v>0</v>
      </c>
      <c r="O313" s="7">
        <v>479501</v>
      </c>
      <c r="Q313" s="7">
        <v>642170</v>
      </c>
      <c r="S313" s="7">
        <v>530857</v>
      </c>
      <c r="U313" s="7">
        <v>89245</v>
      </c>
      <c r="W313" s="7">
        <v>1006838</v>
      </c>
      <c r="Y313" s="7">
        <v>316702</v>
      </c>
      <c r="AA313" s="7">
        <v>2147</v>
      </c>
      <c r="AC313" s="7">
        <v>1427412</v>
      </c>
      <c r="AE313" s="7">
        <v>898036</v>
      </c>
      <c r="AG313" s="7">
        <v>446749</v>
      </c>
      <c r="AI313" s="7">
        <v>0</v>
      </c>
      <c r="AK313" s="7">
        <v>31703</v>
      </c>
      <c r="AL313" s="12" t="s">
        <v>227</v>
      </c>
      <c r="AM313" s="12"/>
      <c r="AN313" s="12" t="s">
        <v>223</v>
      </c>
      <c r="AP313" s="7">
        <v>293931</v>
      </c>
      <c r="AR313" s="7">
        <v>18041</v>
      </c>
      <c r="AT313" s="7">
        <v>0</v>
      </c>
      <c r="AV313" s="7">
        <v>0</v>
      </c>
      <c r="AX313" s="7">
        <v>0</v>
      </c>
      <c r="AZ313" s="7">
        <v>0</v>
      </c>
      <c r="BB313" s="7">
        <f t="shared" si="76"/>
        <v>12393252</v>
      </c>
      <c r="BD313" s="7">
        <v>0</v>
      </c>
      <c r="BF313" s="7">
        <v>0</v>
      </c>
      <c r="BH313" s="7">
        <v>0</v>
      </c>
      <c r="BJ313" s="7">
        <v>0</v>
      </c>
      <c r="BL313" s="7">
        <f t="shared" si="77"/>
        <v>12393252</v>
      </c>
      <c r="BN313" s="7">
        <f>+GenRev!AM313-GenExp!BL313</f>
        <v>-1129611</v>
      </c>
      <c r="BP313" s="7">
        <v>2660368</v>
      </c>
      <c r="BR313" s="7">
        <v>0</v>
      </c>
      <c r="BT313" s="7">
        <v>0</v>
      </c>
      <c r="BV313" s="7">
        <f t="shared" ref="BV313:BV357" si="78">+BP313+BN313-BR313</f>
        <v>1530757</v>
      </c>
      <c r="BX313" s="8">
        <f>+BV313-'Gen Fd BS'!AE313+BT313</f>
        <v>0</v>
      </c>
      <c r="CB313" s="7" t="str">
        <f t="shared" si="68"/>
        <v>Madison Local SD</v>
      </c>
      <c r="CC313" s="7" t="b">
        <f t="shared" si="65"/>
        <v>1</v>
      </c>
      <c r="CE313" s="12" t="str">
        <f>GenRev!A313</f>
        <v>Madison Local SD</v>
      </c>
      <c r="CF313" s="7" t="b">
        <f t="shared" si="69"/>
        <v>1</v>
      </c>
      <c r="CG313" s="7" t="str">
        <f t="shared" si="66"/>
        <v>Butler</v>
      </c>
      <c r="CH313" s="7" t="b">
        <f t="shared" si="67"/>
        <v>1</v>
      </c>
      <c r="CI313" s="7" t="b">
        <f>C313=GenRev!C313</f>
        <v>1</v>
      </c>
    </row>
    <row r="314" spans="1:87" hidden="1">
      <c r="A314" s="12" t="s">
        <v>772</v>
      </c>
      <c r="B314" s="12"/>
      <c r="C314" s="12" t="s">
        <v>41</v>
      </c>
      <c r="D314" s="12"/>
      <c r="E314" s="12"/>
      <c r="F314" s="10"/>
      <c r="AI314" s="7">
        <v>0</v>
      </c>
      <c r="AL314" s="12" t="s">
        <v>772</v>
      </c>
      <c r="AM314" s="12"/>
      <c r="AN314" s="12" t="s">
        <v>41</v>
      </c>
      <c r="AV314" s="7">
        <v>0</v>
      </c>
      <c r="AX314" s="7">
        <v>0</v>
      </c>
      <c r="AZ314" s="7">
        <v>0</v>
      </c>
      <c r="BB314" s="7">
        <f t="shared" si="76"/>
        <v>0</v>
      </c>
      <c r="BF314" s="7">
        <v>0</v>
      </c>
      <c r="BH314" s="7">
        <v>0</v>
      </c>
      <c r="BJ314" s="7">
        <v>0</v>
      </c>
      <c r="BL314" s="7">
        <f t="shared" si="77"/>
        <v>0</v>
      </c>
      <c r="BN314" s="7">
        <f>+GenRev!AM314-GenExp!BL314</f>
        <v>0</v>
      </c>
      <c r="BR314" s="7">
        <v>0</v>
      </c>
      <c r="BT314" s="7">
        <v>0</v>
      </c>
      <c r="BV314" s="7">
        <f t="shared" si="78"/>
        <v>0</v>
      </c>
      <c r="BX314" s="8">
        <f>+BV314-'Gen Fd BS'!AE314+BT314</f>
        <v>0</v>
      </c>
      <c r="CA314" s="7" t="s">
        <v>839</v>
      </c>
      <c r="CB314" s="7" t="str">
        <f t="shared" si="68"/>
        <v xml:space="preserve">Madison Local SD (CASH)  </v>
      </c>
      <c r="CC314" s="7" t="b">
        <f t="shared" si="65"/>
        <v>1</v>
      </c>
      <c r="CE314" s="12" t="str">
        <f>GenRev!A314</f>
        <v xml:space="preserve">Madison Local SD (CASH)  </v>
      </c>
      <c r="CF314" s="7" t="b">
        <f t="shared" si="69"/>
        <v>1</v>
      </c>
      <c r="CG314" s="7" t="str">
        <f t="shared" si="66"/>
        <v>Lake</v>
      </c>
      <c r="CH314" s="7" t="b">
        <f t="shared" si="67"/>
        <v>1</v>
      </c>
      <c r="CI314" s="7" t="b">
        <f>C314=GenRev!C314</f>
        <v>1</v>
      </c>
    </row>
    <row r="315" spans="1:87">
      <c r="A315" s="12" t="s">
        <v>227</v>
      </c>
      <c r="B315" s="12"/>
      <c r="C315" s="12" t="s">
        <v>110</v>
      </c>
      <c r="D315" s="12"/>
      <c r="E315" s="12">
        <v>49452</v>
      </c>
      <c r="G315" s="7">
        <v>12128858</v>
      </c>
      <c r="I315" s="7">
        <v>2682527</v>
      </c>
      <c r="K315" s="7">
        <v>3057493</v>
      </c>
      <c r="M315" s="7">
        <v>0</v>
      </c>
      <c r="O315" s="7">
        <v>2321585</v>
      </c>
      <c r="Q315" s="7">
        <v>1155581</v>
      </c>
      <c r="S315" s="7">
        <v>1068028</v>
      </c>
      <c r="U315" s="7">
        <v>54943</v>
      </c>
      <c r="W315" s="7">
        <v>2744376</v>
      </c>
      <c r="Y315" s="7">
        <v>380017</v>
      </c>
      <c r="AA315" s="7">
        <v>60345</v>
      </c>
      <c r="AC315" s="7">
        <v>2975090</v>
      </c>
      <c r="AE315" s="7">
        <v>1519276</v>
      </c>
      <c r="AG315" s="7">
        <v>263164</v>
      </c>
      <c r="AI315" s="7">
        <v>0</v>
      </c>
      <c r="AK315" s="7">
        <v>0</v>
      </c>
      <c r="AL315" s="12" t="s">
        <v>227</v>
      </c>
      <c r="AM315" s="12"/>
      <c r="AN315" s="12" t="s">
        <v>110</v>
      </c>
      <c r="AP315" s="7">
        <v>385433</v>
      </c>
      <c r="AR315" s="7">
        <v>495439</v>
      </c>
      <c r="AT315" s="7">
        <v>0</v>
      </c>
      <c r="AV315" s="7">
        <v>0</v>
      </c>
      <c r="AX315" s="7">
        <v>0</v>
      </c>
      <c r="AZ315" s="7">
        <v>0</v>
      </c>
      <c r="BB315" s="7">
        <f t="shared" si="76"/>
        <v>31292155</v>
      </c>
      <c r="BD315" s="7">
        <v>25000</v>
      </c>
      <c r="BF315" s="7">
        <v>0</v>
      </c>
      <c r="BH315" s="7">
        <v>0</v>
      </c>
      <c r="BJ315" s="7">
        <v>0</v>
      </c>
      <c r="BL315" s="7">
        <f t="shared" si="77"/>
        <v>31317155</v>
      </c>
      <c r="BN315" s="7">
        <f>+GenRev!AM315-GenExp!BL315</f>
        <v>-1919497</v>
      </c>
      <c r="BP315" s="7">
        <v>7256932</v>
      </c>
      <c r="BR315" s="7">
        <v>0</v>
      </c>
      <c r="BT315" s="7">
        <v>0</v>
      </c>
      <c r="BV315" s="7">
        <f t="shared" si="78"/>
        <v>5337435</v>
      </c>
      <c r="BX315" s="8">
        <f>+BV315-'Gen Fd BS'!AE315+BT315</f>
        <v>0</v>
      </c>
      <c r="CB315" s="7" t="str">
        <f t="shared" si="68"/>
        <v>Madison Local SD</v>
      </c>
      <c r="CC315" s="7" t="b">
        <f t="shared" si="65"/>
        <v>1</v>
      </c>
      <c r="CE315" s="12" t="str">
        <f>GenRev!A315</f>
        <v>Madison Local SD</v>
      </c>
      <c r="CF315" s="7" t="b">
        <f t="shared" si="69"/>
        <v>1</v>
      </c>
      <c r="CG315" s="7" t="str">
        <f t="shared" si="66"/>
        <v>Richland</v>
      </c>
      <c r="CH315" s="7" t="b">
        <f t="shared" si="67"/>
        <v>1</v>
      </c>
      <c r="CI315" s="7" t="b">
        <f>C315=GenRev!C315</f>
        <v>1</v>
      </c>
    </row>
    <row r="316" spans="1:87">
      <c r="A316" s="12" t="s">
        <v>730</v>
      </c>
      <c r="B316" s="12"/>
      <c r="C316" s="12" t="s">
        <v>411</v>
      </c>
      <c r="D316" s="12"/>
      <c r="E316" s="12"/>
      <c r="G316" s="7">
        <v>6536377</v>
      </c>
      <c r="I316" s="7">
        <v>731373</v>
      </c>
      <c r="K316" s="7">
        <v>437380</v>
      </c>
      <c r="M316" s="7">
        <v>0</v>
      </c>
      <c r="O316" s="7">
        <v>0</v>
      </c>
      <c r="Q316" s="7">
        <v>577508</v>
      </c>
      <c r="S316" s="7">
        <v>432977</v>
      </c>
      <c r="U316" s="7">
        <v>59632</v>
      </c>
      <c r="W316" s="7">
        <v>1155727</v>
      </c>
      <c r="Y316" s="7">
        <v>512569</v>
      </c>
      <c r="AA316" s="7">
        <v>943</v>
      </c>
      <c r="AC316" s="7">
        <v>799226</v>
      </c>
      <c r="AE316" s="7">
        <v>757385</v>
      </c>
      <c r="AG316" s="7">
        <v>396325</v>
      </c>
      <c r="AI316" s="7">
        <v>0</v>
      </c>
      <c r="AK316" s="7">
        <v>8427</v>
      </c>
      <c r="AL316" s="12" t="s">
        <v>730</v>
      </c>
      <c r="AM316" s="12"/>
      <c r="AN316" s="12" t="s">
        <v>411</v>
      </c>
      <c r="AP316" s="7">
        <v>351287</v>
      </c>
      <c r="AR316" s="7">
        <v>11750</v>
      </c>
      <c r="AT316" s="7">
        <v>0</v>
      </c>
      <c r="AV316" s="7">
        <v>25000</v>
      </c>
      <c r="AX316" s="7">
        <v>7661</v>
      </c>
      <c r="AZ316" s="7">
        <v>0</v>
      </c>
      <c r="BB316" s="7">
        <f t="shared" si="76"/>
        <v>12801547</v>
      </c>
      <c r="BD316" s="7">
        <v>120700</v>
      </c>
      <c r="BF316" s="7">
        <v>0</v>
      </c>
      <c r="BH316" s="7">
        <v>0</v>
      </c>
      <c r="BJ316" s="7">
        <v>0</v>
      </c>
      <c r="BL316" s="7">
        <f t="shared" si="77"/>
        <v>12922247</v>
      </c>
      <c r="BN316" s="7">
        <f>+GenRev!AM316-GenExp!BL316</f>
        <v>446613</v>
      </c>
      <c r="BP316" s="7">
        <v>10287615</v>
      </c>
      <c r="BR316" s="7">
        <v>0</v>
      </c>
      <c r="BT316" s="7">
        <v>0</v>
      </c>
      <c r="BV316" s="7">
        <f t="shared" si="78"/>
        <v>10734228</v>
      </c>
      <c r="BX316" s="8">
        <f>+BV316-'Gen Fd BS'!AE316+BT316</f>
        <v>0</v>
      </c>
      <c r="CB316" s="7" t="str">
        <f t="shared" si="68"/>
        <v xml:space="preserve">Madison Plains Local SD </v>
      </c>
      <c r="CC316" s="7" t="b">
        <f t="shared" si="65"/>
        <v>1</v>
      </c>
      <c r="CE316" s="12" t="str">
        <f>GenRev!A316</f>
        <v xml:space="preserve">Madison Plains Local SD </v>
      </c>
      <c r="CF316" s="7" t="b">
        <f t="shared" si="69"/>
        <v>1</v>
      </c>
      <c r="CG316" s="7" t="str">
        <f t="shared" si="66"/>
        <v>Madison</v>
      </c>
      <c r="CH316" s="7" t="b">
        <f t="shared" si="67"/>
        <v>1</v>
      </c>
      <c r="CI316" s="7" t="b">
        <f>C316=GenRev!C316</f>
        <v>1</v>
      </c>
    </row>
    <row r="317" spans="1:87">
      <c r="A317" s="12" t="s">
        <v>630</v>
      </c>
      <c r="B317" s="12"/>
      <c r="C317" s="12" t="s">
        <v>201</v>
      </c>
      <c r="D317" s="12"/>
      <c r="E317" s="12"/>
      <c r="G317" s="7">
        <v>4164046</v>
      </c>
      <c r="I317" s="7">
        <v>905098</v>
      </c>
      <c r="K317" s="7">
        <v>648226</v>
      </c>
      <c r="M317" s="7">
        <v>0</v>
      </c>
      <c r="O317" s="7">
        <f>9385+45098</f>
        <v>54483</v>
      </c>
      <c r="Q317" s="7">
        <v>377750</v>
      </c>
      <c r="S317" s="7">
        <v>832307</v>
      </c>
      <c r="U317" s="7">
        <v>97174</v>
      </c>
      <c r="W317" s="7">
        <v>864220</v>
      </c>
      <c r="Y317" s="7">
        <v>402515</v>
      </c>
      <c r="AA317" s="7">
        <v>0</v>
      </c>
      <c r="AC317" s="7">
        <v>963162</v>
      </c>
      <c r="AE317" s="7">
        <v>765215</v>
      </c>
      <c r="AG317" s="7">
        <v>0</v>
      </c>
      <c r="AI317" s="7">
        <v>0</v>
      </c>
      <c r="AK317" s="7">
        <v>17916</v>
      </c>
      <c r="AL317" s="12" t="s">
        <v>630</v>
      </c>
      <c r="AM317" s="12"/>
      <c r="AN317" s="12" t="s">
        <v>201</v>
      </c>
      <c r="AP317" s="7">
        <v>121565</v>
      </c>
      <c r="AR317" s="7">
        <v>0</v>
      </c>
      <c r="AT317" s="7">
        <v>0</v>
      </c>
      <c r="AV317" s="7">
        <v>35212</v>
      </c>
      <c r="AX317" s="7">
        <v>3261</v>
      </c>
      <c r="AZ317" s="7">
        <v>0</v>
      </c>
      <c r="BB317" s="7">
        <f t="shared" si="76"/>
        <v>10252150</v>
      </c>
      <c r="BD317" s="7">
        <v>1746307</v>
      </c>
      <c r="BF317" s="7">
        <v>0</v>
      </c>
      <c r="BH317" s="7">
        <v>0</v>
      </c>
      <c r="BJ317" s="7">
        <v>0</v>
      </c>
      <c r="BL317" s="7">
        <f t="shared" si="77"/>
        <v>11998457</v>
      </c>
      <c r="BN317" s="7">
        <f>+GenRev!AM317-GenExp!BL317</f>
        <v>209931</v>
      </c>
      <c r="BP317" s="7">
        <v>2875470</v>
      </c>
      <c r="BR317" s="7">
        <v>0</v>
      </c>
      <c r="BT317" s="7">
        <v>0</v>
      </c>
      <c r="BV317" s="7">
        <f t="shared" si="78"/>
        <v>3085401</v>
      </c>
      <c r="BX317" s="8">
        <f>+BV317-'Gen Fd BS'!AE317+BT317</f>
        <v>0</v>
      </c>
      <c r="CB317" s="7" t="str">
        <f t="shared" si="68"/>
        <v>Manchester Local SD</v>
      </c>
      <c r="CC317" s="7" t="b">
        <f t="shared" si="65"/>
        <v>1</v>
      </c>
      <c r="CE317" s="12" t="str">
        <f>GenRev!A317</f>
        <v>Manchester Local SD</v>
      </c>
      <c r="CF317" s="7" t="b">
        <f t="shared" si="69"/>
        <v>1</v>
      </c>
      <c r="CG317" s="7" t="str">
        <f t="shared" si="66"/>
        <v>Adams</v>
      </c>
      <c r="CH317" s="7" t="b">
        <f t="shared" si="67"/>
        <v>1</v>
      </c>
      <c r="CI317" s="7" t="b">
        <f>C317=GenRev!C317</f>
        <v>1</v>
      </c>
    </row>
    <row r="318" spans="1:87" hidden="1">
      <c r="A318" s="12" t="s">
        <v>930</v>
      </c>
      <c r="B318" s="12"/>
      <c r="C318" s="12" t="s">
        <v>63</v>
      </c>
      <c r="D318" s="12"/>
      <c r="E318" s="12"/>
      <c r="AI318" s="7">
        <v>0</v>
      </c>
      <c r="AL318" s="12" t="s">
        <v>930</v>
      </c>
      <c r="AM318" s="12"/>
      <c r="AN318" s="12" t="s">
        <v>63</v>
      </c>
      <c r="AR318" s="7">
        <v>0</v>
      </c>
      <c r="AT318" s="7">
        <v>0</v>
      </c>
      <c r="AZ318" s="7">
        <v>0</v>
      </c>
      <c r="BB318" s="7">
        <f t="shared" ref="BB318" si="79">SUM(G318:AZ318)</f>
        <v>0</v>
      </c>
      <c r="BF318" s="7">
        <v>0</v>
      </c>
      <c r="BH318" s="7">
        <v>0</v>
      </c>
      <c r="BJ318" s="7">
        <v>0</v>
      </c>
      <c r="BL318" s="7">
        <f t="shared" ref="BL318" si="80">+BB318+BD318+BF318+BJ318</f>
        <v>0</v>
      </c>
      <c r="BN318" s="7">
        <f>+GenRev!AM318-GenExp!BL318</f>
        <v>0</v>
      </c>
      <c r="BR318" s="7">
        <v>0</v>
      </c>
      <c r="BT318" s="7">
        <v>0</v>
      </c>
      <c r="BV318" s="7">
        <f t="shared" ref="BV318" si="81">+BP318+BN318-BR318</f>
        <v>0</v>
      </c>
      <c r="BX318" s="8">
        <f>+BV318-'Gen Fd BS'!AE318+BT318</f>
        <v>0</v>
      </c>
      <c r="CA318" s="7" t="s">
        <v>931</v>
      </c>
      <c r="CB318" s="7" t="str">
        <f t="shared" ref="CB318" si="82">A318</f>
        <v>Manchester Local SD (CASH)</v>
      </c>
      <c r="CC318" s="7" t="b">
        <f t="shared" ref="CC318" si="83">A318=AL318</f>
        <v>1</v>
      </c>
      <c r="CE318" s="12" t="str">
        <f>GenRev!A318</f>
        <v>Manchester Local SD (CASH)</v>
      </c>
      <c r="CF318" s="7" t="b">
        <f t="shared" ref="CF318" si="84">CB318=CE318</f>
        <v>1</v>
      </c>
      <c r="CG318" s="7" t="str">
        <f t="shared" ref="CG318" si="85">C318</f>
        <v>Summit</v>
      </c>
      <c r="CH318" s="7" t="b">
        <f t="shared" ref="CH318" si="86">C318=AN318</f>
        <v>1</v>
      </c>
      <c r="CI318" s="7" t="b">
        <f>C318=GenRev!C318</f>
        <v>1</v>
      </c>
    </row>
    <row r="319" spans="1:87">
      <c r="A319" s="12" t="s">
        <v>484</v>
      </c>
      <c r="B319" s="12"/>
      <c r="C319" s="12" t="s">
        <v>110</v>
      </c>
      <c r="D319" s="12"/>
      <c r="E319" s="12">
        <v>44297</v>
      </c>
      <c r="G319" s="7">
        <v>15277519</v>
      </c>
      <c r="I319" s="7">
        <v>4862509</v>
      </c>
      <c r="K319" s="7">
        <v>1106346</v>
      </c>
      <c r="M319" s="7">
        <v>156115</v>
      </c>
      <c r="O319" s="7">
        <v>11638272</v>
      </c>
      <c r="Q319" s="7">
        <v>2960761</v>
      </c>
      <c r="S319" s="7">
        <v>1686898</v>
      </c>
      <c r="U319" s="7">
        <v>21212</v>
      </c>
      <c r="W319" s="7">
        <v>2388104</v>
      </c>
      <c r="Y319" s="7">
        <v>698992</v>
      </c>
      <c r="AA319" s="7">
        <v>830642</v>
      </c>
      <c r="AC319" s="7">
        <v>4106125</v>
      </c>
      <c r="AE319" s="7">
        <v>1937244</v>
      </c>
      <c r="AG319" s="7">
        <v>724526</v>
      </c>
      <c r="AI319" s="7">
        <v>0</v>
      </c>
      <c r="AK319" s="7">
        <v>1485127</v>
      </c>
      <c r="AL319" s="12" t="s">
        <v>484</v>
      </c>
      <c r="AM319" s="12"/>
      <c r="AN319" s="12" t="s">
        <v>110</v>
      </c>
      <c r="AP319" s="7">
        <v>819466</v>
      </c>
      <c r="AR319" s="7">
        <v>0</v>
      </c>
      <c r="AT319" s="7">
        <v>0</v>
      </c>
      <c r="AV319" s="7">
        <v>0</v>
      </c>
      <c r="AX319" s="7">
        <v>0</v>
      </c>
      <c r="AZ319" s="7">
        <v>0</v>
      </c>
      <c r="BB319" s="7">
        <f t="shared" si="76"/>
        <v>50699858</v>
      </c>
      <c r="BD319" s="7">
        <v>105000</v>
      </c>
      <c r="BF319" s="7">
        <v>0</v>
      </c>
      <c r="BH319" s="7">
        <v>0</v>
      </c>
      <c r="BJ319" s="7">
        <v>0</v>
      </c>
      <c r="BL319" s="7">
        <f t="shared" si="77"/>
        <v>50804858</v>
      </c>
      <c r="BN319" s="7">
        <f>+GenRev!AM319-GenExp!BL319</f>
        <v>997547</v>
      </c>
      <c r="BP319" s="7">
        <v>-503163</v>
      </c>
      <c r="BR319" s="7">
        <v>0</v>
      </c>
      <c r="BT319" s="7">
        <v>0</v>
      </c>
      <c r="BV319" s="7">
        <f t="shared" si="78"/>
        <v>494384</v>
      </c>
      <c r="BX319" s="8">
        <f>+BV319-'Gen Fd BS'!AE319+BT319</f>
        <v>0</v>
      </c>
      <c r="CB319" s="7" t="str">
        <f t="shared" si="68"/>
        <v>Mansfield City SD</v>
      </c>
      <c r="CC319" s="7" t="b">
        <f t="shared" si="65"/>
        <v>1</v>
      </c>
      <c r="CE319" s="12" t="str">
        <f>GenRev!A319</f>
        <v>Mansfield City SD</v>
      </c>
      <c r="CF319" s="7" t="b">
        <f t="shared" si="69"/>
        <v>1</v>
      </c>
      <c r="CG319" s="7" t="str">
        <f t="shared" si="66"/>
        <v>Richland</v>
      </c>
      <c r="CH319" s="7" t="b">
        <f t="shared" si="67"/>
        <v>1</v>
      </c>
      <c r="CI319" s="7" t="b">
        <f>C319=GenRev!C319</f>
        <v>1</v>
      </c>
    </row>
    <row r="320" spans="1:87">
      <c r="A320" s="12" t="s">
        <v>762</v>
      </c>
      <c r="B320" s="12"/>
      <c r="C320" s="12" t="s">
        <v>20</v>
      </c>
      <c r="D320" s="12"/>
      <c r="E320" s="12">
        <v>44305</v>
      </c>
      <c r="G320" s="7">
        <v>17244504</v>
      </c>
      <c r="I320" s="7">
        <v>3143518</v>
      </c>
      <c r="K320" s="7">
        <v>1468436</v>
      </c>
      <c r="M320" s="7">
        <v>0</v>
      </c>
      <c r="O320" s="7">
        <v>0</v>
      </c>
      <c r="Q320" s="7">
        <v>1592816</v>
      </c>
      <c r="S320" s="7">
        <v>1310186</v>
      </c>
      <c r="U320" s="7">
        <v>57652</v>
      </c>
      <c r="W320" s="7">
        <v>4112006</v>
      </c>
      <c r="Y320" s="7">
        <v>1712485</v>
      </c>
      <c r="AA320" s="7">
        <v>545997</v>
      </c>
      <c r="AC320" s="7">
        <v>3849391</v>
      </c>
      <c r="AE320" s="7">
        <v>1451110</v>
      </c>
      <c r="AG320" s="7">
        <v>17734</v>
      </c>
      <c r="AI320" s="7">
        <v>975</v>
      </c>
      <c r="AK320" s="7">
        <v>222</v>
      </c>
      <c r="AL320" s="12" t="s">
        <v>762</v>
      </c>
      <c r="AM320" s="12"/>
      <c r="AN320" s="12" t="s">
        <v>20</v>
      </c>
      <c r="AP320" s="7">
        <v>791586</v>
      </c>
      <c r="AR320" s="7">
        <v>29826</v>
      </c>
      <c r="AT320" s="7">
        <v>0</v>
      </c>
      <c r="AV320" s="7">
        <v>0</v>
      </c>
      <c r="AX320" s="7">
        <v>0</v>
      </c>
      <c r="AZ320" s="7">
        <v>0</v>
      </c>
      <c r="BB320" s="7">
        <f t="shared" si="76"/>
        <v>37328444</v>
      </c>
      <c r="BD320" s="7">
        <v>131094</v>
      </c>
      <c r="BF320" s="7">
        <v>0</v>
      </c>
      <c r="BH320" s="7">
        <v>0</v>
      </c>
      <c r="BJ320" s="7">
        <v>0</v>
      </c>
      <c r="BL320" s="7">
        <f t="shared" si="77"/>
        <v>37459538</v>
      </c>
      <c r="BN320" s="7">
        <f>+GenRev!AM320-GenExp!BL320</f>
        <v>-943998</v>
      </c>
      <c r="BP320" s="7">
        <v>-267574</v>
      </c>
      <c r="BR320" s="7">
        <v>0</v>
      </c>
      <c r="BT320" s="7">
        <v>0</v>
      </c>
      <c r="BV320" s="7">
        <f t="shared" si="78"/>
        <v>-1211572</v>
      </c>
      <c r="BX320" s="8">
        <f>+BV320-'Gen Fd BS'!AE320+BT320</f>
        <v>0</v>
      </c>
      <c r="CA320" s="14"/>
      <c r="CB320" s="7" t="str">
        <f t="shared" si="68"/>
        <v xml:space="preserve">Maple Heights City SD </v>
      </c>
      <c r="CC320" s="7" t="b">
        <f t="shared" si="65"/>
        <v>1</v>
      </c>
      <c r="CE320" s="12" t="str">
        <f>GenRev!A320</f>
        <v xml:space="preserve">Maple Heights City SD </v>
      </c>
      <c r="CF320" s="7" t="b">
        <f t="shared" si="69"/>
        <v>1</v>
      </c>
      <c r="CG320" s="7" t="str">
        <f t="shared" si="66"/>
        <v>Cuyahoga</v>
      </c>
      <c r="CH320" s="7" t="b">
        <f t="shared" si="67"/>
        <v>1</v>
      </c>
      <c r="CI320" s="7" t="b">
        <f>C320=GenRev!C320</f>
        <v>1</v>
      </c>
    </row>
    <row r="321" spans="1:87">
      <c r="A321" s="12" t="s">
        <v>206</v>
      </c>
      <c r="B321" s="12"/>
      <c r="C321" s="12" t="s">
        <v>11</v>
      </c>
      <c r="D321" s="12"/>
      <c r="E321" s="12">
        <v>45831</v>
      </c>
      <c r="G321" s="7">
        <v>3223860</v>
      </c>
      <c r="I321" s="7">
        <v>473448</v>
      </c>
      <c r="K321" s="7">
        <v>91805</v>
      </c>
      <c r="M321" s="7">
        <v>0</v>
      </c>
      <c r="O321" s="7">
        <v>916451</v>
      </c>
      <c r="Q321" s="7">
        <v>299555</v>
      </c>
      <c r="S321" s="7">
        <v>316456</v>
      </c>
      <c r="U321" s="7">
        <v>26939</v>
      </c>
      <c r="W321" s="7">
        <v>668770</v>
      </c>
      <c r="Y321" s="7">
        <v>302069</v>
      </c>
      <c r="AA321" s="7">
        <v>199</v>
      </c>
      <c r="AC321" s="7">
        <v>624650</v>
      </c>
      <c r="AE321" s="7">
        <v>566167</v>
      </c>
      <c r="AG321" s="7">
        <v>103564</v>
      </c>
      <c r="AI321" s="7">
        <v>0</v>
      </c>
      <c r="AK321" s="7">
        <v>0</v>
      </c>
      <c r="AL321" s="12" t="s">
        <v>206</v>
      </c>
      <c r="AM321" s="12"/>
      <c r="AN321" s="12" t="s">
        <v>11</v>
      </c>
      <c r="AP321" s="7">
        <v>171958</v>
      </c>
      <c r="AR321" s="7">
        <v>0</v>
      </c>
      <c r="AT321" s="7">
        <v>0</v>
      </c>
      <c r="AV321" s="7">
        <v>6519</v>
      </c>
      <c r="AX321" s="7">
        <v>1461</v>
      </c>
      <c r="AZ321" s="7">
        <v>0</v>
      </c>
      <c r="BB321" s="7">
        <f t="shared" si="76"/>
        <v>7793871</v>
      </c>
      <c r="BD321" s="7">
        <v>0</v>
      </c>
      <c r="BF321" s="7">
        <v>0</v>
      </c>
      <c r="BH321" s="7">
        <v>0</v>
      </c>
      <c r="BJ321" s="7">
        <v>0</v>
      </c>
      <c r="BL321" s="7">
        <f t="shared" si="77"/>
        <v>7793871</v>
      </c>
      <c r="BN321" s="7">
        <f>+GenRev!AM321-GenExp!BL321</f>
        <v>-1158</v>
      </c>
      <c r="BP321" s="7">
        <v>1718287</v>
      </c>
      <c r="BR321" s="7">
        <v>0</v>
      </c>
      <c r="BT321" s="7">
        <v>0</v>
      </c>
      <c r="BV321" s="7">
        <f t="shared" si="78"/>
        <v>1717129</v>
      </c>
      <c r="BX321" s="8">
        <f>+BV321-'Gen Fd BS'!AE321+BT321</f>
        <v>0</v>
      </c>
      <c r="CB321" s="7" t="str">
        <f t="shared" si="68"/>
        <v>Mapleton Local SD</v>
      </c>
      <c r="CC321" s="7" t="b">
        <f t="shared" si="65"/>
        <v>1</v>
      </c>
      <c r="CE321" s="12" t="str">
        <f>GenRev!A321</f>
        <v>Mapleton Local SD</v>
      </c>
      <c r="CF321" s="7" t="b">
        <f t="shared" si="69"/>
        <v>1</v>
      </c>
      <c r="CG321" s="7" t="str">
        <f t="shared" si="66"/>
        <v>Ashland</v>
      </c>
      <c r="CH321" s="7" t="b">
        <f t="shared" si="67"/>
        <v>1</v>
      </c>
      <c r="CI321" s="7" t="b">
        <f>C321=GenRev!C321</f>
        <v>1</v>
      </c>
    </row>
    <row r="322" spans="1:87">
      <c r="A322" s="12" t="s">
        <v>544</v>
      </c>
      <c r="B322" s="12"/>
      <c r="C322" s="12" t="s">
        <v>64</v>
      </c>
      <c r="D322" s="12"/>
      <c r="E322" s="12">
        <v>50211</v>
      </c>
      <c r="G322" s="7">
        <v>4181444</v>
      </c>
      <c r="I322" s="7">
        <v>519423</v>
      </c>
      <c r="K322" s="7">
        <v>41085</v>
      </c>
      <c r="M322" s="7">
        <v>0</v>
      </c>
      <c r="O322" s="7">
        <v>216</v>
      </c>
      <c r="Q322" s="7">
        <v>345338</v>
      </c>
      <c r="S322" s="7">
        <v>116704</v>
      </c>
      <c r="U322" s="7">
        <v>32808</v>
      </c>
      <c r="W322" s="7">
        <v>507790</v>
      </c>
      <c r="Y322" s="7">
        <v>316983</v>
      </c>
      <c r="AA322" s="7">
        <v>63223</v>
      </c>
      <c r="AC322" s="7">
        <v>830497</v>
      </c>
      <c r="AE322" s="7">
        <v>546568</v>
      </c>
      <c r="AG322" s="7">
        <v>44821</v>
      </c>
      <c r="AI322" s="7">
        <v>0</v>
      </c>
      <c r="AK322" s="7">
        <v>0</v>
      </c>
      <c r="AL322" s="12" t="s">
        <v>544</v>
      </c>
      <c r="AM322" s="12"/>
      <c r="AN322" s="12" t="s">
        <v>64</v>
      </c>
      <c r="AP322" s="7">
        <v>196453</v>
      </c>
      <c r="AR322" s="7">
        <v>0</v>
      </c>
      <c r="AT322" s="7">
        <v>0</v>
      </c>
      <c r="AV322" s="7">
        <v>0</v>
      </c>
      <c r="AX322" s="7">
        <v>7903</v>
      </c>
      <c r="AZ322" s="7">
        <v>0</v>
      </c>
      <c r="BB322" s="7">
        <f t="shared" si="76"/>
        <v>7751256</v>
      </c>
      <c r="BD322" s="7">
        <v>0</v>
      </c>
      <c r="BF322" s="7">
        <v>0</v>
      </c>
      <c r="BH322" s="7">
        <v>0</v>
      </c>
      <c r="BJ322" s="7">
        <v>0</v>
      </c>
      <c r="BL322" s="7">
        <f t="shared" si="77"/>
        <v>7751256</v>
      </c>
      <c r="BN322" s="7">
        <f>+GenRev!AM322-GenExp!BL322</f>
        <v>595165</v>
      </c>
      <c r="BP322" s="7">
        <v>1771346</v>
      </c>
      <c r="BR322" s="7">
        <v>0</v>
      </c>
      <c r="BT322" s="7">
        <v>0</v>
      </c>
      <c r="BV322" s="7">
        <f t="shared" si="78"/>
        <v>2366511</v>
      </c>
      <c r="BX322" s="8">
        <f>+BV322-'Gen Fd BS'!AE322+BT322</f>
        <v>0</v>
      </c>
      <c r="CB322" s="7" t="str">
        <f t="shared" si="68"/>
        <v>Maplewood Local SD</v>
      </c>
      <c r="CC322" s="7" t="b">
        <f t="shared" si="65"/>
        <v>1</v>
      </c>
      <c r="CE322" s="12" t="str">
        <f>GenRev!A322</f>
        <v>Maplewood Local SD</v>
      </c>
      <c r="CF322" s="7" t="b">
        <f t="shared" si="69"/>
        <v>1</v>
      </c>
      <c r="CG322" s="7" t="str">
        <f t="shared" si="66"/>
        <v>Trumbull</v>
      </c>
      <c r="CH322" s="7" t="b">
        <f t="shared" si="67"/>
        <v>1</v>
      </c>
      <c r="CI322" s="7" t="b">
        <f>C322=GenRev!C322</f>
        <v>1</v>
      </c>
    </row>
    <row r="323" spans="1:87">
      <c r="A323" s="12" t="s">
        <v>294</v>
      </c>
      <c r="B323" s="12"/>
      <c r="C323" s="12" t="s">
        <v>24</v>
      </c>
      <c r="D323" s="12"/>
      <c r="E323" s="12">
        <v>46805</v>
      </c>
      <c r="G323" s="7">
        <v>4275577</v>
      </c>
      <c r="I323" s="7">
        <v>977492</v>
      </c>
      <c r="K323" s="7">
        <v>262138</v>
      </c>
      <c r="M323" s="7">
        <v>0</v>
      </c>
      <c r="O323" s="7">
        <v>598776</v>
      </c>
      <c r="Q323" s="7">
        <v>499431</v>
      </c>
      <c r="S323" s="7">
        <v>627479</v>
      </c>
      <c r="U323" s="7">
        <v>172841</v>
      </c>
      <c r="W323" s="7">
        <v>978342</v>
      </c>
      <c r="Y323" s="7">
        <v>404341</v>
      </c>
      <c r="AA323" s="7">
        <v>0</v>
      </c>
      <c r="AC323" s="7">
        <v>1237036</v>
      </c>
      <c r="AE323" s="7">
        <v>972522</v>
      </c>
      <c r="AG323" s="7">
        <v>53563</v>
      </c>
      <c r="AI323" s="7">
        <v>0</v>
      </c>
      <c r="AK323" s="7">
        <v>135403</v>
      </c>
      <c r="AL323" s="12" t="s">
        <v>294</v>
      </c>
      <c r="AM323" s="12"/>
      <c r="AN323" s="12" t="s">
        <v>24</v>
      </c>
      <c r="AP323" s="7">
        <v>258052</v>
      </c>
      <c r="AR323" s="7">
        <v>0</v>
      </c>
      <c r="AT323" s="7">
        <v>0</v>
      </c>
      <c r="AV323" s="7">
        <v>93000</v>
      </c>
      <c r="AX323" s="7">
        <v>106901</v>
      </c>
      <c r="AZ323" s="7">
        <v>0</v>
      </c>
      <c r="BB323" s="7">
        <f t="shared" si="76"/>
        <v>11652894</v>
      </c>
      <c r="BD323" s="7">
        <v>172584</v>
      </c>
      <c r="BF323" s="7">
        <v>0</v>
      </c>
      <c r="BH323" s="7">
        <v>0</v>
      </c>
      <c r="BJ323" s="7">
        <v>0</v>
      </c>
      <c r="BL323" s="7">
        <f t="shared" si="77"/>
        <v>11825478</v>
      </c>
      <c r="BN323" s="7">
        <f>+GenRev!AM323-GenExp!BL323</f>
        <v>761852</v>
      </c>
      <c r="BP323" s="7">
        <v>-448634</v>
      </c>
      <c r="BR323" s="7">
        <v>0</v>
      </c>
      <c r="BT323" s="7">
        <v>0</v>
      </c>
      <c r="BV323" s="7">
        <f t="shared" si="78"/>
        <v>313218</v>
      </c>
      <c r="BX323" s="8">
        <f>+BV323-'Gen Fd BS'!AE323+BT323</f>
        <v>0</v>
      </c>
      <c r="CB323" s="7" t="str">
        <f t="shared" si="68"/>
        <v>Margaretta Local SD</v>
      </c>
      <c r="CC323" s="7" t="b">
        <f t="shared" si="65"/>
        <v>1</v>
      </c>
      <c r="CE323" s="12" t="str">
        <f>GenRev!A323</f>
        <v>Margaretta Local SD</v>
      </c>
      <c r="CF323" s="7" t="b">
        <f t="shared" si="69"/>
        <v>1</v>
      </c>
      <c r="CG323" s="7" t="str">
        <f t="shared" si="66"/>
        <v>Erie</v>
      </c>
      <c r="CH323" s="7" t="b">
        <f t="shared" si="67"/>
        <v>1</v>
      </c>
      <c r="CI323" s="7" t="b">
        <f>C323=GenRev!C323</f>
        <v>1</v>
      </c>
    </row>
    <row r="324" spans="1:87">
      <c r="A324" s="12" t="s">
        <v>334</v>
      </c>
      <c r="B324" s="12"/>
      <c r="C324" s="12" t="s">
        <v>32</v>
      </c>
      <c r="D324" s="12"/>
      <c r="E324" s="12">
        <v>44313</v>
      </c>
      <c r="F324" s="10"/>
      <c r="G324" s="7">
        <v>9364287</v>
      </c>
      <c r="I324" s="7">
        <v>1782447</v>
      </c>
      <c r="K324" s="7">
        <v>0</v>
      </c>
      <c r="M324" s="7">
        <v>0</v>
      </c>
      <c r="O324" s="7">
        <v>100263</v>
      </c>
      <c r="Q324" s="7">
        <v>1293242</v>
      </c>
      <c r="S324" s="7">
        <v>1192857</v>
      </c>
      <c r="U324" s="7">
        <v>13969</v>
      </c>
      <c r="W324" s="7">
        <v>1621701</v>
      </c>
      <c r="Y324" s="7">
        <v>494902</v>
      </c>
      <c r="AA324" s="7">
        <v>60871</v>
      </c>
      <c r="AC324" s="7">
        <v>2013151</v>
      </c>
      <c r="AE324" s="7">
        <v>571506</v>
      </c>
      <c r="AG324" s="7">
        <v>329337</v>
      </c>
      <c r="AI324" s="7">
        <v>0</v>
      </c>
      <c r="AK324" s="7">
        <v>0</v>
      </c>
      <c r="AL324" s="12" t="s">
        <v>334</v>
      </c>
      <c r="AM324" s="12"/>
      <c r="AN324" s="12" t="s">
        <v>32</v>
      </c>
      <c r="AP324" s="7">
        <v>463720</v>
      </c>
      <c r="AR324" s="7">
        <v>357274</v>
      </c>
      <c r="AT324" s="7">
        <v>0</v>
      </c>
      <c r="AV324" s="7">
        <v>166850</v>
      </c>
      <c r="AX324" s="7">
        <v>88758</v>
      </c>
      <c r="AZ324" s="7">
        <v>0</v>
      </c>
      <c r="BB324" s="7">
        <f t="shared" si="76"/>
        <v>19915135</v>
      </c>
      <c r="BD324" s="7">
        <v>308000</v>
      </c>
      <c r="BF324" s="7">
        <v>0</v>
      </c>
      <c r="BH324" s="7">
        <v>0</v>
      </c>
      <c r="BJ324" s="7">
        <v>0</v>
      </c>
      <c r="BL324" s="7">
        <f t="shared" si="77"/>
        <v>20223135</v>
      </c>
      <c r="BN324" s="7">
        <f>+GenRev!AM324-GenExp!BL324</f>
        <v>1782526</v>
      </c>
      <c r="BP324" s="7">
        <v>8780766</v>
      </c>
      <c r="BR324" s="7">
        <v>0</v>
      </c>
      <c r="BT324" s="7">
        <v>0</v>
      </c>
      <c r="BV324" s="7">
        <f t="shared" si="78"/>
        <v>10563292</v>
      </c>
      <c r="BX324" s="8">
        <f>+BV324-'Gen Fd BS'!AE324+BT324</f>
        <v>0</v>
      </c>
      <c r="CA324" s="7" t="s">
        <v>914</v>
      </c>
      <c r="CB324" s="7" t="str">
        <f t="shared" si="68"/>
        <v>Mariemont City SD</v>
      </c>
      <c r="CC324" s="7" t="b">
        <f t="shared" si="65"/>
        <v>1</v>
      </c>
      <c r="CE324" s="12" t="str">
        <f>GenRev!A324</f>
        <v>Mariemont City SD</v>
      </c>
      <c r="CF324" s="7" t="b">
        <f t="shared" si="69"/>
        <v>1</v>
      </c>
      <c r="CG324" s="7" t="str">
        <f t="shared" si="66"/>
        <v>Hamilton</v>
      </c>
      <c r="CH324" s="7" t="b">
        <f t="shared" si="67"/>
        <v>1</v>
      </c>
      <c r="CI324" s="7" t="b">
        <f>C324=GenRev!C324</f>
        <v>1</v>
      </c>
    </row>
    <row r="325" spans="1:87" hidden="1">
      <c r="A325" s="12" t="s">
        <v>638</v>
      </c>
      <c r="B325" s="12"/>
      <c r="C325" s="12" t="s">
        <v>70</v>
      </c>
      <c r="D325" s="12"/>
      <c r="E325" s="12">
        <v>44321</v>
      </c>
      <c r="AI325" s="7">
        <v>0</v>
      </c>
      <c r="AL325" s="12" t="s">
        <v>638</v>
      </c>
      <c r="AM325" s="12"/>
      <c r="AN325" s="12" t="s">
        <v>70</v>
      </c>
      <c r="AT325" s="7">
        <v>0</v>
      </c>
      <c r="AZ325" s="7">
        <v>0</v>
      </c>
      <c r="BB325" s="7">
        <f t="shared" si="76"/>
        <v>0</v>
      </c>
      <c r="BF325" s="7">
        <v>0</v>
      </c>
      <c r="BH325" s="7">
        <v>0</v>
      </c>
      <c r="BJ325" s="7">
        <v>0</v>
      </c>
      <c r="BL325" s="7">
        <f t="shared" si="77"/>
        <v>0</v>
      </c>
      <c r="BN325" s="7">
        <f>+GenRev!AM325-GenExp!BL325</f>
        <v>0</v>
      </c>
      <c r="BR325" s="7">
        <v>0</v>
      </c>
      <c r="BT325" s="7">
        <v>0</v>
      </c>
      <c r="BV325" s="7">
        <f t="shared" si="78"/>
        <v>0</v>
      </c>
      <c r="BX325" s="8">
        <f>+BV325-'Gen Fd BS'!AE325+BT325</f>
        <v>0</v>
      </c>
      <c r="CA325" s="7" t="s">
        <v>839</v>
      </c>
      <c r="CB325" s="7" t="str">
        <f t="shared" si="68"/>
        <v>Marietta City SD (CASH)</v>
      </c>
      <c r="CC325" s="7" t="b">
        <f t="shared" si="65"/>
        <v>1</v>
      </c>
      <c r="CE325" s="12" t="str">
        <f>GenRev!A325</f>
        <v>Marietta City SD (CASH)</v>
      </c>
      <c r="CF325" s="7" t="b">
        <f t="shared" si="69"/>
        <v>1</v>
      </c>
      <c r="CG325" s="7" t="str">
        <f t="shared" si="66"/>
        <v>Washington</v>
      </c>
      <c r="CH325" s="7" t="b">
        <f t="shared" si="67"/>
        <v>1</v>
      </c>
      <c r="CI325" s="7" t="b">
        <f>C325=GenRev!C325</f>
        <v>1</v>
      </c>
    </row>
    <row r="326" spans="1:87">
      <c r="A326" s="12" t="s">
        <v>423</v>
      </c>
      <c r="B326" s="12"/>
      <c r="C326" s="12" t="s">
        <v>46</v>
      </c>
      <c r="D326" s="12"/>
      <c r="E326" s="12">
        <v>44339</v>
      </c>
      <c r="G326" s="7">
        <v>23312250</v>
      </c>
      <c r="I326" s="7">
        <v>4357077</v>
      </c>
      <c r="K326" s="7">
        <v>418176</v>
      </c>
      <c r="M326" s="7">
        <v>13757</v>
      </c>
      <c r="O326" s="7">
        <v>0</v>
      </c>
      <c r="Q326" s="7">
        <v>2291051</v>
      </c>
      <c r="S326" s="7">
        <v>1172321</v>
      </c>
      <c r="U326" s="7">
        <v>35774</v>
      </c>
      <c r="W326" s="7">
        <v>3270377</v>
      </c>
      <c r="Y326" s="7">
        <v>659403</v>
      </c>
      <c r="AA326" s="7">
        <v>427741</v>
      </c>
      <c r="AC326" s="7">
        <v>3857518</v>
      </c>
      <c r="AE326" s="7">
        <v>864696</v>
      </c>
      <c r="AG326" s="7">
        <v>4688</v>
      </c>
      <c r="AI326" s="7">
        <v>0</v>
      </c>
      <c r="AK326" s="7">
        <v>2165645</v>
      </c>
      <c r="AL326" s="12" t="s">
        <v>423</v>
      </c>
      <c r="AM326" s="12"/>
      <c r="AN326" s="12" t="s">
        <v>46</v>
      </c>
      <c r="AP326" s="7">
        <v>606114</v>
      </c>
      <c r="AR326" s="7">
        <v>52858</v>
      </c>
      <c r="AT326" s="7">
        <v>0</v>
      </c>
      <c r="AV326" s="7">
        <v>28561</v>
      </c>
      <c r="AX326" s="7">
        <v>15483</v>
      </c>
      <c r="AZ326" s="7">
        <v>0</v>
      </c>
      <c r="BB326" s="7">
        <f t="shared" si="76"/>
        <v>43553490</v>
      </c>
      <c r="BD326" s="7">
        <v>65000</v>
      </c>
      <c r="BF326" s="7">
        <v>0</v>
      </c>
      <c r="BH326" s="7">
        <v>0</v>
      </c>
      <c r="BJ326" s="7">
        <v>0</v>
      </c>
      <c r="BL326" s="7">
        <f t="shared" si="77"/>
        <v>43618490</v>
      </c>
      <c r="BN326" s="7">
        <f>+GenRev!AM326-GenExp!BL326</f>
        <v>-655714</v>
      </c>
      <c r="BP326" s="7">
        <v>14228403</v>
      </c>
      <c r="BR326" s="7">
        <v>0</v>
      </c>
      <c r="BT326" s="7">
        <v>0</v>
      </c>
      <c r="BV326" s="7">
        <f t="shared" si="78"/>
        <v>13572689</v>
      </c>
      <c r="BX326" s="8">
        <f>+BV326-'Gen Fd BS'!AE326+BT326</f>
        <v>0</v>
      </c>
      <c r="CB326" s="7" t="str">
        <f t="shared" si="68"/>
        <v>Marion City SD</v>
      </c>
      <c r="CC326" s="7" t="b">
        <f t="shared" si="65"/>
        <v>1</v>
      </c>
      <c r="CE326" s="12" t="str">
        <f>GenRev!A326</f>
        <v>Marion City SD</v>
      </c>
      <c r="CF326" s="7" t="b">
        <f t="shared" si="69"/>
        <v>1</v>
      </c>
      <c r="CG326" s="7" t="str">
        <f t="shared" si="66"/>
        <v>Marion</v>
      </c>
      <c r="CH326" s="7" t="b">
        <f t="shared" si="67"/>
        <v>1</v>
      </c>
      <c r="CI326" s="7" t="b">
        <f>C326=GenRev!C326</f>
        <v>1</v>
      </c>
    </row>
    <row r="327" spans="1:87" hidden="1">
      <c r="A327" s="12" t="s">
        <v>721</v>
      </c>
      <c r="B327" s="12"/>
      <c r="C327" s="12" t="s">
        <v>435</v>
      </c>
      <c r="D327" s="12"/>
      <c r="E327" s="12"/>
      <c r="AI327" s="7">
        <v>0</v>
      </c>
      <c r="AL327" s="12" t="s">
        <v>721</v>
      </c>
      <c r="AM327" s="12"/>
      <c r="AN327" s="12" t="s">
        <v>435</v>
      </c>
      <c r="AT327" s="7">
        <v>0</v>
      </c>
      <c r="AZ327" s="7">
        <v>0</v>
      </c>
      <c r="BB327" s="7">
        <f t="shared" si="76"/>
        <v>0</v>
      </c>
      <c r="BF327" s="7">
        <v>0</v>
      </c>
      <c r="BH327" s="7">
        <v>0</v>
      </c>
      <c r="BJ327" s="7">
        <v>0</v>
      </c>
      <c r="BL327" s="7">
        <f t="shared" si="77"/>
        <v>0</v>
      </c>
      <c r="BN327" s="7">
        <f>+GenRev!AM327-GenExp!BL327</f>
        <v>0</v>
      </c>
      <c r="BT327" s="7">
        <v>0</v>
      </c>
      <c r="BV327" s="7">
        <f t="shared" si="78"/>
        <v>0</v>
      </c>
      <c r="BX327" s="8">
        <f>+BV327-'Gen Fd BS'!AE327+BT327</f>
        <v>0</v>
      </c>
      <c r="CA327" s="7" t="s">
        <v>839</v>
      </c>
      <c r="CB327" s="7" t="str">
        <f t="shared" si="68"/>
        <v>Marion Local SD (CASH)</v>
      </c>
      <c r="CC327" s="7" t="b">
        <f t="shared" si="65"/>
        <v>1</v>
      </c>
      <c r="CE327" s="12" t="str">
        <f>GenRev!A327</f>
        <v>Marion Local SD (CASH)</v>
      </c>
      <c r="CF327" s="7" t="b">
        <f t="shared" si="69"/>
        <v>1</v>
      </c>
      <c r="CG327" s="7" t="str">
        <f t="shared" si="66"/>
        <v>Mercer</v>
      </c>
      <c r="CH327" s="7" t="b">
        <f t="shared" si="67"/>
        <v>1</v>
      </c>
      <c r="CI327" s="7" t="b">
        <f>C327=GenRev!C327</f>
        <v>1</v>
      </c>
    </row>
    <row r="328" spans="1:87">
      <c r="A328" s="12" t="s">
        <v>515</v>
      </c>
      <c r="B328" s="12"/>
      <c r="C328" s="12" t="s">
        <v>62</v>
      </c>
      <c r="D328" s="12"/>
      <c r="E328" s="12">
        <v>49882</v>
      </c>
      <c r="G328" s="7">
        <v>8047062</v>
      </c>
      <c r="I328" s="7">
        <v>2257870</v>
      </c>
      <c r="K328" s="7">
        <v>667340</v>
      </c>
      <c r="M328" s="7">
        <v>0</v>
      </c>
      <c r="O328" s="7">
        <v>980494</v>
      </c>
      <c r="Q328" s="7">
        <v>639267</v>
      </c>
      <c r="S328" s="7">
        <v>1180589</v>
      </c>
      <c r="U328" s="7">
        <v>17306</v>
      </c>
      <c r="W328" s="7">
        <v>1648842</v>
      </c>
      <c r="Y328" s="7">
        <v>429365</v>
      </c>
      <c r="AA328" s="7">
        <v>96492</v>
      </c>
      <c r="AC328" s="7">
        <v>2000158</v>
      </c>
      <c r="AE328" s="7">
        <v>1534629</v>
      </c>
      <c r="AG328" s="7">
        <v>34929</v>
      </c>
      <c r="AI328" s="7">
        <v>0</v>
      </c>
      <c r="AK328" s="7">
        <v>437</v>
      </c>
      <c r="AL328" s="12" t="s">
        <v>515</v>
      </c>
      <c r="AM328" s="12"/>
      <c r="AN328" s="12" t="s">
        <v>62</v>
      </c>
      <c r="AP328" s="7">
        <v>535240</v>
      </c>
      <c r="AR328" s="7">
        <v>0</v>
      </c>
      <c r="AT328" s="7">
        <v>0</v>
      </c>
      <c r="AV328" s="7">
        <v>123436</v>
      </c>
      <c r="AX328" s="7">
        <v>12290</v>
      </c>
      <c r="AZ328" s="7">
        <v>0</v>
      </c>
      <c r="BB328" s="7">
        <f t="shared" si="76"/>
        <v>20205746</v>
      </c>
      <c r="BD328" s="7">
        <v>991</v>
      </c>
      <c r="BF328" s="7">
        <v>0</v>
      </c>
      <c r="BH328" s="7">
        <v>0</v>
      </c>
      <c r="BJ328" s="7">
        <v>0</v>
      </c>
      <c r="BL328" s="7">
        <f t="shared" si="77"/>
        <v>20206737</v>
      </c>
      <c r="BN328" s="7">
        <f>+GenRev!AM328-GenExp!BL328</f>
        <v>1704450</v>
      </c>
      <c r="BP328" s="7">
        <v>6103959</v>
      </c>
      <c r="BR328" s="7">
        <v>-18534</v>
      </c>
      <c r="BT328" s="7">
        <v>0</v>
      </c>
      <c r="BV328" s="7">
        <f t="shared" si="78"/>
        <v>7826943</v>
      </c>
      <c r="BX328" s="8">
        <f>+BV328-'Gen Fd BS'!AE328+BT328</f>
        <v>0</v>
      </c>
      <c r="CB328" s="7" t="str">
        <f t="shared" si="68"/>
        <v>Marlington Local SD</v>
      </c>
      <c r="CC328" s="7" t="b">
        <f t="shared" si="65"/>
        <v>1</v>
      </c>
      <c r="CE328" s="12" t="str">
        <f>GenRev!A328</f>
        <v>Marlington Local SD</v>
      </c>
      <c r="CF328" s="7" t="b">
        <f t="shared" si="69"/>
        <v>1</v>
      </c>
      <c r="CG328" s="7" t="str">
        <f t="shared" si="66"/>
        <v>Stark</v>
      </c>
      <c r="CH328" s="7" t="b">
        <f t="shared" si="67"/>
        <v>1</v>
      </c>
      <c r="CI328" s="7" t="b">
        <f>C328=GenRev!C328</f>
        <v>1</v>
      </c>
    </row>
    <row r="329" spans="1:87">
      <c r="A329" s="12" t="s">
        <v>217</v>
      </c>
      <c r="B329" s="12"/>
      <c r="C329" s="12" t="s">
        <v>15</v>
      </c>
      <c r="D329" s="12"/>
      <c r="E329" s="12">
        <v>44347</v>
      </c>
      <c r="G329" s="7">
        <v>5724739</v>
      </c>
      <c r="I329" s="7">
        <v>923598</v>
      </c>
      <c r="K329" s="7">
        <v>290946</v>
      </c>
      <c r="M329" s="7">
        <v>0</v>
      </c>
      <c r="O329" s="7">
        <v>70116</v>
      </c>
      <c r="Q329" s="7">
        <v>555607</v>
      </c>
      <c r="S329" s="7">
        <v>414694</v>
      </c>
      <c r="U329" s="7">
        <v>80720</v>
      </c>
      <c r="W329" s="7">
        <v>997893</v>
      </c>
      <c r="Y329" s="7">
        <v>333772</v>
      </c>
      <c r="AA329" s="7">
        <v>0</v>
      </c>
      <c r="AC329" s="7">
        <v>1047184</v>
      </c>
      <c r="AE329" s="7">
        <v>580198</v>
      </c>
      <c r="AG329" s="7">
        <v>45194</v>
      </c>
      <c r="AI329" s="7">
        <v>0</v>
      </c>
      <c r="AK329" s="7">
        <v>0</v>
      </c>
      <c r="AL329" s="12" t="s">
        <v>217</v>
      </c>
      <c r="AM329" s="12"/>
      <c r="AN329" s="12" t="s">
        <v>15</v>
      </c>
      <c r="AP329" s="7">
        <v>205103</v>
      </c>
      <c r="AR329" s="7">
        <v>0</v>
      </c>
      <c r="AT329" s="7">
        <v>0</v>
      </c>
      <c r="AV329" s="7">
        <v>25072</v>
      </c>
      <c r="AX329" s="7">
        <v>94785</v>
      </c>
      <c r="AZ329" s="7">
        <v>0</v>
      </c>
      <c r="BB329" s="7">
        <f t="shared" si="76"/>
        <v>11389621</v>
      </c>
      <c r="BD329" s="7">
        <v>0</v>
      </c>
      <c r="BF329" s="7">
        <v>0</v>
      </c>
      <c r="BH329" s="7">
        <v>0</v>
      </c>
      <c r="BJ329" s="7">
        <v>0</v>
      </c>
      <c r="BL329" s="7">
        <f t="shared" si="77"/>
        <v>11389621</v>
      </c>
      <c r="BN329" s="7">
        <f>+GenRev!AM329-GenExp!BL329</f>
        <v>456789</v>
      </c>
      <c r="BP329" s="7">
        <v>-2474303</v>
      </c>
      <c r="BR329" s="7">
        <v>0</v>
      </c>
      <c r="BT329" s="7">
        <v>0</v>
      </c>
      <c r="BV329" s="7">
        <f t="shared" si="78"/>
        <v>-2017514</v>
      </c>
      <c r="BX329" s="8">
        <f>+BV329-'Gen Fd BS'!AE329+BT329</f>
        <v>0</v>
      </c>
      <c r="CB329" s="7" t="str">
        <f t="shared" si="68"/>
        <v>Martins Ferry City SD</v>
      </c>
      <c r="CC329" s="7" t="b">
        <f t="shared" si="65"/>
        <v>1</v>
      </c>
      <c r="CE329" s="12" t="str">
        <f>GenRev!A329</f>
        <v>Martins Ferry City SD</v>
      </c>
      <c r="CF329" s="7" t="b">
        <f t="shared" si="69"/>
        <v>1</v>
      </c>
      <c r="CG329" s="7" t="str">
        <f t="shared" si="66"/>
        <v>Belmont</v>
      </c>
      <c r="CH329" s="7" t="b">
        <f t="shared" si="67"/>
        <v>1</v>
      </c>
      <c r="CI329" s="7" t="b">
        <f>C329=GenRev!C329</f>
        <v>1</v>
      </c>
    </row>
    <row r="330" spans="1:87">
      <c r="A330" s="12" t="s">
        <v>876</v>
      </c>
      <c r="B330" s="12"/>
      <c r="C330" s="12" t="s">
        <v>66</v>
      </c>
      <c r="D330" s="12"/>
      <c r="E330" s="12">
        <v>45476</v>
      </c>
      <c r="G330" s="7">
        <v>21956250</v>
      </c>
      <c r="I330" s="7">
        <v>4018316</v>
      </c>
      <c r="K330" s="7">
        <v>600192</v>
      </c>
      <c r="M330" s="7">
        <v>0</v>
      </c>
      <c r="O330" s="7">
        <v>286226</v>
      </c>
      <c r="Q330" s="7">
        <v>3297395</v>
      </c>
      <c r="S330" s="7">
        <v>3275743</v>
      </c>
      <c r="U330" s="7">
        <v>238714</v>
      </c>
      <c r="W330" s="7">
        <v>3073681</v>
      </c>
      <c r="Y330" s="7">
        <v>987422</v>
      </c>
      <c r="AA330" s="7">
        <v>632361</v>
      </c>
      <c r="AC330" s="7">
        <v>4187352</v>
      </c>
      <c r="AE330" s="7">
        <v>1892491</v>
      </c>
      <c r="AG330" s="7">
        <v>509804</v>
      </c>
      <c r="AI330" s="7">
        <v>0</v>
      </c>
      <c r="AK330" s="7">
        <v>0</v>
      </c>
      <c r="AL330" s="12" t="s">
        <v>876</v>
      </c>
      <c r="AM330" s="12"/>
      <c r="AN330" s="12" t="s">
        <v>66</v>
      </c>
      <c r="AP330" s="7">
        <v>791618</v>
      </c>
      <c r="AR330" s="7">
        <v>0</v>
      </c>
      <c r="AT330" s="7">
        <v>0</v>
      </c>
      <c r="AV330" s="7">
        <v>70000</v>
      </c>
      <c r="AX330" s="7">
        <v>22280</v>
      </c>
      <c r="AZ330" s="7">
        <v>0</v>
      </c>
      <c r="BB330" s="7">
        <f t="shared" si="76"/>
        <v>45839845</v>
      </c>
      <c r="BD330" s="7">
        <v>62864</v>
      </c>
      <c r="BF330" s="7">
        <v>0</v>
      </c>
      <c r="BH330" s="7">
        <v>0</v>
      </c>
      <c r="BJ330" s="7">
        <v>0</v>
      </c>
      <c r="BL330" s="7">
        <f t="shared" si="77"/>
        <v>45902709</v>
      </c>
      <c r="BN330" s="7">
        <f>+GenRev!AM330-GenExp!BL330</f>
        <v>-1760442</v>
      </c>
      <c r="BP330" s="7">
        <v>537057</v>
      </c>
      <c r="BR330" s="7">
        <v>0</v>
      </c>
      <c r="BT330" s="7">
        <v>0</v>
      </c>
      <c r="BV330" s="7">
        <f t="shared" si="78"/>
        <v>-1223385</v>
      </c>
      <c r="BX330" s="8">
        <f>+BV330-'Gen Fd BS'!AE330+BT330</f>
        <v>0</v>
      </c>
      <c r="CB330" s="7" t="str">
        <f t="shared" si="68"/>
        <v>Marysville Exempted Village SD</v>
      </c>
      <c r="CC330" s="7" t="b">
        <f t="shared" si="65"/>
        <v>1</v>
      </c>
      <c r="CE330" s="12" t="str">
        <f>GenRev!A330</f>
        <v>Marysville Exempted Village SD</v>
      </c>
      <c r="CF330" s="7" t="b">
        <f t="shared" si="69"/>
        <v>1</v>
      </c>
      <c r="CG330" s="7" t="str">
        <f t="shared" si="66"/>
        <v>Union</v>
      </c>
      <c r="CH330" s="7" t="b">
        <f t="shared" si="67"/>
        <v>1</v>
      </c>
      <c r="CI330" s="7" t="b">
        <f>C330=GenRev!C330</f>
        <v>1</v>
      </c>
    </row>
    <row r="331" spans="1:87">
      <c r="A331" s="12" t="s">
        <v>563</v>
      </c>
      <c r="B331" s="12"/>
      <c r="C331" s="12" t="s">
        <v>69</v>
      </c>
      <c r="D331" s="12"/>
      <c r="E331" s="12">
        <v>50450</v>
      </c>
      <c r="G331" s="7">
        <v>47134895</v>
      </c>
      <c r="I331" s="7">
        <v>11323873</v>
      </c>
      <c r="K331" s="7">
        <v>0</v>
      </c>
      <c r="M331" s="7">
        <v>0</v>
      </c>
      <c r="O331" s="7">
        <v>895062</v>
      </c>
      <c r="Q331" s="7">
        <v>5720549</v>
      </c>
      <c r="S331" s="7">
        <v>6380345</v>
      </c>
      <c r="U331" s="7">
        <v>60567</v>
      </c>
      <c r="W331" s="7">
        <v>5632711</v>
      </c>
      <c r="Y331" s="7">
        <v>1700678</v>
      </c>
      <c r="AA331" s="7">
        <v>306446</v>
      </c>
      <c r="AC331" s="7">
        <v>9959194</v>
      </c>
      <c r="AE331" s="7">
        <v>6694779</v>
      </c>
      <c r="AG331" s="7">
        <v>2875359</v>
      </c>
      <c r="AI331" s="7">
        <v>0</v>
      </c>
      <c r="AK331" s="7">
        <v>781225</v>
      </c>
      <c r="AL331" s="12" t="s">
        <v>563</v>
      </c>
      <c r="AM331" s="12"/>
      <c r="AN331" s="12" t="s">
        <v>69</v>
      </c>
      <c r="AP331" s="7">
        <v>1711517</v>
      </c>
      <c r="AR331" s="7">
        <v>0</v>
      </c>
      <c r="AT331" s="7">
        <v>0</v>
      </c>
      <c r="AV331" s="7">
        <v>0</v>
      </c>
      <c r="AX331" s="7">
        <v>0</v>
      </c>
      <c r="AZ331" s="7">
        <v>0</v>
      </c>
      <c r="BB331" s="7">
        <f t="shared" si="76"/>
        <v>101177200</v>
      </c>
      <c r="BD331" s="7">
        <v>401944</v>
      </c>
      <c r="BF331" s="7">
        <v>0</v>
      </c>
      <c r="BH331" s="7">
        <v>0</v>
      </c>
      <c r="BJ331" s="7">
        <v>0</v>
      </c>
      <c r="BL331" s="7">
        <f t="shared" si="77"/>
        <v>101579144</v>
      </c>
      <c r="BN331" s="7">
        <f>+GenRev!AM331-GenExp!BL331</f>
        <v>-2701155</v>
      </c>
      <c r="BP331" s="7">
        <v>41961005</v>
      </c>
      <c r="BR331" s="7">
        <v>0</v>
      </c>
      <c r="BT331" s="7">
        <v>0</v>
      </c>
      <c r="BV331" s="7">
        <f t="shared" si="78"/>
        <v>39259850</v>
      </c>
      <c r="BX331" s="8">
        <f>+BV331-'Gen Fd BS'!AE331+BT331</f>
        <v>0</v>
      </c>
      <c r="CB331" s="7" t="str">
        <f t="shared" si="68"/>
        <v>Mason City SD</v>
      </c>
      <c r="CC331" s="7" t="b">
        <f t="shared" si="65"/>
        <v>1</v>
      </c>
      <c r="CE331" s="12" t="str">
        <f>GenRev!A331</f>
        <v>Mason City SD</v>
      </c>
      <c r="CF331" s="7" t="b">
        <f t="shared" si="69"/>
        <v>1</v>
      </c>
      <c r="CG331" s="7" t="str">
        <f t="shared" si="66"/>
        <v>Warren</v>
      </c>
      <c r="CH331" s="7" t="b">
        <f t="shared" si="67"/>
        <v>1</v>
      </c>
      <c r="CI331" s="7" t="b">
        <f>C331=GenRev!C331</f>
        <v>1</v>
      </c>
    </row>
    <row r="332" spans="1:87">
      <c r="A332" s="12" t="s">
        <v>516</v>
      </c>
      <c r="B332" s="12"/>
      <c r="C332" s="12" t="s">
        <v>62</v>
      </c>
      <c r="D332" s="12"/>
      <c r="E332" s="12">
        <v>44354</v>
      </c>
      <c r="G332" s="7">
        <v>18134720</v>
      </c>
      <c r="I332" s="7">
        <v>3661659</v>
      </c>
      <c r="K332" s="7">
        <v>1783434</v>
      </c>
      <c r="M332" s="7">
        <v>0</v>
      </c>
      <c r="O332" s="7">
        <f>101903+511275</f>
        <v>613178</v>
      </c>
      <c r="Q332" s="7">
        <v>2794009</v>
      </c>
      <c r="S332" s="7">
        <v>1254071</v>
      </c>
      <c r="U332" s="7">
        <v>509259</v>
      </c>
      <c r="W332" s="7">
        <v>2638706</v>
      </c>
      <c r="Y332" s="7">
        <v>918403</v>
      </c>
      <c r="AA332" s="7">
        <v>8267</v>
      </c>
      <c r="AC332" s="7">
        <v>4273434</v>
      </c>
      <c r="AE332" s="7">
        <v>1535611</v>
      </c>
      <c r="AG332" s="7">
        <v>990563</v>
      </c>
      <c r="AI332" s="7">
        <v>0</v>
      </c>
      <c r="AK332" s="7">
        <v>441</v>
      </c>
      <c r="AL332" s="12" t="s">
        <v>516</v>
      </c>
      <c r="AM332" s="12"/>
      <c r="AN332" s="12" t="s">
        <v>62</v>
      </c>
      <c r="AP332" s="7">
        <v>1017151</v>
      </c>
      <c r="AR332" s="7">
        <v>73370</v>
      </c>
      <c r="AT332" s="7">
        <v>0</v>
      </c>
      <c r="AV332" s="7">
        <v>57683</v>
      </c>
      <c r="AX332" s="7">
        <v>6744</v>
      </c>
      <c r="AZ332" s="7">
        <v>0</v>
      </c>
      <c r="BB332" s="7">
        <f t="shared" si="76"/>
        <v>40270703</v>
      </c>
      <c r="BD332" s="7">
        <v>0</v>
      </c>
      <c r="BF332" s="7">
        <v>0</v>
      </c>
      <c r="BH332" s="7">
        <v>0</v>
      </c>
      <c r="BJ332" s="7">
        <v>0</v>
      </c>
      <c r="BL332" s="7">
        <f t="shared" si="77"/>
        <v>40270703</v>
      </c>
      <c r="BN332" s="7">
        <f>+GenRev!AM332-GenExp!BL332</f>
        <v>-724680</v>
      </c>
      <c r="BP332" s="7">
        <v>3649070</v>
      </c>
      <c r="BR332" s="7">
        <v>0</v>
      </c>
      <c r="BT332" s="7">
        <v>0</v>
      </c>
      <c r="BV332" s="7">
        <f t="shared" si="78"/>
        <v>2924390</v>
      </c>
      <c r="BX332" s="8">
        <f>+BV332-'Gen Fd BS'!AE332+BT332</f>
        <v>0</v>
      </c>
      <c r="CB332" s="7" t="str">
        <f t="shared" si="68"/>
        <v>Massillon City SD</v>
      </c>
      <c r="CC332" s="7" t="b">
        <f t="shared" si="65"/>
        <v>1</v>
      </c>
      <c r="CE332" s="12" t="str">
        <f>GenRev!A332</f>
        <v>Massillon City SD</v>
      </c>
      <c r="CF332" s="7" t="b">
        <f t="shared" si="69"/>
        <v>1</v>
      </c>
      <c r="CG332" s="7" t="str">
        <f t="shared" si="66"/>
        <v>Stark</v>
      </c>
      <c r="CH332" s="7" t="b">
        <f t="shared" si="67"/>
        <v>1</v>
      </c>
      <c r="CI332" s="7" t="b">
        <f>C332=GenRev!C332</f>
        <v>1</v>
      </c>
    </row>
    <row r="333" spans="1:87">
      <c r="A333" s="12" t="s">
        <v>545</v>
      </c>
      <c r="B333" s="12"/>
      <c r="C333" s="12" t="s">
        <v>64</v>
      </c>
      <c r="D333" s="12"/>
      <c r="E333" s="12">
        <v>50153</v>
      </c>
      <c r="G333" s="7">
        <v>4072770</v>
      </c>
      <c r="I333" s="7">
        <v>855539</v>
      </c>
      <c r="K333" s="7">
        <v>72602</v>
      </c>
      <c r="M333" s="7">
        <v>0</v>
      </c>
      <c r="O333" s="7">
        <v>52409</v>
      </c>
      <c r="Q333" s="7">
        <v>504722</v>
      </c>
      <c r="S333" s="7">
        <v>207725</v>
      </c>
      <c r="U333" s="7">
        <v>81495</v>
      </c>
      <c r="W333" s="7">
        <v>826400</v>
      </c>
      <c r="Y333" s="7">
        <v>335835</v>
      </c>
      <c r="AA333" s="7">
        <v>0</v>
      </c>
      <c r="AC333" s="7">
        <v>922774</v>
      </c>
      <c r="AE333" s="7">
        <v>502540</v>
      </c>
      <c r="AG333" s="7">
        <v>74333</v>
      </c>
      <c r="AI333" s="7">
        <v>5782</v>
      </c>
      <c r="AK333" s="7">
        <v>0</v>
      </c>
      <c r="AL333" s="12" t="s">
        <v>545</v>
      </c>
      <c r="AM333" s="12"/>
      <c r="AN333" s="12" t="s">
        <v>64</v>
      </c>
      <c r="AP333" s="7">
        <v>24769</v>
      </c>
      <c r="AR333" s="7">
        <v>0</v>
      </c>
      <c r="AT333" s="7">
        <v>0</v>
      </c>
      <c r="AV333" s="7">
        <v>0</v>
      </c>
      <c r="AX333" s="7">
        <v>0</v>
      </c>
      <c r="AZ333" s="7">
        <v>0</v>
      </c>
      <c r="BB333" s="7">
        <f t="shared" si="76"/>
        <v>8539695</v>
      </c>
      <c r="BD333" s="7">
        <v>162533</v>
      </c>
      <c r="BF333" s="7">
        <v>0</v>
      </c>
      <c r="BH333" s="7">
        <v>0</v>
      </c>
      <c r="BJ333" s="7">
        <v>0</v>
      </c>
      <c r="BL333" s="7">
        <f t="shared" si="77"/>
        <v>8702228</v>
      </c>
      <c r="BN333" s="7">
        <f>+GenRev!AM333-GenExp!BL333</f>
        <v>-285729</v>
      </c>
      <c r="BP333" s="7">
        <v>758287</v>
      </c>
      <c r="BR333" s="7">
        <v>0</v>
      </c>
      <c r="BT333" s="7">
        <v>0</v>
      </c>
      <c r="BV333" s="7">
        <f t="shared" si="78"/>
        <v>472558</v>
      </c>
      <c r="BX333" s="8">
        <f>+BV333-'Gen Fd BS'!AE333+BT333</f>
        <v>0</v>
      </c>
      <c r="CB333" s="7" t="str">
        <f t="shared" si="68"/>
        <v>Mathews Local SD</v>
      </c>
      <c r="CC333" s="7" t="b">
        <f t="shared" ref="CC333:CC397" si="87">A333=AL333</f>
        <v>1</v>
      </c>
      <c r="CE333" s="12" t="str">
        <f>GenRev!A333</f>
        <v>Mathews Local SD</v>
      </c>
      <c r="CF333" s="7" t="b">
        <f t="shared" si="69"/>
        <v>1</v>
      </c>
      <c r="CG333" s="7" t="str">
        <f t="shared" ref="CG333:CG397" si="88">C333</f>
        <v>Trumbull</v>
      </c>
      <c r="CH333" s="7" t="b">
        <f t="shared" ref="CH333:CH397" si="89">C333=AN333</f>
        <v>1</v>
      </c>
      <c r="CI333" s="7" t="b">
        <f>C333=GenRev!C333</f>
        <v>1</v>
      </c>
    </row>
    <row r="334" spans="1:87">
      <c r="A334" s="12" t="s">
        <v>403</v>
      </c>
      <c r="B334" s="12"/>
      <c r="C334" s="12" t="s">
        <v>115</v>
      </c>
      <c r="D334" s="12"/>
      <c r="E334" s="12">
        <v>44362</v>
      </c>
      <c r="F334" s="10"/>
      <c r="G334" s="7">
        <v>14410112</v>
      </c>
      <c r="I334" s="7">
        <v>2138724</v>
      </c>
      <c r="K334" s="7">
        <v>271283</v>
      </c>
      <c r="M334" s="7">
        <v>7699</v>
      </c>
      <c r="O334" s="7">
        <v>531977</v>
      </c>
      <c r="Q334" s="7">
        <v>1168310</v>
      </c>
      <c r="S334" s="7">
        <v>603737</v>
      </c>
      <c r="U334" s="7">
        <v>28783</v>
      </c>
      <c r="W334" s="7">
        <v>2352110</v>
      </c>
      <c r="Y334" s="7">
        <v>725535</v>
      </c>
      <c r="AA334" s="7">
        <v>216411</v>
      </c>
      <c r="AC334" s="7">
        <v>3137383</v>
      </c>
      <c r="AE334" s="7">
        <v>981167</v>
      </c>
      <c r="AG334" s="7">
        <v>239686</v>
      </c>
      <c r="AI334" s="7">
        <v>0</v>
      </c>
      <c r="AK334" s="7">
        <v>36498</v>
      </c>
      <c r="AL334" s="12" t="s">
        <v>403</v>
      </c>
      <c r="AM334" s="12"/>
      <c r="AN334" s="12" t="s">
        <v>115</v>
      </c>
      <c r="AP334" s="7">
        <v>649939</v>
      </c>
      <c r="AR334" s="7">
        <v>0</v>
      </c>
      <c r="AT334" s="7">
        <v>0</v>
      </c>
      <c r="AV334" s="7">
        <v>0</v>
      </c>
      <c r="AX334" s="7">
        <v>0</v>
      </c>
      <c r="AZ334" s="7">
        <v>0</v>
      </c>
      <c r="BB334" s="7">
        <f t="shared" si="76"/>
        <v>27499354</v>
      </c>
      <c r="BD334" s="7">
        <v>20000</v>
      </c>
      <c r="BF334" s="7">
        <v>0</v>
      </c>
      <c r="BH334" s="7">
        <v>0</v>
      </c>
      <c r="BJ334" s="7">
        <v>0</v>
      </c>
      <c r="BL334" s="7">
        <f t="shared" si="77"/>
        <v>27519354</v>
      </c>
      <c r="BN334" s="7">
        <f>+GenRev!AM334-GenExp!BL334</f>
        <v>985776</v>
      </c>
      <c r="BP334" s="7">
        <v>-1395077</v>
      </c>
      <c r="BR334" s="7">
        <v>-6468</v>
      </c>
      <c r="BT334" s="7">
        <v>0</v>
      </c>
      <c r="BV334" s="7">
        <f t="shared" si="78"/>
        <v>-402833</v>
      </c>
      <c r="BX334" s="8">
        <f>+BV334-'Gen Fd BS'!AE334+BT334</f>
        <v>0</v>
      </c>
      <c r="CB334" s="7" t="str">
        <f t="shared" si="68"/>
        <v>Maumee City SD</v>
      </c>
      <c r="CC334" s="7" t="b">
        <f t="shared" si="87"/>
        <v>1</v>
      </c>
      <c r="CE334" s="12" t="str">
        <f>GenRev!A334</f>
        <v>Maumee City SD</v>
      </c>
      <c r="CF334" s="7" t="b">
        <f t="shared" si="69"/>
        <v>1</v>
      </c>
      <c r="CG334" s="7" t="str">
        <f t="shared" si="88"/>
        <v>Lucas</v>
      </c>
      <c r="CH334" s="7" t="b">
        <f t="shared" si="89"/>
        <v>1</v>
      </c>
      <c r="CI334" s="7" t="b">
        <f>C334=GenRev!C334</f>
        <v>1</v>
      </c>
    </row>
    <row r="335" spans="1:87">
      <c r="A335" s="12" t="s">
        <v>763</v>
      </c>
      <c r="B335" s="12"/>
      <c r="C335" s="12" t="s">
        <v>20</v>
      </c>
      <c r="D335" s="12"/>
      <c r="E335" s="12">
        <v>44370</v>
      </c>
      <c r="G335" s="7">
        <v>23391729</v>
      </c>
      <c r="I335" s="7">
        <v>8396473</v>
      </c>
      <c r="K335" s="7">
        <v>1303834</v>
      </c>
      <c r="M335" s="7">
        <v>0</v>
      </c>
      <c r="O335" s="7">
        <f>531575+72940</f>
        <v>604515</v>
      </c>
      <c r="Q335" s="7">
        <v>3968363</v>
      </c>
      <c r="S335" s="7">
        <v>3384006</v>
      </c>
      <c r="U335" s="7">
        <v>54009</v>
      </c>
      <c r="W335" s="7">
        <v>2983015</v>
      </c>
      <c r="Y335" s="7">
        <v>1895004</v>
      </c>
      <c r="AA335" s="7">
        <v>249064</v>
      </c>
      <c r="AC335" s="7">
        <v>5021536</v>
      </c>
      <c r="AE335" s="7">
        <v>3742772</v>
      </c>
      <c r="AG335" s="7">
        <v>807231</v>
      </c>
      <c r="AI335" s="7">
        <v>0</v>
      </c>
      <c r="AK335" s="7">
        <v>242</v>
      </c>
      <c r="AL335" s="12" t="s">
        <v>763</v>
      </c>
      <c r="AM335" s="12"/>
      <c r="AN335" s="12" t="s">
        <v>20</v>
      </c>
      <c r="AP335" s="7">
        <v>1008467</v>
      </c>
      <c r="AR335" s="7">
        <v>257906</v>
      </c>
      <c r="AT335" s="7">
        <v>0</v>
      </c>
      <c r="AV335" s="7">
        <v>54115</v>
      </c>
      <c r="AX335" s="7">
        <v>5563</v>
      </c>
      <c r="AZ335" s="7">
        <v>0</v>
      </c>
      <c r="BB335" s="7">
        <f t="shared" si="76"/>
        <v>57127844</v>
      </c>
      <c r="BD335" s="7">
        <v>982000</v>
      </c>
      <c r="BF335" s="7">
        <v>0</v>
      </c>
      <c r="BH335" s="7">
        <v>0</v>
      </c>
      <c r="BJ335" s="7">
        <v>0</v>
      </c>
      <c r="BL335" s="7">
        <f t="shared" si="77"/>
        <v>58109844</v>
      </c>
      <c r="BN335" s="7">
        <f>+GenRev!AM335-GenExp!BL335</f>
        <v>3164978</v>
      </c>
      <c r="BP335" s="7">
        <v>22820611</v>
      </c>
      <c r="BR335" s="7">
        <v>0</v>
      </c>
      <c r="BT335" s="7">
        <v>0</v>
      </c>
      <c r="BV335" s="7">
        <f t="shared" si="78"/>
        <v>25985589</v>
      </c>
      <c r="BX335" s="8">
        <f>+BV335-'Gen Fd BS'!AE335+BT335</f>
        <v>0</v>
      </c>
      <c r="CB335" s="7" t="str">
        <f t="shared" ref="CB335:CB401" si="90">A335</f>
        <v xml:space="preserve">Mayfield City SD </v>
      </c>
      <c r="CC335" s="7" t="b">
        <f t="shared" si="87"/>
        <v>1</v>
      </c>
      <c r="CE335" s="12" t="str">
        <f>GenRev!A335</f>
        <v xml:space="preserve">Mayfield City SD </v>
      </c>
      <c r="CF335" s="7" t="b">
        <f t="shared" ref="CF335:CF401" si="91">CB335=CE335</f>
        <v>1</v>
      </c>
      <c r="CG335" s="7" t="str">
        <f t="shared" si="88"/>
        <v>Cuyahoga</v>
      </c>
      <c r="CH335" s="7" t="b">
        <f t="shared" si="89"/>
        <v>1</v>
      </c>
      <c r="CI335" s="7" t="b">
        <f>C335=GenRev!C335</f>
        <v>1</v>
      </c>
    </row>
    <row r="336" spans="1:87">
      <c r="A336" s="12" t="s">
        <v>458</v>
      </c>
      <c r="B336" s="12"/>
      <c r="C336" s="12" t="s">
        <v>51</v>
      </c>
      <c r="D336" s="12"/>
      <c r="E336" s="12">
        <v>48850</v>
      </c>
      <c r="G336" s="7">
        <v>9570561</v>
      </c>
      <c r="I336" s="7">
        <v>1373851</v>
      </c>
      <c r="K336" s="7">
        <v>60500</v>
      </c>
      <c r="M336" s="7">
        <v>0</v>
      </c>
      <c r="O336" s="7">
        <v>397176</v>
      </c>
      <c r="Q336" s="7">
        <v>666955</v>
      </c>
      <c r="S336" s="7">
        <v>1187187</v>
      </c>
      <c r="U336" s="7">
        <v>24330</v>
      </c>
      <c r="W336" s="7">
        <v>1615201</v>
      </c>
      <c r="Y336" s="7">
        <v>380130</v>
      </c>
      <c r="AA336" s="7">
        <v>0</v>
      </c>
      <c r="AC336" s="7">
        <v>1460407</v>
      </c>
      <c r="AE336" s="7">
        <v>1014035</v>
      </c>
      <c r="AG336" s="7">
        <v>42950</v>
      </c>
      <c r="AI336" s="7">
        <v>0</v>
      </c>
      <c r="AK336" s="7">
        <v>4906</v>
      </c>
      <c r="AL336" s="12" t="s">
        <v>458</v>
      </c>
      <c r="AM336" s="12"/>
      <c r="AN336" s="12" t="s">
        <v>51</v>
      </c>
      <c r="AP336" s="7">
        <v>414523</v>
      </c>
      <c r="AR336" s="7">
        <v>0</v>
      </c>
      <c r="AT336" s="7">
        <v>0</v>
      </c>
      <c r="AV336" s="7">
        <v>40567</v>
      </c>
      <c r="AX336" s="7">
        <v>5489</v>
      </c>
      <c r="AZ336" s="7">
        <v>0</v>
      </c>
      <c r="BB336" s="7">
        <f t="shared" si="76"/>
        <v>18258768</v>
      </c>
      <c r="BD336" s="7">
        <v>0</v>
      </c>
      <c r="BF336" s="7">
        <v>0</v>
      </c>
      <c r="BH336" s="7">
        <v>0</v>
      </c>
      <c r="BJ336" s="7">
        <v>0</v>
      </c>
      <c r="BL336" s="7">
        <f t="shared" si="77"/>
        <v>18258768</v>
      </c>
      <c r="BN336" s="7">
        <f>+GenRev!AM336-GenExp!BL336</f>
        <v>-298907</v>
      </c>
      <c r="BP336" s="7">
        <v>226018</v>
      </c>
      <c r="BR336" s="7">
        <v>0</v>
      </c>
      <c r="BT336" s="7">
        <v>0</v>
      </c>
      <c r="BV336" s="7">
        <f t="shared" si="78"/>
        <v>-72889</v>
      </c>
      <c r="BX336" s="8">
        <f>+BV336-'Gen Fd BS'!AE336+BT336</f>
        <v>0</v>
      </c>
      <c r="CB336" s="7" t="str">
        <f t="shared" si="90"/>
        <v>Maysville Local SD</v>
      </c>
      <c r="CC336" s="7" t="b">
        <f t="shared" si="87"/>
        <v>1</v>
      </c>
      <c r="CE336" s="12" t="str">
        <f>GenRev!A336</f>
        <v>Maysville Local SD</v>
      </c>
      <c r="CF336" s="7" t="b">
        <f t="shared" si="91"/>
        <v>1</v>
      </c>
      <c r="CG336" s="7" t="str">
        <f t="shared" si="88"/>
        <v>Muskingum</v>
      </c>
      <c r="CH336" s="7" t="b">
        <f t="shared" si="89"/>
        <v>1</v>
      </c>
      <c r="CI336" s="7" t="b">
        <f>C336=GenRev!C336</f>
        <v>1</v>
      </c>
    </row>
    <row r="337" spans="1:87" hidden="1">
      <c r="A337" s="12" t="s">
        <v>932</v>
      </c>
      <c r="B337" s="12"/>
      <c r="C337" s="12" t="s">
        <v>33</v>
      </c>
      <c r="D337" s="12"/>
      <c r="E337" s="12">
        <v>47456</v>
      </c>
      <c r="AA337" s="7">
        <v>0</v>
      </c>
      <c r="AI337" s="7">
        <v>0</v>
      </c>
      <c r="AL337" s="12" t="s">
        <v>932</v>
      </c>
      <c r="AM337" s="12"/>
      <c r="AN337" s="12" t="s">
        <v>33</v>
      </c>
      <c r="AT337" s="7">
        <v>0</v>
      </c>
      <c r="AZ337" s="7">
        <v>0</v>
      </c>
      <c r="BB337" s="7">
        <f t="shared" si="76"/>
        <v>0</v>
      </c>
      <c r="BD337" s="7">
        <v>0</v>
      </c>
      <c r="BF337" s="7">
        <v>0</v>
      </c>
      <c r="BH337" s="7">
        <v>0</v>
      </c>
      <c r="BJ337" s="7">
        <v>0</v>
      </c>
      <c r="BL337" s="7">
        <f t="shared" si="77"/>
        <v>0</v>
      </c>
      <c r="BN337" s="7">
        <f>+GenRev!AM337-GenExp!BL337</f>
        <v>0</v>
      </c>
      <c r="BR337" s="7">
        <v>0</v>
      </c>
      <c r="BT337" s="7">
        <v>0</v>
      </c>
      <c r="BV337" s="7">
        <f t="shared" si="78"/>
        <v>0</v>
      </c>
      <c r="BX337" s="8">
        <f>+BV337-'Gen Fd BS'!AE337+BT337</f>
        <v>0</v>
      </c>
      <c r="CA337" s="7" t="s">
        <v>839</v>
      </c>
      <c r="CB337" s="7" t="str">
        <f t="shared" si="90"/>
        <v>McComb Local SD (CASH)</v>
      </c>
      <c r="CC337" s="7" t="b">
        <f t="shared" si="87"/>
        <v>1</v>
      </c>
      <c r="CE337" s="12" t="str">
        <f>GenRev!A337</f>
        <v>McComb Local SD (CASH)</v>
      </c>
      <c r="CF337" s="7" t="b">
        <f t="shared" si="91"/>
        <v>1</v>
      </c>
      <c r="CG337" s="7" t="str">
        <f t="shared" si="88"/>
        <v>Hancock</v>
      </c>
      <c r="CH337" s="7" t="b">
        <f t="shared" si="89"/>
        <v>1</v>
      </c>
      <c r="CI337" s="7" t="b">
        <f>C337=GenRev!C337</f>
        <v>1</v>
      </c>
    </row>
    <row r="338" spans="1:87">
      <c r="A338" s="12" t="s">
        <v>667</v>
      </c>
      <c r="B338" s="12"/>
      <c r="C338" s="12" t="s">
        <v>64</v>
      </c>
      <c r="D338" s="12"/>
      <c r="E338" s="12">
        <v>50229</v>
      </c>
      <c r="G338" s="7">
        <v>2623209</v>
      </c>
      <c r="I338" s="7">
        <v>512871</v>
      </c>
      <c r="K338" s="7">
        <v>19426</v>
      </c>
      <c r="M338" s="7">
        <v>0</v>
      </c>
      <c r="O338" s="7">
        <v>0</v>
      </c>
      <c r="Q338" s="7">
        <v>152249</v>
      </c>
      <c r="S338" s="7">
        <v>12055</v>
      </c>
      <c r="U338" s="7">
        <v>14205</v>
      </c>
      <c r="W338" s="7">
        <v>392501</v>
      </c>
      <c r="Y338" s="7">
        <v>174292</v>
      </c>
      <c r="AA338" s="7">
        <v>0</v>
      </c>
      <c r="AC338" s="7">
        <v>371279</v>
      </c>
      <c r="AE338" s="7">
        <v>47227</v>
      </c>
      <c r="AG338" s="7">
        <v>31685</v>
      </c>
      <c r="AI338" s="7">
        <v>0</v>
      </c>
      <c r="AK338" s="7">
        <v>4210</v>
      </c>
      <c r="AL338" s="12" t="s">
        <v>667</v>
      </c>
      <c r="AM338" s="12"/>
      <c r="AN338" s="12" t="s">
        <v>64</v>
      </c>
      <c r="AP338" s="7">
        <v>134954</v>
      </c>
      <c r="AR338" s="7">
        <v>98123</v>
      </c>
      <c r="AT338" s="7">
        <v>0</v>
      </c>
      <c r="AV338" s="7">
        <v>65505</v>
      </c>
      <c r="AX338" s="7">
        <v>8819</v>
      </c>
      <c r="AZ338" s="7">
        <v>0</v>
      </c>
      <c r="BB338" s="7">
        <f t="shared" si="76"/>
        <v>4662610</v>
      </c>
      <c r="BD338" s="7">
        <v>0</v>
      </c>
      <c r="BF338" s="7">
        <v>0</v>
      </c>
      <c r="BH338" s="7">
        <v>0</v>
      </c>
      <c r="BJ338" s="7">
        <v>0</v>
      </c>
      <c r="BL338" s="7">
        <f t="shared" si="77"/>
        <v>4662610</v>
      </c>
      <c r="BN338" s="7">
        <f>+GenRev!AM338-GenExp!BL338</f>
        <v>1610806</v>
      </c>
      <c r="BP338" s="7">
        <v>-2462646</v>
      </c>
      <c r="BR338" s="7">
        <v>0</v>
      </c>
      <c r="BT338" s="7">
        <v>0</v>
      </c>
      <c r="BV338" s="7">
        <f t="shared" si="78"/>
        <v>-851840</v>
      </c>
      <c r="BX338" s="8">
        <f>+BV338-'Gen Fd BS'!AE338+BT338</f>
        <v>0</v>
      </c>
      <c r="CB338" s="7" t="str">
        <f t="shared" si="90"/>
        <v>McDonald Local SD</v>
      </c>
      <c r="CC338" s="7" t="b">
        <f t="shared" si="87"/>
        <v>1</v>
      </c>
      <c r="CE338" s="12" t="str">
        <f>GenRev!A338</f>
        <v>McDonald Local SD</v>
      </c>
      <c r="CF338" s="7" t="b">
        <f t="shared" si="91"/>
        <v>1</v>
      </c>
      <c r="CG338" s="7" t="str">
        <f t="shared" si="88"/>
        <v>Trumbull</v>
      </c>
      <c r="CH338" s="7" t="b">
        <f t="shared" si="89"/>
        <v>1</v>
      </c>
      <c r="CI338" s="7" t="b">
        <f>C338=GenRev!C338</f>
        <v>1</v>
      </c>
    </row>
    <row r="339" spans="1:87">
      <c r="A339" s="12" t="s">
        <v>877</v>
      </c>
      <c r="B339" s="12"/>
      <c r="C339" s="12" t="s">
        <v>232</v>
      </c>
      <c r="D339" s="12"/>
      <c r="E339" s="12">
        <v>45484</v>
      </c>
      <c r="G339" s="7">
        <v>4128285</v>
      </c>
      <c r="I339" s="7">
        <v>1044993</v>
      </c>
      <c r="K339" s="7">
        <v>123859</v>
      </c>
      <c r="M339" s="7">
        <v>0</v>
      </c>
      <c r="O339" s="7">
        <v>0</v>
      </c>
      <c r="Q339" s="7">
        <v>337348</v>
      </c>
      <c r="S339" s="7">
        <v>312625</v>
      </c>
      <c r="U339" s="7">
        <v>57827</v>
      </c>
      <c r="W339" s="7">
        <v>928467</v>
      </c>
      <c r="Y339" s="7">
        <v>297948</v>
      </c>
      <c r="AA339" s="7">
        <v>0</v>
      </c>
      <c r="AC339" s="7">
        <v>1119452</v>
      </c>
      <c r="AE339" s="7">
        <v>650640</v>
      </c>
      <c r="AG339" s="7">
        <v>146645</v>
      </c>
      <c r="AI339" s="7">
        <v>0</v>
      </c>
      <c r="AK339" s="7">
        <v>2326</v>
      </c>
      <c r="AL339" s="12" t="s">
        <v>877</v>
      </c>
      <c r="AM339" s="12"/>
      <c r="AN339" s="12" t="s">
        <v>232</v>
      </c>
      <c r="AP339" s="7">
        <v>229365</v>
      </c>
      <c r="AR339" s="7">
        <v>0</v>
      </c>
      <c r="AT339" s="7">
        <v>0</v>
      </c>
      <c r="AV339" s="7">
        <v>0</v>
      </c>
      <c r="AX339" s="7">
        <v>14300</v>
      </c>
      <c r="AZ339" s="7">
        <v>0</v>
      </c>
      <c r="BB339" s="7">
        <f t="shared" si="76"/>
        <v>9394080</v>
      </c>
      <c r="BD339" s="7">
        <v>15000</v>
      </c>
      <c r="BF339" s="7">
        <v>0</v>
      </c>
      <c r="BH339" s="7">
        <v>0</v>
      </c>
      <c r="BJ339" s="7">
        <v>0</v>
      </c>
      <c r="BL339" s="7">
        <f t="shared" si="77"/>
        <v>9409080</v>
      </c>
      <c r="BN339" s="7">
        <f>+GenRev!AM339-GenExp!BL339</f>
        <v>-229814</v>
      </c>
      <c r="BP339" s="7">
        <v>1191399</v>
      </c>
      <c r="BR339" s="7">
        <v>0</v>
      </c>
      <c r="BT339" s="7">
        <v>0</v>
      </c>
      <c r="BV339" s="7">
        <f t="shared" si="78"/>
        <v>961585</v>
      </c>
      <c r="BX339" s="8">
        <f>+BV339-'Gen Fd BS'!AE339+BT339</f>
        <v>0</v>
      </c>
      <c r="CB339" s="7" t="str">
        <f t="shared" si="90"/>
        <v>Mechanicsburg Exempted Village SD</v>
      </c>
      <c r="CC339" s="7" t="b">
        <f t="shared" si="87"/>
        <v>1</v>
      </c>
      <c r="CE339" s="12" t="str">
        <f>GenRev!A339</f>
        <v>Mechanicsburg Exempted Village SD</v>
      </c>
      <c r="CF339" s="7" t="b">
        <f t="shared" si="91"/>
        <v>1</v>
      </c>
      <c r="CG339" s="7" t="str">
        <f t="shared" si="88"/>
        <v>Champaign</v>
      </c>
      <c r="CH339" s="7" t="b">
        <f t="shared" si="89"/>
        <v>1</v>
      </c>
      <c r="CI339" s="7" t="b">
        <f>C339=GenRev!C339</f>
        <v>1</v>
      </c>
    </row>
    <row r="340" spans="1:87">
      <c r="A340" s="12" t="s">
        <v>431</v>
      </c>
      <c r="B340" s="12"/>
      <c r="C340" s="12" t="s">
        <v>47</v>
      </c>
      <c r="D340" s="12"/>
      <c r="E340" s="12">
        <v>44388</v>
      </c>
      <c r="G340" s="7">
        <v>35854787</v>
      </c>
      <c r="I340" s="7">
        <v>6884661</v>
      </c>
      <c r="K340" s="7">
        <v>431022</v>
      </c>
      <c r="M340" s="7">
        <v>0</v>
      </c>
      <c r="O340" s="7">
        <v>84279</v>
      </c>
      <c r="Q340" s="7">
        <v>2464863</v>
      </c>
      <c r="S340" s="7">
        <v>3851535</v>
      </c>
      <c r="U340" s="7">
        <v>89722</v>
      </c>
      <c r="W340" s="7">
        <v>4352695</v>
      </c>
      <c r="Y340" s="7">
        <v>1081756</v>
      </c>
      <c r="AA340" s="7">
        <v>623047</v>
      </c>
      <c r="AC340" s="7">
        <v>6835611</v>
      </c>
      <c r="AE340" s="7">
        <v>2285430</v>
      </c>
      <c r="AG340" s="7">
        <v>393744</v>
      </c>
      <c r="AI340" s="7">
        <v>0</v>
      </c>
      <c r="AK340" s="7">
        <v>101503</v>
      </c>
      <c r="AL340" s="12" t="s">
        <v>431</v>
      </c>
      <c r="AM340" s="12"/>
      <c r="AN340" s="12" t="s">
        <v>47</v>
      </c>
      <c r="AP340" s="7">
        <v>1505152</v>
      </c>
      <c r="AR340" s="7">
        <v>292704</v>
      </c>
      <c r="AT340" s="7">
        <v>0</v>
      </c>
      <c r="AV340" s="7">
        <v>157699</v>
      </c>
      <c r="AX340" s="7">
        <v>28320</v>
      </c>
      <c r="AZ340" s="7">
        <v>0</v>
      </c>
      <c r="BB340" s="7">
        <f t="shared" si="76"/>
        <v>67318530</v>
      </c>
      <c r="BD340" s="7">
        <v>389910</v>
      </c>
      <c r="BF340" s="7">
        <v>0</v>
      </c>
      <c r="BH340" s="7">
        <v>0</v>
      </c>
      <c r="BJ340" s="7">
        <v>0</v>
      </c>
      <c r="BL340" s="7">
        <f t="shared" si="77"/>
        <v>67708440</v>
      </c>
      <c r="BN340" s="7">
        <f>+GenRev!AM340-GenExp!BL340</f>
        <v>592906</v>
      </c>
      <c r="BP340" s="7">
        <v>10378025</v>
      </c>
      <c r="BR340" s="7">
        <v>0</v>
      </c>
      <c r="BT340" s="7">
        <v>0</v>
      </c>
      <c r="BV340" s="7">
        <f t="shared" si="78"/>
        <v>10970931</v>
      </c>
      <c r="BX340" s="8">
        <f>+BV340-'Gen Fd BS'!AE340+BT340</f>
        <v>0</v>
      </c>
      <c r="CB340" s="7" t="str">
        <f t="shared" si="90"/>
        <v>Medina City SD</v>
      </c>
      <c r="CC340" s="7" t="b">
        <f t="shared" si="87"/>
        <v>1</v>
      </c>
      <c r="CE340" s="12" t="str">
        <f>GenRev!A340</f>
        <v>Medina City SD</v>
      </c>
      <c r="CF340" s="7" t="b">
        <f t="shared" si="91"/>
        <v>1</v>
      </c>
      <c r="CG340" s="7" t="str">
        <f t="shared" si="88"/>
        <v>Medina</v>
      </c>
      <c r="CH340" s="7" t="b">
        <f t="shared" si="89"/>
        <v>1</v>
      </c>
      <c r="CI340" s="7" t="b">
        <f>C340=GenRev!C340</f>
        <v>1</v>
      </c>
    </row>
    <row r="341" spans="1:87">
      <c r="A341" s="12" t="s">
        <v>434</v>
      </c>
      <c r="B341" s="12"/>
      <c r="C341" s="12" t="s">
        <v>433</v>
      </c>
      <c r="D341" s="12"/>
      <c r="E341" s="12">
        <v>48520</v>
      </c>
      <c r="G341" s="7">
        <v>6399469</v>
      </c>
      <c r="I341" s="7">
        <v>1342851</v>
      </c>
      <c r="K341" s="7">
        <v>1428633</v>
      </c>
      <c r="M341" s="7">
        <v>5500</v>
      </c>
      <c r="O341" s="7">
        <f>127564+1863403</f>
        <v>1990967</v>
      </c>
      <c r="Q341" s="7">
        <v>398034</v>
      </c>
      <c r="S341" s="7">
        <v>386206</v>
      </c>
      <c r="U341" s="7">
        <v>59730</v>
      </c>
      <c r="W341" s="7">
        <v>1062239</v>
      </c>
      <c r="Y341" s="7">
        <v>482776</v>
      </c>
      <c r="AA341" s="7">
        <v>0</v>
      </c>
      <c r="AC341" s="7">
        <v>1730633</v>
      </c>
      <c r="AE341" s="7">
        <v>1546517</v>
      </c>
      <c r="AG341" s="7">
        <v>0</v>
      </c>
      <c r="AI341" s="7">
        <v>0</v>
      </c>
      <c r="AK341" s="7">
        <v>0</v>
      </c>
      <c r="AL341" s="12" t="s">
        <v>434</v>
      </c>
      <c r="AM341" s="12"/>
      <c r="AN341" s="12" t="s">
        <v>433</v>
      </c>
      <c r="AP341" s="7">
        <v>184566</v>
      </c>
      <c r="AR341" s="7">
        <v>0</v>
      </c>
      <c r="AT341" s="7">
        <v>0</v>
      </c>
      <c r="AV341" s="7">
        <v>0</v>
      </c>
      <c r="AX341" s="7">
        <v>0</v>
      </c>
      <c r="AZ341" s="7">
        <v>0</v>
      </c>
      <c r="BB341" s="7">
        <f t="shared" si="76"/>
        <v>17018121</v>
      </c>
      <c r="BD341" s="7">
        <v>0</v>
      </c>
      <c r="BF341" s="7">
        <v>0</v>
      </c>
      <c r="BH341" s="7">
        <v>0</v>
      </c>
      <c r="BJ341" s="7">
        <v>0</v>
      </c>
      <c r="BL341" s="7">
        <f t="shared" si="77"/>
        <v>17018121</v>
      </c>
      <c r="BN341" s="7">
        <f>+GenRev!AM341-GenExp!BL341</f>
        <v>161760</v>
      </c>
      <c r="BP341" s="7">
        <v>-965618</v>
      </c>
      <c r="BR341" s="7">
        <v>0</v>
      </c>
      <c r="BT341" s="7">
        <v>0</v>
      </c>
      <c r="BV341" s="7">
        <f t="shared" si="78"/>
        <v>-803858</v>
      </c>
      <c r="BX341" s="8">
        <f>+BV341-'Gen Fd BS'!AE341+BT341</f>
        <v>0</v>
      </c>
      <c r="CA341" s="7" t="s">
        <v>933</v>
      </c>
      <c r="CB341" s="7" t="str">
        <f t="shared" si="90"/>
        <v>Meigs Local SD</v>
      </c>
      <c r="CC341" s="7" t="b">
        <f t="shared" si="87"/>
        <v>1</v>
      </c>
      <c r="CE341" s="12" t="str">
        <f>GenRev!A341</f>
        <v>Meigs Local SD</v>
      </c>
      <c r="CF341" s="7" t="b">
        <f t="shared" si="91"/>
        <v>1</v>
      </c>
      <c r="CG341" s="7" t="str">
        <f t="shared" si="88"/>
        <v>Meigs</v>
      </c>
      <c r="CH341" s="7" t="b">
        <f t="shared" si="89"/>
        <v>1</v>
      </c>
      <c r="CI341" s="7" t="b">
        <f>C341=GenRev!C341</f>
        <v>1</v>
      </c>
    </row>
    <row r="342" spans="1:87">
      <c r="A342" s="12" t="s">
        <v>878</v>
      </c>
      <c r="B342" s="12"/>
      <c r="C342" s="12" t="s">
        <v>41</v>
      </c>
      <c r="D342" s="12"/>
      <c r="E342" s="12">
        <v>45492</v>
      </c>
      <c r="F342" s="10"/>
      <c r="G342" s="7">
        <v>41162069</v>
      </c>
      <c r="I342" s="7">
        <v>10157843</v>
      </c>
      <c r="K342" s="7">
        <v>1937047</v>
      </c>
      <c r="M342" s="7">
        <v>0</v>
      </c>
      <c r="O342" s="7">
        <v>190986</v>
      </c>
      <c r="Q342" s="7">
        <v>6090275</v>
      </c>
      <c r="S342" s="7">
        <v>5916402</v>
      </c>
      <c r="U342" s="7">
        <v>643143</v>
      </c>
      <c r="W342" s="7">
        <v>5190659</v>
      </c>
      <c r="Y342" s="7">
        <v>2274222</v>
      </c>
      <c r="AA342" s="7">
        <v>663067</v>
      </c>
      <c r="AC342" s="7">
        <v>8161919</v>
      </c>
      <c r="AE342" s="7">
        <v>6192788</v>
      </c>
      <c r="AG342" s="7">
        <v>1882672</v>
      </c>
      <c r="AI342" s="7">
        <v>325</v>
      </c>
      <c r="AK342" s="7">
        <v>84604</v>
      </c>
      <c r="AL342" s="12" t="s">
        <v>878</v>
      </c>
      <c r="AM342" s="12"/>
      <c r="AN342" s="12" t="s">
        <v>41</v>
      </c>
      <c r="AP342" s="7">
        <v>1467723</v>
      </c>
      <c r="AR342" s="7">
        <v>0</v>
      </c>
      <c r="AT342" s="7">
        <v>0</v>
      </c>
      <c r="AV342" s="7">
        <v>0</v>
      </c>
      <c r="AX342" s="7">
        <v>0</v>
      </c>
      <c r="AZ342" s="7">
        <v>0</v>
      </c>
      <c r="BB342" s="7">
        <f t="shared" si="76"/>
        <v>92015744</v>
      </c>
      <c r="BD342" s="7">
        <v>429284</v>
      </c>
      <c r="BF342" s="7">
        <v>0</v>
      </c>
      <c r="BH342" s="7">
        <v>0</v>
      </c>
      <c r="BJ342" s="7">
        <v>0</v>
      </c>
      <c r="BL342" s="7">
        <f t="shared" si="77"/>
        <v>92445028</v>
      </c>
      <c r="BN342" s="7">
        <f>+GenRev!AM342-GenExp!BL342</f>
        <v>4470443</v>
      </c>
      <c r="BP342" s="7">
        <v>49044652</v>
      </c>
      <c r="BR342" s="7">
        <v>0</v>
      </c>
      <c r="BT342" s="7">
        <v>0</v>
      </c>
      <c r="BV342" s="7">
        <f t="shared" si="78"/>
        <v>53515095</v>
      </c>
      <c r="BX342" s="8">
        <f>+BV342-'Gen Fd BS'!AE342+BT342</f>
        <v>0</v>
      </c>
      <c r="CB342" s="7" t="str">
        <f t="shared" si="90"/>
        <v>Mentor Exempted Village SD</v>
      </c>
      <c r="CC342" s="7" t="b">
        <f t="shared" si="87"/>
        <v>1</v>
      </c>
      <c r="CE342" s="12" t="str">
        <f>GenRev!A342</f>
        <v>Mentor Exempted Village SD</v>
      </c>
      <c r="CF342" s="7" t="b">
        <f t="shared" si="91"/>
        <v>1</v>
      </c>
      <c r="CG342" s="7" t="str">
        <f t="shared" si="88"/>
        <v>Lake</v>
      </c>
      <c r="CH342" s="7" t="b">
        <f t="shared" si="89"/>
        <v>1</v>
      </c>
      <c r="CI342" s="7" t="b">
        <f>C342=GenRev!C342</f>
        <v>1</v>
      </c>
    </row>
    <row r="343" spans="1:87">
      <c r="A343" s="12" t="s">
        <v>437</v>
      </c>
      <c r="B343" s="12"/>
      <c r="C343" s="12" t="s">
        <v>48</v>
      </c>
      <c r="D343" s="12"/>
      <c r="E343" s="12">
        <v>48629</v>
      </c>
      <c r="G343" s="7">
        <v>5874509</v>
      </c>
      <c r="I343" s="7">
        <v>625510</v>
      </c>
      <c r="K343" s="7">
        <v>104921</v>
      </c>
      <c r="M343" s="7">
        <v>0</v>
      </c>
      <c r="O343" s="7">
        <v>13481</v>
      </c>
      <c r="Q343" s="7">
        <v>305910</v>
      </c>
      <c r="S343" s="7">
        <v>251312</v>
      </c>
      <c r="U343" s="7">
        <v>84103</v>
      </c>
      <c r="W343" s="7">
        <v>831558</v>
      </c>
      <c r="Y343" s="7">
        <v>352849</v>
      </c>
      <c r="AA343" s="7">
        <v>38875</v>
      </c>
      <c r="AC343" s="7">
        <v>651398</v>
      </c>
      <c r="AE343" s="7">
        <v>747602</v>
      </c>
      <c r="AG343" s="7">
        <v>229769</v>
      </c>
      <c r="AI343" s="7">
        <v>0</v>
      </c>
      <c r="AK343" s="7">
        <v>3894</v>
      </c>
      <c r="AL343" s="12" t="s">
        <v>437</v>
      </c>
      <c r="AM343" s="12"/>
      <c r="AN343" s="12" t="s">
        <v>48</v>
      </c>
      <c r="AP343" s="7">
        <v>271493</v>
      </c>
      <c r="AR343" s="7">
        <v>8802</v>
      </c>
      <c r="AT343" s="7">
        <v>0</v>
      </c>
      <c r="AV343" s="7">
        <v>0</v>
      </c>
      <c r="AX343" s="7">
        <v>0</v>
      </c>
      <c r="AZ343" s="7">
        <v>0</v>
      </c>
      <c r="BB343" s="7">
        <f t="shared" si="76"/>
        <v>10395986</v>
      </c>
      <c r="BD343" s="7">
        <v>448105</v>
      </c>
      <c r="BF343" s="7">
        <v>0</v>
      </c>
      <c r="BH343" s="7">
        <v>0</v>
      </c>
      <c r="BJ343" s="7">
        <v>0</v>
      </c>
      <c r="BL343" s="7">
        <f t="shared" si="77"/>
        <v>10844091</v>
      </c>
      <c r="BN343" s="7">
        <f>+GenRev!AM343-GenExp!BL343</f>
        <v>178039</v>
      </c>
      <c r="BP343" s="7">
        <v>202305</v>
      </c>
      <c r="BR343" s="7">
        <v>0</v>
      </c>
      <c r="BT343" s="7">
        <v>0</v>
      </c>
      <c r="BV343" s="7">
        <f t="shared" si="78"/>
        <v>380344</v>
      </c>
      <c r="BX343" s="8">
        <f>+BV343-'Gen Fd BS'!AE343+BT343</f>
        <v>0</v>
      </c>
      <c r="CB343" s="7" t="str">
        <f t="shared" si="90"/>
        <v>Miami East Local SD</v>
      </c>
      <c r="CC343" s="7" t="b">
        <f t="shared" si="87"/>
        <v>1</v>
      </c>
      <c r="CE343" s="12" t="str">
        <f>GenRev!A343</f>
        <v>Miami East Local SD</v>
      </c>
      <c r="CF343" s="7" t="b">
        <f t="shared" si="91"/>
        <v>1</v>
      </c>
      <c r="CG343" s="7" t="str">
        <f t="shared" si="88"/>
        <v>Miami</v>
      </c>
      <c r="CH343" s="7" t="b">
        <f t="shared" si="89"/>
        <v>1</v>
      </c>
      <c r="CI343" s="7" t="b">
        <f>C343=GenRev!C343</f>
        <v>1</v>
      </c>
    </row>
    <row r="344" spans="1:87">
      <c r="A344" s="12" t="s">
        <v>303</v>
      </c>
      <c r="B344" s="12"/>
      <c r="C344" s="12" t="s">
        <v>26</v>
      </c>
      <c r="D344" s="12"/>
      <c r="E344" s="12">
        <v>46920</v>
      </c>
      <c r="F344" s="10"/>
      <c r="G344" s="7">
        <v>8237434</v>
      </c>
      <c r="I344" s="7">
        <v>1604988</v>
      </c>
      <c r="K344" s="7">
        <v>168873</v>
      </c>
      <c r="M344" s="7">
        <v>0</v>
      </c>
      <c r="O344" s="7">
        <v>1776705</v>
      </c>
      <c r="Q344" s="7">
        <v>829742</v>
      </c>
      <c r="S344" s="7">
        <v>1428806</v>
      </c>
      <c r="U344" s="7">
        <v>31959</v>
      </c>
      <c r="W344" s="7">
        <v>1972503</v>
      </c>
      <c r="Y344" s="7">
        <v>656732</v>
      </c>
      <c r="AA344" s="7">
        <v>103561</v>
      </c>
      <c r="AC344" s="7">
        <v>2106762</v>
      </c>
      <c r="AE344" s="7">
        <v>1710356</v>
      </c>
      <c r="AG344" s="7">
        <v>64476</v>
      </c>
      <c r="AI344" s="7">
        <v>0</v>
      </c>
      <c r="AK344" s="7">
        <v>80734</v>
      </c>
      <c r="AL344" s="12" t="s">
        <v>303</v>
      </c>
      <c r="AM344" s="12"/>
      <c r="AN344" s="12" t="s">
        <v>26</v>
      </c>
      <c r="AP344" s="7">
        <v>255284</v>
      </c>
      <c r="AR344" s="7">
        <v>11418</v>
      </c>
      <c r="AT344" s="7">
        <v>0</v>
      </c>
      <c r="AV344" s="7">
        <v>0</v>
      </c>
      <c r="AX344" s="7">
        <v>0</v>
      </c>
      <c r="AZ344" s="7">
        <v>0</v>
      </c>
      <c r="BB344" s="7">
        <f t="shared" si="76"/>
        <v>21040333</v>
      </c>
      <c r="BD344" s="7">
        <v>0</v>
      </c>
      <c r="BF344" s="7">
        <v>0</v>
      </c>
      <c r="BH344" s="7">
        <v>0</v>
      </c>
      <c r="BJ344" s="7">
        <v>0</v>
      </c>
      <c r="BL344" s="7">
        <f t="shared" si="77"/>
        <v>21040333</v>
      </c>
      <c r="BN344" s="7">
        <f>+GenRev!AM344-GenExp!BL344</f>
        <v>3016140</v>
      </c>
      <c r="BP344" s="7">
        <v>7775128</v>
      </c>
      <c r="BR344" s="7">
        <v>0</v>
      </c>
      <c r="BT344" s="7">
        <v>0</v>
      </c>
      <c r="BV344" s="7">
        <f t="shared" si="78"/>
        <v>10791268</v>
      </c>
      <c r="BX344" s="8">
        <f>+BV344-'Gen Fd BS'!AE344+BT344</f>
        <v>0</v>
      </c>
      <c r="CB344" s="7" t="str">
        <f t="shared" si="90"/>
        <v>Miami Trace Local SD</v>
      </c>
      <c r="CC344" s="7" t="b">
        <f t="shared" si="87"/>
        <v>1</v>
      </c>
      <c r="CE344" s="12" t="str">
        <f>GenRev!A344</f>
        <v>Miami Trace Local SD</v>
      </c>
      <c r="CF344" s="7" t="b">
        <f t="shared" si="91"/>
        <v>1</v>
      </c>
      <c r="CG344" s="7" t="str">
        <f t="shared" si="88"/>
        <v>Fayette</v>
      </c>
      <c r="CH344" s="7" t="b">
        <f t="shared" si="89"/>
        <v>1</v>
      </c>
      <c r="CI344" s="7" t="b">
        <f>C344=GenRev!C344</f>
        <v>1</v>
      </c>
    </row>
    <row r="345" spans="1:87">
      <c r="A345" s="12" t="s">
        <v>445</v>
      </c>
      <c r="B345" s="12"/>
      <c r="C345" s="12" t="s">
        <v>50</v>
      </c>
      <c r="D345" s="12"/>
      <c r="E345" s="12">
        <v>44396</v>
      </c>
      <c r="G345" s="7">
        <v>20434597</v>
      </c>
      <c r="I345" s="7">
        <v>6807215</v>
      </c>
      <c r="K345" s="7">
        <v>497545</v>
      </c>
      <c r="M345" s="7">
        <v>0</v>
      </c>
      <c r="O345" s="7">
        <f>22597+467916</f>
        <v>490513</v>
      </c>
      <c r="Q345" s="7">
        <v>3841340</v>
      </c>
      <c r="S345" s="7">
        <v>917603</v>
      </c>
      <c r="U345" s="7">
        <v>26128</v>
      </c>
      <c r="W345" s="7">
        <v>2774435</v>
      </c>
      <c r="Y345" s="7">
        <v>856649</v>
      </c>
      <c r="AA345" s="7">
        <v>285876</v>
      </c>
      <c r="AC345" s="7">
        <v>3483975</v>
      </c>
      <c r="AE345" s="7">
        <v>2517710</v>
      </c>
      <c r="AG345" s="7">
        <v>453226</v>
      </c>
      <c r="AI345" s="7">
        <v>0</v>
      </c>
      <c r="AK345" s="7">
        <v>0</v>
      </c>
      <c r="AL345" s="12" t="s">
        <v>445</v>
      </c>
      <c r="AM345" s="12"/>
      <c r="AN345" s="12" t="s">
        <v>50</v>
      </c>
      <c r="AP345" s="7">
        <v>579627</v>
      </c>
      <c r="AR345" s="7">
        <v>0</v>
      </c>
      <c r="AT345" s="7">
        <v>0</v>
      </c>
      <c r="AV345" s="7">
        <v>29566</v>
      </c>
      <c r="AX345" s="7">
        <v>29953</v>
      </c>
      <c r="AZ345" s="7">
        <v>0</v>
      </c>
      <c r="BB345" s="7">
        <f t="shared" si="76"/>
        <v>44025958</v>
      </c>
      <c r="BD345" s="7">
        <v>157000</v>
      </c>
      <c r="BF345" s="7">
        <v>0</v>
      </c>
      <c r="BH345" s="7">
        <v>0</v>
      </c>
      <c r="BJ345" s="7">
        <v>0</v>
      </c>
      <c r="BL345" s="7">
        <f t="shared" si="77"/>
        <v>44182958</v>
      </c>
      <c r="BN345" s="7">
        <f>+GenRev!AM345-GenExp!BL345</f>
        <v>3081675</v>
      </c>
      <c r="BP345" s="7">
        <v>-3833972</v>
      </c>
      <c r="BR345" s="7">
        <v>0</v>
      </c>
      <c r="BT345" s="7">
        <v>0</v>
      </c>
      <c r="BV345" s="7">
        <f t="shared" si="78"/>
        <v>-752297</v>
      </c>
      <c r="BX345" s="8">
        <f>+BV345-'Gen Fd BS'!AE345+BT345</f>
        <v>0</v>
      </c>
      <c r="CB345" s="7" t="str">
        <f t="shared" si="90"/>
        <v>Miamisburg City SD</v>
      </c>
      <c r="CC345" s="7" t="b">
        <f t="shared" si="87"/>
        <v>1</v>
      </c>
      <c r="CE345" s="12" t="str">
        <f>GenRev!A345</f>
        <v>Miamisburg City SD</v>
      </c>
      <c r="CF345" s="7" t="b">
        <f t="shared" si="91"/>
        <v>1</v>
      </c>
      <c r="CG345" s="7" t="str">
        <f t="shared" si="88"/>
        <v>Montgomery</v>
      </c>
      <c r="CH345" s="7" t="b">
        <f t="shared" si="89"/>
        <v>1</v>
      </c>
      <c r="CI345" s="7" t="b">
        <f>C345=GenRev!C345</f>
        <v>1</v>
      </c>
    </row>
    <row r="346" spans="1:87" hidden="1">
      <c r="A346" s="12" t="s">
        <v>942</v>
      </c>
      <c r="B346" s="12"/>
      <c r="C346" s="12" t="s">
        <v>53</v>
      </c>
      <c r="D346" s="12"/>
      <c r="E346" s="12"/>
      <c r="AI346" s="7">
        <v>0</v>
      </c>
      <c r="AL346" s="12" t="s">
        <v>942</v>
      </c>
      <c r="AM346" s="12"/>
      <c r="AN346" s="12" t="s">
        <v>53</v>
      </c>
      <c r="AT346" s="7">
        <v>0</v>
      </c>
      <c r="AZ346" s="7">
        <v>0</v>
      </c>
      <c r="BB346" s="7">
        <f t="shared" si="76"/>
        <v>0</v>
      </c>
      <c r="BF346" s="7">
        <v>0</v>
      </c>
      <c r="BH346" s="7">
        <v>0</v>
      </c>
      <c r="BJ346" s="7">
        <v>0</v>
      </c>
      <c r="BL346" s="7">
        <f t="shared" ref="BL346" si="92">+BB346+BD346+BF346+BJ346</f>
        <v>0</v>
      </c>
      <c r="BN346" s="7">
        <f>+GenRev!AM346-GenExp!BL346</f>
        <v>0</v>
      </c>
      <c r="BR346" s="7">
        <v>0</v>
      </c>
      <c r="BT346" s="7">
        <v>0</v>
      </c>
      <c r="BV346" s="7">
        <f t="shared" si="78"/>
        <v>0</v>
      </c>
      <c r="BX346" s="8">
        <f>+BV346-'Gen Fd BS'!AE346+BT346</f>
        <v>0</v>
      </c>
      <c r="CA346" s="7" t="s">
        <v>931</v>
      </c>
      <c r="CB346" s="7" t="str">
        <f t="shared" ref="CB346" si="93">A346</f>
        <v>Middle Bass Local SD (Two year Audit - CASH)</v>
      </c>
      <c r="CC346" s="7" t="b">
        <f t="shared" ref="CC346" si="94">A346=AL346</f>
        <v>1</v>
      </c>
      <c r="CE346" s="12" t="str">
        <f>GenRev!A346</f>
        <v>Middle Bass Local SD (Two year Audit - CASH)</v>
      </c>
      <c r="CF346" s="7" t="b">
        <f t="shared" ref="CF346" si="95">CB346=CE346</f>
        <v>1</v>
      </c>
      <c r="CG346" s="7" t="str">
        <f t="shared" ref="CG346" si="96">C346</f>
        <v>Ottawa</v>
      </c>
      <c r="CH346" s="7" t="b">
        <f t="shared" ref="CH346" si="97">C346=AN346</f>
        <v>1</v>
      </c>
      <c r="CI346" s="7" t="b">
        <f>C346=GenRev!C346</f>
        <v>1</v>
      </c>
    </row>
    <row r="347" spans="1:87">
      <c r="A347" s="12" t="s">
        <v>228</v>
      </c>
      <c r="B347" s="12"/>
      <c r="C347" s="12" t="s">
        <v>223</v>
      </c>
      <c r="D347" s="12"/>
      <c r="E347" s="12">
        <v>44404</v>
      </c>
      <c r="G347" s="7">
        <v>29028363</v>
      </c>
      <c r="I347" s="7">
        <v>5663771</v>
      </c>
      <c r="K347" s="7">
        <v>44821</v>
      </c>
      <c r="M347" s="7">
        <v>90406</v>
      </c>
      <c r="O347" s="7">
        <v>9114915</v>
      </c>
      <c r="Q347" s="7">
        <v>4767367</v>
      </c>
      <c r="S347" s="7">
        <v>2318814</v>
      </c>
      <c r="U347" s="7">
        <v>51456</v>
      </c>
      <c r="W347" s="7">
        <v>4802645</v>
      </c>
      <c r="Y347" s="7">
        <v>652490</v>
      </c>
      <c r="AA347" s="7">
        <v>444542</v>
      </c>
      <c r="AC347" s="7">
        <v>5915759</v>
      </c>
      <c r="AE347" s="7">
        <v>3515974</v>
      </c>
      <c r="AG347" s="7">
        <v>2211485</v>
      </c>
      <c r="AI347" s="7">
        <v>0</v>
      </c>
      <c r="AK347" s="7">
        <v>232</v>
      </c>
      <c r="AL347" s="12" t="s">
        <v>228</v>
      </c>
      <c r="AM347" s="12"/>
      <c r="AN347" s="12" t="s">
        <v>223</v>
      </c>
      <c r="AP347" s="7">
        <v>74847</v>
      </c>
      <c r="AR347" s="7">
        <f>167094+871059</f>
        <v>1038153</v>
      </c>
      <c r="AT347" s="7">
        <v>0</v>
      </c>
      <c r="AV347" s="7">
        <v>318319</v>
      </c>
      <c r="AX347" s="7">
        <v>80606</v>
      </c>
      <c r="AZ347" s="7">
        <v>0</v>
      </c>
      <c r="BB347" s="7">
        <f t="shared" si="76"/>
        <v>70134965</v>
      </c>
      <c r="BD347" s="7">
        <v>692375</v>
      </c>
      <c r="BF347" s="7">
        <v>0</v>
      </c>
      <c r="BH347" s="7">
        <v>0</v>
      </c>
      <c r="BJ347" s="7">
        <v>0</v>
      </c>
      <c r="BL347" s="7">
        <f t="shared" si="77"/>
        <v>70827340</v>
      </c>
      <c r="BN347" s="7">
        <f>+GenRev!AM347-GenExp!BL347</f>
        <v>-6686599</v>
      </c>
      <c r="BP347" s="7">
        <v>3894981</v>
      </c>
      <c r="BR347" s="7">
        <v>0</v>
      </c>
      <c r="BT347" s="7">
        <v>0</v>
      </c>
      <c r="BV347" s="7">
        <f t="shared" si="78"/>
        <v>-2791618</v>
      </c>
      <c r="BX347" s="8">
        <f>+BV347-'Gen Fd BS'!AE347+BT347</f>
        <v>0</v>
      </c>
      <c r="CB347" s="7" t="str">
        <f t="shared" si="90"/>
        <v>Middletown City SD</v>
      </c>
      <c r="CC347" s="7" t="b">
        <f t="shared" si="87"/>
        <v>1</v>
      </c>
      <c r="CE347" s="12" t="str">
        <f>GenRev!A347</f>
        <v>Middletown City SD</v>
      </c>
      <c r="CF347" s="7" t="b">
        <f t="shared" si="91"/>
        <v>1</v>
      </c>
      <c r="CG347" s="7" t="str">
        <f t="shared" si="88"/>
        <v>Butler</v>
      </c>
      <c r="CH347" s="7" t="b">
        <f t="shared" si="89"/>
        <v>1</v>
      </c>
      <c r="CI347" s="7" t="b">
        <f>C347=GenRev!C347</f>
        <v>1</v>
      </c>
    </row>
    <row r="348" spans="1:87">
      <c r="A348" s="12" t="s">
        <v>399</v>
      </c>
      <c r="B348" s="12"/>
      <c r="C348" s="12" t="s">
        <v>44</v>
      </c>
      <c r="D348" s="12"/>
      <c r="E348" s="12">
        <v>48173</v>
      </c>
      <c r="G348" s="7">
        <v>12425982</v>
      </c>
      <c r="I348" s="7">
        <v>2400723</v>
      </c>
      <c r="K348" s="7">
        <v>120873</v>
      </c>
      <c r="M348" s="7">
        <v>0</v>
      </c>
      <c r="O348" s="7">
        <v>45619</v>
      </c>
      <c r="Q348" s="7">
        <v>1377829</v>
      </c>
      <c r="S348" s="7">
        <v>438100</v>
      </c>
      <c r="U348" s="7">
        <v>908237</v>
      </c>
      <c r="W348" s="7">
        <v>2597059</v>
      </c>
      <c r="Y348" s="7">
        <v>597219</v>
      </c>
      <c r="AA348" s="7">
        <v>299895</v>
      </c>
      <c r="AC348" s="7">
        <v>2077764</v>
      </c>
      <c r="AE348" s="7">
        <v>1661381</v>
      </c>
      <c r="AG348" s="7">
        <v>0</v>
      </c>
      <c r="AI348" s="7">
        <v>0</v>
      </c>
      <c r="AK348" s="7">
        <v>5918</v>
      </c>
      <c r="AL348" s="12" t="s">
        <v>399</v>
      </c>
      <c r="AM348" s="12"/>
      <c r="AN348" s="12" t="s">
        <v>44</v>
      </c>
      <c r="AP348" s="7">
        <f>37348+384547+125964</f>
        <v>547859</v>
      </c>
      <c r="AR348" s="7">
        <f>6704+58078</f>
        <v>64782</v>
      </c>
      <c r="AT348" s="7">
        <v>0</v>
      </c>
      <c r="AV348" s="7">
        <v>0</v>
      </c>
      <c r="AX348" s="7">
        <v>0</v>
      </c>
      <c r="AZ348" s="7">
        <v>0</v>
      </c>
      <c r="BB348" s="7">
        <f t="shared" si="76"/>
        <v>25569240</v>
      </c>
      <c r="BD348" s="7">
        <v>250000</v>
      </c>
      <c r="BF348" s="7">
        <v>0</v>
      </c>
      <c r="BH348" s="7">
        <v>0</v>
      </c>
      <c r="BJ348" s="7">
        <v>0</v>
      </c>
      <c r="BL348" s="7">
        <f t="shared" si="77"/>
        <v>25819240</v>
      </c>
      <c r="BN348" s="7">
        <f>+GenRev!AM348-GenExp!BL348</f>
        <v>46676</v>
      </c>
      <c r="BP348" s="7">
        <v>3571540</v>
      </c>
      <c r="BR348" s="7">
        <v>0</v>
      </c>
      <c r="BT348" s="7">
        <v>0</v>
      </c>
      <c r="BV348" s="7">
        <f t="shared" si="78"/>
        <v>3618216</v>
      </c>
      <c r="BX348" s="8">
        <f>+BV348-'Gen Fd BS'!AE348+BT348</f>
        <v>0</v>
      </c>
      <c r="CA348" s="7" t="s">
        <v>933</v>
      </c>
      <c r="CB348" s="7" t="str">
        <f t="shared" si="90"/>
        <v>Midview Local SD</v>
      </c>
      <c r="CC348" s="7" t="b">
        <f t="shared" si="87"/>
        <v>1</v>
      </c>
      <c r="CE348" s="12" t="str">
        <f>GenRev!A348</f>
        <v>Midview Local SD</v>
      </c>
      <c r="CF348" s="7" t="b">
        <f t="shared" si="91"/>
        <v>1</v>
      </c>
      <c r="CG348" s="7" t="str">
        <f t="shared" si="88"/>
        <v>Lorain</v>
      </c>
      <c r="CH348" s="7" t="b">
        <f t="shared" si="89"/>
        <v>1</v>
      </c>
      <c r="CI348" s="7" t="b">
        <f>C348=GenRev!C348</f>
        <v>1</v>
      </c>
    </row>
    <row r="349" spans="1:87">
      <c r="A349" s="12" t="s">
        <v>879</v>
      </c>
      <c r="B349" s="12"/>
      <c r="C349" s="12" t="s">
        <v>113</v>
      </c>
      <c r="D349" s="12"/>
      <c r="E349" s="12">
        <v>45500</v>
      </c>
      <c r="G349" s="7">
        <v>26230763</v>
      </c>
      <c r="I349" s="7">
        <v>6784922</v>
      </c>
      <c r="K349" s="7">
        <v>301770</v>
      </c>
      <c r="M349" s="7">
        <v>0</v>
      </c>
      <c r="O349" s="7">
        <v>21351</v>
      </c>
      <c r="Q349" s="7">
        <v>2141197</v>
      </c>
      <c r="S349" s="7">
        <v>3818014</v>
      </c>
      <c r="U349" s="7">
        <v>165036</v>
      </c>
      <c r="W349" s="7">
        <v>3094994</v>
      </c>
      <c r="Y349" s="7">
        <v>1271608</v>
      </c>
      <c r="AA349" s="7">
        <v>454033</v>
      </c>
      <c r="AC349" s="7">
        <v>5250471</v>
      </c>
      <c r="AE349" s="7">
        <v>4945357</v>
      </c>
      <c r="AG349" s="7">
        <v>907054</v>
      </c>
      <c r="AI349" s="7">
        <v>0</v>
      </c>
      <c r="AK349" s="7">
        <v>1282667</v>
      </c>
      <c r="AL349" s="12" t="s">
        <v>879</v>
      </c>
      <c r="AM349" s="12"/>
      <c r="AN349" s="12" t="s">
        <v>113</v>
      </c>
      <c r="AP349" s="7">
        <v>1001622</v>
      </c>
      <c r="AR349" s="7">
        <v>0</v>
      </c>
      <c r="AT349" s="7">
        <v>0</v>
      </c>
      <c r="AV349" s="7">
        <v>132451</v>
      </c>
      <c r="AX349" s="7">
        <v>27343</v>
      </c>
      <c r="AZ349" s="7">
        <v>0</v>
      </c>
      <c r="BB349" s="7">
        <f t="shared" si="76"/>
        <v>57830653</v>
      </c>
      <c r="BD349" s="7">
        <v>0</v>
      </c>
      <c r="BF349" s="7">
        <v>0</v>
      </c>
      <c r="BH349" s="7">
        <v>0</v>
      </c>
      <c r="BJ349" s="7">
        <v>0</v>
      </c>
      <c r="BL349" s="7">
        <f t="shared" si="77"/>
        <v>57830653</v>
      </c>
      <c r="BN349" s="7">
        <f>+GenRev!AM349-GenExp!BL349</f>
        <v>1291980</v>
      </c>
      <c r="BP349" s="7">
        <v>10015184</v>
      </c>
      <c r="BR349" s="7">
        <v>0</v>
      </c>
      <c r="BT349" s="7">
        <v>0</v>
      </c>
      <c r="BV349" s="7">
        <f t="shared" si="78"/>
        <v>11307164</v>
      </c>
      <c r="BX349" s="8">
        <f>+BV349-'Gen Fd BS'!AE349+BT349</f>
        <v>0</v>
      </c>
      <c r="CB349" s="7" t="str">
        <f t="shared" si="90"/>
        <v>Milford Exempted Village SD</v>
      </c>
      <c r="CC349" s="7" t="b">
        <f t="shared" si="87"/>
        <v>1</v>
      </c>
      <c r="CE349" s="12" t="str">
        <f>GenRev!A349</f>
        <v>Milford Exempted Village SD</v>
      </c>
      <c r="CF349" s="7" t="b">
        <f t="shared" si="91"/>
        <v>1</v>
      </c>
      <c r="CG349" s="7" t="str">
        <f t="shared" si="88"/>
        <v>Clermont</v>
      </c>
      <c r="CH349" s="7" t="b">
        <f t="shared" si="89"/>
        <v>1</v>
      </c>
      <c r="CI349" s="7" t="b">
        <f>C349=GenRev!C349</f>
        <v>1</v>
      </c>
    </row>
    <row r="350" spans="1:87" hidden="1">
      <c r="A350" s="12" t="s">
        <v>639</v>
      </c>
      <c r="B350" s="12"/>
      <c r="C350" s="12" t="s">
        <v>570</v>
      </c>
      <c r="D350" s="12"/>
      <c r="E350" s="12">
        <v>50633</v>
      </c>
      <c r="F350" s="10"/>
      <c r="AI350" s="7">
        <v>0</v>
      </c>
      <c r="AL350" s="12" t="s">
        <v>639</v>
      </c>
      <c r="AM350" s="12"/>
      <c r="AN350" s="12" t="s">
        <v>570</v>
      </c>
      <c r="AT350" s="7">
        <v>0</v>
      </c>
      <c r="AZ350" s="7">
        <v>0</v>
      </c>
      <c r="BB350" s="7">
        <f t="shared" si="76"/>
        <v>0</v>
      </c>
      <c r="BD350" s="7">
        <v>0</v>
      </c>
      <c r="BF350" s="7">
        <v>0</v>
      </c>
      <c r="BH350" s="7">
        <v>0</v>
      </c>
      <c r="BJ350" s="7">
        <v>0</v>
      </c>
      <c r="BL350" s="7">
        <f t="shared" si="77"/>
        <v>0</v>
      </c>
      <c r="BN350" s="7">
        <f>+GenRev!AM350-GenExp!BL350</f>
        <v>0</v>
      </c>
      <c r="BR350" s="7">
        <v>0</v>
      </c>
      <c r="BT350" s="7">
        <v>0</v>
      </c>
      <c r="BV350" s="7">
        <f t="shared" si="78"/>
        <v>0</v>
      </c>
      <c r="BX350" s="8">
        <f>+BV350-'Gen Fd BS'!AE350+BT350</f>
        <v>0</v>
      </c>
      <c r="CA350" s="7" t="s">
        <v>839</v>
      </c>
      <c r="CB350" s="7" t="str">
        <f t="shared" si="90"/>
        <v>Millcreek-West Unity Local SD (CASH)</v>
      </c>
      <c r="CC350" s="7" t="b">
        <f t="shared" si="87"/>
        <v>1</v>
      </c>
      <c r="CE350" s="12" t="str">
        <f>GenRev!A350</f>
        <v>Millcreek-West Unity Local SD (CASH)</v>
      </c>
      <c r="CF350" s="7" t="b">
        <f t="shared" si="91"/>
        <v>1</v>
      </c>
      <c r="CG350" s="7" t="str">
        <f t="shared" si="88"/>
        <v>Williams</v>
      </c>
      <c r="CH350" s="7" t="b">
        <f t="shared" si="89"/>
        <v>1</v>
      </c>
      <c r="CI350" s="7" t="b">
        <f>C350=GenRev!C350</f>
        <v>1</v>
      </c>
    </row>
    <row r="351" spans="1:87" hidden="1">
      <c r="A351" s="12" t="s">
        <v>934</v>
      </c>
      <c r="B351" s="12"/>
      <c r="C351" s="12" t="s">
        <v>482</v>
      </c>
      <c r="D351" s="12"/>
      <c r="E351" s="12">
        <v>49361</v>
      </c>
      <c r="AI351" s="7">
        <v>0</v>
      </c>
      <c r="AL351" s="12" t="s">
        <v>934</v>
      </c>
      <c r="AM351" s="12"/>
      <c r="AN351" s="12" t="s">
        <v>482</v>
      </c>
      <c r="AT351" s="7">
        <v>0</v>
      </c>
      <c r="AZ351" s="7">
        <v>0</v>
      </c>
      <c r="BB351" s="7">
        <f t="shared" si="76"/>
        <v>0</v>
      </c>
      <c r="BD351" s="7">
        <v>0</v>
      </c>
      <c r="BF351" s="7">
        <v>0</v>
      </c>
      <c r="BH351" s="7">
        <v>0</v>
      </c>
      <c r="BJ351" s="7">
        <v>0</v>
      </c>
      <c r="BL351" s="7">
        <f t="shared" si="77"/>
        <v>0</v>
      </c>
      <c r="BN351" s="7">
        <f>+GenRev!AM351-GenExp!BL351</f>
        <v>0</v>
      </c>
      <c r="BR351" s="7">
        <v>0</v>
      </c>
      <c r="BT351" s="7">
        <v>0</v>
      </c>
      <c r="BV351" s="7">
        <f t="shared" si="78"/>
        <v>0</v>
      </c>
      <c r="BX351" s="8">
        <f>+BV351-'Gen Fd BS'!AE351+BT351</f>
        <v>0</v>
      </c>
      <c r="CA351" s="7" t="s">
        <v>839</v>
      </c>
      <c r="CB351" s="7" t="str">
        <f t="shared" si="90"/>
        <v>Miller City-New Cleveland Local (Two year Audit - CASH)</v>
      </c>
      <c r="CC351" s="7" t="b">
        <f t="shared" si="87"/>
        <v>1</v>
      </c>
      <c r="CE351" s="12" t="str">
        <f>GenRev!A351</f>
        <v>Miller City-New Cleveland Local (Two year Audit - CASH)</v>
      </c>
      <c r="CF351" s="7" t="b">
        <f t="shared" si="91"/>
        <v>1</v>
      </c>
      <c r="CG351" s="7" t="str">
        <f t="shared" si="88"/>
        <v>Putnam</v>
      </c>
      <c r="CH351" s="7" t="b">
        <f t="shared" si="89"/>
        <v>1</v>
      </c>
      <c r="CI351" s="7" t="b">
        <f>C351=GenRev!C351</f>
        <v>1</v>
      </c>
    </row>
    <row r="352" spans="1:87" hidden="1">
      <c r="A352" s="12" t="s">
        <v>935</v>
      </c>
      <c r="B352" s="12"/>
      <c r="C352" s="12" t="s">
        <v>48</v>
      </c>
      <c r="D352" s="12"/>
      <c r="E352" s="12">
        <v>45518</v>
      </c>
      <c r="AI352" s="7">
        <v>0</v>
      </c>
      <c r="AL352" s="12" t="s">
        <v>935</v>
      </c>
      <c r="AM352" s="12"/>
      <c r="AN352" s="12" t="s">
        <v>48</v>
      </c>
      <c r="AT352" s="7">
        <v>0</v>
      </c>
      <c r="AZ352" s="7">
        <v>0</v>
      </c>
      <c r="BB352" s="7">
        <f t="shared" si="76"/>
        <v>0</v>
      </c>
      <c r="BD352" s="7">
        <v>0</v>
      </c>
      <c r="BF352" s="7">
        <v>0</v>
      </c>
      <c r="BH352" s="7">
        <v>0</v>
      </c>
      <c r="BJ352" s="7">
        <v>0</v>
      </c>
      <c r="BL352" s="7">
        <f t="shared" si="77"/>
        <v>0</v>
      </c>
      <c r="BN352" s="7">
        <f>+GenRev!AM352-GenExp!BL352</f>
        <v>0</v>
      </c>
      <c r="BR352" s="7">
        <v>0</v>
      </c>
      <c r="BT352" s="7">
        <v>0</v>
      </c>
      <c r="BV352" s="7">
        <f t="shared" si="78"/>
        <v>0</v>
      </c>
      <c r="BX352" s="8">
        <f>+BV352-'Gen Fd BS'!AE352+BT352</f>
        <v>0</v>
      </c>
      <c r="CA352" s="7" t="s">
        <v>903</v>
      </c>
      <c r="CB352" s="7" t="str">
        <f t="shared" si="90"/>
        <v>Milton-Union Exempted Village SD (CASH)</v>
      </c>
      <c r="CC352" s="7" t="b">
        <f t="shared" si="87"/>
        <v>1</v>
      </c>
      <c r="CE352" s="12" t="str">
        <f>GenRev!A352</f>
        <v>Milton-Union Exempted Village SD (CASH)</v>
      </c>
      <c r="CF352" s="7" t="b">
        <f t="shared" si="91"/>
        <v>1</v>
      </c>
      <c r="CG352" s="7" t="str">
        <f t="shared" si="88"/>
        <v>Miami</v>
      </c>
      <c r="CH352" s="7" t="b">
        <f t="shared" si="89"/>
        <v>1</v>
      </c>
      <c r="CI352" s="7" t="b">
        <f>C352=GenRev!C352</f>
        <v>1</v>
      </c>
    </row>
    <row r="353" spans="1:87">
      <c r="A353" s="12" t="s">
        <v>517</v>
      </c>
      <c r="B353" s="12"/>
      <c r="C353" s="12" t="s">
        <v>62</v>
      </c>
      <c r="D353" s="12"/>
      <c r="E353" s="12">
        <v>49890</v>
      </c>
      <c r="G353" s="7">
        <v>8086739</v>
      </c>
      <c r="I353" s="7">
        <v>1555676</v>
      </c>
      <c r="K353" s="7">
        <v>6431</v>
      </c>
      <c r="M353" s="7">
        <v>4666</v>
      </c>
      <c r="O353" s="7">
        <v>0</v>
      </c>
      <c r="Q353" s="7">
        <v>717994</v>
      </c>
      <c r="S353" s="7">
        <v>798030</v>
      </c>
      <c r="U353" s="7">
        <v>87886</v>
      </c>
      <c r="W353" s="7">
        <v>826067</v>
      </c>
      <c r="Y353" s="7">
        <v>456339</v>
      </c>
      <c r="AA353" s="7">
        <v>109088</v>
      </c>
      <c r="AC353" s="7">
        <v>1130353</v>
      </c>
      <c r="AE353" s="7">
        <v>894306</v>
      </c>
      <c r="AG353" s="7">
        <v>8816</v>
      </c>
      <c r="AI353" s="7">
        <v>0</v>
      </c>
      <c r="AK353" s="7">
        <v>1669</v>
      </c>
      <c r="AL353" s="12" t="s">
        <v>517</v>
      </c>
      <c r="AM353" s="12"/>
      <c r="AN353" s="12" t="s">
        <v>62</v>
      </c>
      <c r="AP353" s="7">
        <v>345185</v>
      </c>
      <c r="AR353" s="7">
        <v>221271</v>
      </c>
      <c r="AT353" s="7">
        <v>0</v>
      </c>
      <c r="AV353" s="7">
        <v>121125</v>
      </c>
      <c r="AX353" s="7">
        <v>6200</v>
      </c>
      <c r="AZ353" s="7">
        <v>0</v>
      </c>
      <c r="BB353" s="7">
        <f t="shared" si="76"/>
        <v>15377841</v>
      </c>
      <c r="BD353" s="7">
        <v>0</v>
      </c>
      <c r="BF353" s="7">
        <v>0</v>
      </c>
      <c r="BH353" s="7">
        <v>0</v>
      </c>
      <c r="BJ353" s="7">
        <v>0</v>
      </c>
      <c r="BL353" s="7">
        <f t="shared" si="77"/>
        <v>15377841</v>
      </c>
      <c r="BN353" s="7">
        <f>+GenRev!AM353-GenExp!BL353</f>
        <v>1573213</v>
      </c>
      <c r="BP353" s="7">
        <v>-1524765</v>
      </c>
      <c r="BR353" s="7">
        <v>0</v>
      </c>
      <c r="BT353" s="7">
        <v>0</v>
      </c>
      <c r="BV353" s="7">
        <f t="shared" si="78"/>
        <v>48448</v>
      </c>
      <c r="BX353" s="8">
        <f>+BV353-'Gen Fd BS'!AE353+BT353</f>
        <v>0</v>
      </c>
      <c r="CB353" s="7" t="str">
        <f t="shared" si="90"/>
        <v>Minerva Local SD</v>
      </c>
      <c r="CC353" s="7" t="b">
        <f t="shared" si="87"/>
        <v>1</v>
      </c>
      <c r="CE353" s="12" t="str">
        <f>GenRev!A353</f>
        <v>Minerva Local SD</v>
      </c>
      <c r="CF353" s="7" t="b">
        <f t="shared" si="91"/>
        <v>1</v>
      </c>
      <c r="CG353" s="7" t="str">
        <f t="shared" si="88"/>
        <v>Stark</v>
      </c>
      <c r="CH353" s="7" t="b">
        <f t="shared" si="89"/>
        <v>1</v>
      </c>
      <c r="CI353" s="7" t="b">
        <f>C353=GenRev!C353</f>
        <v>1</v>
      </c>
    </row>
    <row r="354" spans="1:87">
      <c r="A354" s="12" t="s">
        <v>497</v>
      </c>
      <c r="B354" s="12"/>
      <c r="C354" s="12" t="s">
        <v>59</v>
      </c>
      <c r="D354" s="12"/>
      <c r="E354" s="12">
        <v>49627</v>
      </c>
      <c r="G354" s="7">
        <v>6737590</v>
      </c>
      <c r="I354" s="7">
        <v>1210286</v>
      </c>
      <c r="K354" s="7">
        <v>200799</v>
      </c>
      <c r="M354" s="7">
        <v>0</v>
      </c>
      <c r="O354" s="7">
        <v>0</v>
      </c>
      <c r="Q354" s="7">
        <v>218898</v>
      </c>
      <c r="S354" s="7">
        <v>366288</v>
      </c>
      <c r="U354" s="7">
        <v>65713</v>
      </c>
      <c r="W354" s="7">
        <v>976647</v>
      </c>
      <c r="Y354" s="7">
        <v>287350</v>
      </c>
      <c r="AA354" s="7">
        <v>0</v>
      </c>
      <c r="AC354" s="7">
        <v>899677</v>
      </c>
      <c r="AE354" s="7">
        <v>1224219</v>
      </c>
      <c r="AG354" s="7">
        <v>6358</v>
      </c>
      <c r="AI354" s="7">
        <v>0</v>
      </c>
      <c r="AK354" s="7">
        <v>0</v>
      </c>
      <c r="AL354" s="12" t="s">
        <v>497</v>
      </c>
      <c r="AM354" s="12"/>
      <c r="AN354" s="12" t="s">
        <v>59</v>
      </c>
      <c r="AP354" s="7">
        <v>412225</v>
      </c>
      <c r="AR354" s="7">
        <v>422947</v>
      </c>
      <c r="AT354" s="7">
        <v>0</v>
      </c>
      <c r="AV354" s="7">
        <v>257176</v>
      </c>
      <c r="AX354" s="7">
        <v>83338</v>
      </c>
      <c r="AZ354" s="7">
        <v>0</v>
      </c>
      <c r="BB354" s="7">
        <f t="shared" si="76"/>
        <v>13369511</v>
      </c>
      <c r="BD354" s="7">
        <v>0</v>
      </c>
      <c r="BF354" s="7">
        <v>0</v>
      </c>
      <c r="BH354" s="7">
        <v>0</v>
      </c>
      <c r="BJ354" s="7">
        <v>0</v>
      </c>
      <c r="BL354" s="7">
        <f t="shared" si="77"/>
        <v>13369511</v>
      </c>
      <c r="BN354" s="7">
        <f>+GenRev!AM354-GenExp!BL354</f>
        <v>-394183</v>
      </c>
      <c r="BP354" s="7">
        <v>465424</v>
      </c>
      <c r="BR354" s="7">
        <v>0</v>
      </c>
      <c r="BT354" s="7">
        <v>0</v>
      </c>
      <c r="BV354" s="7">
        <f t="shared" si="78"/>
        <v>71241</v>
      </c>
      <c r="BX354" s="8">
        <f>+BV354-'Gen Fd BS'!AE354+BT354</f>
        <v>0</v>
      </c>
      <c r="CB354" s="7" t="str">
        <f t="shared" si="90"/>
        <v>Minford Local SD</v>
      </c>
      <c r="CC354" s="7" t="b">
        <f t="shared" si="87"/>
        <v>1</v>
      </c>
      <c r="CE354" s="12" t="str">
        <f>GenRev!A354</f>
        <v>Minford Local SD</v>
      </c>
      <c r="CF354" s="7" t="b">
        <f t="shared" si="91"/>
        <v>1</v>
      </c>
      <c r="CG354" s="7" t="str">
        <f t="shared" si="88"/>
        <v>Scioto</v>
      </c>
      <c r="CH354" s="7" t="b">
        <f t="shared" si="89"/>
        <v>1</v>
      </c>
      <c r="CI354" s="7" t="b">
        <f>C354=GenRev!C354</f>
        <v>1</v>
      </c>
    </row>
    <row r="355" spans="1:87">
      <c r="A355" s="12" t="s">
        <v>214</v>
      </c>
      <c r="B355" s="12"/>
      <c r="C355" s="12" t="s">
        <v>14</v>
      </c>
      <c r="D355" s="12"/>
      <c r="E355" s="12">
        <v>45948</v>
      </c>
      <c r="G355" s="7">
        <v>4038571</v>
      </c>
      <c r="I355" s="7">
        <v>473895</v>
      </c>
      <c r="K355" s="7">
        <v>174867</v>
      </c>
      <c r="M355" s="7">
        <v>0</v>
      </c>
      <c r="O355" s="7">
        <v>0</v>
      </c>
      <c r="Q355" s="7">
        <v>630754</v>
      </c>
      <c r="S355" s="7">
        <v>273100</v>
      </c>
      <c r="U355" s="7">
        <v>31834</v>
      </c>
      <c r="W355" s="7">
        <v>666796</v>
      </c>
      <c r="Y355" s="7">
        <v>197880</v>
      </c>
      <c r="AA355" s="7">
        <v>0</v>
      </c>
      <c r="AC355" s="7">
        <v>792109</v>
      </c>
      <c r="AE355" s="7">
        <v>209328</v>
      </c>
      <c r="AG355" s="7">
        <v>38096</v>
      </c>
      <c r="AI355" s="7">
        <v>0</v>
      </c>
      <c r="AK355" s="7">
        <v>5135</v>
      </c>
      <c r="AL355" s="12" t="s">
        <v>214</v>
      </c>
      <c r="AM355" s="12"/>
      <c r="AN355" s="12" t="s">
        <v>14</v>
      </c>
      <c r="AP355" s="7">
        <v>220491</v>
      </c>
      <c r="AR355" s="7">
        <v>0</v>
      </c>
      <c r="AT355" s="7">
        <v>0</v>
      </c>
      <c r="AV355" s="7">
        <v>0</v>
      </c>
      <c r="AX355" s="7">
        <v>0</v>
      </c>
      <c r="AZ355" s="7">
        <v>0</v>
      </c>
      <c r="BB355" s="7">
        <f t="shared" si="76"/>
        <v>7752856</v>
      </c>
      <c r="BD355" s="7">
        <v>0</v>
      </c>
      <c r="BF355" s="7">
        <v>0</v>
      </c>
      <c r="BH355" s="7">
        <v>0</v>
      </c>
      <c r="BJ355" s="7">
        <v>0</v>
      </c>
      <c r="BL355" s="7">
        <f t="shared" si="77"/>
        <v>7752856</v>
      </c>
      <c r="BN355" s="7">
        <f>+GenRev!AM355-GenExp!BL355</f>
        <v>-50599</v>
      </c>
      <c r="BP355" s="7">
        <v>287113</v>
      </c>
      <c r="BR355" s="7">
        <v>0</v>
      </c>
      <c r="BT355" s="7">
        <v>0</v>
      </c>
      <c r="BV355" s="7">
        <f t="shared" si="78"/>
        <v>236514</v>
      </c>
      <c r="BX355" s="8">
        <f>+BV355-'Gen Fd BS'!AE355+BT355</f>
        <v>0</v>
      </c>
      <c r="CB355" s="7" t="str">
        <f t="shared" si="90"/>
        <v>Minster Local SD</v>
      </c>
      <c r="CC355" s="7" t="b">
        <f t="shared" si="87"/>
        <v>1</v>
      </c>
      <c r="CE355" s="12" t="str">
        <f>GenRev!A355</f>
        <v>Minster Local SD</v>
      </c>
      <c r="CF355" s="7" t="b">
        <f t="shared" si="91"/>
        <v>1</v>
      </c>
      <c r="CG355" s="7" t="str">
        <f t="shared" si="88"/>
        <v>Auglaize</v>
      </c>
      <c r="CH355" s="7" t="b">
        <f t="shared" si="89"/>
        <v>1</v>
      </c>
      <c r="CI355" s="7" t="b">
        <f>C355=GenRev!C355</f>
        <v>1</v>
      </c>
    </row>
    <row r="356" spans="1:87" hidden="1">
      <c r="A356" s="12" t="s">
        <v>669</v>
      </c>
      <c r="B356" s="12"/>
      <c r="C356" s="12" t="s">
        <v>21</v>
      </c>
      <c r="D356" s="12"/>
      <c r="E356" s="12">
        <v>46672</v>
      </c>
      <c r="AI356" s="7">
        <v>0</v>
      </c>
      <c r="AL356" s="12" t="s">
        <v>669</v>
      </c>
      <c r="AM356" s="12"/>
      <c r="AN356" s="12" t="s">
        <v>21</v>
      </c>
      <c r="AT356" s="7">
        <v>0</v>
      </c>
      <c r="AV356" s="7">
        <v>0</v>
      </c>
      <c r="AX356" s="7">
        <v>0</v>
      </c>
      <c r="AZ356" s="7">
        <v>0</v>
      </c>
      <c r="BB356" s="7">
        <f t="shared" si="76"/>
        <v>0</v>
      </c>
      <c r="BF356" s="7">
        <v>0</v>
      </c>
      <c r="BH356" s="7">
        <v>0</v>
      </c>
      <c r="BJ356" s="7">
        <v>0</v>
      </c>
      <c r="BL356" s="7">
        <f t="shared" si="77"/>
        <v>0</v>
      </c>
      <c r="BN356" s="7">
        <f>+GenRev!AM356-GenExp!BL356</f>
        <v>0</v>
      </c>
      <c r="BR356" s="7">
        <v>0</v>
      </c>
      <c r="BT356" s="7">
        <v>0</v>
      </c>
      <c r="BV356" s="7">
        <f t="shared" si="78"/>
        <v>0</v>
      </c>
      <c r="BX356" s="8">
        <f>+BV356-'Gen Fd BS'!AE356+BT356</f>
        <v>0</v>
      </c>
      <c r="CA356" s="7" t="s">
        <v>839</v>
      </c>
      <c r="CB356" s="7" t="str">
        <f t="shared" si="90"/>
        <v>Mississinawa Valley Local SD  (CASH)</v>
      </c>
      <c r="CC356" s="7" t="b">
        <f t="shared" si="87"/>
        <v>1</v>
      </c>
      <c r="CE356" s="12" t="str">
        <f>GenRev!A356</f>
        <v>Mississinawa Valley Local SD  (CASH)</v>
      </c>
      <c r="CF356" s="7" t="b">
        <f t="shared" si="91"/>
        <v>1</v>
      </c>
      <c r="CG356" s="7" t="str">
        <f t="shared" si="88"/>
        <v>Darke</v>
      </c>
      <c r="CH356" s="7" t="b">
        <f t="shared" si="89"/>
        <v>1</v>
      </c>
      <c r="CI356" s="7" t="b">
        <f>C356=GenRev!C356</f>
        <v>1</v>
      </c>
    </row>
    <row r="357" spans="1:87">
      <c r="A357" s="12" t="s">
        <v>526</v>
      </c>
      <c r="B357" s="12"/>
      <c r="C357" s="12" t="s">
        <v>63</v>
      </c>
      <c r="D357" s="12"/>
      <c r="E357" s="12">
        <v>50039</v>
      </c>
      <c r="G357" s="7">
        <v>4230477</v>
      </c>
      <c r="I357" s="7">
        <v>820973</v>
      </c>
      <c r="K357" s="7">
        <v>98911</v>
      </c>
      <c r="M357" s="7">
        <v>0</v>
      </c>
      <c r="O357" s="7">
        <f>420405+221705</f>
        <v>642110</v>
      </c>
      <c r="Q357" s="7">
        <v>372129</v>
      </c>
      <c r="S357" s="7">
        <v>402486</v>
      </c>
      <c r="U357" s="7">
        <v>44845</v>
      </c>
      <c r="W357" s="7">
        <v>618089</v>
      </c>
      <c r="Y357" s="7">
        <v>318225</v>
      </c>
      <c r="AA357" s="7">
        <v>366</v>
      </c>
      <c r="AC357" s="7">
        <v>709285</v>
      </c>
      <c r="AE357" s="7">
        <v>400265</v>
      </c>
      <c r="AG357" s="7">
        <v>33741</v>
      </c>
      <c r="AI357" s="7">
        <v>0</v>
      </c>
      <c r="AK357" s="7">
        <v>0</v>
      </c>
      <c r="AL357" s="12" t="s">
        <v>526</v>
      </c>
      <c r="AM357" s="12"/>
      <c r="AN357" s="12" t="s">
        <v>63</v>
      </c>
      <c r="AP357" s="7">
        <v>237090</v>
      </c>
      <c r="AR357" s="7">
        <v>6500</v>
      </c>
      <c r="AT357" s="7">
        <v>0</v>
      </c>
      <c r="AV357" s="7">
        <v>0</v>
      </c>
      <c r="AX357" s="7">
        <v>0</v>
      </c>
      <c r="AZ357" s="7">
        <v>0</v>
      </c>
      <c r="BB357" s="7">
        <f t="shared" si="76"/>
        <v>8935492</v>
      </c>
      <c r="BD357" s="7">
        <v>41549</v>
      </c>
      <c r="BF357" s="7">
        <v>0</v>
      </c>
      <c r="BH357" s="7">
        <v>0</v>
      </c>
      <c r="BJ357" s="7">
        <v>0</v>
      </c>
      <c r="BL357" s="7">
        <f t="shared" si="77"/>
        <v>8977041</v>
      </c>
      <c r="BN357" s="7">
        <f>+GenRev!AM357-GenExp!BL357</f>
        <v>-1060047</v>
      </c>
      <c r="BP357" s="7">
        <v>3882533</v>
      </c>
      <c r="BR357" s="7">
        <v>0</v>
      </c>
      <c r="BT357" s="7">
        <v>0</v>
      </c>
      <c r="BV357" s="7">
        <f t="shared" si="78"/>
        <v>2822486</v>
      </c>
      <c r="BX357" s="8">
        <f>+BV357-'Gen Fd BS'!AE357+BT357</f>
        <v>0</v>
      </c>
      <c r="CB357" s="7" t="str">
        <f t="shared" si="90"/>
        <v>Mogadore Local SD</v>
      </c>
      <c r="CC357" s="7" t="b">
        <f t="shared" si="87"/>
        <v>1</v>
      </c>
      <c r="CE357" s="12" t="str">
        <f>GenRev!A357</f>
        <v>Mogadore Local SD</v>
      </c>
      <c r="CF357" s="7" t="b">
        <f t="shared" si="91"/>
        <v>1</v>
      </c>
      <c r="CG357" s="7" t="str">
        <f t="shared" si="88"/>
        <v>Summit</v>
      </c>
      <c r="CH357" s="7" t="b">
        <f t="shared" si="89"/>
        <v>1</v>
      </c>
      <c r="CI357" s="7" t="b">
        <f>C357=GenRev!C357</f>
        <v>1</v>
      </c>
    </row>
    <row r="358" spans="1:87" hidden="1">
      <c r="A358" s="12" t="s">
        <v>648</v>
      </c>
      <c r="B358" s="12"/>
      <c r="C358" s="12" t="s">
        <v>577</v>
      </c>
      <c r="D358" s="12"/>
      <c r="E358" s="12">
        <v>50740</v>
      </c>
      <c r="AI358" s="7">
        <v>0</v>
      </c>
      <c r="AK358" s="7">
        <v>0</v>
      </c>
      <c r="AL358" s="12" t="s">
        <v>648</v>
      </c>
      <c r="AM358" s="12"/>
      <c r="AN358" s="12" t="s">
        <v>577</v>
      </c>
      <c r="AT358" s="7">
        <v>0</v>
      </c>
      <c r="AZ358" s="7">
        <v>0</v>
      </c>
      <c r="BB358" s="7">
        <f t="shared" si="76"/>
        <v>0</v>
      </c>
      <c r="BF358" s="7">
        <v>0</v>
      </c>
      <c r="BH358" s="7">
        <v>0</v>
      </c>
      <c r="BJ358" s="7">
        <v>0</v>
      </c>
      <c r="BL358" s="7">
        <f t="shared" si="77"/>
        <v>0</v>
      </c>
      <c r="BN358" s="7">
        <f>+GenRev!AM358-GenExp!BL358</f>
        <v>0</v>
      </c>
      <c r="BR358" s="7">
        <v>0</v>
      </c>
      <c r="BT358" s="7">
        <v>0</v>
      </c>
      <c r="BV358" s="7">
        <f t="shared" ref="BV358:BV379" si="98">+BP358+BN358-BR358</f>
        <v>0</v>
      </c>
      <c r="BX358" s="8">
        <f>+BV358-'Gen Fd BS'!AE358+BT358</f>
        <v>0</v>
      </c>
      <c r="CA358" s="7" t="s">
        <v>839</v>
      </c>
      <c r="CB358" s="7" t="str">
        <f t="shared" si="90"/>
        <v>Mohawk Local SD (CASH)</v>
      </c>
      <c r="CC358" s="7" t="b">
        <f t="shared" si="87"/>
        <v>1</v>
      </c>
      <c r="CE358" s="12" t="str">
        <f>GenRev!A358</f>
        <v>Mohawk Local SD (CASH)</v>
      </c>
      <c r="CF358" s="7" t="b">
        <f t="shared" si="91"/>
        <v>1</v>
      </c>
      <c r="CG358" s="7" t="str">
        <f t="shared" si="88"/>
        <v>Wyandot</v>
      </c>
      <c r="CH358" s="7" t="b">
        <f t="shared" si="89"/>
        <v>1</v>
      </c>
      <c r="CI358" s="7" t="b">
        <f>C358=GenRev!C358</f>
        <v>1</v>
      </c>
    </row>
    <row r="359" spans="1:87" ht="12.75" customHeight="1">
      <c r="A359" s="12" t="s">
        <v>229</v>
      </c>
      <c r="B359" s="12"/>
      <c r="C359" s="12" t="s">
        <v>223</v>
      </c>
      <c r="D359" s="12"/>
      <c r="E359" s="12">
        <v>139303</v>
      </c>
      <c r="G359" s="7">
        <v>9344814</v>
      </c>
      <c r="I359" s="7">
        <v>1644503</v>
      </c>
      <c r="K359" s="7">
        <v>0</v>
      </c>
      <c r="M359" s="7">
        <v>0</v>
      </c>
      <c r="O359" s="7">
        <v>0</v>
      </c>
      <c r="Q359" s="7">
        <v>777199</v>
      </c>
      <c r="S359" s="7">
        <v>896604</v>
      </c>
      <c r="U359" s="7">
        <v>78101</v>
      </c>
      <c r="W359" s="7">
        <v>1642744</v>
      </c>
      <c r="Y359" s="7">
        <v>571205</v>
      </c>
      <c r="AA359" s="7">
        <v>124430</v>
      </c>
      <c r="AC359" s="7">
        <v>1642508</v>
      </c>
      <c r="AE359" s="7">
        <v>1583444</v>
      </c>
      <c r="AG359" s="7">
        <v>363279</v>
      </c>
      <c r="AI359" s="7">
        <v>0</v>
      </c>
      <c r="AK359" s="7">
        <v>0</v>
      </c>
      <c r="AL359" s="12" t="s">
        <v>229</v>
      </c>
      <c r="AM359" s="12"/>
      <c r="AN359" s="12" t="s">
        <v>223</v>
      </c>
      <c r="AP359" s="7">
        <v>55274</v>
      </c>
      <c r="AR359" s="7">
        <v>0</v>
      </c>
      <c r="AT359" s="7">
        <v>0</v>
      </c>
      <c r="AV359" s="7">
        <v>215355</v>
      </c>
      <c r="AX359" s="7">
        <v>182181</v>
      </c>
      <c r="AZ359" s="7">
        <v>0</v>
      </c>
      <c r="BB359" s="7">
        <f t="shared" si="76"/>
        <v>19121641</v>
      </c>
      <c r="BD359" s="7">
        <v>706282</v>
      </c>
      <c r="BF359" s="7">
        <v>0</v>
      </c>
      <c r="BH359" s="7">
        <v>0</v>
      </c>
      <c r="BJ359" s="7">
        <v>0</v>
      </c>
      <c r="BL359" s="7">
        <f t="shared" si="77"/>
        <v>19827923</v>
      </c>
      <c r="BN359" s="7">
        <f>+GenRev!AM359-GenExp!BL359</f>
        <v>-2372793</v>
      </c>
      <c r="BP359" s="7">
        <v>-3427471</v>
      </c>
      <c r="BR359" s="7">
        <v>0</v>
      </c>
      <c r="BT359" s="7">
        <v>0</v>
      </c>
      <c r="BV359" s="7">
        <f t="shared" si="98"/>
        <v>-5800264</v>
      </c>
      <c r="BX359" s="8">
        <f>+BV359-'Gen Fd BS'!AE359+BT359</f>
        <v>0</v>
      </c>
      <c r="CA359" s="7" t="s">
        <v>936</v>
      </c>
      <c r="CB359" s="7" t="str">
        <f t="shared" si="90"/>
        <v>Monroe Local SD</v>
      </c>
      <c r="CC359" s="7" t="b">
        <f t="shared" si="87"/>
        <v>1</v>
      </c>
      <c r="CE359" s="12" t="str">
        <f>GenRev!A359</f>
        <v>Monroe Local SD</v>
      </c>
      <c r="CF359" s="7" t="b">
        <f t="shared" si="91"/>
        <v>1</v>
      </c>
      <c r="CG359" s="7" t="str">
        <f t="shared" si="88"/>
        <v>Butler</v>
      </c>
      <c r="CH359" s="7" t="b">
        <f t="shared" si="89"/>
        <v>1</v>
      </c>
      <c r="CI359" s="7" t="b">
        <f>C359=GenRev!C359</f>
        <v>1</v>
      </c>
    </row>
    <row r="360" spans="1:87" s="32" customFormat="1">
      <c r="A360" s="31" t="s">
        <v>366</v>
      </c>
      <c r="B360" s="31"/>
      <c r="C360" s="31" t="s">
        <v>37</v>
      </c>
      <c r="D360" s="31"/>
      <c r="E360" s="31">
        <v>47712</v>
      </c>
      <c r="G360" s="32">
        <v>3236598</v>
      </c>
      <c r="I360" s="32">
        <v>386686</v>
      </c>
      <c r="K360" s="32">
        <v>176973</v>
      </c>
      <c r="M360" s="32">
        <v>0</v>
      </c>
      <c r="O360" s="32">
        <v>0</v>
      </c>
      <c r="Q360" s="32">
        <v>107163</v>
      </c>
      <c r="S360" s="32">
        <v>334847</v>
      </c>
      <c r="U360" s="32">
        <v>31392</v>
      </c>
      <c r="W360" s="32">
        <v>501104</v>
      </c>
      <c r="Y360" s="32">
        <v>291661</v>
      </c>
      <c r="AA360" s="32">
        <v>470</v>
      </c>
      <c r="AC360" s="32">
        <v>393358</v>
      </c>
      <c r="AE360" s="32">
        <v>335300</v>
      </c>
      <c r="AG360" s="32">
        <v>1382</v>
      </c>
      <c r="AI360" s="32">
        <v>0</v>
      </c>
      <c r="AK360" s="32">
        <v>0</v>
      </c>
      <c r="AL360" s="31" t="s">
        <v>366</v>
      </c>
      <c r="AM360" s="31"/>
      <c r="AN360" s="31" t="s">
        <v>37</v>
      </c>
      <c r="AP360" s="32">
        <v>147482</v>
      </c>
      <c r="AR360" s="32">
        <v>89791</v>
      </c>
      <c r="AT360" s="32">
        <v>0</v>
      </c>
      <c r="AV360" s="32">
        <v>53903</v>
      </c>
      <c r="AX360" s="32">
        <v>5818</v>
      </c>
      <c r="AZ360" s="32">
        <v>0</v>
      </c>
      <c r="BB360" s="32">
        <f t="shared" si="76"/>
        <v>6093928</v>
      </c>
      <c r="BD360" s="32">
        <v>761</v>
      </c>
      <c r="BF360" s="32">
        <v>0</v>
      </c>
      <c r="BH360" s="32">
        <v>0</v>
      </c>
      <c r="BJ360" s="32">
        <v>0</v>
      </c>
      <c r="BL360" s="32">
        <f t="shared" si="77"/>
        <v>6094689</v>
      </c>
      <c r="BN360" s="32">
        <f>+GenRev!AM360-GenExp!BL360</f>
        <v>246895</v>
      </c>
      <c r="BP360" s="32">
        <v>491292</v>
      </c>
      <c r="BR360" s="32">
        <v>0</v>
      </c>
      <c r="BT360" s="32">
        <v>0</v>
      </c>
      <c r="BV360" s="32">
        <f t="shared" si="98"/>
        <v>738187</v>
      </c>
      <c r="BX360" s="36">
        <f>+BV360-'Gen Fd BS'!AE360+BT360</f>
        <v>0</v>
      </c>
      <c r="CB360" s="32" t="str">
        <f t="shared" si="90"/>
        <v>Monroeville Local SD</v>
      </c>
      <c r="CC360" s="32" t="b">
        <f t="shared" si="87"/>
        <v>1</v>
      </c>
      <c r="CE360" s="31" t="str">
        <f>GenRev!A360</f>
        <v>Monroeville Local SD</v>
      </c>
      <c r="CF360" s="32" t="b">
        <f t="shared" si="91"/>
        <v>1</v>
      </c>
      <c r="CG360" s="32" t="str">
        <f t="shared" si="88"/>
        <v>Huron</v>
      </c>
      <c r="CH360" s="32" t="b">
        <f t="shared" si="89"/>
        <v>1</v>
      </c>
      <c r="CI360" s="32" t="b">
        <f>C360=GenRev!C360</f>
        <v>1</v>
      </c>
    </row>
    <row r="361" spans="1:87" hidden="1">
      <c r="A361" s="12" t="s">
        <v>937</v>
      </c>
      <c r="B361" s="12"/>
      <c r="C361" s="12" t="s">
        <v>570</v>
      </c>
      <c r="D361" s="12"/>
      <c r="E361" s="12">
        <v>45526</v>
      </c>
      <c r="AI361" s="7">
        <v>0</v>
      </c>
      <c r="AK361" s="7">
        <v>0</v>
      </c>
      <c r="AL361" s="12" t="s">
        <v>937</v>
      </c>
      <c r="AM361" s="12"/>
      <c r="AN361" s="12" t="s">
        <v>570</v>
      </c>
      <c r="AT361" s="7">
        <v>0</v>
      </c>
      <c r="AZ361" s="7">
        <v>0</v>
      </c>
      <c r="BB361" s="7">
        <f t="shared" si="76"/>
        <v>0</v>
      </c>
      <c r="BF361" s="7">
        <v>0</v>
      </c>
      <c r="BH361" s="7">
        <v>0</v>
      </c>
      <c r="BJ361" s="7">
        <v>0</v>
      </c>
      <c r="BL361" s="7">
        <f t="shared" si="77"/>
        <v>0</v>
      </c>
      <c r="BN361" s="7">
        <f>+GenRev!AM361-GenExp!BL361</f>
        <v>0</v>
      </c>
      <c r="BR361" s="7">
        <v>0</v>
      </c>
      <c r="BT361" s="7">
        <v>0</v>
      </c>
      <c r="BV361" s="7">
        <f t="shared" si="98"/>
        <v>0</v>
      </c>
      <c r="BX361" s="8">
        <f>+BV361-'Gen Fd BS'!AE361+BT361</f>
        <v>0</v>
      </c>
      <c r="CA361" s="7" t="s">
        <v>912</v>
      </c>
      <c r="CB361" s="7" t="str">
        <f t="shared" si="90"/>
        <v>Montpelier Exempted Village SD (CASH)</v>
      </c>
      <c r="CC361" s="7" t="b">
        <f t="shared" si="87"/>
        <v>1</v>
      </c>
      <c r="CE361" s="12" t="str">
        <f>GenRev!A361</f>
        <v>Montpelier Exempted Village SD (CASH)</v>
      </c>
      <c r="CF361" s="7" t="b">
        <f t="shared" si="91"/>
        <v>1</v>
      </c>
      <c r="CG361" s="7" t="str">
        <f t="shared" si="88"/>
        <v>Williams</v>
      </c>
      <c r="CH361" s="7" t="b">
        <f t="shared" si="89"/>
        <v>1</v>
      </c>
      <c r="CI361" s="7" t="b">
        <f>C361=GenRev!C361</f>
        <v>1</v>
      </c>
    </row>
    <row r="362" spans="1:87">
      <c r="A362" s="12" t="s">
        <v>452</v>
      </c>
      <c r="B362" s="12"/>
      <c r="C362" s="12" t="s">
        <v>453</v>
      </c>
      <c r="D362" s="12"/>
      <c r="E362" s="12">
        <v>48777</v>
      </c>
      <c r="F362" s="10"/>
      <c r="G362" s="7">
        <v>7536014</v>
      </c>
      <c r="I362" s="7">
        <v>1367079</v>
      </c>
      <c r="K362" s="7">
        <v>1003594</v>
      </c>
      <c r="M362" s="7">
        <v>0</v>
      </c>
      <c r="O362" s="7">
        <v>881</v>
      </c>
      <c r="Q362" s="7">
        <v>676723</v>
      </c>
      <c r="S362" s="7">
        <v>307686</v>
      </c>
      <c r="U362" s="7">
        <v>41997</v>
      </c>
      <c r="W362" s="7">
        <v>1624999</v>
      </c>
      <c r="Y362" s="7">
        <v>631656</v>
      </c>
      <c r="AA362" s="7">
        <v>148460</v>
      </c>
      <c r="AC362" s="7">
        <v>1730288</v>
      </c>
      <c r="AE362" s="7">
        <v>1869120</v>
      </c>
      <c r="AG362" s="7">
        <v>189004</v>
      </c>
      <c r="AI362" s="7">
        <v>0</v>
      </c>
      <c r="AK362" s="7">
        <v>0</v>
      </c>
      <c r="AL362" s="12" t="s">
        <v>452</v>
      </c>
      <c r="AM362" s="12"/>
      <c r="AN362" s="12" t="s">
        <v>453</v>
      </c>
      <c r="AP362" s="7">
        <v>153844</v>
      </c>
      <c r="AR362" s="7">
        <v>785</v>
      </c>
      <c r="AT362" s="7">
        <v>0</v>
      </c>
      <c r="AV362" s="7">
        <v>49405</v>
      </c>
      <c r="AX362" s="7">
        <v>25175</v>
      </c>
      <c r="AZ362" s="7">
        <v>0</v>
      </c>
      <c r="BB362" s="7">
        <f t="shared" si="76"/>
        <v>17356710</v>
      </c>
      <c r="BD362" s="7">
        <v>622093</v>
      </c>
      <c r="BF362" s="7">
        <v>0</v>
      </c>
      <c r="BH362" s="7">
        <v>0</v>
      </c>
      <c r="BJ362" s="7">
        <v>0</v>
      </c>
      <c r="BL362" s="7">
        <f t="shared" si="77"/>
        <v>17978803</v>
      </c>
      <c r="BN362" s="7">
        <f>+GenRev!AM362-GenExp!BL362</f>
        <v>534174</v>
      </c>
      <c r="BP362" s="7">
        <v>4404896</v>
      </c>
      <c r="BR362" s="7">
        <v>0</v>
      </c>
      <c r="BT362" s="7">
        <v>0</v>
      </c>
      <c r="BV362" s="7">
        <f t="shared" si="98"/>
        <v>4939070</v>
      </c>
      <c r="BX362" s="8">
        <f>+BV362-'Gen Fd BS'!AE362+BT362</f>
        <v>0</v>
      </c>
      <c r="CB362" s="7" t="str">
        <f t="shared" si="90"/>
        <v>Morgan Local SD</v>
      </c>
      <c r="CC362" s="7" t="b">
        <f t="shared" si="87"/>
        <v>1</v>
      </c>
      <c r="CE362" s="12" t="str">
        <f>GenRev!A362</f>
        <v>Morgan Local SD</v>
      </c>
      <c r="CF362" s="7" t="b">
        <f t="shared" si="91"/>
        <v>1</v>
      </c>
      <c r="CG362" s="7" t="str">
        <f t="shared" si="88"/>
        <v>Morgan</v>
      </c>
      <c r="CH362" s="7" t="b">
        <f t="shared" si="89"/>
        <v>1</v>
      </c>
      <c r="CI362" s="7" t="b">
        <f>C362=GenRev!C362</f>
        <v>1</v>
      </c>
    </row>
    <row r="363" spans="1:87">
      <c r="A363" s="12" t="s">
        <v>880</v>
      </c>
      <c r="B363" s="12"/>
      <c r="C363" s="12" t="s">
        <v>78</v>
      </c>
      <c r="D363" s="12"/>
      <c r="E363" s="12">
        <v>45534</v>
      </c>
      <c r="G363" s="7">
        <v>4080957</v>
      </c>
      <c r="I363" s="7">
        <v>1195541</v>
      </c>
      <c r="K363" s="7">
        <v>235918</v>
      </c>
      <c r="M363" s="7">
        <v>0</v>
      </c>
      <c r="O363" s="7">
        <v>1136286</v>
      </c>
      <c r="Q363" s="7">
        <v>843289</v>
      </c>
      <c r="S363" s="7">
        <v>311961</v>
      </c>
      <c r="U363" s="7">
        <v>35579</v>
      </c>
      <c r="W363" s="7">
        <v>845230</v>
      </c>
      <c r="Y363" s="7">
        <v>427258</v>
      </c>
      <c r="AA363" s="7">
        <v>0</v>
      </c>
      <c r="AC363" s="7">
        <v>1287920</v>
      </c>
      <c r="AE363" s="7">
        <v>512497</v>
      </c>
      <c r="AG363" s="7">
        <v>22084</v>
      </c>
      <c r="AI363" s="7">
        <v>0</v>
      </c>
      <c r="AK363" s="7">
        <v>1893</v>
      </c>
      <c r="AL363" s="12" t="s">
        <v>880</v>
      </c>
      <c r="AM363" s="12"/>
      <c r="AN363" s="12" t="s">
        <v>78</v>
      </c>
      <c r="AP363" s="7">
        <v>194352</v>
      </c>
      <c r="AR363" s="7">
        <v>0</v>
      </c>
      <c r="AT363" s="7">
        <v>0</v>
      </c>
      <c r="AV363" s="7">
        <v>0</v>
      </c>
      <c r="AX363" s="7">
        <v>13711</v>
      </c>
      <c r="AZ363" s="7">
        <v>0</v>
      </c>
      <c r="BB363" s="7">
        <f t="shared" si="76"/>
        <v>11144476</v>
      </c>
      <c r="BD363" s="7">
        <v>0</v>
      </c>
      <c r="BF363" s="7">
        <v>0</v>
      </c>
      <c r="BH363" s="7">
        <v>0</v>
      </c>
      <c r="BJ363" s="7">
        <v>0</v>
      </c>
      <c r="BL363" s="7">
        <f t="shared" si="77"/>
        <v>11144476</v>
      </c>
      <c r="BN363" s="7">
        <f>+GenRev!AM363-GenExp!BL363</f>
        <v>713930</v>
      </c>
      <c r="BP363" s="7">
        <v>2202197</v>
      </c>
      <c r="BR363" s="7">
        <v>0</v>
      </c>
      <c r="BT363" s="7">
        <v>0</v>
      </c>
      <c r="BV363" s="7">
        <f t="shared" si="98"/>
        <v>2916127</v>
      </c>
      <c r="BX363" s="8">
        <f>+BV363-'Gen Fd BS'!AE363+BT363</f>
        <v>0</v>
      </c>
      <c r="CB363" s="7" t="str">
        <f t="shared" si="90"/>
        <v>Mount Gilead Exempted Village SD</v>
      </c>
      <c r="CC363" s="7" t="b">
        <f t="shared" si="87"/>
        <v>1</v>
      </c>
      <c r="CE363" s="12" t="str">
        <f>GenRev!A363</f>
        <v>Mount Gilead Exempted Village SD</v>
      </c>
      <c r="CF363" s="7" t="b">
        <f t="shared" si="91"/>
        <v>1</v>
      </c>
      <c r="CG363" s="7" t="str">
        <f t="shared" si="88"/>
        <v>Morrow</v>
      </c>
      <c r="CH363" s="7" t="b">
        <f t="shared" si="89"/>
        <v>1</v>
      </c>
      <c r="CI363" s="7" t="b">
        <f>C363=GenRev!C363</f>
        <v>1</v>
      </c>
    </row>
    <row r="364" spans="1:87">
      <c r="A364" s="12" t="s">
        <v>375</v>
      </c>
      <c r="B364" s="12"/>
      <c r="C364" s="12" t="s">
        <v>40</v>
      </c>
      <c r="D364" s="12"/>
      <c r="E364" s="12">
        <v>44420</v>
      </c>
      <c r="F364" s="10"/>
      <c r="G364" s="7">
        <v>17134062</v>
      </c>
      <c r="I364" s="7">
        <v>2332237</v>
      </c>
      <c r="K364" s="7">
        <v>363842</v>
      </c>
      <c r="M364" s="7">
        <v>0</v>
      </c>
      <c r="O364" s="7">
        <v>0</v>
      </c>
      <c r="Q364" s="7">
        <v>1359537</v>
      </c>
      <c r="S364" s="7">
        <v>1466977</v>
      </c>
      <c r="U364" s="7">
        <v>66534</v>
      </c>
      <c r="W364" s="7">
        <v>2554900</v>
      </c>
      <c r="Y364" s="7">
        <v>2680447</v>
      </c>
      <c r="AA364" s="7">
        <v>63915</v>
      </c>
      <c r="AC364" s="7">
        <v>2199234</v>
      </c>
      <c r="AE364" s="7">
        <v>1117076</v>
      </c>
      <c r="AG364" s="7">
        <v>98883</v>
      </c>
      <c r="AI364" s="7">
        <v>0</v>
      </c>
      <c r="AK364" s="7">
        <v>0</v>
      </c>
      <c r="AL364" s="12" t="s">
        <v>375</v>
      </c>
      <c r="AM364" s="12"/>
      <c r="AN364" s="12" t="s">
        <v>40</v>
      </c>
      <c r="AP364" s="7">
        <v>554969</v>
      </c>
      <c r="AR364" s="7">
        <v>22623</v>
      </c>
      <c r="AT364" s="7">
        <v>0</v>
      </c>
      <c r="AV364" s="7">
        <v>11621</v>
      </c>
      <c r="AX364" s="7">
        <v>3793</v>
      </c>
      <c r="AZ364" s="7">
        <v>0</v>
      </c>
      <c r="BB364" s="7">
        <f t="shared" si="76"/>
        <v>32030650</v>
      </c>
      <c r="BD364" s="7">
        <v>89592</v>
      </c>
      <c r="BF364" s="7">
        <v>0</v>
      </c>
      <c r="BH364" s="7">
        <v>0</v>
      </c>
      <c r="BJ364" s="7">
        <v>0</v>
      </c>
      <c r="BL364" s="7">
        <f t="shared" si="77"/>
        <v>32120242</v>
      </c>
      <c r="BN364" s="7">
        <f>+GenRev!AM364-GenExp!BL364</f>
        <v>-2008427</v>
      </c>
      <c r="BP364" s="7">
        <v>6219124</v>
      </c>
      <c r="BR364" s="7">
        <v>0</v>
      </c>
      <c r="BT364" s="7">
        <v>0</v>
      </c>
      <c r="BV364" s="7">
        <f t="shared" si="98"/>
        <v>4210697</v>
      </c>
      <c r="BX364" s="8">
        <f>+BV364-'Gen Fd BS'!AE364+BT364</f>
        <v>0</v>
      </c>
      <c r="CB364" s="7" t="str">
        <f t="shared" si="90"/>
        <v>Mount Vernon City SD</v>
      </c>
      <c r="CC364" s="7" t="b">
        <f t="shared" si="87"/>
        <v>1</v>
      </c>
      <c r="CE364" s="12" t="str">
        <f>GenRev!A364</f>
        <v>Mount Vernon City SD</v>
      </c>
      <c r="CF364" s="7" t="b">
        <f t="shared" si="91"/>
        <v>1</v>
      </c>
      <c r="CG364" s="7" t="str">
        <f t="shared" si="88"/>
        <v>Knox</v>
      </c>
      <c r="CH364" s="7" t="b">
        <f t="shared" si="89"/>
        <v>1</v>
      </c>
      <c r="CI364" s="7" t="b">
        <f>C364=GenRev!C364</f>
        <v>1</v>
      </c>
    </row>
    <row r="365" spans="1:87">
      <c r="A365" s="12" t="s">
        <v>751</v>
      </c>
      <c r="B365" s="12"/>
      <c r="C365" s="12" t="s">
        <v>32</v>
      </c>
      <c r="D365" s="12"/>
      <c r="E365" s="12">
        <v>44412</v>
      </c>
      <c r="F365" s="10"/>
      <c r="G365" s="7">
        <v>11717392</v>
      </c>
      <c r="I365" s="7">
        <v>2953334</v>
      </c>
      <c r="K365" s="7">
        <v>264028</v>
      </c>
      <c r="M365" s="7">
        <v>0</v>
      </c>
      <c r="O365" s="7">
        <v>4130870</v>
      </c>
      <c r="Q365" s="7">
        <v>2306634</v>
      </c>
      <c r="S365" s="7">
        <v>1707077</v>
      </c>
      <c r="U365" s="7">
        <v>109226</v>
      </c>
      <c r="W365" s="7">
        <v>2590038</v>
      </c>
      <c r="Y365" s="7">
        <v>747691</v>
      </c>
      <c r="AA365" s="7">
        <v>55829</v>
      </c>
      <c r="AC365" s="7">
        <v>4282073</v>
      </c>
      <c r="AE365" s="7">
        <v>2092071</v>
      </c>
      <c r="AG365" s="7">
        <v>379332</v>
      </c>
      <c r="AI365" s="7">
        <v>0</v>
      </c>
      <c r="AK365" s="7">
        <v>14413</v>
      </c>
      <c r="AL365" s="12" t="s">
        <v>751</v>
      </c>
      <c r="AM365" s="12"/>
      <c r="AN365" s="12" t="s">
        <v>32</v>
      </c>
      <c r="AP365" s="7">
        <v>690968</v>
      </c>
      <c r="AR365" s="7">
        <v>18999</v>
      </c>
      <c r="AT365" s="7">
        <v>0</v>
      </c>
      <c r="AV365" s="7">
        <v>152528</v>
      </c>
      <c r="AX365" s="7">
        <v>21115</v>
      </c>
      <c r="AZ365" s="7">
        <v>0</v>
      </c>
      <c r="BB365" s="7">
        <f t="shared" si="76"/>
        <v>34233618</v>
      </c>
      <c r="BD365" s="7">
        <v>0</v>
      </c>
      <c r="BF365" s="7">
        <v>0</v>
      </c>
      <c r="BH365" s="7">
        <v>0</v>
      </c>
      <c r="BJ365" s="7">
        <v>0</v>
      </c>
      <c r="BL365" s="7">
        <f t="shared" si="77"/>
        <v>34233618</v>
      </c>
      <c r="BN365" s="7">
        <f>+GenRev!AM365-GenExp!BL365</f>
        <v>666604</v>
      </c>
      <c r="BP365" s="7">
        <v>2071470</v>
      </c>
      <c r="BR365" s="7">
        <v>0</v>
      </c>
      <c r="BT365" s="7">
        <v>0</v>
      </c>
      <c r="BV365" s="7">
        <f t="shared" si="98"/>
        <v>2738074</v>
      </c>
      <c r="BX365" s="8">
        <f>+BV365-'Gen Fd BS'!AE365+BT365</f>
        <v>0</v>
      </c>
      <c r="CB365" s="7" t="str">
        <f t="shared" si="90"/>
        <v xml:space="preserve">Mt. Healthy City SD </v>
      </c>
      <c r="CC365" s="7" t="b">
        <f t="shared" si="87"/>
        <v>1</v>
      </c>
      <c r="CE365" s="12" t="str">
        <f>GenRev!A365</f>
        <v xml:space="preserve">Mt. Healthy City SD </v>
      </c>
      <c r="CF365" s="7" t="b">
        <f t="shared" si="91"/>
        <v>1</v>
      </c>
      <c r="CG365" s="7" t="str">
        <f t="shared" si="88"/>
        <v>Hamilton</v>
      </c>
      <c r="CH365" s="7" t="b">
        <f t="shared" si="89"/>
        <v>1</v>
      </c>
      <c r="CI365" s="7" t="b">
        <f>C365=GenRev!C365</f>
        <v>1</v>
      </c>
    </row>
    <row r="366" spans="1:87">
      <c r="A366" s="12" t="s">
        <v>356</v>
      </c>
      <c r="B366" s="12"/>
      <c r="C366" s="12" t="s">
        <v>34</v>
      </c>
      <c r="D366" s="12"/>
      <c r="E366" s="12">
        <v>44438</v>
      </c>
      <c r="G366" s="7">
        <v>7821345</v>
      </c>
      <c r="I366" s="7">
        <v>2704657</v>
      </c>
      <c r="K366" s="7">
        <v>237237</v>
      </c>
      <c r="M366" s="7">
        <v>0</v>
      </c>
      <c r="O366" s="7">
        <v>1464072</v>
      </c>
      <c r="Q366" s="7">
        <v>1039102</v>
      </c>
      <c r="S366" s="7">
        <v>653075</v>
      </c>
      <c r="U366" s="7">
        <v>48844</v>
      </c>
      <c r="W366" s="7">
        <v>1580749</v>
      </c>
      <c r="Y366" s="7">
        <v>647066</v>
      </c>
      <c r="AA366" s="7">
        <v>0</v>
      </c>
      <c r="AC366" s="7">
        <v>1177006</v>
      </c>
      <c r="AE366" s="7">
        <v>1121612</v>
      </c>
      <c r="AG366" s="7">
        <v>339758</v>
      </c>
      <c r="AI366" s="7">
        <v>0</v>
      </c>
      <c r="AK366" s="7">
        <v>0</v>
      </c>
      <c r="AL366" s="12" t="s">
        <v>356</v>
      </c>
      <c r="AM366" s="12"/>
      <c r="AN366" s="12" t="s">
        <v>34</v>
      </c>
      <c r="AP366" s="7">
        <v>511121</v>
      </c>
      <c r="AR366" s="7">
        <v>175980</v>
      </c>
      <c r="AT366" s="7">
        <v>0</v>
      </c>
      <c r="AV366" s="7">
        <v>0</v>
      </c>
      <c r="AX366" s="7">
        <v>0</v>
      </c>
      <c r="AZ366" s="7">
        <v>0</v>
      </c>
      <c r="BB366" s="7">
        <f t="shared" si="76"/>
        <v>19521624</v>
      </c>
      <c r="BD366" s="7">
        <v>273338</v>
      </c>
      <c r="BF366" s="7">
        <v>0</v>
      </c>
      <c r="BH366" s="7">
        <v>0</v>
      </c>
      <c r="BJ366" s="7">
        <v>0</v>
      </c>
      <c r="BL366" s="7">
        <f t="shared" si="77"/>
        <v>19794962</v>
      </c>
      <c r="BN366" s="7">
        <f>+GenRev!AM366-GenExp!BL366</f>
        <v>130402</v>
      </c>
      <c r="BP366" s="7">
        <v>7901545</v>
      </c>
      <c r="BR366" s="7">
        <v>0</v>
      </c>
      <c r="BT366" s="7">
        <v>0</v>
      </c>
      <c r="BV366" s="7">
        <f t="shared" si="98"/>
        <v>8031947</v>
      </c>
      <c r="BX366" s="8">
        <f>+BV366-'Gen Fd BS'!AE366+BT366</f>
        <v>0</v>
      </c>
      <c r="CB366" s="7" t="str">
        <f t="shared" si="90"/>
        <v>Napoleon Area City SD</v>
      </c>
      <c r="CC366" s="7" t="b">
        <f t="shared" si="87"/>
        <v>1</v>
      </c>
      <c r="CE366" s="12" t="str">
        <f>GenRev!A366</f>
        <v>Napoleon Area City SD</v>
      </c>
      <c r="CF366" s="7" t="b">
        <f t="shared" si="91"/>
        <v>1</v>
      </c>
      <c r="CG366" s="7" t="str">
        <f t="shared" si="88"/>
        <v>Henry</v>
      </c>
      <c r="CH366" s="7" t="b">
        <f t="shared" si="89"/>
        <v>1</v>
      </c>
      <c r="CI366" s="7" t="b">
        <f>C366=GenRev!C366</f>
        <v>1</v>
      </c>
    </row>
    <row r="367" spans="1:87" hidden="1">
      <c r="A367" s="12" t="s">
        <v>874</v>
      </c>
      <c r="B367" s="12"/>
      <c r="C367" s="12" t="s">
        <v>57</v>
      </c>
      <c r="D367" s="12"/>
      <c r="E367" s="12"/>
      <c r="AA367" s="7">
        <v>0</v>
      </c>
      <c r="AI367" s="7">
        <v>0</v>
      </c>
      <c r="AL367" s="12" t="s">
        <v>874</v>
      </c>
      <c r="AM367" s="12"/>
      <c r="AN367" s="12" t="s">
        <v>57</v>
      </c>
      <c r="AT367" s="7">
        <v>0</v>
      </c>
      <c r="AV367" s="7">
        <v>0</v>
      </c>
      <c r="AX367" s="7">
        <v>0</v>
      </c>
      <c r="AZ367" s="7">
        <v>0</v>
      </c>
      <c r="BF367" s="7">
        <v>0</v>
      </c>
      <c r="BH367" s="7">
        <v>0</v>
      </c>
      <c r="BJ367" s="7">
        <v>0</v>
      </c>
      <c r="BN367" s="7">
        <f>+GenRev!AM367-GenExp!BL367</f>
        <v>0</v>
      </c>
      <c r="BR367" s="7">
        <v>0</v>
      </c>
      <c r="BT367" s="7">
        <v>0</v>
      </c>
      <c r="BX367" s="8">
        <f>+BV367-'Gen Fd BS'!AE367+BT367</f>
        <v>0</v>
      </c>
      <c r="CA367" s="7" t="s">
        <v>938</v>
      </c>
      <c r="CB367" s="7" t="str">
        <f t="shared" ref="CB367" si="99">A367</f>
        <v>National Trail Local SD (CASH)</v>
      </c>
      <c r="CC367" s="7" t="b">
        <f t="shared" si="87"/>
        <v>1</v>
      </c>
      <c r="CE367" s="12" t="str">
        <f>GenRev!A367</f>
        <v>National Trail Local SD (CASH)</v>
      </c>
      <c r="CF367" s="7" t="b">
        <f t="shared" ref="CF367" si="100">CB367=CE367</f>
        <v>1</v>
      </c>
      <c r="CG367" s="7" t="str">
        <f t="shared" si="88"/>
        <v>Preble</v>
      </c>
      <c r="CH367" s="7" t="b">
        <f t="shared" si="89"/>
        <v>1</v>
      </c>
      <c r="CI367" s="7" t="b">
        <f>C367=GenRev!C367</f>
        <v>1</v>
      </c>
    </row>
    <row r="368" spans="1:87">
      <c r="A368" s="12" t="s">
        <v>212</v>
      </c>
      <c r="B368" s="12"/>
      <c r="C368" s="12" t="s">
        <v>13</v>
      </c>
      <c r="D368" s="12"/>
      <c r="E368" s="12">
        <v>44446</v>
      </c>
      <c r="G368" s="7">
        <v>5130570</v>
      </c>
      <c r="I368" s="7">
        <v>1241322</v>
      </c>
      <c r="K368" s="7">
        <v>89828</v>
      </c>
      <c r="M368" s="7">
        <v>0</v>
      </c>
      <c r="O368" s="7">
        <v>81243</v>
      </c>
      <c r="Q368" s="7">
        <v>318179</v>
      </c>
      <c r="S368" s="7">
        <v>373502</v>
      </c>
      <c r="U368" s="7">
        <v>61755</v>
      </c>
      <c r="W368" s="7">
        <v>1131359</v>
      </c>
      <c r="Y368" s="7">
        <v>340059</v>
      </c>
      <c r="AA368" s="7">
        <v>0</v>
      </c>
      <c r="AC368" s="7">
        <v>1312519</v>
      </c>
      <c r="AE368" s="7">
        <v>978939</v>
      </c>
      <c r="AG368" s="7">
        <v>0</v>
      </c>
      <c r="AI368" s="7">
        <v>0</v>
      </c>
      <c r="AK368" s="7">
        <v>5238</v>
      </c>
      <c r="AL368" s="12" t="s">
        <v>212</v>
      </c>
      <c r="AM368" s="12"/>
      <c r="AN368" s="12" t="s">
        <v>13</v>
      </c>
      <c r="AP368" s="7">
        <v>171016</v>
      </c>
      <c r="AR368" s="7">
        <v>208252</v>
      </c>
      <c r="AT368" s="7">
        <v>0</v>
      </c>
      <c r="AV368" s="7">
        <v>0</v>
      </c>
      <c r="AX368" s="7">
        <v>0</v>
      </c>
      <c r="AZ368" s="7">
        <v>0</v>
      </c>
      <c r="BB368" s="7">
        <f t="shared" si="76"/>
        <v>11443781</v>
      </c>
      <c r="BD368" s="7">
        <v>244798</v>
      </c>
      <c r="BF368" s="7">
        <v>0</v>
      </c>
      <c r="BH368" s="7">
        <v>0</v>
      </c>
      <c r="BJ368" s="7">
        <v>0</v>
      </c>
      <c r="BL368" s="7">
        <f t="shared" si="77"/>
        <v>11688579</v>
      </c>
      <c r="BN368" s="7">
        <f>+GenRev!AM368-GenExp!BL368</f>
        <v>-749426</v>
      </c>
      <c r="BP368" s="7">
        <v>2436384</v>
      </c>
      <c r="BR368" s="7">
        <v>0</v>
      </c>
      <c r="BT368" s="7">
        <v>0</v>
      </c>
      <c r="BV368" s="7">
        <f t="shared" si="98"/>
        <v>1686958</v>
      </c>
      <c r="BX368" s="8">
        <f>+BV368-'Gen Fd BS'!AE368+BT368</f>
        <v>0</v>
      </c>
      <c r="CB368" s="7" t="str">
        <f t="shared" si="90"/>
        <v>Nelsonville-York City SD</v>
      </c>
      <c r="CC368" s="7" t="b">
        <f t="shared" si="87"/>
        <v>1</v>
      </c>
      <c r="CE368" s="12" t="str">
        <f>GenRev!A368</f>
        <v>Nelsonville-York City SD</v>
      </c>
      <c r="CF368" s="7" t="b">
        <f t="shared" si="91"/>
        <v>1</v>
      </c>
      <c r="CG368" s="7" t="str">
        <f t="shared" si="88"/>
        <v>Athens</v>
      </c>
      <c r="CH368" s="7" t="b">
        <f t="shared" si="89"/>
        <v>1</v>
      </c>
      <c r="CI368" s="7" t="b">
        <f>C368=GenRev!C368</f>
        <v>1</v>
      </c>
    </row>
    <row r="369" spans="1:87">
      <c r="A369" s="12" t="s">
        <v>633</v>
      </c>
      <c r="B369" s="12"/>
      <c r="C369" s="12" t="s">
        <v>27</v>
      </c>
      <c r="D369" s="12"/>
      <c r="E369" s="12">
        <v>44461</v>
      </c>
      <c r="G369" s="7">
        <v>23956038</v>
      </c>
      <c r="I369" s="7">
        <v>4155332</v>
      </c>
      <c r="K369" s="7">
        <v>1078908</v>
      </c>
      <c r="M369" s="7">
        <v>0</v>
      </c>
      <c r="O369" s="7">
        <v>0</v>
      </c>
      <c r="Q369" s="7">
        <v>3124774</v>
      </c>
      <c r="S369" s="7">
        <v>2785732</v>
      </c>
      <c r="U369" s="7">
        <v>47949</v>
      </c>
      <c r="W369" s="7">
        <v>3270554</v>
      </c>
      <c r="Y369" s="7">
        <v>0</v>
      </c>
      <c r="AA369" s="7">
        <v>1708653</v>
      </c>
      <c r="AC369" s="7">
        <v>4516856</v>
      </c>
      <c r="AE369" s="7">
        <v>2595170</v>
      </c>
      <c r="AG369" s="7">
        <v>338790</v>
      </c>
      <c r="AI369" s="7">
        <v>0</v>
      </c>
      <c r="AK369" s="7">
        <f>718386+224885</f>
        <v>943271</v>
      </c>
      <c r="AL369" s="12" t="s">
        <v>633</v>
      </c>
      <c r="AM369" s="12"/>
      <c r="AN369" s="12" t="s">
        <v>27</v>
      </c>
      <c r="AP369" s="7">
        <v>1380420</v>
      </c>
      <c r="AR369" s="7">
        <v>0</v>
      </c>
      <c r="AT369" s="7">
        <v>0</v>
      </c>
      <c r="AV369" s="7">
        <v>0</v>
      </c>
      <c r="AX369" s="7">
        <v>0</v>
      </c>
      <c r="AZ369" s="7">
        <v>0</v>
      </c>
      <c r="BB369" s="7">
        <f t="shared" si="76"/>
        <v>49902447</v>
      </c>
      <c r="BD369" s="7">
        <v>274488</v>
      </c>
      <c r="BF369" s="7">
        <v>0</v>
      </c>
      <c r="BH369" s="7">
        <v>0</v>
      </c>
      <c r="BJ369" s="7">
        <v>0</v>
      </c>
      <c r="BL369" s="7">
        <f t="shared" si="77"/>
        <v>50176935</v>
      </c>
      <c r="BN369" s="7">
        <f>+GenRev!AM369-GenExp!BL369</f>
        <v>97431</v>
      </c>
      <c r="BP369" s="7">
        <v>27273508</v>
      </c>
      <c r="BR369" s="7">
        <v>0</v>
      </c>
      <c r="BT369" s="7">
        <v>0</v>
      </c>
      <c r="BV369" s="7">
        <f t="shared" si="98"/>
        <v>27370939</v>
      </c>
      <c r="BX369" s="8">
        <f>+BV369-'Gen Fd BS'!AE369+BT369</f>
        <v>0</v>
      </c>
      <c r="CB369" s="7" t="str">
        <f t="shared" si="90"/>
        <v>New Albany-Plain Local SD</v>
      </c>
      <c r="CC369" s="7" t="b">
        <f t="shared" si="87"/>
        <v>1</v>
      </c>
      <c r="CE369" s="12" t="str">
        <f>GenRev!A369</f>
        <v>New Albany-Plain Local SD</v>
      </c>
      <c r="CF369" s="7" t="b">
        <f t="shared" si="91"/>
        <v>1</v>
      </c>
      <c r="CG369" s="7" t="str">
        <f t="shared" si="88"/>
        <v>Franklin</v>
      </c>
      <c r="CH369" s="7" t="b">
        <f t="shared" si="89"/>
        <v>1</v>
      </c>
      <c r="CI369" s="7" t="b">
        <f>C369=GenRev!C369</f>
        <v>1</v>
      </c>
    </row>
    <row r="370" spans="1:87">
      <c r="A370" s="12" t="s">
        <v>498</v>
      </c>
      <c r="B370" s="12"/>
      <c r="C370" s="12" t="s">
        <v>59</v>
      </c>
      <c r="D370" s="12"/>
      <c r="E370" s="12">
        <v>44461</v>
      </c>
      <c r="G370" s="7">
        <v>1879910</v>
      </c>
      <c r="I370" s="7">
        <v>335052</v>
      </c>
      <c r="K370" s="7">
        <v>7328</v>
      </c>
      <c r="M370" s="7">
        <v>0</v>
      </c>
      <c r="O370" s="7">
        <v>3268</v>
      </c>
      <c r="Q370" s="7">
        <v>182813</v>
      </c>
      <c r="S370" s="7">
        <v>130420</v>
      </c>
      <c r="U370" s="7">
        <v>12061</v>
      </c>
      <c r="W370" s="7">
        <v>494578</v>
      </c>
      <c r="Y370" s="7">
        <v>173739</v>
      </c>
      <c r="AA370" s="7">
        <v>0</v>
      </c>
      <c r="AC370" s="7">
        <v>449355</v>
      </c>
      <c r="AE370" s="7">
        <v>97971</v>
      </c>
      <c r="AG370" s="7">
        <v>49259</v>
      </c>
      <c r="AI370" s="7">
        <v>1082</v>
      </c>
      <c r="AL370" s="12" t="s">
        <v>498</v>
      </c>
      <c r="AM370" s="12"/>
      <c r="AN370" s="12" t="s">
        <v>59</v>
      </c>
      <c r="AP370" s="7">
        <v>61785</v>
      </c>
      <c r="AR370" s="7">
        <v>0</v>
      </c>
      <c r="AT370" s="7">
        <v>0</v>
      </c>
      <c r="AV370" s="7">
        <v>0</v>
      </c>
      <c r="AX370" s="7">
        <v>0</v>
      </c>
      <c r="AZ370" s="7">
        <v>0</v>
      </c>
      <c r="BB370" s="7">
        <f t="shared" si="76"/>
        <v>3878621</v>
      </c>
      <c r="BD370" s="7">
        <v>0</v>
      </c>
      <c r="BF370" s="7">
        <v>0</v>
      </c>
      <c r="BH370" s="7">
        <v>0</v>
      </c>
      <c r="BJ370" s="7">
        <v>0</v>
      </c>
      <c r="BL370" s="7">
        <f t="shared" si="77"/>
        <v>3878621</v>
      </c>
      <c r="BN370" s="7">
        <f>+GenRev!AM370-GenExp!BL370</f>
        <v>136703</v>
      </c>
      <c r="BP370" s="7">
        <v>1309956</v>
      </c>
      <c r="BR370" s="7">
        <v>0</v>
      </c>
      <c r="BT370" s="7">
        <v>0</v>
      </c>
      <c r="BV370" s="7">
        <f t="shared" si="98"/>
        <v>1446659</v>
      </c>
      <c r="BX370" s="8">
        <f>+BV370-'Gen Fd BS'!AE370+BT370</f>
        <v>0</v>
      </c>
      <c r="CB370" s="7" t="str">
        <f t="shared" si="90"/>
        <v>New Boston Local SD</v>
      </c>
      <c r="CC370" s="7" t="b">
        <f t="shared" si="87"/>
        <v>1</v>
      </c>
      <c r="CE370" s="12" t="str">
        <f>GenRev!A370</f>
        <v>New Boston Local SD</v>
      </c>
      <c r="CF370" s="7" t="b">
        <f t="shared" si="91"/>
        <v>1</v>
      </c>
      <c r="CG370" s="7" t="str">
        <f t="shared" si="88"/>
        <v>Scioto</v>
      </c>
      <c r="CH370" s="7" t="b">
        <f t="shared" si="89"/>
        <v>1</v>
      </c>
      <c r="CI370" s="7" t="b">
        <f>C370=GenRev!C370</f>
        <v>1</v>
      </c>
    </row>
    <row r="371" spans="1:87">
      <c r="A371" s="12" t="s">
        <v>215</v>
      </c>
      <c r="B371" s="12"/>
      <c r="C371" s="12" t="s">
        <v>14</v>
      </c>
      <c r="D371" s="12"/>
      <c r="E371" s="12">
        <v>45955</v>
      </c>
      <c r="F371" s="10"/>
      <c r="G371" s="7">
        <v>4140437</v>
      </c>
      <c r="I371" s="7">
        <v>250628</v>
      </c>
      <c r="K371" s="7">
        <v>177420</v>
      </c>
      <c r="M371" s="7">
        <v>0</v>
      </c>
      <c r="O371" s="7">
        <v>0</v>
      </c>
      <c r="Q371" s="7">
        <v>624292</v>
      </c>
      <c r="S371" s="7">
        <v>461715</v>
      </c>
      <c r="U371" s="7">
        <v>47714</v>
      </c>
      <c r="W371" s="7">
        <v>811733</v>
      </c>
      <c r="Y371" s="7">
        <v>179682</v>
      </c>
      <c r="AA371" s="7">
        <v>0</v>
      </c>
      <c r="AC371" s="7">
        <v>646918</v>
      </c>
      <c r="AE371" s="7">
        <v>125643</v>
      </c>
      <c r="AG371" s="7">
        <v>62672</v>
      </c>
      <c r="AI371" s="7">
        <v>0</v>
      </c>
      <c r="AK371" s="7">
        <v>0</v>
      </c>
      <c r="AL371" s="12" t="s">
        <v>215</v>
      </c>
      <c r="AM371" s="12"/>
      <c r="AN371" s="12" t="s">
        <v>14</v>
      </c>
      <c r="AP371" s="7">
        <v>256243</v>
      </c>
      <c r="AR371" s="7">
        <v>0</v>
      </c>
      <c r="AT371" s="7">
        <v>0</v>
      </c>
      <c r="AV371" s="7">
        <v>0</v>
      </c>
      <c r="AX371" s="7">
        <v>0</v>
      </c>
      <c r="AZ371" s="7">
        <v>0</v>
      </c>
      <c r="BB371" s="7">
        <f t="shared" si="76"/>
        <v>7785097</v>
      </c>
      <c r="BD371" s="7">
        <v>20000</v>
      </c>
      <c r="BF371" s="7">
        <v>0</v>
      </c>
      <c r="BH371" s="7">
        <v>0</v>
      </c>
      <c r="BJ371" s="7">
        <v>0</v>
      </c>
      <c r="BL371" s="7">
        <f t="shared" si="77"/>
        <v>7805097</v>
      </c>
      <c r="BN371" s="7">
        <f>+GenRev!AM371-GenExp!BL371</f>
        <v>415643</v>
      </c>
      <c r="BP371" s="7">
        <v>5347782</v>
      </c>
      <c r="BR371" s="7">
        <v>0</v>
      </c>
      <c r="BT371" s="7">
        <v>0</v>
      </c>
      <c r="BV371" s="7">
        <f t="shared" si="98"/>
        <v>5763425</v>
      </c>
      <c r="BX371" s="8">
        <f>+BV371-'Gen Fd BS'!AE371+BT371</f>
        <v>0</v>
      </c>
      <c r="CB371" s="7" t="str">
        <f t="shared" si="90"/>
        <v>New Bremen Local SD</v>
      </c>
      <c r="CC371" s="7" t="b">
        <f t="shared" si="87"/>
        <v>1</v>
      </c>
      <c r="CE371" s="12" t="str">
        <f>GenRev!A371</f>
        <v>New Bremen Local SD</v>
      </c>
      <c r="CF371" s="7" t="b">
        <f t="shared" si="91"/>
        <v>1</v>
      </c>
      <c r="CG371" s="7" t="str">
        <f t="shared" si="88"/>
        <v>Auglaize</v>
      </c>
      <c r="CH371" s="7" t="b">
        <f t="shared" si="89"/>
        <v>1</v>
      </c>
      <c r="CI371" s="7" t="b">
        <f>C371=GenRev!C371</f>
        <v>1</v>
      </c>
    </row>
    <row r="372" spans="1:87" hidden="1">
      <c r="A372" s="12" t="s">
        <v>745</v>
      </c>
      <c r="B372" s="12"/>
      <c r="C372" s="12" t="s">
        <v>14</v>
      </c>
      <c r="D372" s="12"/>
      <c r="E372" s="12">
        <v>45963</v>
      </c>
      <c r="AL372" s="12" t="s">
        <v>745</v>
      </c>
      <c r="AM372" s="12"/>
      <c r="AN372" s="12" t="s">
        <v>14</v>
      </c>
      <c r="AR372" s="7">
        <v>0</v>
      </c>
      <c r="AT372" s="7">
        <v>0</v>
      </c>
      <c r="AV372" s="7">
        <v>0</v>
      </c>
      <c r="AX372" s="7">
        <v>0</v>
      </c>
      <c r="AZ372" s="7">
        <v>0</v>
      </c>
      <c r="BB372" s="7">
        <f t="shared" si="76"/>
        <v>0</v>
      </c>
      <c r="BF372" s="7">
        <v>0</v>
      </c>
      <c r="BH372" s="7">
        <v>0</v>
      </c>
      <c r="BJ372" s="7">
        <v>0</v>
      </c>
      <c r="BL372" s="7">
        <f t="shared" si="77"/>
        <v>0</v>
      </c>
      <c r="BN372" s="7">
        <f>+GenRev!AM372-GenExp!BL372</f>
        <v>0</v>
      </c>
      <c r="BR372" s="7">
        <v>0</v>
      </c>
      <c r="BT372" s="7">
        <v>0</v>
      </c>
      <c r="BV372" s="7">
        <f t="shared" si="98"/>
        <v>0</v>
      </c>
      <c r="BX372" s="8">
        <f>+BV372-'Gen Fd BS'!AE372+BT372</f>
        <v>0</v>
      </c>
      <c r="CA372" s="7" t="s">
        <v>839</v>
      </c>
      <c r="CB372" s="7" t="str">
        <f t="shared" si="90"/>
        <v>New Knoxville Local SD (CASH)</v>
      </c>
      <c r="CC372" s="7" t="b">
        <f t="shared" si="87"/>
        <v>1</v>
      </c>
      <c r="CE372" s="12" t="str">
        <f>GenRev!A372</f>
        <v>New Knoxville Local SD (CASH)</v>
      </c>
      <c r="CF372" s="7" t="b">
        <f t="shared" si="91"/>
        <v>1</v>
      </c>
      <c r="CG372" s="7" t="str">
        <f t="shared" si="88"/>
        <v>Auglaize</v>
      </c>
      <c r="CH372" s="7" t="b">
        <f t="shared" si="89"/>
        <v>1</v>
      </c>
      <c r="CI372" s="7" t="b">
        <f>C372=GenRev!C372</f>
        <v>1</v>
      </c>
    </row>
    <row r="373" spans="1:87">
      <c r="A373" s="12" t="s">
        <v>446</v>
      </c>
      <c r="B373" s="12"/>
      <c r="C373" s="12" t="s">
        <v>50</v>
      </c>
      <c r="D373" s="12"/>
      <c r="E373" s="12">
        <v>48710</v>
      </c>
      <c r="G373" s="7">
        <v>4375202</v>
      </c>
      <c r="I373" s="7">
        <v>1126664</v>
      </c>
      <c r="K373" s="7">
        <v>0</v>
      </c>
      <c r="M373" s="7">
        <v>0</v>
      </c>
      <c r="O373" s="7">
        <v>295426</v>
      </c>
      <c r="Q373" s="7">
        <v>397572</v>
      </c>
      <c r="S373" s="7">
        <v>775284</v>
      </c>
      <c r="U373" s="7">
        <v>72038</v>
      </c>
      <c r="W373" s="7">
        <v>835229</v>
      </c>
      <c r="Y373" s="7">
        <v>292571</v>
      </c>
      <c r="AA373" s="7">
        <v>81397</v>
      </c>
      <c r="AC373" s="7">
        <v>904026</v>
      </c>
      <c r="AE373" s="7">
        <v>460201</v>
      </c>
      <c r="AG373" s="7">
        <v>133377</v>
      </c>
      <c r="AI373" s="7">
        <v>0</v>
      </c>
      <c r="AK373" s="7">
        <v>2243</v>
      </c>
      <c r="AL373" s="12" t="s">
        <v>446</v>
      </c>
      <c r="AM373" s="12"/>
      <c r="AN373" s="12" t="s">
        <v>50</v>
      </c>
      <c r="AP373" s="7">
        <v>376309</v>
      </c>
      <c r="AR373" s="7">
        <v>0</v>
      </c>
      <c r="AT373" s="7">
        <v>0</v>
      </c>
      <c r="AV373" s="7">
        <v>0</v>
      </c>
      <c r="AX373" s="7">
        <v>0</v>
      </c>
      <c r="AZ373" s="7">
        <v>0</v>
      </c>
      <c r="BB373" s="7">
        <f t="shared" si="76"/>
        <v>10127539</v>
      </c>
      <c r="BD373" s="7">
        <v>20000</v>
      </c>
      <c r="BF373" s="7">
        <v>0</v>
      </c>
      <c r="BH373" s="7">
        <v>0</v>
      </c>
      <c r="BJ373" s="7">
        <v>0</v>
      </c>
      <c r="BL373" s="7">
        <f t="shared" si="77"/>
        <v>10147539</v>
      </c>
      <c r="BN373" s="7">
        <f>+GenRev!AM373-GenExp!BL373</f>
        <v>396887</v>
      </c>
      <c r="BP373" s="7">
        <v>3863827</v>
      </c>
      <c r="BR373" s="7">
        <v>0</v>
      </c>
      <c r="BT373" s="7">
        <v>0</v>
      </c>
      <c r="BV373" s="7">
        <f t="shared" si="98"/>
        <v>4260714</v>
      </c>
      <c r="BX373" s="8">
        <f>+BV373-'Gen Fd BS'!AE373+BT373</f>
        <v>0</v>
      </c>
      <c r="CB373" s="7" t="str">
        <f t="shared" si="90"/>
        <v>New Lebanon Local SD</v>
      </c>
      <c r="CC373" s="7" t="b">
        <f t="shared" si="87"/>
        <v>1</v>
      </c>
      <c r="CE373" s="12" t="str">
        <f>GenRev!A373</f>
        <v>New Lebanon Local SD</v>
      </c>
      <c r="CF373" s="7" t="b">
        <f t="shared" si="91"/>
        <v>1</v>
      </c>
      <c r="CG373" s="7" t="str">
        <f t="shared" si="88"/>
        <v>Montgomery</v>
      </c>
      <c r="CH373" s="7" t="b">
        <f t="shared" si="89"/>
        <v>1</v>
      </c>
      <c r="CI373" s="7" t="b">
        <f>C373=GenRev!C373</f>
        <v>1</v>
      </c>
    </row>
    <row r="374" spans="1:87" hidden="1">
      <c r="A374" s="12" t="s">
        <v>939</v>
      </c>
      <c r="B374" s="12"/>
      <c r="C374" s="12" t="s">
        <v>466</v>
      </c>
      <c r="D374" s="12"/>
      <c r="E374" s="12">
        <v>44479</v>
      </c>
      <c r="AI374" s="7">
        <v>0</v>
      </c>
      <c r="AL374" s="12" t="s">
        <v>939</v>
      </c>
      <c r="AM374" s="12"/>
      <c r="AN374" s="12" t="s">
        <v>466</v>
      </c>
      <c r="AT374" s="7">
        <v>0</v>
      </c>
      <c r="AZ374" s="7">
        <v>0</v>
      </c>
      <c r="BB374" s="7">
        <f t="shared" si="76"/>
        <v>0</v>
      </c>
      <c r="BF374" s="7">
        <v>0</v>
      </c>
      <c r="BH374" s="7">
        <v>0</v>
      </c>
      <c r="BJ374" s="7">
        <v>0</v>
      </c>
      <c r="BL374" s="7">
        <f t="shared" si="77"/>
        <v>0</v>
      </c>
      <c r="BN374" s="7">
        <f>+GenRev!AM374-GenExp!BL374</f>
        <v>0</v>
      </c>
      <c r="BR374" s="7">
        <v>0</v>
      </c>
      <c r="BT374" s="7">
        <v>0</v>
      </c>
      <c r="BV374" s="7">
        <f t="shared" si="98"/>
        <v>0</v>
      </c>
      <c r="BX374" s="8">
        <f>+BV374-'Gen Fd BS'!AE374+BT374</f>
        <v>0</v>
      </c>
      <c r="CA374" s="7" t="s">
        <v>839</v>
      </c>
      <c r="CB374" s="7" t="str">
        <f t="shared" si="90"/>
        <v>New Lexington City SD (CASH)</v>
      </c>
      <c r="CC374" s="7" t="b">
        <f t="shared" si="87"/>
        <v>1</v>
      </c>
      <c r="CE374" s="12" t="str">
        <f>GenRev!A374</f>
        <v>New Lexington City SD (CASH)</v>
      </c>
      <c r="CF374" s="7" t="b">
        <f t="shared" si="91"/>
        <v>1</v>
      </c>
      <c r="CG374" s="7" t="str">
        <f t="shared" si="88"/>
        <v>Perry</v>
      </c>
      <c r="CH374" s="7" t="b">
        <f t="shared" si="89"/>
        <v>1</v>
      </c>
      <c r="CI374" s="7" t="b">
        <f>C374=GenRev!C374</f>
        <v>1</v>
      </c>
    </row>
    <row r="375" spans="1:87">
      <c r="A375" s="12" t="s">
        <v>367</v>
      </c>
      <c r="B375" s="12"/>
      <c r="C375" s="12" t="s">
        <v>37</v>
      </c>
      <c r="D375" s="12"/>
      <c r="E375" s="12">
        <v>47720</v>
      </c>
      <c r="G375" s="7">
        <v>4513843</v>
      </c>
      <c r="I375" s="7">
        <v>719556</v>
      </c>
      <c r="K375" s="7">
        <v>367518</v>
      </c>
      <c r="M375" s="7">
        <v>12715</v>
      </c>
      <c r="O375" s="7">
        <v>1815</v>
      </c>
      <c r="Q375" s="7">
        <v>292916</v>
      </c>
      <c r="S375" s="7">
        <v>499279</v>
      </c>
      <c r="U375" s="7">
        <v>8780</v>
      </c>
      <c r="W375" s="7">
        <v>749589</v>
      </c>
      <c r="Y375" s="7">
        <v>265364</v>
      </c>
      <c r="AA375" s="7">
        <v>1725</v>
      </c>
      <c r="AC375" s="7">
        <v>564353</v>
      </c>
      <c r="AE375" s="7">
        <v>560530</v>
      </c>
      <c r="AG375" s="7">
        <v>0</v>
      </c>
      <c r="AI375" s="7">
        <v>0</v>
      </c>
      <c r="AK375" s="7">
        <v>4220</v>
      </c>
      <c r="AL375" s="12" t="s">
        <v>367</v>
      </c>
      <c r="AM375" s="12"/>
      <c r="AN375" s="12" t="s">
        <v>37</v>
      </c>
      <c r="AP375" s="7">
        <v>262425</v>
      </c>
      <c r="AR375" s="7">
        <f>14102+39400</f>
        <v>53502</v>
      </c>
      <c r="AT375" s="7">
        <v>0</v>
      </c>
      <c r="AV375" s="7">
        <v>49621</v>
      </c>
      <c r="AX375" s="7">
        <v>3491</v>
      </c>
      <c r="AZ375" s="7">
        <v>0</v>
      </c>
      <c r="BB375" s="7">
        <f t="shared" si="76"/>
        <v>8931242</v>
      </c>
      <c r="BD375" s="7">
        <v>0</v>
      </c>
      <c r="BF375" s="7">
        <v>0</v>
      </c>
      <c r="BH375" s="7">
        <v>0</v>
      </c>
      <c r="BJ375" s="7">
        <v>0</v>
      </c>
      <c r="BL375" s="7">
        <f t="shared" si="77"/>
        <v>8931242</v>
      </c>
      <c r="BN375" s="7">
        <f>+GenRev!AM375-GenExp!BL375</f>
        <v>194809</v>
      </c>
      <c r="BP375" s="7">
        <v>1576034</v>
      </c>
      <c r="BR375" s="7">
        <v>0</v>
      </c>
      <c r="BT375" s="7">
        <v>0</v>
      </c>
      <c r="BV375" s="7">
        <f t="shared" si="98"/>
        <v>1770843</v>
      </c>
      <c r="BX375" s="8">
        <f>+BV375-'Gen Fd BS'!AE375+BT375</f>
        <v>0</v>
      </c>
      <c r="CB375" s="7" t="str">
        <f t="shared" si="90"/>
        <v>New London Local SD</v>
      </c>
      <c r="CC375" s="7" t="b">
        <f t="shared" si="87"/>
        <v>1</v>
      </c>
      <c r="CE375" s="12" t="str">
        <f>GenRev!A375</f>
        <v>New London Local SD</v>
      </c>
      <c r="CF375" s="7" t="b">
        <f t="shared" si="91"/>
        <v>1</v>
      </c>
      <c r="CG375" s="7" t="str">
        <f t="shared" si="88"/>
        <v>Huron</v>
      </c>
      <c r="CH375" s="7" t="b">
        <f t="shared" si="89"/>
        <v>1</v>
      </c>
      <c r="CI375" s="7" t="b">
        <f>C375=GenRev!C375</f>
        <v>1</v>
      </c>
    </row>
    <row r="376" spans="1:87">
      <c r="A376" s="12" t="s">
        <v>230</v>
      </c>
      <c r="B376" s="12"/>
      <c r="C376" s="12" t="s">
        <v>223</v>
      </c>
      <c r="D376" s="12"/>
      <c r="E376" s="12">
        <v>46136</v>
      </c>
      <c r="G376" s="7">
        <v>2407108</v>
      </c>
      <c r="I376" s="7">
        <v>333916</v>
      </c>
      <c r="K376" s="7">
        <v>0</v>
      </c>
      <c r="M376" s="7">
        <v>0</v>
      </c>
      <c r="O376" s="7">
        <v>51246</v>
      </c>
      <c r="Q376" s="7">
        <v>329378</v>
      </c>
      <c r="S376" s="7">
        <v>228862</v>
      </c>
      <c r="U376" s="7">
        <v>43491</v>
      </c>
      <c r="W376" s="7">
        <v>746185</v>
      </c>
      <c r="Y376" s="7">
        <v>189459</v>
      </c>
      <c r="AA376" s="7">
        <v>35456</v>
      </c>
      <c r="AC376" s="7">
        <v>693104</v>
      </c>
      <c r="AE376" s="7">
        <v>443662</v>
      </c>
      <c r="AG376" s="7">
        <v>0</v>
      </c>
      <c r="AI376" s="7">
        <v>0</v>
      </c>
      <c r="AK376" s="7">
        <v>0</v>
      </c>
      <c r="AL376" s="12" t="s">
        <v>230</v>
      </c>
      <c r="AM376" s="12"/>
      <c r="AN376" s="12" t="s">
        <v>223</v>
      </c>
      <c r="AP376" s="7">
        <v>84058</v>
      </c>
      <c r="AR376" s="7">
        <v>0</v>
      </c>
      <c r="AT376" s="7">
        <v>0</v>
      </c>
      <c r="AV376" s="7">
        <v>33589</v>
      </c>
      <c r="AX376" s="7">
        <v>4608</v>
      </c>
      <c r="AZ376" s="7">
        <v>0</v>
      </c>
      <c r="BB376" s="7">
        <f t="shared" si="76"/>
        <v>5624122</v>
      </c>
      <c r="BD376" s="7">
        <v>56553</v>
      </c>
      <c r="BF376" s="7">
        <v>0</v>
      </c>
      <c r="BH376" s="7">
        <v>0</v>
      </c>
      <c r="BJ376" s="7">
        <v>0</v>
      </c>
      <c r="BL376" s="7">
        <f t="shared" si="77"/>
        <v>5680675</v>
      </c>
      <c r="BN376" s="7">
        <f>+GenRev!AM376-GenExp!BL376</f>
        <v>328867</v>
      </c>
      <c r="BP376" s="7">
        <v>2546327</v>
      </c>
      <c r="BR376" s="7">
        <v>0</v>
      </c>
      <c r="BT376" s="7">
        <v>0</v>
      </c>
      <c r="BV376" s="7">
        <f t="shared" si="98"/>
        <v>2875194</v>
      </c>
      <c r="BX376" s="8">
        <f>+BV376-'Gen Fd BS'!AE376+BT376</f>
        <v>0</v>
      </c>
      <c r="CB376" s="7" t="str">
        <f t="shared" si="90"/>
        <v>New Miami Local SD</v>
      </c>
      <c r="CC376" s="7" t="b">
        <f t="shared" si="87"/>
        <v>1</v>
      </c>
      <c r="CE376" s="12" t="str">
        <f>GenRev!A376</f>
        <v>New Miami Local SD</v>
      </c>
      <c r="CF376" s="7" t="b">
        <f t="shared" si="91"/>
        <v>1</v>
      </c>
      <c r="CG376" s="7" t="str">
        <f t="shared" si="88"/>
        <v>Butler</v>
      </c>
      <c r="CH376" s="7" t="b">
        <f t="shared" si="89"/>
        <v>1</v>
      </c>
      <c r="CI376" s="7" t="b">
        <f>C376=GenRev!C376</f>
        <v>1</v>
      </c>
    </row>
    <row r="377" spans="1:87">
      <c r="A377" s="12" t="s">
        <v>553</v>
      </c>
      <c r="B377" s="12"/>
      <c r="C377" s="12" t="s">
        <v>65</v>
      </c>
      <c r="D377" s="12"/>
      <c r="E377" s="12">
        <v>44487</v>
      </c>
      <c r="G377" s="7">
        <v>10981839</v>
      </c>
      <c r="I377" s="7">
        <v>2536563</v>
      </c>
      <c r="K377" s="7">
        <v>123867</v>
      </c>
      <c r="M377" s="7">
        <v>0</v>
      </c>
      <c r="O377" s="7">
        <v>553175</v>
      </c>
      <c r="Q377" s="7">
        <v>1260747</v>
      </c>
      <c r="S377" s="7">
        <v>675687</v>
      </c>
      <c r="U377" s="7">
        <v>34607</v>
      </c>
      <c r="W377" s="7">
        <v>2000376</v>
      </c>
      <c r="Y377" s="7">
        <v>815366</v>
      </c>
      <c r="AA377" s="7">
        <v>0</v>
      </c>
      <c r="AC377" s="7">
        <v>2149228</v>
      </c>
      <c r="AE377" s="7">
        <v>838025</v>
      </c>
      <c r="AG377" s="7">
        <v>0</v>
      </c>
      <c r="AI377" s="7">
        <v>0</v>
      </c>
      <c r="AK377" s="7">
        <v>2872</v>
      </c>
      <c r="AL377" s="12" t="s">
        <v>553</v>
      </c>
      <c r="AM377" s="12"/>
      <c r="AN377" s="12" t="s">
        <v>65</v>
      </c>
      <c r="AP377" s="7">
        <v>495899</v>
      </c>
      <c r="AR377" s="7">
        <v>0</v>
      </c>
      <c r="AT377" s="7">
        <v>0</v>
      </c>
      <c r="AV377" s="7">
        <v>100633</v>
      </c>
      <c r="AX377" s="7">
        <v>48043</v>
      </c>
      <c r="AZ377" s="7">
        <v>0</v>
      </c>
      <c r="BB377" s="7">
        <f t="shared" si="76"/>
        <v>22616927</v>
      </c>
      <c r="BD377" s="7">
        <v>185000</v>
      </c>
      <c r="BF377" s="7">
        <v>0</v>
      </c>
      <c r="BH377" s="7">
        <v>0</v>
      </c>
      <c r="BJ377" s="7">
        <v>0</v>
      </c>
      <c r="BL377" s="7">
        <f t="shared" si="77"/>
        <v>22801927</v>
      </c>
      <c r="BN377" s="7">
        <f>+GenRev!AM377-GenExp!BL377</f>
        <v>68802</v>
      </c>
      <c r="BP377" s="7">
        <v>7004942</v>
      </c>
      <c r="BR377" s="7">
        <v>0</v>
      </c>
      <c r="BT377" s="7">
        <v>0</v>
      </c>
      <c r="BV377" s="7">
        <f t="shared" si="98"/>
        <v>7073744</v>
      </c>
      <c r="BX377" s="8">
        <f>+BV377-'Gen Fd BS'!AE377+BT377</f>
        <v>0</v>
      </c>
      <c r="CB377" s="7" t="str">
        <f t="shared" si="90"/>
        <v>New Philadelphia City SD</v>
      </c>
      <c r="CC377" s="7" t="b">
        <f t="shared" si="87"/>
        <v>1</v>
      </c>
      <c r="CE377" s="12" t="str">
        <f>GenRev!A377</f>
        <v>New Philadelphia City SD</v>
      </c>
      <c r="CF377" s="7" t="b">
        <f t="shared" si="91"/>
        <v>1</v>
      </c>
      <c r="CG377" s="7" t="str">
        <f t="shared" si="88"/>
        <v>Tuscarawas</v>
      </c>
      <c r="CH377" s="7" t="b">
        <f t="shared" si="89"/>
        <v>1</v>
      </c>
      <c r="CI377" s="7" t="b">
        <f>C377=GenRev!C377</f>
        <v>1</v>
      </c>
    </row>
    <row r="378" spans="1:87">
      <c r="A378" s="12" t="s">
        <v>881</v>
      </c>
      <c r="B378" s="12"/>
      <c r="C378" s="12" t="s">
        <v>113</v>
      </c>
      <c r="D378" s="12"/>
      <c r="E378" s="12">
        <v>45559</v>
      </c>
      <c r="G378" s="7">
        <v>12361958</v>
      </c>
      <c r="I378" s="7">
        <v>2929971</v>
      </c>
      <c r="K378" s="7">
        <v>0</v>
      </c>
      <c r="M378" s="7">
        <v>0</v>
      </c>
      <c r="O378" s="7">
        <v>16784</v>
      </c>
      <c r="Q378" s="7">
        <v>1180989</v>
      </c>
      <c r="S378" s="7">
        <v>1248949</v>
      </c>
      <c r="U378" s="7">
        <v>109405</v>
      </c>
      <c r="W378" s="7">
        <v>1559112</v>
      </c>
      <c r="Y378" s="7">
        <v>888697</v>
      </c>
      <c r="AA378" s="7">
        <v>0</v>
      </c>
      <c r="AC378" s="7">
        <v>2653556</v>
      </c>
      <c r="AE378" s="7">
        <v>1646642</v>
      </c>
      <c r="AG378" s="7">
        <v>358429</v>
      </c>
      <c r="AI378" s="7">
        <v>0</v>
      </c>
      <c r="AK378" s="7">
        <v>758</v>
      </c>
      <c r="AL378" s="12" t="s">
        <v>881</v>
      </c>
      <c r="AM378" s="12"/>
      <c r="AN378" s="12" t="s">
        <v>113</v>
      </c>
      <c r="AP378" s="7">
        <v>330215</v>
      </c>
      <c r="AR378" s="7">
        <v>0</v>
      </c>
      <c r="AT378" s="7">
        <v>0</v>
      </c>
      <c r="AV378" s="7">
        <v>0</v>
      </c>
      <c r="AX378" s="7">
        <v>0</v>
      </c>
      <c r="AZ378" s="7">
        <v>0</v>
      </c>
      <c r="BB378" s="7">
        <f t="shared" si="76"/>
        <v>25285465</v>
      </c>
      <c r="BD378" s="7">
        <v>0</v>
      </c>
      <c r="BF378" s="7">
        <v>0</v>
      </c>
      <c r="BH378" s="7">
        <v>0</v>
      </c>
      <c r="BJ378" s="7">
        <v>0</v>
      </c>
      <c r="BL378" s="7">
        <f t="shared" si="77"/>
        <v>25285465</v>
      </c>
      <c r="BN378" s="7">
        <f>+GenRev!AM378-GenExp!BL378</f>
        <v>3075535</v>
      </c>
      <c r="BP378" s="7">
        <v>15799904</v>
      </c>
      <c r="BR378" s="7">
        <v>0</v>
      </c>
      <c r="BT378" s="7">
        <v>0</v>
      </c>
      <c r="BV378" s="7">
        <f t="shared" si="98"/>
        <v>18875439</v>
      </c>
      <c r="BX378" s="8">
        <f>+BV378-'Gen Fd BS'!AE378+BT378</f>
        <v>0</v>
      </c>
      <c r="CB378" s="7" t="str">
        <f t="shared" si="90"/>
        <v>New Richmond Exempted Village SD</v>
      </c>
      <c r="CC378" s="7" t="b">
        <f t="shared" si="87"/>
        <v>1</v>
      </c>
      <c r="CE378" s="12" t="str">
        <f>GenRev!A378</f>
        <v>New Richmond Exempted Village SD</v>
      </c>
      <c r="CF378" s="7" t="b">
        <f t="shared" si="91"/>
        <v>1</v>
      </c>
      <c r="CG378" s="7" t="str">
        <f t="shared" si="88"/>
        <v>Clermont</v>
      </c>
      <c r="CH378" s="7" t="b">
        <f t="shared" si="89"/>
        <v>1</v>
      </c>
      <c r="CI378" s="7" t="b">
        <f>C378=GenRev!C378</f>
        <v>1</v>
      </c>
    </row>
    <row r="379" spans="1:87" hidden="1">
      <c r="A379" s="12" t="s">
        <v>940</v>
      </c>
      <c r="B379" s="12"/>
      <c r="C379" s="12" t="s">
        <v>60</v>
      </c>
      <c r="D379" s="12"/>
      <c r="E379" s="12">
        <v>49718</v>
      </c>
      <c r="AI379" s="7">
        <v>0</v>
      </c>
      <c r="AL379" s="12" t="s">
        <v>940</v>
      </c>
      <c r="AM379" s="12"/>
      <c r="AN379" s="12" t="s">
        <v>60</v>
      </c>
      <c r="AR379" s="7">
        <v>0</v>
      </c>
      <c r="AT379" s="7">
        <v>0</v>
      </c>
      <c r="AV379" s="7">
        <v>0</v>
      </c>
      <c r="AX379" s="7">
        <v>0</v>
      </c>
      <c r="AZ379" s="7">
        <v>0</v>
      </c>
      <c r="BB379" s="7">
        <f t="shared" si="76"/>
        <v>0</v>
      </c>
      <c r="BF379" s="7">
        <v>0</v>
      </c>
      <c r="BH379" s="7">
        <v>0</v>
      </c>
      <c r="BJ379" s="7">
        <v>0</v>
      </c>
      <c r="BL379" s="7">
        <f t="shared" si="77"/>
        <v>0</v>
      </c>
      <c r="BN379" s="7">
        <f>+GenRev!AM379-GenExp!BL379</f>
        <v>0</v>
      </c>
      <c r="BR379" s="7">
        <v>0</v>
      </c>
      <c r="BT379" s="7">
        <v>0</v>
      </c>
      <c r="BV379" s="7">
        <f t="shared" si="98"/>
        <v>0</v>
      </c>
      <c r="BX379" s="8">
        <f>+BV379-'Gen Fd BS'!AE379+BT379</f>
        <v>0</v>
      </c>
      <c r="CA379" s="7" t="s">
        <v>839</v>
      </c>
      <c r="CB379" s="7" t="str">
        <f t="shared" si="90"/>
        <v>New Riegel Local SD (CASH)</v>
      </c>
      <c r="CC379" s="7" t="b">
        <f t="shared" si="87"/>
        <v>1</v>
      </c>
      <c r="CE379" s="12" t="str">
        <f>GenRev!A379</f>
        <v>New Riegel Local SD (CASH)</v>
      </c>
      <c r="CF379" s="7" t="b">
        <f t="shared" si="91"/>
        <v>1</v>
      </c>
      <c r="CG379" s="7" t="str">
        <f t="shared" si="88"/>
        <v>Seneca</v>
      </c>
      <c r="CH379" s="7" t="b">
        <f t="shared" si="89"/>
        <v>1</v>
      </c>
      <c r="CI379" s="7" t="b">
        <f>C379=GenRev!C379</f>
        <v>1</v>
      </c>
    </row>
    <row r="380" spans="1:87">
      <c r="A380" s="12" t="s">
        <v>388</v>
      </c>
      <c r="B380" s="12"/>
      <c r="C380" s="12" t="s">
        <v>42</v>
      </c>
      <c r="D380" s="12"/>
      <c r="E380" s="12">
        <v>44453</v>
      </c>
      <c r="G380" s="7">
        <v>29706326</v>
      </c>
      <c r="I380" s="7">
        <v>5481203</v>
      </c>
      <c r="K380" s="7">
        <v>437997</v>
      </c>
      <c r="M380" s="7">
        <v>0</v>
      </c>
      <c r="O380" s="7">
        <v>126873</v>
      </c>
      <c r="Q380" s="7">
        <v>3071382</v>
      </c>
      <c r="S380" s="7">
        <v>2144976</v>
      </c>
      <c r="U380" s="7">
        <v>241079</v>
      </c>
      <c r="W380" s="7">
        <v>3312510</v>
      </c>
      <c r="Y380" s="7">
        <v>1016583</v>
      </c>
      <c r="AA380" s="7">
        <v>516069</v>
      </c>
      <c r="AC380" s="7">
        <v>5804598</v>
      </c>
      <c r="AE380" s="7">
        <v>2127175</v>
      </c>
      <c r="AG380" s="7">
        <v>743796</v>
      </c>
      <c r="AI380" s="7">
        <v>0</v>
      </c>
      <c r="AK380" s="7">
        <v>50570</v>
      </c>
      <c r="AL380" s="12" t="s">
        <v>388</v>
      </c>
      <c r="AM380" s="12"/>
      <c r="AN380" s="12" t="s">
        <v>42</v>
      </c>
      <c r="AP380" s="7">
        <v>701923</v>
      </c>
      <c r="AR380" s="7">
        <v>0</v>
      </c>
      <c r="AT380" s="7">
        <v>0</v>
      </c>
      <c r="AV380" s="7">
        <v>0</v>
      </c>
      <c r="AX380" s="7">
        <v>0</v>
      </c>
      <c r="AZ380" s="7">
        <v>0</v>
      </c>
      <c r="BB380" s="7">
        <f>SUM(G380:AZ380)</f>
        <v>55483060</v>
      </c>
      <c r="BD380" s="7">
        <v>78975</v>
      </c>
      <c r="BF380" s="7">
        <v>0</v>
      </c>
      <c r="BH380" s="7">
        <v>0</v>
      </c>
      <c r="BJ380" s="7">
        <v>0</v>
      </c>
      <c r="BL380" s="7">
        <f>+BB380+BD380+BF380+BJ380</f>
        <v>55562035</v>
      </c>
      <c r="BN380" s="7">
        <f>+GenRev!AM380-GenExp!BL380</f>
        <v>-577030</v>
      </c>
      <c r="BP380" s="7">
        <v>11523652</v>
      </c>
      <c r="BR380" s="7">
        <v>0</v>
      </c>
      <c r="BT380" s="7">
        <v>0</v>
      </c>
      <c r="BV380" s="7">
        <f>+BP380+BN380-BR380</f>
        <v>10946622</v>
      </c>
      <c r="BX380" s="8">
        <f>+BV380-'Gen Fd BS'!AE380+BT380</f>
        <v>0</v>
      </c>
      <c r="CB380" s="7" t="str">
        <f t="shared" si="90"/>
        <v>Newark City SD</v>
      </c>
      <c r="CC380" s="7" t="b">
        <f t="shared" si="87"/>
        <v>1</v>
      </c>
      <c r="CE380" s="12" t="str">
        <f>GenRev!A380</f>
        <v>Newark City SD</v>
      </c>
      <c r="CF380" s="7" t="b">
        <f t="shared" si="91"/>
        <v>1</v>
      </c>
      <c r="CG380" s="7" t="str">
        <f t="shared" si="88"/>
        <v>Licking</v>
      </c>
      <c r="CH380" s="7" t="b">
        <f t="shared" si="89"/>
        <v>1</v>
      </c>
      <c r="CI380" s="7" t="b">
        <f>C380=GenRev!C380</f>
        <v>1</v>
      </c>
    </row>
    <row r="381" spans="1:87">
      <c r="A381" s="12" t="s">
        <v>323</v>
      </c>
      <c r="B381" s="12"/>
      <c r="C381" s="12" t="s">
        <v>30</v>
      </c>
      <c r="D381" s="12"/>
      <c r="E381" s="12">
        <v>47217</v>
      </c>
      <c r="G381" s="7">
        <v>3748520</v>
      </c>
      <c r="I381" s="7">
        <v>706268</v>
      </c>
      <c r="K381" s="7">
        <v>53514</v>
      </c>
      <c r="M381" s="7">
        <v>0</v>
      </c>
      <c r="O381" s="7">
        <v>4125</v>
      </c>
      <c r="Q381" s="7">
        <v>355428</v>
      </c>
      <c r="S381" s="7">
        <v>161697</v>
      </c>
      <c r="U381" s="7">
        <v>85795</v>
      </c>
      <c r="W381" s="7">
        <v>499578</v>
      </c>
      <c r="Y381" s="7">
        <v>290576</v>
      </c>
      <c r="AA381" s="7">
        <v>0</v>
      </c>
      <c r="AC381" s="7">
        <v>713330</v>
      </c>
      <c r="AE381" s="7">
        <v>564435</v>
      </c>
      <c r="AG381" s="7">
        <v>86344</v>
      </c>
      <c r="AI381" s="7">
        <v>0</v>
      </c>
      <c r="AK381" s="7">
        <v>268</v>
      </c>
      <c r="AL381" s="12" t="s">
        <v>323</v>
      </c>
      <c r="AM381" s="12"/>
      <c r="AN381" s="12" t="s">
        <v>30</v>
      </c>
      <c r="AP381" s="7">
        <v>237634</v>
      </c>
      <c r="AR381" s="7">
        <v>8855</v>
      </c>
      <c r="AT381" s="7">
        <v>0</v>
      </c>
      <c r="AV381" s="7">
        <v>0</v>
      </c>
      <c r="AX381" s="7">
        <v>0</v>
      </c>
      <c r="AZ381" s="7">
        <v>0</v>
      </c>
      <c r="BB381" s="7">
        <f t="shared" ref="BB381:BB398" si="101">SUM(G381:AZ381)</f>
        <v>7516367</v>
      </c>
      <c r="BD381" s="7">
        <v>78478</v>
      </c>
      <c r="BF381" s="7">
        <v>0</v>
      </c>
      <c r="BH381" s="7">
        <v>0</v>
      </c>
      <c r="BJ381" s="7">
        <v>0</v>
      </c>
      <c r="BL381" s="7">
        <f t="shared" ref="BL381:BL398" si="102">+BB381+BD381+BF381+BJ381</f>
        <v>7594845</v>
      </c>
      <c r="BN381" s="7">
        <f>+GenRev!AM381-GenExp!BL381</f>
        <v>9970</v>
      </c>
      <c r="BP381" s="7">
        <v>973479</v>
      </c>
      <c r="BR381" s="7">
        <v>0</v>
      </c>
      <c r="BT381" s="7">
        <v>0</v>
      </c>
      <c r="BV381" s="7">
        <f t="shared" ref="BV381:BV428" si="103">+BP381+BN381-BR381</f>
        <v>983449</v>
      </c>
      <c r="BX381" s="8">
        <f>+BV381-'Gen Fd BS'!AE381+BT381</f>
        <v>0</v>
      </c>
      <c r="CA381" s="97"/>
      <c r="CB381" s="7" t="str">
        <f t="shared" si="90"/>
        <v>Newbury Local SD</v>
      </c>
      <c r="CC381" s="7" t="b">
        <f t="shared" si="87"/>
        <v>1</v>
      </c>
      <c r="CE381" s="12" t="str">
        <f>GenRev!A381</f>
        <v>Newbury Local SD</v>
      </c>
      <c r="CF381" s="7" t="b">
        <f t="shared" si="91"/>
        <v>1</v>
      </c>
      <c r="CG381" s="7" t="str">
        <f t="shared" si="88"/>
        <v>Geauga</v>
      </c>
      <c r="CH381" s="7" t="b">
        <f t="shared" si="89"/>
        <v>1</v>
      </c>
      <c r="CI381" s="7" t="b">
        <f>C381=GenRev!C381</f>
        <v>1</v>
      </c>
    </row>
    <row r="382" spans="1:87">
      <c r="A382" s="12" t="s">
        <v>882</v>
      </c>
      <c r="B382" s="12"/>
      <c r="C382" s="12" t="s">
        <v>65</v>
      </c>
      <c r="D382" s="12"/>
      <c r="E382" s="12">
        <v>45542</v>
      </c>
      <c r="G382" s="7">
        <v>4413458</v>
      </c>
      <c r="I382" s="7">
        <v>720277</v>
      </c>
      <c r="K382" s="7">
        <v>104386</v>
      </c>
      <c r="M382" s="7">
        <v>6517</v>
      </c>
      <c r="O382" s="7">
        <v>726898</v>
      </c>
      <c r="Q382" s="7">
        <v>298391</v>
      </c>
      <c r="S382" s="7">
        <v>528906</v>
      </c>
      <c r="U382" s="7">
        <v>17867</v>
      </c>
      <c r="W382" s="7">
        <v>1029546</v>
      </c>
      <c r="Y382" s="7">
        <v>329626</v>
      </c>
      <c r="AA382" s="7">
        <v>0</v>
      </c>
      <c r="AC382" s="7">
        <v>811911</v>
      </c>
      <c r="AE382" s="7">
        <v>515157</v>
      </c>
      <c r="AG382" s="7">
        <v>12305</v>
      </c>
      <c r="AI382" s="7">
        <v>0</v>
      </c>
      <c r="AK382" s="7">
        <v>309</v>
      </c>
      <c r="AL382" s="12" t="s">
        <v>882</v>
      </c>
      <c r="AM382" s="12"/>
      <c r="AN382" s="12" t="s">
        <v>65</v>
      </c>
      <c r="AP382" s="7">
        <v>205890</v>
      </c>
      <c r="AR382" s="7">
        <f>26353+21920</f>
        <v>48273</v>
      </c>
      <c r="AT382" s="7">
        <v>0</v>
      </c>
      <c r="AV382" s="7">
        <v>4013</v>
      </c>
      <c r="AX382" s="7">
        <v>855</v>
      </c>
      <c r="AZ382" s="7">
        <v>0</v>
      </c>
      <c r="BB382" s="7">
        <f t="shared" si="101"/>
        <v>9774585</v>
      </c>
      <c r="BD382" s="7">
        <v>0</v>
      </c>
      <c r="BF382" s="7">
        <v>0</v>
      </c>
      <c r="BH382" s="7">
        <v>0</v>
      </c>
      <c r="BJ382" s="7">
        <v>0</v>
      </c>
      <c r="BL382" s="7">
        <f t="shared" si="102"/>
        <v>9774585</v>
      </c>
      <c r="BN382" s="7">
        <f>+GenRev!AM382-GenExp!BL382</f>
        <v>322689</v>
      </c>
      <c r="BP382" s="7">
        <v>-231184</v>
      </c>
      <c r="BR382" s="7">
        <v>0</v>
      </c>
      <c r="BT382" s="7">
        <v>0</v>
      </c>
      <c r="BV382" s="7">
        <f t="shared" si="103"/>
        <v>91505</v>
      </c>
      <c r="BX382" s="8">
        <f>+BV382-'Gen Fd BS'!AE382+BT382</f>
        <v>0</v>
      </c>
      <c r="CB382" s="7" t="str">
        <f t="shared" si="90"/>
        <v>Newcomerstown Exempted Village SD</v>
      </c>
      <c r="CC382" s="7" t="b">
        <f t="shared" si="87"/>
        <v>1</v>
      </c>
      <c r="CE382" s="12" t="str">
        <f>GenRev!A382</f>
        <v>Newcomerstown Exempted Village SD</v>
      </c>
      <c r="CF382" s="7" t="b">
        <f t="shared" si="91"/>
        <v>1</v>
      </c>
      <c r="CG382" s="7" t="str">
        <f t="shared" si="88"/>
        <v>Tuscarawas</v>
      </c>
      <c r="CH382" s="7" t="b">
        <f t="shared" si="89"/>
        <v>1</v>
      </c>
      <c r="CI382" s="7" t="b">
        <f>C382=GenRev!C382</f>
        <v>1</v>
      </c>
    </row>
    <row r="383" spans="1:87">
      <c r="A383" s="12" t="s">
        <v>883</v>
      </c>
      <c r="B383" s="12"/>
      <c r="C383" s="12" t="s">
        <v>64</v>
      </c>
      <c r="D383" s="12"/>
      <c r="E383" s="12">
        <v>45567</v>
      </c>
      <c r="G383" s="7">
        <v>5265289</v>
      </c>
      <c r="I383" s="7">
        <v>1167932</v>
      </c>
      <c r="K383" s="7">
        <v>145844</v>
      </c>
      <c r="M383" s="7">
        <v>0</v>
      </c>
      <c r="O383" s="7">
        <v>0</v>
      </c>
      <c r="Q383" s="7">
        <v>504974</v>
      </c>
      <c r="S383" s="7">
        <v>238132</v>
      </c>
      <c r="U383" s="7">
        <v>117491</v>
      </c>
      <c r="W383" s="7">
        <v>801683</v>
      </c>
      <c r="Y383" s="7">
        <v>285796</v>
      </c>
      <c r="AA383" s="7">
        <v>0</v>
      </c>
      <c r="AC383" s="7">
        <v>892361</v>
      </c>
      <c r="AE383" s="7">
        <v>650968</v>
      </c>
      <c r="AG383" s="7">
        <v>272886</v>
      </c>
      <c r="AI383" s="7">
        <v>0</v>
      </c>
      <c r="AK383" s="7">
        <v>0</v>
      </c>
      <c r="AL383" s="12" t="s">
        <v>883</v>
      </c>
      <c r="AM383" s="12"/>
      <c r="AN383" s="12" t="s">
        <v>64</v>
      </c>
      <c r="AP383" s="7">
        <v>283978</v>
      </c>
      <c r="AR383" s="7">
        <v>0</v>
      </c>
      <c r="AT383" s="7">
        <v>0</v>
      </c>
      <c r="AV383" s="7">
        <v>0</v>
      </c>
      <c r="AX383" s="7">
        <v>0</v>
      </c>
      <c r="AZ383" s="7">
        <v>0</v>
      </c>
      <c r="BB383" s="7">
        <f t="shared" si="101"/>
        <v>10627334</v>
      </c>
      <c r="BD383" s="7">
        <v>50397</v>
      </c>
      <c r="BF383" s="7">
        <v>0</v>
      </c>
      <c r="BH383" s="7">
        <v>0</v>
      </c>
      <c r="BJ383" s="7">
        <v>0</v>
      </c>
      <c r="BL383" s="7">
        <f t="shared" si="102"/>
        <v>10677731</v>
      </c>
      <c r="BN383" s="7">
        <f>+GenRev!AM383-GenExp!BL383</f>
        <v>29877</v>
      </c>
      <c r="BP383" s="7">
        <v>355281</v>
      </c>
      <c r="BR383" s="7">
        <v>0</v>
      </c>
      <c r="BT383" s="7">
        <v>0</v>
      </c>
      <c r="BV383" s="7">
        <f t="shared" si="103"/>
        <v>385158</v>
      </c>
      <c r="BX383" s="8">
        <f>+BV383-'Gen Fd BS'!AE383+BT383</f>
        <v>0</v>
      </c>
      <c r="CB383" s="7" t="str">
        <f t="shared" si="90"/>
        <v>Newton Falls Exempted Village SD</v>
      </c>
      <c r="CC383" s="7" t="b">
        <f t="shared" si="87"/>
        <v>1</v>
      </c>
      <c r="CE383" s="12" t="str">
        <f>GenRev!A383</f>
        <v>Newton Falls Exempted Village SD</v>
      </c>
      <c r="CF383" s="7" t="b">
        <f t="shared" si="91"/>
        <v>1</v>
      </c>
      <c r="CG383" s="7" t="str">
        <f t="shared" si="88"/>
        <v>Trumbull</v>
      </c>
      <c r="CH383" s="7" t="b">
        <f t="shared" si="89"/>
        <v>1</v>
      </c>
      <c r="CI383" s="7" t="b">
        <f>C383=GenRev!C383</f>
        <v>1</v>
      </c>
    </row>
    <row r="384" spans="1:87" hidden="1">
      <c r="A384" s="12" t="s">
        <v>941</v>
      </c>
      <c r="B384" s="12"/>
      <c r="C384" s="12" t="s">
        <v>48</v>
      </c>
      <c r="D384" s="12"/>
      <c r="E384" s="12">
        <v>48637</v>
      </c>
      <c r="AI384" s="7">
        <v>0</v>
      </c>
      <c r="AL384" s="12" t="s">
        <v>941</v>
      </c>
      <c r="AM384" s="12"/>
      <c r="AN384" s="12" t="s">
        <v>48</v>
      </c>
      <c r="AT384" s="7">
        <v>0</v>
      </c>
      <c r="AV384" s="7">
        <v>0</v>
      </c>
      <c r="AZ384" s="7">
        <v>0</v>
      </c>
      <c r="BB384" s="7">
        <f t="shared" si="101"/>
        <v>0</v>
      </c>
      <c r="BF384" s="7">
        <v>0</v>
      </c>
      <c r="BH384" s="7">
        <v>0</v>
      </c>
      <c r="BJ384" s="7">
        <v>0</v>
      </c>
      <c r="BL384" s="7">
        <f t="shared" si="102"/>
        <v>0</v>
      </c>
      <c r="BN384" s="7">
        <f>+GenRev!AM384-GenExp!BL384</f>
        <v>0</v>
      </c>
      <c r="BR384" s="7">
        <v>0</v>
      </c>
      <c r="BT384" s="7">
        <v>0</v>
      </c>
      <c r="BV384" s="7">
        <f t="shared" si="103"/>
        <v>0</v>
      </c>
      <c r="BX384" s="8">
        <f>+BV384-'Gen Fd BS'!AE384+BT384</f>
        <v>0</v>
      </c>
      <c r="CA384" s="7" t="s">
        <v>912</v>
      </c>
      <c r="CB384" s="7" t="str">
        <f t="shared" si="90"/>
        <v>Newton Local SD (CASH)</v>
      </c>
      <c r="CC384" s="7" t="b">
        <f t="shared" si="87"/>
        <v>1</v>
      </c>
      <c r="CE384" s="12" t="str">
        <f>GenRev!A384</f>
        <v>Newton Local SD (CASH)</v>
      </c>
      <c r="CF384" s="7" t="b">
        <f t="shared" si="91"/>
        <v>1</v>
      </c>
      <c r="CG384" s="7" t="str">
        <f t="shared" si="88"/>
        <v>Miami</v>
      </c>
      <c r="CH384" s="7" t="b">
        <f t="shared" si="89"/>
        <v>1</v>
      </c>
      <c r="CI384" s="7" t="b">
        <f>C384=GenRev!C384</f>
        <v>1</v>
      </c>
    </row>
    <row r="385" spans="1:87">
      <c r="A385" s="12" t="s">
        <v>631</v>
      </c>
      <c r="B385" s="12"/>
      <c r="C385" s="12" t="s">
        <v>64</v>
      </c>
      <c r="D385" s="12"/>
      <c r="E385" s="12"/>
      <c r="G385" s="7">
        <v>10111935</v>
      </c>
      <c r="I385" s="7">
        <v>2553124</v>
      </c>
      <c r="K385" s="7">
        <v>90762</v>
      </c>
      <c r="M385" s="7">
        <v>0</v>
      </c>
      <c r="O385" s="7">
        <v>994580</v>
      </c>
      <c r="Q385" s="7">
        <v>1101595</v>
      </c>
      <c r="S385" s="7">
        <v>1003022</v>
      </c>
      <c r="U385" s="7">
        <v>57254</v>
      </c>
      <c r="W385" s="7">
        <v>2212615</v>
      </c>
      <c r="Y385" s="7">
        <v>395006</v>
      </c>
      <c r="AA385" s="7">
        <v>207005</v>
      </c>
      <c r="AC385" s="7">
        <v>1879698</v>
      </c>
      <c r="AE385" s="7">
        <v>1142843</v>
      </c>
      <c r="AG385" s="7">
        <v>253826</v>
      </c>
      <c r="AI385" s="7">
        <v>0</v>
      </c>
      <c r="AK385" s="7">
        <v>42878</v>
      </c>
      <c r="AL385" s="12" t="s">
        <v>631</v>
      </c>
      <c r="AM385" s="12"/>
      <c r="AN385" s="12" t="s">
        <v>64</v>
      </c>
      <c r="AP385" s="7">
        <v>323333</v>
      </c>
      <c r="AR385" s="7">
        <v>6825</v>
      </c>
      <c r="AT385" s="7">
        <v>0</v>
      </c>
      <c r="AV385" s="7">
        <v>0</v>
      </c>
      <c r="AX385" s="7">
        <v>3851</v>
      </c>
      <c r="AZ385" s="7">
        <v>0</v>
      </c>
      <c r="BB385" s="7">
        <f t="shared" si="101"/>
        <v>22380152</v>
      </c>
      <c r="BD385" s="7">
        <v>0</v>
      </c>
      <c r="BF385" s="7">
        <v>0</v>
      </c>
      <c r="BH385" s="7">
        <v>0</v>
      </c>
      <c r="BJ385" s="7">
        <v>0</v>
      </c>
      <c r="BL385" s="7">
        <f t="shared" si="102"/>
        <v>22380152</v>
      </c>
      <c r="BN385" s="7">
        <f>+GenRev!AM385-GenExp!BL385</f>
        <v>224713</v>
      </c>
      <c r="BP385" s="7">
        <v>-2641487</v>
      </c>
      <c r="BR385" s="7">
        <v>0</v>
      </c>
      <c r="BT385" s="7">
        <v>0</v>
      </c>
      <c r="BV385" s="7">
        <f t="shared" si="103"/>
        <v>-2416774</v>
      </c>
      <c r="BX385" s="8">
        <f>+BV385-'Gen Fd BS'!AE385+BT385</f>
        <v>0</v>
      </c>
      <c r="CB385" s="7" t="str">
        <f t="shared" si="90"/>
        <v>Niles City SD</v>
      </c>
      <c r="CC385" s="7" t="b">
        <f t="shared" si="87"/>
        <v>1</v>
      </c>
      <c r="CE385" s="12" t="str">
        <f>GenRev!A385</f>
        <v>Niles City SD</v>
      </c>
      <c r="CF385" s="7" t="b">
        <f t="shared" si="91"/>
        <v>1</v>
      </c>
      <c r="CG385" s="7" t="str">
        <f t="shared" si="88"/>
        <v>Trumbull</v>
      </c>
      <c r="CH385" s="7" t="b">
        <f t="shared" si="89"/>
        <v>1</v>
      </c>
      <c r="CI385" s="7" t="b">
        <f>C385=GenRev!C385</f>
        <v>1</v>
      </c>
    </row>
    <row r="386" spans="1:87">
      <c r="A386" s="12" t="s">
        <v>462</v>
      </c>
      <c r="B386" s="12"/>
      <c r="C386" s="12" t="s">
        <v>52</v>
      </c>
      <c r="D386" s="12"/>
      <c r="E386" s="12">
        <v>48900</v>
      </c>
      <c r="G386" s="7">
        <v>4260507</v>
      </c>
      <c r="I386" s="7">
        <v>663942</v>
      </c>
      <c r="K386" s="7">
        <v>320417</v>
      </c>
      <c r="M386" s="7">
        <v>0</v>
      </c>
      <c r="O386" s="7">
        <v>0</v>
      </c>
      <c r="Q386" s="7">
        <v>206698</v>
      </c>
      <c r="S386" s="7">
        <v>181375</v>
      </c>
      <c r="U386" s="7">
        <v>45767</v>
      </c>
      <c r="W386" s="7">
        <v>1034339</v>
      </c>
      <c r="Y386" s="7">
        <v>361686</v>
      </c>
      <c r="AA386" s="7">
        <v>23463</v>
      </c>
      <c r="AC386" s="7">
        <v>757547</v>
      </c>
      <c r="AE386" s="7">
        <v>994623</v>
      </c>
      <c r="AG386" s="7">
        <v>0</v>
      </c>
      <c r="AI386" s="7">
        <v>0</v>
      </c>
      <c r="AK386" s="7">
        <v>0</v>
      </c>
      <c r="AL386" s="12" t="s">
        <v>462</v>
      </c>
      <c r="AM386" s="12"/>
      <c r="AN386" s="12" t="s">
        <v>52</v>
      </c>
      <c r="AP386" s="7">
        <v>117826</v>
      </c>
      <c r="AR386" s="7">
        <v>0</v>
      </c>
      <c r="AT386" s="7">
        <v>0</v>
      </c>
      <c r="AV386" s="7">
        <v>24296</v>
      </c>
      <c r="AX386" s="7">
        <v>4384</v>
      </c>
      <c r="AZ386" s="7">
        <v>0</v>
      </c>
      <c r="BB386" s="7">
        <f t="shared" si="101"/>
        <v>8996870</v>
      </c>
      <c r="BD386" s="7">
        <v>0</v>
      </c>
      <c r="BF386" s="7">
        <v>0</v>
      </c>
      <c r="BH386" s="7">
        <v>0</v>
      </c>
      <c r="BJ386" s="7">
        <v>0</v>
      </c>
      <c r="BL386" s="7">
        <f t="shared" si="102"/>
        <v>8996870</v>
      </c>
      <c r="BN386" s="7">
        <f>+GenRev!AM386-GenExp!BL386</f>
        <v>441759</v>
      </c>
      <c r="BP386" s="7">
        <v>883155</v>
      </c>
      <c r="BR386" s="7">
        <v>0</v>
      </c>
      <c r="BT386" s="7">
        <v>0</v>
      </c>
      <c r="BV386" s="7">
        <f t="shared" si="103"/>
        <v>1324914</v>
      </c>
      <c r="BX386" s="8">
        <f>+BV386-'Gen Fd BS'!AE386+BT386</f>
        <v>0</v>
      </c>
      <c r="CB386" s="7" t="str">
        <f t="shared" si="90"/>
        <v>Noble Local SD</v>
      </c>
      <c r="CC386" s="7" t="b">
        <f t="shared" si="87"/>
        <v>1</v>
      </c>
      <c r="CE386" s="12" t="str">
        <f>GenRev!A386</f>
        <v>Noble Local SD</v>
      </c>
      <c r="CF386" s="7" t="b">
        <f t="shared" si="91"/>
        <v>1</v>
      </c>
      <c r="CG386" s="7" t="str">
        <f t="shared" si="88"/>
        <v>Noble</v>
      </c>
      <c r="CH386" s="7" t="b">
        <f t="shared" si="89"/>
        <v>1</v>
      </c>
      <c r="CI386" s="7" t="b">
        <f>C386=GenRev!C386</f>
        <v>1</v>
      </c>
    </row>
    <row r="387" spans="1:87">
      <c r="A387" s="12" t="s">
        <v>527</v>
      </c>
      <c r="B387" s="12"/>
      <c r="C387" s="12" t="s">
        <v>63</v>
      </c>
      <c r="D387" s="12"/>
      <c r="E387" s="12">
        <v>50047</v>
      </c>
      <c r="G387" s="7">
        <v>17558830</v>
      </c>
      <c r="I387" s="7">
        <v>3912478</v>
      </c>
      <c r="K387" s="7">
        <v>250052</v>
      </c>
      <c r="M387" s="7">
        <v>0</v>
      </c>
      <c r="O387" s="7">
        <v>955132</v>
      </c>
      <c r="Q387" s="7">
        <v>2996029</v>
      </c>
      <c r="S387" s="7">
        <v>941349</v>
      </c>
      <c r="U387" s="7">
        <v>95436</v>
      </c>
      <c r="W387" s="7">
        <v>2641259</v>
      </c>
      <c r="Y387" s="7">
        <v>1028656</v>
      </c>
      <c r="AA387" s="7">
        <v>263821</v>
      </c>
      <c r="AC387" s="7">
        <v>3648549</v>
      </c>
      <c r="AE387" s="7">
        <v>2164436</v>
      </c>
      <c r="AG387" s="7">
        <v>849495</v>
      </c>
      <c r="AI387" s="7">
        <v>0</v>
      </c>
      <c r="AK387" s="7">
        <v>1059</v>
      </c>
      <c r="AL387" s="12" t="s">
        <v>527</v>
      </c>
      <c r="AM387" s="12"/>
      <c r="AN387" s="12" t="s">
        <v>63</v>
      </c>
      <c r="AP387" s="7">
        <v>1088298</v>
      </c>
      <c r="AR387" s="7">
        <v>0</v>
      </c>
      <c r="AT387" s="7">
        <v>0</v>
      </c>
      <c r="AV387" s="7">
        <v>43497</v>
      </c>
      <c r="AX387" s="7">
        <v>0</v>
      </c>
      <c r="AZ387" s="7">
        <v>0</v>
      </c>
      <c r="BB387" s="7">
        <f t="shared" si="101"/>
        <v>38438376</v>
      </c>
      <c r="BD387" s="7">
        <v>20530</v>
      </c>
      <c r="BF387" s="7">
        <v>0</v>
      </c>
      <c r="BH387" s="7">
        <v>0</v>
      </c>
      <c r="BJ387" s="7">
        <v>0</v>
      </c>
      <c r="BL387" s="7">
        <f t="shared" si="102"/>
        <v>38458906</v>
      </c>
      <c r="BN387" s="7">
        <f>+GenRev!AM387-GenExp!BL387</f>
        <v>-1003269</v>
      </c>
      <c r="BP387" s="7">
        <v>6414872</v>
      </c>
      <c r="BR387" s="7">
        <v>0</v>
      </c>
      <c r="BT387" s="7">
        <v>0</v>
      </c>
      <c r="BV387" s="7">
        <f t="shared" si="103"/>
        <v>5411603</v>
      </c>
      <c r="BX387" s="8">
        <f>+BV387-'Gen Fd BS'!AE387+BT387</f>
        <v>0</v>
      </c>
      <c r="CB387" s="7" t="str">
        <f t="shared" si="90"/>
        <v>Nordonia Hills City SD</v>
      </c>
      <c r="CC387" s="7" t="b">
        <f t="shared" si="87"/>
        <v>1</v>
      </c>
      <c r="CE387" s="12" t="str">
        <f>GenRev!A387</f>
        <v>Nordonia Hills City SD</v>
      </c>
      <c r="CF387" s="7" t="b">
        <f t="shared" si="91"/>
        <v>1</v>
      </c>
      <c r="CG387" s="7" t="str">
        <f t="shared" si="88"/>
        <v>Summit</v>
      </c>
      <c r="CH387" s="7" t="b">
        <f t="shared" si="89"/>
        <v>1</v>
      </c>
      <c r="CI387" s="7" t="b">
        <f>C387=GenRev!C387</f>
        <v>1</v>
      </c>
    </row>
    <row r="388" spans="1:87">
      <c r="A388" s="12" t="s">
        <v>574</v>
      </c>
      <c r="B388" s="12"/>
      <c r="C388" s="12" t="s">
        <v>72</v>
      </c>
      <c r="D388" s="12"/>
      <c r="E388" s="12">
        <v>50708</v>
      </c>
      <c r="G388" s="7">
        <v>2548999</v>
      </c>
      <c r="I388" s="7">
        <v>1107419</v>
      </c>
      <c r="K388" s="7">
        <v>0</v>
      </c>
      <c r="M388" s="7">
        <v>0</v>
      </c>
      <c r="O388" s="7">
        <v>552393</v>
      </c>
      <c r="Q388" s="7">
        <v>212509</v>
      </c>
      <c r="S388" s="7">
        <v>351984</v>
      </c>
      <c r="U388" s="7">
        <v>128919</v>
      </c>
      <c r="W388" s="7">
        <v>604975</v>
      </c>
      <c r="Y388" s="7">
        <v>306169</v>
      </c>
      <c r="AA388" s="7">
        <v>0</v>
      </c>
      <c r="AC388" s="7">
        <v>623929</v>
      </c>
      <c r="AE388" s="7">
        <v>285077</v>
      </c>
      <c r="AG388" s="7">
        <v>0</v>
      </c>
      <c r="AI388" s="7">
        <v>0</v>
      </c>
      <c r="AK388" s="7">
        <v>0</v>
      </c>
      <c r="AL388" s="12" t="s">
        <v>574</v>
      </c>
      <c r="AM388" s="12"/>
      <c r="AN388" s="12" t="s">
        <v>72</v>
      </c>
      <c r="AP388" s="7">
        <v>207097</v>
      </c>
      <c r="AR388" s="7">
        <v>0</v>
      </c>
      <c r="AT388" s="7">
        <v>0</v>
      </c>
      <c r="AV388" s="7">
        <v>0</v>
      </c>
      <c r="AX388" s="7">
        <v>0</v>
      </c>
      <c r="AZ388" s="7">
        <v>0</v>
      </c>
      <c r="BB388" s="7">
        <f t="shared" si="101"/>
        <v>6929470</v>
      </c>
      <c r="BD388" s="7">
        <v>2210</v>
      </c>
      <c r="BF388" s="7">
        <v>0</v>
      </c>
      <c r="BH388" s="7">
        <v>0</v>
      </c>
      <c r="BJ388" s="7">
        <v>0</v>
      </c>
      <c r="BL388" s="7">
        <f t="shared" si="102"/>
        <v>6931680</v>
      </c>
      <c r="BN388" s="7">
        <f>+GenRev!AM388-GenExp!BL388</f>
        <v>859533</v>
      </c>
      <c r="BP388" s="7">
        <v>1345925</v>
      </c>
      <c r="BR388" s="7">
        <v>0</v>
      </c>
      <c r="BT388" s="7">
        <v>0</v>
      </c>
      <c r="BV388" s="7">
        <f t="shared" si="103"/>
        <v>2205458</v>
      </c>
      <c r="BX388" s="8">
        <f>+BV388-'Gen Fd BS'!AE388+BT388</f>
        <v>0</v>
      </c>
      <c r="CB388" s="7" t="str">
        <f t="shared" si="90"/>
        <v>North Baltimore Local SD</v>
      </c>
      <c r="CC388" s="7" t="b">
        <f t="shared" si="87"/>
        <v>1</v>
      </c>
      <c r="CE388" s="12" t="str">
        <f>GenRev!A388</f>
        <v>North Baltimore Local SD</v>
      </c>
      <c r="CF388" s="7" t="b">
        <f t="shared" si="91"/>
        <v>1</v>
      </c>
      <c r="CG388" s="7" t="str">
        <f t="shared" si="88"/>
        <v>Wood</v>
      </c>
      <c r="CH388" s="7" t="b">
        <f t="shared" si="89"/>
        <v>1</v>
      </c>
      <c r="CI388" s="7" t="b">
        <f>C388=GenRev!C388</f>
        <v>1</v>
      </c>
    </row>
    <row r="389" spans="1:87" hidden="1">
      <c r="A389" s="12" t="s">
        <v>943</v>
      </c>
      <c r="B389" s="12"/>
      <c r="C389" s="12" t="s">
        <v>53</v>
      </c>
      <c r="D389" s="12"/>
      <c r="E389" s="12">
        <v>48967</v>
      </c>
      <c r="AI389" s="7">
        <v>0</v>
      </c>
      <c r="AL389" s="12" t="s">
        <v>943</v>
      </c>
      <c r="AM389" s="12"/>
      <c r="AN389" s="12" t="s">
        <v>53</v>
      </c>
      <c r="AT389" s="7">
        <v>0</v>
      </c>
      <c r="AZ389" s="7">
        <v>0</v>
      </c>
      <c r="BB389" s="7">
        <f t="shared" si="101"/>
        <v>0</v>
      </c>
      <c r="BF389" s="7">
        <v>0</v>
      </c>
      <c r="BH389" s="7">
        <v>0</v>
      </c>
      <c r="BJ389" s="7">
        <v>0</v>
      </c>
      <c r="BL389" s="7">
        <f t="shared" si="102"/>
        <v>0</v>
      </c>
      <c r="BN389" s="7">
        <f>+GenRev!AM389-GenExp!BL389</f>
        <v>0</v>
      </c>
      <c r="BT389" s="7">
        <v>0</v>
      </c>
      <c r="BV389" s="7">
        <f t="shared" si="103"/>
        <v>0</v>
      </c>
      <c r="BX389" s="8">
        <f>+BV389-'Gen Fd BS'!AE389+BT389</f>
        <v>0</v>
      </c>
      <c r="CA389" s="7" t="s">
        <v>839</v>
      </c>
      <c r="CB389" s="7" t="str">
        <f t="shared" si="90"/>
        <v>North Bass Local SD (Two year Audit - CASH)</v>
      </c>
      <c r="CC389" s="7" t="b">
        <f t="shared" si="87"/>
        <v>1</v>
      </c>
      <c r="CE389" s="12" t="str">
        <f>GenRev!A389</f>
        <v>North Bass Local SD (Two year Audit - CASH)</v>
      </c>
      <c r="CF389" s="7" t="b">
        <f t="shared" si="91"/>
        <v>1</v>
      </c>
      <c r="CG389" s="7" t="str">
        <f t="shared" si="88"/>
        <v>Ottawa</v>
      </c>
      <c r="CH389" s="7" t="b">
        <f t="shared" si="89"/>
        <v>1</v>
      </c>
      <c r="CI389" s="7" t="b">
        <f>C389=GenRev!C389</f>
        <v>1</v>
      </c>
    </row>
    <row r="390" spans="1:87">
      <c r="A390" s="12" t="s">
        <v>518</v>
      </c>
      <c r="B390" s="12"/>
      <c r="C390" s="12" t="s">
        <v>62</v>
      </c>
      <c r="D390" s="12"/>
      <c r="E390" s="12">
        <v>44503</v>
      </c>
      <c r="G390" s="7">
        <v>18158976</v>
      </c>
      <c r="I390" s="7">
        <v>2772445</v>
      </c>
      <c r="K390" s="7">
        <v>1785204</v>
      </c>
      <c r="M390" s="7">
        <v>4831</v>
      </c>
      <c r="O390" s="7">
        <v>251183</v>
      </c>
      <c r="Q390" s="7">
        <v>1667826</v>
      </c>
      <c r="S390" s="7">
        <v>1929679</v>
      </c>
      <c r="U390" s="7">
        <v>23928</v>
      </c>
      <c r="W390" s="7">
        <v>2516137</v>
      </c>
      <c r="Y390" s="7">
        <v>984642</v>
      </c>
      <c r="AA390" s="7">
        <v>5806</v>
      </c>
      <c r="AC390" s="7">
        <v>2992051</v>
      </c>
      <c r="AE390" s="7">
        <v>2713856</v>
      </c>
      <c r="AG390" s="7">
        <v>170210</v>
      </c>
      <c r="AI390" s="7">
        <v>0</v>
      </c>
      <c r="AK390" s="7">
        <v>16079</v>
      </c>
      <c r="AL390" s="12" t="s">
        <v>518</v>
      </c>
      <c r="AM390" s="12"/>
      <c r="AN390" s="12" t="s">
        <v>62</v>
      </c>
      <c r="AP390" s="7">
        <v>734206</v>
      </c>
      <c r="AR390" s="7">
        <v>15359</v>
      </c>
      <c r="AT390" s="7">
        <v>0</v>
      </c>
      <c r="AV390" s="7">
        <v>179248</v>
      </c>
      <c r="AX390" s="7">
        <v>25021</v>
      </c>
      <c r="AZ390" s="7">
        <v>0</v>
      </c>
      <c r="BB390" s="7">
        <f t="shared" si="101"/>
        <v>36946687</v>
      </c>
      <c r="BD390" s="7">
        <v>158140</v>
      </c>
      <c r="BF390" s="7">
        <v>0</v>
      </c>
      <c r="BH390" s="7">
        <v>0</v>
      </c>
      <c r="BJ390" s="7">
        <v>0</v>
      </c>
      <c r="BL390" s="7">
        <f t="shared" si="102"/>
        <v>37104827</v>
      </c>
      <c r="BN390" s="7">
        <f>+GenRev!AM390-GenExp!BL390</f>
        <v>5878658</v>
      </c>
      <c r="BP390" s="7">
        <v>-3635392</v>
      </c>
      <c r="BR390" s="7">
        <v>-1913</v>
      </c>
      <c r="BT390" s="7">
        <v>0</v>
      </c>
      <c r="BV390" s="7">
        <f t="shared" si="103"/>
        <v>2245179</v>
      </c>
      <c r="BX390" s="8">
        <f>+BV390-'Gen Fd BS'!AE390+BT390</f>
        <v>0</v>
      </c>
      <c r="CB390" s="7" t="str">
        <f t="shared" si="90"/>
        <v>North Canton City SD</v>
      </c>
      <c r="CC390" s="7" t="b">
        <f t="shared" si="87"/>
        <v>1</v>
      </c>
      <c r="CE390" s="12" t="str">
        <f>GenRev!A390</f>
        <v>North Canton City SD</v>
      </c>
      <c r="CF390" s="7" t="b">
        <f t="shared" si="91"/>
        <v>1</v>
      </c>
      <c r="CG390" s="7" t="str">
        <f t="shared" si="88"/>
        <v>Stark</v>
      </c>
      <c r="CH390" s="7" t="b">
        <f t="shared" si="89"/>
        <v>1</v>
      </c>
      <c r="CI390" s="7" t="b">
        <f>C390=GenRev!C390</f>
        <v>1</v>
      </c>
    </row>
    <row r="391" spans="1:87" hidden="1">
      <c r="A391" s="12" t="s">
        <v>944</v>
      </c>
      <c r="B391" s="12"/>
      <c r="C391" s="12" t="s">
        <v>570</v>
      </c>
      <c r="D391" s="12"/>
      <c r="E391" s="12">
        <v>50641</v>
      </c>
      <c r="F391" s="10"/>
      <c r="AI391" s="7">
        <v>0</v>
      </c>
      <c r="AL391" s="12" t="s">
        <v>944</v>
      </c>
      <c r="AM391" s="12"/>
      <c r="AN391" s="12" t="s">
        <v>570</v>
      </c>
      <c r="AT391" s="7">
        <v>0</v>
      </c>
      <c r="AZ391" s="7">
        <v>0</v>
      </c>
      <c r="BB391" s="7">
        <f t="shared" si="101"/>
        <v>0</v>
      </c>
      <c r="BF391" s="7">
        <v>0</v>
      </c>
      <c r="BH391" s="7">
        <v>0</v>
      </c>
      <c r="BJ391" s="7">
        <v>0</v>
      </c>
      <c r="BL391" s="7">
        <f t="shared" si="102"/>
        <v>0</v>
      </c>
      <c r="BN391" s="7">
        <f>+GenRev!AM391-GenExp!BL391</f>
        <v>0</v>
      </c>
      <c r="BT391" s="7">
        <v>0</v>
      </c>
      <c r="BV391" s="7">
        <f t="shared" si="103"/>
        <v>0</v>
      </c>
      <c r="BX391" s="8">
        <f>+BV391-'Gen Fd BS'!AE391+BT391</f>
        <v>0</v>
      </c>
      <c r="CA391" s="7" t="s">
        <v>839</v>
      </c>
      <c r="CB391" s="7" t="str">
        <f t="shared" si="90"/>
        <v>North Central Local SD (CASH)</v>
      </c>
      <c r="CC391" s="7" t="b">
        <f t="shared" si="87"/>
        <v>1</v>
      </c>
      <c r="CE391" s="12" t="str">
        <f>GenRev!A391</f>
        <v>North Central Local SD (CASH)</v>
      </c>
      <c r="CF391" s="7" t="b">
        <f t="shared" si="91"/>
        <v>1</v>
      </c>
      <c r="CG391" s="7" t="str">
        <f t="shared" si="88"/>
        <v>Williams</v>
      </c>
      <c r="CH391" s="7" t="b">
        <f t="shared" si="89"/>
        <v>1</v>
      </c>
      <c r="CI391" s="7" t="b">
        <f>C391=GenRev!C391</f>
        <v>1</v>
      </c>
    </row>
    <row r="392" spans="1:87">
      <c r="A392" s="12" t="s">
        <v>748</v>
      </c>
      <c r="B392" s="12"/>
      <c r="C392" s="12" t="s">
        <v>32</v>
      </c>
      <c r="D392" s="12"/>
      <c r="E392" s="12">
        <v>44511</v>
      </c>
      <c r="G392" s="7">
        <v>5791744</v>
      </c>
      <c r="I392" s="7">
        <v>2010358</v>
      </c>
      <c r="K392" s="7">
        <v>36143</v>
      </c>
      <c r="M392" s="7">
        <v>0</v>
      </c>
      <c r="O392" s="7">
        <f>39623+35810</f>
        <v>75433</v>
      </c>
      <c r="Q392" s="7">
        <v>970763</v>
      </c>
      <c r="S392" s="7">
        <v>674574</v>
      </c>
      <c r="U392" s="7">
        <v>30243</v>
      </c>
      <c r="W392" s="7">
        <v>796289</v>
      </c>
      <c r="Y392" s="7">
        <v>266692</v>
      </c>
      <c r="AA392" s="7">
        <v>9760</v>
      </c>
      <c r="AC392" s="7">
        <v>968445</v>
      </c>
      <c r="AE392" s="7">
        <v>232525</v>
      </c>
      <c r="AG392" s="7">
        <v>0</v>
      </c>
      <c r="AI392" s="7">
        <v>0</v>
      </c>
      <c r="AK392" s="7">
        <v>1472</v>
      </c>
      <c r="AL392" s="12" t="s">
        <v>748</v>
      </c>
      <c r="AM392" s="12"/>
      <c r="AN392" s="12" t="s">
        <v>32</v>
      </c>
      <c r="AP392" s="7">
        <v>167238</v>
      </c>
      <c r="AR392" s="7">
        <v>0</v>
      </c>
      <c r="AT392" s="7">
        <v>0</v>
      </c>
      <c r="AV392" s="7">
        <v>0</v>
      </c>
      <c r="AX392" s="7">
        <v>0</v>
      </c>
      <c r="AZ392" s="7">
        <v>0</v>
      </c>
      <c r="BB392" s="7">
        <f t="shared" si="101"/>
        <v>12031679</v>
      </c>
      <c r="BD392" s="7">
        <v>38965</v>
      </c>
      <c r="BF392" s="7">
        <v>0</v>
      </c>
      <c r="BH392" s="7">
        <v>0</v>
      </c>
      <c r="BJ392" s="7">
        <v>0</v>
      </c>
      <c r="BL392" s="7">
        <f t="shared" si="102"/>
        <v>12070644</v>
      </c>
      <c r="BN392" s="7">
        <f>+GenRev!AM392-GenExp!BL392</f>
        <v>-284504</v>
      </c>
      <c r="BP392" s="7">
        <v>277295</v>
      </c>
      <c r="BR392" s="7">
        <v>0</v>
      </c>
      <c r="BT392" s="7">
        <v>0</v>
      </c>
      <c r="BV392" s="7">
        <f t="shared" si="103"/>
        <v>-7209</v>
      </c>
      <c r="BX392" s="8">
        <f>+BV392-'Gen Fd BS'!AE392+BT392</f>
        <v>0</v>
      </c>
      <c r="CA392" s="7" t="s">
        <v>945</v>
      </c>
      <c r="CB392" s="7" t="str">
        <f t="shared" si="90"/>
        <v xml:space="preserve">North College Hill City SD </v>
      </c>
      <c r="CC392" s="7" t="b">
        <f t="shared" si="87"/>
        <v>1</v>
      </c>
      <c r="CE392" s="12" t="str">
        <f>GenRev!A392</f>
        <v xml:space="preserve">North College Hill City SD </v>
      </c>
      <c r="CF392" s="7" t="b">
        <f t="shared" si="91"/>
        <v>1</v>
      </c>
      <c r="CG392" s="7" t="str">
        <f t="shared" si="88"/>
        <v>Hamilton</v>
      </c>
      <c r="CH392" s="7" t="b">
        <f t="shared" si="89"/>
        <v>1</v>
      </c>
      <c r="CI392" s="7" t="b">
        <f>C392=GenRev!C392</f>
        <v>1</v>
      </c>
    </row>
    <row r="393" spans="1:87">
      <c r="A393" s="12" t="s">
        <v>389</v>
      </c>
      <c r="B393" s="12"/>
      <c r="C393" s="12" t="s">
        <v>42</v>
      </c>
      <c r="D393" s="12"/>
      <c r="E393" s="12">
        <v>48025</v>
      </c>
      <c r="G393" s="7">
        <v>5006132</v>
      </c>
      <c r="I393" s="7">
        <v>2286734</v>
      </c>
      <c r="K393" s="7">
        <v>213710</v>
      </c>
      <c r="M393" s="7">
        <v>0</v>
      </c>
      <c r="O393" s="7">
        <v>248689</v>
      </c>
      <c r="Q393" s="7">
        <v>1472620</v>
      </c>
      <c r="S393" s="7">
        <v>170381</v>
      </c>
      <c r="U393" s="7">
        <v>33895</v>
      </c>
      <c r="W393" s="7">
        <v>1363160</v>
      </c>
      <c r="Y393" s="7">
        <v>443786</v>
      </c>
      <c r="AA393" s="7">
        <v>0</v>
      </c>
      <c r="AC393" s="7">
        <v>1402059</v>
      </c>
      <c r="AE393" s="7">
        <v>1264313</v>
      </c>
      <c r="AG393" s="7">
        <v>679910</v>
      </c>
      <c r="AI393" s="7">
        <v>0</v>
      </c>
      <c r="AK393" s="7">
        <v>0</v>
      </c>
      <c r="AL393" s="12" t="s">
        <v>389</v>
      </c>
      <c r="AM393" s="12"/>
      <c r="AN393" s="12" t="s">
        <v>42</v>
      </c>
      <c r="AP393" s="7">
        <v>77193</v>
      </c>
      <c r="AR393" s="7">
        <v>721940</v>
      </c>
      <c r="AT393" s="7">
        <v>0</v>
      </c>
      <c r="AV393" s="7">
        <v>36096</v>
      </c>
      <c r="AX393" s="7">
        <v>62876</v>
      </c>
      <c r="AZ393" s="7">
        <v>0</v>
      </c>
      <c r="BB393" s="7">
        <f t="shared" si="101"/>
        <v>15483494</v>
      </c>
      <c r="BD393" s="7">
        <v>92067</v>
      </c>
      <c r="BF393" s="7">
        <v>0</v>
      </c>
      <c r="BH393" s="7">
        <v>0</v>
      </c>
      <c r="BJ393" s="7">
        <v>0</v>
      </c>
      <c r="BL393" s="7">
        <f t="shared" si="102"/>
        <v>15575561</v>
      </c>
      <c r="BN393" s="7">
        <f>+GenRev!AM393-GenExp!BL393</f>
        <v>749768</v>
      </c>
      <c r="BP393" s="7">
        <v>-926772</v>
      </c>
      <c r="BR393" s="7">
        <v>0</v>
      </c>
      <c r="BT393" s="7">
        <v>0</v>
      </c>
      <c r="BV393" s="7">
        <f t="shared" si="103"/>
        <v>-177004</v>
      </c>
      <c r="BX393" s="8">
        <f>+BV393-'Gen Fd BS'!AE393+BT393</f>
        <v>0</v>
      </c>
      <c r="CB393" s="7" t="str">
        <f t="shared" si="90"/>
        <v>North Fork Local SD</v>
      </c>
      <c r="CC393" s="7" t="b">
        <f t="shared" si="87"/>
        <v>1</v>
      </c>
      <c r="CE393" s="12" t="str">
        <f>GenRev!A393</f>
        <v>North Fork Local SD</v>
      </c>
      <c r="CF393" s="7" t="b">
        <f t="shared" si="91"/>
        <v>1</v>
      </c>
      <c r="CG393" s="7" t="str">
        <f t="shared" si="88"/>
        <v>Licking</v>
      </c>
      <c r="CH393" s="7" t="b">
        <f t="shared" si="89"/>
        <v>1</v>
      </c>
      <c r="CI393" s="7" t="b">
        <f>C393=GenRev!C393</f>
        <v>1</v>
      </c>
    </row>
    <row r="394" spans="1:87">
      <c r="A394" s="12" t="s">
        <v>277</v>
      </c>
      <c r="B394" s="12"/>
      <c r="C394" s="12" t="s">
        <v>20</v>
      </c>
      <c r="D394" s="12"/>
      <c r="E394" s="12">
        <v>44529</v>
      </c>
      <c r="G394" s="7">
        <v>22490979</v>
      </c>
      <c r="I394" s="7">
        <v>7627156</v>
      </c>
      <c r="K394" s="7">
        <v>424680</v>
      </c>
      <c r="M394" s="7">
        <v>0</v>
      </c>
      <c r="O394" s="7">
        <v>293115</v>
      </c>
      <c r="Q394" s="7">
        <v>3956954</v>
      </c>
      <c r="S394" s="7">
        <v>790304</v>
      </c>
      <c r="U394" s="7">
        <v>185639</v>
      </c>
      <c r="W394" s="7">
        <v>2721334</v>
      </c>
      <c r="Y394" s="7">
        <v>1297302</v>
      </c>
      <c r="AA394" s="7">
        <v>137495</v>
      </c>
      <c r="AC394" s="7">
        <v>4230054</v>
      </c>
      <c r="AE394" s="7">
        <v>1756468</v>
      </c>
      <c r="AG394" s="7">
        <v>1001558</v>
      </c>
      <c r="AI394" s="7">
        <v>84829</v>
      </c>
      <c r="AK394" s="7">
        <v>24809</v>
      </c>
      <c r="AL394" s="12" t="s">
        <v>277</v>
      </c>
      <c r="AM394" s="12"/>
      <c r="AN394" s="12" t="s">
        <v>20</v>
      </c>
      <c r="AP394" s="7">
        <v>1339030</v>
      </c>
      <c r="AR394" s="7">
        <v>0</v>
      </c>
      <c r="AT394" s="7">
        <v>0</v>
      </c>
      <c r="AV394" s="7">
        <v>0</v>
      </c>
      <c r="AX394" s="7">
        <v>0</v>
      </c>
      <c r="AZ394" s="7">
        <v>0</v>
      </c>
      <c r="BB394" s="7">
        <f t="shared" si="101"/>
        <v>48361706</v>
      </c>
      <c r="BD394" s="7">
        <v>200000</v>
      </c>
      <c r="BF394" s="7">
        <v>0</v>
      </c>
      <c r="BH394" s="7">
        <v>0</v>
      </c>
      <c r="BJ394" s="7">
        <v>0</v>
      </c>
      <c r="BL394" s="7">
        <f t="shared" si="102"/>
        <v>48561706</v>
      </c>
      <c r="BN394" s="7">
        <f>+GenRev!AM394-GenExp!BL394</f>
        <v>5519556</v>
      </c>
      <c r="BP394" s="7">
        <v>7732009</v>
      </c>
      <c r="BR394" s="7">
        <v>0</v>
      </c>
      <c r="BT394" s="7">
        <v>0</v>
      </c>
      <c r="BV394" s="7">
        <f t="shared" si="103"/>
        <v>13251565</v>
      </c>
      <c r="BX394" s="8">
        <f>+BV394-'Gen Fd BS'!AE394+BT394</f>
        <v>0</v>
      </c>
      <c r="CB394" s="7" t="str">
        <f t="shared" si="90"/>
        <v>North Olmsted City SD</v>
      </c>
      <c r="CC394" s="7" t="b">
        <f t="shared" si="87"/>
        <v>1</v>
      </c>
      <c r="CE394" s="12" t="str">
        <f>GenRev!A394</f>
        <v>North Olmsted City SD</v>
      </c>
      <c r="CF394" s="7" t="b">
        <f t="shared" si="91"/>
        <v>1</v>
      </c>
      <c r="CG394" s="7" t="str">
        <f t="shared" si="88"/>
        <v>Cuyahoga</v>
      </c>
      <c r="CH394" s="7" t="b">
        <f t="shared" si="89"/>
        <v>1</v>
      </c>
      <c r="CI394" s="7" t="b">
        <f>C394=GenRev!C394</f>
        <v>1</v>
      </c>
    </row>
    <row r="395" spans="1:87">
      <c r="A395" s="12" t="s">
        <v>400</v>
      </c>
      <c r="B395" s="12"/>
      <c r="C395" s="12" t="s">
        <v>44</v>
      </c>
      <c r="D395" s="12"/>
      <c r="E395" s="12">
        <v>44537</v>
      </c>
      <c r="G395" s="7">
        <v>12702700</v>
      </c>
      <c r="I395" s="7">
        <v>3517402</v>
      </c>
      <c r="K395" s="7">
        <v>110484</v>
      </c>
      <c r="M395" s="7">
        <v>0</v>
      </c>
      <c r="O395" s="7">
        <v>1194062</v>
      </c>
      <c r="Q395" s="7">
        <v>1728384</v>
      </c>
      <c r="S395" s="7">
        <v>2364684</v>
      </c>
      <c r="U395" s="7">
        <v>160490</v>
      </c>
      <c r="W395" s="7">
        <v>2038343</v>
      </c>
      <c r="Y395" s="7">
        <v>739080</v>
      </c>
      <c r="AA395" s="7">
        <v>298930</v>
      </c>
      <c r="AC395" s="7">
        <v>2478620</v>
      </c>
      <c r="AE395" s="7">
        <v>2313167</v>
      </c>
      <c r="AG395" s="7">
        <v>71260</v>
      </c>
      <c r="AI395" s="7">
        <v>5812</v>
      </c>
      <c r="AK395" s="7">
        <v>0</v>
      </c>
      <c r="AL395" s="12" t="s">
        <v>400</v>
      </c>
      <c r="AM395" s="12"/>
      <c r="AN395" s="12" t="s">
        <v>44</v>
      </c>
      <c r="AP395" s="7">
        <v>544675</v>
      </c>
      <c r="AR395" s="7">
        <v>14000</v>
      </c>
      <c r="AT395" s="7">
        <v>0</v>
      </c>
      <c r="AV395" s="7">
        <v>68123</v>
      </c>
      <c r="AX395" s="7">
        <v>27231</v>
      </c>
      <c r="AZ395" s="7">
        <v>0</v>
      </c>
      <c r="BB395" s="7">
        <f t="shared" si="101"/>
        <v>30377447</v>
      </c>
      <c r="BD395" s="7">
        <v>17000</v>
      </c>
      <c r="BF395" s="7">
        <v>0</v>
      </c>
      <c r="BH395" s="7">
        <v>0</v>
      </c>
      <c r="BJ395" s="7">
        <v>0</v>
      </c>
      <c r="BL395" s="7">
        <f t="shared" si="102"/>
        <v>30394447</v>
      </c>
      <c r="BN395" s="7">
        <f>+GenRev!AM395-GenExp!BL395</f>
        <v>637804</v>
      </c>
      <c r="BP395" s="7">
        <v>-386022</v>
      </c>
      <c r="BR395" s="7">
        <v>0</v>
      </c>
      <c r="BT395" s="7">
        <v>0</v>
      </c>
      <c r="BV395" s="7">
        <f t="shared" si="103"/>
        <v>251782</v>
      </c>
      <c r="BX395" s="8">
        <f>+BV395-'Gen Fd BS'!AE395+BT395</f>
        <v>0</v>
      </c>
      <c r="CB395" s="7" t="str">
        <f t="shared" si="90"/>
        <v>North Ridgeville City SD</v>
      </c>
      <c r="CC395" s="7" t="b">
        <f t="shared" si="87"/>
        <v>1</v>
      </c>
      <c r="CE395" s="12" t="str">
        <f>GenRev!A395</f>
        <v>North Ridgeville City SD</v>
      </c>
      <c r="CF395" s="7" t="b">
        <f t="shared" si="91"/>
        <v>1</v>
      </c>
      <c r="CG395" s="7" t="str">
        <f t="shared" si="88"/>
        <v>Lorain</v>
      </c>
      <c r="CH395" s="7" t="b">
        <f t="shared" si="89"/>
        <v>1</v>
      </c>
      <c r="CI395" s="7" t="b">
        <f>C395=GenRev!C395</f>
        <v>1</v>
      </c>
    </row>
    <row r="396" spans="1:87">
      <c r="A396" s="12" t="s">
        <v>278</v>
      </c>
      <c r="B396" s="12"/>
      <c r="C396" s="12" t="s">
        <v>20</v>
      </c>
      <c r="D396" s="12"/>
      <c r="E396" s="12">
        <v>44545</v>
      </c>
      <c r="G396" s="7">
        <v>22772241</v>
      </c>
      <c r="I396" s="7">
        <v>3067870</v>
      </c>
      <c r="K396" s="7">
        <v>195579</v>
      </c>
      <c r="M396" s="7">
        <v>0</v>
      </c>
      <c r="O396" s="7">
        <v>1137810</v>
      </c>
      <c r="Q396" s="7">
        <v>2576172</v>
      </c>
      <c r="S396" s="7">
        <v>1950736</v>
      </c>
      <c r="U396" s="7">
        <v>85366</v>
      </c>
      <c r="W396" s="7">
        <v>3511913</v>
      </c>
      <c r="Y396" s="7">
        <v>1115593</v>
      </c>
      <c r="AA396" s="7">
        <v>335207</v>
      </c>
      <c r="AC396" s="7">
        <v>3552293</v>
      </c>
      <c r="AE396" s="7">
        <v>3046757</v>
      </c>
      <c r="AG396" s="7">
        <v>509548</v>
      </c>
      <c r="AI396" s="7">
        <v>0</v>
      </c>
      <c r="AK396" s="7">
        <v>76132</v>
      </c>
      <c r="AL396" s="12" t="s">
        <v>278</v>
      </c>
      <c r="AM396" s="12"/>
      <c r="AN396" s="12" t="s">
        <v>20</v>
      </c>
      <c r="AP396" s="7">
        <v>738868</v>
      </c>
      <c r="AR396" s="7">
        <v>0</v>
      </c>
      <c r="AT396" s="7">
        <v>0</v>
      </c>
      <c r="AV396" s="7">
        <v>0</v>
      </c>
      <c r="AX396" s="7">
        <v>0</v>
      </c>
      <c r="AZ396" s="7">
        <v>0</v>
      </c>
      <c r="BB396" s="7">
        <f t="shared" si="101"/>
        <v>44672085</v>
      </c>
      <c r="BD396" s="7">
        <v>158000</v>
      </c>
      <c r="BF396" s="7">
        <v>0</v>
      </c>
      <c r="BH396" s="7">
        <v>0</v>
      </c>
      <c r="BJ396" s="7">
        <v>0</v>
      </c>
      <c r="BL396" s="7">
        <f t="shared" si="102"/>
        <v>44830085</v>
      </c>
      <c r="BN396" s="7">
        <f>+GenRev!AM396-GenExp!BL396</f>
        <v>3070255</v>
      </c>
      <c r="BP396" s="7">
        <v>7120882</v>
      </c>
      <c r="BR396" s="7">
        <v>0</v>
      </c>
      <c r="BT396" s="7">
        <v>0</v>
      </c>
      <c r="BV396" s="7">
        <f t="shared" si="103"/>
        <v>10191137</v>
      </c>
      <c r="BX396" s="8">
        <f>+BV396-'Gen Fd BS'!AE396+BT396</f>
        <v>0</v>
      </c>
      <c r="CB396" s="7" t="str">
        <f t="shared" si="90"/>
        <v>North Royalton City SD</v>
      </c>
      <c r="CC396" s="7" t="b">
        <f t="shared" si="87"/>
        <v>1</v>
      </c>
      <c r="CE396" s="12" t="str">
        <f>GenRev!A396</f>
        <v>North Royalton City SD</v>
      </c>
      <c r="CF396" s="7" t="b">
        <f t="shared" si="91"/>
        <v>1</v>
      </c>
      <c r="CG396" s="7" t="str">
        <f t="shared" si="88"/>
        <v>Cuyahoga</v>
      </c>
      <c r="CH396" s="7" t="b">
        <f t="shared" si="89"/>
        <v>1</v>
      </c>
      <c r="CI396" s="7" t="b">
        <f>C396=GenRev!C396</f>
        <v>1</v>
      </c>
    </row>
    <row r="397" spans="1:87">
      <c r="A397" s="12" t="s">
        <v>556</v>
      </c>
      <c r="B397" s="12"/>
      <c r="C397" s="12" t="s">
        <v>66</v>
      </c>
      <c r="D397" s="12"/>
      <c r="E397" s="12">
        <v>50336</v>
      </c>
      <c r="G397" s="7">
        <v>5699659</v>
      </c>
      <c r="I397" s="7">
        <v>1294167</v>
      </c>
      <c r="K397" s="7">
        <v>810450</v>
      </c>
      <c r="M397" s="7">
        <v>0</v>
      </c>
      <c r="O397" s="7">
        <v>0</v>
      </c>
      <c r="Q397" s="7">
        <v>613026</v>
      </c>
      <c r="S397" s="7">
        <v>619870</v>
      </c>
      <c r="U397" s="7">
        <v>34314</v>
      </c>
      <c r="W397" s="7">
        <v>1069512</v>
      </c>
      <c r="Y397" s="7">
        <v>471353</v>
      </c>
      <c r="AA397" s="7">
        <v>0</v>
      </c>
      <c r="AC397" s="7">
        <v>1626005</v>
      </c>
      <c r="AE397" s="7">
        <v>907033</v>
      </c>
      <c r="AG397" s="7">
        <v>2305</v>
      </c>
      <c r="AI397" s="7">
        <v>0</v>
      </c>
      <c r="AK397" s="7">
        <v>0</v>
      </c>
      <c r="AL397" s="12" t="s">
        <v>556</v>
      </c>
      <c r="AM397" s="12"/>
      <c r="AN397" s="12" t="s">
        <v>66</v>
      </c>
      <c r="AP397" s="7">
        <v>231408</v>
      </c>
      <c r="AR397" s="7">
        <v>0</v>
      </c>
      <c r="AT397" s="7">
        <v>0</v>
      </c>
      <c r="AV397" s="7">
        <v>0</v>
      </c>
      <c r="AX397" s="7">
        <v>0</v>
      </c>
      <c r="AZ397" s="7">
        <v>0</v>
      </c>
      <c r="BB397" s="7">
        <f t="shared" si="101"/>
        <v>13379102</v>
      </c>
      <c r="BD397" s="7">
        <v>0</v>
      </c>
      <c r="BF397" s="7">
        <v>0</v>
      </c>
      <c r="BH397" s="7">
        <v>0</v>
      </c>
      <c r="BJ397" s="7">
        <v>0</v>
      </c>
      <c r="BL397" s="7">
        <f t="shared" si="102"/>
        <v>13379102</v>
      </c>
      <c r="BN397" s="7">
        <f>+GenRev!AM397-GenExp!BL397</f>
        <v>233083</v>
      </c>
      <c r="BP397" s="7">
        <v>10002875</v>
      </c>
      <c r="BR397" s="7">
        <v>0</v>
      </c>
      <c r="BT397" s="7">
        <v>0</v>
      </c>
      <c r="BV397" s="7">
        <f t="shared" si="103"/>
        <v>10235958</v>
      </c>
      <c r="BX397" s="8">
        <f>+BV397-'Gen Fd BS'!AE397+BT397</f>
        <v>0</v>
      </c>
      <c r="CB397" s="7" t="str">
        <f t="shared" si="90"/>
        <v>North Union Local SD</v>
      </c>
      <c r="CC397" s="7" t="b">
        <f t="shared" si="87"/>
        <v>1</v>
      </c>
      <c r="CE397" s="12" t="str">
        <f>GenRev!A397</f>
        <v>North Union Local SD</v>
      </c>
      <c r="CF397" s="7" t="b">
        <f t="shared" si="91"/>
        <v>1</v>
      </c>
      <c r="CG397" s="7" t="str">
        <f t="shared" si="88"/>
        <v>Union</v>
      </c>
      <c r="CH397" s="7" t="b">
        <f t="shared" si="89"/>
        <v>1</v>
      </c>
      <c r="CI397" s="7" t="b">
        <f>C397=GenRev!C397</f>
        <v>1</v>
      </c>
    </row>
    <row r="398" spans="1:87">
      <c r="A398" s="12" t="s">
        <v>238</v>
      </c>
      <c r="B398" s="12"/>
      <c r="C398" s="12" t="s">
        <v>17</v>
      </c>
      <c r="D398" s="12"/>
      <c r="E398" s="12">
        <v>46250</v>
      </c>
      <c r="G398" s="7">
        <v>13525010</v>
      </c>
      <c r="I398" s="7">
        <v>2326134</v>
      </c>
      <c r="K398" s="7">
        <v>861258</v>
      </c>
      <c r="M398" s="7">
        <v>0</v>
      </c>
      <c r="O398" s="7">
        <f>24388+14809</f>
        <v>39197</v>
      </c>
      <c r="Q398" s="7">
        <v>1406009</v>
      </c>
      <c r="S398" s="7">
        <v>1546982</v>
      </c>
      <c r="U398" s="7">
        <v>44721</v>
      </c>
      <c r="W398" s="7">
        <v>2728649</v>
      </c>
      <c r="Y398" s="7">
        <v>661667</v>
      </c>
      <c r="AA398" s="7">
        <v>0</v>
      </c>
      <c r="AC398" s="7">
        <v>1973920</v>
      </c>
      <c r="AE398" s="7">
        <v>1698653</v>
      </c>
      <c r="AG398" s="7">
        <v>48007</v>
      </c>
      <c r="AI398" s="7">
        <v>0</v>
      </c>
      <c r="AK398" s="7">
        <v>79075</v>
      </c>
      <c r="AL398" s="12" t="s">
        <v>238</v>
      </c>
      <c r="AM398" s="12"/>
      <c r="AN398" s="12" t="s">
        <v>17</v>
      </c>
      <c r="AP398" s="7">
        <v>731017</v>
      </c>
      <c r="AR398" s="7">
        <v>129900</v>
      </c>
      <c r="AT398" s="7">
        <v>0</v>
      </c>
      <c r="AV398" s="7">
        <v>362598</v>
      </c>
      <c r="AX398" s="7">
        <v>22195</v>
      </c>
      <c r="AZ398" s="7">
        <v>0</v>
      </c>
      <c r="BB398" s="7">
        <f t="shared" si="101"/>
        <v>28184992</v>
      </c>
      <c r="BD398" s="7">
        <v>0</v>
      </c>
      <c r="BF398" s="7">
        <v>0</v>
      </c>
      <c r="BH398" s="7">
        <v>0</v>
      </c>
      <c r="BJ398" s="7">
        <v>0</v>
      </c>
      <c r="BL398" s="7">
        <f t="shared" si="102"/>
        <v>28184992</v>
      </c>
      <c r="BN398" s="7">
        <f>+GenRev!AM398-GenExp!BL398</f>
        <v>-102356</v>
      </c>
      <c r="BP398" s="7">
        <v>6706178</v>
      </c>
      <c r="BR398" s="7">
        <v>0</v>
      </c>
      <c r="BT398" s="7">
        <v>0</v>
      </c>
      <c r="BV398" s="7">
        <f t="shared" si="103"/>
        <v>6603822</v>
      </c>
      <c r="BX398" s="8">
        <f>+BV398-'Gen Fd BS'!AE398+BT398</f>
        <v>0</v>
      </c>
      <c r="CB398" s="7" t="str">
        <f t="shared" si="90"/>
        <v>Northeastern Local SD</v>
      </c>
      <c r="CC398" s="7" t="b">
        <f t="shared" ref="CC398:CC463" si="104">A398=AL398</f>
        <v>1</v>
      </c>
      <c r="CE398" s="12" t="str">
        <f>GenRev!A398</f>
        <v>Northeastern Local SD</v>
      </c>
      <c r="CF398" s="7" t="b">
        <f t="shared" si="91"/>
        <v>1</v>
      </c>
      <c r="CG398" s="7" t="str">
        <f t="shared" ref="CG398:CG463" si="105">C398</f>
        <v>Clark</v>
      </c>
      <c r="CH398" s="7" t="b">
        <f t="shared" ref="CH398:CH463" si="106">C398=AN398</f>
        <v>1</v>
      </c>
      <c r="CI398" s="7" t="b">
        <f>C398=GenRev!C398</f>
        <v>1</v>
      </c>
    </row>
    <row r="399" spans="1:87" hidden="1">
      <c r="A399" s="12" t="s">
        <v>946</v>
      </c>
      <c r="B399" s="12"/>
      <c r="C399" s="12" t="s">
        <v>22</v>
      </c>
      <c r="D399" s="12"/>
      <c r="E399" s="12">
        <v>46722</v>
      </c>
      <c r="M399" s="7">
        <v>0</v>
      </c>
      <c r="AI399" s="7">
        <v>0</v>
      </c>
      <c r="AL399" s="12" t="s">
        <v>946</v>
      </c>
      <c r="AM399" s="12"/>
      <c r="AN399" s="12" t="s">
        <v>22</v>
      </c>
      <c r="AT399" s="7">
        <v>0</v>
      </c>
      <c r="AZ399" s="7">
        <v>0</v>
      </c>
      <c r="BB399" s="7">
        <f t="shared" ref="BB399:BB448" si="107">SUM(G399:AZ399)</f>
        <v>0</v>
      </c>
      <c r="BF399" s="7">
        <v>0</v>
      </c>
      <c r="BH399" s="7">
        <v>0</v>
      </c>
      <c r="BJ399" s="7">
        <v>0</v>
      </c>
      <c r="BL399" s="7">
        <f t="shared" ref="BL399:BL430" si="108">+BB399+BD399+BF399+BJ399</f>
        <v>0</v>
      </c>
      <c r="BN399" s="7">
        <f>+GenRev!AM399-GenExp!BL399</f>
        <v>0</v>
      </c>
      <c r="BR399" s="7">
        <v>0</v>
      </c>
      <c r="BT399" s="7">
        <v>0</v>
      </c>
      <c r="BV399" s="7">
        <f t="shared" si="103"/>
        <v>0</v>
      </c>
      <c r="BX399" s="8">
        <f>+BV399-'Gen Fd BS'!AE399+BT399</f>
        <v>0</v>
      </c>
      <c r="CA399" s="7" t="s">
        <v>839</v>
      </c>
      <c r="CB399" s="7" t="str">
        <f t="shared" si="90"/>
        <v>Northeastern Local SD (CASH)</v>
      </c>
      <c r="CC399" s="7" t="b">
        <f t="shared" si="104"/>
        <v>1</v>
      </c>
      <c r="CE399" s="12" t="str">
        <f>GenRev!A399</f>
        <v>Northeastern Local SD (CASH)</v>
      </c>
      <c r="CF399" s="7" t="b">
        <f t="shared" si="91"/>
        <v>1</v>
      </c>
      <c r="CG399" s="7" t="str">
        <f t="shared" si="105"/>
        <v>Defiance</v>
      </c>
      <c r="CH399" s="7" t="b">
        <f t="shared" si="106"/>
        <v>1</v>
      </c>
      <c r="CI399" s="7" t="b">
        <f>C399=GenRev!C399</f>
        <v>1</v>
      </c>
    </row>
    <row r="400" spans="1:87" hidden="1">
      <c r="A400" s="12" t="s">
        <v>947</v>
      </c>
      <c r="B400" s="12"/>
      <c r="C400" s="12" t="s">
        <v>466</v>
      </c>
      <c r="D400" s="12"/>
      <c r="E400" s="12"/>
      <c r="M400" s="7">
        <v>0</v>
      </c>
      <c r="AI400" s="7">
        <v>0</v>
      </c>
      <c r="AL400" s="12" t="s">
        <v>947</v>
      </c>
      <c r="AM400" s="12"/>
      <c r="AN400" s="12" t="s">
        <v>466</v>
      </c>
      <c r="AT400" s="7">
        <v>0</v>
      </c>
      <c r="AZ400" s="7">
        <v>0</v>
      </c>
      <c r="BB400" s="7">
        <f t="shared" si="107"/>
        <v>0</v>
      </c>
      <c r="BF400" s="7">
        <v>0</v>
      </c>
      <c r="BH400" s="7">
        <v>0</v>
      </c>
      <c r="BJ400" s="7">
        <v>0</v>
      </c>
      <c r="BL400" s="7">
        <f t="shared" ref="BL400" si="109">+BB400+BD400+BF400+BJ400</f>
        <v>0</v>
      </c>
      <c r="BN400" s="7">
        <f>+GenRev!AM400-GenExp!BL400</f>
        <v>0</v>
      </c>
      <c r="BR400" s="7">
        <v>0</v>
      </c>
      <c r="BT400" s="7">
        <v>0</v>
      </c>
      <c r="BV400" s="7">
        <f t="shared" si="103"/>
        <v>0</v>
      </c>
      <c r="CA400" s="7" t="s">
        <v>931</v>
      </c>
      <c r="CB400" s="7" t="str">
        <f t="shared" ref="CB400" si="110">A400</f>
        <v>Northern Local SD (CASH)</v>
      </c>
      <c r="CC400" s="7" t="b">
        <f t="shared" ref="CC400" si="111">A400=AL400</f>
        <v>1</v>
      </c>
      <c r="CE400" s="12" t="str">
        <f>GenRev!A400</f>
        <v>Northern Local SD (CASH)</v>
      </c>
      <c r="CF400" s="7" t="b">
        <f t="shared" ref="CF400" si="112">CB400=CE400</f>
        <v>1</v>
      </c>
      <c r="CG400" s="7" t="str">
        <f t="shared" ref="CG400" si="113">C400</f>
        <v>Perry</v>
      </c>
      <c r="CH400" s="7" t="b">
        <f t="shared" ref="CH400" si="114">C400=AN400</f>
        <v>1</v>
      </c>
      <c r="CI400" s="7" t="b">
        <f>C400=GenRev!C400</f>
        <v>1</v>
      </c>
    </row>
    <row r="401" spans="1:87">
      <c r="A401" s="12" t="s">
        <v>447</v>
      </c>
      <c r="B401" s="12"/>
      <c r="C401" s="12" t="s">
        <v>50</v>
      </c>
      <c r="D401" s="12"/>
      <c r="E401" s="12">
        <v>48728</v>
      </c>
      <c r="F401" s="10"/>
      <c r="G401" s="7">
        <v>22918733</v>
      </c>
      <c r="I401" s="7">
        <v>8175839</v>
      </c>
      <c r="K401" s="7">
        <v>335810</v>
      </c>
      <c r="M401" s="7">
        <v>0</v>
      </c>
      <c r="O401" s="7">
        <v>31448</v>
      </c>
      <c r="Q401" s="7">
        <v>3867264</v>
      </c>
      <c r="S401" s="7">
        <v>504019</v>
      </c>
      <c r="U401" s="7">
        <v>61969</v>
      </c>
      <c r="W401" s="7">
        <v>3258219</v>
      </c>
      <c r="Y401" s="7">
        <v>1085841</v>
      </c>
      <c r="AA401" s="7">
        <v>420097</v>
      </c>
      <c r="AC401" s="7">
        <v>3804343</v>
      </c>
      <c r="AE401" s="7">
        <v>2243211</v>
      </c>
      <c r="AG401" s="7">
        <v>314177</v>
      </c>
      <c r="AI401" s="7">
        <v>0</v>
      </c>
      <c r="AK401" s="7">
        <v>280876</v>
      </c>
      <c r="AL401" s="12" t="s">
        <v>447</v>
      </c>
      <c r="AM401" s="12"/>
      <c r="AN401" s="12" t="s">
        <v>50</v>
      </c>
      <c r="AP401" s="7">
        <v>813066</v>
      </c>
      <c r="AR401" s="7">
        <v>333290</v>
      </c>
      <c r="AT401" s="7">
        <v>0</v>
      </c>
      <c r="AV401" s="7">
        <v>99999</v>
      </c>
      <c r="AX401" s="7">
        <v>9882</v>
      </c>
      <c r="AZ401" s="7">
        <v>0</v>
      </c>
      <c r="BB401" s="7">
        <f t="shared" si="107"/>
        <v>48558083</v>
      </c>
      <c r="BD401" s="7">
        <v>16000</v>
      </c>
      <c r="BF401" s="7">
        <v>0</v>
      </c>
      <c r="BH401" s="7">
        <v>0</v>
      </c>
      <c r="BJ401" s="7">
        <v>0</v>
      </c>
      <c r="BL401" s="7">
        <f t="shared" si="108"/>
        <v>48574083</v>
      </c>
      <c r="BN401" s="7">
        <f>+GenRev!AM401-GenExp!BL401</f>
        <v>1106718</v>
      </c>
      <c r="BP401" s="7">
        <v>3844551</v>
      </c>
      <c r="BR401" s="7">
        <v>0</v>
      </c>
      <c r="BT401" s="7">
        <v>0</v>
      </c>
      <c r="BV401" s="7">
        <f t="shared" si="103"/>
        <v>4951269</v>
      </c>
      <c r="BX401" s="8">
        <f>+BV401-'Gen Fd BS'!AE401+BT401</f>
        <v>0</v>
      </c>
      <c r="CB401" s="7" t="str">
        <f t="shared" si="90"/>
        <v>Northmont City SD</v>
      </c>
      <c r="CC401" s="7" t="b">
        <f t="shared" si="104"/>
        <v>1</v>
      </c>
      <c r="CE401" s="12" t="str">
        <f>GenRev!A401</f>
        <v>Northmont City SD</v>
      </c>
      <c r="CF401" s="7" t="b">
        <f t="shared" si="91"/>
        <v>1</v>
      </c>
      <c r="CG401" s="7" t="str">
        <f t="shared" si="105"/>
        <v>Montgomery</v>
      </c>
      <c r="CH401" s="7" t="b">
        <f t="shared" si="106"/>
        <v>1</v>
      </c>
      <c r="CI401" s="7" t="b">
        <f>C401=GenRev!C401</f>
        <v>1</v>
      </c>
    </row>
    <row r="402" spans="1:87">
      <c r="A402" s="12" t="s">
        <v>455</v>
      </c>
      <c r="B402" s="12"/>
      <c r="C402" s="12" t="s">
        <v>78</v>
      </c>
      <c r="D402" s="12"/>
      <c r="E402" s="12">
        <v>48819</v>
      </c>
      <c r="G402" s="7">
        <v>4528395</v>
      </c>
      <c r="I402" s="7">
        <v>906785</v>
      </c>
      <c r="K402" s="7">
        <v>237574</v>
      </c>
      <c r="M402" s="7">
        <v>0</v>
      </c>
      <c r="O402" s="7">
        <v>985501</v>
      </c>
      <c r="Q402" s="7">
        <v>275492</v>
      </c>
      <c r="S402" s="7">
        <v>626070</v>
      </c>
      <c r="U402" s="7">
        <v>32765</v>
      </c>
      <c r="W402" s="7">
        <v>719052</v>
      </c>
      <c r="Y402" s="7">
        <v>432444</v>
      </c>
      <c r="AA402" s="7">
        <v>94</v>
      </c>
      <c r="AC402" s="7">
        <v>661205</v>
      </c>
      <c r="AE402" s="7">
        <v>690369</v>
      </c>
      <c r="AG402" s="7">
        <v>1485</v>
      </c>
      <c r="AI402" s="7">
        <v>0</v>
      </c>
      <c r="AK402" s="7">
        <v>0</v>
      </c>
      <c r="AL402" s="12" t="s">
        <v>455</v>
      </c>
      <c r="AM402" s="12"/>
      <c r="AN402" s="12" t="s">
        <v>78</v>
      </c>
      <c r="AP402" s="7">
        <v>246102</v>
      </c>
      <c r="AR402" s="7">
        <v>9099</v>
      </c>
      <c r="AT402" s="7">
        <v>0</v>
      </c>
      <c r="AV402" s="7">
        <v>0</v>
      </c>
      <c r="AX402" s="7">
        <v>0</v>
      </c>
      <c r="AZ402" s="7">
        <v>0</v>
      </c>
      <c r="BB402" s="7">
        <f t="shared" si="107"/>
        <v>10352432</v>
      </c>
      <c r="BD402" s="7">
        <v>0</v>
      </c>
      <c r="BF402" s="7">
        <v>0</v>
      </c>
      <c r="BH402" s="7">
        <v>0</v>
      </c>
      <c r="BJ402" s="7">
        <v>0</v>
      </c>
      <c r="BL402" s="7">
        <f t="shared" si="108"/>
        <v>10352432</v>
      </c>
      <c r="BN402" s="7">
        <f>+GenRev!AM402-GenExp!BL402</f>
        <v>-16596</v>
      </c>
      <c r="BP402" s="7">
        <v>58147</v>
      </c>
      <c r="BR402" s="7">
        <v>0</v>
      </c>
      <c r="BT402" s="7">
        <v>0</v>
      </c>
      <c r="BV402" s="7">
        <f t="shared" si="103"/>
        <v>41551</v>
      </c>
      <c r="BX402" s="8">
        <f>+BV402-'Gen Fd BS'!AE402+BT402</f>
        <v>0</v>
      </c>
      <c r="CB402" s="7" t="str">
        <f t="shared" ref="CB402:CB468" si="115">A402</f>
        <v>Northmor Local SD</v>
      </c>
      <c r="CC402" s="7" t="b">
        <f t="shared" si="104"/>
        <v>1</v>
      </c>
      <c r="CE402" s="12" t="str">
        <f>GenRev!A402</f>
        <v>Northmor Local SD</v>
      </c>
      <c r="CF402" s="7" t="b">
        <f t="shared" ref="CF402:CF468" si="116">CB402=CE402</f>
        <v>1</v>
      </c>
      <c r="CG402" s="7" t="str">
        <f t="shared" si="105"/>
        <v>Morrow</v>
      </c>
      <c r="CH402" s="7" t="b">
        <f t="shared" si="106"/>
        <v>1</v>
      </c>
      <c r="CI402" s="7" t="b">
        <f>C402=GenRev!C402</f>
        <v>1</v>
      </c>
    </row>
    <row r="403" spans="1:87">
      <c r="A403" s="12" t="s">
        <v>390</v>
      </c>
      <c r="B403" s="12"/>
      <c r="C403" s="12" t="s">
        <v>42</v>
      </c>
      <c r="D403" s="12"/>
      <c r="E403" s="12">
        <v>48033</v>
      </c>
      <c r="G403" s="7">
        <v>5852431</v>
      </c>
      <c r="I403" s="7">
        <v>913822</v>
      </c>
      <c r="K403" s="7">
        <v>153106</v>
      </c>
      <c r="M403" s="7">
        <v>0</v>
      </c>
      <c r="O403" s="7">
        <v>6741</v>
      </c>
      <c r="Q403" s="7">
        <v>493851</v>
      </c>
      <c r="S403" s="7">
        <v>246705</v>
      </c>
      <c r="U403" s="7">
        <v>87564</v>
      </c>
      <c r="W403" s="7">
        <v>962654</v>
      </c>
      <c r="Y403" s="7">
        <v>383234</v>
      </c>
      <c r="AA403" s="7">
        <v>0</v>
      </c>
      <c r="AC403" s="7">
        <v>695535</v>
      </c>
      <c r="AE403" s="7">
        <v>1432449</v>
      </c>
      <c r="AG403" s="7">
        <v>85848</v>
      </c>
      <c r="AI403" s="7">
        <v>0</v>
      </c>
      <c r="AK403" s="7">
        <v>4971</v>
      </c>
      <c r="AL403" s="12" t="s">
        <v>390</v>
      </c>
      <c r="AM403" s="12"/>
      <c r="AN403" s="12" t="s">
        <v>42</v>
      </c>
      <c r="AP403" s="7">
        <v>174602</v>
      </c>
      <c r="AR403" s="7">
        <v>0</v>
      </c>
      <c r="AT403" s="7">
        <v>0</v>
      </c>
      <c r="AV403" s="7">
        <v>31253</v>
      </c>
      <c r="AX403" s="7">
        <v>5685</v>
      </c>
      <c r="AZ403" s="7">
        <v>0</v>
      </c>
      <c r="BB403" s="7">
        <f t="shared" si="107"/>
        <v>11530451</v>
      </c>
      <c r="BD403" s="7">
        <v>68094</v>
      </c>
      <c r="BF403" s="7">
        <v>0</v>
      </c>
      <c r="BH403" s="7">
        <v>0</v>
      </c>
      <c r="BJ403" s="7">
        <v>0</v>
      </c>
      <c r="BL403" s="7">
        <f t="shared" si="108"/>
        <v>11598545</v>
      </c>
      <c r="BN403" s="7">
        <f>+GenRev!AM403-GenExp!BL403</f>
        <v>1811843</v>
      </c>
      <c r="BP403" s="7">
        <v>2996714</v>
      </c>
      <c r="BR403" s="7">
        <v>0</v>
      </c>
      <c r="BT403" s="7">
        <v>0</v>
      </c>
      <c r="BV403" s="7">
        <f t="shared" si="103"/>
        <v>4808557</v>
      </c>
      <c r="BX403" s="8">
        <f>+BV403-'Gen Fd BS'!AE403+BT403</f>
        <v>0</v>
      </c>
      <c r="CA403" s="7" t="s">
        <v>948</v>
      </c>
      <c r="CB403" s="7" t="str">
        <f t="shared" si="115"/>
        <v>Northridge Local SD</v>
      </c>
      <c r="CC403" s="7" t="b">
        <f t="shared" si="104"/>
        <v>1</v>
      </c>
      <c r="CE403" s="12" t="str">
        <f>GenRev!A403</f>
        <v>Northridge Local SD</v>
      </c>
      <c r="CF403" s="7" t="b">
        <f t="shared" si="116"/>
        <v>1</v>
      </c>
      <c r="CG403" s="7" t="str">
        <f t="shared" si="105"/>
        <v>Licking</v>
      </c>
      <c r="CH403" s="7" t="b">
        <f t="shared" si="106"/>
        <v>1</v>
      </c>
      <c r="CI403" s="7" t="b">
        <f>C403=GenRev!C403</f>
        <v>1</v>
      </c>
    </row>
    <row r="404" spans="1:87">
      <c r="A404" s="12" t="s">
        <v>390</v>
      </c>
      <c r="B404" s="12"/>
      <c r="C404" s="12" t="s">
        <v>50</v>
      </c>
      <c r="D404" s="12"/>
      <c r="E404" s="12">
        <v>48736</v>
      </c>
      <c r="G404" s="7">
        <v>9325662</v>
      </c>
      <c r="I404" s="7">
        <v>1249083</v>
      </c>
      <c r="K404" s="7">
        <v>113643</v>
      </c>
      <c r="M404" s="7">
        <v>0</v>
      </c>
      <c r="O404" s="7">
        <v>60228</v>
      </c>
      <c r="Q404" s="7">
        <v>1463461</v>
      </c>
      <c r="S404" s="7">
        <v>379337</v>
      </c>
      <c r="U404" s="7">
        <v>28986</v>
      </c>
      <c r="W404" s="7">
        <v>1899038</v>
      </c>
      <c r="Y404" s="7">
        <v>392837</v>
      </c>
      <c r="AA404" s="7">
        <v>223618</v>
      </c>
      <c r="AC404" s="7">
        <v>1990722</v>
      </c>
      <c r="AE404" s="7">
        <v>1484641</v>
      </c>
      <c r="AG404" s="7">
        <v>17922</v>
      </c>
      <c r="AI404" s="7">
        <v>0</v>
      </c>
      <c r="AK404" s="7">
        <v>1168</v>
      </c>
      <c r="AL404" s="12" t="s">
        <v>390</v>
      </c>
      <c r="AM404" s="12"/>
      <c r="AN404" s="12" t="s">
        <v>50</v>
      </c>
      <c r="AP404" s="7">
        <v>386277</v>
      </c>
      <c r="AR404" s="7">
        <v>33120</v>
      </c>
      <c r="AT404" s="7">
        <v>0</v>
      </c>
      <c r="AV404" s="7">
        <v>115000</v>
      </c>
      <c r="AX404" s="7">
        <v>36369</v>
      </c>
      <c r="AZ404" s="7">
        <v>0</v>
      </c>
      <c r="BB404" s="7">
        <f t="shared" si="107"/>
        <v>19201112</v>
      </c>
      <c r="BD404" s="7">
        <v>0</v>
      </c>
      <c r="BF404" s="7">
        <v>0</v>
      </c>
      <c r="BH404" s="7">
        <v>0</v>
      </c>
      <c r="BJ404" s="7">
        <v>0</v>
      </c>
      <c r="BL404" s="7">
        <f t="shared" si="108"/>
        <v>19201112</v>
      </c>
      <c r="BN404" s="7">
        <f>+GenRev!AM404-GenExp!BL404</f>
        <v>-99869</v>
      </c>
      <c r="BP404" s="7">
        <v>6889613</v>
      </c>
      <c r="BR404" s="7">
        <v>0</v>
      </c>
      <c r="BT404" s="7">
        <v>0</v>
      </c>
      <c r="BV404" s="7">
        <f t="shared" si="103"/>
        <v>6789744</v>
      </c>
      <c r="BX404" s="8">
        <f>+BV404-'Gen Fd BS'!AE404+BT404</f>
        <v>0</v>
      </c>
      <c r="CB404" s="7" t="str">
        <f t="shared" si="115"/>
        <v>Northridge Local SD</v>
      </c>
      <c r="CC404" s="7" t="b">
        <f t="shared" si="104"/>
        <v>1</v>
      </c>
      <c r="CE404" s="12" t="str">
        <f>GenRev!A404</f>
        <v>Northridge Local SD</v>
      </c>
      <c r="CF404" s="7" t="b">
        <f t="shared" si="116"/>
        <v>1</v>
      </c>
      <c r="CG404" s="7" t="str">
        <f t="shared" si="105"/>
        <v>Montgomery</v>
      </c>
      <c r="CH404" s="7" t="b">
        <f t="shared" si="106"/>
        <v>1</v>
      </c>
      <c r="CI404" s="7" t="b">
        <f>C404=GenRev!C404</f>
        <v>1</v>
      </c>
    </row>
    <row r="405" spans="1:87">
      <c r="A405" s="12" t="s">
        <v>335</v>
      </c>
      <c r="B405" s="12"/>
      <c r="C405" s="12" t="s">
        <v>32</v>
      </c>
      <c r="D405" s="12"/>
      <c r="E405" s="12">
        <v>47365</v>
      </c>
      <c r="G405" s="7">
        <v>37264484</v>
      </c>
      <c r="I405" s="7">
        <v>9040198</v>
      </c>
      <c r="K405" s="7">
        <v>43321</v>
      </c>
      <c r="M405" s="7">
        <v>0</v>
      </c>
      <c r="O405" s="7">
        <f>1257054+9124</f>
        <v>1266178</v>
      </c>
      <c r="Q405" s="7">
        <v>5711350</v>
      </c>
      <c r="S405" s="7">
        <v>6017547</v>
      </c>
      <c r="U405" s="7">
        <v>131907</v>
      </c>
      <c r="W405" s="7">
        <v>5156085</v>
      </c>
      <c r="Y405" s="7">
        <v>1910743</v>
      </c>
      <c r="AA405" s="7">
        <v>605131</v>
      </c>
      <c r="AC405" s="7">
        <v>5749461</v>
      </c>
      <c r="AE405" s="7">
        <v>4791013</v>
      </c>
      <c r="AG405" s="7">
        <v>1723031</v>
      </c>
      <c r="AI405" s="7">
        <v>0</v>
      </c>
      <c r="AK405" s="7">
        <v>228995</v>
      </c>
      <c r="AL405" s="12" t="s">
        <v>335</v>
      </c>
      <c r="AM405" s="12"/>
      <c r="AN405" s="12" t="s">
        <v>32</v>
      </c>
      <c r="AP405" s="7">
        <v>1406849</v>
      </c>
      <c r="AR405" s="7">
        <v>0</v>
      </c>
      <c r="AT405" s="7">
        <v>0</v>
      </c>
      <c r="AV405" s="7">
        <v>0</v>
      </c>
      <c r="AX405" s="7">
        <v>0</v>
      </c>
      <c r="AZ405" s="7">
        <v>0</v>
      </c>
      <c r="BB405" s="7">
        <f t="shared" si="107"/>
        <v>81046293</v>
      </c>
      <c r="BD405" s="7">
        <v>255000</v>
      </c>
      <c r="BF405" s="7">
        <v>0</v>
      </c>
      <c r="BH405" s="7">
        <v>0</v>
      </c>
      <c r="BJ405" s="7">
        <v>0</v>
      </c>
      <c r="BL405" s="7">
        <f t="shared" si="108"/>
        <v>81301293</v>
      </c>
      <c r="BN405" s="7">
        <f>+GenRev!AM405-GenExp!BL405</f>
        <v>1956943</v>
      </c>
      <c r="BP405" s="7">
        <v>23498691</v>
      </c>
      <c r="BR405" s="7">
        <v>0</v>
      </c>
      <c r="BT405" s="7">
        <v>0</v>
      </c>
      <c r="BV405" s="7">
        <f t="shared" si="103"/>
        <v>25455634</v>
      </c>
      <c r="BX405" s="8">
        <f>+BV405-'Gen Fd BS'!AE405+BT405</f>
        <v>0</v>
      </c>
      <c r="CB405" s="7" t="str">
        <f t="shared" si="115"/>
        <v>Northwest Local SD</v>
      </c>
      <c r="CC405" s="7" t="b">
        <f t="shared" si="104"/>
        <v>1</v>
      </c>
      <c r="CE405" s="12" t="str">
        <f>GenRev!A405</f>
        <v>Northwest Local SD</v>
      </c>
      <c r="CF405" s="7" t="b">
        <f t="shared" si="116"/>
        <v>1</v>
      </c>
      <c r="CG405" s="7" t="str">
        <f t="shared" si="105"/>
        <v>Hamilton</v>
      </c>
      <c r="CH405" s="7" t="b">
        <f t="shared" si="106"/>
        <v>1</v>
      </c>
      <c r="CI405" s="7" t="b">
        <f>C405=GenRev!C405</f>
        <v>1</v>
      </c>
    </row>
    <row r="406" spans="1:87">
      <c r="A406" s="12" t="s">
        <v>621</v>
      </c>
      <c r="B406" s="12"/>
      <c r="C406" s="12" t="s">
        <v>59</v>
      </c>
      <c r="D406" s="12"/>
      <c r="E406" s="12">
        <v>49635</v>
      </c>
      <c r="G406" s="7">
        <v>6598947</v>
      </c>
      <c r="I406" s="7">
        <v>1363402</v>
      </c>
      <c r="K406" s="7">
        <v>88678</v>
      </c>
      <c r="M406" s="7">
        <v>0</v>
      </c>
      <c r="O406" s="7">
        <v>600426</v>
      </c>
      <c r="Q406" s="7">
        <v>583051</v>
      </c>
      <c r="S406" s="7">
        <v>638466</v>
      </c>
      <c r="U406" s="7">
        <v>38443</v>
      </c>
      <c r="W406" s="7">
        <v>974921</v>
      </c>
      <c r="Y406" s="7">
        <v>298203</v>
      </c>
      <c r="AA406" s="7">
        <v>0</v>
      </c>
      <c r="AC406" s="7">
        <v>1509025</v>
      </c>
      <c r="AE406" s="7">
        <v>1802716</v>
      </c>
      <c r="AG406" s="7">
        <v>9897</v>
      </c>
      <c r="AI406" s="7">
        <v>0</v>
      </c>
      <c r="AK406" s="7">
        <v>0</v>
      </c>
      <c r="AL406" s="12" t="s">
        <v>621</v>
      </c>
      <c r="AM406" s="12"/>
      <c r="AN406" s="12" t="s">
        <v>59</v>
      </c>
      <c r="AP406" s="7">
        <v>202693</v>
      </c>
      <c r="AR406" s="7">
        <v>257388</v>
      </c>
      <c r="AT406" s="7">
        <v>0</v>
      </c>
      <c r="AV406" s="7">
        <v>197000</v>
      </c>
      <c r="AX406" s="7">
        <v>95749</v>
      </c>
      <c r="AZ406" s="7">
        <v>0</v>
      </c>
      <c r="BB406" s="7">
        <f t="shared" si="107"/>
        <v>15259005</v>
      </c>
      <c r="BD406" s="7">
        <v>70179</v>
      </c>
      <c r="BF406" s="7">
        <v>0</v>
      </c>
      <c r="BH406" s="7">
        <v>0</v>
      </c>
      <c r="BJ406" s="7">
        <v>0</v>
      </c>
      <c r="BL406" s="7">
        <f t="shared" si="108"/>
        <v>15329184</v>
      </c>
      <c r="BN406" s="7">
        <f>+GenRev!AM406-GenExp!BL406</f>
        <v>-1175086</v>
      </c>
      <c r="BP406" s="7">
        <v>943127</v>
      </c>
      <c r="BR406" s="7">
        <v>0</v>
      </c>
      <c r="BT406" s="7">
        <v>0</v>
      </c>
      <c r="BV406" s="7">
        <f t="shared" si="103"/>
        <v>-231959</v>
      </c>
      <c r="BX406" s="8">
        <f>+BV406-'Gen Fd BS'!AE406+BT406</f>
        <v>0</v>
      </c>
      <c r="CB406" s="7" t="str">
        <f t="shared" si="115"/>
        <v xml:space="preserve">Northwest Local SD    </v>
      </c>
      <c r="CC406" s="7" t="b">
        <f t="shared" si="104"/>
        <v>1</v>
      </c>
      <c r="CE406" s="12" t="str">
        <f>GenRev!A406</f>
        <v xml:space="preserve">Northwest Local SD    </v>
      </c>
      <c r="CF406" s="7" t="b">
        <f t="shared" si="116"/>
        <v>1</v>
      </c>
      <c r="CG406" s="7" t="str">
        <f t="shared" si="105"/>
        <v>Scioto</v>
      </c>
      <c r="CH406" s="7" t="b">
        <f t="shared" si="106"/>
        <v>1</v>
      </c>
      <c r="CI406" s="7" t="b">
        <f>C406=GenRev!C406</f>
        <v>1</v>
      </c>
    </row>
    <row r="407" spans="1:87">
      <c r="A407" s="12" t="s">
        <v>335</v>
      </c>
      <c r="B407" s="12"/>
      <c r="C407" s="12" t="s">
        <v>62</v>
      </c>
      <c r="D407" s="12"/>
      <c r="E407" s="12">
        <v>49908</v>
      </c>
      <c r="G407" s="7">
        <v>8041567</v>
      </c>
      <c r="I407" s="7">
        <v>1984157</v>
      </c>
      <c r="K407" s="7">
        <v>201363</v>
      </c>
      <c r="M407" s="7">
        <v>0</v>
      </c>
      <c r="O407" s="7">
        <v>122402</v>
      </c>
      <c r="Q407" s="7">
        <v>594626</v>
      </c>
      <c r="S407" s="7">
        <v>84183</v>
      </c>
      <c r="U407" s="7">
        <v>125115</v>
      </c>
      <c r="W407" s="7">
        <v>1656925</v>
      </c>
      <c r="Y407" s="7">
        <v>398870</v>
      </c>
      <c r="AA407" s="7">
        <v>0</v>
      </c>
      <c r="AC407" s="7">
        <v>1334979</v>
      </c>
      <c r="AE407" s="7">
        <v>928175</v>
      </c>
      <c r="AG407" s="7">
        <v>200710</v>
      </c>
      <c r="AI407" s="7">
        <v>0</v>
      </c>
      <c r="AK407" s="7">
        <v>0</v>
      </c>
      <c r="AL407" s="12" t="s">
        <v>335</v>
      </c>
      <c r="AM407" s="12"/>
      <c r="AN407" s="12" t="s">
        <v>62</v>
      </c>
      <c r="AP407" s="7">
        <v>208826</v>
      </c>
      <c r="AR407" s="7">
        <v>0</v>
      </c>
      <c r="AT407" s="7">
        <v>0</v>
      </c>
      <c r="AV407" s="7">
        <v>0</v>
      </c>
      <c r="AX407" s="7">
        <v>35054</v>
      </c>
      <c r="AZ407" s="7">
        <v>0</v>
      </c>
      <c r="BB407" s="7">
        <f t="shared" si="107"/>
        <v>15916952</v>
      </c>
      <c r="BD407" s="7">
        <v>0</v>
      </c>
      <c r="BF407" s="7">
        <v>0</v>
      </c>
      <c r="BH407" s="7">
        <v>0</v>
      </c>
      <c r="BJ407" s="7">
        <v>0</v>
      </c>
      <c r="BL407" s="7">
        <f t="shared" si="108"/>
        <v>15916952</v>
      </c>
      <c r="BN407" s="7">
        <f>+GenRev!AM407-GenExp!BL407</f>
        <v>1263727</v>
      </c>
      <c r="BP407" s="7">
        <v>-2132268</v>
      </c>
      <c r="BR407" s="7">
        <v>-12661</v>
      </c>
      <c r="BT407" s="7">
        <v>0</v>
      </c>
      <c r="BV407" s="7">
        <f t="shared" si="103"/>
        <v>-855880</v>
      </c>
      <c r="BX407" s="8">
        <f>+BV407-'Gen Fd BS'!AE407+BT407</f>
        <v>0</v>
      </c>
      <c r="CB407" s="7" t="str">
        <f t="shared" si="115"/>
        <v>Northwest Local SD</v>
      </c>
      <c r="CC407" s="7" t="b">
        <f t="shared" si="104"/>
        <v>1</v>
      </c>
      <c r="CE407" s="12" t="str">
        <f>GenRev!A407</f>
        <v>Northwest Local SD</v>
      </c>
      <c r="CF407" s="7" t="b">
        <f t="shared" si="116"/>
        <v>1</v>
      </c>
      <c r="CG407" s="7" t="str">
        <f t="shared" si="105"/>
        <v>Stark</v>
      </c>
      <c r="CH407" s="7" t="b">
        <f t="shared" si="106"/>
        <v>1</v>
      </c>
      <c r="CI407" s="7" t="b">
        <f>C407=GenRev!C407</f>
        <v>1</v>
      </c>
    </row>
    <row r="408" spans="1:87">
      <c r="A408" s="12" t="s">
        <v>239</v>
      </c>
      <c r="B408" s="12"/>
      <c r="C408" s="12" t="s">
        <v>17</v>
      </c>
      <c r="D408" s="12"/>
      <c r="E408" s="12">
        <v>46268</v>
      </c>
      <c r="G408" s="7">
        <v>7444209</v>
      </c>
      <c r="I408" s="7">
        <v>1571220</v>
      </c>
      <c r="K408" s="7">
        <v>0</v>
      </c>
      <c r="M408" s="7">
        <v>0</v>
      </c>
      <c r="O408" s="7">
        <v>8947</v>
      </c>
      <c r="Q408" s="7">
        <v>593855</v>
      </c>
      <c r="S408" s="7">
        <v>668797</v>
      </c>
      <c r="U408" s="7">
        <v>67884</v>
      </c>
      <c r="W408" s="7">
        <v>1188296</v>
      </c>
      <c r="Y408" s="7">
        <v>448765</v>
      </c>
      <c r="AA408" s="7">
        <v>0</v>
      </c>
      <c r="AC408" s="7">
        <v>1186759</v>
      </c>
      <c r="AE408" s="7">
        <v>1069232</v>
      </c>
      <c r="AG408" s="7">
        <v>128641</v>
      </c>
      <c r="AI408" s="7">
        <v>0</v>
      </c>
      <c r="AK408" s="7">
        <v>0</v>
      </c>
      <c r="AL408" s="12" t="s">
        <v>239</v>
      </c>
      <c r="AM408" s="12"/>
      <c r="AN408" s="12" t="s">
        <v>17</v>
      </c>
      <c r="AP408" s="7">
        <v>309059</v>
      </c>
      <c r="AR408" s="7">
        <v>7401</v>
      </c>
      <c r="AT408" s="7">
        <v>0</v>
      </c>
      <c r="AV408" s="7">
        <v>0</v>
      </c>
      <c r="AX408" s="7">
        <v>0</v>
      </c>
      <c r="AZ408" s="7">
        <v>0</v>
      </c>
      <c r="BB408" s="7">
        <f t="shared" si="107"/>
        <v>14693065</v>
      </c>
      <c r="BD408" s="7">
        <v>110721</v>
      </c>
      <c r="BF408" s="7">
        <v>0</v>
      </c>
      <c r="BH408" s="7">
        <v>0</v>
      </c>
      <c r="BJ408" s="7">
        <v>0</v>
      </c>
      <c r="BL408" s="7">
        <f t="shared" si="108"/>
        <v>14803786</v>
      </c>
      <c r="BN408" s="7">
        <f>+GenRev!AM408-GenExp!BL408</f>
        <v>822980</v>
      </c>
      <c r="BP408" s="7">
        <v>2510751</v>
      </c>
      <c r="BR408" s="7">
        <v>0</v>
      </c>
      <c r="BT408" s="7">
        <v>0</v>
      </c>
      <c r="BV408" s="7">
        <f t="shared" si="103"/>
        <v>3333731</v>
      </c>
      <c r="BX408" s="8">
        <f>+BV408-'Gen Fd BS'!AE408+BT408</f>
        <v>0</v>
      </c>
      <c r="CB408" s="7" t="str">
        <f t="shared" si="115"/>
        <v>Northwestern Local SD</v>
      </c>
      <c r="CC408" s="7" t="b">
        <f t="shared" si="104"/>
        <v>1</v>
      </c>
      <c r="CE408" s="12" t="str">
        <f>GenRev!A408</f>
        <v>Northwestern Local SD</v>
      </c>
      <c r="CF408" s="7" t="b">
        <f t="shared" si="116"/>
        <v>1</v>
      </c>
      <c r="CG408" s="7" t="str">
        <f t="shared" si="105"/>
        <v>Clark</v>
      </c>
      <c r="CH408" s="7" t="b">
        <f t="shared" si="106"/>
        <v>1</v>
      </c>
      <c r="CI408" s="7" t="b">
        <f>C408=GenRev!C408</f>
        <v>1</v>
      </c>
    </row>
    <row r="409" spans="1:87" hidden="1">
      <c r="A409" s="12" t="s">
        <v>801</v>
      </c>
      <c r="B409" s="12"/>
      <c r="C409" s="12" t="s">
        <v>71</v>
      </c>
      <c r="D409" s="12"/>
      <c r="E409" s="12"/>
      <c r="M409" s="7">
        <v>0</v>
      </c>
      <c r="AA409" s="7">
        <v>0</v>
      </c>
      <c r="AL409" s="12" t="s">
        <v>801</v>
      </c>
      <c r="AM409" s="12"/>
      <c r="AN409" s="12" t="s">
        <v>71</v>
      </c>
      <c r="AT409" s="7">
        <v>0</v>
      </c>
      <c r="AV409" s="7">
        <v>0</v>
      </c>
      <c r="AX409" s="7">
        <v>0</v>
      </c>
      <c r="AZ409" s="7">
        <v>0</v>
      </c>
      <c r="BF409" s="7">
        <v>0</v>
      </c>
      <c r="BH409" s="7">
        <v>0</v>
      </c>
      <c r="BJ409" s="7">
        <v>0</v>
      </c>
      <c r="BN409" s="7">
        <f>+GenRev!AM409-GenExp!BL409</f>
        <v>0</v>
      </c>
      <c r="BR409" s="7">
        <v>0</v>
      </c>
      <c r="BT409" s="7">
        <v>0</v>
      </c>
      <c r="BX409" s="8">
        <f>+BV409-'Gen Fd BS'!AE409+BT409</f>
        <v>0</v>
      </c>
      <c r="CA409" s="7" t="s">
        <v>938</v>
      </c>
      <c r="CB409" s="7" t="str">
        <f t="shared" ref="CB409" si="117">A409</f>
        <v>Northwestern Local SD (CASH)</v>
      </c>
      <c r="CC409" s="7" t="b">
        <f t="shared" si="104"/>
        <v>1</v>
      </c>
      <c r="CE409" s="12" t="str">
        <f>GenRev!A409</f>
        <v>Northwestern Local SD (CASH)</v>
      </c>
      <c r="CF409" s="7" t="b">
        <f t="shared" ref="CF409" si="118">CB409=CE409</f>
        <v>1</v>
      </c>
      <c r="CG409" s="7" t="str">
        <f t="shared" si="105"/>
        <v>Wayne</v>
      </c>
      <c r="CH409" s="7" t="b">
        <f t="shared" si="106"/>
        <v>1</v>
      </c>
      <c r="CI409" s="7" t="b">
        <f>C409=GenRev!C409</f>
        <v>1</v>
      </c>
    </row>
    <row r="410" spans="1:87">
      <c r="A410" s="12" t="s">
        <v>575</v>
      </c>
      <c r="B410" s="12"/>
      <c r="C410" s="12" t="s">
        <v>72</v>
      </c>
      <c r="D410" s="12"/>
      <c r="E410" s="12">
        <v>50716</v>
      </c>
      <c r="G410" s="7">
        <v>4337259</v>
      </c>
      <c r="I410" s="7">
        <v>1105259</v>
      </c>
      <c r="K410" s="7">
        <v>174884</v>
      </c>
      <c r="M410" s="7">
        <v>0</v>
      </c>
      <c r="O410" s="7">
        <v>0</v>
      </c>
      <c r="Q410" s="7">
        <v>327490</v>
      </c>
      <c r="S410" s="7">
        <v>577056</v>
      </c>
      <c r="U410" s="7">
        <v>14067</v>
      </c>
      <c r="W410" s="7">
        <v>792078</v>
      </c>
      <c r="Y410" s="7">
        <v>319892</v>
      </c>
      <c r="AA410" s="7">
        <v>0</v>
      </c>
      <c r="AC410" s="7">
        <v>819521</v>
      </c>
      <c r="AE410" s="7">
        <v>463236</v>
      </c>
      <c r="AG410" s="7">
        <v>22010</v>
      </c>
      <c r="AI410" s="7">
        <v>0</v>
      </c>
      <c r="AK410" s="7">
        <v>169</v>
      </c>
      <c r="AL410" s="12" t="s">
        <v>575</v>
      </c>
      <c r="AM410" s="12"/>
      <c r="AN410" s="12" t="s">
        <v>72</v>
      </c>
      <c r="AP410" s="7">
        <v>313606</v>
      </c>
      <c r="AR410" s="7">
        <v>29801</v>
      </c>
      <c r="AT410" s="7">
        <v>0</v>
      </c>
      <c r="AV410" s="7">
        <v>0</v>
      </c>
      <c r="AX410" s="7">
        <v>0</v>
      </c>
      <c r="AZ410" s="7">
        <v>0</v>
      </c>
      <c r="BB410" s="7">
        <f t="shared" si="107"/>
        <v>9296328</v>
      </c>
      <c r="BD410" s="7">
        <v>41232</v>
      </c>
      <c r="BF410" s="7">
        <v>0</v>
      </c>
      <c r="BH410" s="7">
        <v>0</v>
      </c>
      <c r="BJ410" s="7">
        <v>0</v>
      </c>
      <c r="BL410" s="7">
        <f t="shared" si="108"/>
        <v>9337560</v>
      </c>
      <c r="BN410" s="7">
        <f>+GenRev!AM410-GenExp!BL410</f>
        <v>978537</v>
      </c>
      <c r="BP410" s="7">
        <v>2442610</v>
      </c>
      <c r="BR410" s="7">
        <v>0</v>
      </c>
      <c r="BT410" s="7">
        <v>0</v>
      </c>
      <c r="BV410" s="7">
        <f t="shared" si="103"/>
        <v>3421147</v>
      </c>
      <c r="BX410" s="8">
        <f>+BV410-'Gen Fd BS'!AE410+BT410</f>
        <v>0</v>
      </c>
      <c r="CB410" s="7" t="str">
        <f t="shared" si="115"/>
        <v>Northwood Local SD</v>
      </c>
      <c r="CC410" s="7" t="b">
        <f t="shared" si="104"/>
        <v>1</v>
      </c>
      <c r="CE410" s="12" t="str">
        <f>GenRev!A410</f>
        <v>Northwood Local SD</v>
      </c>
      <c r="CF410" s="7" t="b">
        <f t="shared" si="116"/>
        <v>1</v>
      </c>
      <c r="CG410" s="7" t="str">
        <f t="shared" si="105"/>
        <v>Wood</v>
      </c>
      <c r="CH410" s="7" t="b">
        <f t="shared" si="106"/>
        <v>1</v>
      </c>
      <c r="CI410" s="7" t="b">
        <f>C410=GenRev!C410</f>
        <v>1</v>
      </c>
    </row>
    <row r="411" spans="1:87">
      <c r="A411" s="12" t="s">
        <v>528</v>
      </c>
      <c r="B411" s="12"/>
      <c r="C411" s="12" t="s">
        <v>63</v>
      </c>
      <c r="D411" s="12"/>
      <c r="E411" s="12">
        <v>44552</v>
      </c>
      <c r="G411" s="7">
        <v>10110586</v>
      </c>
      <c r="I411" s="7">
        <v>1654221</v>
      </c>
      <c r="K411" s="7">
        <v>799393</v>
      </c>
      <c r="M411" s="7">
        <v>2952</v>
      </c>
      <c r="O411" s="7">
        <v>304673</v>
      </c>
      <c r="Q411" s="7">
        <v>638524</v>
      </c>
      <c r="S411" s="7">
        <v>975881</v>
      </c>
      <c r="U411" s="7">
        <v>91037</v>
      </c>
      <c r="W411" s="7">
        <v>1611316</v>
      </c>
      <c r="Y411" s="7">
        <v>548962</v>
      </c>
      <c r="AA411" s="7">
        <v>268743</v>
      </c>
      <c r="AC411" s="7">
        <v>1693857</v>
      </c>
      <c r="AE411" s="7">
        <v>1350628</v>
      </c>
      <c r="AG411" s="7">
        <v>68503</v>
      </c>
      <c r="AI411" s="7">
        <v>0</v>
      </c>
      <c r="AK411" s="7">
        <v>256</v>
      </c>
      <c r="AL411" s="12" t="s">
        <v>528</v>
      </c>
      <c r="AM411" s="12"/>
      <c r="AN411" s="12" t="s">
        <v>63</v>
      </c>
      <c r="AP411" s="7">
        <v>387225</v>
      </c>
      <c r="AR411" s="7">
        <v>6500</v>
      </c>
      <c r="AT411" s="7">
        <v>0</v>
      </c>
      <c r="AV411" s="7">
        <v>36620</v>
      </c>
      <c r="AX411" s="7">
        <v>3916</v>
      </c>
      <c r="AZ411" s="7">
        <v>0</v>
      </c>
      <c r="BB411" s="7">
        <f t="shared" si="107"/>
        <v>20553793</v>
      </c>
      <c r="BD411" s="7">
        <v>0</v>
      </c>
      <c r="BF411" s="7">
        <v>0</v>
      </c>
      <c r="BH411" s="7">
        <v>0</v>
      </c>
      <c r="BJ411" s="7">
        <v>0</v>
      </c>
      <c r="BL411" s="7">
        <f t="shared" si="108"/>
        <v>20553793</v>
      </c>
      <c r="BN411" s="7">
        <f>+GenRev!AM411-GenExp!BL411</f>
        <v>-349408</v>
      </c>
      <c r="BP411" s="7">
        <v>3856095</v>
      </c>
      <c r="BR411" s="7">
        <v>0</v>
      </c>
      <c r="BT411" s="7">
        <v>0</v>
      </c>
      <c r="BV411" s="7">
        <f t="shared" si="103"/>
        <v>3506687</v>
      </c>
      <c r="BX411" s="8">
        <f>+BV411-'Gen Fd BS'!AE411+BT411</f>
        <v>0</v>
      </c>
      <c r="CA411" s="7" t="s">
        <v>949</v>
      </c>
      <c r="CB411" s="7" t="str">
        <f t="shared" si="115"/>
        <v>Norton City SD</v>
      </c>
      <c r="CC411" s="7" t="b">
        <f t="shared" si="104"/>
        <v>1</v>
      </c>
      <c r="CE411" s="12" t="str">
        <f>GenRev!A411</f>
        <v>Norton City SD</v>
      </c>
      <c r="CF411" s="7" t="b">
        <f t="shared" si="116"/>
        <v>1</v>
      </c>
      <c r="CG411" s="7" t="str">
        <f t="shared" si="105"/>
        <v>Summit</v>
      </c>
      <c r="CH411" s="7" t="b">
        <f t="shared" si="106"/>
        <v>1</v>
      </c>
      <c r="CI411" s="7" t="b">
        <f>C411=GenRev!C411</f>
        <v>1</v>
      </c>
    </row>
    <row r="412" spans="1:87">
      <c r="A412" s="12" t="s">
        <v>368</v>
      </c>
      <c r="B412" s="12"/>
      <c r="C412" s="12" t="s">
        <v>37</v>
      </c>
      <c r="D412" s="12"/>
      <c r="E412" s="12">
        <v>44560</v>
      </c>
      <c r="G412" s="7">
        <v>10037164</v>
      </c>
      <c r="I412" s="7">
        <v>2157023</v>
      </c>
      <c r="K412" s="7">
        <v>162825</v>
      </c>
      <c r="M412" s="7">
        <v>19409</v>
      </c>
      <c r="O412" s="7">
        <v>1284042</v>
      </c>
      <c r="Q412" s="7">
        <v>695303</v>
      </c>
      <c r="S412" s="7">
        <v>1909390</v>
      </c>
      <c r="U412" s="7">
        <v>172933</v>
      </c>
      <c r="W412" s="7">
        <v>2036508</v>
      </c>
      <c r="Y412" s="7">
        <v>491856</v>
      </c>
      <c r="AA412" s="7">
        <v>57525</v>
      </c>
      <c r="AC412" s="7">
        <v>2344812</v>
      </c>
      <c r="AE412" s="7">
        <v>770712</v>
      </c>
      <c r="AG412" s="7">
        <v>65332</v>
      </c>
      <c r="AI412" s="7">
        <v>0</v>
      </c>
      <c r="AK412" s="7">
        <v>21430</v>
      </c>
      <c r="AL412" s="12" t="s">
        <v>368</v>
      </c>
      <c r="AM412" s="12"/>
      <c r="AN412" s="12" t="s">
        <v>37</v>
      </c>
      <c r="AP412" s="7">
        <v>453170</v>
      </c>
      <c r="AR412" s="7">
        <v>68682</v>
      </c>
      <c r="AT412" s="7">
        <v>0</v>
      </c>
      <c r="AV412" s="7">
        <v>0</v>
      </c>
      <c r="AX412" s="7">
        <v>0</v>
      </c>
      <c r="AZ412" s="7">
        <v>0</v>
      </c>
      <c r="BB412" s="7">
        <f t="shared" si="107"/>
        <v>22748116</v>
      </c>
      <c r="BD412" s="7">
        <v>0</v>
      </c>
      <c r="BF412" s="7">
        <v>0</v>
      </c>
      <c r="BH412" s="7">
        <v>0</v>
      </c>
      <c r="BJ412" s="7">
        <v>0</v>
      </c>
      <c r="BL412" s="7">
        <f t="shared" si="108"/>
        <v>22748116</v>
      </c>
      <c r="BN412" s="7">
        <f>+GenRev!AM412-GenExp!BL412</f>
        <v>-329869</v>
      </c>
      <c r="BP412" s="7">
        <v>9569633</v>
      </c>
      <c r="BR412" s="7">
        <v>0</v>
      </c>
      <c r="BT412" s="7">
        <v>0</v>
      </c>
      <c r="BV412" s="7">
        <f t="shared" si="103"/>
        <v>9239764</v>
      </c>
      <c r="BX412" s="8">
        <f>+BV412-'Gen Fd BS'!AE412+BT412</f>
        <v>0</v>
      </c>
      <c r="CB412" s="7" t="str">
        <f t="shared" si="115"/>
        <v>Norwalk City SD</v>
      </c>
      <c r="CC412" s="7" t="b">
        <f t="shared" si="104"/>
        <v>1</v>
      </c>
      <c r="CE412" s="12" t="str">
        <f>GenRev!A412</f>
        <v>Norwalk City SD</v>
      </c>
      <c r="CF412" s="7" t="b">
        <f t="shared" si="116"/>
        <v>1</v>
      </c>
      <c r="CG412" s="7" t="str">
        <f t="shared" si="105"/>
        <v>Huron</v>
      </c>
      <c r="CH412" s="7" t="b">
        <f t="shared" si="106"/>
        <v>1</v>
      </c>
      <c r="CI412" s="7" t="b">
        <f>C412=GenRev!C412</f>
        <v>1</v>
      </c>
    </row>
    <row r="413" spans="1:87" hidden="1">
      <c r="A413" s="12" t="s">
        <v>950</v>
      </c>
      <c r="B413" s="12"/>
      <c r="C413" s="12" t="s">
        <v>71</v>
      </c>
      <c r="D413" s="12"/>
      <c r="E413" s="12"/>
      <c r="AI413" s="7">
        <v>0</v>
      </c>
      <c r="AL413" s="12" t="s">
        <v>950</v>
      </c>
      <c r="AM413" s="12"/>
      <c r="AN413" s="12" t="s">
        <v>71</v>
      </c>
      <c r="AT413" s="7">
        <v>0</v>
      </c>
      <c r="AZ413" s="7">
        <v>0</v>
      </c>
      <c r="BB413" s="7">
        <f t="shared" ref="BB413" si="119">SUM(G413:AZ413)</f>
        <v>0</v>
      </c>
      <c r="BF413" s="7">
        <v>0</v>
      </c>
      <c r="BH413" s="7">
        <v>0</v>
      </c>
      <c r="BJ413" s="7">
        <v>0</v>
      </c>
      <c r="BL413" s="7">
        <f t="shared" ref="BL413" si="120">+BB413+BD413+BF413+BJ413</f>
        <v>0</v>
      </c>
      <c r="BN413" s="7">
        <f>+GenRev!AM413-GenExp!BL413</f>
        <v>0</v>
      </c>
      <c r="BR413" s="7">
        <v>0</v>
      </c>
      <c r="BT413" s="7">
        <v>0</v>
      </c>
      <c r="BV413" s="7">
        <f t="shared" ref="BV413" si="121">+BP413+BN413-BR413</f>
        <v>0</v>
      </c>
      <c r="BX413" s="8">
        <f>+BV413-'Gen Fd BS'!AE413+BT413</f>
        <v>0</v>
      </c>
      <c r="CA413" s="7" t="s">
        <v>931</v>
      </c>
      <c r="CB413" s="7" t="str">
        <f t="shared" ref="CB413" si="122">A413</f>
        <v>Norwayne Local SD (CASH)</v>
      </c>
      <c r="CC413" s="7" t="b">
        <f t="shared" ref="CC413" si="123">A413=AL413</f>
        <v>1</v>
      </c>
      <c r="CE413" s="12" t="str">
        <f>GenRev!A413</f>
        <v>Norwayne Local SD (CASH)</v>
      </c>
      <c r="CF413" s="7" t="b">
        <f t="shared" ref="CF413" si="124">CB413=CE413</f>
        <v>1</v>
      </c>
      <c r="CG413" s="7" t="str">
        <f t="shared" ref="CG413" si="125">C413</f>
        <v>Wayne</v>
      </c>
      <c r="CH413" s="7" t="b">
        <f t="shared" ref="CH413" si="126">C413=AN413</f>
        <v>1</v>
      </c>
      <c r="CI413" s="7" t="b">
        <f>C413=GenRev!C413</f>
        <v>1</v>
      </c>
    </row>
    <row r="414" spans="1:87">
      <c r="A414" s="12" t="s">
        <v>658</v>
      </c>
      <c r="B414" s="12"/>
      <c r="C414" s="12" t="s">
        <v>32</v>
      </c>
      <c r="D414" s="12"/>
      <c r="E414" s="12">
        <v>44578</v>
      </c>
      <c r="G414" s="7">
        <v>10584201</v>
      </c>
      <c r="I414" s="7">
        <v>2329962</v>
      </c>
      <c r="K414" s="7">
        <v>0</v>
      </c>
      <c r="M414" s="7">
        <v>0</v>
      </c>
      <c r="O414" s="7">
        <v>816204</v>
      </c>
      <c r="Q414" s="7">
        <v>1428269</v>
      </c>
      <c r="S414" s="7">
        <v>1328456</v>
      </c>
      <c r="U414" s="7">
        <v>28940</v>
      </c>
      <c r="W414" s="7">
        <v>1510093</v>
      </c>
      <c r="Y414" s="7">
        <v>666976</v>
      </c>
      <c r="AA414" s="7">
        <v>0</v>
      </c>
      <c r="AC414" s="7">
        <v>1670709</v>
      </c>
      <c r="AE414" s="7">
        <v>512044</v>
      </c>
      <c r="AG414" s="7">
        <v>42349</v>
      </c>
      <c r="AI414" s="7">
        <v>0</v>
      </c>
      <c r="AK414" s="7">
        <v>992669</v>
      </c>
      <c r="AL414" s="12" t="s">
        <v>658</v>
      </c>
      <c r="AM414" s="12"/>
      <c r="AN414" s="12" t="s">
        <v>32</v>
      </c>
      <c r="AP414" s="7">
        <v>388391</v>
      </c>
      <c r="AR414" s="7">
        <v>10501</v>
      </c>
      <c r="AT414" s="7">
        <v>0</v>
      </c>
      <c r="AV414" s="7">
        <v>230700</v>
      </c>
      <c r="AX414" s="7">
        <v>245884</v>
      </c>
      <c r="AZ414" s="7">
        <v>0</v>
      </c>
      <c r="BB414" s="7">
        <f t="shared" si="107"/>
        <v>22786348</v>
      </c>
      <c r="BD414" s="7">
        <v>67518</v>
      </c>
      <c r="BF414" s="7">
        <v>0</v>
      </c>
      <c r="BH414" s="7">
        <v>0</v>
      </c>
      <c r="BJ414" s="7">
        <v>0</v>
      </c>
      <c r="BL414" s="7">
        <f t="shared" si="108"/>
        <v>22853866</v>
      </c>
      <c r="BN414" s="7">
        <f>+GenRev!AM414-GenExp!BL414</f>
        <v>1862897</v>
      </c>
      <c r="BP414" s="7">
        <v>3682563</v>
      </c>
      <c r="BR414" s="7">
        <v>0</v>
      </c>
      <c r="BT414" s="7">
        <v>0</v>
      </c>
      <c r="BV414" s="7">
        <f t="shared" si="103"/>
        <v>5545460</v>
      </c>
      <c r="BX414" s="8">
        <f>+BV414-'Gen Fd BS'!AE414+BT414</f>
        <v>0</v>
      </c>
      <c r="CB414" s="7" t="str">
        <f t="shared" si="115"/>
        <v>Norwood City SD</v>
      </c>
      <c r="CC414" s="7" t="b">
        <f t="shared" si="104"/>
        <v>1</v>
      </c>
      <c r="CE414" s="12" t="str">
        <f>GenRev!A414</f>
        <v>Norwood City SD</v>
      </c>
      <c r="CF414" s="7" t="b">
        <f t="shared" si="116"/>
        <v>1</v>
      </c>
      <c r="CG414" s="7" t="str">
        <f t="shared" si="105"/>
        <v>Hamilton</v>
      </c>
      <c r="CH414" s="7" t="b">
        <f t="shared" si="106"/>
        <v>1</v>
      </c>
      <c r="CI414" s="7" t="b">
        <f>C414=GenRev!C414</f>
        <v>1</v>
      </c>
    </row>
    <row r="415" spans="1:87" hidden="1">
      <c r="A415" s="12" t="s">
        <v>799</v>
      </c>
      <c r="B415" s="12"/>
      <c r="C415" s="12" t="s">
        <v>38</v>
      </c>
      <c r="D415" s="12"/>
      <c r="E415" s="12"/>
      <c r="M415" s="7">
        <v>0</v>
      </c>
      <c r="AI415" s="7">
        <v>0</v>
      </c>
      <c r="AL415" s="12" t="s">
        <v>799</v>
      </c>
      <c r="AM415" s="12"/>
      <c r="AN415" s="12" t="s">
        <v>38</v>
      </c>
      <c r="AT415" s="7">
        <v>0</v>
      </c>
      <c r="AZ415" s="7">
        <v>0</v>
      </c>
      <c r="BF415" s="7">
        <v>0</v>
      </c>
      <c r="BH415" s="7">
        <v>0</v>
      </c>
      <c r="BJ415" s="7">
        <v>0</v>
      </c>
      <c r="BN415" s="7">
        <f>+GenRev!AM415-GenExp!BL415</f>
        <v>0</v>
      </c>
      <c r="BR415" s="7">
        <v>0</v>
      </c>
      <c r="BT415" s="7">
        <v>0</v>
      </c>
      <c r="BX415" s="8">
        <f>+BV415-'Gen Fd BS'!AE415+BT415</f>
        <v>0</v>
      </c>
      <c r="CA415" s="7" t="s">
        <v>938</v>
      </c>
      <c r="CB415" s="7" t="str">
        <f t="shared" ref="CB415" si="127">A415</f>
        <v>Oak Hill Union Local SD (CASH)</v>
      </c>
      <c r="CC415" s="7" t="b">
        <f t="shared" si="104"/>
        <v>1</v>
      </c>
      <c r="CE415" s="12" t="str">
        <f>GenRev!A415</f>
        <v>Oak Hill Union Local SD (CASH)</v>
      </c>
      <c r="CF415" s="7" t="b">
        <f t="shared" ref="CF415" si="128">CB415=CE415</f>
        <v>1</v>
      </c>
      <c r="CG415" s="7" t="str">
        <f t="shared" si="105"/>
        <v>Jackson</v>
      </c>
      <c r="CH415" s="7" t="b">
        <f t="shared" si="106"/>
        <v>1</v>
      </c>
      <c r="CI415" s="7" t="b">
        <f>C415=GenRev!C415</f>
        <v>1</v>
      </c>
    </row>
    <row r="416" spans="1:87">
      <c r="A416" s="12" t="s">
        <v>336</v>
      </c>
      <c r="B416" s="12"/>
      <c r="C416" s="12" t="s">
        <v>32</v>
      </c>
      <c r="D416" s="12"/>
      <c r="E416" s="12">
        <v>47373</v>
      </c>
      <c r="G416" s="7">
        <v>31572492</v>
      </c>
      <c r="I416" s="7">
        <v>7830200</v>
      </c>
      <c r="K416" s="7">
        <v>189</v>
      </c>
      <c r="M416" s="7">
        <v>0</v>
      </c>
      <c r="O416" s="7">
        <v>264077</v>
      </c>
      <c r="Q416" s="7">
        <v>4496880</v>
      </c>
      <c r="S416" s="7">
        <v>4787039</v>
      </c>
      <c r="U416" s="7">
        <v>128139</v>
      </c>
      <c r="W416" s="7">
        <v>4744392</v>
      </c>
      <c r="Y416" s="7">
        <v>1215583</v>
      </c>
      <c r="AA416" s="7">
        <v>280145</v>
      </c>
      <c r="AC416" s="7">
        <v>5885029</v>
      </c>
      <c r="AE416" s="7">
        <v>2381030</v>
      </c>
      <c r="AG416" s="7">
        <v>568475</v>
      </c>
      <c r="AI416" s="7">
        <v>0</v>
      </c>
      <c r="AK416" s="7">
        <v>157742</v>
      </c>
      <c r="AL416" s="12" t="s">
        <v>336</v>
      </c>
      <c r="AM416" s="12"/>
      <c r="AN416" s="12" t="s">
        <v>32</v>
      </c>
      <c r="AP416" s="7">
        <v>986642</v>
      </c>
      <c r="AR416" s="7">
        <v>53526</v>
      </c>
      <c r="AT416" s="7">
        <v>0</v>
      </c>
      <c r="AV416" s="7">
        <v>0</v>
      </c>
      <c r="AX416" s="7">
        <v>0</v>
      </c>
      <c r="AZ416" s="7">
        <v>0</v>
      </c>
      <c r="BB416" s="7">
        <f t="shared" si="107"/>
        <v>65351580</v>
      </c>
      <c r="BD416" s="7">
        <v>671663</v>
      </c>
      <c r="BF416" s="7">
        <v>0</v>
      </c>
      <c r="BH416" s="7">
        <v>0</v>
      </c>
      <c r="BJ416" s="7">
        <v>0</v>
      </c>
      <c r="BL416" s="7">
        <f t="shared" si="108"/>
        <v>66023243</v>
      </c>
      <c r="BN416" s="7">
        <f>+GenRev!AM416-GenExp!BL416</f>
        <v>-4881056</v>
      </c>
      <c r="BP416" s="7">
        <v>25664519</v>
      </c>
      <c r="BR416" s="7">
        <v>0</v>
      </c>
      <c r="BT416" s="7">
        <v>0</v>
      </c>
      <c r="BV416" s="7">
        <f t="shared" si="103"/>
        <v>20783463</v>
      </c>
      <c r="BX416" s="8">
        <f>+BV416-'Gen Fd BS'!AE416+BT416</f>
        <v>0</v>
      </c>
      <c r="CB416" s="7" t="str">
        <f t="shared" si="115"/>
        <v>Oak Hills Local SD</v>
      </c>
      <c r="CC416" s="7" t="b">
        <f t="shared" si="104"/>
        <v>1</v>
      </c>
      <c r="CE416" s="12" t="str">
        <f>GenRev!A416</f>
        <v>Oak Hills Local SD</v>
      </c>
      <c r="CF416" s="7" t="b">
        <f t="shared" si="116"/>
        <v>1</v>
      </c>
      <c r="CG416" s="7" t="str">
        <f t="shared" si="105"/>
        <v>Hamilton</v>
      </c>
      <c r="CH416" s="7" t="b">
        <f t="shared" si="106"/>
        <v>1</v>
      </c>
      <c r="CI416" s="7" t="b">
        <f>C416=GenRev!C416</f>
        <v>1</v>
      </c>
    </row>
    <row r="417" spans="1:87">
      <c r="A417" s="12" t="s">
        <v>448</v>
      </c>
      <c r="B417" s="12"/>
      <c r="C417" s="12" t="s">
        <v>50</v>
      </c>
      <c r="D417" s="12"/>
      <c r="E417" s="12">
        <v>44586</v>
      </c>
      <c r="G417" s="7">
        <v>11231893</v>
      </c>
      <c r="I417" s="7">
        <v>2101374</v>
      </c>
      <c r="K417" s="7">
        <v>0</v>
      </c>
      <c r="M417" s="7">
        <v>0</v>
      </c>
      <c r="O417" s="7">
        <v>229988</v>
      </c>
      <c r="Q417" s="7">
        <v>1420270</v>
      </c>
      <c r="S417" s="7">
        <v>320916</v>
      </c>
      <c r="U417" s="7">
        <v>18366</v>
      </c>
      <c r="W417" s="7">
        <v>1856888</v>
      </c>
      <c r="Y417" s="7">
        <v>712671</v>
      </c>
      <c r="AA417" s="7">
        <v>1178</v>
      </c>
      <c r="AC417" s="7">
        <v>2226258</v>
      </c>
      <c r="AE417" s="7">
        <v>216659</v>
      </c>
      <c r="AG417" s="7">
        <v>532078</v>
      </c>
      <c r="AI417" s="7">
        <v>0</v>
      </c>
      <c r="AK417" s="7">
        <v>21657</v>
      </c>
      <c r="AL417" s="12" t="s">
        <v>448</v>
      </c>
      <c r="AM417" s="12"/>
      <c r="AN417" s="12" t="s">
        <v>50</v>
      </c>
      <c r="AP417" s="7">
        <v>740685</v>
      </c>
      <c r="AR417" s="7">
        <v>0</v>
      </c>
      <c r="AT417" s="7">
        <v>0</v>
      </c>
      <c r="AV417" s="7">
        <v>104127</v>
      </c>
      <c r="AX417" s="7">
        <v>13257</v>
      </c>
      <c r="AZ417" s="7">
        <v>0</v>
      </c>
      <c r="BB417" s="7">
        <f t="shared" si="107"/>
        <v>21748265</v>
      </c>
      <c r="BD417" s="7">
        <v>2194</v>
      </c>
      <c r="BF417" s="7">
        <v>0</v>
      </c>
      <c r="BH417" s="7">
        <v>0</v>
      </c>
      <c r="BJ417" s="7">
        <v>0</v>
      </c>
      <c r="BL417" s="7">
        <f t="shared" si="108"/>
        <v>21750459</v>
      </c>
      <c r="BN417" s="7">
        <f>+GenRev!AM417-GenExp!BL417</f>
        <v>1211059</v>
      </c>
      <c r="BP417" s="7">
        <v>225999</v>
      </c>
      <c r="BR417" s="7">
        <v>0</v>
      </c>
      <c r="BT417" s="7">
        <v>0</v>
      </c>
      <c r="BV417" s="7">
        <f t="shared" si="103"/>
        <v>1437058</v>
      </c>
      <c r="BX417" s="8">
        <f>+BV417-'Gen Fd BS'!AE417+BT417</f>
        <v>0</v>
      </c>
      <c r="CB417" s="7" t="str">
        <f t="shared" si="115"/>
        <v>Oakwood City SD</v>
      </c>
      <c r="CC417" s="7" t="b">
        <f t="shared" si="104"/>
        <v>1</v>
      </c>
      <c r="CE417" s="12" t="str">
        <f>GenRev!A417</f>
        <v>Oakwood City SD</v>
      </c>
      <c r="CF417" s="7" t="b">
        <f t="shared" si="116"/>
        <v>1</v>
      </c>
      <c r="CG417" s="7" t="str">
        <f t="shared" si="105"/>
        <v>Montgomery</v>
      </c>
      <c r="CH417" s="7" t="b">
        <f t="shared" si="106"/>
        <v>1</v>
      </c>
      <c r="CI417" s="7" t="b">
        <f>C417=GenRev!C417</f>
        <v>1</v>
      </c>
    </row>
    <row r="418" spans="1:87">
      <c r="A418" s="12" t="s">
        <v>401</v>
      </c>
      <c r="B418" s="12"/>
      <c r="C418" s="12" t="s">
        <v>44</v>
      </c>
      <c r="D418" s="12"/>
      <c r="E418" s="12">
        <v>44594</v>
      </c>
      <c r="G418" s="7">
        <v>6105573</v>
      </c>
      <c r="I418" s="7">
        <v>619442</v>
      </c>
      <c r="K418" s="7">
        <v>96092</v>
      </c>
      <c r="M418" s="7">
        <v>0</v>
      </c>
      <c r="O418" s="7">
        <v>20913</v>
      </c>
      <c r="Q418" s="7">
        <v>774535</v>
      </c>
      <c r="S418" s="7">
        <v>359891</v>
      </c>
      <c r="U418" s="7">
        <v>37128</v>
      </c>
      <c r="W418" s="7">
        <v>1120424</v>
      </c>
      <c r="Y418" s="7">
        <v>362504</v>
      </c>
      <c r="AA418" s="7">
        <v>173776</v>
      </c>
      <c r="AC418" s="7">
        <v>1079033</v>
      </c>
      <c r="AE418" s="7">
        <v>325819</v>
      </c>
      <c r="AG418" s="7">
        <v>59053</v>
      </c>
      <c r="AI418" s="7">
        <v>0</v>
      </c>
      <c r="AK418" s="7">
        <v>0</v>
      </c>
      <c r="AL418" s="12" t="s">
        <v>401</v>
      </c>
      <c r="AM418" s="12"/>
      <c r="AN418" s="12" t="s">
        <v>44</v>
      </c>
      <c r="AP418" s="7">
        <v>178963</v>
      </c>
      <c r="AR418" s="7">
        <v>0</v>
      </c>
      <c r="AT418" s="7">
        <v>0</v>
      </c>
      <c r="AV418" s="7">
        <v>60805</v>
      </c>
      <c r="AX418" s="7">
        <v>22234</v>
      </c>
      <c r="AZ418" s="7">
        <v>0</v>
      </c>
      <c r="BB418" s="7">
        <f t="shared" si="107"/>
        <v>11396185</v>
      </c>
      <c r="BD418" s="7">
        <v>28303</v>
      </c>
      <c r="BF418" s="7">
        <v>0</v>
      </c>
      <c r="BH418" s="7">
        <v>0</v>
      </c>
      <c r="BJ418" s="7">
        <v>0</v>
      </c>
      <c r="BL418" s="7">
        <f t="shared" si="108"/>
        <v>11424488</v>
      </c>
      <c r="BN418" s="7">
        <f>+GenRev!AM418-GenExp!BL418</f>
        <v>644592</v>
      </c>
      <c r="BP418" s="7">
        <v>-350528</v>
      </c>
      <c r="BR418" s="7">
        <v>0</v>
      </c>
      <c r="BT418" s="7">
        <v>0</v>
      </c>
      <c r="BV418" s="7">
        <f t="shared" si="103"/>
        <v>294064</v>
      </c>
      <c r="BX418" s="8">
        <f>+BV418-'Gen Fd BS'!AE418+BT418</f>
        <v>0</v>
      </c>
      <c r="CB418" s="7" t="str">
        <f t="shared" si="115"/>
        <v>Oberlin City SD</v>
      </c>
      <c r="CC418" s="7" t="b">
        <f t="shared" si="104"/>
        <v>1</v>
      </c>
      <c r="CE418" s="12" t="str">
        <f>GenRev!A418</f>
        <v>Oberlin City SD</v>
      </c>
      <c r="CF418" s="7" t="b">
        <f t="shared" si="116"/>
        <v>1</v>
      </c>
      <c r="CG418" s="7" t="str">
        <f t="shared" si="105"/>
        <v>Lorain</v>
      </c>
      <c r="CH418" s="7" t="b">
        <f t="shared" si="106"/>
        <v>1</v>
      </c>
      <c r="CI418" s="7" t="b">
        <f>C418=GenRev!C418</f>
        <v>1</v>
      </c>
    </row>
    <row r="419" spans="1:87" hidden="1">
      <c r="A419" s="12" t="s">
        <v>640</v>
      </c>
      <c r="B419" s="12"/>
      <c r="C419" s="12" t="s">
        <v>60</v>
      </c>
      <c r="D419" s="12"/>
      <c r="E419" s="12">
        <v>49726</v>
      </c>
      <c r="M419" s="7">
        <v>0</v>
      </c>
      <c r="AI419" s="7">
        <v>0</v>
      </c>
      <c r="AL419" s="12" t="s">
        <v>640</v>
      </c>
      <c r="AM419" s="12"/>
      <c r="AN419" s="12" t="s">
        <v>60</v>
      </c>
      <c r="AT419" s="7">
        <v>0</v>
      </c>
      <c r="AZ419" s="7">
        <v>0</v>
      </c>
      <c r="BB419" s="7">
        <f t="shared" si="107"/>
        <v>0</v>
      </c>
      <c r="BF419" s="7">
        <v>0</v>
      </c>
      <c r="BH419" s="7">
        <v>0</v>
      </c>
      <c r="BJ419" s="7">
        <v>0</v>
      </c>
      <c r="BL419" s="7">
        <f t="shared" si="108"/>
        <v>0</v>
      </c>
      <c r="BN419" s="7">
        <f>+GenRev!AM419-GenExp!BL419</f>
        <v>0</v>
      </c>
      <c r="BR419" s="7">
        <v>0</v>
      </c>
      <c r="BT419" s="7">
        <v>0</v>
      </c>
      <c r="BV419" s="7">
        <f t="shared" si="103"/>
        <v>0</v>
      </c>
      <c r="BX419" s="8">
        <f>+BV419-'Gen Fd BS'!AE419+BT419</f>
        <v>0</v>
      </c>
      <c r="CA419" s="7" t="s">
        <v>839</v>
      </c>
      <c r="CB419" s="7" t="str">
        <f t="shared" si="115"/>
        <v>Old Fort Local SD (CASH)</v>
      </c>
      <c r="CC419" s="7" t="b">
        <f t="shared" si="104"/>
        <v>1</v>
      </c>
      <c r="CE419" s="12" t="str">
        <f>GenRev!A419</f>
        <v>Old Fort Local SD (CASH)</v>
      </c>
      <c r="CF419" s="7" t="b">
        <f t="shared" si="116"/>
        <v>1</v>
      </c>
      <c r="CG419" s="7" t="str">
        <f t="shared" si="105"/>
        <v>Seneca</v>
      </c>
      <c r="CH419" s="7" t="b">
        <f t="shared" si="106"/>
        <v>1</v>
      </c>
      <c r="CI419" s="7" t="b">
        <f>C419=GenRev!C419</f>
        <v>1</v>
      </c>
    </row>
    <row r="420" spans="1:87">
      <c r="A420" s="12" t="s">
        <v>290</v>
      </c>
      <c r="B420" s="12"/>
      <c r="C420" s="12" t="s">
        <v>23</v>
      </c>
      <c r="D420" s="12"/>
      <c r="E420" s="12">
        <v>46763</v>
      </c>
      <c r="G420" s="7">
        <v>74764626</v>
      </c>
      <c r="I420" s="7">
        <v>16059034</v>
      </c>
      <c r="K420" s="7">
        <v>908770</v>
      </c>
      <c r="M420" s="7">
        <v>0</v>
      </c>
      <c r="O420" s="7">
        <v>0</v>
      </c>
      <c r="Q420" s="7">
        <v>5767832</v>
      </c>
      <c r="S420" s="7">
        <v>8824955</v>
      </c>
      <c r="U420" s="7">
        <v>580703</v>
      </c>
      <c r="W420" s="7">
        <v>7916032</v>
      </c>
      <c r="Y420" s="7">
        <v>0</v>
      </c>
      <c r="AA420" s="7">
        <v>3235808</v>
      </c>
      <c r="AC420" s="7">
        <v>14079026</v>
      </c>
      <c r="AE420" s="7">
        <v>7221060</v>
      </c>
      <c r="AG420" s="7">
        <v>3406809</v>
      </c>
      <c r="AI420" s="7">
        <v>0</v>
      </c>
      <c r="AK420" s="7">
        <v>513205</v>
      </c>
      <c r="AL420" s="12" t="s">
        <v>290</v>
      </c>
      <c r="AM420" s="12"/>
      <c r="AN420" s="12" t="s">
        <v>23</v>
      </c>
      <c r="AP420" s="7">
        <v>3420385</v>
      </c>
      <c r="AR420" s="7">
        <v>14497</v>
      </c>
      <c r="AT420" s="7">
        <v>0</v>
      </c>
      <c r="AV420" s="7">
        <v>295229</v>
      </c>
      <c r="AX420" s="7">
        <v>53891</v>
      </c>
      <c r="AZ420" s="7">
        <v>0</v>
      </c>
      <c r="BB420" s="7">
        <f t="shared" si="107"/>
        <v>147061862</v>
      </c>
      <c r="BD420" s="7">
        <v>0</v>
      </c>
      <c r="BF420" s="7">
        <v>0</v>
      </c>
      <c r="BH420" s="7">
        <v>0</v>
      </c>
      <c r="BJ420" s="7">
        <v>0</v>
      </c>
      <c r="BL420" s="7">
        <f t="shared" si="108"/>
        <v>147061862</v>
      </c>
      <c r="BN420" s="7">
        <f>+GenRev!AM420-GenExp!BL420</f>
        <v>1453619</v>
      </c>
      <c r="BP420" s="7">
        <v>27474560</v>
      </c>
      <c r="BR420" s="7">
        <v>0</v>
      </c>
      <c r="BT420" s="7">
        <v>0</v>
      </c>
      <c r="BV420" s="7">
        <f t="shared" si="103"/>
        <v>28928179</v>
      </c>
      <c r="BX420" s="8">
        <f>+BV420-'Gen Fd BS'!AE420+BT420</f>
        <v>0</v>
      </c>
      <c r="CB420" s="7" t="str">
        <f t="shared" si="115"/>
        <v>Olentangy Local SD</v>
      </c>
      <c r="CC420" s="7" t="b">
        <f t="shared" si="104"/>
        <v>1</v>
      </c>
      <c r="CE420" s="12" t="str">
        <f>GenRev!A420</f>
        <v>Olentangy Local SD</v>
      </c>
      <c r="CF420" s="7" t="b">
        <f t="shared" si="116"/>
        <v>1</v>
      </c>
      <c r="CG420" s="7" t="str">
        <f t="shared" si="105"/>
        <v>Delaware</v>
      </c>
      <c r="CH420" s="7" t="b">
        <f t="shared" si="106"/>
        <v>1</v>
      </c>
      <c r="CI420" s="7" t="b">
        <f>C420=GenRev!C420</f>
        <v>1</v>
      </c>
    </row>
    <row r="421" spans="1:87">
      <c r="A421" s="12" t="s">
        <v>279</v>
      </c>
      <c r="B421" s="12"/>
      <c r="C421" s="12" t="s">
        <v>20</v>
      </c>
      <c r="D421" s="12"/>
      <c r="E421" s="12">
        <v>46573</v>
      </c>
      <c r="G421" s="7">
        <v>15961723</v>
      </c>
      <c r="I421" s="7">
        <v>5061059</v>
      </c>
      <c r="K421" s="7">
        <v>432881</v>
      </c>
      <c r="M421" s="7">
        <v>0</v>
      </c>
      <c r="O421" s="7">
        <v>120927</v>
      </c>
      <c r="Q421" s="7">
        <v>1745958</v>
      </c>
      <c r="S421" s="7">
        <v>1095821</v>
      </c>
      <c r="U421" s="7">
        <v>196701</v>
      </c>
      <c r="W421" s="7">
        <v>2526283</v>
      </c>
      <c r="Y421" s="7">
        <v>1065635</v>
      </c>
      <c r="AA421" s="7">
        <v>0</v>
      </c>
      <c r="AC421" s="7">
        <v>3378430</v>
      </c>
      <c r="AE421" s="7">
        <v>1961497</v>
      </c>
      <c r="AG421" s="7">
        <v>312376</v>
      </c>
      <c r="AI421" s="7">
        <v>0</v>
      </c>
      <c r="AK421" s="7">
        <v>10567</v>
      </c>
      <c r="AL421" s="12" t="s">
        <v>279</v>
      </c>
      <c r="AM421" s="12"/>
      <c r="AN421" s="12" t="s">
        <v>20</v>
      </c>
      <c r="AP421" s="7">
        <v>1428170</v>
      </c>
      <c r="AR421" s="7">
        <v>0</v>
      </c>
      <c r="AT421" s="7">
        <v>0</v>
      </c>
      <c r="AV421" s="7">
        <v>79361</v>
      </c>
      <c r="AX421" s="7">
        <v>23023</v>
      </c>
      <c r="AZ421" s="7">
        <v>0</v>
      </c>
      <c r="BB421" s="7">
        <f t="shared" si="107"/>
        <v>35400412</v>
      </c>
      <c r="BD421" s="7">
        <v>0</v>
      </c>
      <c r="BF421" s="7">
        <v>0</v>
      </c>
      <c r="BH421" s="7">
        <v>0</v>
      </c>
      <c r="BJ421" s="7">
        <v>0</v>
      </c>
      <c r="BL421" s="7">
        <f t="shared" si="108"/>
        <v>35400412</v>
      </c>
      <c r="BN421" s="7">
        <f>+GenRev!AM421-GenExp!BL421</f>
        <v>1250636</v>
      </c>
      <c r="BP421" s="7">
        <v>2520401</v>
      </c>
      <c r="BR421" s="7">
        <v>0</v>
      </c>
      <c r="BT421" s="7">
        <v>0</v>
      </c>
      <c r="BV421" s="7">
        <f t="shared" si="103"/>
        <v>3771037</v>
      </c>
      <c r="BX421" s="8">
        <f>+BV421-'Gen Fd BS'!AE421+BT421</f>
        <v>0</v>
      </c>
      <c r="CB421" s="7" t="str">
        <f t="shared" si="115"/>
        <v>Olmsted Falls City SD</v>
      </c>
      <c r="CC421" s="7" t="b">
        <f t="shared" si="104"/>
        <v>1</v>
      </c>
      <c r="CE421" s="12" t="str">
        <f>GenRev!A421</f>
        <v>Olmsted Falls City SD</v>
      </c>
      <c r="CF421" s="7" t="b">
        <f t="shared" si="116"/>
        <v>1</v>
      </c>
      <c r="CG421" s="7" t="str">
        <f t="shared" si="105"/>
        <v>Cuyahoga</v>
      </c>
      <c r="CH421" s="7" t="b">
        <f t="shared" si="106"/>
        <v>1</v>
      </c>
      <c r="CI421" s="7" t="b">
        <f>C421=GenRev!C421</f>
        <v>1</v>
      </c>
    </row>
    <row r="422" spans="1:87">
      <c r="A422" s="12" t="s">
        <v>485</v>
      </c>
      <c r="B422" s="12"/>
      <c r="C422" s="12" t="s">
        <v>110</v>
      </c>
      <c r="D422" s="12"/>
      <c r="E422" s="12">
        <v>49478</v>
      </c>
      <c r="G422" s="7">
        <v>6734780</v>
      </c>
      <c r="I422" s="7">
        <v>1075177</v>
      </c>
      <c r="K422" s="7">
        <v>232059</v>
      </c>
      <c r="M422" s="7">
        <v>0</v>
      </c>
      <c r="O422" s="7">
        <v>361756</v>
      </c>
      <c r="Q422" s="7">
        <v>800225</v>
      </c>
      <c r="S422" s="7">
        <v>795362</v>
      </c>
      <c r="U422" s="7">
        <v>55143</v>
      </c>
      <c r="W422" s="7">
        <v>1302593</v>
      </c>
      <c r="Y422" s="7">
        <v>490959</v>
      </c>
      <c r="AA422" s="7">
        <v>0</v>
      </c>
      <c r="AC422" s="7">
        <v>1750908</v>
      </c>
      <c r="AE422" s="7">
        <v>732710</v>
      </c>
      <c r="AG422" s="7">
        <v>36387</v>
      </c>
      <c r="AI422" s="7">
        <v>0</v>
      </c>
      <c r="AK422" s="7">
        <v>0</v>
      </c>
      <c r="AL422" s="12" t="s">
        <v>485</v>
      </c>
      <c r="AM422" s="12"/>
      <c r="AN422" s="12" t="s">
        <v>110</v>
      </c>
      <c r="AP422" s="7">
        <v>502028</v>
      </c>
      <c r="AR422" s="7">
        <v>51968</v>
      </c>
      <c r="AT422" s="7">
        <v>0</v>
      </c>
      <c r="AV422" s="7">
        <v>11537</v>
      </c>
      <c r="AX422" s="7">
        <v>0</v>
      </c>
      <c r="AZ422" s="7">
        <v>0</v>
      </c>
      <c r="BB422" s="7">
        <f t="shared" si="107"/>
        <v>14933592</v>
      </c>
      <c r="BD422" s="7">
        <v>0</v>
      </c>
      <c r="BF422" s="7">
        <v>0</v>
      </c>
      <c r="BH422" s="7">
        <v>0</v>
      </c>
      <c r="BJ422" s="7">
        <v>0</v>
      </c>
      <c r="BL422" s="7">
        <f t="shared" si="108"/>
        <v>14933592</v>
      </c>
      <c r="BN422" s="7">
        <f>+GenRev!AM422-GenExp!BL422</f>
        <v>274180</v>
      </c>
      <c r="BP422" s="7">
        <v>5134644</v>
      </c>
      <c r="BR422" s="7">
        <v>-48799</v>
      </c>
      <c r="BT422" s="7">
        <v>0</v>
      </c>
      <c r="BV422" s="7">
        <f t="shared" si="103"/>
        <v>5457623</v>
      </c>
      <c r="BX422" s="8">
        <f>+BV422-'Gen Fd BS'!AE422+BT422</f>
        <v>0</v>
      </c>
      <c r="CB422" s="7" t="str">
        <f t="shared" si="115"/>
        <v>Ontario Local SD</v>
      </c>
      <c r="CC422" s="7" t="b">
        <f t="shared" si="104"/>
        <v>1</v>
      </c>
      <c r="CE422" s="12" t="str">
        <f>GenRev!A422</f>
        <v>Ontario Local SD</v>
      </c>
      <c r="CF422" s="7" t="b">
        <f t="shared" si="116"/>
        <v>1</v>
      </c>
      <c r="CG422" s="7" t="str">
        <f t="shared" si="105"/>
        <v>Richland</v>
      </c>
      <c r="CH422" s="7" t="b">
        <f t="shared" si="106"/>
        <v>1</v>
      </c>
      <c r="CI422" s="7" t="b">
        <f>C422=GenRev!C422</f>
        <v>1</v>
      </c>
    </row>
    <row r="423" spans="1:87">
      <c r="A423" s="12" t="s">
        <v>280</v>
      </c>
      <c r="B423" s="12"/>
      <c r="C423" s="12" t="s">
        <v>20</v>
      </c>
      <c r="D423" s="12"/>
      <c r="E423" s="12">
        <v>46581</v>
      </c>
      <c r="G423" s="7">
        <v>19192822</v>
      </c>
      <c r="I423" s="7">
        <v>5982811</v>
      </c>
      <c r="K423" s="7">
        <v>342264</v>
      </c>
      <c r="M423" s="7">
        <v>0</v>
      </c>
      <c r="O423" s="7">
        <v>0</v>
      </c>
      <c r="Q423" s="7">
        <v>3574611</v>
      </c>
      <c r="S423" s="7">
        <v>3877356</v>
      </c>
      <c r="U423" s="7">
        <v>167112</v>
      </c>
      <c r="W423" s="7">
        <v>2842217</v>
      </c>
      <c r="Y423" s="7">
        <v>1214690</v>
      </c>
      <c r="AA423" s="7">
        <v>581137</v>
      </c>
      <c r="AC423" s="7">
        <v>4634784</v>
      </c>
      <c r="AE423" s="7">
        <v>3679320</v>
      </c>
      <c r="AG423" s="7">
        <v>1080148</v>
      </c>
      <c r="AI423" s="7">
        <v>0</v>
      </c>
      <c r="AK423" s="7">
        <v>0</v>
      </c>
      <c r="AL423" s="12" t="s">
        <v>280</v>
      </c>
      <c r="AM423" s="12"/>
      <c r="AN423" s="12" t="s">
        <v>20</v>
      </c>
      <c r="AP423" s="7">
        <v>1388969</v>
      </c>
      <c r="AR423" s="7">
        <v>0</v>
      </c>
      <c r="AT423" s="7">
        <v>0</v>
      </c>
      <c r="AV423" s="7">
        <v>66117</v>
      </c>
      <c r="AX423" s="7">
        <v>12663</v>
      </c>
      <c r="AZ423" s="7">
        <v>0</v>
      </c>
      <c r="BB423" s="7">
        <f t="shared" si="107"/>
        <v>48637021</v>
      </c>
      <c r="BD423" s="7">
        <v>110000</v>
      </c>
      <c r="BF423" s="7">
        <v>0</v>
      </c>
      <c r="BH423" s="7">
        <v>0</v>
      </c>
      <c r="BJ423" s="7">
        <v>0</v>
      </c>
      <c r="BL423" s="7">
        <f t="shared" si="108"/>
        <v>48747021</v>
      </c>
      <c r="BN423" s="7">
        <f>+GenRev!AM423-GenExp!BL423</f>
        <v>-624578</v>
      </c>
      <c r="BP423" s="7">
        <v>28327879</v>
      </c>
      <c r="BR423" s="7">
        <v>0</v>
      </c>
      <c r="BT423" s="7">
        <v>0</v>
      </c>
      <c r="BV423" s="7">
        <f t="shared" si="103"/>
        <v>27703301</v>
      </c>
      <c r="BX423" s="8">
        <f>+BV423-'Gen Fd BS'!AE423+BT423</f>
        <v>0</v>
      </c>
      <c r="CB423" s="7" t="str">
        <f t="shared" si="115"/>
        <v>Orange City SD</v>
      </c>
      <c r="CC423" s="7" t="b">
        <f t="shared" si="104"/>
        <v>1</v>
      </c>
      <c r="CE423" s="12" t="str">
        <f>GenRev!A423</f>
        <v>Orange City SD</v>
      </c>
      <c r="CF423" s="7" t="b">
        <f t="shared" si="116"/>
        <v>1</v>
      </c>
      <c r="CG423" s="7" t="str">
        <f t="shared" si="105"/>
        <v>Cuyahoga</v>
      </c>
      <c r="CH423" s="7" t="b">
        <f t="shared" si="106"/>
        <v>1</v>
      </c>
      <c r="CI423" s="7" t="b">
        <f>C423=GenRev!C423</f>
        <v>1</v>
      </c>
    </row>
    <row r="424" spans="1:87">
      <c r="A424" s="12" t="s">
        <v>404</v>
      </c>
      <c r="B424" s="12"/>
      <c r="C424" s="12" t="s">
        <v>115</v>
      </c>
      <c r="D424" s="12"/>
      <c r="E424" s="12">
        <v>44602</v>
      </c>
      <c r="G424" s="7">
        <v>15686303</v>
      </c>
      <c r="I424" s="7">
        <v>4020814</v>
      </c>
      <c r="K424" s="7">
        <v>2736116</v>
      </c>
      <c r="M424" s="7">
        <v>74249</v>
      </c>
      <c r="O424" s="7">
        <v>180049</v>
      </c>
      <c r="Q424" s="7">
        <v>1618144</v>
      </c>
      <c r="S424" s="7">
        <v>2613525</v>
      </c>
      <c r="U424" s="7">
        <v>48545</v>
      </c>
      <c r="W424" s="7">
        <v>2587289</v>
      </c>
      <c r="Y424" s="7">
        <v>805489</v>
      </c>
      <c r="AA424" s="7">
        <v>197859</v>
      </c>
      <c r="AC424" s="7">
        <v>3695304</v>
      </c>
      <c r="AE424" s="7">
        <v>1684770</v>
      </c>
      <c r="AG424" s="7">
        <v>0</v>
      </c>
      <c r="AI424" s="7">
        <v>0</v>
      </c>
      <c r="AK424" s="7">
        <v>0</v>
      </c>
      <c r="AL424" s="12" t="s">
        <v>404</v>
      </c>
      <c r="AM424" s="12"/>
      <c r="AN424" s="12" t="s">
        <v>115</v>
      </c>
      <c r="AP424" s="7">
        <v>683018</v>
      </c>
      <c r="AR424" s="7">
        <v>0</v>
      </c>
      <c r="AT424" s="7">
        <v>0</v>
      </c>
      <c r="AV424" s="7">
        <v>203846</v>
      </c>
      <c r="AX424" s="7">
        <v>131024</v>
      </c>
      <c r="AZ424" s="7">
        <v>0</v>
      </c>
      <c r="BB424" s="7">
        <f t="shared" si="107"/>
        <v>36966344</v>
      </c>
      <c r="BD424" s="7">
        <v>60943</v>
      </c>
      <c r="BF424" s="7">
        <v>0</v>
      </c>
      <c r="BH424" s="7">
        <v>0</v>
      </c>
      <c r="BJ424" s="7">
        <v>0</v>
      </c>
      <c r="BL424" s="7">
        <f t="shared" si="108"/>
        <v>37027287</v>
      </c>
      <c r="BN424" s="7">
        <f>+GenRev!AM424-GenExp!BL424</f>
        <v>2180539</v>
      </c>
      <c r="BP424" s="7">
        <v>3136021</v>
      </c>
      <c r="BR424" s="7">
        <v>0</v>
      </c>
      <c r="BT424" s="7">
        <v>0</v>
      </c>
      <c r="BV424" s="7">
        <f t="shared" si="103"/>
        <v>5316560</v>
      </c>
      <c r="BX424" s="8">
        <f>+BV424-'Gen Fd BS'!AE424+BT424</f>
        <v>0</v>
      </c>
      <c r="CA424" s="7" t="s">
        <v>951</v>
      </c>
      <c r="CB424" s="7" t="str">
        <f t="shared" si="115"/>
        <v>Oregon City SD</v>
      </c>
      <c r="CC424" s="7" t="b">
        <f t="shared" si="104"/>
        <v>1</v>
      </c>
      <c r="CE424" s="12" t="str">
        <f>GenRev!A424</f>
        <v>Oregon City SD</v>
      </c>
      <c r="CF424" s="7" t="b">
        <f t="shared" si="116"/>
        <v>1</v>
      </c>
      <c r="CG424" s="7" t="str">
        <f t="shared" si="105"/>
        <v>Lucas</v>
      </c>
      <c r="CH424" s="7" t="b">
        <f t="shared" si="106"/>
        <v>1</v>
      </c>
      <c r="CI424" s="7" t="b">
        <f>C424=GenRev!C424</f>
        <v>1</v>
      </c>
    </row>
    <row r="425" spans="1:87" hidden="1">
      <c r="A425" s="12" t="s">
        <v>952</v>
      </c>
      <c r="B425" s="12"/>
      <c r="C425" s="12" t="s">
        <v>71</v>
      </c>
      <c r="D425" s="12"/>
      <c r="E425" s="12">
        <v>44610</v>
      </c>
      <c r="AI425" s="7">
        <v>0</v>
      </c>
      <c r="AL425" s="12" t="s">
        <v>952</v>
      </c>
      <c r="AM425" s="12"/>
      <c r="AN425" s="12" t="s">
        <v>71</v>
      </c>
      <c r="AT425" s="7">
        <v>0</v>
      </c>
      <c r="AZ425" s="7">
        <v>0</v>
      </c>
      <c r="BB425" s="7">
        <f t="shared" si="107"/>
        <v>0</v>
      </c>
      <c r="BF425" s="7">
        <v>0</v>
      </c>
      <c r="BH425" s="7">
        <v>0</v>
      </c>
      <c r="BJ425" s="7">
        <v>0</v>
      </c>
      <c r="BL425" s="7">
        <f t="shared" si="108"/>
        <v>0</v>
      </c>
      <c r="BN425" s="7">
        <f>+GenRev!AM425-GenExp!BL425</f>
        <v>0</v>
      </c>
      <c r="BR425" s="7">
        <v>0</v>
      </c>
      <c r="BT425" s="7">
        <v>0</v>
      </c>
      <c r="BV425" s="7">
        <f t="shared" si="103"/>
        <v>0</v>
      </c>
      <c r="BX425" s="8">
        <f>+BV425-'Gen Fd BS'!AE425+BT425</f>
        <v>0</v>
      </c>
      <c r="CA425" s="7" t="s">
        <v>903</v>
      </c>
      <c r="CB425" s="7" t="str">
        <f t="shared" si="115"/>
        <v>Orrville City SD (CASH)</v>
      </c>
      <c r="CC425" s="7" t="b">
        <f t="shared" si="104"/>
        <v>1</v>
      </c>
      <c r="CE425" s="12" t="str">
        <f>GenRev!A425</f>
        <v>Orrville City SD (CASH)</v>
      </c>
      <c r="CF425" s="7" t="b">
        <f t="shared" si="116"/>
        <v>1</v>
      </c>
      <c r="CG425" s="7" t="str">
        <f t="shared" si="105"/>
        <v>Wayne</v>
      </c>
      <c r="CH425" s="7" t="b">
        <f t="shared" si="106"/>
        <v>1</v>
      </c>
      <c r="CI425" s="7" t="b">
        <f>C425=GenRev!C425</f>
        <v>1</v>
      </c>
    </row>
    <row r="426" spans="1:87">
      <c r="A426" s="12" t="s">
        <v>519</v>
      </c>
      <c r="B426" s="12"/>
      <c r="C426" s="12" t="s">
        <v>62</v>
      </c>
      <c r="D426" s="12"/>
      <c r="E426" s="12">
        <v>49916</v>
      </c>
      <c r="G426" s="7">
        <v>3362356</v>
      </c>
      <c r="I426" s="7">
        <v>404470</v>
      </c>
      <c r="K426" s="7">
        <v>115168</v>
      </c>
      <c r="M426" s="7">
        <v>0</v>
      </c>
      <c r="O426" s="7">
        <v>810328</v>
      </c>
      <c r="Q426" s="7">
        <v>324937</v>
      </c>
      <c r="S426" s="7">
        <v>290436</v>
      </c>
      <c r="U426" s="7">
        <v>30834</v>
      </c>
      <c r="W426" s="7">
        <v>543191</v>
      </c>
      <c r="Y426" s="7">
        <v>276808</v>
      </c>
      <c r="AA426" s="7">
        <v>12531</v>
      </c>
      <c r="AC426" s="7">
        <v>749400</v>
      </c>
      <c r="AE426" s="7">
        <v>454043</v>
      </c>
      <c r="AG426" s="7">
        <v>140917</v>
      </c>
      <c r="AI426" s="7">
        <v>0</v>
      </c>
      <c r="AK426" s="7">
        <v>25175</v>
      </c>
      <c r="AL426" s="12" t="s">
        <v>519</v>
      </c>
      <c r="AM426" s="12"/>
      <c r="AN426" s="12" t="s">
        <v>62</v>
      </c>
      <c r="AP426" s="7">
        <v>313360</v>
      </c>
      <c r="AR426" s="7">
        <v>16247</v>
      </c>
      <c r="AT426" s="7">
        <v>0</v>
      </c>
      <c r="AV426" s="7">
        <v>0</v>
      </c>
      <c r="AX426" s="7">
        <v>0</v>
      </c>
      <c r="AZ426" s="7">
        <v>0</v>
      </c>
      <c r="BB426" s="7">
        <f t="shared" si="107"/>
        <v>7870201</v>
      </c>
      <c r="BD426" s="7">
        <v>0</v>
      </c>
      <c r="BF426" s="7">
        <v>0</v>
      </c>
      <c r="BH426" s="7">
        <v>0</v>
      </c>
      <c r="BJ426" s="7">
        <v>0</v>
      </c>
      <c r="BL426" s="7">
        <f t="shared" si="108"/>
        <v>7870201</v>
      </c>
      <c r="BN426" s="7">
        <f>+GenRev!AM426-GenExp!BL426</f>
        <v>-478675</v>
      </c>
      <c r="BP426" s="7">
        <v>2258049</v>
      </c>
      <c r="BR426" s="7">
        <v>0</v>
      </c>
      <c r="BT426" s="7">
        <v>0</v>
      </c>
      <c r="BV426" s="7">
        <f t="shared" si="103"/>
        <v>1779374</v>
      </c>
      <c r="BX426" s="8">
        <f>+BV426-'Gen Fd BS'!AE426+BT426</f>
        <v>0</v>
      </c>
      <c r="CB426" s="7" t="str">
        <f t="shared" si="115"/>
        <v>Osnaburg Local SD</v>
      </c>
      <c r="CC426" s="7" t="b">
        <f t="shared" si="104"/>
        <v>1</v>
      </c>
      <c r="CE426" s="12" t="str">
        <f>GenRev!A426</f>
        <v>Osnaburg Local SD</v>
      </c>
      <c r="CF426" s="7" t="b">
        <f t="shared" si="116"/>
        <v>1</v>
      </c>
      <c r="CG426" s="7" t="str">
        <f t="shared" si="105"/>
        <v>Stark</v>
      </c>
      <c r="CH426" s="7" t="b">
        <f t="shared" si="106"/>
        <v>1</v>
      </c>
      <c r="CI426" s="7" t="b">
        <f>C426=GenRev!C426</f>
        <v>1</v>
      </c>
    </row>
    <row r="427" spans="1:87">
      <c r="A427" s="12" t="s">
        <v>576</v>
      </c>
      <c r="B427" s="12"/>
      <c r="C427" s="12" t="s">
        <v>72</v>
      </c>
      <c r="D427" s="12"/>
      <c r="E427" s="12">
        <v>50724</v>
      </c>
      <c r="G427" s="7">
        <v>6671077</v>
      </c>
      <c r="I427" s="7">
        <v>1340308</v>
      </c>
      <c r="K427" s="7">
        <v>10756</v>
      </c>
      <c r="M427" s="7">
        <v>0</v>
      </c>
      <c r="O427" s="7">
        <v>0</v>
      </c>
      <c r="Q427" s="7">
        <v>724720</v>
      </c>
      <c r="S427" s="7">
        <v>286753</v>
      </c>
      <c r="U427" s="7">
        <v>38740</v>
      </c>
      <c r="W427" s="7">
        <v>1038055</v>
      </c>
      <c r="Y427" s="7">
        <v>354243</v>
      </c>
      <c r="AA427" s="7">
        <v>6014</v>
      </c>
      <c r="AC427" s="7">
        <v>555749</v>
      </c>
      <c r="AE427" s="7">
        <v>895817</v>
      </c>
      <c r="AG427" s="7">
        <v>0</v>
      </c>
      <c r="AI427" s="7">
        <v>0</v>
      </c>
      <c r="AK427" s="7">
        <v>0</v>
      </c>
      <c r="AL427" s="12" t="s">
        <v>576</v>
      </c>
      <c r="AM427" s="12"/>
      <c r="AN427" s="12" t="s">
        <v>72</v>
      </c>
      <c r="AP427" s="7">
        <v>260449</v>
      </c>
      <c r="AR427" s="7">
        <v>0</v>
      </c>
      <c r="AT427" s="7">
        <v>0</v>
      </c>
      <c r="AV427" s="7">
        <v>0</v>
      </c>
      <c r="AX427" s="7">
        <v>0</v>
      </c>
      <c r="AZ427" s="7">
        <v>0</v>
      </c>
      <c r="BB427" s="7">
        <f t="shared" si="107"/>
        <v>12182681</v>
      </c>
      <c r="BD427" s="7">
        <v>60000</v>
      </c>
      <c r="BF427" s="7">
        <v>0</v>
      </c>
      <c r="BH427" s="7">
        <v>0</v>
      </c>
      <c r="BJ427" s="7">
        <v>0</v>
      </c>
      <c r="BL427" s="7">
        <f t="shared" si="108"/>
        <v>12242681</v>
      </c>
      <c r="BN427" s="7">
        <f>+GenRev!AM427-GenExp!BL427</f>
        <v>1057442</v>
      </c>
      <c r="BP427" s="7">
        <v>759473</v>
      </c>
      <c r="BR427" s="7">
        <v>0</v>
      </c>
      <c r="BT427" s="7">
        <v>0</v>
      </c>
      <c r="BV427" s="7">
        <f t="shared" si="103"/>
        <v>1816915</v>
      </c>
      <c r="BX427" s="8">
        <f>+BV427-'Gen Fd BS'!AE427+BT427</f>
        <v>0</v>
      </c>
      <c r="CB427" s="7" t="str">
        <f t="shared" si="115"/>
        <v>Otsego Local SD</v>
      </c>
      <c r="CC427" s="7" t="b">
        <f t="shared" si="104"/>
        <v>1</v>
      </c>
      <c r="CE427" s="12" t="str">
        <f>GenRev!A427</f>
        <v>Otsego Local SD</v>
      </c>
      <c r="CF427" s="7" t="b">
        <f t="shared" si="116"/>
        <v>1</v>
      </c>
      <c r="CG427" s="7" t="str">
        <f t="shared" si="105"/>
        <v>Wood</v>
      </c>
      <c r="CH427" s="7" t="b">
        <f t="shared" si="106"/>
        <v>1</v>
      </c>
      <c r="CI427" s="7" t="b">
        <f>C427=GenRev!C427</f>
        <v>1</v>
      </c>
    </row>
    <row r="428" spans="1:87">
      <c r="A428" s="12" t="s">
        <v>405</v>
      </c>
      <c r="B428" s="12"/>
      <c r="C428" s="12" t="s">
        <v>115</v>
      </c>
      <c r="D428" s="12"/>
      <c r="E428" s="12">
        <v>48215</v>
      </c>
      <c r="G428" s="7">
        <v>8894383</v>
      </c>
      <c r="I428" s="7">
        <v>0</v>
      </c>
      <c r="K428" s="7">
        <v>0</v>
      </c>
      <c r="M428" s="7">
        <v>0</v>
      </c>
      <c r="O428" s="7">
        <v>0</v>
      </c>
      <c r="Q428" s="7">
        <v>667880</v>
      </c>
      <c r="S428" s="7">
        <v>402961</v>
      </c>
      <c r="U428" s="7">
        <v>22760</v>
      </c>
      <c r="W428" s="7">
        <v>1022921</v>
      </c>
      <c r="Y428" s="7">
        <v>478180</v>
      </c>
      <c r="AA428" s="7">
        <v>0</v>
      </c>
      <c r="AC428" s="7">
        <v>1128502</v>
      </c>
      <c r="AE428" s="7">
        <v>72820</v>
      </c>
      <c r="AG428" s="7">
        <v>61317</v>
      </c>
      <c r="AI428" s="7">
        <v>0</v>
      </c>
      <c r="AK428" s="7">
        <v>18200</v>
      </c>
      <c r="AL428" s="12" t="s">
        <v>405</v>
      </c>
      <c r="AM428" s="12"/>
      <c r="AN428" s="12" t="s">
        <v>115</v>
      </c>
      <c r="AP428" s="7">
        <v>453532</v>
      </c>
      <c r="AR428" s="7">
        <v>0</v>
      </c>
      <c r="AT428" s="7">
        <v>0</v>
      </c>
      <c r="AV428" s="7">
        <v>0</v>
      </c>
      <c r="AX428" s="7">
        <v>0</v>
      </c>
      <c r="AZ428" s="7">
        <v>0</v>
      </c>
      <c r="BB428" s="7">
        <f t="shared" si="107"/>
        <v>13223456</v>
      </c>
      <c r="BD428" s="7">
        <v>126430</v>
      </c>
      <c r="BF428" s="7">
        <v>0</v>
      </c>
      <c r="BH428" s="7">
        <v>0</v>
      </c>
      <c r="BJ428" s="7">
        <v>0</v>
      </c>
      <c r="BL428" s="7">
        <f t="shared" si="108"/>
        <v>13349886</v>
      </c>
      <c r="BN428" s="7">
        <f>+GenRev!AM428-GenExp!BL428</f>
        <v>-403615</v>
      </c>
      <c r="BP428" s="7">
        <v>3938381</v>
      </c>
      <c r="BR428" s="7">
        <v>0</v>
      </c>
      <c r="BT428" s="7">
        <v>0</v>
      </c>
      <c r="BV428" s="7">
        <f t="shared" si="103"/>
        <v>3534766</v>
      </c>
      <c r="BX428" s="8">
        <f>+BV428-'Gen Fd BS'!AE428+BT428</f>
        <v>0</v>
      </c>
      <c r="CA428" s="7" t="s">
        <v>807</v>
      </c>
      <c r="CB428" s="7" t="str">
        <f t="shared" si="115"/>
        <v>Ottawa Hills Local SD</v>
      </c>
      <c r="CC428" s="7" t="b">
        <f t="shared" si="104"/>
        <v>1</v>
      </c>
      <c r="CE428" s="12" t="str">
        <f>GenRev!A428</f>
        <v>Ottawa Hills Local SD</v>
      </c>
      <c r="CF428" s="7" t="b">
        <f t="shared" si="116"/>
        <v>1</v>
      </c>
      <c r="CG428" s="7" t="str">
        <f t="shared" si="105"/>
        <v>Lucas</v>
      </c>
      <c r="CH428" s="7" t="b">
        <f t="shared" si="106"/>
        <v>1</v>
      </c>
      <c r="CI428" s="7" t="b">
        <f>C428=GenRev!C428</f>
        <v>1</v>
      </c>
    </row>
    <row r="429" spans="1:87" hidden="1">
      <c r="A429" s="12" t="s">
        <v>749</v>
      </c>
      <c r="B429" s="12"/>
      <c r="C429" s="12" t="s">
        <v>482</v>
      </c>
      <c r="D429" s="12"/>
      <c r="E429" s="12">
        <v>49379</v>
      </c>
      <c r="M429" s="7">
        <v>0</v>
      </c>
      <c r="AA429" s="7">
        <v>0</v>
      </c>
      <c r="AI429" s="7">
        <v>0</v>
      </c>
      <c r="AL429" s="12" t="s">
        <v>749</v>
      </c>
      <c r="AM429" s="12"/>
      <c r="AN429" s="12" t="s">
        <v>482</v>
      </c>
      <c r="AT429" s="7">
        <v>0</v>
      </c>
      <c r="AZ429" s="7">
        <v>0</v>
      </c>
      <c r="BB429" s="7">
        <f t="shared" si="107"/>
        <v>0</v>
      </c>
      <c r="BF429" s="7">
        <v>0</v>
      </c>
      <c r="BH429" s="7">
        <v>0</v>
      </c>
      <c r="BJ429" s="7">
        <v>0</v>
      </c>
      <c r="BL429" s="7">
        <f t="shared" si="108"/>
        <v>0</v>
      </c>
      <c r="BN429" s="7">
        <f>+GenRev!AM429-GenExp!BL429</f>
        <v>0</v>
      </c>
      <c r="BR429" s="7">
        <v>0</v>
      </c>
      <c r="BT429" s="7">
        <v>0</v>
      </c>
      <c r="BV429" s="7">
        <f t="shared" ref="BV429:BV477" si="129">+BP429+BN429-BR429</f>
        <v>0</v>
      </c>
      <c r="BX429" s="8">
        <f>+BV429-'Gen Fd BS'!AE429+BT429</f>
        <v>0</v>
      </c>
      <c r="CA429" s="7" t="s">
        <v>953</v>
      </c>
      <c r="CB429" s="7" t="str">
        <f t="shared" si="115"/>
        <v>Ottawa-Glandorf Local SD (CASH)</v>
      </c>
      <c r="CC429" s="7" t="b">
        <f t="shared" si="104"/>
        <v>1</v>
      </c>
      <c r="CE429" s="12" t="str">
        <f>GenRev!A429</f>
        <v>Ottawa-Glandorf Local SD (CASH)</v>
      </c>
      <c r="CF429" s="7" t="b">
        <f t="shared" si="116"/>
        <v>1</v>
      </c>
      <c r="CG429" s="7" t="str">
        <f t="shared" si="105"/>
        <v>Putnam</v>
      </c>
      <c r="CH429" s="7" t="b">
        <f t="shared" si="106"/>
        <v>1</v>
      </c>
      <c r="CI429" s="7" t="b">
        <f>C429=GenRev!C429</f>
        <v>1</v>
      </c>
    </row>
    <row r="430" spans="1:87" hidden="1">
      <c r="A430" s="12" t="s">
        <v>955</v>
      </c>
      <c r="B430" s="12"/>
      <c r="C430" s="12" t="s">
        <v>482</v>
      </c>
      <c r="D430" s="12"/>
      <c r="E430" s="12">
        <v>49387</v>
      </c>
      <c r="M430" s="7">
        <v>0</v>
      </c>
      <c r="AA430" s="7">
        <v>0</v>
      </c>
      <c r="AI430" s="7">
        <v>0</v>
      </c>
      <c r="AL430" s="12" t="s">
        <v>955</v>
      </c>
      <c r="AM430" s="12"/>
      <c r="AN430" s="12" t="s">
        <v>482</v>
      </c>
      <c r="AT430" s="7">
        <v>0</v>
      </c>
      <c r="AZ430" s="7">
        <v>0</v>
      </c>
      <c r="BB430" s="7">
        <f t="shared" si="107"/>
        <v>0</v>
      </c>
      <c r="BF430" s="7">
        <v>0</v>
      </c>
      <c r="BH430" s="7">
        <v>0</v>
      </c>
      <c r="BJ430" s="7">
        <v>0</v>
      </c>
      <c r="BL430" s="7">
        <f t="shared" si="108"/>
        <v>0</v>
      </c>
      <c r="BN430" s="7">
        <f>+GenRev!AM430-GenExp!BL430</f>
        <v>0</v>
      </c>
      <c r="BR430" s="7">
        <v>0</v>
      </c>
      <c r="BT430" s="7">
        <v>0</v>
      </c>
      <c r="BV430" s="7">
        <f t="shared" si="129"/>
        <v>0</v>
      </c>
      <c r="BX430" s="8">
        <f>+BV430-'Gen Fd BS'!AE430+BT430</f>
        <v>0</v>
      </c>
      <c r="CA430" s="7" t="s">
        <v>954</v>
      </c>
      <c r="CB430" s="7" t="str">
        <f t="shared" si="115"/>
        <v>Ottoville Local SD (NO REPORT) (Two year Audit)</v>
      </c>
      <c r="CC430" s="7" t="b">
        <f t="shared" si="104"/>
        <v>1</v>
      </c>
      <c r="CE430" s="12" t="str">
        <f>GenRev!A430</f>
        <v>Ottoville Local SD (NO REPORT) (Two year Audit)</v>
      </c>
      <c r="CF430" s="7" t="b">
        <f t="shared" si="116"/>
        <v>1</v>
      </c>
      <c r="CG430" s="7" t="str">
        <f t="shared" si="105"/>
        <v>Putnam</v>
      </c>
      <c r="CH430" s="7" t="b">
        <f t="shared" si="106"/>
        <v>1</v>
      </c>
      <c r="CI430" s="7" t="b">
        <f>C430=GenRev!C430</f>
        <v>1</v>
      </c>
    </row>
    <row r="431" spans="1:87" hidden="1">
      <c r="A431" s="12" t="s">
        <v>956</v>
      </c>
      <c r="B431" s="12"/>
      <c r="C431" s="12" t="s">
        <v>41</v>
      </c>
      <c r="D431" s="12"/>
      <c r="E431" s="12">
        <v>44628</v>
      </c>
      <c r="M431" s="7">
        <v>0</v>
      </c>
      <c r="AA431" s="7">
        <v>0</v>
      </c>
      <c r="AI431" s="7">
        <v>0</v>
      </c>
      <c r="AL431" s="12" t="s">
        <v>956</v>
      </c>
      <c r="AM431" s="12"/>
      <c r="AN431" s="12" t="s">
        <v>41</v>
      </c>
      <c r="AT431" s="7">
        <v>0</v>
      </c>
      <c r="AZ431" s="7">
        <v>0</v>
      </c>
      <c r="BB431" s="7">
        <f t="shared" si="107"/>
        <v>0</v>
      </c>
      <c r="BF431" s="7">
        <v>0</v>
      </c>
      <c r="BH431" s="7">
        <v>0</v>
      </c>
      <c r="BJ431" s="7">
        <v>0</v>
      </c>
      <c r="BL431" s="7">
        <f>+BB431+BD431+BF431+BJ431</f>
        <v>0</v>
      </c>
      <c r="BN431" s="7">
        <f>+GenRev!AM431-GenExp!BL431</f>
        <v>0</v>
      </c>
      <c r="BR431" s="7">
        <v>0</v>
      </c>
      <c r="BT431" s="7">
        <v>0</v>
      </c>
      <c r="BV431" s="7">
        <f t="shared" si="129"/>
        <v>0</v>
      </c>
      <c r="BX431" s="8">
        <f>+BV431-'Gen Fd BS'!AE431+BT431</f>
        <v>0</v>
      </c>
      <c r="CA431" s="7" t="s">
        <v>903</v>
      </c>
      <c r="CB431" s="7" t="str">
        <f t="shared" si="115"/>
        <v>Painesville City Local SD (CASH)</v>
      </c>
      <c r="CC431" s="7" t="b">
        <f t="shared" si="104"/>
        <v>1</v>
      </c>
      <c r="CE431" s="12" t="str">
        <f>GenRev!A431</f>
        <v>Painesville City Local SD (CASH)</v>
      </c>
      <c r="CF431" s="7" t="b">
        <f t="shared" si="116"/>
        <v>1</v>
      </c>
      <c r="CG431" s="7" t="str">
        <f t="shared" si="105"/>
        <v>Lake</v>
      </c>
      <c r="CH431" s="7" t="b">
        <f t="shared" si="106"/>
        <v>1</v>
      </c>
      <c r="CI431" s="7" t="b">
        <f>C431=GenRev!C431</f>
        <v>1</v>
      </c>
    </row>
    <row r="432" spans="1:87" hidden="1">
      <c r="A432" s="12" t="s">
        <v>893</v>
      </c>
      <c r="B432" s="12"/>
      <c r="C432" s="12" t="s">
        <v>41</v>
      </c>
      <c r="D432" s="12"/>
      <c r="E432" s="12">
        <v>47894</v>
      </c>
      <c r="M432" s="7">
        <v>0</v>
      </c>
      <c r="AA432" s="7">
        <v>0</v>
      </c>
      <c r="AI432" s="7">
        <v>0</v>
      </c>
      <c r="AL432" s="12" t="s">
        <v>893</v>
      </c>
      <c r="AM432" s="12"/>
      <c r="AN432" s="12" t="s">
        <v>41</v>
      </c>
      <c r="AT432" s="7">
        <v>0</v>
      </c>
      <c r="AZ432" s="7">
        <v>0</v>
      </c>
      <c r="BB432" s="7">
        <f t="shared" si="107"/>
        <v>0</v>
      </c>
      <c r="BF432" s="7">
        <v>0</v>
      </c>
      <c r="BH432" s="7">
        <v>0</v>
      </c>
      <c r="BJ432" s="7">
        <v>0</v>
      </c>
      <c r="BL432" s="7">
        <f t="shared" ref="BL432:BL477" si="130">+BB432+BD432+BF432+BJ432</f>
        <v>0</v>
      </c>
      <c r="BN432" s="7">
        <f>+GenRev!AM432-GenExp!BL432</f>
        <v>0</v>
      </c>
      <c r="BR432" s="7">
        <v>0</v>
      </c>
      <c r="BT432" s="7">
        <v>0</v>
      </c>
      <c r="BV432" s="7">
        <f t="shared" si="129"/>
        <v>0</v>
      </c>
      <c r="BX432" s="8">
        <f>+BV432-'Gen Fd BS'!AE432+BT432</f>
        <v>0</v>
      </c>
      <c r="CA432" s="7" t="s">
        <v>790</v>
      </c>
      <c r="CB432" s="7" t="str">
        <f t="shared" si="115"/>
        <v>Painesville Township Local SD - now RIVERSIDE LOCAL SCHOOL DISTRICT since 2007</v>
      </c>
      <c r="CC432" s="7" t="b">
        <f t="shared" si="104"/>
        <v>1</v>
      </c>
      <c r="CE432" s="12" t="str">
        <f>GenRev!A432</f>
        <v>Painesville Township Local SD - now RIVERSIDE LOCAL SCHOOL DISTRICT since 2007</v>
      </c>
      <c r="CF432" s="7" t="b">
        <f t="shared" si="116"/>
        <v>1</v>
      </c>
      <c r="CG432" s="7" t="str">
        <f t="shared" si="105"/>
        <v>Lake</v>
      </c>
      <c r="CH432" s="7" t="b">
        <f t="shared" si="106"/>
        <v>1</v>
      </c>
      <c r="CI432" s="7" t="b">
        <f>C432=GenRev!C432</f>
        <v>1</v>
      </c>
    </row>
    <row r="433" spans="1:87">
      <c r="A433" s="12" t="s">
        <v>490</v>
      </c>
      <c r="B433" s="12"/>
      <c r="C433" s="12" t="s">
        <v>58</v>
      </c>
      <c r="D433" s="12"/>
      <c r="E433" s="12">
        <v>49510</v>
      </c>
      <c r="F433" s="10"/>
      <c r="G433" s="7">
        <v>4440091</v>
      </c>
      <c r="I433" s="7">
        <v>1114311</v>
      </c>
      <c r="K433" s="7">
        <v>1726</v>
      </c>
      <c r="M433" s="7">
        <v>0</v>
      </c>
      <c r="O433" s="7">
        <v>943267</v>
      </c>
      <c r="Q433" s="7">
        <v>321558</v>
      </c>
      <c r="S433" s="7">
        <v>128652</v>
      </c>
      <c r="U433" s="7">
        <v>118728</v>
      </c>
      <c r="W433" s="7">
        <v>636459</v>
      </c>
      <c r="Y433" s="7">
        <v>282053</v>
      </c>
      <c r="AA433" s="7">
        <v>0</v>
      </c>
      <c r="AC433" s="7">
        <v>628413</v>
      </c>
      <c r="AE433" s="7">
        <v>491677</v>
      </c>
      <c r="AG433" s="7">
        <v>0</v>
      </c>
      <c r="AI433" s="7">
        <v>0</v>
      </c>
      <c r="AK433" s="7">
        <v>6113</v>
      </c>
      <c r="AL433" s="12" t="s">
        <v>490</v>
      </c>
      <c r="AM433" s="12"/>
      <c r="AN433" s="12" t="s">
        <v>58</v>
      </c>
      <c r="AP433" s="7">
        <v>181178</v>
      </c>
      <c r="AR433" s="7">
        <v>220144</v>
      </c>
      <c r="AT433" s="7">
        <v>0</v>
      </c>
      <c r="AV433" s="7">
        <v>126833</v>
      </c>
      <c r="AX433" s="7">
        <v>23498</v>
      </c>
      <c r="AZ433" s="7">
        <v>0</v>
      </c>
      <c r="BB433" s="7">
        <f t="shared" si="107"/>
        <v>9664701</v>
      </c>
      <c r="BD433" s="7">
        <v>31698</v>
      </c>
      <c r="BF433" s="7">
        <v>0</v>
      </c>
      <c r="BH433" s="7">
        <v>0</v>
      </c>
      <c r="BJ433" s="7">
        <v>0</v>
      </c>
      <c r="BL433" s="7">
        <f t="shared" si="130"/>
        <v>9696399</v>
      </c>
      <c r="BN433" s="7">
        <f>+GenRev!AM433-GenExp!BL433</f>
        <v>-387964</v>
      </c>
      <c r="BP433" s="7">
        <v>2932275</v>
      </c>
      <c r="BR433" s="7">
        <v>0</v>
      </c>
      <c r="BT433" s="7">
        <v>0</v>
      </c>
      <c r="BV433" s="7">
        <f t="shared" si="129"/>
        <v>2544311</v>
      </c>
      <c r="BX433" s="8">
        <f>+BV433-'Gen Fd BS'!AE433+BT433</f>
        <v>0</v>
      </c>
      <c r="CB433" s="7" t="str">
        <f t="shared" si="115"/>
        <v>Paint Valley Local SD</v>
      </c>
      <c r="CC433" s="7" t="b">
        <f t="shared" si="104"/>
        <v>1</v>
      </c>
      <c r="CE433" s="12" t="str">
        <f>GenRev!A433</f>
        <v>Paint Valley Local SD</v>
      </c>
      <c r="CF433" s="7" t="b">
        <f t="shared" si="116"/>
        <v>1</v>
      </c>
      <c r="CG433" s="7" t="str">
        <f t="shared" si="105"/>
        <v>Ross</v>
      </c>
      <c r="CH433" s="7" t="b">
        <f t="shared" si="106"/>
        <v>1</v>
      </c>
      <c r="CI433" s="7" t="b">
        <f>C433=GenRev!C433</f>
        <v>1</v>
      </c>
    </row>
    <row r="434" spans="1:87" hidden="1">
      <c r="A434" s="12" t="s">
        <v>722</v>
      </c>
      <c r="B434" s="12"/>
      <c r="C434" s="12" t="s">
        <v>482</v>
      </c>
      <c r="D434" s="12"/>
      <c r="E434" s="12">
        <v>49395</v>
      </c>
      <c r="AI434" s="7">
        <v>0</v>
      </c>
      <c r="AL434" s="12" t="s">
        <v>722</v>
      </c>
      <c r="AM434" s="12"/>
      <c r="AN434" s="12" t="s">
        <v>482</v>
      </c>
      <c r="AT434" s="7">
        <v>0</v>
      </c>
      <c r="AZ434" s="7">
        <v>0</v>
      </c>
      <c r="BB434" s="7">
        <f t="shared" si="107"/>
        <v>0</v>
      </c>
      <c r="BF434" s="7">
        <v>0</v>
      </c>
      <c r="BH434" s="7">
        <v>0</v>
      </c>
      <c r="BJ434" s="7">
        <v>0</v>
      </c>
      <c r="BL434" s="7">
        <f t="shared" si="130"/>
        <v>0</v>
      </c>
      <c r="BN434" s="7">
        <f>+GenRev!AM434-GenExp!BL434</f>
        <v>0</v>
      </c>
      <c r="BR434" s="7">
        <v>0</v>
      </c>
      <c r="BT434" s="7">
        <v>0</v>
      </c>
      <c r="BV434" s="7">
        <f t="shared" si="129"/>
        <v>0</v>
      </c>
      <c r="BX434" s="8">
        <f>+BV434-'Gen Fd BS'!AE434+BT434</f>
        <v>0</v>
      </c>
      <c r="CA434" s="7" t="s">
        <v>958</v>
      </c>
      <c r="CB434" s="7" t="str">
        <f t="shared" si="115"/>
        <v>Pandora-Gilboa Local SD (CASH)  (Two year Audit)</v>
      </c>
      <c r="CC434" s="7" t="b">
        <f t="shared" si="104"/>
        <v>1</v>
      </c>
      <c r="CE434" s="12" t="str">
        <f>GenRev!A434</f>
        <v>Pandora-Gilboa Local SD (CASH)  (Two year Audit)</v>
      </c>
      <c r="CF434" s="7" t="b">
        <f t="shared" si="116"/>
        <v>1</v>
      </c>
      <c r="CG434" s="7" t="str">
        <f t="shared" si="105"/>
        <v>Putnam</v>
      </c>
      <c r="CH434" s="7" t="b">
        <f t="shared" si="106"/>
        <v>1</v>
      </c>
      <c r="CI434" s="7" t="b">
        <f>C434=GenRev!C434</f>
        <v>1</v>
      </c>
    </row>
    <row r="435" spans="1:87" hidden="1">
      <c r="A435" s="12" t="s">
        <v>723</v>
      </c>
      <c r="B435" s="12"/>
      <c r="C435" s="12" t="s">
        <v>435</v>
      </c>
      <c r="D435" s="12"/>
      <c r="E435" s="12">
        <v>48579</v>
      </c>
      <c r="AI435" s="7">
        <v>0</v>
      </c>
      <c r="AL435" s="12" t="s">
        <v>723</v>
      </c>
      <c r="AM435" s="12"/>
      <c r="AN435" s="12" t="s">
        <v>435</v>
      </c>
      <c r="AT435" s="7">
        <v>0</v>
      </c>
      <c r="AZ435" s="7">
        <v>0</v>
      </c>
      <c r="BB435" s="7">
        <f t="shared" si="107"/>
        <v>0</v>
      </c>
      <c r="BF435" s="7">
        <v>0</v>
      </c>
      <c r="BH435" s="7">
        <v>0</v>
      </c>
      <c r="BJ435" s="7">
        <v>0</v>
      </c>
      <c r="BL435" s="7">
        <f t="shared" si="130"/>
        <v>0</v>
      </c>
      <c r="BN435" s="7">
        <f>+GenRev!AM435-GenExp!BL435</f>
        <v>0</v>
      </c>
      <c r="BR435" s="7">
        <v>0</v>
      </c>
      <c r="BT435" s="7">
        <v>0</v>
      </c>
      <c r="BV435" s="7">
        <f t="shared" si="129"/>
        <v>0</v>
      </c>
      <c r="BX435" s="8">
        <f>+BV435-'Gen Fd BS'!AE435+BT435</f>
        <v>0</v>
      </c>
      <c r="CA435" s="7" t="s">
        <v>839</v>
      </c>
      <c r="CB435" s="7" t="str">
        <f t="shared" si="115"/>
        <v>Parkway Local SD (CASH) (Two year Audit)</v>
      </c>
      <c r="CC435" s="7" t="b">
        <f t="shared" si="104"/>
        <v>1</v>
      </c>
      <c r="CE435" s="12" t="str">
        <f>GenRev!A435</f>
        <v>Parkway Local SD (CASH) (Two year Audit)</v>
      </c>
      <c r="CF435" s="7" t="b">
        <f t="shared" si="116"/>
        <v>1</v>
      </c>
      <c r="CG435" s="7" t="str">
        <f t="shared" si="105"/>
        <v>Mercer</v>
      </c>
      <c r="CH435" s="7" t="b">
        <f t="shared" si="106"/>
        <v>1</v>
      </c>
      <c r="CI435" s="7" t="b">
        <f>C435=GenRev!C435</f>
        <v>1</v>
      </c>
    </row>
    <row r="436" spans="1:87">
      <c r="A436" s="12" t="s">
        <v>281</v>
      </c>
      <c r="B436" s="12"/>
      <c r="C436" s="12" t="s">
        <v>20</v>
      </c>
      <c r="D436" s="12"/>
      <c r="E436" s="12">
        <v>44636</v>
      </c>
      <c r="G436" s="7">
        <v>54306274</v>
      </c>
      <c r="I436" s="7">
        <v>16470714</v>
      </c>
      <c r="K436" s="7">
        <v>2702354</v>
      </c>
      <c r="M436" s="7">
        <v>9086</v>
      </c>
      <c r="O436" s="7">
        <v>121700</v>
      </c>
      <c r="Q436" s="7">
        <v>8738318</v>
      </c>
      <c r="S436" s="7">
        <v>5001113</v>
      </c>
      <c r="U436" s="7">
        <v>709335</v>
      </c>
      <c r="W436" s="7">
        <v>9769806</v>
      </c>
      <c r="Y436" s="7">
        <v>2897466</v>
      </c>
      <c r="AA436" s="7">
        <v>1126072</v>
      </c>
      <c r="AC436" s="7">
        <v>9848167</v>
      </c>
      <c r="AE436" s="7">
        <v>5512450</v>
      </c>
      <c r="AG436" s="7">
        <v>3159152</v>
      </c>
      <c r="AI436" s="7">
        <v>0</v>
      </c>
      <c r="AK436" s="7">
        <v>16432</v>
      </c>
      <c r="AL436" s="12" t="s">
        <v>281</v>
      </c>
      <c r="AM436" s="12"/>
      <c r="AN436" s="12" t="s">
        <v>20</v>
      </c>
      <c r="AP436" s="7">
        <v>1922324</v>
      </c>
      <c r="AR436" s="7">
        <v>92534</v>
      </c>
      <c r="AT436" s="7">
        <v>0</v>
      </c>
      <c r="AV436" s="7">
        <v>1471518</v>
      </c>
      <c r="AX436" s="7">
        <v>673953</v>
      </c>
      <c r="AZ436" s="7">
        <v>0</v>
      </c>
      <c r="BB436" s="7">
        <f t="shared" si="107"/>
        <v>124548768</v>
      </c>
      <c r="BD436" s="7">
        <v>2651</v>
      </c>
      <c r="BF436" s="7">
        <v>0</v>
      </c>
      <c r="BH436" s="7">
        <v>0</v>
      </c>
      <c r="BJ436" s="7">
        <v>0</v>
      </c>
      <c r="BL436" s="7">
        <f t="shared" si="130"/>
        <v>124551419</v>
      </c>
      <c r="BN436" s="7">
        <f>+GenRev!AM436-GenExp!BL436</f>
        <v>5898980</v>
      </c>
      <c r="BP436" s="7">
        <v>7309034</v>
      </c>
      <c r="BR436" s="7">
        <v>0</v>
      </c>
      <c r="BT436" s="7">
        <v>0</v>
      </c>
      <c r="BV436" s="7">
        <f t="shared" si="129"/>
        <v>13208014</v>
      </c>
      <c r="BX436" s="8">
        <f>+BV436-'Gen Fd BS'!AE436+BT436</f>
        <v>0</v>
      </c>
      <c r="CA436" s="7" t="s">
        <v>951</v>
      </c>
      <c r="CB436" s="7" t="str">
        <f t="shared" si="115"/>
        <v>Parma City SD</v>
      </c>
      <c r="CC436" s="7" t="b">
        <f t="shared" si="104"/>
        <v>1</v>
      </c>
      <c r="CE436" s="12" t="str">
        <f>GenRev!A436</f>
        <v>Parma City SD</v>
      </c>
      <c r="CF436" s="7" t="b">
        <f t="shared" si="116"/>
        <v>1</v>
      </c>
      <c r="CG436" s="7" t="str">
        <f t="shared" si="105"/>
        <v>Cuyahoga</v>
      </c>
      <c r="CH436" s="7" t="b">
        <f t="shared" si="106"/>
        <v>1</v>
      </c>
      <c r="CI436" s="7" t="b">
        <f>C436=GenRev!C436</f>
        <v>1</v>
      </c>
    </row>
    <row r="437" spans="1:87">
      <c r="A437" s="12" t="s">
        <v>357</v>
      </c>
      <c r="B437" s="12"/>
      <c r="C437" s="12" t="s">
        <v>34</v>
      </c>
      <c r="D437" s="12"/>
      <c r="E437" s="12">
        <v>47597</v>
      </c>
      <c r="G437" s="7">
        <v>4338177</v>
      </c>
      <c r="I437" s="7">
        <v>796183</v>
      </c>
      <c r="K437" s="7">
        <v>7018</v>
      </c>
      <c r="M437" s="7">
        <v>0</v>
      </c>
      <c r="O437" s="7">
        <f>225+464920</f>
        <v>465145</v>
      </c>
      <c r="Q437" s="7">
        <v>464593</v>
      </c>
      <c r="S437" s="7">
        <v>523783</v>
      </c>
      <c r="U437" s="7">
        <v>19141</v>
      </c>
      <c r="W437" s="7">
        <v>1022869</v>
      </c>
      <c r="Y437" s="7">
        <v>369281</v>
      </c>
      <c r="AA437" s="7">
        <v>143447</v>
      </c>
      <c r="AC437" s="7">
        <v>476584</v>
      </c>
      <c r="AE437" s="7">
        <v>489480</v>
      </c>
      <c r="AG437" s="7">
        <v>111891</v>
      </c>
      <c r="AI437" s="7">
        <v>0</v>
      </c>
      <c r="AK437" s="7">
        <v>3261</v>
      </c>
      <c r="AL437" s="12" t="s">
        <v>357</v>
      </c>
      <c r="AM437" s="12"/>
      <c r="AN437" s="12" t="s">
        <v>34</v>
      </c>
      <c r="AP437" s="7">
        <v>234826</v>
      </c>
      <c r="AR437" s="7">
        <v>6012</v>
      </c>
      <c r="AT437" s="7">
        <v>0</v>
      </c>
      <c r="AV437" s="7">
        <v>116439</v>
      </c>
      <c r="AX437" s="7">
        <v>3786</v>
      </c>
      <c r="AZ437" s="7">
        <v>0</v>
      </c>
      <c r="BB437" s="7">
        <f t="shared" si="107"/>
        <v>9591916</v>
      </c>
      <c r="BD437" s="7">
        <v>69269</v>
      </c>
      <c r="BF437" s="7">
        <v>0</v>
      </c>
      <c r="BH437" s="7">
        <v>0</v>
      </c>
      <c r="BJ437" s="7">
        <v>0</v>
      </c>
      <c r="BL437" s="7">
        <f t="shared" si="130"/>
        <v>9661185</v>
      </c>
      <c r="BN437" s="7">
        <f>+GenRev!AM437-GenExp!BL437</f>
        <v>-101053</v>
      </c>
      <c r="BP437" s="7">
        <v>839476</v>
      </c>
      <c r="BR437" s="7">
        <v>0</v>
      </c>
      <c r="BT437" s="7">
        <v>0</v>
      </c>
      <c r="BV437" s="7">
        <f t="shared" si="129"/>
        <v>738423</v>
      </c>
      <c r="BX437" s="8">
        <f>+BV437-'Gen Fd BS'!AE437+BT437</f>
        <v>0</v>
      </c>
      <c r="CA437" s="7" t="s">
        <v>957</v>
      </c>
      <c r="CB437" s="7" t="str">
        <f t="shared" si="115"/>
        <v>Patrick Henry Local SD</v>
      </c>
      <c r="CC437" s="7" t="b">
        <f t="shared" si="104"/>
        <v>1</v>
      </c>
      <c r="CE437" s="12" t="str">
        <f>GenRev!A437</f>
        <v>Patrick Henry Local SD</v>
      </c>
      <c r="CF437" s="7" t="b">
        <f t="shared" si="116"/>
        <v>1</v>
      </c>
      <c r="CG437" s="7" t="str">
        <f t="shared" si="105"/>
        <v>Henry</v>
      </c>
      <c r="CH437" s="7" t="b">
        <f t="shared" si="106"/>
        <v>1</v>
      </c>
      <c r="CI437" s="7" t="b">
        <f>C437=GenRev!C437</f>
        <v>1</v>
      </c>
    </row>
    <row r="438" spans="1:87" hidden="1">
      <c r="A438" s="12" t="s">
        <v>884</v>
      </c>
      <c r="B438" s="12"/>
      <c r="C438" s="12" t="s">
        <v>465</v>
      </c>
      <c r="D438" s="12"/>
      <c r="E438" s="12">
        <v>45575</v>
      </c>
      <c r="M438" s="7">
        <v>0</v>
      </c>
      <c r="AI438" s="7">
        <v>0</v>
      </c>
      <c r="AL438" s="12" t="s">
        <v>884</v>
      </c>
      <c r="AM438" s="12"/>
      <c r="AN438" s="12" t="s">
        <v>465</v>
      </c>
      <c r="AZ438" s="7">
        <v>0</v>
      </c>
      <c r="BB438" s="7">
        <f t="shared" si="107"/>
        <v>0</v>
      </c>
      <c r="BF438" s="7">
        <v>0</v>
      </c>
      <c r="BH438" s="7">
        <v>0</v>
      </c>
      <c r="BJ438" s="7">
        <v>0</v>
      </c>
      <c r="BL438" s="7">
        <f t="shared" si="130"/>
        <v>0</v>
      </c>
      <c r="BN438" s="7">
        <f>+GenRev!AM438-GenExp!BL438</f>
        <v>0</v>
      </c>
      <c r="BT438" s="7">
        <v>0</v>
      </c>
      <c r="BV438" s="7">
        <f t="shared" si="129"/>
        <v>0</v>
      </c>
      <c r="BX438" s="8">
        <f>+BV438-'Gen Fd BS'!AE438+BT438</f>
        <v>0</v>
      </c>
      <c r="CA438" s="7" t="s">
        <v>839</v>
      </c>
      <c r="CB438" s="7" t="str">
        <f t="shared" si="115"/>
        <v>Paulding Exempted Village SD (CASH)</v>
      </c>
      <c r="CC438" s="7" t="b">
        <f t="shared" si="104"/>
        <v>1</v>
      </c>
      <c r="CE438" s="12" t="str">
        <f>GenRev!A438</f>
        <v>Paulding Exempted Village SD (CASH)</v>
      </c>
      <c r="CF438" s="7" t="b">
        <f t="shared" si="116"/>
        <v>1</v>
      </c>
      <c r="CG438" s="7" t="str">
        <f t="shared" si="105"/>
        <v>Paulding</v>
      </c>
      <c r="CH438" s="7" t="b">
        <f t="shared" si="106"/>
        <v>1</v>
      </c>
      <c r="CI438" s="7" t="b">
        <f>C438=GenRev!C438</f>
        <v>1</v>
      </c>
    </row>
    <row r="439" spans="1:87">
      <c r="A439" s="12" t="s">
        <v>295</v>
      </c>
      <c r="B439" s="12"/>
      <c r="C439" s="12" t="s">
        <v>24</v>
      </c>
      <c r="D439" s="12"/>
      <c r="E439" s="12">
        <v>46813</v>
      </c>
      <c r="G439" s="7">
        <v>10165243</v>
      </c>
      <c r="I439" s="7">
        <v>3055246</v>
      </c>
      <c r="K439" s="7">
        <v>192113</v>
      </c>
      <c r="M439" s="7">
        <v>0</v>
      </c>
      <c r="O439" s="7">
        <v>615979</v>
      </c>
      <c r="Q439" s="7">
        <v>1502524</v>
      </c>
      <c r="S439" s="7">
        <v>1565396</v>
      </c>
      <c r="U439" s="7">
        <v>38294</v>
      </c>
      <c r="W439" s="7">
        <v>1604532</v>
      </c>
      <c r="Y439" s="7">
        <v>526889</v>
      </c>
      <c r="AA439" s="7">
        <v>1593</v>
      </c>
      <c r="AC439" s="7">
        <v>1878538</v>
      </c>
      <c r="AE439" s="7">
        <v>945659</v>
      </c>
      <c r="AG439" s="7">
        <v>98010</v>
      </c>
      <c r="AI439" s="7">
        <v>0</v>
      </c>
      <c r="AK439" s="7">
        <v>47627</v>
      </c>
      <c r="AL439" s="12" t="s">
        <v>295</v>
      </c>
      <c r="AM439" s="12"/>
      <c r="AN439" s="12" t="s">
        <v>24</v>
      </c>
      <c r="AP439" s="7">
        <v>487455</v>
      </c>
      <c r="AR439" s="7">
        <f>53052+263726</f>
        <v>316778</v>
      </c>
      <c r="AT439" s="7">
        <v>0</v>
      </c>
      <c r="AV439" s="7">
        <v>0</v>
      </c>
      <c r="AX439" s="7">
        <v>0</v>
      </c>
      <c r="AZ439" s="7">
        <v>0</v>
      </c>
      <c r="BB439" s="7">
        <f t="shared" si="107"/>
        <v>23041876</v>
      </c>
      <c r="BD439" s="7">
        <v>83286</v>
      </c>
      <c r="BF439" s="7">
        <v>0</v>
      </c>
      <c r="BH439" s="7">
        <v>0</v>
      </c>
      <c r="BJ439" s="7">
        <v>0</v>
      </c>
      <c r="BL439" s="7">
        <f t="shared" si="130"/>
        <v>23125162</v>
      </c>
      <c r="BN439" s="7">
        <f>+GenRev!AM439-GenExp!BL439</f>
        <v>-128480</v>
      </c>
      <c r="BP439" s="7">
        <v>5279368</v>
      </c>
      <c r="BR439" s="7">
        <v>8525</v>
      </c>
      <c r="BT439" s="7">
        <v>0</v>
      </c>
      <c r="BV439" s="7">
        <f t="shared" si="129"/>
        <v>5142363</v>
      </c>
      <c r="BX439" s="8">
        <f>+BV439-'Gen Fd BS'!AE439+BT439</f>
        <v>0</v>
      </c>
      <c r="CB439" s="7" t="str">
        <f t="shared" si="115"/>
        <v>Perkins Local SD</v>
      </c>
      <c r="CC439" s="7" t="b">
        <f t="shared" si="104"/>
        <v>1</v>
      </c>
      <c r="CE439" s="12" t="str">
        <f>GenRev!A439</f>
        <v>Perkins Local SD</v>
      </c>
      <c r="CF439" s="7" t="b">
        <f t="shared" si="116"/>
        <v>1</v>
      </c>
      <c r="CG439" s="7" t="str">
        <f t="shared" si="105"/>
        <v>Erie</v>
      </c>
      <c r="CH439" s="7" t="b">
        <f t="shared" si="106"/>
        <v>1</v>
      </c>
      <c r="CI439" s="7" t="b">
        <f>C439=GenRev!C439</f>
        <v>1</v>
      </c>
    </row>
    <row r="440" spans="1:87" hidden="1">
      <c r="A440" s="12" t="s">
        <v>724</v>
      </c>
      <c r="B440" s="12"/>
      <c r="C440" s="12" t="s">
        <v>10</v>
      </c>
      <c r="D440" s="12"/>
      <c r="E440" s="12"/>
      <c r="M440" s="7">
        <v>0</v>
      </c>
      <c r="AI440" s="7">
        <v>0</v>
      </c>
      <c r="AL440" s="12" t="s">
        <v>724</v>
      </c>
      <c r="AM440" s="12"/>
      <c r="AN440" s="12" t="s">
        <v>10</v>
      </c>
      <c r="AT440" s="7">
        <v>0</v>
      </c>
      <c r="AZ440" s="7">
        <v>0</v>
      </c>
      <c r="BB440" s="7">
        <f t="shared" si="107"/>
        <v>0</v>
      </c>
      <c r="BF440" s="7">
        <v>0</v>
      </c>
      <c r="BH440" s="7">
        <v>0</v>
      </c>
      <c r="BJ440" s="7">
        <v>0</v>
      </c>
      <c r="BL440" s="7">
        <f t="shared" si="130"/>
        <v>0</v>
      </c>
      <c r="BN440" s="7">
        <f>+GenRev!AM440-GenExp!BL440</f>
        <v>0</v>
      </c>
      <c r="BT440" s="7">
        <v>0</v>
      </c>
      <c r="BV440" s="7">
        <f t="shared" si="129"/>
        <v>0</v>
      </c>
      <c r="BX440" s="8">
        <f>+BV440-'Gen Fd BS'!AE440+BT440</f>
        <v>0</v>
      </c>
      <c r="CA440" s="7" t="s">
        <v>959</v>
      </c>
      <c r="CB440" s="7" t="str">
        <f t="shared" si="115"/>
        <v>Perry Local SD (CASH)</v>
      </c>
      <c r="CC440" s="7" t="b">
        <f t="shared" si="104"/>
        <v>1</v>
      </c>
      <c r="CE440" s="12" t="str">
        <f>GenRev!A440</f>
        <v>Perry Local SD (CASH)</v>
      </c>
      <c r="CF440" s="7" t="b">
        <f t="shared" si="116"/>
        <v>1</v>
      </c>
      <c r="CG440" s="7" t="str">
        <f t="shared" si="105"/>
        <v>Allen</v>
      </c>
      <c r="CH440" s="7" t="b">
        <f t="shared" si="106"/>
        <v>1</v>
      </c>
      <c r="CI440" s="7" t="b">
        <f>C440=GenRev!C440</f>
        <v>1</v>
      </c>
    </row>
    <row r="441" spans="1:87">
      <c r="A441" s="12" t="s">
        <v>203</v>
      </c>
      <c r="B441" s="12"/>
      <c r="C441" s="12" t="s">
        <v>41</v>
      </c>
      <c r="D441" s="12"/>
      <c r="E441" s="12">
        <v>47902</v>
      </c>
      <c r="G441" s="7">
        <v>9909474</v>
      </c>
      <c r="I441" s="7">
        <v>511999</v>
      </c>
      <c r="K441" s="7">
        <v>30996</v>
      </c>
      <c r="M441" s="7">
        <v>0</v>
      </c>
      <c r="O441" s="7">
        <v>1406140</v>
      </c>
      <c r="Q441" s="7">
        <v>1481414</v>
      </c>
      <c r="S441" s="7">
        <v>1259790</v>
      </c>
      <c r="U441" s="7">
        <v>97586</v>
      </c>
      <c r="W441" s="7">
        <v>1357369</v>
      </c>
      <c r="Y441" s="7">
        <v>596149</v>
      </c>
      <c r="AA441" s="7">
        <v>219907</v>
      </c>
      <c r="AC441" s="7">
        <v>3681986</v>
      </c>
      <c r="AE441" s="7">
        <v>1027019</v>
      </c>
      <c r="AG441" s="7">
        <v>20091</v>
      </c>
      <c r="AI441" s="7">
        <v>0</v>
      </c>
      <c r="AK441" s="7">
        <f>2386+66623</f>
        <v>69009</v>
      </c>
      <c r="AL441" s="12" t="s">
        <v>203</v>
      </c>
      <c r="AM441" s="12"/>
      <c r="AN441" s="12" t="s">
        <v>41</v>
      </c>
      <c r="AP441" s="7">
        <v>1094761</v>
      </c>
      <c r="AR441" s="7">
        <v>499</v>
      </c>
      <c r="AT441" s="7">
        <v>0</v>
      </c>
      <c r="AV441" s="7">
        <v>65179</v>
      </c>
      <c r="AX441" s="7">
        <v>1863</v>
      </c>
      <c r="AZ441" s="7">
        <v>0</v>
      </c>
      <c r="BB441" s="7">
        <f t="shared" si="107"/>
        <v>22831231</v>
      </c>
      <c r="BD441" s="7">
        <v>0</v>
      </c>
      <c r="BF441" s="7">
        <v>0</v>
      </c>
      <c r="BH441" s="7">
        <v>0</v>
      </c>
      <c r="BJ441" s="7">
        <v>0</v>
      </c>
      <c r="BL441" s="7">
        <f t="shared" si="130"/>
        <v>22831231</v>
      </c>
      <c r="BN441" s="7">
        <f>+GenRev!AM441-GenExp!BL441</f>
        <v>3074014</v>
      </c>
      <c r="BP441" s="7">
        <v>17611885</v>
      </c>
      <c r="BR441" s="7">
        <v>0</v>
      </c>
      <c r="BT441" s="7">
        <v>0</v>
      </c>
      <c r="BV441" s="7">
        <f t="shared" si="129"/>
        <v>20685899</v>
      </c>
      <c r="BX441" s="8">
        <f>+BV441-'Gen Fd BS'!AE441+BT441</f>
        <v>0</v>
      </c>
      <c r="CB441" s="7" t="str">
        <f t="shared" si="115"/>
        <v>Perry Local SD</v>
      </c>
      <c r="CC441" s="7" t="b">
        <f t="shared" si="104"/>
        <v>1</v>
      </c>
      <c r="CE441" s="12" t="str">
        <f>GenRev!A441</f>
        <v>Perry Local SD</v>
      </c>
      <c r="CF441" s="7" t="b">
        <f t="shared" si="116"/>
        <v>1</v>
      </c>
      <c r="CG441" s="7" t="str">
        <f t="shared" si="105"/>
        <v>Lake</v>
      </c>
      <c r="CH441" s="7" t="b">
        <f t="shared" si="106"/>
        <v>1</v>
      </c>
      <c r="CI441" s="7" t="b">
        <f>C441=GenRev!C441</f>
        <v>1</v>
      </c>
    </row>
    <row r="442" spans="1:87">
      <c r="A442" s="12" t="s">
        <v>203</v>
      </c>
      <c r="B442" s="12"/>
      <c r="C442" s="12" t="s">
        <v>62</v>
      </c>
      <c r="D442" s="12"/>
      <c r="E442" s="12">
        <v>49924</v>
      </c>
      <c r="G442" s="7">
        <v>19999936</v>
      </c>
      <c r="I442" s="7">
        <v>3057623</v>
      </c>
      <c r="K442" s="7">
        <v>2551457</v>
      </c>
      <c r="M442" s="7">
        <v>11150</v>
      </c>
      <c r="O442" s="7">
        <v>198826</v>
      </c>
      <c r="Q442" s="7">
        <v>3252123</v>
      </c>
      <c r="S442" s="7">
        <v>1132646</v>
      </c>
      <c r="U442" s="7">
        <v>119047</v>
      </c>
      <c r="W442" s="7">
        <v>2486072</v>
      </c>
      <c r="Y442" s="7">
        <v>749475</v>
      </c>
      <c r="AA442" s="7">
        <v>188363</v>
      </c>
      <c r="AC442" s="7">
        <v>4057853</v>
      </c>
      <c r="AE442" s="7">
        <v>2418679</v>
      </c>
      <c r="AG442" s="7">
        <v>405578</v>
      </c>
      <c r="AI442" s="7">
        <v>0</v>
      </c>
      <c r="AK442" s="7">
        <v>249841</v>
      </c>
      <c r="AL442" s="12" t="s">
        <v>203</v>
      </c>
      <c r="AM442" s="12"/>
      <c r="AN442" s="12" t="s">
        <v>62</v>
      </c>
      <c r="AP442" s="7">
        <v>1003223</v>
      </c>
      <c r="AR442" s="7">
        <v>99408</v>
      </c>
      <c r="AT442" s="7">
        <v>0</v>
      </c>
      <c r="AV442" s="7">
        <v>0</v>
      </c>
      <c r="AX442" s="7">
        <v>4232</v>
      </c>
      <c r="AZ442" s="7">
        <v>0</v>
      </c>
      <c r="BB442" s="7">
        <f t="shared" si="107"/>
        <v>41985532</v>
      </c>
      <c r="BD442" s="7">
        <v>0</v>
      </c>
      <c r="BF442" s="7">
        <v>0</v>
      </c>
      <c r="BH442" s="7">
        <v>0</v>
      </c>
      <c r="BJ442" s="7">
        <v>0</v>
      </c>
      <c r="BL442" s="7">
        <f t="shared" si="130"/>
        <v>41985532</v>
      </c>
      <c r="BN442" s="7">
        <f>+GenRev!AM442-GenExp!BL442</f>
        <v>259923</v>
      </c>
      <c r="BP442" s="7">
        <v>21346579</v>
      </c>
      <c r="BR442" s="7">
        <v>0</v>
      </c>
      <c r="BT442" s="7">
        <v>0</v>
      </c>
      <c r="BV442" s="7">
        <f t="shared" si="129"/>
        <v>21606502</v>
      </c>
      <c r="BX442" s="8">
        <f>+BV442-'Gen Fd BS'!AE442+BT442</f>
        <v>0</v>
      </c>
      <c r="CA442" s="7" t="s">
        <v>951</v>
      </c>
      <c r="CB442" s="7" t="str">
        <f t="shared" si="115"/>
        <v>Perry Local SD</v>
      </c>
      <c r="CC442" s="7" t="b">
        <f t="shared" si="104"/>
        <v>1</v>
      </c>
      <c r="CE442" s="12" t="str">
        <f>GenRev!A442</f>
        <v>Perry Local SD</v>
      </c>
      <c r="CF442" s="7" t="b">
        <f t="shared" si="116"/>
        <v>1</v>
      </c>
      <c r="CG442" s="7" t="str">
        <f t="shared" si="105"/>
        <v>Stark</v>
      </c>
      <c r="CH442" s="7" t="b">
        <f t="shared" si="106"/>
        <v>1</v>
      </c>
      <c r="CI442" s="7" t="b">
        <f>C442=GenRev!C442</f>
        <v>1</v>
      </c>
    </row>
    <row r="443" spans="1:87">
      <c r="A443" s="12" t="s">
        <v>885</v>
      </c>
      <c r="B443" s="12"/>
      <c r="C443" s="12" t="s">
        <v>72</v>
      </c>
      <c r="D443" s="12"/>
      <c r="E443" s="12">
        <v>45583</v>
      </c>
      <c r="G443" s="7">
        <v>22143042</v>
      </c>
      <c r="I443" s="7">
        <v>3776924</v>
      </c>
      <c r="K443" s="7">
        <v>91676</v>
      </c>
      <c r="M443" s="7">
        <v>0</v>
      </c>
      <c r="O443" s="7">
        <v>0</v>
      </c>
      <c r="Q443" s="7">
        <v>2175047</v>
      </c>
      <c r="S443" s="7">
        <v>492284</v>
      </c>
      <c r="U443" s="7">
        <v>46017</v>
      </c>
      <c r="W443" s="7">
        <v>2865766</v>
      </c>
      <c r="Y443" s="7">
        <v>818596</v>
      </c>
      <c r="AA443" s="7">
        <v>48031</v>
      </c>
      <c r="AC443" s="7">
        <v>3353591</v>
      </c>
      <c r="AE443" s="7">
        <v>1468919</v>
      </c>
      <c r="AG443" s="7">
        <v>413927</v>
      </c>
      <c r="AI443" s="7">
        <v>0</v>
      </c>
      <c r="AK443" s="7">
        <v>4695</v>
      </c>
      <c r="AL443" s="12" t="s">
        <v>885</v>
      </c>
      <c r="AM443" s="12"/>
      <c r="AN443" s="12" t="s">
        <v>72</v>
      </c>
      <c r="AP443" s="7">
        <v>992620</v>
      </c>
      <c r="AR443" s="7">
        <v>0</v>
      </c>
      <c r="AT443" s="7">
        <v>0</v>
      </c>
      <c r="AV443" s="7">
        <v>0</v>
      </c>
      <c r="AX443" s="7">
        <v>0</v>
      </c>
      <c r="AZ443" s="7">
        <v>0</v>
      </c>
      <c r="BB443" s="7">
        <f>SUM(G443:AZ443)</f>
        <v>38691135</v>
      </c>
      <c r="BD443" s="7">
        <v>0</v>
      </c>
      <c r="BF443" s="7">
        <v>0</v>
      </c>
      <c r="BH443" s="7">
        <v>0</v>
      </c>
      <c r="BJ443" s="7">
        <v>0</v>
      </c>
      <c r="BL443" s="7">
        <f t="shared" si="130"/>
        <v>38691135</v>
      </c>
      <c r="BN443" s="7">
        <f>+GenRev!AM443-GenExp!BL443</f>
        <v>4323764</v>
      </c>
      <c r="BP443" s="7">
        <v>-1276574</v>
      </c>
      <c r="BR443" s="7">
        <v>0</v>
      </c>
      <c r="BT443" s="7">
        <v>0</v>
      </c>
      <c r="BV443" s="7">
        <f t="shared" si="129"/>
        <v>3047190</v>
      </c>
      <c r="BX443" s="8">
        <f>+BV443-'Gen Fd BS'!AE443+BT443</f>
        <v>0</v>
      </c>
      <c r="CB443" s="7" t="str">
        <f t="shared" si="115"/>
        <v>Perrysburg Exempted Village SD</v>
      </c>
      <c r="CC443" s="7" t="b">
        <f t="shared" si="104"/>
        <v>1</v>
      </c>
      <c r="CE443" s="12" t="str">
        <f>GenRev!A443</f>
        <v>Perrysburg Exempted Village SD</v>
      </c>
      <c r="CF443" s="7" t="b">
        <f t="shared" si="116"/>
        <v>1</v>
      </c>
      <c r="CG443" s="7" t="str">
        <f t="shared" si="105"/>
        <v>Wood</v>
      </c>
      <c r="CH443" s="7" t="b">
        <f t="shared" si="106"/>
        <v>1</v>
      </c>
      <c r="CI443" s="7" t="b">
        <f>C443=GenRev!C443</f>
        <v>1</v>
      </c>
    </row>
    <row r="444" spans="1:87" hidden="1">
      <c r="A444" s="12" t="s">
        <v>894</v>
      </c>
      <c r="B444" s="12"/>
      <c r="C444" s="12" t="s">
        <v>28</v>
      </c>
      <c r="D444" s="12"/>
      <c r="E444" s="12">
        <v>47076</v>
      </c>
      <c r="M444" s="7">
        <v>0</v>
      </c>
      <c r="AI444" s="7">
        <v>0</v>
      </c>
      <c r="AL444" s="12" t="s">
        <v>894</v>
      </c>
      <c r="AM444" s="12"/>
      <c r="AN444" s="12" t="s">
        <v>28</v>
      </c>
      <c r="AT444" s="7">
        <v>0</v>
      </c>
      <c r="AV444" s="7">
        <v>0</v>
      </c>
      <c r="AX444" s="7">
        <v>0</v>
      </c>
      <c r="AZ444" s="7">
        <v>0</v>
      </c>
      <c r="BB444" s="7">
        <f t="shared" si="107"/>
        <v>0</v>
      </c>
      <c r="BD444" s="7">
        <v>0</v>
      </c>
      <c r="BF444" s="7">
        <v>0</v>
      </c>
      <c r="BH444" s="7">
        <v>0</v>
      </c>
      <c r="BJ444" s="7">
        <v>0</v>
      </c>
      <c r="BL444" s="7">
        <f t="shared" si="130"/>
        <v>0</v>
      </c>
      <c r="BN444" s="7">
        <f>+GenRev!AM444-GenExp!BL444</f>
        <v>0</v>
      </c>
      <c r="BR444" s="7">
        <v>0</v>
      </c>
      <c r="BT444" s="7">
        <v>0</v>
      </c>
      <c r="BV444" s="7">
        <f t="shared" si="129"/>
        <v>0</v>
      </c>
      <c r="BX444" s="8">
        <f>+BV444-'Gen Fd BS'!AE444+BT444</f>
        <v>0</v>
      </c>
      <c r="CA444" s="7" t="s">
        <v>966</v>
      </c>
      <c r="CB444" s="7" t="str">
        <f t="shared" si="115"/>
        <v>Pettisville Local SD</v>
      </c>
      <c r="CC444" s="7" t="b">
        <f t="shared" si="104"/>
        <v>1</v>
      </c>
      <c r="CE444" s="12" t="str">
        <f>GenRev!A444</f>
        <v>Pettisville Local SD</v>
      </c>
      <c r="CF444" s="7" t="b">
        <f t="shared" si="116"/>
        <v>1</v>
      </c>
      <c r="CG444" s="7" t="str">
        <f t="shared" si="105"/>
        <v>Fulton</v>
      </c>
      <c r="CH444" s="7" t="b">
        <f t="shared" si="106"/>
        <v>1</v>
      </c>
      <c r="CI444" s="7" t="b">
        <f>C444=GenRev!C444</f>
        <v>1</v>
      </c>
    </row>
    <row r="445" spans="1:87">
      <c r="A445" s="12" t="s">
        <v>302</v>
      </c>
      <c r="B445" s="12"/>
      <c r="C445" s="12" t="s">
        <v>25</v>
      </c>
      <c r="D445" s="12"/>
      <c r="E445" s="12">
        <v>46896</v>
      </c>
      <c r="G445" s="7">
        <v>43445936</v>
      </c>
      <c r="I445" s="7">
        <v>7206704</v>
      </c>
      <c r="K445" s="7">
        <v>1061573</v>
      </c>
      <c r="M445" s="7">
        <v>0</v>
      </c>
      <c r="O445" s="7">
        <v>2846272</v>
      </c>
      <c r="Q445" s="7">
        <v>4441133</v>
      </c>
      <c r="S445" s="7">
        <v>6321755</v>
      </c>
      <c r="U445" s="7">
        <v>711357</v>
      </c>
      <c r="W445" s="7">
        <v>8039047</v>
      </c>
      <c r="Y445" s="7">
        <v>1617815</v>
      </c>
      <c r="AA445" s="7">
        <v>502468</v>
      </c>
      <c r="AC445" s="7">
        <v>9512964</v>
      </c>
      <c r="AE445" s="7">
        <v>5430218</v>
      </c>
      <c r="AG445" s="7">
        <v>174118</v>
      </c>
      <c r="AI445" s="7">
        <v>0</v>
      </c>
      <c r="AK445" s="7">
        <v>47077</v>
      </c>
      <c r="AL445" s="12" t="s">
        <v>302</v>
      </c>
      <c r="AM445" s="12"/>
      <c r="AN445" s="12" t="s">
        <v>25</v>
      </c>
      <c r="AP445" s="7">
        <v>1621063</v>
      </c>
      <c r="AR445" s="7">
        <v>73594</v>
      </c>
      <c r="AT445" s="7">
        <v>0</v>
      </c>
      <c r="AV445" s="7">
        <v>0</v>
      </c>
      <c r="AX445" s="7">
        <v>0</v>
      </c>
      <c r="AZ445" s="7">
        <v>0</v>
      </c>
      <c r="BB445" s="7">
        <f t="shared" si="107"/>
        <v>93053094</v>
      </c>
      <c r="BD445" s="7">
        <v>0</v>
      </c>
      <c r="BF445" s="7">
        <v>0</v>
      </c>
      <c r="BH445" s="7">
        <v>0</v>
      </c>
      <c r="BJ445" s="7">
        <v>0</v>
      </c>
      <c r="BL445" s="7">
        <f t="shared" si="130"/>
        <v>93053094</v>
      </c>
      <c r="BN445" s="7">
        <f>+GenRev!AM445-GenExp!BL445</f>
        <v>-4933001</v>
      </c>
      <c r="BP445" s="7">
        <v>6853373</v>
      </c>
      <c r="BR445" s="7">
        <v>0</v>
      </c>
      <c r="BT445" s="7">
        <v>0</v>
      </c>
      <c r="BV445" s="7">
        <f t="shared" si="129"/>
        <v>1920372</v>
      </c>
      <c r="BX445" s="8">
        <f>+BV445-'Gen Fd BS'!AE445+BT445</f>
        <v>0</v>
      </c>
      <c r="CB445" s="7" t="str">
        <f t="shared" si="115"/>
        <v>Pickerington Local SD</v>
      </c>
      <c r="CC445" s="7" t="b">
        <f t="shared" si="104"/>
        <v>1</v>
      </c>
      <c r="CE445" s="12" t="str">
        <f>GenRev!A445</f>
        <v>Pickerington Local SD</v>
      </c>
      <c r="CF445" s="7" t="b">
        <f t="shared" si="116"/>
        <v>1</v>
      </c>
      <c r="CG445" s="7" t="str">
        <f t="shared" si="105"/>
        <v>Fairfield</v>
      </c>
      <c r="CH445" s="7" t="b">
        <f t="shared" si="106"/>
        <v>1</v>
      </c>
      <c r="CI445" s="7" t="b">
        <f>C445=GenRev!C445</f>
        <v>1</v>
      </c>
    </row>
    <row r="446" spans="1:87" hidden="1">
      <c r="A446" s="12" t="s">
        <v>961</v>
      </c>
      <c r="B446" s="12"/>
      <c r="C446" s="12" t="s">
        <v>28</v>
      </c>
      <c r="D446" s="12"/>
      <c r="E446" s="12">
        <v>47084</v>
      </c>
      <c r="M446" s="7">
        <v>0</v>
      </c>
      <c r="AI446" s="7">
        <v>0</v>
      </c>
      <c r="AL446" s="12" t="s">
        <v>961</v>
      </c>
      <c r="AM446" s="12"/>
      <c r="AN446" s="12" t="s">
        <v>28</v>
      </c>
      <c r="AT446" s="7">
        <v>0</v>
      </c>
      <c r="AV446" s="7">
        <v>0</v>
      </c>
      <c r="AX446" s="7">
        <v>0</v>
      </c>
      <c r="AZ446" s="7">
        <v>0</v>
      </c>
      <c r="BB446" s="7">
        <f t="shared" si="107"/>
        <v>0</v>
      </c>
      <c r="BD446" s="7">
        <v>0</v>
      </c>
      <c r="BF446" s="7">
        <v>0</v>
      </c>
      <c r="BH446" s="7">
        <v>0</v>
      </c>
      <c r="BJ446" s="7">
        <v>0</v>
      </c>
      <c r="BL446" s="7">
        <f t="shared" si="130"/>
        <v>0</v>
      </c>
      <c r="BN446" s="7">
        <f>+GenRev!AM446-GenExp!BL446</f>
        <v>0</v>
      </c>
      <c r="BT446" s="7">
        <v>0</v>
      </c>
      <c r="BV446" s="7">
        <f t="shared" si="129"/>
        <v>0</v>
      </c>
      <c r="BX446" s="8">
        <f>+BV446-'Gen Fd BS'!AE446+BT446</f>
        <v>0</v>
      </c>
      <c r="CA446" s="7" t="s">
        <v>960</v>
      </c>
      <c r="CB446" s="7" t="str">
        <f t="shared" si="115"/>
        <v>Pike-Delta-York Local SD (CASH)</v>
      </c>
      <c r="CC446" s="7" t="b">
        <f t="shared" si="104"/>
        <v>1</v>
      </c>
      <c r="CE446" s="12" t="str">
        <f>GenRev!A446</f>
        <v>Pike-Delta-York Local SD (CASH)</v>
      </c>
      <c r="CF446" s="7" t="b">
        <f t="shared" si="116"/>
        <v>1</v>
      </c>
      <c r="CG446" s="7" t="str">
        <f t="shared" si="105"/>
        <v>Fulton</v>
      </c>
      <c r="CH446" s="7" t="b">
        <f t="shared" si="106"/>
        <v>1</v>
      </c>
      <c r="CI446" s="7" t="b">
        <f>C446=GenRev!C446</f>
        <v>1</v>
      </c>
    </row>
    <row r="447" spans="1:87">
      <c r="A447" s="12" t="s">
        <v>438</v>
      </c>
      <c r="B447" s="12"/>
      <c r="C447" s="12" t="s">
        <v>48</v>
      </c>
      <c r="D447" s="12"/>
      <c r="E447" s="12">
        <v>44644</v>
      </c>
      <c r="G447" s="7">
        <v>16782116</v>
      </c>
      <c r="I447" s="7">
        <v>0</v>
      </c>
      <c r="K447" s="7">
        <v>0</v>
      </c>
      <c r="M447" s="7">
        <v>0</v>
      </c>
      <c r="O447" s="7">
        <v>0</v>
      </c>
      <c r="Q447" s="7">
        <v>1287892</v>
      </c>
      <c r="S447" s="7">
        <v>1969695</v>
      </c>
      <c r="U447" s="7">
        <v>23825</v>
      </c>
      <c r="W447" s="7">
        <v>2310451</v>
      </c>
      <c r="Y447" s="7">
        <v>591629</v>
      </c>
      <c r="AA447" s="7">
        <v>2338</v>
      </c>
      <c r="AC447" s="7">
        <v>2966365</v>
      </c>
      <c r="AE447" s="7">
        <v>1367494</v>
      </c>
      <c r="AG447" s="7">
        <v>245247</v>
      </c>
      <c r="AI447" s="7">
        <v>0</v>
      </c>
      <c r="AK447" s="7">
        <v>0</v>
      </c>
      <c r="AL447" s="12" t="s">
        <v>438</v>
      </c>
      <c r="AM447" s="12"/>
      <c r="AN447" s="12" t="s">
        <v>48</v>
      </c>
      <c r="AP447" s="7">
        <v>390288</v>
      </c>
      <c r="AR447" s="7">
        <v>0</v>
      </c>
      <c r="AT447" s="7">
        <v>0</v>
      </c>
      <c r="AV447" s="7">
        <v>0</v>
      </c>
      <c r="AX447" s="7">
        <v>0</v>
      </c>
      <c r="AZ447" s="7">
        <v>0</v>
      </c>
      <c r="BB447" s="7">
        <f t="shared" si="107"/>
        <v>27937340</v>
      </c>
      <c r="BD447" s="7">
        <v>0</v>
      </c>
      <c r="BF447" s="7">
        <v>0</v>
      </c>
      <c r="BH447" s="7">
        <v>0</v>
      </c>
      <c r="BJ447" s="7">
        <v>0</v>
      </c>
      <c r="BL447" s="7">
        <f t="shared" si="130"/>
        <v>27937340</v>
      </c>
      <c r="BN447" s="7">
        <f>+GenRev!AM447-GenExp!BL447</f>
        <v>1353626</v>
      </c>
      <c r="BP447" s="7">
        <v>5556293</v>
      </c>
      <c r="BR447" s="7">
        <v>-25</v>
      </c>
      <c r="BT447" s="7">
        <v>0</v>
      </c>
      <c r="BV447" s="7">
        <f t="shared" si="129"/>
        <v>6909944</v>
      </c>
      <c r="BX447" s="8">
        <f>+BV447-'Gen Fd BS'!AE447+BT447</f>
        <v>0</v>
      </c>
      <c r="CA447" s="7" t="s">
        <v>808</v>
      </c>
      <c r="CB447" s="7" t="str">
        <f t="shared" si="115"/>
        <v>Piqua City SD</v>
      </c>
      <c r="CC447" s="7" t="b">
        <f t="shared" si="104"/>
        <v>1</v>
      </c>
      <c r="CE447" s="12" t="str">
        <f>GenRev!A447</f>
        <v>Piqua City SD</v>
      </c>
      <c r="CF447" s="7" t="b">
        <f t="shared" si="116"/>
        <v>1</v>
      </c>
      <c r="CG447" s="7" t="str">
        <f t="shared" si="105"/>
        <v>Miami</v>
      </c>
      <c r="CH447" s="7" t="b">
        <f t="shared" si="106"/>
        <v>1</v>
      </c>
      <c r="CI447" s="7" t="b">
        <f>C447=GenRev!C447</f>
        <v>1</v>
      </c>
    </row>
    <row r="448" spans="1:87">
      <c r="A448" s="12" t="s">
        <v>312</v>
      </c>
      <c r="B448" s="12"/>
      <c r="C448" s="12" t="s">
        <v>62</v>
      </c>
      <c r="D448" s="12"/>
      <c r="E448" s="12">
        <v>49932</v>
      </c>
      <c r="G448" s="7">
        <v>23386895</v>
      </c>
      <c r="I448" s="7">
        <v>5012194</v>
      </c>
      <c r="K448" s="7">
        <v>1339291</v>
      </c>
      <c r="M448" s="7">
        <v>0</v>
      </c>
      <c r="O448" s="7">
        <v>185175</v>
      </c>
      <c r="Q448" s="7">
        <v>949239</v>
      </c>
      <c r="S448" s="7">
        <v>2469474</v>
      </c>
      <c r="U448" s="7">
        <v>163304</v>
      </c>
      <c r="W448" s="7">
        <v>2454253</v>
      </c>
      <c r="Y448" s="7">
        <v>879795</v>
      </c>
      <c r="AA448" s="7">
        <v>153975</v>
      </c>
      <c r="AC448" s="7">
        <v>5169633</v>
      </c>
      <c r="AE448" s="7">
        <v>2662970</v>
      </c>
      <c r="AG448" s="7">
        <v>199315</v>
      </c>
      <c r="AI448" s="7">
        <v>0</v>
      </c>
      <c r="AK448" s="7">
        <v>0</v>
      </c>
      <c r="AL448" s="12" t="s">
        <v>312</v>
      </c>
      <c r="AM448" s="12"/>
      <c r="AN448" s="12" t="s">
        <v>62</v>
      </c>
      <c r="AP448" s="7">
        <v>925425</v>
      </c>
      <c r="AR448" s="7">
        <v>0</v>
      </c>
      <c r="AT448" s="7">
        <v>0</v>
      </c>
      <c r="AV448" s="7">
        <v>0</v>
      </c>
      <c r="AX448" s="7">
        <v>0</v>
      </c>
      <c r="AZ448" s="7">
        <v>0</v>
      </c>
      <c r="BB448" s="7">
        <f t="shared" si="107"/>
        <v>45950938</v>
      </c>
      <c r="BD448" s="7">
        <v>19000</v>
      </c>
      <c r="BF448" s="7">
        <v>0</v>
      </c>
      <c r="BH448" s="7">
        <v>0</v>
      </c>
      <c r="BJ448" s="7">
        <v>0</v>
      </c>
      <c r="BL448" s="7">
        <f t="shared" si="130"/>
        <v>45969938</v>
      </c>
      <c r="BN448" s="7">
        <f>+GenRev!AM448-GenExp!BL448</f>
        <v>6488455</v>
      </c>
      <c r="BP448" s="7">
        <v>2591011</v>
      </c>
      <c r="BR448" s="7">
        <v>-7811</v>
      </c>
      <c r="BT448" s="7">
        <v>0</v>
      </c>
      <c r="BV448" s="7">
        <f t="shared" si="129"/>
        <v>9087277</v>
      </c>
      <c r="BX448" s="8">
        <f>+BV448-'Gen Fd BS'!AE448+BT448</f>
        <v>0</v>
      </c>
      <c r="CB448" s="7" t="str">
        <f t="shared" si="115"/>
        <v>Plain Local SD</v>
      </c>
      <c r="CC448" s="7" t="b">
        <f t="shared" si="104"/>
        <v>1</v>
      </c>
      <c r="CE448" s="12" t="str">
        <f>GenRev!A448</f>
        <v>Plain Local SD</v>
      </c>
      <c r="CF448" s="7" t="b">
        <f t="shared" si="116"/>
        <v>1</v>
      </c>
      <c r="CG448" s="7" t="str">
        <f t="shared" si="105"/>
        <v>Stark</v>
      </c>
      <c r="CH448" s="7" t="b">
        <f t="shared" si="106"/>
        <v>1</v>
      </c>
      <c r="CI448" s="7" t="b">
        <f>C448=GenRev!C448</f>
        <v>1</v>
      </c>
    </row>
    <row r="449" spans="1:87">
      <c r="A449" s="12" t="s">
        <v>424</v>
      </c>
      <c r="B449" s="12"/>
      <c r="C449" s="12" t="s">
        <v>46</v>
      </c>
      <c r="D449" s="12"/>
      <c r="E449" s="12">
        <v>48421</v>
      </c>
      <c r="G449" s="7">
        <v>6678281</v>
      </c>
      <c r="I449" s="7">
        <v>640223</v>
      </c>
      <c r="K449" s="7">
        <v>149712</v>
      </c>
      <c r="M449" s="7">
        <v>0</v>
      </c>
      <c r="O449" s="7">
        <v>0</v>
      </c>
      <c r="Q449" s="7">
        <v>207249</v>
      </c>
      <c r="S449" s="7">
        <v>346405</v>
      </c>
      <c r="U449" s="7">
        <v>81436</v>
      </c>
      <c r="W449" s="7">
        <v>728885</v>
      </c>
      <c r="Y449" s="7">
        <v>311607</v>
      </c>
      <c r="AA449" s="7">
        <v>0</v>
      </c>
      <c r="AC449" s="7">
        <v>879324</v>
      </c>
      <c r="AE449" s="7">
        <v>454646</v>
      </c>
      <c r="AG449" s="7">
        <v>0</v>
      </c>
      <c r="AI449" s="7">
        <v>0</v>
      </c>
      <c r="AK449" s="7">
        <v>0</v>
      </c>
      <c r="AL449" s="12" t="s">
        <v>424</v>
      </c>
      <c r="AM449" s="12"/>
      <c r="AN449" s="12" t="s">
        <v>46</v>
      </c>
      <c r="AP449" s="7">
        <v>276645</v>
      </c>
      <c r="AR449" s="7">
        <v>87926</v>
      </c>
      <c r="AT449" s="7">
        <v>0</v>
      </c>
      <c r="AV449" s="7">
        <v>85625</v>
      </c>
      <c r="AX449" s="7">
        <v>11738</v>
      </c>
      <c r="AZ449" s="7">
        <v>0</v>
      </c>
      <c r="BB449" s="7">
        <f t="shared" ref="BB449:BB477" si="131">SUM(G449:AZ449)</f>
        <v>10939702</v>
      </c>
      <c r="BD449" s="7">
        <v>1922</v>
      </c>
      <c r="BF449" s="7">
        <v>0</v>
      </c>
      <c r="BH449" s="7">
        <v>0</v>
      </c>
      <c r="BJ449" s="7">
        <v>0</v>
      </c>
      <c r="BL449" s="7">
        <f t="shared" si="130"/>
        <v>10941624</v>
      </c>
      <c r="BN449" s="7">
        <f>+GenRev!AM449-GenExp!BL449</f>
        <v>158006</v>
      </c>
      <c r="BP449" s="7">
        <v>3031535</v>
      </c>
      <c r="BR449" s="7">
        <v>0</v>
      </c>
      <c r="BT449" s="7">
        <v>0</v>
      </c>
      <c r="BV449" s="7">
        <f t="shared" si="129"/>
        <v>3189541</v>
      </c>
      <c r="BX449" s="8">
        <f>+BV449-'Gen Fd BS'!AE449+BT449</f>
        <v>0</v>
      </c>
      <c r="CB449" s="7" t="str">
        <f t="shared" si="115"/>
        <v>Pleasant Local SD</v>
      </c>
      <c r="CC449" s="7" t="b">
        <f t="shared" si="104"/>
        <v>1</v>
      </c>
      <c r="CE449" s="12" t="str">
        <f>GenRev!A449</f>
        <v>Pleasant Local SD</v>
      </c>
      <c r="CF449" s="7" t="b">
        <f t="shared" si="116"/>
        <v>1</v>
      </c>
      <c r="CG449" s="7" t="str">
        <f t="shared" si="105"/>
        <v>Marion</v>
      </c>
      <c r="CH449" s="7" t="b">
        <f t="shared" si="106"/>
        <v>1</v>
      </c>
      <c r="CI449" s="7" t="b">
        <f>C449=GenRev!C449</f>
        <v>1</v>
      </c>
    </row>
    <row r="450" spans="1:87" ht="12" customHeight="1">
      <c r="A450" s="12" t="s">
        <v>486</v>
      </c>
      <c r="B450" s="12"/>
      <c r="C450" s="12" t="s">
        <v>110</v>
      </c>
      <c r="D450" s="12"/>
      <c r="E450" s="12">
        <v>49460</v>
      </c>
      <c r="F450" s="10"/>
      <c r="G450" s="7">
        <v>2726909</v>
      </c>
      <c r="I450" s="7">
        <v>949308</v>
      </c>
      <c r="K450" s="7">
        <v>195001</v>
      </c>
      <c r="M450" s="7">
        <v>0</v>
      </c>
      <c r="O450" s="7">
        <v>434147</v>
      </c>
      <c r="Q450" s="7">
        <v>382960</v>
      </c>
      <c r="S450" s="7">
        <v>227766</v>
      </c>
      <c r="U450" s="7">
        <v>19034</v>
      </c>
      <c r="W450" s="7">
        <v>674580</v>
      </c>
      <c r="Y450" s="7">
        <v>229390</v>
      </c>
      <c r="AA450" s="7">
        <v>2748</v>
      </c>
      <c r="AC450" s="7">
        <v>887863</v>
      </c>
      <c r="AE450" s="7">
        <v>446170</v>
      </c>
      <c r="AG450" s="7">
        <v>43837</v>
      </c>
      <c r="AI450" s="7">
        <v>0</v>
      </c>
      <c r="AK450" s="7">
        <v>0</v>
      </c>
      <c r="AL450" s="12" t="s">
        <v>486</v>
      </c>
      <c r="AM450" s="12"/>
      <c r="AN450" s="12" t="s">
        <v>110</v>
      </c>
      <c r="AP450" s="7">
        <v>233580</v>
      </c>
      <c r="AR450" s="7">
        <v>20580</v>
      </c>
      <c r="AT450" s="7">
        <v>0</v>
      </c>
      <c r="AV450" s="7">
        <v>36403</v>
      </c>
      <c r="AX450" s="7">
        <v>36338</v>
      </c>
      <c r="AZ450" s="7">
        <v>0</v>
      </c>
      <c r="BB450" s="7">
        <f t="shared" si="131"/>
        <v>7546614</v>
      </c>
      <c r="BD450" s="7">
        <v>16234</v>
      </c>
      <c r="BF450" s="7">
        <v>0</v>
      </c>
      <c r="BH450" s="7">
        <v>0</v>
      </c>
      <c r="BJ450" s="7">
        <v>0</v>
      </c>
      <c r="BL450" s="7">
        <f t="shared" si="130"/>
        <v>7562848</v>
      </c>
      <c r="BN450" s="7">
        <f>+GenRev!AM450-GenExp!BL450</f>
        <v>223783</v>
      </c>
      <c r="BP450" s="7">
        <v>2347055</v>
      </c>
      <c r="BR450" s="7">
        <v>0</v>
      </c>
      <c r="BT450" s="7">
        <v>0</v>
      </c>
      <c r="BV450" s="7">
        <f t="shared" si="129"/>
        <v>2570838</v>
      </c>
      <c r="BX450" s="8">
        <f>+BV450-'Gen Fd BS'!AE450+BT450</f>
        <v>0</v>
      </c>
      <c r="CB450" s="7" t="str">
        <f t="shared" si="115"/>
        <v>Plymouth-Shiloh Local SD</v>
      </c>
      <c r="CC450" s="7" t="b">
        <f t="shared" si="104"/>
        <v>1</v>
      </c>
      <c r="CE450" s="12" t="str">
        <f>GenRev!A450</f>
        <v>Plymouth-Shiloh Local SD</v>
      </c>
      <c r="CF450" s="7" t="b">
        <f t="shared" si="116"/>
        <v>1</v>
      </c>
      <c r="CG450" s="7" t="str">
        <f t="shared" si="105"/>
        <v>Richland</v>
      </c>
      <c r="CH450" s="7" t="b">
        <f t="shared" si="106"/>
        <v>1</v>
      </c>
      <c r="CI450" s="7" t="b">
        <f>C450=GenRev!C450</f>
        <v>1</v>
      </c>
    </row>
    <row r="451" spans="1:87" ht="12" customHeight="1">
      <c r="A451" s="12" t="s">
        <v>764</v>
      </c>
      <c r="B451" s="12"/>
      <c r="C451" s="12" t="s">
        <v>45</v>
      </c>
      <c r="D451" s="12"/>
      <c r="E451" s="12">
        <v>48348</v>
      </c>
      <c r="G451" s="7">
        <v>10346653</v>
      </c>
      <c r="I451" s="7">
        <v>1453835</v>
      </c>
      <c r="K451" s="7">
        <v>173034</v>
      </c>
      <c r="M451" s="7">
        <v>137533</v>
      </c>
      <c r="O451" s="7">
        <v>14869</v>
      </c>
      <c r="Q451" s="7">
        <v>1327842</v>
      </c>
      <c r="S451" s="7">
        <v>397087</v>
      </c>
      <c r="U451" s="7">
        <v>19385</v>
      </c>
      <c r="W451" s="7">
        <v>1425410</v>
      </c>
      <c r="Y451" s="7">
        <v>534042</v>
      </c>
      <c r="AA451" s="7">
        <v>602</v>
      </c>
      <c r="AC451" s="7">
        <v>2202047</v>
      </c>
      <c r="AE451" s="7">
        <v>836377</v>
      </c>
      <c r="AG451" s="7">
        <v>5420</v>
      </c>
      <c r="AI451" s="7">
        <v>0</v>
      </c>
      <c r="AK451" s="7">
        <v>0</v>
      </c>
      <c r="AL451" s="12" t="s">
        <v>764</v>
      </c>
      <c r="AM451" s="12"/>
      <c r="AN451" s="12" t="s">
        <v>45</v>
      </c>
      <c r="AP451" s="7">
        <v>552131</v>
      </c>
      <c r="AR451" s="7">
        <v>165130</v>
      </c>
      <c r="AT451" s="7">
        <v>0</v>
      </c>
      <c r="AV451" s="7">
        <v>83085</v>
      </c>
      <c r="AX451" s="7">
        <v>7140</v>
      </c>
      <c r="AZ451" s="7">
        <v>0</v>
      </c>
      <c r="BB451" s="7">
        <f t="shared" si="131"/>
        <v>19681622</v>
      </c>
      <c r="BD451" s="7">
        <v>0</v>
      </c>
      <c r="BF451" s="7">
        <v>0</v>
      </c>
      <c r="BH451" s="7">
        <v>0</v>
      </c>
      <c r="BJ451" s="7">
        <v>0</v>
      </c>
      <c r="BL451" s="7">
        <f t="shared" si="130"/>
        <v>19681622</v>
      </c>
      <c r="BN451" s="7">
        <f>+GenRev!AM451-GenExp!BL451</f>
        <v>-1408624</v>
      </c>
      <c r="BP451" s="7">
        <v>1724912</v>
      </c>
      <c r="BR451" s="7">
        <v>0</v>
      </c>
      <c r="BT451" s="7">
        <v>0</v>
      </c>
      <c r="BV451" s="7">
        <f t="shared" si="129"/>
        <v>316288</v>
      </c>
      <c r="BX451" s="8">
        <f>+BV451-'Gen Fd BS'!AE451+BT451</f>
        <v>0</v>
      </c>
      <c r="CB451" s="7" t="str">
        <f t="shared" si="115"/>
        <v xml:space="preserve">Poland Local SD </v>
      </c>
      <c r="CC451" s="7" t="b">
        <f t="shared" si="104"/>
        <v>1</v>
      </c>
      <c r="CE451" s="12" t="str">
        <f>GenRev!A451</f>
        <v xml:space="preserve">Poland Local SD </v>
      </c>
      <c r="CF451" s="7" t="b">
        <f t="shared" si="116"/>
        <v>1</v>
      </c>
      <c r="CG451" s="7" t="str">
        <f t="shared" si="105"/>
        <v>Mahoning</v>
      </c>
      <c r="CH451" s="7" t="b">
        <f t="shared" si="106"/>
        <v>1</v>
      </c>
      <c r="CI451" s="7" t="b">
        <f>C451=GenRev!C451</f>
        <v>1</v>
      </c>
    </row>
    <row r="452" spans="1:87" ht="12" hidden="1" customHeight="1">
      <c r="A452" s="12" t="s">
        <v>962</v>
      </c>
      <c r="B452" s="12"/>
      <c r="C452" s="12" t="s">
        <v>53</v>
      </c>
      <c r="D452" s="12"/>
      <c r="E452" s="12">
        <v>44651</v>
      </c>
      <c r="AI452" s="7">
        <v>0</v>
      </c>
      <c r="AL452" s="12" t="s">
        <v>962</v>
      </c>
      <c r="AM452" s="12"/>
      <c r="AN452" s="12" t="s">
        <v>53</v>
      </c>
      <c r="AT452" s="7">
        <v>0</v>
      </c>
      <c r="AZ452" s="7">
        <v>0</v>
      </c>
      <c r="BB452" s="7">
        <f t="shared" si="131"/>
        <v>0</v>
      </c>
      <c r="BF452" s="7">
        <v>0</v>
      </c>
      <c r="BH452" s="7">
        <v>0</v>
      </c>
      <c r="BJ452" s="7">
        <v>0</v>
      </c>
      <c r="BL452" s="7">
        <f t="shared" si="130"/>
        <v>0</v>
      </c>
      <c r="BN452" s="7">
        <f>+GenRev!AM452-GenExp!BL452</f>
        <v>0</v>
      </c>
      <c r="BR452" s="7">
        <v>0</v>
      </c>
      <c r="BT452" s="7">
        <v>0</v>
      </c>
      <c r="BV452" s="7">
        <f t="shared" si="129"/>
        <v>0</v>
      </c>
      <c r="BX452" s="8">
        <f>+BV452-'Gen Fd BS'!AE452+BT452</f>
        <v>0</v>
      </c>
      <c r="CA452" s="7" t="s">
        <v>903</v>
      </c>
      <c r="CB452" s="7" t="str">
        <f t="shared" si="115"/>
        <v>Port Clinton City SD (CASH)</v>
      </c>
      <c r="CC452" s="7" t="b">
        <f t="shared" si="104"/>
        <v>1</v>
      </c>
      <c r="CE452" s="12" t="str">
        <f>GenRev!A452</f>
        <v>Port Clinton City SD (CASH)</v>
      </c>
      <c r="CF452" s="7" t="b">
        <f t="shared" si="116"/>
        <v>1</v>
      </c>
      <c r="CG452" s="7" t="str">
        <f t="shared" si="105"/>
        <v>Ottawa</v>
      </c>
      <c r="CH452" s="7" t="b">
        <f t="shared" si="106"/>
        <v>1</v>
      </c>
      <c r="CI452" s="7" t="b">
        <f>C452=GenRev!C452</f>
        <v>1</v>
      </c>
    </row>
    <row r="453" spans="1:87" ht="12" customHeight="1">
      <c r="A453" s="12" t="s">
        <v>499</v>
      </c>
      <c r="B453" s="12"/>
      <c r="C453" s="12" t="s">
        <v>59</v>
      </c>
      <c r="D453" s="12"/>
      <c r="E453" s="12">
        <v>44669</v>
      </c>
      <c r="G453" s="7">
        <v>12699821</v>
      </c>
      <c r="I453" s="7">
        <v>3398059</v>
      </c>
      <c r="K453" s="7">
        <v>409860</v>
      </c>
      <c r="M453" s="7">
        <v>0</v>
      </c>
      <c r="O453" s="7">
        <f>314667+37500</f>
        <v>352167</v>
      </c>
      <c r="Q453" s="7">
        <v>1006593</v>
      </c>
      <c r="S453" s="7">
        <v>1317425</v>
      </c>
      <c r="U453" s="7">
        <v>20334</v>
      </c>
      <c r="W453" s="7">
        <v>1431911</v>
      </c>
      <c r="Y453" s="7">
        <v>455311</v>
      </c>
      <c r="AA453" s="7">
        <v>53261</v>
      </c>
      <c r="AC453" s="7">
        <v>1865802</v>
      </c>
      <c r="AE453" s="7">
        <v>532207</v>
      </c>
      <c r="AG453" s="7">
        <v>89654</v>
      </c>
      <c r="AI453" s="7">
        <v>0</v>
      </c>
      <c r="AK453" s="7">
        <v>829</v>
      </c>
      <c r="AL453" s="12" t="s">
        <v>499</v>
      </c>
      <c r="AM453" s="12"/>
      <c r="AN453" s="12" t="s">
        <v>59</v>
      </c>
      <c r="AP453" s="7">
        <v>252865</v>
      </c>
      <c r="AR453" s="7">
        <v>0</v>
      </c>
      <c r="AT453" s="7">
        <v>0</v>
      </c>
      <c r="AV453" s="7">
        <v>54590</v>
      </c>
      <c r="AX453" s="7">
        <v>8299</v>
      </c>
      <c r="AZ453" s="7">
        <v>0</v>
      </c>
      <c r="BB453" s="7">
        <f t="shared" si="131"/>
        <v>23948988</v>
      </c>
      <c r="BD453" s="7">
        <v>1915</v>
      </c>
      <c r="BF453" s="7">
        <v>0</v>
      </c>
      <c r="BH453" s="7">
        <v>0</v>
      </c>
      <c r="BJ453" s="7">
        <v>0</v>
      </c>
      <c r="BL453" s="7">
        <f t="shared" si="130"/>
        <v>23950903</v>
      </c>
      <c r="BN453" s="7">
        <f>+GenRev!AM453-GenExp!BL453</f>
        <v>-348737</v>
      </c>
      <c r="BP453" s="7">
        <v>1952736</v>
      </c>
      <c r="BR453" s="7">
        <v>0</v>
      </c>
      <c r="BT453" s="7">
        <v>0</v>
      </c>
      <c r="BV453" s="7">
        <f t="shared" si="129"/>
        <v>1603999</v>
      </c>
      <c r="BX453" s="8">
        <f>+BV453-'Gen Fd BS'!AE453+BT453</f>
        <v>0</v>
      </c>
      <c r="CB453" s="7" t="str">
        <f t="shared" si="115"/>
        <v>Portsmouth City SD</v>
      </c>
      <c r="CC453" s="7" t="b">
        <f t="shared" si="104"/>
        <v>1</v>
      </c>
      <c r="CE453" s="12" t="str">
        <f>GenRev!A453</f>
        <v>Portsmouth City SD</v>
      </c>
      <c r="CF453" s="7" t="b">
        <f t="shared" si="116"/>
        <v>1</v>
      </c>
      <c r="CG453" s="7" t="str">
        <f t="shared" si="105"/>
        <v>Scioto</v>
      </c>
      <c r="CH453" s="7" t="b">
        <f t="shared" si="106"/>
        <v>1</v>
      </c>
      <c r="CI453" s="7" t="b">
        <f>C453=GenRev!C453</f>
        <v>1</v>
      </c>
    </row>
    <row r="454" spans="1:87" ht="12" hidden="1" customHeight="1">
      <c r="A454" s="12" t="s">
        <v>725</v>
      </c>
      <c r="B454" s="12"/>
      <c r="C454" s="12" t="s">
        <v>57</v>
      </c>
      <c r="D454" s="12"/>
      <c r="E454" s="12">
        <v>49288</v>
      </c>
      <c r="M454" s="7">
        <v>0</v>
      </c>
      <c r="AI454" s="7">
        <v>0</v>
      </c>
      <c r="AL454" s="12" t="s">
        <v>725</v>
      </c>
      <c r="AM454" s="12"/>
      <c r="AN454" s="12" t="s">
        <v>57</v>
      </c>
      <c r="AT454" s="7">
        <v>0</v>
      </c>
      <c r="AZ454" s="7">
        <v>0</v>
      </c>
      <c r="BB454" s="7">
        <f t="shared" si="131"/>
        <v>0</v>
      </c>
      <c r="BF454" s="7">
        <v>0</v>
      </c>
      <c r="BH454" s="7">
        <v>0</v>
      </c>
      <c r="BJ454" s="7">
        <v>0</v>
      </c>
      <c r="BL454" s="7">
        <f t="shared" si="130"/>
        <v>0</v>
      </c>
      <c r="BN454" s="7">
        <f>+GenRev!AM454-GenExp!BL454</f>
        <v>0</v>
      </c>
      <c r="BR454" s="7">
        <v>0</v>
      </c>
      <c r="BT454" s="7">
        <v>0</v>
      </c>
      <c r="BV454" s="7">
        <f t="shared" si="129"/>
        <v>0</v>
      </c>
      <c r="BX454" s="8">
        <f>+BV454-'Gen Fd BS'!AE454+BT454</f>
        <v>0</v>
      </c>
      <c r="CA454" s="7" t="s">
        <v>959</v>
      </c>
      <c r="CB454" s="7" t="str">
        <f t="shared" si="115"/>
        <v>Preble Shawnee Local SD (CASH)</v>
      </c>
      <c r="CC454" s="7" t="b">
        <f t="shared" si="104"/>
        <v>1</v>
      </c>
      <c r="CE454" s="12" t="str">
        <f>GenRev!A454</f>
        <v>Preble Shawnee Local SD (CASH)</v>
      </c>
      <c r="CF454" s="7" t="b">
        <f t="shared" si="116"/>
        <v>1</v>
      </c>
      <c r="CG454" s="7" t="str">
        <f t="shared" si="105"/>
        <v>Preble</v>
      </c>
      <c r="CH454" s="7" t="b">
        <f t="shared" si="106"/>
        <v>1</v>
      </c>
      <c r="CI454" s="7" t="b">
        <f>C454=GenRev!C454</f>
        <v>1</v>
      </c>
    </row>
    <row r="455" spans="1:87" ht="12" customHeight="1">
      <c r="A455" s="12" t="s">
        <v>337</v>
      </c>
      <c r="B455" s="12"/>
      <c r="C455" s="12" t="s">
        <v>32</v>
      </c>
      <c r="D455" s="12"/>
      <c r="E455" s="12">
        <v>44677</v>
      </c>
      <c r="G455" s="7">
        <v>29185397</v>
      </c>
      <c r="I455" s="7">
        <v>7670361</v>
      </c>
      <c r="K455" s="7">
        <v>0</v>
      </c>
      <c r="M455" s="7">
        <v>0</v>
      </c>
      <c r="O455" s="7">
        <v>2076612</v>
      </c>
      <c r="Q455" s="7">
        <v>3926548</v>
      </c>
      <c r="S455" s="7">
        <v>6027314</v>
      </c>
      <c r="U455" s="7">
        <v>358720</v>
      </c>
      <c r="W455" s="7">
        <v>5883107</v>
      </c>
      <c r="Y455" s="7">
        <v>2223509</v>
      </c>
      <c r="AA455" s="7">
        <v>208731</v>
      </c>
      <c r="AC455" s="7">
        <v>7490878</v>
      </c>
      <c r="AE455" s="7">
        <v>4646621</v>
      </c>
      <c r="AG455" s="7">
        <v>906586</v>
      </c>
      <c r="AI455" s="7">
        <v>0</v>
      </c>
      <c r="AK455" s="7">
        <v>1353899</v>
      </c>
      <c r="AL455" s="12" t="s">
        <v>337</v>
      </c>
      <c r="AM455" s="12"/>
      <c r="AN455" s="12" t="s">
        <v>32</v>
      </c>
      <c r="AP455" s="7">
        <v>474664</v>
      </c>
      <c r="AR455" s="7">
        <v>79069</v>
      </c>
      <c r="AT455" s="7">
        <v>0</v>
      </c>
      <c r="AV455" s="7">
        <v>0</v>
      </c>
      <c r="AX455" s="7">
        <v>7760</v>
      </c>
      <c r="AZ455" s="7">
        <v>0</v>
      </c>
      <c r="BB455" s="7">
        <f t="shared" si="131"/>
        <v>72519776</v>
      </c>
      <c r="BD455" s="7">
        <v>1153984</v>
      </c>
      <c r="BF455" s="7">
        <v>0</v>
      </c>
      <c r="BH455" s="7">
        <v>0</v>
      </c>
      <c r="BJ455" s="7">
        <v>0</v>
      </c>
      <c r="BL455" s="7">
        <f t="shared" si="130"/>
        <v>73673760</v>
      </c>
      <c r="BN455" s="7">
        <f>+GenRev!AM455-GenExp!BL455</f>
        <v>-3870029</v>
      </c>
      <c r="BP455" s="7">
        <v>23205451</v>
      </c>
      <c r="BR455" s="7">
        <v>0</v>
      </c>
      <c r="BT455" s="7">
        <v>0</v>
      </c>
      <c r="BV455" s="7">
        <f t="shared" si="129"/>
        <v>19335422</v>
      </c>
      <c r="BX455" s="8">
        <f>+BV455-'Gen Fd BS'!AE455+BT455</f>
        <v>0</v>
      </c>
      <c r="CB455" s="7" t="str">
        <f t="shared" si="115"/>
        <v>Princeton City SD</v>
      </c>
      <c r="CC455" s="7" t="b">
        <f t="shared" si="104"/>
        <v>1</v>
      </c>
      <c r="CE455" s="12" t="str">
        <f>GenRev!A455</f>
        <v>Princeton City SD</v>
      </c>
      <c r="CF455" s="7" t="b">
        <f t="shared" si="116"/>
        <v>1</v>
      </c>
      <c r="CG455" s="7" t="str">
        <f t="shared" si="105"/>
        <v>Hamilton</v>
      </c>
      <c r="CH455" s="7" t="b">
        <f t="shared" si="106"/>
        <v>1</v>
      </c>
      <c r="CI455" s="7" t="b">
        <f>C455=GenRev!C455</f>
        <v>1</v>
      </c>
    </row>
    <row r="456" spans="1:87" ht="12" hidden="1" customHeight="1">
      <c r="A456" s="12" t="s">
        <v>963</v>
      </c>
      <c r="B456" s="12"/>
      <c r="C456" s="12" t="s">
        <v>53</v>
      </c>
      <c r="D456" s="12"/>
      <c r="E456" s="12"/>
      <c r="M456" s="7">
        <v>0</v>
      </c>
      <c r="AI456" s="7">
        <v>0</v>
      </c>
      <c r="AL456" s="12" t="s">
        <v>963</v>
      </c>
      <c r="AM456" s="12"/>
      <c r="AN456" s="12" t="s">
        <v>53</v>
      </c>
      <c r="AT456" s="7">
        <v>0</v>
      </c>
      <c r="AV456" s="7">
        <v>0</v>
      </c>
      <c r="AZ456" s="7">
        <v>0</v>
      </c>
      <c r="BB456" s="7">
        <f t="shared" ref="BB456" si="132">SUM(G456:AZ456)</f>
        <v>0</v>
      </c>
      <c r="BF456" s="7">
        <v>0</v>
      </c>
      <c r="BH456" s="7">
        <v>0</v>
      </c>
      <c r="BJ456" s="7">
        <v>0</v>
      </c>
      <c r="BL456" s="7">
        <f t="shared" ref="BL456" si="133">+BB456+BD456+BF456+BJ456</f>
        <v>0</v>
      </c>
      <c r="BN456" s="7">
        <f>+GenRev!AM456-GenExp!BL456</f>
        <v>0</v>
      </c>
      <c r="BR456" s="7">
        <v>0</v>
      </c>
      <c r="BT456" s="7">
        <v>0</v>
      </c>
      <c r="BV456" s="7">
        <f t="shared" si="129"/>
        <v>0</v>
      </c>
      <c r="BX456" s="8">
        <f>+BV456-'Gen Fd BS'!AE456+BT456</f>
        <v>0</v>
      </c>
      <c r="CA456" s="7" t="s">
        <v>964</v>
      </c>
      <c r="CB456" s="7" t="str">
        <f t="shared" ref="CB456" si="134">A456</f>
        <v>Put-in-Bay Local SD (CASH) (Two year Audit)</v>
      </c>
      <c r="CC456" s="7" t="b">
        <f t="shared" ref="CC456" si="135">A456=AL456</f>
        <v>1</v>
      </c>
      <c r="CE456" s="12" t="str">
        <f>GenRev!A456</f>
        <v>Put-in-Bay Local SD (CASH) (Two year Audit)</v>
      </c>
      <c r="CF456" s="7" t="b">
        <f t="shared" ref="CF456" si="136">CB456=CE456</f>
        <v>1</v>
      </c>
      <c r="CG456" s="7" t="str">
        <f t="shared" ref="CG456" si="137">C456</f>
        <v>Ottawa</v>
      </c>
      <c r="CH456" s="7" t="b">
        <f t="shared" ref="CH456" si="138">C456=AN456</f>
        <v>1</v>
      </c>
      <c r="CI456" s="7" t="b">
        <f>C456=GenRev!C456</f>
        <v>1</v>
      </c>
    </row>
    <row r="457" spans="1:87" ht="12" hidden="1" customHeight="1">
      <c r="A457" s="12" t="s">
        <v>965</v>
      </c>
      <c r="B457" s="12"/>
      <c r="C457" s="12" t="s">
        <v>12</v>
      </c>
      <c r="D457" s="12"/>
      <c r="E457" s="12">
        <v>45880</v>
      </c>
      <c r="M457" s="7">
        <v>0</v>
      </c>
      <c r="AI457" s="7">
        <v>0</v>
      </c>
      <c r="AL457" s="12" t="s">
        <v>965</v>
      </c>
      <c r="AM457" s="12"/>
      <c r="AN457" s="12" t="s">
        <v>12</v>
      </c>
      <c r="AT457" s="7">
        <v>0</v>
      </c>
      <c r="AV457" s="7">
        <v>0</v>
      </c>
      <c r="AZ457" s="7">
        <v>0</v>
      </c>
      <c r="BB457" s="7">
        <f t="shared" si="131"/>
        <v>0</v>
      </c>
      <c r="BF457" s="7">
        <v>0</v>
      </c>
      <c r="BH457" s="7">
        <v>0</v>
      </c>
      <c r="BJ457" s="7">
        <v>0</v>
      </c>
      <c r="BL457" s="7">
        <f t="shared" si="130"/>
        <v>0</v>
      </c>
      <c r="BN457" s="7">
        <f>+GenRev!AM457-GenExp!BL457</f>
        <v>0</v>
      </c>
      <c r="BR457" s="7">
        <v>0</v>
      </c>
      <c r="BT457" s="7">
        <v>0</v>
      </c>
      <c r="BV457" s="7">
        <f t="shared" si="129"/>
        <v>0</v>
      </c>
      <c r="BX457" s="8">
        <f>+BV457-'Gen Fd BS'!AE457+BT457</f>
        <v>0</v>
      </c>
      <c r="CA457" s="7" t="s">
        <v>903</v>
      </c>
      <c r="CB457" s="7" t="str">
        <f t="shared" si="115"/>
        <v>Pymatuning Valley Local SD (CASH)</v>
      </c>
      <c r="CC457" s="7" t="b">
        <f t="shared" si="104"/>
        <v>1</v>
      </c>
      <c r="CE457" s="12" t="str">
        <f>GenRev!A457</f>
        <v>Pymatuning Valley Local SD (CASH)</v>
      </c>
      <c r="CF457" s="7" t="b">
        <f t="shared" si="116"/>
        <v>1</v>
      </c>
      <c r="CG457" s="7" t="str">
        <f t="shared" si="105"/>
        <v>Ashtabula</v>
      </c>
      <c r="CH457" s="7" t="b">
        <f t="shared" si="106"/>
        <v>1</v>
      </c>
      <c r="CI457" s="7" t="b">
        <f>C457=GenRev!C457</f>
        <v>1</v>
      </c>
    </row>
    <row r="458" spans="1:87" s="32" customFormat="1" ht="12" customHeight="1">
      <c r="A458" s="31" t="s">
        <v>659</v>
      </c>
      <c r="B458" s="31"/>
      <c r="C458" s="31" t="s">
        <v>56</v>
      </c>
      <c r="D458" s="31"/>
      <c r="E458" s="31"/>
      <c r="G458" s="32">
        <v>9203399</v>
      </c>
      <c r="I458" s="32">
        <v>3607464</v>
      </c>
      <c r="K458" s="32">
        <v>341294</v>
      </c>
      <c r="M458" s="32">
        <v>0</v>
      </c>
      <c r="O458" s="32">
        <f>26108+1944734</f>
        <v>1970842</v>
      </c>
      <c r="Q458" s="32">
        <v>1313905</v>
      </c>
      <c r="S458" s="32">
        <v>687704</v>
      </c>
      <c r="U458" s="32">
        <v>66617</v>
      </c>
      <c r="W458" s="32">
        <v>2268505</v>
      </c>
      <c r="Y458" s="32">
        <v>652447</v>
      </c>
      <c r="AA458" s="32">
        <v>260595</v>
      </c>
      <c r="AC458" s="32">
        <v>2508505</v>
      </c>
      <c r="AE458" s="32">
        <v>1218105</v>
      </c>
      <c r="AG458" s="32">
        <v>652777</v>
      </c>
      <c r="AI458" s="32">
        <v>0</v>
      </c>
      <c r="AK458" s="32">
        <v>69</v>
      </c>
      <c r="AL458" s="31" t="s">
        <v>659</v>
      </c>
      <c r="AM458" s="31"/>
      <c r="AN458" s="31" t="s">
        <v>56</v>
      </c>
      <c r="AP458" s="32">
        <v>604080</v>
      </c>
      <c r="AR458" s="32">
        <v>0</v>
      </c>
      <c r="AT458" s="32">
        <v>0</v>
      </c>
      <c r="AV458" s="32">
        <v>0</v>
      </c>
      <c r="AX458" s="32">
        <v>0</v>
      </c>
      <c r="AZ458" s="32">
        <v>0</v>
      </c>
      <c r="BB458" s="32">
        <f t="shared" si="131"/>
        <v>25356308</v>
      </c>
      <c r="BD458" s="32">
        <v>275000</v>
      </c>
      <c r="BF458" s="32">
        <v>0</v>
      </c>
      <c r="BH458" s="32">
        <v>0</v>
      </c>
      <c r="BJ458" s="32">
        <v>0</v>
      </c>
      <c r="BL458" s="32">
        <f t="shared" si="130"/>
        <v>25631308</v>
      </c>
      <c r="BN458" s="32">
        <f>+GenRev!AM458-GenExp!BL458</f>
        <v>225661</v>
      </c>
      <c r="BP458" s="32">
        <v>1362744</v>
      </c>
      <c r="BR458" s="32">
        <v>0</v>
      </c>
      <c r="BT458" s="32">
        <v>0</v>
      </c>
      <c r="BV458" s="32">
        <f t="shared" si="129"/>
        <v>1588405</v>
      </c>
      <c r="BX458" s="36">
        <f>+BV458-'Gen Fd BS'!AE458+BT458</f>
        <v>0</v>
      </c>
      <c r="CB458" s="32" t="str">
        <f t="shared" si="115"/>
        <v>Ravenna City SD</v>
      </c>
      <c r="CC458" s="32" t="b">
        <f t="shared" si="104"/>
        <v>1</v>
      </c>
      <c r="CE458" s="31" t="str">
        <f>GenRev!A458</f>
        <v>Ravenna City SD</v>
      </c>
      <c r="CF458" s="32" t="b">
        <f t="shared" si="116"/>
        <v>1</v>
      </c>
      <c r="CG458" s="32" t="str">
        <f t="shared" si="105"/>
        <v>Portage</v>
      </c>
      <c r="CH458" s="32" t="b">
        <f t="shared" si="106"/>
        <v>1</v>
      </c>
      <c r="CI458" s="32" t="b">
        <f>C458=GenRev!C458</f>
        <v>1</v>
      </c>
    </row>
    <row r="459" spans="1:87" ht="12" customHeight="1">
      <c r="A459" s="12" t="s">
        <v>338</v>
      </c>
      <c r="B459" s="12"/>
      <c r="C459" s="12" t="s">
        <v>32</v>
      </c>
      <c r="D459" s="12"/>
      <c r="E459" s="12">
        <v>44693</v>
      </c>
      <c r="F459" s="10"/>
      <c r="G459" s="7">
        <v>6513518</v>
      </c>
      <c r="I459" s="7">
        <v>1501930</v>
      </c>
      <c r="K459" s="7">
        <v>6888</v>
      </c>
      <c r="M459" s="7">
        <v>0</v>
      </c>
      <c r="O459" s="7">
        <v>483113</v>
      </c>
      <c r="Q459" s="7">
        <v>840958</v>
      </c>
      <c r="S459" s="7">
        <v>539819</v>
      </c>
      <c r="U459" s="7">
        <v>46111</v>
      </c>
      <c r="W459" s="7">
        <v>1417561</v>
      </c>
      <c r="Y459" s="7">
        <v>319755</v>
      </c>
      <c r="AA459" s="7">
        <v>0</v>
      </c>
      <c r="AC459" s="7">
        <v>860885</v>
      </c>
      <c r="AE459" s="7">
        <v>217736</v>
      </c>
      <c r="AG459" s="7">
        <v>173370</v>
      </c>
      <c r="AI459" s="7">
        <v>0</v>
      </c>
      <c r="AK459" s="7">
        <v>85762</v>
      </c>
      <c r="AL459" s="12" t="s">
        <v>338</v>
      </c>
      <c r="AM459" s="12"/>
      <c r="AN459" s="12" t="s">
        <v>32</v>
      </c>
      <c r="AP459" s="7">
        <v>377790</v>
      </c>
      <c r="AR459" s="7">
        <v>374737</v>
      </c>
      <c r="AT459" s="7">
        <v>0</v>
      </c>
      <c r="AV459" s="7">
        <v>62182</v>
      </c>
      <c r="AX459" s="7">
        <v>12650</v>
      </c>
      <c r="AZ459" s="7">
        <v>0</v>
      </c>
      <c r="BB459" s="7">
        <f t="shared" si="131"/>
        <v>13834765</v>
      </c>
      <c r="BD459" s="7">
        <v>49550</v>
      </c>
      <c r="BF459" s="7">
        <v>0</v>
      </c>
      <c r="BH459" s="7">
        <v>0</v>
      </c>
      <c r="BJ459" s="7">
        <v>0</v>
      </c>
      <c r="BL459" s="7">
        <f t="shared" si="130"/>
        <v>13884315</v>
      </c>
      <c r="BN459" s="7">
        <f>+GenRev!AM459-GenExp!BL459</f>
        <v>1342070</v>
      </c>
      <c r="BP459" s="7">
        <v>2478680</v>
      </c>
      <c r="BR459" s="7">
        <v>0</v>
      </c>
      <c r="BT459" s="7">
        <v>0</v>
      </c>
      <c r="BV459" s="7">
        <f t="shared" si="129"/>
        <v>3820750</v>
      </c>
      <c r="BX459" s="8">
        <f>+BV459-'Gen Fd BS'!AE459+BT459</f>
        <v>0</v>
      </c>
      <c r="CA459" s="7" t="s">
        <v>967</v>
      </c>
      <c r="CB459" s="7" t="str">
        <f t="shared" si="115"/>
        <v>Reading Community City SD</v>
      </c>
      <c r="CC459" s="7" t="b">
        <f t="shared" si="104"/>
        <v>1</v>
      </c>
      <c r="CE459" s="12" t="str">
        <f>GenRev!A459</f>
        <v>Reading Community City SD</v>
      </c>
      <c r="CF459" s="7" t="b">
        <f t="shared" si="116"/>
        <v>1</v>
      </c>
      <c r="CG459" s="7" t="str">
        <f t="shared" si="105"/>
        <v>Hamilton</v>
      </c>
      <c r="CH459" s="7" t="b">
        <f t="shared" si="106"/>
        <v>1</v>
      </c>
      <c r="CI459" s="7" t="b">
        <f>C459=GenRev!C459</f>
        <v>1</v>
      </c>
    </row>
    <row r="460" spans="1:87" ht="12" customHeight="1">
      <c r="A460" s="12" t="s">
        <v>529</v>
      </c>
      <c r="B460" s="12"/>
      <c r="C460" s="12" t="s">
        <v>63</v>
      </c>
      <c r="D460" s="12"/>
      <c r="E460" s="12">
        <v>50054</v>
      </c>
      <c r="G460" s="7">
        <v>14305308</v>
      </c>
      <c r="I460" s="7">
        <v>1013175</v>
      </c>
      <c r="K460" s="7">
        <v>409972</v>
      </c>
      <c r="M460" s="7">
        <v>0</v>
      </c>
      <c r="O460" s="7">
        <f>1689081+617092</f>
        <v>2306173</v>
      </c>
      <c r="Q460" s="7">
        <v>1311615</v>
      </c>
      <c r="S460" s="7">
        <v>890471</v>
      </c>
      <c r="U460" s="7">
        <v>189462</v>
      </c>
      <c r="W460" s="7">
        <v>2145443</v>
      </c>
      <c r="Y460" s="7">
        <v>1130288</v>
      </c>
      <c r="AA460" s="7">
        <v>57277</v>
      </c>
      <c r="AC460" s="7">
        <v>3000130</v>
      </c>
      <c r="AE460" s="7">
        <v>2236826</v>
      </c>
      <c r="AG460" s="7">
        <v>260872</v>
      </c>
      <c r="AI460" s="7">
        <v>0</v>
      </c>
      <c r="AK460" s="7">
        <v>0</v>
      </c>
      <c r="AL460" s="12" t="s">
        <v>529</v>
      </c>
      <c r="AM460" s="12"/>
      <c r="AN460" s="12" t="s">
        <v>63</v>
      </c>
      <c r="AP460" s="7">
        <v>791323</v>
      </c>
      <c r="AR460" s="7">
        <v>4080</v>
      </c>
      <c r="AT460" s="7">
        <v>0</v>
      </c>
      <c r="AV460" s="7">
        <v>7621</v>
      </c>
      <c r="AX460" s="7">
        <v>154</v>
      </c>
      <c r="AZ460" s="7">
        <v>0</v>
      </c>
      <c r="BB460" s="7">
        <f t="shared" si="131"/>
        <v>30060190</v>
      </c>
      <c r="BD460" s="7">
        <v>75000</v>
      </c>
      <c r="BF460" s="7">
        <v>0</v>
      </c>
      <c r="BH460" s="7">
        <v>0</v>
      </c>
      <c r="BJ460" s="7">
        <v>0</v>
      </c>
      <c r="BL460" s="7">
        <f t="shared" si="130"/>
        <v>30135190</v>
      </c>
      <c r="BN460" s="7">
        <f>+GenRev!AM460-GenExp!BL460</f>
        <v>702985</v>
      </c>
      <c r="BP460" s="7">
        <v>12546837</v>
      </c>
      <c r="BR460" s="7">
        <v>0</v>
      </c>
      <c r="BT460" s="7">
        <v>0</v>
      </c>
      <c r="BV460" s="7">
        <f t="shared" si="129"/>
        <v>13249822</v>
      </c>
      <c r="BX460" s="8">
        <f>+BV460-'Gen Fd BS'!AE460+BT460</f>
        <v>0</v>
      </c>
      <c r="CB460" s="7" t="str">
        <f t="shared" si="115"/>
        <v>Revere Local SD</v>
      </c>
      <c r="CC460" s="7" t="b">
        <f t="shared" si="104"/>
        <v>1</v>
      </c>
      <c r="CE460" s="12" t="str">
        <f>GenRev!A460</f>
        <v>Revere Local SD</v>
      </c>
      <c r="CF460" s="7" t="b">
        <f t="shared" si="116"/>
        <v>1</v>
      </c>
      <c r="CG460" s="7" t="str">
        <f t="shared" si="105"/>
        <v>Summit</v>
      </c>
      <c r="CH460" s="7" t="b">
        <f t="shared" si="106"/>
        <v>1</v>
      </c>
      <c r="CI460" s="7" t="b">
        <f>C460=GenRev!C460</f>
        <v>1</v>
      </c>
    </row>
    <row r="461" spans="1:87" ht="12" hidden="1" customHeight="1">
      <c r="A461" s="12" t="s">
        <v>968</v>
      </c>
      <c r="B461" s="12"/>
      <c r="C461" s="12" t="s">
        <v>27</v>
      </c>
      <c r="D461" s="12"/>
      <c r="E461" s="12">
        <v>47001</v>
      </c>
      <c r="M461" s="7">
        <v>0</v>
      </c>
      <c r="AI461" s="7">
        <v>0</v>
      </c>
      <c r="AK461" s="7">
        <v>0</v>
      </c>
      <c r="AL461" s="12" t="s">
        <v>968</v>
      </c>
      <c r="AM461" s="12"/>
      <c r="AN461" s="12" t="s">
        <v>27</v>
      </c>
      <c r="AT461" s="7">
        <v>0</v>
      </c>
      <c r="AZ461" s="7">
        <v>0</v>
      </c>
      <c r="BB461" s="7">
        <f t="shared" si="131"/>
        <v>0</v>
      </c>
      <c r="BF461" s="7">
        <v>0</v>
      </c>
      <c r="BH461" s="7">
        <v>0</v>
      </c>
      <c r="BJ461" s="7">
        <v>0</v>
      </c>
      <c r="BL461" s="7">
        <f t="shared" si="130"/>
        <v>0</v>
      </c>
      <c r="BN461" s="7">
        <f>+GenRev!AM461-GenExp!BL461</f>
        <v>0</v>
      </c>
      <c r="BR461" s="7">
        <v>0</v>
      </c>
      <c r="BT461" s="7">
        <v>0</v>
      </c>
      <c r="BV461" s="7">
        <f t="shared" si="129"/>
        <v>0</v>
      </c>
      <c r="BX461" s="8">
        <f>+BV461-'Gen Fd BS'!AE461+BT461</f>
        <v>0</v>
      </c>
      <c r="CA461" s="7" t="s">
        <v>903</v>
      </c>
      <c r="CB461" s="7" t="str">
        <f t="shared" si="115"/>
        <v>Reynoldsburg City SD (CASH)</v>
      </c>
      <c r="CC461" s="7" t="b">
        <f t="shared" si="104"/>
        <v>1</v>
      </c>
      <c r="CE461" s="12" t="str">
        <f>GenRev!A461</f>
        <v>Reynoldsburg City SD (CASH)</v>
      </c>
      <c r="CF461" s="7" t="b">
        <f t="shared" si="116"/>
        <v>1</v>
      </c>
      <c r="CG461" s="7" t="str">
        <f t="shared" si="105"/>
        <v>Franklin</v>
      </c>
      <c r="CH461" s="7" t="b">
        <f t="shared" si="106"/>
        <v>1</v>
      </c>
      <c r="CI461" s="7" t="b">
        <f>C461=GenRev!C461</f>
        <v>1</v>
      </c>
    </row>
    <row r="462" spans="1:87" ht="12" customHeight="1">
      <c r="A462" s="12" t="s">
        <v>282</v>
      </c>
      <c r="B462" s="12"/>
      <c r="C462" s="12" t="s">
        <v>20</v>
      </c>
      <c r="D462" s="12"/>
      <c r="E462" s="12">
        <v>46599</v>
      </c>
      <c r="F462" s="10"/>
      <c r="G462" s="7">
        <v>5180521</v>
      </c>
      <c r="I462" s="7">
        <v>2108112</v>
      </c>
      <c r="K462" s="7">
        <v>212193</v>
      </c>
      <c r="M462" s="7">
        <v>0</v>
      </c>
      <c r="O462" s="7">
        <v>0</v>
      </c>
      <c r="Q462" s="7">
        <v>695158</v>
      </c>
      <c r="S462" s="7">
        <v>147181</v>
      </c>
      <c r="U462" s="7">
        <v>295272</v>
      </c>
      <c r="W462" s="7">
        <v>1093760</v>
      </c>
      <c r="Y462" s="7">
        <v>639009</v>
      </c>
      <c r="AA462" s="7">
        <v>12897</v>
      </c>
      <c r="AC462" s="7">
        <v>999696</v>
      </c>
      <c r="AE462" s="7">
        <v>914907</v>
      </c>
      <c r="AG462" s="7">
        <v>174892</v>
      </c>
      <c r="AI462" s="7">
        <v>0</v>
      </c>
      <c r="AK462" s="7">
        <v>0</v>
      </c>
      <c r="AL462" s="12" t="s">
        <v>282</v>
      </c>
      <c r="AM462" s="12"/>
      <c r="AN462" s="12" t="s">
        <v>20</v>
      </c>
      <c r="AP462" s="7">
        <v>219568</v>
      </c>
      <c r="AR462" s="7">
        <v>0</v>
      </c>
      <c r="AT462" s="7">
        <v>0</v>
      </c>
      <c r="AV462" s="7">
        <v>16605</v>
      </c>
      <c r="AX462" s="7">
        <v>2152</v>
      </c>
      <c r="AZ462" s="7">
        <v>0</v>
      </c>
      <c r="BB462" s="7">
        <f t="shared" si="131"/>
        <v>12711923</v>
      </c>
      <c r="BD462" s="7">
        <v>150531</v>
      </c>
      <c r="BF462" s="7">
        <v>0</v>
      </c>
      <c r="BH462" s="7">
        <v>0</v>
      </c>
      <c r="BJ462" s="7">
        <v>0</v>
      </c>
      <c r="BL462" s="7">
        <f t="shared" si="130"/>
        <v>12862454</v>
      </c>
      <c r="BN462" s="7">
        <f>+GenRev!AM462-GenExp!BL462</f>
        <v>1118999</v>
      </c>
      <c r="BP462" s="7">
        <v>538141</v>
      </c>
      <c r="BR462" s="7">
        <v>0</v>
      </c>
      <c r="BT462" s="7">
        <v>0</v>
      </c>
      <c r="BV462" s="7">
        <f t="shared" si="129"/>
        <v>1657140</v>
      </c>
      <c r="BX462" s="8">
        <f>+BV462-'Gen Fd BS'!AE462+BT462</f>
        <v>0</v>
      </c>
      <c r="CB462" s="7" t="str">
        <f t="shared" si="115"/>
        <v>Richmond Heights Local SD</v>
      </c>
      <c r="CC462" s="7" t="b">
        <f t="shared" si="104"/>
        <v>1</v>
      </c>
      <c r="CE462" s="12" t="str">
        <f>GenRev!A462</f>
        <v>Richmond Heights Local SD</v>
      </c>
      <c r="CF462" s="7" t="b">
        <f t="shared" si="116"/>
        <v>1</v>
      </c>
      <c r="CG462" s="7" t="str">
        <f t="shared" si="105"/>
        <v>Cuyahoga</v>
      </c>
      <c r="CH462" s="7" t="b">
        <f t="shared" si="106"/>
        <v>1</v>
      </c>
      <c r="CI462" s="7" t="b">
        <f>C462=GenRev!C462</f>
        <v>1</v>
      </c>
    </row>
    <row r="463" spans="1:87" ht="12" customHeight="1">
      <c r="A463" s="12" t="s">
        <v>425</v>
      </c>
      <c r="B463" s="12"/>
      <c r="C463" s="12" t="s">
        <v>46</v>
      </c>
      <c r="D463" s="12"/>
      <c r="E463" s="12">
        <v>48439</v>
      </c>
      <c r="G463" s="7">
        <v>3220651</v>
      </c>
      <c r="I463" s="7">
        <v>376687</v>
      </c>
      <c r="K463" s="7">
        <v>150243</v>
      </c>
      <c r="M463" s="7">
        <v>0</v>
      </c>
      <c r="O463" s="7">
        <v>1030645</v>
      </c>
      <c r="Q463" s="7">
        <v>174679</v>
      </c>
      <c r="S463" s="7">
        <v>240770</v>
      </c>
      <c r="U463" s="7">
        <v>45943</v>
      </c>
      <c r="W463" s="7">
        <v>685924</v>
      </c>
      <c r="Y463" s="7">
        <v>234362</v>
      </c>
      <c r="AA463" s="7">
        <v>0</v>
      </c>
      <c r="AC463" s="7">
        <v>622694</v>
      </c>
      <c r="AE463" s="7">
        <v>425011</v>
      </c>
      <c r="AG463" s="7">
        <v>24825</v>
      </c>
      <c r="AI463" s="7">
        <v>0</v>
      </c>
      <c r="AK463" s="7">
        <v>0</v>
      </c>
      <c r="AL463" s="12" t="s">
        <v>425</v>
      </c>
      <c r="AM463" s="12"/>
      <c r="AN463" s="12" t="s">
        <v>46</v>
      </c>
      <c r="AP463" s="7">
        <v>149436</v>
      </c>
      <c r="AR463" s="7">
        <v>0</v>
      </c>
      <c r="AT463" s="7">
        <v>0</v>
      </c>
      <c r="AV463" s="7">
        <v>73470</v>
      </c>
      <c r="AX463" s="7">
        <v>13613</v>
      </c>
      <c r="AZ463" s="7">
        <v>0</v>
      </c>
      <c r="BB463" s="7">
        <f t="shared" si="131"/>
        <v>7468953</v>
      </c>
      <c r="BD463" s="7">
        <v>0</v>
      </c>
      <c r="BF463" s="7">
        <v>0</v>
      </c>
      <c r="BH463" s="7">
        <v>0</v>
      </c>
      <c r="BJ463" s="7">
        <v>0</v>
      </c>
      <c r="BL463" s="7">
        <f t="shared" si="130"/>
        <v>7468953</v>
      </c>
      <c r="BN463" s="7">
        <f>+GenRev!AM463-GenExp!BL463</f>
        <v>375263</v>
      </c>
      <c r="BP463" s="7">
        <v>2288660</v>
      </c>
      <c r="BR463" s="7">
        <v>0</v>
      </c>
      <c r="BT463" s="7">
        <v>0</v>
      </c>
      <c r="BV463" s="7">
        <f t="shared" si="129"/>
        <v>2663923</v>
      </c>
      <c r="BX463" s="8">
        <f>+BV463-'Gen Fd BS'!AE463+BT463</f>
        <v>0</v>
      </c>
      <c r="CB463" s="7" t="str">
        <f t="shared" si="115"/>
        <v>Ridgedale Local SD</v>
      </c>
      <c r="CC463" s="7" t="b">
        <f t="shared" si="104"/>
        <v>1</v>
      </c>
      <c r="CE463" s="12" t="str">
        <f>GenRev!A463</f>
        <v>Ridgedale Local SD</v>
      </c>
      <c r="CF463" s="7" t="b">
        <f t="shared" si="116"/>
        <v>1</v>
      </c>
      <c r="CG463" s="7" t="str">
        <f t="shared" si="105"/>
        <v>Marion</v>
      </c>
      <c r="CH463" s="7" t="b">
        <f t="shared" si="106"/>
        <v>1</v>
      </c>
      <c r="CI463" s="7" t="b">
        <f>C463=GenRev!C463</f>
        <v>1</v>
      </c>
    </row>
    <row r="464" spans="1:87" ht="12" customHeight="1">
      <c r="A464" s="12" t="s">
        <v>752</v>
      </c>
      <c r="B464" s="12"/>
      <c r="C464" s="12" t="s">
        <v>348</v>
      </c>
      <c r="D464" s="12"/>
      <c r="E464" s="12">
        <v>47506</v>
      </c>
      <c r="G464" s="7">
        <v>2275474</v>
      </c>
      <c r="I464" s="7">
        <v>154401</v>
      </c>
      <c r="K464" s="7">
        <v>164050</v>
      </c>
      <c r="M464" s="7">
        <v>0</v>
      </c>
      <c r="O464" s="7">
        <v>17326</v>
      </c>
      <c r="Q464" s="7">
        <v>70135</v>
      </c>
      <c r="S464" s="7">
        <v>166118</v>
      </c>
      <c r="U464" s="7">
        <v>27679</v>
      </c>
      <c r="W464" s="7">
        <v>646708</v>
      </c>
      <c r="Y464" s="7">
        <v>223764</v>
      </c>
      <c r="AA464" s="7">
        <v>0</v>
      </c>
      <c r="AC464" s="7">
        <v>458104</v>
      </c>
      <c r="AE464" s="7">
        <v>309770</v>
      </c>
      <c r="AG464" s="7">
        <v>2261</v>
      </c>
      <c r="AI464" s="7">
        <v>0</v>
      </c>
      <c r="AK464" s="7">
        <v>4234</v>
      </c>
      <c r="AL464" s="12" t="s">
        <v>752</v>
      </c>
      <c r="AM464" s="12"/>
      <c r="AN464" s="12" t="s">
        <v>348</v>
      </c>
      <c r="AP464" s="7">
        <v>119958</v>
      </c>
      <c r="AR464" s="7">
        <v>0</v>
      </c>
      <c r="AT464" s="7">
        <v>0</v>
      </c>
      <c r="AV464" s="7">
        <v>0</v>
      </c>
      <c r="AX464" s="7">
        <v>0</v>
      </c>
      <c r="AZ464" s="7">
        <v>0</v>
      </c>
      <c r="BB464" s="7">
        <f t="shared" si="131"/>
        <v>4639982</v>
      </c>
      <c r="BD464" s="7">
        <v>32500</v>
      </c>
      <c r="BF464" s="7">
        <v>0</v>
      </c>
      <c r="BH464" s="7">
        <v>0</v>
      </c>
      <c r="BJ464" s="7">
        <v>0</v>
      </c>
      <c r="BL464" s="7">
        <f t="shared" si="130"/>
        <v>4672482</v>
      </c>
      <c r="BN464" s="7">
        <f>+GenRev!AM464-GenExp!BL464</f>
        <v>103415</v>
      </c>
      <c r="BP464" s="7">
        <v>726763</v>
      </c>
      <c r="BR464" s="7">
        <v>0</v>
      </c>
      <c r="BT464" s="7">
        <v>0</v>
      </c>
      <c r="BV464" s="7">
        <f t="shared" si="129"/>
        <v>830178</v>
      </c>
      <c r="BX464" s="8">
        <f>+BV464-'Gen Fd BS'!AE464+BT464</f>
        <v>0</v>
      </c>
      <c r="CB464" s="7" t="str">
        <f t="shared" si="115"/>
        <v xml:space="preserve">Ridgemont Local SD </v>
      </c>
      <c r="CC464" s="7" t="b">
        <f t="shared" ref="CC464:CC527" si="139">A464=AL464</f>
        <v>1</v>
      </c>
      <c r="CE464" s="12" t="str">
        <f>GenRev!A464</f>
        <v xml:space="preserve">Ridgemont Local SD </v>
      </c>
      <c r="CF464" s="7" t="b">
        <f t="shared" si="116"/>
        <v>1</v>
      </c>
      <c r="CG464" s="7" t="str">
        <f t="shared" ref="CG464:CG527" si="140">C464</f>
        <v>Hardin</v>
      </c>
      <c r="CH464" s="7" t="b">
        <f t="shared" ref="CH464:CH527" si="141">C464=AN464</f>
        <v>1</v>
      </c>
      <c r="CI464" s="7" t="b">
        <f>C464=GenRev!C464</f>
        <v>1</v>
      </c>
    </row>
    <row r="465" spans="1:87" ht="12" customHeight="1">
      <c r="A465" s="12" t="s">
        <v>260</v>
      </c>
      <c r="B465" s="12"/>
      <c r="C465" s="12" t="s">
        <v>19</v>
      </c>
      <c r="D465" s="12"/>
      <c r="E465" s="12">
        <v>46474</v>
      </c>
      <c r="G465" s="7">
        <v>5643634</v>
      </c>
      <c r="I465" s="7">
        <v>570615</v>
      </c>
      <c r="K465" s="7">
        <v>255654</v>
      </c>
      <c r="M465" s="7">
        <v>0</v>
      </c>
      <c r="O465" s="7">
        <v>65570</v>
      </c>
      <c r="Q465" s="7">
        <v>546552</v>
      </c>
      <c r="S465" s="7">
        <v>470731</v>
      </c>
      <c r="U465" s="7">
        <v>55660</v>
      </c>
      <c r="W465" s="7">
        <v>359155</v>
      </c>
      <c r="Y465" s="7">
        <v>334661</v>
      </c>
      <c r="AA465" s="7">
        <v>13477</v>
      </c>
      <c r="AC465" s="7">
        <v>1275535</v>
      </c>
      <c r="AE465" s="7">
        <v>945562</v>
      </c>
      <c r="AG465" s="7">
        <v>3178</v>
      </c>
      <c r="AI465" s="7">
        <v>0</v>
      </c>
      <c r="AK465" s="7">
        <v>0</v>
      </c>
      <c r="AL465" s="12" t="s">
        <v>260</v>
      </c>
      <c r="AM465" s="12"/>
      <c r="AN465" s="12" t="s">
        <v>19</v>
      </c>
      <c r="AP465" s="7">
        <v>321978</v>
      </c>
      <c r="AR465" s="7">
        <v>0</v>
      </c>
      <c r="AT465" s="7">
        <v>0</v>
      </c>
      <c r="AV465" s="7">
        <v>19107</v>
      </c>
      <c r="AX465" s="7">
        <v>10679</v>
      </c>
      <c r="AZ465" s="7">
        <v>0</v>
      </c>
      <c r="BB465" s="7">
        <f t="shared" si="131"/>
        <v>10891748</v>
      </c>
      <c r="BD465" s="7">
        <v>13552</v>
      </c>
      <c r="BF465" s="7">
        <v>0</v>
      </c>
      <c r="BH465" s="7">
        <v>0</v>
      </c>
      <c r="BJ465" s="7">
        <v>0</v>
      </c>
      <c r="BL465" s="7">
        <f t="shared" si="130"/>
        <v>10905300</v>
      </c>
      <c r="BN465" s="7">
        <f>+GenRev!AM465-GenExp!BL465</f>
        <v>-628387</v>
      </c>
      <c r="BP465" s="7">
        <v>2688823</v>
      </c>
      <c r="BR465" s="7">
        <v>0</v>
      </c>
      <c r="BT465" s="7">
        <v>0</v>
      </c>
      <c r="BV465" s="7">
        <f t="shared" si="129"/>
        <v>2060436</v>
      </c>
      <c r="BX465" s="8">
        <f>+BV465-'Gen Fd BS'!AE465+BT465</f>
        <v>0</v>
      </c>
      <c r="CB465" s="7" t="str">
        <f t="shared" si="115"/>
        <v>Ridgewood Local SD</v>
      </c>
      <c r="CC465" s="7" t="b">
        <f t="shared" si="139"/>
        <v>1</v>
      </c>
      <c r="CE465" s="12" t="str">
        <f>GenRev!A465</f>
        <v>Ridgewood Local SD</v>
      </c>
      <c r="CF465" s="7" t="b">
        <f t="shared" si="116"/>
        <v>1</v>
      </c>
      <c r="CG465" s="7" t="str">
        <f t="shared" si="140"/>
        <v>Coshocton</v>
      </c>
      <c r="CH465" s="7" t="b">
        <f t="shared" si="141"/>
        <v>1</v>
      </c>
      <c r="CI465" s="7" t="b">
        <f>C465=GenRev!C465</f>
        <v>1</v>
      </c>
    </row>
    <row r="466" spans="1:87" ht="12" hidden="1" customHeight="1">
      <c r="A466" s="12" t="s">
        <v>969</v>
      </c>
      <c r="B466" s="12"/>
      <c r="C466" s="12" t="s">
        <v>77</v>
      </c>
      <c r="D466" s="12"/>
      <c r="E466" s="12">
        <v>46078</v>
      </c>
      <c r="M466" s="7">
        <v>0</v>
      </c>
      <c r="AI466" s="7">
        <v>0</v>
      </c>
      <c r="AK466" s="7">
        <v>0</v>
      </c>
      <c r="AL466" s="12" t="s">
        <v>969</v>
      </c>
      <c r="AM466" s="12"/>
      <c r="AN466" s="12" t="s">
        <v>77</v>
      </c>
      <c r="AR466" s="7">
        <v>0</v>
      </c>
      <c r="AT466" s="7">
        <v>0</v>
      </c>
      <c r="AZ466" s="7">
        <v>0</v>
      </c>
      <c r="BB466" s="7">
        <f t="shared" si="131"/>
        <v>0</v>
      </c>
      <c r="BF466" s="7">
        <v>0</v>
      </c>
      <c r="BH466" s="7">
        <v>0</v>
      </c>
      <c r="BJ466" s="7">
        <v>0</v>
      </c>
      <c r="BL466" s="7">
        <f t="shared" si="130"/>
        <v>0</v>
      </c>
      <c r="BN466" s="7">
        <f>+GenRev!AM466-GenExp!BL466</f>
        <v>0</v>
      </c>
      <c r="BR466" s="7">
        <v>0</v>
      </c>
      <c r="BT466" s="7">
        <v>0</v>
      </c>
      <c r="BV466" s="7">
        <f t="shared" si="129"/>
        <v>0</v>
      </c>
      <c r="BX466" s="8">
        <f>+BV466-'Gen Fd BS'!AE466+BT466</f>
        <v>0</v>
      </c>
      <c r="CA466" s="7" t="s">
        <v>903</v>
      </c>
      <c r="CB466" s="7" t="str">
        <f t="shared" si="115"/>
        <v>Ripley Union Lewis Huntington Local SD (CASH)</v>
      </c>
      <c r="CC466" s="7" t="b">
        <f t="shared" si="139"/>
        <v>1</v>
      </c>
      <c r="CE466" s="12" t="str">
        <f>GenRev!A466</f>
        <v>Ripley Union Lewis Huntington Local SD (CASH)</v>
      </c>
      <c r="CF466" s="7" t="b">
        <f t="shared" si="116"/>
        <v>1</v>
      </c>
      <c r="CG466" s="7" t="str">
        <f t="shared" si="140"/>
        <v>Brown</v>
      </c>
      <c r="CH466" s="7" t="b">
        <f t="shared" si="141"/>
        <v>1</v>
      </c>
      <c r="CI466" s="7" t="b">
        <f>C466=GenRev!C466</f>
        <v>1</v>
      </c>
    </row>
    <row r="467" spans="1:87" ht="12" hidden="1" customHeight="1">
      <c r="A467" s="12" t="s">
        <v>970</v>
      </c>
      <c r="B467" s="12"/>
      <c r="C467" s="12" t="s">
        <v>71</v>
      </c>
      <c r="D467" s="12"/>
      <c r="E467" s="12">
        <v>45591</v>
      </c>
      <c r="M467" s="7">
        <v>0</v>
      </c>
      <c r="AI467" s="7">
        <v>0</v>
      </c>
      <c r="AK467" s="7">
        <v>0</v>
      </c>
      <c r="AL467" s="12" t="s">
        <v>970</v>
      </c>
      <c r="AM467" s="12"/>
      <c r="AN467" s="12" t="s">
        <v>71</v>
      </c>
      <c r="AR467" s="7">
        <v>0</v>
      </c>
      <c r="AT467" s="7">
        <v>0</v>
      </c>
      <c r="AZ467" s="7">
        <v>0</v>
      </c>
      <c r="BB467" s="7">
        <f t="shared" si="131"/>
        <v>0</v>
      </c>
      <c r="BF467" s="7">
        <v>0</v>
      </c>
      <c r="BH467" s="7">
        <v>0</v>
      </c>
      <c r="BJ467" s="7">
        <v>0</v>
      </c>
      <c r="BL467" s="7">
        <f t="shared" si="130"/>
        <v>0</v>
      </c>
      <c r="BN467" s="7">
        <f>+GenRev!AM467-GenExp!BL467</f>
        <v>0</v>
      </c>
      <c r="BR467" s="7">
        <v>0</v>
      </c>
      <c r="BT467" s="7">
        <v>0</v>
      </c>
      <c r="BV467" s="7">
        <f t="shared" si="129"/>
        <v>0</v>
      </c>
      <c r="BX467" s="8">
        <f>+BV467-'Gen Fd BS'!AE467+BT467</f>
        <v>0</v>
      </c>
      <c r="CA467" s="7" t="s">
        <v>903</v>
      </c>
      <c r="CB467" s="7" t="str">
        <f t="shared" si="115"/>
        <v>Rittman Exempted Village SD (CASH)</v>
      </c>
      <c r="CC467" s="7" t="b">
        <f t="shared" si="139"/>
        <v>1</v>
      </c>
      <c r="CE467" s="12" t="str">
        <f>GenRev!A467</f>
        <v>Rittman Exempted Village SD (CASH)</v>
      </c>
      <c r="CF467" s="7" t="b">
        <f t="shared" si="116"/>
        <v>1</v>
      </c>
      <c r="CG467" s="7" t="str">
        <f t="shared" si="140"/>
        <v>Wayne</v>
      </c>
      <c r="CH467" s="7" t="b">
        <f t="shared" si="141"/>
        <v>1</v>
      </c>
      <c r="CI467" s="7" t="b">
        <f>C467=GenRev!C467</f>
        <v>1</v>
      </c>
    </row>
    <row r="468" spans="1:87" ht="12" customHeight="1">
      <c r="A468" s="12" t="s">
        <v>426</v>
      </c>
      <c r="B468" s="12"/>
      <c r="C468" s="12" t="s">
        <v>46</v>
      </c>
      <c r="D468" s="12"/>
      <c r="E468" s="12">
        <v>48447</v>
      </c>
      <c r="G468" s="7">
        <v>8546042</v>
      </c>
      <c r="I468" s="7">
        <v>943739</v>
      </c>
      <c r="K468" s="7">
        <v>170346</v>
      </c>
      <c r="M468" s="7">
        <v>0</v>
      </c>
      <c r="O468" s="7">
        <v>0</v>
      </c>
      <c r="Q468" s="7">
        <v>386182</v>
      </c>
      <c r="S468" s="7">
        <v>537229</v>
      </c>
      <c r="U468" s="7">
        <v>15172</v>
      </c>
      <c r="W468" s="7">
        <v>1444589</v>
      </c>
      <c r="Y468" s="7">
        <v>409044</v>
      </c>
      <c r="AA468" s="7">
        <v>53453</v>
      </c>
      <c r="AC468" s="7">
        <v>1262185</v>
      </c>
      <c r="AE468" s="7">
        <v>1055889</v>
      </c>
      <c r="AG468" s="7">
        <v>60356</v>
      </c>
      <c r="AI468" s="7">
        <v>0</v>
      </c>
      <c r="AK468" s="7">
        <v>0</v>
      </c>
      <c r="AL468" s="12" t="s">
        <v>426</v>
      </c>
      <c r="AM468" s="12"/>
      <c r="AN468" s="12" t="s">
        <v>46</v>
      </c>
      <c r="AP468" s="7">
        <v>12474</v>
      </c>
      <c r="AR468" s="7">
        <v>0</v>
      </c>
      <c r="AT468" s="7">
        <v>0</v>
      </c>
      <c r="AV468" s="7">
        <v>0</v>
      </c>
      <c r="AX468" s="7">
        <v>0</v>
      </c>
      <c r="AZ468" s="7">
        <v>0</v>
      </c>
      <c r="BB468" s="7">
        <f t="shared" si="131"/>
        <v>14896700</v>
      </c>
      <c r="BD468" s="7">
        <v>84624</v>
      </c>
      <c r="BF468" s="7">
        <v>0</v>
      </c>
      <c r="BH468" s="7">
        <v>0</v>
      </c>
      <c r="BJ468" s="7">
        <v>0</v>
      </c>
      <c r="BL468" s="7">
        <f t="shared" si="130"/>
        <v>14981324</v>
      </c>
      <c r="BN468" s="7">
        <f>+GenRev!AM468-GenExp!BL468</f>
        <v>697924</v>
      </c>
      <c r="BP468" s="7">
        <v>1690022</v>
      </c>
      <c r="BR468" s="7">
        <v>0</v>
      </c>
      <c r="BT468" s="7">
        <v>0</v>
      </c>
      <c r="BV468" s="7">
        <f t="shared" si="129"/>
        <v>2387946</v>
      </c>
      <c r="BX468" s="8">
        <f>+BV468-'Gen Fd BS'!AE468+BT468</f>
        <v>0</v>
      </c>
      <c r="CB468" s="7" t="str">
        <f t="shared" si="115"/>
        <v>River Valley Local SD</v>
      </c>
      <c r="CC468" s="7" t="b">
        <f t="shared" si="139"/>
        <v>1</v>
      </c>
      <c r="CE468" s="12" t="str">
        <f>GenRev!A468</f>
        <v>River Valley Local SD</v>
      </c>
      <c r="CF468" s="7" t="b">
        <f t="shared" si="116"/>
        <v>1</v>
      </c>
      <c r="CG468" s="7" t="str">
        <f t="shared" si="140"/>
        <v>Marion</v>
      </c>
      <c r="CH468" s="7" t="b">
        <f t="shared" si="141"/>
        <v>1</v>
      </c>
      <c r="CI468" s="7" t="b">
        <f>C468=GenRev!C468</f>
        <v>1</v>
      </c>
    </row>
    <row r="469" spans="1:87" ht="12" customHeight="1">
      <c r="A469" s="12" t="s">
        <v>261</v>
      </c>
      <c r="B469" s="12"/>
      <c r="C469" s="12" t="s">
        <v>19</v>
      </c>
      <c r="D469" s="12"/>
      <c r="E469" s="12">
        <v>46482</v>
      </c>
      <c r="F469" s="10"/>
      <c r="G469" s="7">
        <v>9381067</v>
      </c>
      <c r="I469" s="7">
        <v>1970683</v>
      </c>
      <c r="K469" s="7">
        <v>347990</v>
      </c>
      <c r="M469" s="7">
        <v>0</v>
      </c>
      <c r="O469" s="7">
        <v>0</v>
      </c>
      <c r="Q469" s="7">
        <v>634248</v>
      </c>
      <c r="S469" s="7">
        <v>707113</v>
      </c>
      <c r="U469" s="7">
        <v>112907</v>
      </c>
      <c r="W469" s="7">
        <v>1304273</v>
      </c>
      <c r="Y469" s="7">
        <v>597265</v>
      </c>
      <c r="AA469" s="7">
        <v>0</v>
      </c>
      <c r="AC469" s="7">
        <v>1692228</v>
      </c>
      <c r="AE469" s="7">
        <v>1554840</v>
      </c>
      <c r="AG469" s="7">
        <v>289053</v>
      </c>
      <c r="AI469" s="7">
        <v>0</v>
      </c>
      <c r="AK469" s="7">
        <v>0</v>
      </c>
      <c r="AL469" s="12" t="s">
        <v>261</v>
      </c>
      <c r="AM469" s="12"/>
      <c r="AN469" s="12" t="s">
        <v>19</v>
      </c>
      <c r="AP469" s="7">
        <v>352212</v>
      </c>
      <c r="AR469" s="7">
        <v>0</v>
      </c>
      <c r="AT469" s="7">
        <v>0</v>
      </c>
      <c r="AV469" s="7">
        <v>165974</v>
      </c>
      <c r="AX469" s="7">
        <v>69026</v>
      </c>
      <c r="AZ469" s="7">
        <v>0</v>
      </c>
      <c r="BB469" s="7">
        <f t="shared" si="131"/>
        <v>19178879</v>
      </c>
      <c r="BD469" s="7">
        <v>75000</v>
      </c>
      <c r="BF469" s="7">
        <v>0</v>
      </c>
      <c r="BH469" s="7">
        <v>0</v>
      </c>
      <c r="BJ469" s="7">
        <v>0</v>
      </c>
      <c r="BL469" s="7">
        <f t="shared" si="130"/>
        <v>19253879</v>
      </c>
      <c r="BN469" s="7">
        <f>+GenRev!AM469-GenExp!BL469</f>
        <v>-145611</v>
      </c>
      <c r="BP469" s="7">
        <v>3945542</v>
      </c>
      <c r="BR469" s="7">
        <v>0</v>
      </c>
      <c r="BT469" s="7">
        <v>0</v>
      </c>
      <c r="BV469" s="7">
        <f t="shared" si="129"/>
        <v>3799931</v>
      </c>
      <c r="BX469" s="8">
        <f>+BV469-'Gen Fd BS'!AE469+BT469</f>
        <v>0</v>
      </c>
      <c r="CB469" s="7" t="str">
        <f t="shared" ref="CB469:CB531" si="142">A469</f>
        <v>River View Local SD</v>
      </c>
      <c r="CC469" s="7" t="b">
        <f t="shared" si="139"/>
        <v>1</v>
      </c>
      <c r="CE469" s="12" t="str">
        <f>GenRev!A469</f>
        <v>River View Local SD</v>
      </c>
      <c r="CF469" s="7" t="b">
        <f t="shared" ref="CF469:CF531" si="143">CB469=CE469</f>
        <v>1</v>
      </c>
      <c r="CG469" s="7" t="str">
        <f t="shared" si="140"/>
        <v>Coshocton</v>
      </c>
      <c r="CH469" s="7" t="b">
        <f t="shared" si="141"/>
        <v>1</v>
      </c>
      <c r="CI469" s="7" t="b">
        <f>C469=GenRev!C469</f>
        <v>1</v>
      </c>
    </row>
    <row r="470" spans="1:87" hidden="1">
      <c r="A470" s="12" t="s">
        <v>971</v>
      </c>
      <c r="B470" s="12"/>
      <c r="C470" s="12" t="s">
        <v>348</v>
      </c>
      <c r="D470" s="12"/>
      <c r="E470" s="12">
        <v>47514</v>
      </c>
      <c r="M470" s="7">
        <v>0</v>
      </c>
      <c r="AL470" s="12" t="s">
        <v>971</v>
      </c>
      <c r="AM470" s="12"/>
      <c r="AN470" s="12" t="s">
        <v>348</v>
      </c>
      <c r="AR470" s="7">
        <v>0</v>
      </c>
      <c r="AT470" s="7">
        <v>0</v>
      </c>
      <c r="AZ470" s="7">
        <v>0</v>
      </c>
      <c r="BB470" s="7">
        <f t="shared" si="131"/>
        <v>0</v>
      </c>
      <c r="BF470" s="7">
        <v>0</v>
      </c>
      <c r="BH470" s="7">
        <v>0</v>
      </c>
      <c r="BJ470" s="7">
        <v>0</v>
      </c>
      <c r="BL470" s="7">
        <f t="shared" si="130"/>
        <v>0</v>
      </c>
      <c r="BN470" s="7">
        <f>+GenRev!AM470-GenExp!BL470</f>
        <v>0</v>
      </c>
      <c r="BT470" s="7">
        <v>0</v>
      </c>
      <c r="BV470" s="7">
        <f t="shared" si="129"/>
        <v>0</v>
      </c>
      <c r="BX470" s="8">
        <f>+BV470-'Gen Fd BS'!AE470+BT470</f>
        <v>0</v>
      </c>
      <c r="CA470" s="7" t="s">
        <v>912</v>
      </c>
      <c r="CB470" s="7" t="str">
        <f t="shared" si="142"/>
        <v>Riverdale Local SD (CASH)</v>
      </c>
      <c r="CC470" s="7" t="b">
        <f t="shared" si="139"/>
        <v>1</v>
      </c>
      <c r="CE470" s="12" t="str">
        <f>GenRev!A470</f>
        <v>Riverdale Local SD (CASH)</v>
      </c>
      <c r="CF470" s="7" t="b">
        <f t="shared" si="143"/>
        <v>1</v>
      </c>
      <c r="CG470" s="7" t="str">
        <f t="shared" si="140"/>
        <v>Hardin</v>
      </c>
      <c r="CH470" s="7" t="b">
        <f t="shared" si="141"/>
        <v>1</v>
      </c>
      <c r="CI470" s="7" t="b">
        <f>C470=GenRev!C470</f>
        <v>1</v>
      </c>
    </row>
    <row r="471" spans="1:87">
      <c r="A471" s="12" t="s">
        <v>391</v>
      </c>
      <c r="B471" s="12"/>
      <c r="C471" s="12" t="s">
        <v>41</v>
      </c>
      <c r="D471" s="12"/>
      <c r="E471" s="12"/>
      <c r="G471" s="7">
        <v>18262979</v>
      </c>
      <c r="I471" s="7">
        <v>3412799</v>
      </c>
      <c r="K471" s="7">
        <v>0</v>
      </c>
      <c r="M471" s="7">
        <v>0</v>
      </c>
      <c r="O471" s="7">
        <v>596748</v>
      </c>
      <c r="Q471" s="7">
        <v>1708039</v>
      </c>
      <c r="S471" s="7">
        <v>1211940</v>
      </c>
      <c r="U471" s="7">
        <v>20563</v>
      </c>
      <c r="W471" s="7">
        <v>3893877</v>
      </c>
      <c r="Y471" s="7">
        <v>1018701</v>
      </c>
      <c r="AA471" s="7">
        <v>2125</v>
      </c>
      <c r="AC471" s="7">
        <v>4154439</v>
      </c>
      <c r="AE471" s="7">
        <v>4619835</v>
      </c>
      <c r="AG471" s="7">
        <v>17301</v>
      </c>
      <c r="AI471" s="7">
        <v>28800</v>
      </c>
      <c r="AK471" s="7">
        <v>30270</v>
      </c>
      <c r="AL471" s="12" t="s">
        <v>391</v>
      </c>
      <c r="AM471" s="12"/>
      <c r="AN471" s="12" t="s">
        <v>41</v>
      </c>
      <c r="AP471" s="7">
        <v>421005</v>
      </c>
      <c r="AR471" s="7">
        <v>0</v>
      </c>
      <c r="AT471" s="7">
        <v>0</v>
      </c>
      <c r="AV471" s="7">
        <v>0</v>
      </c>
      <c r="AX471" s="7">
        <v>0</v>
      </c>
      <c r="AZ471" s="7">
        <v>0</v>
      </c>
      <c r="BB471" s="7">
        <f t="shared" si="131"/>
        <v>39399421</v>
      </c>
      <c r="BD471" s="7">
        <v>193244</v>
      </c>
      <c r="BF471" s="7">
        <v>0</v>
      </c>
      <c r="BH471" s="7">
        <v>0</v>
      </c>
      <c r="BJ471" s="7">
        <v>0</v>
      </c>
      <c r="BL471" s="7">
        <f t="shared" si="130"/>
        <v>39592665</v>
      </c>
      <c r="BN471" s="7">
        <f>+GenRev!AM471-GenExp!BL471</f>
        <v>-4104574</v>
      </c>
      <c r="BP471" s="7">
        <v>2673334</v>
      </c>
      <c r="BR471" s="7">
        <v>26501</v>
      </c>
      <c r="BT471" s="7">
        <v>0</v>
      </c>
      <c r="BV471" s="7">
        <f t="shared" si="129"/>
        <v>-1457741</v>
      </c>
      <c r="BX471" s="8">
        <f>+BV471-'Gen Fd BS'!AE471+BT471</f>
        <v>0</v>
      </c>
      <c r="CB471" s="7" t="str">
        <f t="shared" si="142"/>
        <v>Riverside Local SD</v>
      </c>
      <c r="CC471" s="7" t="b">
        <f t="shared" si="139"/>
        <v>1</v>
      </c>
      <c r="CE471" s="12" t="str">
        <f>GenRev!A471</f>
        <v>Riverside Local SD</v>
      </c>
      <c r="CF471" s="7" t="b">
        <f t="shared" si="143"/>
        <v>1</v>
      </c>
      <c r="CG471" s="7" t="str">
        <f t="shared" si="140"/>
        <v>Lake</v>
      </c>
      <c r="CH471" s="7" t="b">
        <f t="shared" si="141"/>
        <v>1</v>
      </c>
      <c r="CI471" s="7" t="b">
        <f>C471=GenRev!C471</f>
        <v>1</v>
      </c>
    </row>
    <row r="472" spans="1:87">
      <c r="A472" s="12" t="s">
        <v>391</v>
      </c>
      <c r="B472" s="12"/>
      <c r="C472" s="12" t="s">
        <v>43</v>
      </c>
      <c r="D472" s="12"/>
      <c r="E472" s="12">
        <v>48090</v>
      </c>
      <c r="G472" s="7">
        <v>3392991</v>
      </c>
      <c r="I472" s="7">
        <v>800829</v>
      </c>
      <c r="K472" s="7">
        <v>138550</v>
      </c>
      <c r="M472" s="7">
        <v>0</v>
      </c>
      <c r="O472" s="7">
        <v>0</v>
      </c>
      <c r="Q472" s="7">
        <v>168307</v>
      </c>
      <c r="S472" s="7">
        <v>160773</v>
      </c>
      <c r="U472" s="7">
        <v>14649</v>
      </c>
      <c r="W472" s="7">
        <v>402457</v>
      </c>
      <c r="Y472" s="7">
        <v>243286</v>
      </c>
      <c r="AA472" s="7">
        <v>21655</v>
      </c>
      <c r="AC472" s="7">
        <v>607862</v>
      </c>
      <c r="AE472" s="7">
        <v>393126</v>
      </c>
      <c r="AG472" s="7">
        <v>142729</v>
      </c>
      <c r="AI472" s="7">
        <v>0</v>
      </c>
      <c r="AK472" s="7">
        <v>500</v>
      </c>
      <c r="AL472" s="12" t="s">
        <v>391</v>
      </c>
      <c r="AM472" s="12"/>
      <c r="AN472" s="12" t="s">
        <v>43</v>
      </c>
      <c r="AP472" s="7">
        <v>110614</v>
      </c>
      <c r="AR472" s="7">
        <v>0</v>
      </c>
      <c r="AT472" s="7">
        <v>0</v>
      </c>
      <c r="AV472" s="7">
        <v>0</v>
      </c>
      <c r="AX472" s="7">
        <v>6453</v>
      </c>
      <c r="AZ472" s="7">
        <v>0</v>
      </c>
      <c r="BB472" s="7">
        <f t="shared" si="131"/>
        <v>6604781</v>
      </c>
      <c r="BD472" s="7">
        <v>0</v>
      </c>
      <c r="BF472" s="7">
        <v>0</v>
      </c>
      <c r="BH472" s="7">
        <v>0</v>
      </c>
      <c r="BJ472" s="7">
        <v>0</v>
      </c>
      <c r="BL472" s="7">
        <f t="shared" si="130"/>
        <v>6604781</v>
      </c>
      <c r="BN472" s="7">
        <f>+GenRev!AM472-GenExp!BL472</f>
        <v>686753</v>
      </c>
      <c r="BP472" s="7">
        <v>-256161</v>
      </c>
      <c r="BR472" s="7">
        <v>0</v>
      </c>
      <c r="BT472" s="7">
        <v>0</v>
      </c>
      <c r="BV472" s="7">
        <f t="shared" si="129"/>
        <v>430592</v>
      </c>
      <c r="BX472" s="8">
        <f>+BV472-'Gen Fd BS'!AE472+BT472</f>
        <v>0</v>
      </c>
      <c r="CB472" s="7" t="str">
        <f t="shared" si="142"/>
        <v>Riverside Local SD</v>
      </c>
      <c r="CC472" s="7" t="b">
        <f t="shared" si="139"/>
        <v>1</v>
      </c>
      <c r="CE472" s="12" t="str">
        <f>GenRev!A472</f>
        <v>Riverside Local SD</v>
      </c>
      <c r="CF472" s="7" t="b">
        <f t="shared" si="143"/>
        <v>1</v>
      </c>
      <c r="CG472" s="7" t="str">
        <f t="shared" si="140"/>
        <v>Logan</v>
      </c>
      <c r="CH472" s="7" t="b">
        <f t="shared" si="141"/>
        <v>1</v>
      </c>
      <c r="CI472" s="7" t="b">
        <f>C472=GenRev!C472</f>
        <v>1</v>
      </c>
    </row>
    <row r="473" spans="1:87">
      <c r="A473" s="12" t="s">
        <v>381</v>
      </c>
      <c r="B473" s="12"/>
      <c r="C473" s="12" t="s">
        <v>377</v>
      </c>
      <c r="D473" s="12"/>
      <c r="E473" s="12">
        <v>47944</v>
      </c>
      <c r="G473" s="7">
        <v>8378056</v>
      </c>
      <c r="I473" s="7">
        <v>2102453</v>
      </c>
      <c r="K473" s="7">
        <v>390325</v>
      </c>
      <c r="M473" s="7">
        <v>0</v>
      </c>
      <c r="O473" s="7">
        <v>0</v>
      </c>
      <c r="Q473" s="7">
        <v>510571</v>
      </c>
      <c r="S473" s="7">
        <v>321472</v>
      </c>
      <c r="U473" s="7">
        <v>255997</v>
      </c>
      <c r="W473" s="7">
        <v>1099662</v>
      </c>
      <c r="Y473" s="7">
        <v>346818</v>
      </c>
      <c r="AA473" s="7">
        <v>0</v>
      </c>
      <c r="AC473" s="7">
        <v>1617312</v>
      </c>
      <c r="AE473" s="7">
        <v>1080539</v>
      </c>
      <c r="AG473" s="7">
        <v>95958</v>
      </c>
      <c r="AI473" s="7">
        <v>0</v>
      </c>
      <c r="AK473" s="7">
        <v>0</v>
      </c>
      <c r="AL473" s="12" t="s">
        <v>381</v>
      </c>
      <c r="AM473" s="12"/>
      <c r="AN473" s="12" t="s">
        <v>377</v>
      </c>
      <c r="AP473" s="7">
        <v>235657</v>
      </c>
      <c r="AR473" s="7">
        <v>0</v>
      </c>
      <c r="AT473" s="7">
        <v>0</v>
      </c>
      <c r="AV473" s="7">
        <v>0</v>
      </c>
      <c r="AX473" s="7">
        <v>0</v>
      </c>
      <c r="AZ473" s="7">
        <v>0</v>
      </c>
      <c r="BB473" s="7">
        <f t="shared" si="131"/>
        <v>16434820</v>
      </c>
      <c r="BD473" s="7">
        <v>506000</v>
      </c>
      <c r="BF473" s="7">
        <v>0</v>
      </c>
      <c r="BH473" s="7">
        <v>0</v>
      </c>
      <c r="BJ473" s="7">
        <v>0</v>
      </c>
      <c r="BL473" s="7">
        <f t="shared" si="130"/>
        <v>16940820</v>
      </c>
      <c r="BN473" s="7">
        <f>+GenRev!AM473-GenExp!BL473</f>
        <v>-82896</v>
      </c>
      <c r="BP473" s="7">
        <v>263641</v>
      </c>
      <c r="BR473" s="7">
        <v>0</v>
      </c>
      <c r="BT473" s="7">
        <v>0</v>
      </c>
      <c r="BV473" s="7">
        <f t="shared" si="129"/>
        <v>180745</v>
      </c>
      <c r="BX473" s="8">
        <f>+BV473-'Gen Fd BS'!AE473+BT473</f>
        <v>0</v>
      </c>
      <c r="CB473" s="7" t="str">
        <f t="shared" si="142"/>
        <v>Rock Hill Local SD</v>
      </c>
      <c r="CC473" s="7" t="b">
        <f t="shared" si="139"/>
        <v>1</v>
      </c>
      <c r="CE473" s="12" t="str">
        <f>GenRev!A473</f>
        <v>Rock Hill Local SD</v>
      </c>
      <c r="CF473" s="7" t="b">
        <f t="shared" si="143"/>
        <v>1</v>
      </c>
      <c r="CG473" s="7" t="str">
        <f t="shared" si="140"/>
        <v>Lawrence</v>
      </c>
      <c r="CH473" s="7" t="b">
        <f t="shared" si="141"/>
        <v>1</v>
      </c>
      <c r="CI473" s="7" t="b">
        <f>C473=GenRev!C473</f>
        <v>1</v>
      </c>
    </row>
    <row r="474" spans="1:87" ht="12" customHeight="1">
      <c r="A474" s="12" t="s">
        <v>753</v>
      </c>
      <c r="B474" s="12"/>
      <c r="C474" s="12" t="s">
        <v>20</v>
      </c>
      <c r="D474" s="12"/>
      <c r="E474" s="12">
        <v>44701</v>
      </c>
      <c r="G474" s="7">
        <v>14994097</v>
      </c>
      <c r="I474" s="7">
        <v>3385193</v>
      </c>
      <c r="K474" s="7">
        <v>407817</v>
      </c>
      <c r="M474" s="7">
        <v>0</v>
      </c>
      <c r="O474" s="7">
        <v>28808</v>
      </c>
      <c r="Q474" s="7">
        <v>2085140</v>
      </c>
      <c r="S474" s="7">
        <v>622517</v>
      </c>
      <c r="U474" s="7">
        <v>35503</v>
      </c>
      <c r="W474" s="7">
        <v>1985661</v>
      </c>
      <c r="Y474" s="7">
        <v>711319</v>
      </c>
      <c r="AA474" s="7">
        <v>398799</v>
      </c>
      <c r="AC474" s="7">
        <v>3604207</v>
      </c>
      <c r="AE474" s="7">
        <v>1624216</v>
      </c>
      <c r="AG474" s="7">
        <v>677378</v>
      </c>
      <c r="AI474" s="7">
        <v>0</v>
      </c>
      <c r="AK474" s="7">
        <v>24054</v>
      </c>
      <c r="AL474" s="12" t="s">
        <v>753</v>
      </c>
      <c r="AM474" s="12"/>
      <c r="AN474" s="12" t="s">
        <v>20</v>
      </c>
      <c r="AP474" s="7">
        <v>924936</v>
      </c>
      <c r="AR474" s="7">
        <v>0</v>
      </c>
      <c r="AT474" s="7">
        <v>0</v>
      </c>
      <c r="AV474" s="7">
        <v>86121</v>
      </c>
      <c r="AX474" s="7">
        <v>8665</v>
      </c>
      <c r="AZ474" s="7">
        <v>0</v>
      </c>
      <c r="BB474" s="7">
        <f t="shared" si="131"/>
        <v>31604431</v>
      </c>
      <c r="BD474" s="7">
        <v>30378</v>
      </c>
      <c r="BF474" s="7">
        <v>0</v>
      </c>
      <c r="BH474" s="7">
        <v>0</v>
      </c>
      <c r="BJ474" s="7">
        <v>0</v>
      </c>
      <c r="BL474" s="7">
        <f t="shared" si="130"/>
        <v>31634809</v>
      </c>
      <c r="BN474" s="7">
        <f>+GenRev!AM474-GenExp!BL474</f>
        <v>1015495</v>
      </c>
      <c r="BP474" s="7">
        <v>629587</v>
      </c>
      <c r="BR474" s="7">
        <v>0</v>
      </c>
      <c r="BT474" s="7">
        <v>0</v>
      </c>
      <c r="BV474" s="7">
        <f t="shared" si="129"/>
        <v>1645082</v>
      </c>
      <c r="BX474" s="8">
        <f>+BV474-'Gen Fd BS'!AE474+BT474</f>
        <v>0</v>
      </c>
      <c r="CB474" s="7" t="str">
        <f t="shared" si="142"/>
        <v xml:space="preserve">Rocky River City SD </v>
      </c>
      <c r="CC474" s="7" t="b">
        <f t="shared" si="139"/>
        <v>1</v>
      </c>
      <c r="CE474" s="12" t="str">
        <f>GenRev!A474</f>
        <v xml:space="preserve">Rocky River City SD </v>
      </c>
      <c r="CF474" s="7" t="b">
        <f t="shared" si="143"/>
        <v>1</v>
      </c>
      <c r="CG474" s="7" t="str">
        <f t="shared" si="140"/>
        <v>Cuyahoga</v>
      </c>
      <c r="CH474" s="7" t="b">
        <f t="shared" si="141"/>
        <v>1</v>
      </c>
      <c r="CI474" s="7" t="b">
        <f>C474=GenRev!C474</f>
        <v>1</v>
      </c>
    </row>
    <row r="475" spans="1:87" ht="12" customHeight="1">
      <c r="A475" s="12" t="s">
        <v>329</v>
      </c>
      <c r="B475" s="12"/>
      <c r="C475" s="12" t="s">
        <v>31</v>
      </c>
      <c r="D475" s="12"/>
      <c r="E475" s="12">
        <v>47308</v>
      </c>
      <c r="G475" s="7">
        <v>6828397</v>
      </c>
      <c r="I475" s="7">
        <v>1479270</v>
      </c>
      <c r="K475" s="7">
        <v>357951</v>
      </c>
      <c r="M475" s="7">
        <v>0</v>
      </c>
      <c r="O475" s="7">
        <v>1252480</v>
      </c>
      <c r="Q475" s="7">
        <v>472404</v>
      </c>
      <c r="S475" s="7">
        <v>545628</v>
      </c>
      <c r="U475" s="7">
        <v>22743</v>
      </c>
      <c r="W475" s="7">
        <v>591317</v>
      </c>
      <c r="Y475" s="7">
        <v>706422</v>
      </c>
      <c r="AA475" s="7">
        <v>0</v>
      </c>
      <c r="AC475" s="7">
        <v>1430962</v>
      </c>
      <c r="AE475" s="7">
        <v>782918</v>
      </c>
      <c r="AG475" s="7">
        <v>34202</v>
      </c>
      <c r="AI475" s="7">
        <v>0</v>
      </c>
      <c r="AK475" s="7">
        <v>211</v>
      </c>
      <c r="AL475" s="12" t="s">
        <v>329</v>
      </c>
      <c r="AM475" s="12"/>
      <c r="AN475" s="12" t="s">
        <v>31</v>
      </c>
      <c r="AP475" s="7">
        <v>31008</v>
      </c>
      <c r="AR475" s="7">
        <v>54501</v>
      </c>
      <c r="AT475" s="7">
        <v>0</v>
      </c>
      <c r="AV475" s="7">
        <v>0</v>
      </c>
      <c r="AX475" s="7">
        <v>0</v>
      </c>
      <c r="AZ475" s="7">
        <v>0</v>
      </c>
      <c r="BB475" s="7">
        <f t="shared" si="131"/>
        <v>14590414</v>
      </c>
      <c r="BD475" s="7">
        <v>70000</v>
      </c>
      <c r="BF475" s="7">
        <v>0</v>
      </c>
      <c r="BH475" s="7">
        <v>0</v>
      </c>
      <c r="BJ475" s="7">
        <v>0</v>
      </c>
      <c r="BL475" s="7">
        <f t="shared" si="130"/>
        <v>14660414</v>
      </c>
      <c r="BN475" s="7">
        <f>+GenRev!AM475-GenExp!BL475</f>
        <v>2296098</v>
      </c>
      <c r="BP475" s="7">
        <v>253298</v>
      </c>
      <c r="BR475" s="7">
        <v>0</v>
      </c>
      <c r="BT475" s="7">
        <v>0</v>
      </c>
      <c r="BV475" s="7">
        <f t="shared" si="129"/>
        <v>2549396</v>
      </c>
      <c r="BX475" s="8">
        <f>+BV475-'Gen Fd BS'!AE475+BT475</f>
        <v>0</v>
      </c>
      <c r="CB475" s="7" t="str">
        <f t="shared" si="142"/>
        <v>Rolling Hills Local SD</v>
      </c>
      <c r="CC475" s="7" t="b">
        <f t="shared" si="139"/>
        <v>1</v>
      </c>
      <c r="CE475" s="12" t="str">
        <f>GenRev!A475</f>
        <v>Rolling Hills Local SD</v>
      </c>
      <c r="CF475" s="7" t="b">
        <f t="shared" si="143"/>
        <v>1</v>
      </c>
      <c r="CG475" s="7" t="str">
        <f t="shared" si="140"/>
        <v>Guernsey</v>
      </c>
      <c r="CH475" s="7" t="b">
        <f t="shared" si="141"/>
        <v>1</v>
      </c>
      <c r="CI475" s="7" t="b">
        <f>C475=GenRev!C475</f>
        <v>1</v>
      </c>
    </row>
    <row r="476" spans="1:87" ht="12" customHeight="1">
      <c r="A476" s="12" t="s">
        <v>477</v>
      </c>
      <c r="B476" s="12"/>
      <c r="C476" s="12" t="s">
        <v>56</v>
      </c>
      <c r="D476" s="12"/>
      <c r="E476" s="12">
        <v>49213</v>
      </c>
      <c r="G476" s="7">
        <f>196425+4329102</f>
        <v>4525527</v>
      </c>
      <c r="I476" s="7">
        <v>763840</v>
      </c>
      <c r="K476" s="7">
        <v>0</v>
      </c>
      <c r="M476" s="7">
        <v>0</v>
      </c>
      <c r="O476" s="7">
        <v>613660</v>
      </c>
      <c r="Q476" s="7">
        <v>545912</v>
      </c>
      <c r="S476" s="7">
        <v>352009</v>
      </c>
      <c r="U476" s="7">
        <v>24095</v>
      </c>
      <c r="W476" s="7">
        <v>902423</v>
      </c>
      <c r="Y476" s="7">
        <v>360998</v>
      </c>
      <c r="AA476" s="7">
        <v>10943</v>
      </c>
      <c r="AC476" s="7">
        <v>856628</v>
      </c>
      <c r="AE476" s="7">
        <v>485143</v>
      </c>
      <c r="AG476" s="7">
        <v>0</v>
      </c>
      <c r="AI476" s="7">
        <v>0</v>
      </c>
      <c r="AK476" s="7">
        <v>400</v>
      </c>
      <c r="AL476" s="12" t="s">
        <v>477</v>
      </c>
      <c r="AM476" s="12"/>
      <c r="AN476" s="12" t="s">
        <v>56</v>
      </c>
      <c r="AP476" s="7">
        <v>258198</v>
      </c>
      <c r="AR476" s="7">
        <v>18614</v>
      </c>
      <c r="AT476" s="7">
        <v>0</v>
      </c>
      <c r="AX476" s="7">
        <v>3159</v>
      </c>
      <c r="AZ476" s="7">
        <v>0</v>
      </c>
      <c r="BB476" s="7">
        <f>SUM(G476:AZ476)</f>
        <v>9721549</v>
      </c>
      <c r="BD476" s="7">
        <v>307</v>
      </c>
      <c r="BF476" s="7">
        <v>0</v>
      </c>
      <c r="BH476" s="7">
        <v>0</v>
      </c>
      <c r="BJ476" s="7">
        <v>0</v>
      </c>
      <c r="BL476" s="7">
        <f t="shared" si="130"/>
        <v>9721856</v>
      </c>
      <c r="BN476" s="7">
        <f>+GenRev!AM476-GenExp!BL476</f>
        <v>79530</v>
      </c>
      <c r="BP476" s="7">
        <v>-53783</v>
      </c>
      <c r="BR476" s="7">
        <v>0</v>
      </c>
      <c r="BT476" s="7">
        <v>0</v>
      </c>
      <c r="BV476" s="7">
        <f>+BP476+BN476-BR476</f>
        <v>25747</v>
      </c>
      <c r="BX476" s="103">
        <f>+BV476-'Gen Fd BS'!AE476+BT476</f>
        <v>0</v>
      </c>
      <c r="CA476" s="7" t="s">
        <v>972</v>
      </c>
      <c r="CB476" s="7" t="str">
        <f t="shared" si="142"/>
        <v>Rootstown Local SD</v>
      </c>
      <c r="CC476" s="7" t="b">
        <f t="shared" si="139"/>
        <v>1</v>
      </c>
      <c r="CE476" s="12" t="str">
        <f>GenRev!A476</f>
        <v>Rootstown Local SD</v>
      </c>
      <c r="CF476" s="7" t="b">
        <f t="shared" si="143"/>
        <v>1</v>
      </c>
      <c r="CG476" s="7" t="str">
        <f t="shared" si="140"/>
        <v>Portage</v>
      </c>
      <c r="CH476" s="7" t="b">
        <f t="shared" si="141"/>
        <v>1</v>
      </c>
      <c r="CI476" s="7" t="b">
        <f>C476=GenRev!C476</f>
        <v>1</v>
      </c>
    </row>
    <row r="477" spans="1:87" ht="12" customHeight="1">
      <c r="A477" s="12" t="s">
        <v>754</v>
      </c>
      <c r="B477" s="12"/>
      <c r="C477" s="12" t="s">
        <v>223</v>
      </c>
      <c r="D477" s="12"/>
      <c r="E477" s="12">
        <v>46144</v>
      </c>
      <c r="G477" s="7">
        <v>11199227</v>
      </c>
      <c r="I477" s="7">
        <v>1504125</v>
      </c>
      <c r="K477" s="7">
        <v>0</v>
      </c>
      <c r="M477" s="7">
        <v>0</v>
      </c>
      <c r="O477" s="7">
        <v>774571</v>
      </c>
      <c r="Q477" s="7">
        <v>1054805</v>
      </c>
      <c r="S477" s="7">
        <v>907218</v>
      </c>
      <c r="U477" s="7">
        <v>20266</v>
      </c>
      <c r="W477" s="7">
        <v>1035760</v>
      </c>
      <c r="Y477" s="7">
        <v>715529</v>
      </c>
      <c r="AA477" s="7">
        <v>0</v>
      </c>
      <c r="AC477" s="7">
        <v>1792839</v>
      </c>
      <c r="AE477" s="7">
        <v>1692186</v>
      </c>
      <c r="AG477" s="7">
        <v>0</v>
      </c>
      <c r="AI477" s="7">
        <v>0</v>
      </c>
      <c r="AK477" s="7">
        <v>444927</v>
      </c>
      <c r="AL477" s="12" t="s">
        <v>754</v>
      </c>
      <c r="AM477" s="12"/>
      <c r="AN477" s="12" t="s">
        <v>223</v>
      </c>
      <c r="AP477" s="7">
        <v>0</v>
      </c>
      <c r="AR477" s="7">
        <v>262712</v>
      </c>
      <c r="AT477" s="7">
        <v>0</v>
      </c>
      <c r="AV477" s="7">
        <v>1068803</v>
      </c>
      <c r="AX477" s="7">
        <v>44331</v>
      </c>
      <c r="AZ477" s="7">
        <v>0</v>
      </c>
      <c r="BB477" s="7">
        <f t="shared" si="131"/>
        <v>22517299</v>
      </c>
      <c r="BD477" s="7">
        <v>0</v>
      </c>
      <c r="BF477" s="7">
        <v>0</v>
      </c>
      <c r="BH477" s="7">
        <v>0</v>
      </c>
      <c r="BJ477" s="7">
        <v>0</v>
      </c>
      <c r="BL477" s="7">
        <f t="shared" si="130"/>
        <v>22517299</v>
      </c>
      <c r="BN477" s="7">
        <f>+GenRev!AM477-GenExp!BL477</f>
        <v>462165</v>
      </c>
      <c r="BP477" s="7">
        <v>2561260</v>
      </c>
      <c r="BR477" s="7">
        <v>0</v>
      </c>
      <c r="BT477" s="7">
        <v>0</v>
      </c>
      <c r="BV477" s="7">
        <f t="shared" si="129"/>
        <v>3023425</v>
      </c>
      <c r="BX477" s="8">
        <f>+BV477-'Gen Fd BS'!AE477+BT477</f>
        <v>0</v>
      </c>
      <c r="CA477" s="14"/>
      <c r="CB477" s="7" t="str">
        <f t="shared" si="142"/>
        <v xml:space="preserve">Ross Local SD </v>
      </c>
      <c r="CC477" s="7" t="b">
        <f t="shared" si="139"/>
        <v>1</v>
      </c>
      <c r="CE477" s="12" t="str">
        <f>GenRev!A477</f>
        <v xml:space="preserve">Ross Local SD </v>
      </c>
      <c r="CF477" s="7" t="b">
        <f t="shared" si="143"/>
        <v>1</v>
      </c>
      <c r="CG477" s="7" t="str">
        <f t="shared" si="140"/>
        <v>Butler</v>
      </c>
      <c r="CH477" s="7" t="b">
        <f t="shared" si="141"/>
        <v>1</v>
      </c>
      <c r="CI477" s="7" t="b">
        <f>C477=GenRev!C477</f>
        <v>1</v>
      </c>
    </row>
    <row r="478" spans="1:87" ht="12" customHeight="1">
      <c r="A478" s="12" t="s">
        <v>886</v>
      </c>
      <c r="B478" s="12"/>
      <c r="C478" s="12" t="s">
        <v>72</v>
      </c>
      <c r="D478" s="12"/>
      <c r="E478" s="12">
        <v>45609</v>
      </c>
      <c r="F478" s="10"/>
      <c r="G478" s="7">
        <v>10554571</v>
      </c>
      <c r="I478" s="7">
        <v>1932223</v>
      </c>
      <c r="K478" s="7">
        <v>319103</v>
      </c>
      <c r="M478" s="7">
        <v>26422</v>
      </c>
      <c r="O478" s="7">
        <v>0</v>
      </c>
      <c r="Q478" s="7">
        <v>1708614</v>
      </c>
      <c r="S478" s="7">
        <v>1295800</v>
      </c>
      <c r="U478" s="7">
        <v>64983</v>
      </c>
      <c r="W478" s="7">
        <v>2053095</v>
      </c>
      <c r="Y478" s="7">
        <v>435029</v>
      </c>
      <c r="AA478" s="7">
        <v>110132</v>
      </c>
      <c r="AC478" s="7">
        <v>3520109</v>
      </c>
      <c r="AE478" s="7">
        <v>976709</v>
      </c>
      <c r="AG478" s="7">
        <v>466279</v>
      </c>
      <c r="AI478" s="7">
        <v>0</v>
      </c>
      <c r="AK478" s="7">
        <v>30723</v>
      </c>
      <c r="AL478" s="12" t="s">
        <v>886</v>
      </c>
      <c r="AM478" s="12"/>
      <c r="AN478" s="12" t="s">
        <v>72</v>
      </c>
      <c r="AP478" s="7">
        <v>558624</v>
      </c>
      <c r="AR478" s="7">
        <v>6627</v>
      </c>
      <c r="AT478" s="7">
        <v>0</v>
      </c>
      <c r="AV478" s="7">
        <v>0</v>
      </c>
      <c r="AX478" s="7">
        <v>0</v>
      </c>
      <c r="AZ478" s="7">
        <v>0</v>
      </c>
      <c r="BB478" s="7">
        <f>SUM(G478:AZ478)</f>
        <v>24059043</v>
      </c>
      <c r="BD478" s="7">
        <v>61000</v>
      </c>
      <c r="BF478" s="7">
        <v>0</v>
      </c>
      <c r="BH478" s="7">
        <v>0</v>
      </c>
      <c r="BJ478" s="7">
        <v>0</v>
      </c>
      <c r="BL478" s="7">
        <f>+BB478+BD478+BF478+BJ478</f>
        <v>24120043</v>
      </c>
      <c r="BN478" s="7">
        <f>+GenRev!AM478-GenExp!BL478</f>
        <v>-36590</v>
      </c>
      <c r="BP478" s="7">
        <v>10619169</v>
      </c>
      <c r="BR478" s="7">
        <v>0</v>
      </c>
      <c r="BT478" s="7">
        <v>0</v>
      </c>
      <c r="BV478" s="7">
        <f>+BP478+BN478-BR478</f>
        <v>10582579</v>
      </c>
      <c r="BX478" s="8">
        <f>+BV478-'Gen Fd BS'!AE478+BT478</f>
        <v>0</v>
      </c>
      <c r="CB478" s="7" t="str">
        <f t="shared" si="142"/>
        <v>Rossford Exempted Village SD</v>
      </c>
      <c r="CC478" s="7" t="b">
        <f t="shared" si="139"/>
        <v>1</v>
      </c>
      <c r="CE478" s="12" t="str">
        <f>GenRev!A478</f>
        <v>Rossford Exempted Village SD</v>
      </c>
      <c r="CF478" s="7" t="b">
        <f t="shared" si="143"/>
        <v>1</v>
      </c>
      <c r="CG478" s="7" t="str">
        <f t="shared" si="140"/>
        <v>Wood</v>
      </c>
      <c r="CH478" s="7" t="b">
        <f t="shared" si="141"/>
        <v>1</v>
      </c>
      <c r="CI478" s="7" t="b">
        <f>C478=GenRev!C478</f>
        <v>1</v>
      </c>
    </row>
    <row r="479" spans="1:87">
      <c r="A479" s="12" t="s">
        <v>507</v>
      </c>
      <c r="B479" s="12"/>
      <c r="C479" s="12" t="s">
        <v>61</v>
      </c>
      <c r="D479" s="12"/>
      <c r="E479" s="12">
        <v>49817</v>
      </c>
      <c r="G479" s="7">
        <v>2095760</v>
      </c>
      <c r="I479" s="7">
        <v>368382</v>
      </c>
      <c r="K479" s="7">
        <v>0</v>
      </c>
      <c r="M479" s="7">
        <v>0</v>
      </c>
      <c r="O479" s="7">
        <v>6803</v>
      </c>
      <c r="Q479" s="7">
        <v>91560</v>
      </c>
      <c r="S479" s="7">
        <v>130736</v>
      </c>
      <c r="U479" s="7">
        <v>7723</v>
      </c>
      <c r="W479" s="7">
        <v>370682</v>
      </c>
      <c r="Y479" s="7">
        <v>144320</v>
      </c>
      <c r="AA479" s="7">
        <v>474</v>
      </c>
      <c r="AC479" s="7">
        <v>202441</v>
      </c>
      <c r="AE479" s="7">
        <v>123826</v>
      </c>
      <c r="AG479" s="7">
        <v>107511</v>
      </c>
      <c r="AI479" s="7">
        <v>0</v>
      </c>
      <c r="AK479" s="7">
        <v>4624</v>
      </c>
      <c r="AL479" s="12" t="s">
        <v>507</v>
      </c>
      <c r="AM479" s="12"/>
      <c r="AN479" s="12" t="s">
        <v>61</v>
      </c>
      <c r="AP479" s="7">
        <v>147931</v>
      </c>
      <c r="AR479" s="7">
        <v>0</v>
      </c>
      <c r="AT479" s="7">
        <v>0</v>
      </c>
      <c r="AV479" s="7">
        <v>0</v>
      </c>
      <c r="AX479" s="7">
        <v>0</v>
      </c>
      <c r="AZ479" s="7">
        <v>0</v>
      </c>
      <c r="BB479" s="7">
        <f>SUM(G479:AZ479)</f>
        <v>3802773</v>
      </c>
      <c r="BD479" s="7">
        <v>0</v>
      </c>
      <c r="BF479" s="7">
        <v>0</v>
      </c>
      <c r="BH479" s="7">
        <v>0</v>
      </c>
      <c r="BJ479" s="7">
        <v>0</v>
      </c>
      <c r="BL479" s="7">
        <f>+BB479+BD479+BF479+BJ479</f>
        <v>3802773</v>
      </c>
      <c r="BN479" s="7">
        <f>+GenRev!AM479-GenExp!BL479</f>
        <v>-34885</v>
      </c>
      <c r="BP479" s="7">
        <v>926311</v>
      </c>
      <c r="BR479" s="7">
        <v>0</v>
      </c>
      <c r="BT479" s="7">
        <v>0</v>
      </c>
      <c r="BV479" s="7">
        <f>+BP479+BN479-BR479</f>
        <v>891426</v>
      </c>
      <c r="BX479" s="8">
        <f>+BV479-'Gen Fd BS'!AE479+BT479</f>
        <v>0</v>
      </c>
      <c r="CB479" s="7" t="str">
        <f t="shared" si="142"/>
        <v>Russia Local SD</v>
      </c>
      <c r="CC479" s="7" t="b">
        <f t="shared" si="139"/>
        <v>1</v>
      </c>
      <c r="CE479" s="12" t="str">
        <f>GenRev!A479</f>
        <v>Russia Local SD</v>
      </c>
      <c r="CF479" s="7" t="b">
        <f t="shared" si="143"/>
        <v>1</v>
      </c>
      <c r="CG479" s="7" t="str">
        <f t="shared" si="140"/>
        <v>Shelby</v>
      </c>
      <c r="CH479" s="7" t="b">
        <f t="shared" si="141"/>
        <v>1</v>
      </c>
      <c r="CI479" s="7" t="b">
        <f>C479=GenRev!C479</f>
        <v>1</v>
      </c>
    </row>
    <row r="480" spans="1:87">
      <c r="A480" s="12" t="s">
        <v>632</v>
      </c>
      <c r="B480" s="12"/>
      <c r="C480" s="12" t="s">
        <v>112</v>
      </c>
      <c r="D480" s="12"/>
      <c r="E480" s="12"/>
      <c r="G480" s="7">
        <v>7906099</v>
      </c>
      <c r="I480" s="7">
        <v>1808300</v>
      </c>
      <c r="K480" s="7">
        <v>292730</v>
      </c>
      <c r="M480" s="7">
        <v>596571</v>
      </c>
      <c r="O480" s="7">
        <v>1848472</v>
      </c>
      <c r="Q480" s="7">
        <v>933860</v>
      </c>
      <c r="S480" s="7">
        <v>482054</v>
      </c>
      <c r="U480" s="7">
        <v>39985</v>
      </c>
      <c r="W480" s="7">
        <v>1958019</v>
      </c>
      <c r="Y480" s="7">
        <v>1120652</v>
      </c>
      <c r="AA480" s="7">
        <v>17492</v>
      </c>
      <c r="AC480" s="7">
        <v>1793471</v>
      </c>
      <c r="AE480" s="7">
        <v>706556</v>
      </c>
      <c r="AG480" s="7">
        <v>195222</v>
      </c>
      <c r="AI480" s="7">
        <v>0</v>
      </c>
      <c r="AK480" s="7">
        <v>19827</v>
      </c>
      <c r="AL480" s="12" t="s">
        <v>632</v>
      </c>
      <c r="AM480" s="12"/>
      <c r="AN480" s="12" t="s">
        <v>112</v>
      </c>
      <c r="AP480" s="7">
        <v>405769</v>
      </c>
      <c r="AR480" s="7">
        <v>0</v>
      </c>
      <c r="AT480" s="7">
        <v>0</v>
      </c>
      <c r="AV480" s="7">
        <v>0</v>
      </c>
      <c r="AX480" s="7">
        <v>52751</v>
      </c>
      <c r="AZ480" s="7">
        <v>0</v>
      </c>
      <c r="BB480" s="7">
        <f t="shared" ref="BB480:BB497" si="144">SUM(G480:AZ480)</f>
        <v>20177830</v>
      </c>
      <c r="BD480" s="7">
        <v>0</v>
      </c>
      <c r="BF480" s="7">
        <v>0</v>
      </c>
      <c r="BH480" s="7">
        <v>0</v>
      </c>
      <c r="BJ480" s="7">
        <v>0</v>
      </c>
      <c r="BL480" s="7">
        <f t="shared" ref="BL480:BL529" si="145">+BB480+BD480+BF480+BJ480</f>
        <v>20177830</v>
      </c>
      <c r="BN480" s="7">
        <f>+GenRev!AM480-GenExp!BL480</f>
        <v>-1184504</v>
      </c>
      <c r="BP480" s="7">
        <v>1689349</v>
      </c>
      <c r="BR480" s="7">
        <v>0</v>
      </c>
      <c r="BT480" s="7">
        <v>0</v>
      </c>
      <c r="BV480" s="7">
        <f t="shared" ref="BV480:BV529" si="146">+BP480+BN480-BR480</f>
        <v>504845</v>
      </c>
      <c r="BX480" s="8">
        <f>+BV480-'Gen Fd BS'!AE480+BT480</f>
        <v>0</v>
      </c>
      <c r="CB480" s="7" t="str">
        <f t="shared" si="142"/>
        <v>Salem City SD</v>
      </c>
      <c r="CC480" s="7" t="b">
        <f t="shared" si="139"/>
        <v>1</v>
      </c>
      <c r="CE480" s="12" t="str">
        <f>GenRev!A480</f>
        <v>Salem City SD</v>
      </c>
      <c r="CF480" s="7" t="b">
        <f t="shared" si="143"/>
        <v>1</v>
      </c>
      <c r="CG480" s="7" t="str">
        <f t="shared" si="140"/>
        <v>Columbiana</v>
      </c>
      <c r="CH480" s="7" t="b">
        <f t="shared" si="141"/>
        <v>1</v>
      </c>
      <c r="CI480" s="7" t="b">
        <f>C480=GenRev!C480</f>
        <v>1</v>
      </c>
    </row>
    <row r="481" spans="1:87">
      <c r="A481" s="12" t="s">
        <v>296</v>
      </c>
      <c r="B481" s="12"/>
      <c r="C481" s="12" t="s">
        <v>24</v>
      </c>
      <c r="D481" s="12"/>
      <c r="E481" s="12">
        <v>44743</v>
      </c>
      <c r="G481" s="7">
        <v>18873455</v>
      </c>
      <c r="I481" s="7">
        <v>6552478</v>
      </c>
      <c r="K481" s="7">
        <v>1715156</v>
      </c>
      <c r="M481" s="7">
        <v>1107183</v>
      </c>
      <c r="O481" s="7">
        <v>446123</v>
      </c>
      <c r="Q481" s="7">
        <v>1684741</v>
      </c>
      <c r="S481" s="7">
        <v>1010350</v>
      </c>
      <c r="U481" s="7">
        <v>237888</v>
      </c>
      <c r="W481" s="7">
        <v>2878783</v>
      </c>
      <c r="Y481" s="7">
        <v>781223</v>
      </c>
      <c r="AA481" s="7">
        <v>156735</v>
      </c>
      <c r="AC481" s="7">
        <v>3424548</v>
      </c>
      <c r="AE481" s="7">
        <v>1417174</v>
      </c>
      <c r="AG481" s="7">
        <v>1020170</v>
      </c>
      <c r="AI481" s="7">
        <v>0</v>
      </c>
      <c r="AK481" s="7">
        <v>0</v>
      </c>
      <c r="AL481" s="12" t="s">
        <v>296</v>
      </c>
      <c r="AM481" s="12"/>
      <c r="AN481" s="12" t="s">
        <v>24</v>
      </c>
      <c r="AP481" s="7">
        <v>857293</v>
      </c>
      <c r="AR481" s="7">
        <v>0</v>
      </c>
      <c r="AT481" s="7">
        <v>0</v>
      </c>
      <c r="AV481" s="7">
        <v>192320</v>
      </c>
      <c r="AX481" s="7">
        <v>47986</v>
      </c>
      <c r="AZ481" s="7">
        <v>0</v>
      </c>
      <c r="BB481" s="7">
        <f t="shared" si="144"/>
        <v>42403606</v>
      </c>
      <c r="BD481" s="7">
        <v>1575</v>
      </c>
      <c r="BF481" s="7">
        <v>0</v>
      </c>
      <c r="BH481" s="7">
        <v>0</v>
      </c>
      <c r="BJ481" s="7">
        <v>0</v>
      </c>
      <c r="BL481" s="7">
        <f t="shared" si="145"/>
        <v>42405181</v>
      </c>
      <c r="BN481" s="7">
        <f>+GenRev!AM481-GenExp!BL481</f>
        <v>-1395679</v>
      </c>
      <c r="BP481" s="7">
        <v>1864210</v>
      </c>
      <c r="BR481" s="7">
        <v>0</v>
      </c>
      <c r="BT481" s="7">
        <v>0</v>
      </c>
      <c r="BV481" s="7">
        <f t="shared" si="146"/>
        <v>468531</v>
      </c>
      <c r="BX481" s="8">
        <f>+BV481-'Gen Fd BS'!AE481+BT481</f>
        <v>0</v>
      </c>
      <c r="CB481" s="7" t="str">
        <f t="shared" si="142"/>
        <v>Sandusky City SD</v>
      </c>
      <c r="CC481" s="7" t="b">
        <f t="shared" si="139"/>
        <v>1</v>
      </c>
      <c r="CE481" s="12" t="str">
        <f>GenRev!A481</f>
        <v>Sandusky City SD</v>
      </c>
      <c r="CF481" s="7" t="b">
        <f t="shared" si="143"/>
        <v>1</v>
      </c>
      <c r="CG481" s="7" t="str">
        <f t="shared" si="140"/>
        <v>Erie</v>
      </c>
      <c r="CH481" s="7" t="b">
        <f t="shared" si="141"/>
        <v>1</v>
      </c>
      <c r="CI481" s="7" t="b">
        <f>C481=GenRev!C481</f>
        <v>1</v>
      </c>
    </row>
    <row r="482" spans="1:87">
      <c r="A482" s="12" t="s">
        <v>520</v>
      </c>
      <c r="B482" s="12"/>
      <c r="C482" s="12" t="s">
        <v>62</v>
      </c>
      <c r="D482" s="12"/>
      <c r="E482" s="12">
        <v>49940</v>
      </c>
      <c r="G482" s="7">
        <v>4951467</v>
      </c>
      <c r="I482" s="7">
        <v>1942928</v>
      </c>
      <c r="K482" s="7">
        <v>383743</v>
      </c>
      <c r="M482" s="7">
        <v>0</v>
      </c>
      <c r="O482" s="7">
        <v>542933</v>
      </c>
      <c r="Q482" s="7">
        <v>1073418</v>
      </c>
      <c r="S482" s="7">
        <v>154093</v>
      </c>
      <c r="U482" s="7">
        <v>11893</v>
      </c>
      <c r="W482" s="7">
        <v>975222</v>
      </c>
      <c r="Y482" s="7">
        <v>399101</v>
      </c>
      <c r="AA482" s="7">
        <v>85508</v>
      </c>
      <c r="AC482" s="7">
        <v>853772</v>
      </c>
      <c r="AE482" s="7">
        <v>856510</v>
      </c>
      <c r="AG482" s="7">
        <v>32549</v>
      </c>
      <c r="AI482" s="7">
        <v>0</v>
      </c>
      <c r="AK482" s="7">
        <v>0</v>
      </c>
      <c r="AL482" s="12" t="s">
        <v>520</v>
      </c>
      <c r="AM482" s="12"/>
      <c r="AN482" s="12" t="s">
        <v>62</v>
      </c>
      <c r="AP482" s="7">
        <v>319111</v>
      </c>
      <c r="AR482" s="7">
        <v>0</v>
      </c>
      <c r="AT482" s="7">
        <v>0</v>
      </c>
      <c r="AV482" s="7">
        <v>0</v>
      </c>
      <c r="AX482" s="7">
        <v>0</v>
      </c>
      <c r="AZ482" s="7">
        <v>0</v>
      </c>
      <c r="BB482" s="7">
        <f t="shared" si="144"/>
        <v>12582248</v>
      </c>
      <c r="BD482" s="7">
        <v>0</v>
      </c>
      <c r="BF482" s="7">
        <v>0</v>
      </c>
      <c r="BH482" s="7">
        <v>0</v>
      </c>
      <c r="BJ482" s="7">
        <v>0</v>
      </c>
      <c r="BL482" s="7">
        <f t="shared" si="145"/>
        <v>12582248</v>
      </c>
      <c r="BN482" s="7">
        <f>+GenRev!AM482-GenExp!BL482</f>
        <v>349203</v>
      </c>
      <c r="BP482" s="7">
        <v>815463</v>
      </c>
      <c r="BR482" s="7">
        <v>0</v>
      </c>
      <c r="BT482" s="7">
        <v>0</v>
      </c>
      <c r="BV482" s="7">
        <f t="shared" si="146"/>
        <v>1164666</v>
      </c>
      <c r="BX482" s="8">
        <f>+BV482-'Gen Fd BS'!AE482+BT482</f>
        <v>0</v>
      </c>
      <c r="CB482" s="7" t="str">
        <f t="shared" si="142"/>
        <v>Sandy Valley Local SD</v>
      </c>
      <c r="CC482" s="7" t="b">
        <f t="shared" si="139"/>
        <v>1</v>
      </c>
      <c r="CE482" s="12" t="str">
        <f>GenRev!A482</f>
        <v>Sandy Valley Local SD</v>
      </c>
      <c r="CF482" s="7" t="b">
        <f t="shared" si="143"/>
        <v>1</v>
      </c>
      <c r="CG482" s="7" t="str">
        <f t="shared" si="140"/>
        <v>Stark</v>
      </c>
      <c r="CH482" s="7" t="b">
        <f t="shared" si="141"/>
        <v>1</v>
      </c>
      <c r="CI482" s="7" t="b">
        <f>C482=GenRev!C482</f>
        <v>1</v>
      </c>
    </row>
    <row r="483" spans="1:87">
      <c r="A483" s="12" t="s">
        <v>471</v>
      </c>
      <c r="B483" s="12"/>
      <c r="C483" s="12" t="s">
        <v>55</v>
      </c>
      <c r="D483" s="12"/>
      <c r="E483" s="12">
        <v>49130</v>
      </c>
      <c r="G483" s="7">
        <v>5537805</v>
      </c>
      <c r="I483" s="7">
        <v>1237030</v>
      </c>
      <c r="K483" s="7">
        <v>0</v>
      </c>
      <c r="M483" s="7">
        <v>0</v>
      </c>
      <c r="O483" s="7">
        <v>9746</v>
      </c>
      <c r="Q483" s="7">
        <v>674825</v>
      </c>
      <c r="S483" s="7">
        <v>609590</v>
      </c>
      <c r="U483" s="7">
        <v>20272</v>
      </c>
      <c r="W483" s="7">
        <v>1910707</v>
      </c>
      <c r="Y483" s="7">
        <v>323910</v>
      </c>
      <c r="AA483" s="7">
        <v>0</v>
      </c>
      <c r="AC483" s="7">
        <v>1157706</v>
      </c>
      <c r="AE483" s="7">
        <v>1158519</v>
      </c>
      <c r="AG483" s="7">
        <v>107179</v>
      </c>
      <c r="AI483" s="7">
        <v>0</v>
      </c>
      <c r="AK483" s="7">
        <v>0</v>
      </c>
      <c r="AL483" s="12" t="s">
        <v>471</v>
      </c>
      <c r="AM483" s="12"/>
      <c r="AN483" s="12" t="s">
        <v>55</v>
      </c>
      <c r="AP483" s="7">
        <v>257143</v>
      </c>
      <c r="AR483" s="7">
        <v>350941</v>
      </c>
      <c r="AT483" s="7">
        <v>0</v>
      </c>
      <c r="AV483" s="7">
        <v>60717</v>
      </c>
      <c r="AX483" s="7">
        <v>19651</v>
      </c>
      <c r="AZ483" s="7">
        <v>0</v>
      </c>
      <c r="BB483" s="7">
        <f t="shared" si="144"/>
        <v>13435741</v>
      </c>
      <c r="BD483" s="7">
        <v>3657</v>
      </c>
      <c r="BF483" s="7">
        <v>0</v>
      </c>
      <c r="BH483" s="7">
        <v>0</v>
      </c>
      <c r="BJ483" s="7">
        <v>0</v>
      </c>
      <c r="BL483" s="7">
        <f t="shared" si="145"/>
        <v>13439398</v>
      </c>
      <c r="BN483" s="7">
        <f>+GenRev!AM483-GenExp!BL483</f>
        <v>255899</v>
      </c>
      <c r="BP483" s="7">
        <v>5591787</v>
      </c>
      <c r="BR483" s="7">
        <v>0</v>
      </c>
      <c r="BT483" s="7">
        <v>0</v>
      </c>
      <c r="BV483" s="7">
        <f t="shared" si="146"/>
        <v>5847686</v>
      </c>
      <c r="BX483" s="8">
        <f>+BV483-'Gen Fd BS'!AE483+BT483</f>
        <v>0</v>
      </c>
      <c r="CB483" s="7" t="str">
        <f t="shared" si="142"/>
        <v>Scioto Valley Local SD</v>
      </c>
      <c r="CC483" s="7" t="b">
        <f t="shared" si="139"/>
        <v>1</v>
      </c>
      <c r="CE483" s="12" t="str">
        <f>GenRev!A483</f>
        <v>Scioto Valley Local SD</v>
      </c>
      <c r="CF483" s="7" t="b">
        <f t="shared" si="143"/>
        <v>1</v>
      </c>
      <c r="CG483" s="7" t="str">
        <f t="shared" si="140"/>
        <v>Pike</v>
      </c>
      <c r="CH483" s="7" t="b">
        <f t="shared" si="141"/>
        <v>1</v>
      </c>
      <c r="CI483" s="7" t="b">
        <f>C483=GenRev!C483</f>
        <v>1</v>
      </c>
    </row>
    <row r="484" spans="1:87">
      <c r="A484" s="12" t="s">
        <v>418</v>
      </c>
      <c r="B484" s="12"/>
      <c r="C484" s="12" t="s">
        <v>45</v>
      </c>
      <c r="D484" s="12"/>
      <c r="E484" s="12">
        <v>48355</v>
      </c>
      <c r="G484" s="7">
        <v>2541769</v>
      </c>
      <c r="I484" s="7">
        <v>1440679</v>
      </c>
      <c r="K484" s="7">
        <v>6576</v>
      </c>
      <c r="M484" s="7">
        <v>0</v>
      </c>
      <c r="O484" s="7">
        <v>0</v>
      </c>
      <c r="Q484" s="7">
        <v>167436</v>
      </c>
      <c r="S484" s="7">
        <v>74056</v>
      </c>
      <c r="U484" s="7">
        <v>12509</v>
      </c>
      <c r="W484" s="7">
        <v>738546</v>
      </c>
      <c r="Y484" s="7">
        <v>283915</v>
      </c>
      <c r="AA484" s="7">
        <v>0</v>
      </c>
      <c r="AC484" s="7">
        <v>554677</v>
      </c>
      <c r="AE484" s="7">
        <v>133414</v>
      </c>
      <c r="AG484" s="7">
        <v>837</v>
      </c>
      <c r="AI484" s="7">
        <v>0</v>
      </c>
      <c r="AK484" s="7">
        <v>0</v>
      </c>
      <c r="AL484" s="12" t="s">
        <v>418</v>
      </c>
      <c r="AM484" s="12"/>
      <c r="AN484" s="12" t="s">
        <v>45</v>
      </c>
      <c r="AP484" s="7">
        <v>167172</v>
      </c>
      <c r="AR484" s="7">
        <v>72973</v>
      </c>
      <c r="AT484" s="7">
        <v>0</v>
      </c>
      <c r="AV484" s="7">
        <v>0</v>
      </c>
      <c r="AX484" s="7">
        <v>0</v>
      </c>
      <c r="AZ484" s="7">
        <v>0</v>
      </c>
      <c r="BB484" s="7">
        <f t="shared" si="144"/>
        <v>6194559</v>
      </c>
      <c r="BD484" s="7">
        <v>0</v>
      </c>
      <c r="BF484" s="7">
        <v>0</v>
      </c>
      <c r="BH484" s="7">
        <v>0</v>
      </c>
      <c r="BJ484" s="7">
        <v>0</v>
      </c>
      <c r="BL484" s="7">
        <f>+BB484+BD484+BF484+BJ484</f>
        <v>6194559</v>
      </c>
      <c r="BN484" s="7">
        <f>+GenRev!AM484-GenExp!BL484</f>
        <v>-108736</v>
      </c>
      <c r="BP484" s="7">
        <v>323139</v>
      </c>
      <c r="BR484" s="7">
        <v>0</v>
      </c>
      <c r="BT484" s="7">
        <v>0</v>
      </c>
      <c r="BV484" s="7">
        <f t="shared" si="146"/>
        <v>214403</v>
      </c>
      <c r="BX484" s="8">
        <f>+BV484-'Gen Fd BS'!AE484+BT484</f>
        <v>0</v>
      </c>
      <c r="CB484" s="7" t="str">
        <f t="shared" si="142"/>
        <v>Sebring Local SD</v>
      </c>
      <c r="CC484" s="7" t="b">
        <f t="shared" si="139"/>
        <v>1</v>
      </c>
      <c r="CE484" s="12" t="str">
        <f>GenRev!A484</f>
        <v>Sebring Local SD</v>
      </c>
      <c r="CF484" s="7" t="b">
        <f t="shared" si="143"/>
        <v>1</v>
      </c>
      <c r="CG484" s="7" t="str">
        <f t="shared" si="140"/>
        <v>Mahoning</v>
      </c>
      <c r="CH484" s="7" t="b">
        <f t="shared" si="141"/>
        <v>1</v>
      </c>
      <c r="CI484" s="7" t="b">
        <f>C484=GenRev!C484</f>
        <v>1</v>
      </c>
    </row>
    <row r="485" spans="1:87">
      <c r="A485" s="12" t="s">
        <v>502</v>
      </c>
      <c r="B485" s="12"/>
      <c r="C485" s="12" t="s">
        <v>60</v>
      </c>
      <c r="D485" s="12"/>
      <c r="E485" s="12">
        <v>49684</v>
      </c>
      <c r="G485" s="7">
        <v>3950225</v>
      </c>
      <c r="I485" s="7">
        <v>857140</v>
      </c>
      <c r="K485" s="7">
        <v>217377</v>
      </c>
      <c r="M485" s="7">
        <v>0</v>
      </c>
      <c r="O485" s="7">
        <v>0</v>
      </c>
      <c r="Q485" s="7">
        <v>150770</v>
      </c>
      <c r="S485" s="7">
        <v>359599</v>
      </c>
      <c r="U485" s="7">
        <v>50530</v>
      </c>
      <c r="W485" s="7">
        <v>613925</v>
      </c>
      <c r="Y485" s="7">
        <v>272186</v>
      </c>
      <c r="AA485" s="7">
        <v>22629</v>
      </c>
      <c r="AC485" s="7">
        <v>713196</v>
      </c>
      <c r="AE485" s="7">
        <v>452288</v>
      </c>
      <c r="AG485" s="7">
        <v>0</v>
      </c>
      <c r="AI485" s="7">
        <v>0</v>
      </c>
      <c r="AK485" s="7">
        <v>3490</v>
      </c>
      <c r="AL485" s="12" t="s">
        <v>502</v>
      </c>
      <c r="AM485" s="12"/>
      <c r="AN485" s="12" t="s">
        <v>60</v>
      </c>
      <c r="AP485" s="7">
        <v>210844</v>
      </c>
      <c r="AR485" s="7">
        <v>0</v>
      </c>
      <c r="AT485" s="7">
        <v>0</v>
      </c>
      <c r="AV485" s="7">
        <v>37316</v>
      </c>
      <c r="AX485" s="7">
        <v>16971</v>
      </c>
      <c r="AZ485" s="7">
        <v>0</v>
      </c>
      <c r="BB485" s="7">
        <f t="shared" si="144"/>
        <v>7928486</v>
      </c>
      <c r="BD485" s="7">
        <v>172500</v>
      </c>
      <c r="BF485" s="7">
        <v>0</v>
      </c>
      <c r="BH485" s="7">
        <v>0</v>
      </c>
      <c r="BJ485" s="7">
        <v>0</v>
      </c>
      <c r="BL485" s="7">
        <f t="shared" si="145"/>
        <v>8100986</v>
      </c>
      <c r="BN485" s="7">
        <f>+GenRev!AM485-GenExp!BL485</f>
        <v>-99075</v>
      </c>
      <c r="BP485" s="7">
        <v>2120339</v>
      </c>
      <c r="BR485" s="7">
        <v>0</v>
      </c>
      <c r="BT485" s="7">
        <v>0</v>
      </c>
      <c r="BV485" s="7">
        <f>+BP485+BN485-BR485</f>
        <v>2021264</v>
      </c>
      <c r="BX485" s="8">
        <f>+BV485-'Gen Fd BS'!AE485+BT485</f>
        <v>0</v>
      </c>
      <c r="CB485" s="7" t="str">
        <f t="shared" si="142"/>
        <v>Seneca East Local SD</v>
      </c>
      <c r="CC485" s="7" t="b">
        <f t="shared" si="139"/>
        <v>1</v>
      </c>
      <c r="CE485" s="12" t="str">
        <f>GenRev!A485</f>
        <v>Seneca East Local SD</v>
      </c>
      <c r="CF485" s="7" t="b">
        <f t="shared" si="143"/>
        <v>1</v>
      </c>
      <c r="CG485" s="7" t="str">
        <f t="shared" si="140"/>
        <v>Seneca</v>
      </c>
      <c r="CH485" s="7" t="b">
        <f t="shared" si="141"/>
        <v>1</v>
      </c>
      <c r="CI485" s="7" t="b">
        <f>C485=GenRev!C485</f>
        <v>1</v>
      </c>
    </row>
    <row r="486" spans="1:87">
      <c r="A486" s="12" t="s">
        <v>218</v>
      </c>
      <c r="B486" s="12"/>
      <c r="C486" s="12" t="s">
        <v>15</v>
      </c>
      <c r="D486" s="12"/>
      <c r="E486" s="12">
        <v>46003</v>
      </c>
      <c r="G486" s="7">
        <v>3422751</v>
      </c>
      <c r="I486" s="7">
        <v>419227</v>
      </c>
      <c r="K486" s="7">
        <v>21703</v>
      </c>
      <c r="M486" s="7">
        <v>0</v>
      </c>
      <c r="O486" s="7">
        <v>0</v>
      </c>
      <c r="Q486" s="7">
        <v>211536</v>
      </c>
      <c r="S486" s="7">
        <v>124047</v>
      </c>
      <c r="U486" s="7">
        <v>21087</v>
      </c>
      <c r="W486" s="7">
        <v>670995</v>
      </c>
      <c r="Y486" s="7">
        <v>273707</v>
      </c>
      <c r="AA486" s="7">
        <v>0</v>
      </c>
      <c r="AC486" s="7">
        <v>630194</v>
      </c>
      <c r="AE486" s="7">
        <v>204597</v>
      </c>
      <c r="AG486" s="7">
        <v>0</v>
      </c>
      <c r="AI486" s="7">
        <v>0</v>
      </c>
      <c r="AK486" s="7">
        <v>0</v>
      </c>
      <c r="AL486" s="12" t="s">
        <v>218</v>
      </c>
      <c r="AM486" s="12"/>
      <c r="AN486" s="12" t="s">
        <v>15</v>
      </c>
      <c r="AP486" s="7">
        <v>103249</v>
      </c>
      <c r="AR486" s="7">
        <v>0</v>
      </c>
      <c r="AT486" s="7">
        <v>0</v>
      </c>
      <c r="AV486" s="7">
        <v>0</v>
      </c>
      <c r="AX486" s="7">
        <v>0</v>
      </c>
      <c r="AZ486" s="7">
        <v>0</v>
      </c>
      <c r="BB486" s="7">
        <f t="shared" si="144"/>
        <v>6103093</v>
      </c>
      <c r="BD486" s="7">
        <v>13432</v>
      </c>
      <c r="BF486" s="7">
        <v>0</v>
      </c>
      <c r="BH486" s="7">
        <v>0</v>
      </c>
      <c r="BJ486" s="7">
        <v>0</v>
      </c>
      <c r="BL486" s="7">
        <f t="shared" si="145"/>
        <v>6116525</v>
      </c>
      <c r="BN486" s="7">
        <f>+GenRev!AM486-GenExp!BL486</f>
        <v>-112633</v>
      </c>
      <c r="BP486" s="7">
        <v>1371975</v>
      </c>
      <c r="BR486" s="7">
        <v>0</v>
      </c>
      <c r="BT486" s="7">
        <v>0</v>
      </c>
      <c r="BV486" s="7">
        <f t="shared" si="146"/>
        <v>1259342</v>
      </c>
      <c r="BX486" s="8">
        <f>+BV486-'Gen Fd BS'!AE486+BT486</f>
        <v>0</v>
      </c>
      <c r="CB486" s="7" t="str">
        <f t="shared" si="142"/>
        <v>Shadyside Local SD</v>
      </c>
      <c r="CC486" s="7" t="b">
        <f t="shared" si="139"/>
        <v>1</v>
      </c>
      <c r="CE486" s="12" t="str">
        <f>GenRev!A486</f>
        <v>Shadyside Local SD</v>
      </c>
      <c r="CF486" s="7" t="b">
        <f t="shared" si="143"/>
        <v>1</v>
      </c>
      <c r="CG486" s="7" t="str">
        <f t="shared" si="140"/>
        <v>Belmont</v>
      </c>
      <c r="CH486" s="7" t="b">
        <f t="shared" si="141"/>
        <v>1</v>
      </c>
      <c r="CI486" s="7" t="b">
        <f>C486=GenRev!C486</f>
        <v>1</v>
      </c>
    </row>
    <row r="487" spans="1:87">
      <c r="A487" s="12" t="s">
        <v>755</v>
      </c>
      <c r="B487" s="12"/>
      <c r="C487" s="12" t="s">
        <v>20</v>
      </c>
      <c r="D487" s="12"/>
      <c r="E487" s="12">
        <v>44750</v>
      </c>
      <c r="G487" s="7">
        <v>34468562</v>
      </c>
      <c r="I487" s="7">
        <v>11367212</v>
      </c>
      <c r="K487" s="7">
        <v>256888</v>
      </c>
      <c r="M487" s="7">
        <v>0</v>
      </c>
      <c r="O487" s="7">
        <v>0</v>
      </c>
      <c r="Q487" s="7">
        <v>5636954</v>
      </c>
      <c r="S487" s="7">
        <v>5929018</v>
      </c>
      <c r="U487" s="7">
        <v>17368</v>
      </c>
      <c r="W487" s="7">
        <v>6095570</v>
      </c>
      <c r="Y487" s="7">
        <v>1999588</v>
      </c>
      <c r="AA487" s="7">
        <v>892163</v>
      </c>
      <c r="AC487" s="7">
        <v>12624889</v>
      </c>
      <c r="AE487" s="7">
        <v>4366501</v>
      </c>
      <c r="AG487" s="7">
        <v>1894198</v>
      </c>
      <c r="AI487" s="7">
        <v>0</v>
      </c>
      <c r="AK487" s="7">
        <v>42180</v>
      </c>
      <c r="AL487" s="12" t="s">
        <v>755</v>
      </c>
      <c r="AM487" s="12"/>
      <c r="AN487" s="12" t="s">
        <v>20</v>
      </c>
      <c r="AP487" s="7">
        <v>1042574</v>
      </c>
      <c r="AR487" s="7">
        <v>0</v>
      </c>
      <c r="AT487" s="7">
        <v>0</v>
      </c>
      <c r="AV487" s="7">
        <v>0</v>
      </c>
      <c r="AX487" s="7">
        <v>0</v>
      </c>
      <c r="AZ487" s="7">
        <v>0</v>
      </c>
      <c r="BB487" s="7">
        <f t="shared" si="144"/>
        <v>86633665</v>
      </c>
      <c r="BD487" s="7">
        <v>400000</v>
      </c>
      <c r="BF487" s="7">
        <v>0</v>
      </c>
      <c r="BH487" s="7">
        <v>0</v>
      </c>
      <c r="BJ487" s="7">
        <v>0</v>
      </c>
      <c r="BL487" s="7">
        <f t="shared" si="145"/>
        <v>87033665</v>
      </c>
      <c r="BN487" s="7">
        <f>+GenRev!AM487-GenExp!BL487</f>
        <v>1719523</v>
      </c>
      <c r="BP487" s="7">
        <v>20294184</v>
      </c>
      <c r="BR487" s="7">
        <v>0</v>
      </c>
      <c r="BT487" s="7">
        <v>0</v>
      </c>
      <c r="BV487" s="7">
        <f t="shared" si="146"/>
        <v>22013707</v>
      </c>
      <c r="BX487" s="8">
        <f>+BV487-'Gen Fd BS'!AE487+BT487</f>
        <v>0</v>
      </c>
      <c r="CA487" s="14"/>
      <c r="CB487" s="7" t="str">
        <f t="shared" si="142"/>
        <v xml:space="preserve">Shaker Heights City SD </v>
      </c>
      <c r="CC487" s="7" t="b">
        <f t="shared" si="139"/>
        <v>1</v>
      </c>
      <c r="CE487" s="12" t="str">
        <f>GenRev!A487</f>
        <v xml:space="preserve">Shaker Heights City SD </v>
      </c>
      <c r="CF487" s="7" t="b">
        <f t="shared" si="143"/>
        <v>1</v>
      </c>
      <c r="CG487" s="7" t="str">
        <f t="shared" si="140"/>
        <v>Cuyahoga</v>
      </c>
      <c r="CH487" s="7" t="b">
        <f t="shared" si="141"/>
        <v>1</v>
      </c>
      <c r="CI487" s="7" t="b">
        <f>C487=GenRev!C487</f>
        <v>1</v>
      </c>
    </row>
    <row r="488" spans="1:87" hidden="1">
      <c r="A488" s="12" t="s">
        <v>738</v>
      </c>
      <c r="B488" s="12"/>
      <c r="C488" s="12" t="s">
        <v>10</v>
      </c>
      <c r="D488" s="12"/>
      <c r="E488" s="12"/>
      <c r="AL488" s="12" t="s">
        <v>738</v>
      </c>
      <c r="AM488" s="12"/>
      <c r="AN488" s="12" t="s">
        <v>10</v>
      </c>
      <c r="BB488" s="7">
        <f t="shared" si="144"/>
        <v>0</v>
      </c>
      <c r="BL488" s="7">
        <f t="shared" si="145"/>
        <v>0</v>
      </c>
      <c r="BN488" s="7">
        <f>+GenRev!AM488-GenExp!BL488</f>
        <v>0</v>
      </c>
      <c r="BT488" s="7">
        <v>0</v>
      </c>
      <c r="BV488" s="7">
        <f t="shared" si="146"/>
        <v>0</v>
      </c>
      <c r="BX488" s="8">
        <f>+BV488-'Gen Fd BS'!AE488+BT488</f>
        <v>0</v>
      </c>
      <c r="CA488" s="7" t="s">
        <v>973</v>
      </c>
      <c r="CB488" s="7" t="str">
        <f t="shared" si="142"/>
        <v>Shawnee Local SD (CASH)</v>
      </c>
      <c r="CC488" s="7" t="b">
        <f t="shared" si="139"/>
        <v>1</v>
      </c>
      <c r="CE488" s="12" t="str">
        <f>GenRev!A488</f>
        <v>Shawnee Local SD (CASH)</v>
      </c>
      <c r="CF488" s="7" t="b">
        <f t="shared" si="143"/>
        <v>1</v>
      </c>
      <c r="CG488" s="7" t="str">
        <f t="shared" si="140"/>
        <v>Allen</v>
      </c>
      <c r="CH488" s="7" t="b">
        <f t="shared" si="141"/>
        <v>1</v>
      </c>
      <c r="CI488" s="7" t="b">
        <f>C488=GenRev!C488</f>
        <v>1</v>
      </c>
    </row>
    <row r="489" spans="1:87">
      <c r="A489" s="12" t="s">
        <v>899</v>
      </c>
      <c r="B489" s="12"/>
      <c r="C489" s="12" t="s">
        <v>44</v>
      </c>
      <c r="D489" s="12"/>
      <c r="E489" s="12">
        <v>44768</v>
      </c>
      <c r="G489" s="7">
        <v>8590446</v>
      </c>
      <c r="I489" s="7">
        <v>2314463</v>
      </c>
      <c r="K489" s="7">
        <v>164802</v>
      </c>
      <c r="M489" s="7">
        <v>0</v>
      </c>
      <c r="O489" s="7">
        <v>19421</v>
      </c>
      <c r="Q489" s="7">
        <v>977163</v>
      </c>
      <c r="S489" s="7">
        <v>655220</v>
      </c>
      <c r="U489" s="7">
        <v>33959</v>
      </c>
      <c r="W489" s="7">
        <v>1460527</v>
      </c>
      <c r="Y489" s="7">
        <v>581508</v>
      </c>
      <c r="AA489" s="7">
        <v>252828</v>
      </c>
      <c r="AC489" s="7">
        <v>1533732</v>
      </c>
      <c r="AE489" s="7">
        <v>975778</v>
      </c>
      <c r="AG489" s="7">
        <v>253680</v>
      </c>
      <c r="AI489" s="7">
        <v>0</v>
      </c>
      <c r="AK489" s="7">
        <v>0</v>
      </c>
      <c r="AL489" s="12" t="s">
        <v>899</v>
      </c>
      <c r="AM489" s="12"/>
      <c r="AN489" s="12" t="s">
        <v>44</v>
      </c>
      <c r="AP489" s="7">
        <v>396690</v>
      </c>
      <c r="AR489" s="7">
        <v>82439</v>
      </c>
      <c r="AT489" s="7">
        <v>0</v>
      </c>
      <c r="AV489" s="7">
        <v>31902</v>
      </c>
      <c r="AX489" s="7">
        <v>7323</v>
      </c>
      <c r="AZ489" s="7">
        <v>0</v>
      </c>
      <c r="BB489" s="7">
        <f t="shared" si="144"/>
        <v>18331881</v>
      </c>
      <c r="BD489" s="7">
        <v>156138</v>
      </c>
      <c r="BF489" s="7">
        <v>0</v>
      </c>
      <c r="BH489" s="7">
        <v>0</v>
      </c>
      <c r="BJ489" s="7">
        <v>0</v>
      </c>
      <c r="BL489" s="7">
        <f t="shared" si="145"/>
        <v>18488019</v>
      </c>
      <c r="BN489" s="7">
        <f>+GenRev!AM489-GenExp!BL489</f>
        <v>577652</v>
      </c>
      <c r="BP489" s="7">
        <v>10066602</v>
      </c>
      <c r="BR489" s="7">
        <v>0</v>
      </c>
      <c r="BT489" s="7">
        <v>0</v>
      </c>
      <c r="BV489" s="7">
        <f t="shared" si="146"/>
        <v>10644254</v>
      </c>
      <c r="BX489" s="8">
        <f>+BV489-'Gen Fd BS'!AE489+BT489</f>
        <v>0</v>
      </c>
      <c r="CB489" s="7" t="str">
        <f t="shared" si="142"/>
        <v>Sheffield-Sheffield Lake City SD</v>
      </c>
      <c r="CC489" s="7" t="b">
        <f t="shared" si="139"/>
        <v>1</v>
      </c>
      <c r="CE489" s="12" t="str">
        <f>GenRev!A489</f>
        <v>Sheffield-Sheffield Lake City SD</v>
      </c>
      <c r="CF489" s="7" t="b">
        <f t="shared" si="143"/>
        <v>1</v>
      </c>
      <c r="CG489" s="7" t="str">
        <f t="shared" si="140"/>
        <v>Lorain</v>
      </c>
      <c r="CH489" s="7" t="b">
        <f t="shared" si="141"/>
        <v>1</v>
      </c>
      <c r="CI489" s="7" t="b">
        <f>C489=GenRev!C489</f>
        <v>1</v>
      </c>
    </row>
    <row r="490" spans="1:87">
      <c r="A490" s="12" t="s">
        <v>487</v>
      </c>
      <c r="B490" s="12"/>
      <c r="C490" s="12" t="s">
        <v>110</v>
      </c>
      <c r="D490" s="12"/>
      <c r="E490" s="12">
        <v>44776</v>
      </c>
      <c r="F490" s="10"/>
      <c r="G490" s="7">
        <v>7251263</v>
      </c>
      <c r="I490" s="7">
        <v>1787516</v>
      </c>
      <c r="K490" s="7">
        <v>217923</v>
      </c>
      <c r="M490" s="7">
        <v>0</v>
      </c>
      <c r="O490" s="7">
        <v>0</v>
      </c>
      <c r="Q490" s="7">
        <v>831237</v>
      </c>
      <c r="S490" s="7">
        <v>914479</v>
      </c>
      <c r="U490" s="7">
        <v>60192</v>
      </c>
      <c r="W490" s="7">
        <v>1378428</v>
      </c>
      <c r="Y490" s="7">
        <v>656746</v>
      </c>
      <c r="AA490" s="7">
        <v>0</v>
      </c>
      <c r="AC490" s="7">
        <v>1623450</v>
      </c>
      <c r="AE490" s="7">
        <v>915141</v>
      </c>
      <c r="AG490" s="7">
        <v>102310</v>
      </c>
      <c r="AI490" s="7">
        <v>0</v>
      </c>
      <c r="AK490" s="7">
        <v>6596</v>
      </c>
      <c r="AL490" s="12" t="s">
        <v>487</v>
      </c>
      <c r="AM490" s="12"/>
      <c r="AN490" s="12" t="s">
        <v>110</v>
      </c>
      <c r="AP490" s="7">
        <v>469011</v>
      </c>
      <c r="AR490" s="7">
        <v>0</v>
      </c>
      <c r="AT490" s="7">
        <v>0</v>
      </c>
      <c r="AV490" s="7">
        <v>149283</v>
      </c>
      <c r="AX490" s="7">
        <v>31924</v>
      </c>
      <c r="AZ490" s="7">
        <v>0</v>
      </c>
      <c r="BB490" s="7">
        <f t="shared" si="144"/>
        <v>16395499</v>
      </c>
      <c r="BD490" s="7">
        <v>0</v>
      </c>
      <c r="BF490" s="7">
        <v>0</v>
      </c>
      <c r="BH490" s="7">
        <v>0</v>
      </c>
      <c r="BJ490" s="7">
        <v>0</v>
      </c>
      <c r="BL490" s="7">
        <f t="shared" si="145"/>
        <v>16395499</v>
      </c>
      <c r="BN490" s="7">
        <f>+GenRev!AM490-GenExp!BL490</f>
        <v>1135975</v>
      </c>
      <c r="BP490" s="7">
        <v>4535926</v>
      </c>
      <c r="BR490" s="7">
        <v>0</v>
      </c>
      <c r="BT490" s="7">
        <v>0</v>
      </c>
      <c r="BV490" s="7">
        <f t="shared" si="146"/>
        <v>5671901</v>
      </c>
      <c r="BX490" s="8">
        <f>+BV490-'Gen Fd BS'!AE490+BT490</f>
        <v>0</v>
      </c>
      <c r="CB490" s="7" t="str">
        <f t="shared" si="142"/>
        <v>Shelby City SD</v>
      </c>
      <c r="CC490" s="7" t="b">
        <f t="shared" si="139"/>
        <v>1</v>
      </c>
      <c r="CE490" s="12" t="str">
        <f>GenRev!A490</f>
        <v>Shelby City SD</v>
      </c>
      <c r="CF490" s="7" t="b">
        <f t="shared" si="143"/>
        <v>1</v>
      </c>
      <c r="CG490" s="7" t="str">
        <f t="shared" si="140"/>
        <v>Richland</v>
      </c>
      <c r="CH490" s="7" t="b">
        <f t="shared" si="141"/>
        <v>1</v>
      </c>
      <c r="CI490" s="7" t="b">
        <f>C490=GenRev!C490</f>
        <v>1</v>
      </c>
    </row>
    <row r="491" spans="1:87" hidden="1">
      <c r="A491" s="12" t="s">
        <v>985</v>
      </c>
      <c r="B491" s="12"/>
      <c r="C491" s="12" t="s">
        <v>61</v>
      </c>
      <c r="D491" s="12"/>
      <c r="E491" s="12">
        <v>44784</v>
      </c>
      <c r="AL491" s="12" t="s">
        <v>985</v>
      </c>
      <c r="AM491" s="12"/>
      <c r="AN491" s="12" t="s">
        <v>61</v>
      </c>
      <c r="BB491" s="7">
        <f t="shared" si="144"/>
        <v>0</v>
      </c>
      <c r="BL491" s="7">
        <f t="shared" si="145"/>
        <v>0</v>
      </c>
      <c r="BN491" s="7">
        <f>+GenRev!AM491-GenExp!BL491</f>
        <v>0</v>
      </c>
      <c r="BT491" s="7">
        <v>0</v>
      </c>
      <c r="BV491" s="7">
        <f t="shared" si="146"/>
        <v>0</v>
      </c>
      <c r="BX491" s="8">
        <f>+BV491-'Gen Fd BS'!AE491+BT491</f>
        <v>0</v>
      </c>
      <c r="CA491" s="7" t="s">
        <v>974</v>
      </c>
      <c r="CB491" s="7" t="str">
        <f t="shared" si="142"/>
        <v>Sidney City SD (CASH)</v>
      </c>
      <c r="CC491" s="7" t="b">
        <f t="shared" si="139"/>
        <v>1</v>
      </c>
      <c r="CE491" s="12" t="str">
        <f>GenRev!A491</f>
        <v>Sidney City SD (CASH)</v>
      </c>
      <c r="CF491" s="7" t="b">
        <f t="shared" si="143"/>
        <v>1</v>
      </c>
      <c r="CG491" s="7" t="str">
        <f t="shared" si="140"/>
        <v>Shelby</v>
      </c>
      <c r="CH491" s="7" t="b">
        <f t="shared" si="141"/>
        <v>1</v>
      </c>
      <c r="CI491" s="7" t="b">
        <f>C491=GenRev!C491</f>
        <v>1</v>
      </c>
    </row>
    <row r="492" spans="1:87">
      <c r="A492" s="12" t="s">
        <v>283</v>
      </c>
      <c r="B492" s="12"/>
      <c r="C492" s="12" t="s">
        <v>20</v>
      </c>
      <c r="D492" s="12"/>
      <c r="E492" s="12">
        <v>46607</v>
      </c>
      <c r="F492" s="10"/>
      <c r="G492" s="7">
        <v>32353665</v>
      </c>
      <c r="I492" s="7">
        <v>7081998</v>
      </c>
      <c r="K492" s="7">
        <v>614864</v>
      </c>
      <c r="M492" s="7">
        <v>161669</v>
      </c>
      <c r="O492" s="7">
        <v>837136</v>
      </c>
      <c r="Q492" s="7">
        <v>3862358</v>
      </c>
      <c r="S492" s="7">
        <v>1663984</v>
      </c>
      <c r="U492" s="7">
        <v>33207</v>
      </c>
      <c r="W492" s="7">
        <v>3317206</v>
      </c>
      <c r="Y492" s="7">
        <v>1745575</v>
      </c>
      <c r="AA492" s="7">
        <v>1036528</v>
      </c>
      <c r="AC492" s="7">
        <v>6605237</v>
      </c>
      <c r="AE492" s="7">
        <v>3429188</v>
      </c>
      <c r="AG492" s="7">
        <v>938559</v>
      </c>
      <c r="AI492" s="7">
        <v>0</v>
      </c>
      <c r="AK492" s="7">
        <v>10924</v>
      </c>
      <c r="AL492" s="12" t="s">
        <v>283</v>
      </c>
      <c r="AM492" s="12"/>
      <c r="AN492" s="12" t="s">
        <v>20</v>
      </c>
      <c r="AP492" s="7">
        <v>1380943</v>
      </c>
      <c r="AR492" s="7">
        <v>149781</v>
      </c>
      <c r="AT492" s="7">
        <v>0</v>
      </c>
      <c r="AV492" s="7">
        <v>38079</v>
      </c>
      <c r="AX492" s="7">
        <v>8857</v>
      </c>
      <c r="AZ492" s="7">
        <v>0</v>
      </c>
      <c r="BB492" s="7">
        <f t="shared" si="144"/>
        <v>65269758</v>
      </c>
      <c r="BD492" s="7">
        <v>90000</v>
      </c>
      <c r="BF492" s="7">
        <v>0</v>
      </c>
      <c r="BH492" s="7">
        <v>0</v>
      </c>
      <c r="BJ492" s="7">
        <v>0</v>
      </c>
      <c r="BL492" s="7">
        <f t="shared" si="145"/>
        <v>65359758</v>
      </c>
      <c r="BN492" s="7">
        <f>+GenRev!AM492-GenExp!BL492</f>
        <v>3843502</v>
      </c>
      <c r="BP492" s="7">
        <v>7427964</v>
      </c>
      <c r="BR492" s="7">
        <v>0</v>
      </c>
      <c r="BT492" s="7">
        <v>0</v>
      </c>
      <c r="BV492" s="7">
        <f t="shared" si="146"/>
        <v>11271466</v>
      </c>
      <c r="BX492" s="8">
        <f>+BV492-'Gen Fd BS'!AE492+BT492</f>
        <v>0</v>
      </c>
      <c r="CB492" s="7" t="str">
        <f t="shared" si="142"/>
        <v>Solon City SD</v>
      </c>
      <c r="CC492" s="7" t="b">
        <f t="shared" si="139"/>
        <v>1</v>
      </c>
      <c r="CE492" s="12" t="str">
        <f>GenRev!A492</f>
        <v>Solon City SD</v>
      </c>
      <c r="CF492" s="7" t="b">
        <f t="shared" si="143"/>
        <v>1</v>
      </c>
      <c r="CG492" s="7" t="str">
        <f t="shared" si="140"/>
        <v>Cuyahoga</v>
      </c>
      <c r="CH492" s="7" t="b">
        <f t="shared" si="141"/>
        <v>1</v>
      </c>
      <c r="CI492" s="7" t="b">
        <f>C492=GenRev!C492</f>
        <v>1</v>
      </c>
    </row>
    <row r="493" spans="1:87">
      <c r="A493" s="12" t="s">
        <v>660</v>
      </c>
      <c r="B493" s="12"/>
      <c r="C493" s="12" t="s">
        <v>37</v>
      </c>
      <c r="D493" s="12"/>
      <c r="E493" s="12">
        <v>47738</v>
      </c>
      <c r="G493" s="7">
        <v>3044230</v>
      </c>
      <c r="I493" s="7">
        <v>243897</v>
      </c>
      <c r="K493" s="7">
        <v>181596</v>
      </c>
      <c r="M493" s="7">
        <v>0</v>
      </c>
      <c r="O493" s="7">
        <v>818964</v>
      </c>
      <c r="Q493" s="7">
        <v>371306</v>
      </c>
      <c r="S493" s="7">
        <v>272392</v>
      </c>
      <c r="U493" s="7">
        <v>30762</v>
      </c>
      <c r="W493" s="7">
        <v>736039</v>
      </c>
      <c r="Y493" s="7">
        <v>228170</v>
      </c>
      <c r="AA493" s="7">
        <v>0</v>
      </c>
      <c r="AC493" s="7">
        <v>677462</v>
      </c>
      <c r="AE493" s="7">
        <v>670011</v>
      </c>
      <c r="AG493" s="7">
        <v>11035</v>
      </c>
      <c r="AI493" s="7">
        <v>0</v>
      </c>
      <c r="AK493" s="7">
        <v>8150</v>
      </c>
      <c r="AL493" s="12" t="s">
        <v>660</v>
      </c>
      <c r="AM493" s="12"/>
      <c r="AN493" s="12" t="s">
        <v>37</v>
      </c>
      <c r="AP493" s="7">
        <v>216099</v>
      </c>
      <c r="AR493" s="7">
        <v>0</v>
      </c>
      <c r="AT493" s="7">
        <v>0</v>
      </c>
      <c r="AV493" s="7">
        <v>6368</v>
      </c>
      <c r="AX493" s="7">
        <v>1146</v>
      </c>
      <c r="AZ493" s="7">
        <v>0</v>
      </c>
      <c r="BB493" s="7">
        <f t="shared" si="144"/>
        <v>7517627</v>
      </c>
      <c r="BD493" s="7">
        <v>0</v>
      </c>
      <c r="BF493" s="7">
        <v>0</v>
      </c>
      <c r="BH493" s="7">
        <v>0</v>
      </c>
      <c r="BJ493" s="7">
        <v>0</v>
      </c>
      <c r="BL493" s="7">
        <f>+BB493+BD493+BF493+BJ493</f>
        <v>7517627</v>
      </c>
      <c r="BN493" s="7">
        <f>+GenRev!AM493-GenExp!BL493</f>
        <v>162581</v>
      </c>
      <c r="BP493" s="7">
        <v>2842223</v>
      </c>
      <c r="BR493" s="7">
        <v>0</v>
      </c>
      <c r="BT493" s="7">
        <v>0</v>
      </c>
      <c r="BV493" s="7">
        <f t="shared" si="146"/>
        <v>3004804</v>
      </c>
      <c r="BX493" s="8">
        <f>+BV493-'Gen Fd BS'!AE493+BT493</f>
        <v>0</v>
      </c>
      <c r="CB493" s="7" t="str">
        <f t="shared" si="142"/>
        <v>South Central Local SD</v>
      </c>
      <c r="CC493" s="7" t="b">
        <f t="shared" si="139"/>
        <v>1</v>
      </c>
      <c r="CE493" s="12" t="str">
        <f>GenRev!A493</f>
        <v>South Central Local SD</v>
      </c>
      <c r="CF493" s="7" t="b">
        <f t="shared" si="143"/>
        <v>1</v>
      </c>
      <c r="CG493" s="7" t="str">
        <f t="shared" si="140"/>
        <v>Huron</v>
      </c>
      <c r="CH493" s="7" t="b">
        <f t="shared" si="141"/>
        <v>1</v>
      </c>
      <c r="CI493" s="7" t="b">
        <f>C493=GenRev!C493</f>
        <v>1</v>
      </c>
    </row>
    <row r="494" spans="1:87">
      <c r="A494" s="12" t="s">
        <v>284</v>
      </c>
      <c r="B494" s="12"/>
      <c r="C494" s="12" t="s">
        <v>20</v>
      </c>
      <c r="D494" s="12"/>
      <c r="E494" s="12">
        <v>44792</v>
      </c>
      <c r="G494" s="7">
        <v>23756060</v>
      </c>
      <c r="I494" s="7">
        <v>7869144</v>
      </c>
      <c r="K494" s="7">
        <v>2630806</v>
      </c>
      <c r="M494" s="7">
        <v>0</v>
      </c>
      <c r="O494" s="7">
        <v>958312</v>
      </c>
      <c r="Q494" s="7">
        <v>4023331</v>
      </c>
      <c r="S494" s="7">
        <v>1198798</v>
      </c>
      <c r="U494" s="7">
        <v>194491</v>
      </c>
      <c r="W494" s="7">
        <v>3858798</v>
      </c>
      <c r="Y494" s="7">
        <v>1761144</v>
      </c>
      <c r="AA494" s="7">
        <v>355487</v>
      </c>
      <c r="AC494" s="7">
        <v>7032508</v>
      </c>
      <c r="AE494" s="7">
        <v>2999280</v>
      </c>
      <c r="AG494" s="7">
        <v>1354351</v>
      </c>
      <c r="AI494" s="7">
        <v>0</v>
      </c>
      <c r="AK494" s="7">
        <v>64562</v>
      </c>
      <c r="AL494" s="12" t="s">
        <v>284</v>
      </c>
      <c r="AM494" s="12"/>
      <c r="AN494" s="12" t="s">
        <v>20</v>
      </c>
      <c r="AP494" s="7">
        <v>1029107</v>
      </c>
      <c r="AR494" s="7">
        <v>0</v>
      </c>
      <c r="AT494" s="7">
        <v>0</v>
      </c>
      <c r="AV494" s="7">
        <v>0</v>
      </c>
      <c r="AX494" s="7">
        <v>0</v>
      </c>
      <c r="AZ494" s="7">
        <v>0</v>
      </c>
      <c r="BB494" s="7">
        <f t="shared" si="144"/>
        <v>59086179</v>
      </c>
      <c r="BD494" s="7">
        <v>510000</v>
      </c>
      <c r="BF494" s="7">
        <v>0</v>
      </c>
      <c r="BH494" s="7">
        <v>0</v>
      </c>
      <c r="BJ494" s="7">
        <v>0</v>
      </c>
      <c r="BL494" s="7">
        <f t="shared" si="145"/>
        <v>59596179</v>
      </c>
      <c r="BN494" s="7">
        <f>+GenRev!AM494-GenExp!BL494</f>
        <v>-1665272</v>
      </c>
      <c r="BP494" s="7">
        <v>10559031</v>
      </c>
      <c r="BR494" s="7">
        <v>0</v>
      </c>
      <c r="BT494" s="7">
        <v>0</v>
      </c>
      <c r="BV494" s="7">
        <f t="shared" si="146"/>
        <v>8893759</v>
      </c>
      <c r="BX494" s="8">
        <f>+BV494-'Gen Fd BS'!AE494+BT494</f>
        <v>0</v>
      </c>
      <c r="CB494" s="7" t="str">
        <f t="shared" si="142"/>
        <v>South Euclid-Lyndhurst City SD</v>
      </c>
      <c r="CC494" s="7" t="b">
        <f t="shared" si="139"/>
        <v>1</v>
      </c>
      <c r="CE494" s="12" t="str">
        <f>GenRev!A494</f>
        <v>South Euclid-Lyndhurst City SD</v>
      </c>
      <c r="CF494" s="7" t="b">
        <f t="shared" si="143"/>
        <v>1</v>
      </c>
      <c r="CG494" s="7" t="str">
        <f t="shared" si="140"/>
        <v>Cuyahoga</v>
      </c>
      <c r="CH494" s="7" t="b">
        <f t="shared" si="141"/>
        <v>1</v>
      </c>
      <c r="CI494" s="7" t="b">
        <f>C494=GenRev!C494</f>
        <v>1</v>
      </c>
    </row>
    <row r="495" spans="1:87">
      <c r="A495" s="12" t="s">
        <v>382</v>
      </c>
      <c r="B495" s="12"/>
      <c r="C495" s="12" t="s">
        <v>377</v>
      </c>
      <c r="D495" s="12"/>
      <c r="E495" s="12">
        <v>47951</v>
      </c>
      <c r="G495" s="7">
        <v>7195120</v>
      </c>
      <c r="I495" s="7">
        <v>996530</v>
      </c>
      <c r="K495" s="7">
        <v>227045</v>
      </c>
      <c r="M495" s="7">
        <v>0</v>
      </c>
      <c r="O495" s="7">
        <f>26347+15812</f>
        <v>42159</v>
      </c>
      <c r="Q495" s="7">
        <v>498536</v>
      </c>
      <c r="S495" s="7">
        <v>639905</v>
      </c>
      <c r="U495" s="7">
        <v>200561</v>
      </c>
      <c r="W495" s="7">
        <v>1206766</v>
      </c>
      <c r="Y495" s="7">
        <v>380496</v>
      </c>
      <c r="AA495" s="7">
        <v>0</v>
      </c>
      <c r="AC495" s="7">
        <v>1075933</v>
      </c>
      <c r="AE495" s="7">
        <v>1005774</v>
      </c>
      <c r="AG495" s="7">
        <v>64014</v>
      </c>
      <c r="AI495" s="7">
        <v>0</v>
      </c>
      <c r="AK495" s="7">
        <v>0</v>
      </c>
      <c r="AL495" s="12" t="s">
        <v>382</v>
      </c>
      <c r="AM495" s="12"/>
      <c r="AN495" s="12" t="s">
        <v>377</v>
      </c>
      <c r="AP495" s="7">
        <v>204595</v>
      </c>
      <c r="AR495" s="7">
        <v>22466</v>
      </c>
      <c r="AT495" s="7">
        <v>0</v>
      </c>
      <c r="AV495" s="7">
        <v>373187</v>
      </c>
      <c r="AX495" s="7">
        <v>64299</v>
      </c>
      <c r="AZ495" s="7">
        <v>0</v>
      </c>
      <c r="BB495" s="7">
        <f t="shared" si="144"/>
        <v>14197386</v>
      </c>
      <c r="BD495" s="7">
        <v>136600</v>
      </c>
      <c r="BF495" s="7">
        <v>0</v>
      </c>
      <c r="BH495" s="7">
        <v>0</v>
      </c>
      <c r="BJ495" s="7">
        <v>0</v>
      </c>
      <c r="BL495" s="7">
        <f t="shared" si="145"/>
        <v>14333986</v>
      </c>
      <c r="BN495" s="7">
        <f>+GenRev!AM495-GenExp!BL495</f>
        <v>690560</v>
      </c>
      <c r="BP495" s="7">
        <v>3728484</v>
      </c>
      <c r="BR495" s="7">
        <v>0</v>
      </c>
      <c r="BT495" s="7">
        <v>0</v>
      </c>
      <c r="BV495" s="7">
        <f t="shared" si="146"/>
        <v>4419044</v>
      </c>
      <c r="BX495" s="8">
        <f>+BV495-'Gen Fd BS'!AE495+BT495</f>
        <v>0</v>
      </c>
      <c r="CB495" s="7" t="str">
        <f t="shared" si="142"/>
        <v>South Point Local SD</v>
      </c>
      <c r="CC495" s="7" t="b">
        <f t="shared" si="139"/>
        <v>1</v>
      </c>
      <c r="CE495" s="12" t="str">
        <f>GenRev!A495</f>
        <v>South Point Local SD</v>
      </c>
      <c r="CF495" s="7" t="b">
        <f t="shared" si="143"/>
        <v>1</v>
      </c>
      <c r="CG495" s="7" t="str">
        <f t="shared" si="140"/>
        <v>Lawrence</v>
      </c>
      <c r="CH495" s="7" t="b">
        <f t="shared" si="141"/>
        <v>1</v>
      </c>
      <c r="CI495" s="7" t="b">
        <f>C495=GenRev!C495</f>
        <v>1</v>
      </c>
    </row>
    <row r="496" spans="1:87">
      <c r="A496" s="12" t="s">
        <v>419</v>
      </c>
      <c r="B496" s="12"/>
      <c r="C496" s="12" t="s">
        <v>45</v>
      </c>
      <c r="D496" s="12"/>
      <c r="E496" s="12">
        <v>48363</v>
      </c>
      <c r="G496" s="7">
        <v>5110689</v>
      </c>
      <c r="I496" s="7">
        <v>853940</v>
      </c>
      <c r="K496" s="7">
        <v>183438</v>
      </c>
      <c r="M496" s="7">
        <v>0</v>
      </c>
      <c r="O496" s="7">
        <v>232263</v>
      </c>
      <c r="Q496" s="7">
        <v>322343</v>
      </c>
      <c r="S496" s="7">
        <v>557664</v>
      </c>
      <c r="U496" s="7">
        <v>45044</v>
      </c>
      <c r="W496" s="7">
        <v>940834</v>
      </c>
      <c r="Y496" s="7">
        <v>396736</v>
      </c>
      <c r="AA496" s="7">
        <v>0</v>
      </c>
      <c r="AC496" s="7">
        <v>1073512</v>
      </c>
      <c r="AE496" s="7">
        <v>959158</v>
      </c>
      <c r="AG496" s="7">
        <v>94539</v>
      </c>
      <c r="AI496" s="7">
        <v>0</v>
      </c>
      <c r="AK496" s="7">
        <v>1521</v>
      </c>
      <c r="AL496" s="12" t="s">
        <v>419</v>
      </c>
      <c r="AM496" s="12"/>
      <c r="AN496" s="12" t="s">
        <v>45</v>
      </c>
      <c r="AP496" s="7">
        <v>369162</v>
      </c>
      <c r="AR496" s="7">
        <f>33001+51500</f>
        <v>84501</v>
      </c>
      <c r="AT496" s="7">
        <v>0</v>
      </c>
      <c r="AV496" s="7">
        <v>18674</v>
      </c>
      <c r="AX496" s="7">
        <v>1688</v>
      </c>
      <c r="AZ496" s="7">
        <v>0</v>
      </c>
      <c r="BB496" s="7">
        <f t="shared" si="144"/>
        <v>11245706</v>
      </c>
      <c r="BD496" s="7">
        <v>32752</v>
      </c>
      <c r="BF496" s="7">
        <v>0</v>
      </c>
      <c r="BH496" s="7">
        <v>0</v>
      </c>
      <c r="BJ496" s="7">
        <v>0</v>
      </c>
      <c r="BL496" s="7">
        <f t="shared" si="145"/>
        <v>11278458</v>
      </c>
      <c r="BN496" s="7">
        <f>+GenRev!AM496-GenExp!BL496</f>
        <v>-631225</v>
      </c>
      <c r="BP496" s="7">
        <v>2199157</v>
      </c>
      <c r="BR496" s="7">
        <v>0</v>
      </c>
      <c r="BT496" s="7">
        <v>0</v>
      </c>
      <c r="BV496" s="7">
        <f t="shared" si="146"/>
        <v>1567932</v>
      </c>
      <c r="BX496" s="8">
        <f>+BV496-'Gen Fd BS'!AE496+BT496</f>
        <v>0</v>
      </c>
      <c r="CB496" s="7" t="str">
        <f t="shared" si="142"/>
        <v>South Range Local SD</v>
      </c>
      <c r="CC496" s="7" t="b">
        <f t="shared" si="139"/>
        <v>1</v>
      </c>
      <c r="CE496" s="12" t="str">
        <f>GenRev!A496</f>
        <v>South Range Local SD</v>
      </c>
      <c r="CF496" s="7" t="b">
        <f t="shared" si="143"/>
        <v>1</v>
      </c>
      <c r="CG496" s="7" t="str">
        <f t="shared" si="140"/>
        <v>Mahoning</v>
      </c>
      <c r="CH496" s="7" t="b">
        <f t="shared" si="141"/>
        <v>1</v>
      </c>
      <c r="CI496" s="7" t="b">
        <f>C496=GenRev!C496</f>
        <v>1</v>
      </c>
    </row>
    <row r="497" spans="1:87">
      <c r="A497" s="12" t="s">
        <v>478</v>
      </c>
      <c r="B497" s="12"/>
      <c r="C497" s="12" t="s">
        <v>56</v>
      </c>
      <c r="D497" s="12"/>
      <c r="E497" s="12">
        <v>49221</v>
      </c>
      <c r="G497" s="7">
        <v>6362749</v>
      </c>
      <c r="I497" s="7">
        <v>1633670</v>
      </c>
      <c r="K497" s="7">
        <v>105047</v>
      </c>
      <c r="M497" s="7">
        <v>0</v>
      </c>
      <c r="O497" s="7">
        <f>42703+895674</f>
        <v>938377</v>
      </c>
      <c r="Q497" s="7">
        <v>1600102</v>
      </c>
      <c r="S497" s="7">
        <v>277625</v>
      </c>
      <c r="U497" s="7">
        <v>31683</v>
      </c>
      <c r="W497" s="7">
        <v>1396462</v>
      </c>
      <c r="Y497" s="7">
        <v>452548</v>
      </c>
      <c r="AA497" s="7">
        <v>105765</v>
      </c>
      <c r="AC497" s="7">
        <v>1369516</v>
      </c>
      <c r="AE497" s="7">
        <v>1546474</v>
      </c>
      <c r="AG497" s="7">
        <v>81327</v>
      </c>
      <c r="AI497" s="7">
        <v>0</v>
      </c>
      <c r="AK497" s="7">
        <v>0</v>
      </c>
      <c r="AL497" s="12" t="s">
        <v>478</v>
      </c>
      <c r="AM497" s="12"/>
      <c r="AN497" s="12" t="s">
        <v>56</v>
      </c>
      <c r="AP497" s="7">
        <v>385163</v>
      </c>
      <c r="AR497" s="7">
        <v>0</v>
      </c>
      <c r="AT497" s="7">
        <v>0</v>
      </c>
      <c r="AV497" s="7">
        <v>15035</v>
      </c>
      <c r="AX497" s="7">
        <v>1225</v>
      </c>
      <c r="AZ497" s="7">
        <v>0</v>
      </c>
      <c r="BB497" s="7">
        <f t="shared" si="144"/>
        <v>16302768</v>
      </c>
      <c r="BD497" s="7">
        <v>0</v>
      </c>
      <c r="BF497" s="7">
        <v>0</v>
      </c>
      <c r="BH497" s="7">
        <v>0</v>
      </c>
      <c r="BJ497" s="7">
        <v>0</v>
      </c>
      <c r="BL497" s="7">
        <f t="shared" si="145"/>
        <v>16302768</v>
      </c>
      <c r="BN497" s="7">
        <f>+GenRev!AM497-GenExp!BL497</f>
        <v>933428</v>
      </c>
      <c r="BP497" s="7">
        <v>5861311</v>
      </c>
      <c r="BR497" s="7">
        <v>0</v>
      </c>
      <c r="BT497" s="7">
        <v>0</v>
      </c>
      <c r="BV497" s="7">
        <f t="shared" si="146"/>
        <v>6794739</v>
      </c>
      <c r="BX497" s="8">
        <f>+BV497-'Gen Fd BS'!AE497+BT497</f>
        <v>0</v>
      </c>
      <c r="CB497" s="7" t="str">
        <f t="shared" si="142"/>
        <v>Southeast Local SD</v>
      </c>
      <c r="CC497" s="7" t="b">
        <f t="shared" si="139"/>
        <v>1</v>
      </c>
      <c r="CE497" s="12" t="str">
        <f>GenRev!A497</f>
        <v>Southeast Local SD</v>
      </c>
      <c r="CF497" s="7" t="b">
        <f t="shared" si="143"/>
        <v>1</v>
      </c>
      <c r="CG497" s="7" t="str">
        <f t="shared" si="140"/>
        <v>Portage</v>
      </c>
      <c r="CH497" s="7" t="b">
        <f t="shared" si="141"/>
        <v>1</v>
      </c>
      <c r="CI497" s="7" t="b">
        <f>C497=GenRev!C497</f>
        <v>1</v>
      </c>
    </row>
    <row r="498" spans="1:87">
      <c r="A498" s="12" t="s">
        <v>478</v>
      </c>
      <c r="B498" s="12"/>
      <c r="C498" s="12" t="s">
        <v>71</v>
      </c>
      <c r="D498" s="12"/>
      <c r="E498" s="12">
        <v>50583</v>
      </c>
      <c r="G498" s="7">
        <v>6295668</v>
      </c>
      <c r="I498" s="7">
        <v>1106298</v>
      </c>
      <c r="K498" s="7">
        <v>244474</v>
      </c>
      <c r="M498" s="7">
        <v>0</v>
      </c>
      <c r="O498" s="7">
        <f>9856+586404</f>
        <v>596260</v>
      </c>
      <c r="Q498" s="7">
        <v>555117</v>
      </c>
      <c r="S498" s="7">
        <v>300191</v>
      </c>
      <c r="U498" s="7">
        <v>25305</v>
      </c>
      <c r="W498" s="7">
        <v>1731578</v>
      </c>
      <c r="Y498" s="7">
        <v>375188</v>
      </c>
      <c r="AA498" s="7">
        <v>0</v>
      </c>
      <c r="AC498" s="7">
        <v>864143</v>
      </c>
      <c r="AE498" s="7">
        <v>1121037</v>
      </c>
      <c r="AG498" s="7">
        <v>98441</v>
      </c>
      <c r="AI498" s="7">
        <v>0</v>
      </c>
      <c r="AK498" s="7">
        <v>49</v>
      </c>
      <c r="AL498" s="12" t="s">
        <v>478</v>
      </c>
      <c r="AM498" s="12"/>
      <c r="AN498" s="12" t="s">
        <v>71</v>
      </c>
      <c r="AP498" s="7">
        <v>279995</v>
      </c>
      <c r="AR498" s="7">
        <v>3600</v>
      </c>
      <c r="AT498" s="7">
        <v>0</v>
      </c>
      <c r="AV498" s="7">
        <v>54363</v>
      </c>
      <c r="AX498" s="7">
        <v>6650</v>
      </c>
      <c r="AZ498" s="7">
        <v>0</v>
      </c>
      <c r="BB498" s="7">
        <f t="shared" ref="BB498:BB529" si="147">SUM(G498:AZ498)</f>
        <v>13658357</v>
      </c>
      <c r="BD498" s="7">
        <v>0</v>
      </c>
      <c r="BF498" s="7">
        <v>0</v>
      </c>
      <c r="BH498" s="7">
        <v>0</v>
      </c>
      <c r="BJ498" s="7">
        <v>0</v>
      </c>
      <c r="BL498" s="7">
        <f t="shared" si="145"/>
        <v>13658357</v>
      </c>
      <c r="BN498" s="7">
        <f>+GenRev!AM498-GenExp!BL498</f>
        <v>254333</v>
      </c>
      <c r="BP498" s="7">
        <v>-246141</v>
      </c>
      <c r="BR498" s="7">
        <v>0</v>
      </c>
      <c r="BT498" s="7">
        <v>0</v>
      </c>
      <c r="BV498" s="7">
        <f t="shared" si="146"/>
        <v>8192</v>
      </c>
      <c r="BX498" s="8">
        <f>+BV498-'Gen Fd BS'!AE498+BT498</f>
        <v>0</v>
      </c>
      <c r="CA498" s="7" t="s">
        <v>788</v>
      </c>
      <c r="CB498" s="7" t="str">
        <f t="shared" si="142"/>
        <v>Southeast Local SD</v>
      </c>
      <c r="CC498" s="7" t="b">
        <f t="shared" si="139"/>
        <v>1</v>
      </c>
      <c r="CE498" s="12" t="str">
        <f>GenRev!A498</f>
        <v>Southeast Local SD</v>
      </c>
      <c r="CF498" s="7" t="b">
        <f t="shared" si="143"/>
        <v>1</v>
      </c>
      <c r="CG498" s="7" t="str">
        <f t="shared" si="140"/>
        <v>Wayne</v>
      </c>
      <c r="CH498" s="7" t="b">
        <f t="shared" si="141"/>
        <v>1</v>
      </c>
      <c r="CI498" s="7" t="b">
        <f>C498=GenRev!C498</f>
        <v>1</v>
      </c>
    </row>
    <row r="499" spans="1:87">
      <c r="A499" s="12" t="s">
        <v>240</v>
      </c>
      <c r="B499" s="12"/>
      <c r="C499" s="12" t="s">
        <v>17</v>
      </c>
      <c r="D499" s="12"/>
      <c r="E499" s="12">
        <v>46276</v>
      </c>
      <c r="F499" s="10"/>
      <c r="G499" s="7">
        <v>3393225</v>
      </c>
      <c r="I499" s="7">
        <v>572785</v>
      </c>
      <c r="K499" s="7">
        <v>237894</v>
      </c>
      <c r="M499" s="7">
        <v>0</v>
      </c>
      <c r="O499" s="7">
        <f>21476+31</f>
        <v>21507</v>
      </c>
      <c r="Q499" s="7">
        <v>400725</v>
      </c>
      <c r="S499" s="7">
        <v>272191</v>
      </c>
      <c r="U499" s="7">
        <v>18029</v>
      </c>
      <c r="W499" s="7">
        <v>616142</v>
      </c>
      <c r="Y499" s="7">
        <v>308361</v>
      </c>
      <c r="AA499" s="7">
        <v>0</v>
      </c>
      <c r="AC499" s="7">
        <v>561751</v>
      </c>
      <c r="AE499" s="7">
        <v>368232</v>
      </c>
      <c r="AG499" s="7">
        <v>32575</v>
      </c>
      <c r="AI499" s="7">
        <v>0</v>
      </c>
      <c r="AK499" s="7">
        <v>0</v>
      </c>
      <c r="AL499" s="12" t="s">
        <v>240</v>
      </c>
      <c r="AM499" s="12"/>
      <c r="AN499" s="12" t="s">
        <v>17</v>
      </c>
      <c r="AP499" s="7">
        <v>215941</v>
      </c>
      <c r="AR499" s="7">
        <v>3000</v>
      </c>
      <c r="AT499" s="7">
        <v>0</v>
      </c>
      <c r="AV499" s="7">
        <v>66176</v>
      </c>
      <c r="AX499" s="7">
        <v>3093</v>
      </c>
      <c r="AZ499" s="7">
        <v>0</v>
      </c>
      <c r="BB499" s="7">
        <f t="shared" si="147"/>
        <v>7091627</v>
      </c>
      <c r="BD499" s="7">
        <v>0</v>
      </c>
      <c r="BF499" s="7">
        <v>0</v>
      </c>
      <c r="BH499" s="7">
        <v>0</v>
      </c>
      <c r="BJ499" s="7">
        <v>0</v>
      </c>
      <c r="BL499" s="7">
        <f t="shared" si="145"/>
        <v>7091627</v>
      </c>
      <c r="BN499" s="7">
        <f>+GenRev!AM499-GenExp!BL499</f>
        <v>391700</v>
      </c>
      <c r="BP499" s="7">
        <v>5423426</v>
      </c>
      <c r="BR499" s="7">
        <v>0</v>
      </c>
      <c r="BT499" s="7">
        <v>0</v>
      </c>
      <c r="BV499" s="7">
        <f t="shared" si="146"/>
        <v>5815126</v>
      </c>
      <c r="BX499" s="8">
        <f>+BV499-'Gen Fd BS'!AE499+BT499</f>
        <v>0</v>
      </c>
      <c r="CB499" s="7" t="str">
        <f t="shared" si="142"/>
        <v>Southeastern Local SD</v>
      </c>
      <c r="CC499" s="7" t="b">
        <f t="shared" si="139"/>
        <v>1</v>
      </c>
      <c r="CE499" s="12" t="str">
        <f>GenRev!A499</f>
        <v>Southeastern Local SD</v>
      </c>
      <c r="CF499" s="7" t="b">
        <f t="shared" si="143"/>
        <v>1</v>
      </c>
      <c r="CG499" s="7" t="str">
        <f t="shared" si="140"/>
        <v>Clark</v>
      </c>
      <c r="CH499" s="7" t="b">
        <f t="shared" si="141"/>
        <v>1</v>
      </c>
      <c r="CI499" s="7" t="b">
        <f>C499=GenRev!C499</f>
        <v>1</v>
      </c>
    </row>
    <row r="500" spans="1:87">
      <c r="A500" s="12" t="s">
        <v>240</v>
      </c>
      <c r="B500" s="12"/>
      <c r="C500" s="12" t="s">
        <v>58</v>
      </c>
      <c r="D500" s="12"/>
      <c r="E500" s="12">
        <v>49528</v>
      </c>
      <c r="G500" s="7">
        <v>4605658</v>
      </c>
      <c r="I500" s="7">
        <v>996738</v>
      </c>
      <c r="K500" s="7">
        <v>0</v>
      </c>
      <c r="M500" s="7">
        <v>0</v>
      </c>
      <c r="O500" s="7">
        <v>403</v>
      </c>
      <c r="Q500" s="7">
        <v>522129</v>
      </c>
      <c r="S500" s="7">
        <v>138009</v>
      </c>
      <c r="U500" s="7">
        <v>4714</v>
      </c>
      <c r="W500" s="7">
        <v>603185</v>
      </c>
      <c r="Y500" s="7">
        <v>230406</v>
      </c>
      <c r="AA500" s="7">
        <v>141387</v>
      </c>
      <c r="AC500" s="7">
        <v>734605</v>
      </c>
      <c r="AE500" s="7">
        <v>825570</v>
      </c>
      <c r="AG500" s="7">
        <v>136821</v>
      </c>
      <c r="AI500" s="7">
        <v>0</v>
      </c>
      <c r="AK500" s="7">
        <v>0</v>
      </c>
      <c r="AL500" s="12" t="s">
        <v>240</v>
      </c>
      <c r="AM500" s="12"/>
      <c r="AN500" s="12" t="s">
        <v>58</v>
      </c>
      <c r="AP500" s="7">
        <v>188060</v>
      </c>
      <c r="AR500" s="7">
        <v>7800</v>
      </c>
      <c r="AT500" s="7">
        <v>0</v>
      </c>
      <c r="AV500" s="7">
        <v>36000</v>
      </c>
      <c r="AX500" s="7">
        <v>71508</v>
      </c>
      <c r="AZ500" s="7">
        <v>0</v>
      </c>
      <c r="BB500" s="7">
        <f t="shared" si="147"/>
        <v>9242993</v>
      </c>
      <c r="BD500" s="7">
        <v>8835</v>
      </c>
      <c r="BF500" s="7">
        <v>0</v>
      </c>
      <c r="BH500" s="7">
        <v>0</v>
      </c>
      <c r="BJ500" s="7">
        <v>0</v>
      </c>
      <c r="BL500" s="7">
        <f t="shared" si="145"/>
        <v>9251828</v>
      </c>
      <c r="BN500" s="7">
        <f>+GenRev!AM500-GenExp!BL500</f>
        <v>898233</v>
      </c>
      <c r="BP500" s="7">
        <v>5724946</v>
      </c>
      <c r="BR500" s="7">
        <v>0</v>
      </c>
      <c r="BT500" s="7">
        <v>0</v>
      </c>
      <c r="BV500" s="7">
        <f t="shared" si="146"/>
        <v>6623179</v>
      </c>
      <c r="BX500" s="8">
        <f>+BV500-'Gen Fd BS'!AE500+BT500</f>
        <v>0</v>
      </c>
      <c r="CB500" s="7" t="str">
        <f t="shared" si="142"/>
        <v>Southeastern Local SD</v>
      </c>
      <c r="CC500" s="7" t="b">
        <f t="shared" si="139"/>
        <v>1</v>
      </c>
      <c r="CE500" s="12" t="str">
        <f>GenRev!A500</f>
        <v>Southeastern Local SD</v>
      </c>
      <c r="CF500" s="7" t="b">
        <f t="shared" si="143"/>
        <v>1</v>
      </c>
      <c r="CG500" s="7" t="str">
        <f t="shared" si="140"/>
        <v>Ross</v>
      </c>
      <c r="CH500" s="7" t="b">
        <f t="shared" si="141"/>
        <v>1</v>
      </c>
      <c r="CI500" s="7" t="b">
        <f>C500=GenRev!C500</f>
        <v>1</v>
      </c>
    </row>
    <row r="501" spans="1:87">
      <c r="A501" s="12" t="s">
        <v>674</v>
      </c>
      <c r="B501" s="12"/>
      <c r="C501" s="12" t="s">
        <v>112</v>
      </c>
      <c r="D501" s="12"/>
      <c r="E501" s="12">
        <v>46441</v>
      </c>
      <c r="G501" s="7">
        <v>3269285</v>
      </c>
      <c r="I501" s="7">
        <v>457331</v>
      </c>
      <c r="K501" s="7">
        <v>207939</v>
      </c>
      <c r="M501" s="7">
        <v>0</v>
      </c>
      <c r="O501" s="7">
        <v>15260</v>
      </c>
      <c r="Q501" s="7">
        <v>342343</v>
      </c>
      <c r="S501" s="7">
        <v>228940</v>
      </c>
      <c r="U501" s="7">
        <v>1154637</v>
      </c>
      <c r="W501" s="7">
        <v>614208</v>
      </c>
      <c r="Y501" s="7">
        <v>224986</v>
      </c>
      <c r="AA501" s="7">
        <v>57148</v>
      </c>
      <c r="AC501" s="7">
        <v>848729</v>
      </c>
      <c r="AE501" s="7">
        <v>923556</v>
      </c>
      <c r="AG501" s="7">
        <v>25602</v>
      </c>
      <c r="AI501" s="7">
        <v>0</v>
      </c>
      <c r="AK501" s="7">
        <v>0</v>
      </c>
      <c r="AL501" s="12" t="s">
        <v>674</v>
      </c>
      <c r="AM501" s="12"/>
      <c r="AN501" s="12" t="s">
        <v>112</v>
      </c>
      <c r="AP501" s="7">
        <v>183059</v>
      </c>
      <c r="AR501" s="7">
        <v>0</v>
      </c>
      <c r="AT501" s="7">
        <v>0</v>
      </c>
      <c r="AV501" s="7">
        <v>7915</v>
      </c>
      <c r="AX501" s="7">
        <v>2720</v>
      </c>
      <c r="AZ501" s="7">
        <v>0</v>
      </c>
      <c r="BB501" s="7">
        <f>SUM(G501:AZ501)</f>
        <v>8563658</v>
      </c>
      <c r="BD501" s="7">
        <v>153974</v>
      </c>
      <c r="BF501" s="7">
        <v>0</v>
      </c>
      <c r="BH501" s="7">
        <v>0</v>
      </c>
      <c r="BJ501" s="7">
        <v>0</v>
      </c>
      <c r="BL501" s="7">
        <f>+BB501+BD501+BF501+BJ501</f>
        <v>8717632</v>
      </c>
      <c r="BN501" s="7">
        <f>+GenRev!AM501-GenExp!BL501</f>
        <v>-106377</v>
      </c>
      <c r="BP501" s="7">
        <v>-12804</v>
      </c>
      <c r="BR501" s="7">
        <v>0</v>
      </c>
      <c r="BT501" s="7">
        <v>0</v>
      </c>
      <c r="BV501" s="7">
        <f>+BP501+BN501-BR501</f>
        <v>-119181</v>
      </c>
      <c r="BX501" s="8">
        <f>+BV501-'Gen Fd BS'!AE501+BT501</f>
        <v>0</v>
      </c>
      <c r="CB501" s="7" t="str">
        <f t="shared" si="142"/>
        <v xml:space="preserve">Southern Local SD </v>
      </c>
      <c r="CC501" s="7" t="b">
        <f t="shared" si="139"/>
        <v>1</v>
      </c>
      <c r="CE501" s="12" t="str">
        <f>GenRev!A501</f>
        <v xml:space="preserve">Southern Local SD </v>
      </c>
      <c r="CF501" s="7" t="b">
        <f t="shared" si="143"/>
        <v>1</v>
      </c>
      <c r="CG501" s="7" t="str">
        <f t="shared" si="140"/>
        <v>Columbiana</v>
      </c>
      <c r="CH501" s="7" t="b">
        <f t="shared" si="141"/>
        <v>1</v>
      </c>
      <c r="CI501" s="7" t="b">
        <f>C501=GenRev!C501</f>
        <v>1</v>
      </c>
    </row>
    <row r="502" spans="1:87">
      <c r="A502" s="12" t="s">
        <v>256</v>
      </c>
      <c r="B502" s="12"/>
      <c r="C502" s="12" t="s">
        <v>433</v>
      </c>
      <c r="D502" s="12"/>
      <c r="E502" s="12">
        <v>46441</v>
      </c>
      <c r="G502" s="7">
        <v>2836184</v>
      </c>
      <c r="I502" s="7">
        <v>640354</v>
      </c>
      <c r="K502" s="7">
        <v>169039</v>
      </c>
      <c r="M502" s="7">
        <v>0</v>
      </c>
      <c r="O502" s="7">
        <v>76000</v>
      </c>
      <c r="Q502" s="7">
        <v>352985</v>
      </c>
      <c r="S502" s="7">
        <v>313036</v>
      </c>
      <c r="U502" s="7">
        <v>55855</v>
      </c>
      <c r="W502" s="7">
        <v>189715</v>
      </c>
      <c r="Y502" s="7">
        <v>296065</v>
      </c>
      <c r="AA502" s="7">
        <v>0</v>
      </c>
      <c r="AC502" s="7">
        <v>600908</v>
      </c>
      <c r="AE502" s="7">
        <v>627339</v>
      </c>
      <c r="AG502" s="7">
        <v>153532</v>
      </c>
      <c r="AI502" s="7">
        <v>0</v>
      </c>
      <c r="AK502" s="7">
        <v>3325</v>
      </c>
      <c r="AL502" s="12" t="s">
        <v>256</v>
      </c>
      <c r="AM502" s="12"/>
      <c r="AN502" s="12" t="s">
        <v>433</v>
      </c>
      <c r="AP502" s="7">
        <v>95661</v>
      </c>
      <c r="AR502" s="7">
        <v>0</v>
      </c>
      <c r="AT502" s="7">
        <v>0</v>
      </c>
      <c r="AV502" s="7">
        <v>10709</v>
      </c>
      <c r="AX502" s="7">
        <v>464</v>
      </c>
      <c r="AZ502" s="7">
        <v>0</v>
      </c>
      <c r="BB502" s="7">
        <f t="shared" si="147"/>
        <v>6421171</v>
      </c>
      <c r="BD502" s="7">
        <v>48438</v>
      </c>
      <c r="BF502" s="7">
        <v>0</v>
      </c>
      <c r="BH502" s="7">
        <v>0</v>
      </c>
      <c r="BJ502" s="7">
        <v>0</v>
      </c>
      <c r="BL502" s="7">
        <f t="shared" si="145"/>
        <v>6469609</v>
      </c>
      <c r="BN502" s="7">
        <f>+GenRev!AM502-GenExp!BL502</f>
        <v>436988</v>
      </c>
      <c r="BP502" s="7">
        <v>1319274</v>
      </c>
      <c r="BR502" s="7">
        <v>0</v>
      </c>
      <c r="BT502" s="7">
        <v>0</v>
      </c>
      <c r="BV502" s="7">
        <f t="shared" si="146"/>
        <v>1756262</v>
      </c>
      <c r="BX502" s="8">
        <f>+BV502-'Gen Fd BS'!AE502+BT502</f>
        <v>0</v>
      </c>
      <c r="CB502" s="7" t="str">
        <f t="shared" si="142"/>
        <v>Southern Local SD</v>
      </c>
      <c r="CC502" s="7" t="b">
        <f t="shared" si="139"/>
        <v>1</v>
      </c>
      <c r="CE502" s="12" t="str">
        <f>GenRev!A502</f>
        <v>Southern Local SD</v>
      </c>
      <c r="CF502" s="7" t="b">
        <f t="shared" si="143"/>
        <v>1</v>
      </c>
      <c r="CG502" s="7" t="str">
        <f t="shared" si="140"/>
        <v>Meigs</v>
      </c>
      <c r="CH502" s="7" t="b">
        <f t="shared" si="141"/>
        <v>1</v>
      </c>
      <c r="CI502" s="7" t="b">
        <f>C502=GenRev!C502</f>
        <v>1</v>
      </c>
    </row>
    <row r="503" spans="1:87" hidden="1">
      <c r="A503" s="12" t="s">
        <v>739</v>
      </c>
      <c r="B503" s="12"/>
      <c r="C503" s="12" t="s">
        <v>466</v>
      </c>
      <c r="D503" s="12"/>
      <c r="E503" s="12"/>
      <c r="AL503" s="12" t="s">
        <v>739</v>
      </c>
      <c r="AM503" s="12"/>
      <c r="AN503" s="12" t="s">
        <v>466</v>
      </c>
      <c r="BB503" s="7">
        <f t="shared" si="147"/>
        <v>0</v>
      </c>
      <c r="BL503" s="7">
        <f t="shared" si="145"/>
        <v>0</v>
      </c>
      <c r="BN503" s="7">
        <f>+GenRev!AM503-GenExp!BL503</f>
        <v>0</v>
      </c>
      <c r="BT503" s="7">
        <v>0</v>
      </c>
      <c r="BV503" s="7">
        <f t="shared" si="146"/>
        <v>0</v>
      </c>
      <c r="BX503" s="8">
        <f>+BV503-'Gen Fd BS'!AE503+BT503</f>
        <v>0</v>
      </c>
      <c r="CA503" s="7" t="s">
        <v>789</v>
      </c>
      <c r="CB503" s="7" t="str">
        <f t="shared" si="142"/>
        <v>Southern Local SD (CASH)</v>
      </c>
      <c r="CC503" s="7" t="b">
        <f t="shared" si="139"/>
        <v>1</v>
      </c>
      <c r="CE503" s="12" t="str">
        <f>GenRev!A503</f>
        <v>Southern Local SD (CASH)</v>
      </c>
      <c r="CF503" s="7" t="b">
        <f t="shared" si="143"/>
        <v>1</v>
      </c>
      <c r="CG503" s="7" t="str">
        <f t="shared" si="140"/>
        <v>Perry</v>
      </c>
      <c r="CH503" s="7" t="b">
        <f t="shared" si="141"/>
        <v>1</v>
      </c>
      <c r="CI503" s="7" t="b">
        <f>C503=GenRev!C503</f>
        <v>1</v>
      </c>
    </row>
    <row r="504" spans="1:87">
      <c r="A504" s="12" t="s">
        <v>546</v>
      </c>
      <c r="B504" s="12"/>
      <c r="C504" s="12" t="s">
        <v>64</v>
      </c>
      <c r="D504" s="12"/>
      <c r="E504" s="12">
        <v>50237</v>
      </c>
      <c r="G504" s="7">
        <v>2068444</v>
      </c>
      <c r="I504" s="7">
        <v>95949</v>
      </c>
      <c r="K504" s="7">
        <v>0</v>
      </c>
      <c r="M504" s="7">
        <v>0</v>
      </c>
      <c r="O504" s="7">
        <v>0</v>
      </c>
      <c r="Q504" s="7">
        <v>562582</v>
      </c>
      <c r="S504" s="7">
        <v>60273</v>
      </c>
      <c r="U504" s="7">
        <v>51600</v>
      </c>
      <c r="W504" s="7">
        <v>453788</v>
      </c>
      <c r="Y504" s="7">
        <v>229718</v>
      </c>
      <c r="AA504" s="7">
        <v>23575</v>
      </c>
      <c r="AC504" s="7">
        <v>316633</v>
      </c>
      <c r="AE504" s="7">
        <v>308182</v>
      </c>
      <c r="AG504" s="7">
        <v>0</v>
      </c>
      <c r="AI504" s="7">
        <v>0</v>
      </c>
      <c r="AK504" s="7">
        <v>0</v>
      </c>
      <c r="AL504" s="12" t="s">
        <v>546</v>
      </c>
      <c r="AM504" s="12"/>
      <c r="AN504" s="12" t="s">
        <v>64</v>
      </c>
      <c r="AP504" s="7">
        <v>86502</v>
      </c>
      <c r="AR504" s="7">
        <v>0</v>
      </c>
      <c r="AT504" s="7">
        <v>0</v>
      </c>
      <c r="AV504" s="7">
        <v>0</v>
      </c>
      <c r="AX504" s="7">
        <v>0</v>
      </c>
      <c r="AZ504" s="7">
        <v>0</v>
      </c>
      <c r="BB504" s="7">
        <f t="shared" si="147"/>
        <v>4257246</v>
      </c>
      <c r="BD504" s="7">
        <v>17000</v>
      </c>
      <c r="BF504" s="7">
        <v>0</v>
      </c>
      <c r="BH504" s="7">
        <v>0</v>
      </c>
      <c r="BJ504" s="7">
        <v>0</v>
      </c>
      <c r="BL504" s="7">
        <f t="shared" si="145"/>
        <v>4274246</v>
      </c>
      <c r="BN504" s="7">
        <f>+GenRev!AM504-GenExp!BL504</f>
        <v>318584</v>
      </c>
      <c r="BP504" s="7">
        <v>853503</v>
      </c>
      <c r="BR504" s="7">
        <v>0</v>
      </c>
      <c r="BT504" s="7">
        <v>0</v>
      </c>
      <c r="BV504" s="7">
        <f t="shared" si="146"/>
        <v>1172087</v>
      </c>
      <c r="BX504" s="8">
        <f>+BV504-'Gen Fd BS'!AE504+BT504</f>
        <v>0</v>
      </c>
      <c r="CB504" s="7" t="str">
        <f t="shared" si="142"/>
        <v>Southington Local SD</v>
      </c>
      <c r="CC504" s="7" t="b">
        <f t="shared" si="139"/>
        <v>1</v>
      </c>
      <c r="CE504" s="12" t="str">
        <f>GenRev!A504</f>
        <v>Southington Local SD</v>
      </c>
      <c r="CF504" s="7" t="b">
        <f t="shared" si="143"/>
        <v>1</v>
      </c>
      <c r="CG504" s="7" t="str">
        <f t="shared" si="140"/>
        <v>Trumbull</v>
      </c>
      <c r="CH504" s="7" t="b">
        <f t="shared" si="141"/>
        <v>1</v>
      </c>
      <c r="CI504" s="7" t="b">
        <f>C504=GenRev!C504</f>
        <v>1</v>
      </c>
    </row>
    <row r="505" spans="1:87" hidden="1">
      <c r="A505" s="12" t="s">
        <v>976</v>
      </c>
      <c r="B505" s="12"/>
      <c r="C505" s="12" t="s">
        <v>42</v>
      </c>
      <c r="D505" s="12"/>
      <c r="E505" s="12">
        <v>48041</v>
      </c>
      <c r="F505" s="10"/>
      <c r="AL505" s="12" t="s">
        <v>663</v>
      </c>
      <c r="AM505" s="12"/>
      <c r="AN505" s="12" t="s">
        <v>42</v>
      </c>
      <c r="BB505" s="7">
        <f t="shared" si="147"/>
        <v>0</v>
      </c>
      <c r="BL505" s="7">
        <f t="shared" si="145"/>
        <v>0</v>
      </c>
      <c r="BN505" s="7">
        <f>+GenRev!AM505-GenExp!BL505</f>
        <v>0</v>
      </c>
      <c r="BT505" s="7">
        <v>0</v>
      </c>
      <c r="BV505" s="7">
        <f t="shared" si="146"/>
        <v>0</v>
      </c>
      <c r="BX505" s="8">
        <f>+BV505-'Gen Fd BS'!AE505+BT505</f>
        <v>0</v>
      </c>
      <c r="CB505" s="7" t="str">
        <f t="shared" si="142"/>
        <v>Southwest Licking Local SD (CASH)</v>
      </c>
      <c r="CC505" s="7" t="b">
        <f t="shared" si="139"/>
        <v>0</v>
      </c>
      <c r="CE505" s="12" t="str">
        <f>GenRev!A505</f>
        <v>Southwest Licking Local SD (CASH)</v>
      </c>
      <c r="CF505" s="7" t="b">
        <f t="shared" si="143"/>
        <v>1</v>
      </c>
      <c r="CG505" s="7" t="str">
        <f t="shared" si="140"/>
        <v>Licking</v>
      </c>
      <c r="CH505" s="7" t="b">
        <f t="shared" si="141"/>
        <v>1</v>
      </c>
      <c r="CI505" s="7" t="b">
        <f>C505=GenRev!C505</f>
        <v>1</v>
      </c>
    </row>
    <row r="506" spans="1:87">
      <c r="A506" s="12" t="s">
        <v>339</v>
      </c>
      <c r="B506" s="12"/>
      <c r="C506" s="12" t="s">
        <v>32</v>
      </c>
      <c r="D506" s="12"/>
      <c r="E506" s="12">
        <v>47381</v>
      </c>
      <c r="G506" s="7">
        <v>15253747</v>
      </c>
      <c r="I506" s="7">
        <v>2563478</v>
      </c>
      <c r="K506" s="7">
        <v>1631</v>
      </c>
      <c r="M506" s="7">
        <v>0</v>
      </c>
      <c r="O506" s="7">
        <v>490620</v>
      </c>
      <c r="Q506" s="7">
        <v>1542850</v>
      </c>
      <c r="S506" s="7">
        <v>997446</v>
      </c>
      <c r="U506" s="7">
        <v>67911</v>
      </c>
      <c r="W506" s="7">
        <v>2684819</v>
      </c>
      <c r="Y506" s="7">
        <v>1078848</v>
      </c>
      <c r="AA506" s="7">
        <v>100</v>
      </c>
      <c r="AC506" s="7">
        <v>2437116</v>
      </c>
      <c r="AE506" s="7">
        <v>1655371</v>
      </c>
      <c r="AG506" s="7">
        <v>38811</v>
      </c>
      <c r="AI506" s="7">
        <v>0</v>
      </c>
      <c r="AK506" s="7">
        <v>0</v>
      </c>
      <c r="AL506" s="12" t="s">
        <v>339</v>
      </c>
      <c r="AM506" s="12"/>
      <c r="AN506" s="12" t="s">
        <v>32</v>
      </c>
      <c r="AP506" s="7">
        <v>611594</v>
      </c>
      <c r="AR506" s="7">
        <v>0</v>
      </c>
      <c r="AT506" s="7">
        <v>0</v>
      </c>
      <c r="AV506" s="7">
        <v>0</v>
      </c>
      <c r="AX506" s="7">
        <v>8595</v>
      </c>
      <c r="AZ506" s="7">
        <v>0</v>
      </c>
      <c r="BB506" s="7">
        <f t="shared" si="147"/>
        <v>29432937</v>
      </c>
      <c r="BD506" s="7">
        <v>2860</v>
      </c>
      <c r="BF506" s="7">
        <v>0</v>
      </c>
      <c r="BH506" s="7">
        <v>0</v>
      </c>
      <c r="BJ506" s="7">
        <v>0</v>
      </c>
      <c r="BL506" s="7">
        <f t="shared" si="145"/>
        <v>29435797</v>
      </c>
      <c r="BN506" s="7">
        <f>+GenRev!AM506-GenExp!BL506</f>
        <v>1185584</v>
      </c>
      <c r="BP506" s="7">
        <v>-71582</v>
      </c>
      <c r="BR506" s="7">
        <v>0</v>
      </c>
      <c r="BT506" s="7">
        <v>0</v>
      </c>
      <c r="BV506" s="7">
        <f t="shared" si="146"/>
        <v>1114002</v>
      </c>
      <c r="BX506" s="8">
        <f>+BV506-'Gen Fd BS'!AE506+BT506</f>
        <v>0</v>
      </c>
      <c r="CB506" s="7" t="str">
        <f t="shared" si="142"/>
        <v>Southwest Local SD</v>
      </c>
      <c r="CC506" s="7" t="b">
        <f t="shared" si="139"/>
        <v>1</v>
      </c>
      <c r="CE506" s="12" t="str">
        <f>GenRev!A506</f>
        <v>Southwest Local SD</v>
      </c>
      <c r="CF506" s="7" t="b">
        <f t="shared" si="143"/>
        <v>1</v>
      </c>
      <c r="CG506" s="7" t="str">
        <f t="shared" si="140"/>
        <v>Hamilton</v>
      </c>
      <c r="CH506" s="7" t="b">
        <f t="shared" si="141"/>
        <v>1</v>
      </c>
      <c r="CI506" s="7" t="b">
        <f>C506=GenRev!C506</f>
        <v>1</v>
      </c>
    </row>
    <row r="507" spans="1:87">
      <c r="A507" s="12" t="s">
        <v>313</v>
      </c>
      <c r="B507" s="12"/>
      <c r="C507" s="12" t="s">
        <v>27</v>
      </c>
      <c r="D507" s="12"/>
      <c r="E507" s="12">
        <v>44800</v>
      </c>
      <c r="F507" s="10"/>
      <c r="G507" s="7">
        <v>91748682</v>
      </c>
      <c r="I507" s="7">
        <v>19838876</v>
      </c>
      <c r="K507" s="7">
        <v>5014331</v>
      </c>
      <c r="M507" s="7">
        <v>0</v>
      </c>
      <c r="O507" s="7">
        <v>517503</v>
      </c>
      <c r="Q507" s="7">
        <v>7960687</v>
      </c>
      <c r="S507" s="7">
        <v>9117200</v>
      </c>
      <c r="U507" s="7">
        <v>36274</v>
      </c>
      <c r="W507" s="7">
        <v>14557465</v>
      </c>
      <c r="Y507" s="7">
        <v>2590889</v>
      </c>
      <c r="AA507" s="7">
        <v>456890</v>
      </c>
      <c r="AC507" s="7">
        <v>14610118</v>
      </c>
      <c r="AE507" s="7">
        <v>10731840</v>
      </c>
      <c r="AG507" s="7">
        <v>2890862</v>
      </c>
      <c r="AI507" s="7">
        <v>1209</v>
      </c>
      <c r="AK507" s="7">
        <v>96154</v>
      </c>
      <c r="AL507" s="12" t="s">
        <v>313</v>
      </c>
      <c r="AM507" s="12"/>
      <c r="AN507" s="12" t="s">
        <v>27</v>
      </c>
      <c r="AP507" s="7">
        <v>2888187</v>
      </c>
      <c r="AR507" s="7">
        <v>633770</v>
      </c>
      <c r="AT507" s="7">
        <v>0</v>
      </c>
      <c r="AV507" s="7">
        <v>0</v>
      </c>
      <c r="AX507" s="7">
        <v>0</v>
      </c>
      <c r="AZ507" s="7">
        <v>0</v>
      </c>
      <c r="BB507" s="7">
        <f t="shared" si="147"/>
        <v>183690937</v>
      </c>
      <c r="BD507" s="7">
        <v>1003065</v>
      </c>
      <c r="BF507" s="7">
        <v>0</v>
      </c>
      <c r="BH507" s="7">
        <v>0</v>
      </c>
      <c r="BJ507" s="7">
        <v>0</v>
      </c>
      <c r="BL507" s="7">
        <f t="shared" si="145"/>
        <v>184694002</v>
      </c>
      <c r="BN507" s="7">
        <f>+GenRev!AM507-GenExp!BL507</f>
        <v>24758185</v>
      </c>
      <c r="BP507" s="7">
        <v>55330646</v>
      </c>
      <c r="BR507" s="7">
        <v>0</v>
      </c>
      <c r="BT507" s="7">
        <v>0</v>
      </c>
      <c r="BV507" s="7">
        <f t="shared" si="146"/>
        <v>80088831</v>
      </c>
      <c r="BX507" s="8">
        <f>+BV507-'Gen Fd BS'!AE507+BT507</f>
        <v>0</v>
      </c>
      <c r="CB507" s="7" t="str">
        <f t="shared" si="142"/>
        <v>South-Western City SD</v>
      </c>
      <c r="CC507" s="7" t="b">
        <f t="shared" si="139"/>
        <v>1</v>
      </c>
      <c r="CE507" s="12" t="str">
        <f>GenRev!A507</f>
        <v>South-Western City SD</v>
      </c>
      <c r="CF507" s="7" t="b">
        <f t="shared" si="143"/>
        <v>1</v>
      </c>
      <c r="CG507" s="7" t="str">
        <f t="shared" si="140"/>
        <v>Franklin</v>
      </c>
      <c r="CH507" s="7" t="b">
        <f t="shared" si="141"/>
        <v>1</v>
      </c>
      <c r="CI507" s="7" t="b">
        <f>C507=GenRev!C507</f>
        <v>1</v>
      </c>
    </row>
    <row r="508" spans="1:87" hidden="1">
      <c r="A508" s="12" t="s">
        <v>741</v>
      </c>
      <c r="B508" s="12"/>
      <c r="C508" s="12" t="s">
        <v>10</v>
      </c>
      <c r="D508" s="12"/>
      <c r="E508" s="12">
        <v>45807</v>
      </c>
      <c r="AL508" s="12" t="s">
        <v>741</v>
      </c>
      <c r="AM508" s="12"/>
      <c r="AN508" s="12" t="s">
        <v>10</v>
      </c>
      <c r="BB508" s="7">
        <f t="shared" si="147"/>
        <v>0</v>
      </c>
      <c r="BL508" s="7">
        <f t="shared" si="145"/>
        <v>0</v>
      </c>
      <c r="BN508" s="7">
        <f>+GenRev!AM508-GenExp!BL508</f>
        <v>0</v>
      </c>
      <c r="BT508" s="7">
        <v>0</v>
      </c>
      <c r="BV508" s="7">
        <f t="shared" si="146"/>
        <v>0</v>
      </c>
      <c r="BX508" s="8">
        <f>+BV508-'Gen Fd BS'!AE508+BT508</f>
        <v>0</v>
      </c>
      <c r="CA508" s="7" t="s">
        <v>789</v>
      </c>
      <c r="CB508" s="7" t="str">
        <f t="shared" si="142"/>
        <v>Spencerville Local SD (CASH)</v>
      </c>
      <c r="CC508" s="7" t="b">
        <f t="shared" si="139"/>
        <v>1</v>
      </c>
      <c r="CE508" s="12" t="str">
        <f>GenRev!A508</f>
        <v>Spencerville Local SD (CASH)</v>
      </c>
      <c r="CF508" s="7" t="b">
        <f t="shared" si="143"/>
        <v>1</v>
      </c>
      <c r="CG508" s="7" t="str">
        <f t="shared" si="140"/>
        <v>Allen</v>
      </c>
      <c r="CH508" s="7" t="b">
        <f t="shared" si="141"/>
        <v>1</v>
      </c>
      <c r="CI508" s="7" t="b">
        <f>C508=GenRev!C508</f>
        <v>1</v>
      </c>
    </row>
    <row r="509" spans="1:87">
      <c r="A509" s="12" t="s">
        <v>977</v>
      </c>
      <c r="B509" s="12"/>
      <c r="C509" s="12" t="s">
        <v>69</v>
      </c>
      <c r="D509" s="12"/>
      <c r="E509" s="12">
        <v>50427</v>
      </c>
      <c r="G509" s="7">
        <v>20368847</v>
      </c>
      <c r="I509" s="7">
        <v>3999623</v>
      </c>
      <c r="K509" s="7">
        <v>86256</v>
      </c>
      <c r="M509" s="7">
        <v>0</v>
      </c>
      <c r="O509" s="7">
        <v>433385</v>
      </c>
      <c r="Q509" s="7">
        <v>2735681</v>
      </c>
      <c r="S509" s="7">
        <v>2914078</v>
      </c>
      <c r="U509" s="7">
        <v>172409</v>
      </c>
      <c r="W509" s="7">
        <v>2716679</v>
      </c>
      <c r="Y509" s="7">
        <v>882937</v>
      </c>
      <c r="AA509" s="7">
        <v>219666</v>
      </c>
      <c r="AC509" s="7">
        <v>3279822</v>
      </c>
      <c r="AE509" s="7">
        <v>2807778</v>
      </c>
      <c r="AG509" s="7">
        <v>223901</v>
      </c>
      <c r="AI509" s="7">
        <v>0</v>
      </c>
      <c r="AK509" s="7">
        <v>28012</v>
      </c>
      <c r="AL509" s="12" t="s">
        <v>740</v>
      </c>
      <c r="AM509" s="12"/>
      <c r="AN509" s="12" t="s">
        <v>69</v>
      </c>
      <c r="AP509" s="7">
        <v>718278</v>
      </c>
      <c r="AR509" s="7">
        <v>59429</v>
      </c>
      <c r="AT509" s="7">
        <v>0</v>
      </c>
      <c r="AV509" s="7">
        <v>601859</v>
      </c>
      <c r="AX509" s="7">
        <v>819880</v>
      </c>
      <c r="AZ509" s="7">
        <v>0</v>
      </c>
      <c r="BB509" s="7">
        <f t="shared" si="147"/>
        <v>43068520</v>
      </c>
      <c r="BD509" s="7">
        <v>0</v>
      </c>
      <c r="BF509" s="7">
        <v>0</v>
      </c>
      <c r="BH509" s="7">
        <v>0</v>
      </c>
      <c r="BJ509" s="7">
        <v>0</v>
      </c>
      <c r="BL509" s="7">
        <f t="shared" si="145"/>
        <v>43068520</v>
      </c>
      <c r="BN509" s="7">
        <f>+GenRev!AM509-GenExp!BL509</f>
        <v>2623412</v>
      </c>
      <c r="BP509" s="7">
        <v>2292726</v>
      </c>
      <c r="BR509" s="7">
        <v>0</v>
      </c>
      <c r="BT509" s="7">
        <v>0</v>
      </c>
      <c r="BV509" s="7">
        <f t="shared" si="146"/>
        <v>4916138</v>
      </c>
      <c r="BX509" s="8">
        <f>+BV509-'Gen Fd BS'!AE509+BT509</f>
        <v>0</v>
      </c>
      <c r="CB509" s="7" t="str">
        <f t="shared" si="142"/>
        <v xml:space="preserve">Springboro Community City SD </v>
      </c>
      <c r="CC509" s="7" t="b">
        <f t="shared" si="139"/>
        <v>0</v>
      </c>
      <c r="CE509" s="12" t="str">
        <f>GenRev!A509</f>
        <v xml:space="preserve">Springboro Community City SD </v>
      </c>
      <c r="CF509" s="7" t="b">
        <f t="shared" si="143"/>
        <v>1</v>
      </c>
      <c r="CG509" s="7" t="str">
        <f t="shared" si="140"/>
        <v>Warren</v>
      </c>
      <c r="CH509" s="7" t="b">
        <f t="shared" si="141"/>
        <v>1</v>
      </c>
      <c r="CI509" s="7" t="b">
        <f>C509=GenRev!C509</f>
        <v>1</v>
      </c>
    </row>
    <row r="510" spans="1:87">
      <c r="A510" s="12" t="s">
        <v>656</v>
      </c>
      <c r="B510" s="12"/>
      <c r="C510" s="12" t="s">
        <v>17</v>
      </c>
      <c r="D510" s="12"/>
      <c r="E510" s="12"/>
      <c r="G510" s="7">
        <v>38921964</v>
      </c>
      <c r="I510" s="7">
        <v>7448550</v>
      </c>
      <c r="K510" s="7">
        <v>198329</v>
      </c>
      <c r="M510" s="7">
        <v>0</v>
      </c>
      <c r="O510" s="7">
        <v>11728</v>
      </c>
      <c r="Q510" s="7">
        <v>4949441</v>
      </c>
      <c r="S510" s="7">
        <v>2346744</v>
      </c>
      <c r="U510" s="7">
        <v>233064</v>
      </c>
      <c r="W510" s="7">
        <v>5821672</v>
      </c>
      <c r="Y510" s="7">
        <v>1375530</v>
      </c>
      <c r="AA510" s="7">
        <v>296916</v>
      </c>
      <c r="AC510" s="7">
        <v>6757446</v>
      </c>
      <c r="AE510" s="7">
        <v>2706858</v>
      </c>
      <c r="AG510" s="7">
        <v>1154339</v>
      </c>
      <c r="AI510" s="7">
        <v>0</v>
      </c>
      <c r="AK510" s="7">
        <v>865</v>
      </c>
      <c r="AL510" s="12" t="s">
        <v>656</v>
      </c>
      <c r="AM510" s="12"/>
      <c r="AN510" s="12" t="s">
        <v>17</v>
      </c>
      <c r="AP510" s="7">
        <v>817383</v>
      </c>
      <c r="AR510" s="7">
        <v>13749</v>
      </c>
      <c r="AT510" s="7">
        <v>0</v>
      </c>
      <c r="AV510" s="7">
        <v>69423</v>
      </c>
      <c r="AX510" s="7">
        <v>165478</v>
      </c>
      <c r="AZ510" s="7">
        <v>0</v>
      </c>
      <c r="BB510" s="7">
        <f t="shared" si="147"/>
        <v>73289479</v>
      </c>
      <c r="BD510" s="7">
        <v>234252</v>
      </c>
      <c r="BF510" s="7">
        <v>0</v>
      </c>
      <c r="BH510" s="7">
        <v>0</v>
      </c>
      <c r="BJ510" s="7">
        <v>0</v>
      </c>
      <c r="BL510" s="7">
        <f t="shared" si="145"/>
        <v>73523731</v>
      </c>
      <c r="BN510" s="7">
        <f>+GenRev!AM510-GenExp!BL510</f>
        <v>2273048</v>
      </c>
      <c r="BP510" s="7">
        <v>21994118</v>
      </c>
      <c r="BR510" s="7">
        <v>0</v>
      </c>
      <c r="BT510" s="7">
        <v>0</v>
      </c>
      <c r="BV510" s="7">
        <f t="shared" si="146"/>
        <v>24267166</v>
      </c>
      <c r="BX510" s="8">
        <f>+BV510-'Gen Fd BS'!AE510+BT510</f>
        <v>0</v>
      </c>
      <c r="CB510" s="7" t="str">
        <f t="shared" si="142"/>
        <v>Springfield City SD</v>
      </c>
      <c r="CC510" s="7" t="b">
        <f t="shared" si="139"/>
        <v>1</v>
      </c>
      <c r="CE510" s="12" t="str">
        <f>GenRev!A510</f>
        <v>Springfield City SD</v>
      </c>
      <c r="CF510" s="7" t="b">
        <f t="shared" si="143"/>
        <v>1</v>
      </c>
      <c r="CG510" s="7" t="str">
        <f t="shared" si="140"/>
        <v>Clark</v>
      </c>
      <c r="CH510" s="7" t="b">
        <f t="shared" si="141"/>
        <v>1</v>
      </c>
      <c r="CI510" s="7" t="b">
        <f>C510=GenRev!C510</f>
        <v>1</v>
      </c>
    </row>
    <row r="511" spans="1:87">
      <c r="A511" s="12" t="s">
        <v>756</v>
      </c>
      <c r="B511" s="12"/>
      <c r="C511" s="12" t="s">
        <v>115</v>
      </c>
      <c r="D511" s="12"/>
      <c r="E511" s="12">
        <v>48223</v>
      </c>
      <c r="G511" s="7">
        <v>15578294</v>
      </c>
      <c r="I511" s="7">
        <v>3464964</v>
      </c>
      <c r="K511" s="7">
        <v>301668</v>
      </c>
      <c r="M511" s="7">
        <v>0</v>
      </c>
      <c r="O511" s="7">
        <f>1960175+904293</f>
        <v>2864468</v>
      </c>
      <c r="Q511" s="7">
        <v>1047580</v>
      </c>
      <c r="S511" s="7">
        <v>431902</v>
      </c>
      <c r="U511" s="7">
        <v>26982</v>
      </c>
      <c r="W511" s="7">
        <v>2618764</v>
      </c>
      <c r="Y511" s="7">
        <v>699715</v>
      </c>
      <c r="AA511" s="7">
        <v>0</v>
      </c>
      <c r="AC511" s="7">
        <v>2536621</v>
      </c>
      <c r="AE511" s="7">
        <v>1835061</v>
      </c>
      <c r="AG511" s="7">
        <v>67410</v>
      </c>
      <c r="AI511" s="7">
        <v>0</v>
      </c>
      <c r="AK511" s="7">
        <v>0</v>
      </c>
      <c r="AL511" s="12" t="s">
        <v>756</v>
      </c>
      <c r="AM511" s="12"/>
      <c r="AN511" s="12" t="s">
        <v>115</v>
      </c>
      <c r="AP511" s="7">
        <v>740794</v>
      </c>
      <c r="AR511" s="7">
        <v>0</v>
      </c>
      <c r="AT511" s="7">
        <v>0</v>
      </c>
      <c r="AV511" s="7">
        <v>0</v>
      </c>
      <c r="AX511" s="7">
        <v>0</v>
      </c>
      <c r="AZ511" s="7">
        <v>0</v>
      </c>
      <c r="BB511" s="7">
        <f t="shared" si="147"/>
        <v>32214223</v>
      </c>
      <c r="BD511" s="7">
        <v>0</v>
      </c>
      <c r="BF511" s="7">
        <v>0</v>
      </c>
      <c r="BH511" s="7">
        <v>0</v>
      </c>
      <c r="BJ511" s="7">
        <v>0</v>
      </c>
      <c r="BL511" s="7">
        <f t="shared" si="145"/>
        <v>32214223</v>
      </c>
      <c r="BN511" s="7">
        <f>+GenRev!AM511-GenExp!BL511</f>
        <v>2294860</v>
      </c>
      <c r="BP511" s="7">
        <v>-3302619</v>
      </c>
      <c r="BR511" s="7">
        <v>0</v>
      </c>
      <c r="BT511" s="7">
        <v>0</v>
      </c>
      <c r="BV511" s="7">
        <f t="shared" si="146"/>
        <v>-1007759</v>
      </c>
      <c r="BX511" s="8">
        <f>+BV511-'Gen Fd BS'!AE511+BT511</f>
        <v>0</v>
      </c>
      <c r="CB511" s="7" t="str">
        <f t="shared" si="142"/>
        <v xml:space="preserve">Springfield Local SD </v>
      </c>
      <c r="CC511" s="7" t="b">
        <f t="shared" si="139"/>
        <v>1</v>
      </c>
      <c r="CE511" s="12" t="str">
        <f>GenRev!A511</f>
        <v xml:space="preserve">Springfield Local SD </v>
      </c>
      <c r="CF511" s="7" t="b">
        <f t="shared" si="143"/>
        <v>1</v>
      </c>
      <c r="CG511" s="7" t="str">
        <f t="shared" si="140"/>
        <v>Lucas</v>
      </c>
      <c r="CH511" s="7" t="b">
        <f t="shared" si="141"/>
        <v>1</v>
      </c>
      <c r="CI511" s="7" t="b">
        <f>C511=GenRev!C511</f>
        <v>1</v>
      </c>
    </row>
    <row r="512" spans="1:87">
      <c r="A512" s="12" t="s">
        <v>406</v>
      </c>
      <c r="B512" s="12"/>
      <c r="C512" s="12" t="s">
        <v>45</v>
      </c>
      <c r="D512" s="12"/>
      <c r="E512" s="12">
        <v>48371</v>
      </c>
      <c r="G512" s="7">
        <v>4493187</v>
      </c>
      <c r="I512" s="7">
        <v>734702</v>
      </c>
      <c r="K512" s="7">
        <v>189740</v>
      </c>
      <c r="M512" s="7">
        <v>0</v>
      </c>
      <c r="O512" s="7">
        <v>32055</v>
      </c>
      <c r="Q512" s="7">
        <v>518564</v>
      </c>
      <c r="S512" s="7">
        <v>293151</v>
      </c>
      <c r="U512" s="7">
        <v>28980</v>
      </c>
      <c r="W512" s="7">
        <v>1227855</v>
      </c>
      <c r="Y512" s="7">
        <v>319560</v>
      </c>
      <c r="AA512" s="7">
        <v>5160</v>
      </c>
      <c r="AC512" s="7">
        <v>953582</v>
      </c>
      <c r="AE512" s="7">
        <v>502474</v>
      </c>
      <c r="AG512" s="7">
        <v>25368</v>
      </c>
      <c r="AI512" s="7">
        <v>0</v>
      </c>
      <c r="AK512" s="7">
        <v>3102</v>
      </c>
      <c r="AL512" s="12" t="s">
        <v>406</v>
      </c>
      <c r="AM512" s="12"/>
      <c r="AN512" s="12" t="s">
        <v>45</v>
      </c>
      <c r="AP512" s="7">
        <v>367767</v>
      </c>
      <c r="AR512" s="7">
        <v>26223</v>
      </c>
      <c r="AT512" s="7">
        <v>0</v>
      </c>
      <c r="AV512" s="7">
        <v>2767</v>
      </c>
      <c r="AX512" s="7">
        <v>173</v>
      </c>
      <c r="AZ512" s="7">
        <v>0</v>
      </c>
      <c r="BB512" s="7">
        <f t="shared" si="147"/>
        <v>9724410</v>
      </c>
      <c r="BD512" s="7">
        <v>20000</v>
      </c>
      <c r="BF512" s="7">
        <v>0</v>
      </c>
      <c r="BH512" s="7">
        <v>0</v>
      </c>
      <c r="BJ512" s="7">
        <v>0</v>
      </c>
      <c r="BL512" s="7">
        <f t="shared" si="145"/>
        <v>9744410</v>
      </c>
      <c r="BN512" s="7">
        <f>+GenRev!AM512-GenExp!BL512</f>
        <v>-100422</v>
      </c>
      <c r="BP512" s="7">
        <v>1235216</v>
      </c>
      <c r="BR512" s="7">
        <v>0</v>
      </c>
      <c r="BT512" s="7">
        <v>0</v>
      </c>
      <c r="BV512" s="7">
        <f t="shared" si="146"/>
        <v>1134794</v>
      </c>
      <c r="BX512" s="8">
        <f>+BV512-'Gen Fd BS'!AE512+BT512</f>
        <v>0</v>
      </c>
      <c r="CB512" s="7" t="str">
        <f t="shared" si="142"/>
        <v>Springfield Local SD</v>
      </c>
      <c r="CC512" s="7" t="b">
        <f t="shared" si="139"/>
        <v>1</v>
      </c>
      <c r="CE512" s="12" t="str">
        <f>GenRev!A512</f>
        <v>Springfield Local SD</v>
      </c>
      <c r="CF512" s="7" t="b">
        <f t="shared" si="143"/>
        <v>1</v>
      </c>
      <c r="CG512" s="7" t="str">
        <f t="shared" si="140"/>
        <v>Mahoning</v>
      </c>
      <c r="CH512" s="7" t="b">
        <f t="shared" si="141"/>
        <v>1</v>
      </c>
      <c r="CI512" s="7" t="b">
        <f>C512=GenRev!C512</f>
        <v>1</v>
      </c>
    </row>
    <row r="513" spans="1:87">
      <c r="A513" s="12" t="s">
        <v>406</v>
      </c>
      <c r="B513" s="12"/>
      <c r="C513" s="12" t="s">
        <v>63</v>
      </c>
      <c r="D513" s="12"/>
      <c r="E513" s="12">
        <v>50062</v>
      </c>
      <c r="G513" s="7">
        <v>9648870</v>
      </c>
      <c r="I513" s="7">
        <v>1863960</v>
      </c>
      <c r="K513" s="7">
        <v>282222</v>
      </c>
      <c r="M513" s="7">
        <v>0</v>
      </c>
      <c r="O513" s="7">
        <v>2475878</v>
      </c>
      <c r="Q513" s="7">
        <v>1113788</v>
      </c>
      <c r="S513" s="7">
        <v>914004</v>
      </c>
      <c r="U513" s="7">
        <v>41349</v>
      </c>
      <c r="W513" s="7">
        <v>1558490</v>
      </c>
      <c r="Y513" s="7">
        <v>610231</v>
      </c>
      <c r="AA513" s="7">
        <v>137717</v>
      </c>
      <c r="AC513" s="7">
        <v>2010704</v>
      </c>
      <c r="AE513" s="7">
        <v>1366117</v>
      </c>
      <c r="AG513" s="7">
        <v>60771</v>
      </c>
      <c r="AI513" s="7">
        <v>0</v>
      </c>
      <c r="AK513" s="7">
        <v>4781</v>
      </c>
      <c r="AL513" s="12" t="s">
        <v>406</v>
      </c>
      <c r="AM513" s="12"/>
      <c r="AN513" s="12" t="s">
        <v>63</v>
      </c>
      <c r="AP513" s="7">
        <v>527714</v>
      </c>
      <c r="AR513" s="7">
        <v>60991</v>
      </c>
      <c r="AT513" s="7">
        <v>0</v>
      </c>
      <c r="AV513" s="7">
        <v>20355</v>
      </c>
      <c r="AX513" s="7">
        <v>7413</v>
      </c>
      <c r="AZ513" s="7">
        <v>0</v>
      </c>
      <c r="BB513" s="7">
        <f t="shared" si="147"/>
        <v>22705355</v>
      </c>
      <c r="BD513" s="7">
        <v>0</v>
      </c>
      <c r="BF513" s="7">
        <v>0</v>
      </c>
      <c r="BH513" s="7">
        <v>0</v>
      </c>
      <c r="BJ513" s="7">
        <v>0</v>
      </c>
      <c r="BL513" s="7">
        <f t="shared" si="145"/>
        <v>22705355</v>
      </c>
      <c r="BN513" s="7">
        <f>+GenRev!AM513-GenExp!BL513</f>
        <v>2467874</v>
      </c>
      <c r="BP513" s="7">
        <v>-554976</v>
      </c>
      <c r="BR513" s="7">
        <v>0</v>
      </c>
      <c r="BT513" s="7">
        <v>0</v>
      </c>
      <c r="BV513" s="7">
        <f t="shared" si="146"/>
        <v>1912898</v>
      </c>
      <c r="BX513" s="8">
        <f>+BV513-'Gen Fd BS'!AE513+BT513</f>
        <v>0</v>
      </c>
      <c r="CB513" s="7" t="str">
        <f t="shared" si="142"/>
        <v>Springfield Local SD</v>
      </c>
      <c r="CC513" s="7" t="b">
        <f t="shared" si="139"/>
        <v>1</v>
      </c>
      <c r="CE513" s="12" t="str">
        <f>GenRev!A513</f>
        <v>Springfield Local SD</v>
      </c>
      <c r="CF513" s="7" t="b">
        <f t="shared" si="143"/>
        <v>1</v>
      </c>
      <c r="CG513" s="7" t="str">
        <f t="shared" si="140"/>
        <v>Summit</v>
      </c>
      <c r="CH513" s="7" t="b">
        <f t="shared" si="141"/>
        <v>1</v>
      </c>
      <c r="CI513" s="7" t="b">
        <f>C513=GenRev!C513</f>
        <v>1</v>
      </c>
    </row>
    <row r="514" spans="1:87">
      <c r="A514" s="12" t="s">
        <v>896</v>
      </c>
      <c r="B514" s="12"/>
      <c r="C514" s="12" t="s">
        <v>32</v>
      </c>
      <c r="D514" s="12"/>
      <c r="E514" s="12">
        <v>44719</v>
      </c>
      <c r="G514" s="7">
        <v>5013191</v>
      </c>
      <c r="I514" s="7">
        <v>1524933</v>
      </c>
      <c r="K514" s="7">
        <v>0</v>
      </c>
      <c r="M514" s="7">
        <v>0</v>
      </c>
      <c r="O514" s="7">
        <v>92523</v>
      </c>
      <c r="Q514" s="7">
        <v>653947</v>
      </c>
      <c r="S514" s="7">
        <v>678279</v>
      </c>
      <c r="U514" s="7">
        <v>14907</v>
      </c>
      <c r="W514" s="7">
        <v>911162</v>
      </c>
      <c r="Y514" s="7">
        <v>528094</v>
      </c>
      <c r="AA514" s="7">
        <v>0</v>
      </c>
      <c r="AC514" s="7">
        <v>918187</v>
      </c>
      <c r="AE514" s="7">
        <v>383060</v>
      </c>
      <c r="AG514" s="7">
        <v>145486</v>
      </c>
      <c r="AI514" s="7">
        <v>0</v>
      </c>
      <c r="AK514" s="7">
        <v>540</v>
      </c>
      <c r="AL514" s="12" t="s">
        <v>896</v>
      </c>
      <c r="AM514" s="12"/>
      <c r="AN514" s="12" t="s">
        <v>32</v>
      </c>
      <c r="AP514" s="7">
        <v>133352</v>
      </c>
      <c r="AR514" s="7">
        <v>0</v>
      </c>
      <c r="AT514" s="7">
        <v>0</v>
      </c>
      <c r="AV514" s="7">
        <v>0</v>
      </c>
      <c r="AX514" s="7">
        <v>0</v>
      </c>
      <c r="AZ514" s="7">
        <v>0</v>
      </c>
      <c r="BB514" s="7">
        <f t="shared" si="147"/>
        <v>10997661</v>
      </c>
      <c r="BD514" s="7">
        <v>676450</v>
      </c>
      <c r="BF514" s="7">
        <v>0</v>
      </c>
      <c r="BH514" s="7">
        <v>0</v>
      </c>
      <c r="BJ514" s="7">
        <v>0</v>
      </c>
      <c r="BL514" s="7">
        <f t="shared" si="145"/>
        <v>11674111</v>
      </c>
      <c r="BN514" s="7">
        <f>+GenRev!AM514-GenExp!BL514</f>
        <v>657316</v>
      </c>
      <c r="BP514" s="7">
        <v>4910525</v>
      </c>
      <c r="BR514" s="7">
        <v>0</v>
      </c>
      <c r="BT514" s="7">
        <v>0</v>
      </c>
      <c r="BV514" s="7">
        <f t="shared" si="146"/>
        <v>5567841</v>
      </c>
      <c r="BX514" s="8">
        <f>+BV514-'Gen Fd BS'!AE514+BT514</f>
        <v>0</v>
      </c>
      <c r="CB514" s="7" t="str">
        <f t="shared" si="142"/>
        <v>St. Bernard-Elmwood Place City SD</v>
      </c>
      <c r="CC514" s="7" t="b">
        <f t="shared" si="139"/>
        <v>1</v>
      </c>
      <c r="CE514" s="12" t="str">
        <f>GenRev!A514</f>
        <v>St. Bernard-Elmwood Place City SD</v>
      </c>
      <c r="CF514" s="7" t="b">
        <f t="shared" si="143"/>
        <v>1</v>
      </c>
      <c r="CG514" s="7" t="str">
        <f t="shared" si="140"/>
        <v>Hamilton</v>
      </c>
      <c r="CH514" s="7" t="b">
        <f t="shared" si="141"/>
        <v>1</v>
      </c>
      <c r="CI514" s="7" t="b">
        <f>C514=GenRev!C514</f>
        <v>1</v>
      </c>
    </row>
    <row r="515" spans="1:87">
      <c r="A515" s="12" t="s">
        <v>897</v>
      </c>
      <c r="B515" s="12"/>
      <c r="C515" s="12" t="s">
        <v>15</v>
      </c>
      <c r="D515" s="12"/>
      <c r="E515" s="12">
        <v>45997</v>
      </c>
      <c r="G515" s="7">
        <v>6954084</v>
      </c>
      <c r="I515" s="7">
        <v>1035349</v>
      </c>
      <c r="K515" s="7">
        <v>5730</v>
      </c>
      <c r="M515" s="7">
        <v>0</v>
      </c>
      <c r="O515" s="7">
        <v>0</v>
      </c>
      <c r="Q515" s="7">
        <v>810410</v>
      </c>
      <c r="S515" s="7">
        <v>396173</v>
      </c>
      <c r="U515" s="7">
        <v>22952</v>
      </c>
      <c r="W515" s="7">
        <v>984754</v>
      </c>
      <c r="Y515" s="7">
        <v>513932</v>
      </c>
      <c r="AA515" s="7">
        <v>0</v>
      </c>
      <c r="AC515" s="7">
        <v>1362824</v>
      </c>
      <c r="AE515" s="7">
        <v>687029</v>
      </c>
      <c r="AG515" s="7">
        <v>251879</v>
      </c>
      <c r="AI515" s="7">
        <v>0</v>
      </c>
      <c r="AK515" s="7">
        <v>0</v>
      </c>
      <c r="AL515" s="12" t="s">
        <v>897</v>
      </c>
      <c r="AM515" s="12"/>
      <c r="AN515" s="12" t="s">
        <v>15</v>
      </c>
      <c r="AP515" s="7">
        <v>305571</v>
      </c>
      <c r="AR515" s="7">
        <v>32344</v>
      </c>
      <c r="AT515" s="7">
        <v>0</v>
      </c>
      <c r="AV515" s="7">
        <v>31658</v>
      </c>
      <c r="AX515" s="7">
        <v>11304</v>
      </c>
      <c r="AZ515" s="7">
        <v>0</v>
      </c>
      <c r="BB515" s="7">
        <f t="shared" si="147"/>
        <v>13405993</v>
      </c>
      <c r="BD515" s="7">
        <v>0</v>
      </c>
      <c r="BF515" s="7">
        <v>0</v>
      </c>
      <c r="BH515" s="7">
        <v>0</v>
      </c>
      <c r="BJ515" s="7">
        <v>0</v>
      </c>
      <c r="BL515" s="7">
        <f t="shared" si="145"/>
        <v>13405993</v>
      </c>
      <c r="BN515" s="7">
        <f>+GenRev!AM515-GenExp!BL515</f>
        <v>-917751</v>
      </c>
      <c r="BP515" s="7">
        <v>1913911</v>
      </c>
      <c r="BR515" s="7">
        <v>0</v>
      </c>
      <c r="BT515" s="7">
        <v>0</v>
      </c>
      <c r="BV515" s="7">
        <f t="shared" si="146"/>
        <v>996160</v>
      </c>
      <c r="BX515" s="8">
        <f>+BV515-'Gen Fd BS'!AE515+BT515</f>
        <v>0</v>
      </c>
      <c r="CB515" s="7" t="str">
        <f t="shared" si="142"/>
        <v>St. Clairsville-Richland City SD</v>
      </c>
      <c r="CC515" s="7" t="b">
        <f t="shared" si="139"/>
        <v>1</v>
      </c>
      <c r="CE515" s="12" t="str">
        <f>GenRev!A515</f>
        <v>St. Clairsville-Richland City SD</v>
      </c>
      <c r="CF515" s="7" t="b">
        <f t="shared" si="143"/>
        <v>1</v>
      </c>
      <c r="CG515" s="7" t="str">
        <f t="shared" si="140"/>
        <v>Belmont</v>
      </c>
      <c r="CH515" s="7" t="b">
        <f t="shared" si="141"/>
        <v>1</v>
      </c>
      <c r="CI515" s="7" t="b">
        <f>C515=GenRev!C515</f>
        <v>1</v>
      </c>
    </row>
    <row r="516" spans="1:87" hidden="1">
      <c r="A516" s="12" t="s">
        <v>742</v>
      </c>
      <c r="B516" s="12"/>
      <c r="C516" s="12" t="s">
        <v>435</v>
      </c>
      <c r="D516" s="12"/>
      <c r="E516" s="12">
        <v>48587</v>
      </c>
      <c r="AL516" s="12" t="s">
        <v>742</v>
      </c>
      <c r="AM516" s="12"/>
      <c r="AN516" s="12" t="s">
        <v>435</v>
      </c>
      <c r="BB516" s="7">
        <f t="shared" si="147"/>
        <v>0</v>
      </c>
      <c r="BL516" s="7">
        <f t="shared" si="145"/>
        <v>0</v>
      </c>
      <c r="BN516" s="7">
        <f>+GenRev!AM516-GenExp!BL516</f>
        <v>0</v>
      </c>
      <c r="BT516" s="7">
        <v>0</v>
      </c>
      <c r="BV516" s="7">
        <f t="shared" si="146"/>
        <v>0</v>
      </c>
      <c r="BX516" s="8">
        <f>+BV516-'Gen Fd BS'!AE516+BT516</f>
        <v>0</v>
      </c>
      <c r="CA516" s="7" t="s">
        <v>789</v>
      </c>
      <c r="CB516" s="7" t="str">
        <f t="shared" si="142"/>
        <v>St Henry Consolidated Local SD (CASH)</v>
      </c>
      <c r="CC516" s="7" t="b">
        <f t="shared" si="139"/>
        <v>1</v>
      </c>
      <c r="CE516" s="12" t="str">
        <f>GenRev!A516</f>
        <v>St Henry Consolidated Local SD (CASH)</v>
      </c>
      <c r="CF516" s="7" t="b">
        <f t="shared" si="143"/>
        <v>1</v>
      </c>
      <c r="CG516" s="7" t="str">
        <f t="shared" si="140"/>
        <v>Mercer</v>
      </c>
      <c r="CH516" s="7" t="b">
        <f t="shared" si="141"/>
        <v>1</v>
      </c>
      <c r="CI516" s="7" t="b">
        <f>C516=GenRev!C516</f>
        <v>1</v>
      </c>
    </row>
    <row r="517" spans="1:87" hidden="1">
      <c r="A517" s="12" t="s">
        <v>743</v>
      </c>
      <c r="B517" s="12"/>
      <c r="C517" s="12" t="s">
        <v>14</v>
      </c>
      <c r="D517" s="12"/>
      <c r="E517" s="12">
        <v>44727</v>
      </c>
      <c r="AL517" s="12" t="s">
        <v>743</v>
      </c>
      <c r="AM517" s="12"/>
      <c r="AN517" s="12" t="s">
        <v>14</v>
      </c>
      <c r="BB517" s="7">
        <f t="shared" si="147"/>
        <v>0</v>
      </c>
      <c r="BL517" s="7">
        <f t="shared" si="145"/>
        <v>0</v>
      </c>
      <c r="BN517" s="7">
        <f>+GenRev!AM517-GenExp!BL517</f>
        <v>0</v>
      </c>
      <c r="BT517" s="7">
        <v>0</v>
      </c>
      <c r="BV517" s="7">
        <f t="shared" si="146"/>
        <v>0</v>
      </c>
      <c r="BX517" s="8">
        <f>+BV517-'Gen Fd BS'!AE517+BT517</f>
        <v>0</v>
      </c>
      <c r="CA517" s="7" t="s">
        <v>789</v>
      </c>
      <c r="CB517" s="7" t="str">
        <f t="shared" si="142"/>
        <v>St Marys City SD (CASH)</v>
      </c>
      <c r="CC517" s="7" t="b">
        <f t="shared" si="139"/>
        <v>1</v>
      </c>
      <c r="CE517" s="12" t="str">
        <f>GenRev!A517</f>
        <v>St Marys City SD (CASH)</v>
      </c>
      <c r="CF517" s="7" t="b">
        <f t="shared" si="143"/>
        <v>1</v>
      </c>
      <c r="CG517" s="7" t="str">
        <f t="shared" si="140"/>
        <v>Auglaize</v>
      </c>
      <c r="CH517" s="7" t="b">
        <f t="shared" si="141"/>
        <v>1</v>
      </c>
      <c r="CI517" s="7" t="b">
        <f>C517=GenRev!C517</f>
        <v>1</v>
      </c>
    </row>
    <row r="518" spans="1:87">
      <c r="A518" s="12" t="s">
        <v>374</v>
      </c>
      <c r="B518" s="12"/>
      <c r="C518" s="12" t="s">
        <v>39</v>
      </c>
      <c r="D518" s="12"/>
      <c r="E518" s="12">
        <v>44826</v>
      </c>
      <c r="G518" s="7">
        <v>8562440</v>
      </c>
      <c r="I518" s="7">
        <v>2404242</v>
      </c>
      <c r="K518" s="7">
        <v>811117</v>
      </c>
      <c r="M518" s="7">
        <v>0</v>
      </c>
      <c r="O518" s="7">
        <v>53439</v>
      </c>
      <c r="Q518" s="7">
        <v>652893</v>
      </c>
      <c r="S518" s="7">
        <v>235623</v>
      </c>
      <c r="U518" s="7">
        <v>43192</v>
      </c>
      <c r="W518" s="7">
        <v>1719938</v>
      </c>
      <c r="Y518" s="7">
        <v>425656</v>
      </c>
      <c r="AA518" s="7">
        <v>193705</v>
      </c>
      <c r="AC518" s="7">
        <v>1845263</v>
      </c>
      <c r="AE518" s="7">
        <v>652647</v>
      </c>
      <c r="AG518" s="7">
        <v>11429</v>
      </c>
      <c r="AI518" s="7">
        <v>0</v>
      </c>
      <c r="AK518" s="7">
        <v>13814</v>
      </c>
      <c r="AL518" s="12" t="s">
        <v>374</v>
      </c>
      <c r="AM518" s="12"/>
      <c r="AN518" s="12" t="s">
        <v>39</v>
      </c>
      <c r="AP518" s="7">
        <v>279105</v>
      </c>
      <c r="AR518" s="7">
        <v>0</v>
      </c>
      <c r="AT518" s="7">
        <v>0</v>
      </c>
      <c r="AV518" s="7">
        <v>0</v>
      </c>
      <c r="AX518" s="7">
        <v>0</v>
      </c>
      <c r="AZ518" s="7">
        <v>0</v>
      </c>
      <c r="BB518" s="7">
        <f t="shared" si="147"/>
        <v>17904503</v>
      </c>
      <c r="BD518" s="7">
        <v>0</v>
      </c>
      <c r="BF518" s="7">
        <v>0</v>
      </c>
      <c r="BH518" s="7">
        <v>0</v>
      </c>
      <c r="BJ518" s="7">
        <v>0</v>
      </c>
      <c r="BL518" s="7">
        <f t="shared" si="145"/>
        <v>17904503</v>
      </c>
      <c r="BN518" s="7">
        <f>+GenRev!AM518-GenExp!BL518</f>
        <v>291288</v>
      </c>
      <c r="BP518" s="7">
        <v>2310912</v>
      </c>
      <c r="BR518" s="7">
        <v>0</v>
      </c>
      <c r="BT518" s="7">
        <v>0</v>
      </c>
      <c r="BV518" s="7">
        <f t="shared" si="146"/>
        <v>2602200</v>
      </c>
      <c r="BX518" s="8">
        <f>+BV518-'Gen Fd BS'!AE518+BT518</f>
        <v>0</v>
      </c>
      <c r="CB518" s="7" t="str">
        <f t="shared" si="142"/>
        <v>Steubenville City SD</v>
      </c>
      <c r="CC518" s="7" t="b">
        <f t="shared" si="139"/>
        <v>1</v>
      </c>
      <c r="CE518" s="12" t="str">
        <f>GenRev!A518</f>
        <v>Steubenville City SD</v>
      </c>
      <c r="CF518" s="7" t="b">
        <f t="shared" si="143"/>
        <v>1</v>
      </c>
      <c r="CG518" s="7" t="str">
        <f t="shared" si="140"/>
        <v>Jefferson</v>
      </c>
      <c r="CH518" s="7" t="b">
        <f t="shared" si="141"/>
        <v>1</v>
      </c>
      <c r="CI518" s="7" t="b">
        <f>C518=GenRev!C518</f>
        <v>1</v>
      </c>
    </row>
    <row r="519" spans="1:87">
      <c r="A519" s="12" t="s">
        <v>530</v>
      </c>
      <c r="B519" s="12"/>
      <c r="C519" s="12" t="s">
        <v>63</v>
      </c>
      <c r="D519" s="12"/>
      <c r="E519" s="12">
        <v>44834</v>
      </c>
      <c r="G519" s="7">
        <v>24217513</v>
      </c>
      <c r="I519" s="7">
        <v>4662502</v>
      </c>
      <c r="K519" s="7">
        <v>1594424</v>
      </c>
      <c r="M519" s="7">
        <v>0</v>
      </c>
      <c r="O519" s="7">
        <v>270917</v>
      </c>
      <c r="Q519" s="7">
        <v>2636317</v>
      </c>
      <c r="S519" s="7">
        <v>2375654</v>
      </c>
      <c r="U519" s="7">
        <v>328412</v>
      </c>
      <c r="W519" s="7">
        <v>3392151</v>
      </c>
      <c r="Y519" s="7">
        <v>1269558</v>
      </c>
      <c r="AA519" s="7">
        <v>61971</v>
      </c>
      <c r="AC519" s="7">
        <v>5059366</v>
      </c>
      <c r="AE519" s="7">
        <v>3107627</v>
      </c>
      <c r="AG519" s="7">
        <v>417345</v>
      </c>
      <c r="AI519" s="7">
        <v>0</v>
      </c>
      <c r="AK519" s="7">
        <v>0</v>
      </c>
      <c r="AL519" s="12" t="s">
        <v>530</v>
      </c>
      <c r="AM519" s="12"/>
      <c r="AN519" s="12" t="s">
        <v>63</v>
      </c>
      <c r="AP519" s="7">
        <v>869655</v>
      </c>
      <c r="AR519" s="7">
        <v>249439</v>
      </c>
      <c r="AT519" s="7">
        <v>0</v>
      </c>
      <c r="AV519" s="7">
        <v>85000</v>
      </c>
      <c r="AX519" s="7">
        <v>55156</v>
      </c>
      <c r="AZ519" s="7">
        <v>0</v>
      </c>
      <c r="BB519" s="7">
        <f t="shared" si="147"/>
        <v>50653007</v>
      </c>
      <c r="BD519" s="7">
        <v>3743</v>
      </c>
      <c r="BF519" s="7">
        <v>0</v>
      </c>
      <c r="BH519" s="7">
        <v>0</v>
      </c>
      <c r="BJ519" s="7">
        <v>0</v>
      </c>
      <c r="BL519" s="7">
        <f t="shared" si="145"/>
        <v>50656750</v>
      </c>
      <c r="BN519" s="7">
        <f>+GenRev!AM519-GenExp!BL519</f>
        <v>526652</v>
      </c>
      <c r="BP519" s="7">
        <v>11748085</v>
      </c>
      <c r="BR519" s="7">
        <v>0</v>
      </c>
      <c r="BT519" s="7">
        <v>0</v>
      </c>
      <c r="BV519" s="7">
        <f t="shared" si="146"/>
        <v>12274737</v>
      </c>
      <c r="BX519" s="8">
        <f>+BV519-'Gen Fd BS'!AE519+BT519</f>
        <v>0</v>
      </c>
      <c r="CB519" s="7" t="str">
        <f t="shared" si="142"/>
        <v>Stow-Munroe Falls City SD</v>
      </c>
      <c r="CC519" s="7" t="b">
        <f t="shared" si="139"/>
        <v>1</v>
      </c>
      <c r="CE519" s="12" t="str">
        <f>GenRev!A519</f>
        <v>Stow-Munroe Falls City SD</v>
      </c>
      <c r="CF519" s="7" t="b">
        <f t="shared" si="143"/>
        <v>1</v>
      </c>
      <c r="CG519" s="7" t="str">
        <f t="shared" si="140"/>
        <v>Summit</v>
      </c>
      <c r="CH519" s="7" t="b">
        <f t="shared" si="141"/>
        <v>1</v>
      </c>
      <c r="CI519" s="7" t="b">
        <f>C519=GenRev!C519</f>
        <v>1</v>
      </c>
    </row>
    <row r="520" spans="1:87" hidden="1">
      <c r="A520" s="12" t="s">
        <v>744</v>
      </c>
      <c r="B520" s="12"/>
      <c r="C520" s="12" t="s">
        <v>65</v>
      </c>
      <c r="D520" s="12"/>
      <c r="E520" s="12">
        <v>50294</v>
      </c>
      <c r="AL520" s="12" t="s">
        <v>744</v>
      </c>
      <c r="AM520" s="12"/>
      <c r="AN520" s="12" t="s">
        <v>65</v>
      </c>
      <c r="BB520" s="7">
        <f t="shared" si="147"/>
        <v>0</v>
      </c>
      <c r="BL520" s="7">
        <f t="shared" si="145"/>
        <v>0</v>
      </c>
      <c r="BN520" s="7">
        <f>+GenRev!AM520-GenExp!BL520</f>
        <v>0</v>
      </c>
      <c r="BT520" s="7">
        <v>0</v>
      </c>
      <c r="BV520" s="7">
        <f t="shared" si="146"/>
        <v>0</v>
      </c>
      <c r="BX520" s="8">
        <f>+BV520-'Gen Fd BS'!AE520+BT520</f>
        <v>0</v>
      </c>
      <c r="CA520" s="7" t="s">
        <v>792</v>
      </c>
      <c r="CB520" s="7" t="str">
        <f t="shared" si="142"/>
        <v>Strasburg-Franklin Local SD (CASH)</v>
      </c>
      <c r="CC520" s="7" t="b">
        <f t="shared" si="139"/>
        <v>1</v>
      </c>
      <c r="CE520" s="12" t="str">
        <f>GenRev!A520</f>
        <v>Strasburg-Franklin Local SD (CASH)</v>
      </c>
      <c r="CF520" s="7" t="b">
        <f t="shared" si="143"/>
        <v>1</v>
      </c>
      <c r="CG520" s="7" t="str">
        <f t="shared" si="140"/>
        <v>Tuscarawas</v>
      </c>
      <c r="CH520" s="7" t="b">
        <f t="shared" si="141"/>
        <v>1</v>
      </c>
      <c r="CI520" s="7" t="b">
        <f>C520=GenRev!C520</f>
        <v>1</v>
      </c>
    </row>
    <row r="521" spans="1:87">
      <c r="A521" s="12" t="s">
        <v>479</v>
      </c>
      <c r="B521" s="12"/>
      <c r="C521" s="12" t="s">
        <v>56</v>
      </c>
      <c r="D521" s="12"/>
      <c r="E521" s="12">
        <v>49239</v>
      </c>
      <c r="G521" s="7">
        <v>9456087</v>
      </c>
      <c r="I521" s="7">
        <v>1116117</v>
      </c>
      <c r="K521" s="7">
        <v>93720</v>
      </c>
      <c r="M521" s="7">
        <v>0</v>
      </c>
      <c r="O521" s="7">
        <f>214803+978127</f>
        <v>1192930</v>
      </c>
      <c r="Q521" s="7">
        <v>1133197</v>
      </c>
      <c r="S521" s="7">
        <v>1114626</v>
      </c>
      <c r="U521" s="7">
        <v>267823</v>
      </c>
      <c r="W521" s="7">
        <v>1422380</v>
      </c>
      <c r="Y521" s="7">
        <v>638288</v>
      </c>
      <c r="AA521" s="7">
        <v>156539</v>
      </c>
      <c r="AC521" s="7">
        <v>1603419</v>
      </c>
      <c r="AE521" s="7">
        <v>939048</v>
      </c>
      <c r="AG521" s="7">
        <v>74385</v>
      </c>
      <c r="AI521" s="7">
        <v>0</v>
      </c>
      <c r="AK521" s="7">
        <v>0</v>
      </c>
      <c r="AL521" s="12" t="s">
        <v>479</v>
      </c>
      <c r="AM521" s="12"/>
      <c r="AN521" s="12" t="s">
        <v>56</v>
      </c>
      <c r="AP521" s="7">
        <v>391000</v>
      </c>
      <c r="AR521" s="7">
        <v>0</v>
      </c>
      <c r="AT521" s="7">
        <v>0</v>
      </c>
      <c r="AV521" s="7">
        <v>0</v>
      </c>
      <c r="AX521" s="7">
        <v>0</v>
      </c>
      <c r="AZ521" s="7">
        <v>0</v>
      </c>
      <c r="BB521" s="7">
        <f t="shared" si="147"/>
        <v>19599559</v>
      </c>
      <c r="BD521" s="7">
        <v>50898</v>
      </c>
      <c r="BF521" s="7">
        <v>0</v>
      </c>
      <c r="BH521" s="7">
        <v>0</v>
      </c>
      <c r="BJ521" s="7">
        <v>0</v>
      </c>
      <c r="BL521" s="7">
        <f>+BB521+BD521+BF521+BJ521</f>
        <v>19650457</v>
      </c>
      <c r="BN521" s="7">
        <f>+GenRev!AM521-GenExp!BL521</f>
        <v>966424</v>
      </c>
      <c r="BP521" s="7">
        <v>549496</v>
      </c>
      <c r="BR521" s="7">
        <v>0</v>
      </c>
      <c r="BT521" s="7">
        <v>0</v>
      </c>
      <c r="BV521" s="7">
        <f t="shared" si="146"/>
        <v>1515920</v>
      </c>
      <c r="BX521" s="8">
        <f>+BV521-'Gen Fd BS'!AE521+BT521</f>
        <v>0</v>
      </c>
      <c r="CB521" s="7" t="str">
        <f t="shared" si="142"/>
        <v>Streetsboro City SD</v>
      </c>
      <c r="CC521" s="7" t="b">
        <f t="shared" si="139"/>
        <v>1</v>
      </c>
      <c r="CE521" s="12" t="str">
        <f>GenRev!A521</f>
        <v>Streetsboro City SD</v>
      </c>
      <c r="CF521" s="7" t="b">
        <f t="shared" si="143"/>
        <v>1</v>
      </c>
      <c r="CG521" s="7" t="str">
        <f t="shared" si="140"/>
        <v>Portage</v>
      </c>
      <c r="CH521" s="7" t="b">
        <f t="shared" si="141"/>
        <v>1</v>
      </c>
      <c r="CI521" s="7" t="b">
        <f>C521=GenRev!C521</f>
        <v>1</v>
      </c>
    </row>
    <row r="522" spans="1:87">
      <c r="A522" s="12" t="s">
        <v>285</v>
      </c>
      <c r="B522" s="12"/>
      <c r="C522" s="12" t="s">
        <v>20</v>
      </c>
      <c r="D522" s="12"/>
      <c r="E522" s="12">
        <v>44842</v>
      </c>
      <c r="G522" s="7">
        <v>39933866</v>
      </c>
      <c r="I522" s="7">
        <v>4328585</v>
      </c>
      <c r="K522" s="7">
        <v>301509</v>
      </c>
      <c r="M522" s="7">
        <v>7843</v>
      </c>
      <c r="O522" s="7">
        <v>0</v>
      </c>
      <c r="Q522" s="7">
        <v>2110069</v>
      </c>
      <c r="S522" s="7">
        <v>3036852</v>
      </c>
      <c r="U522" s="7">
        <v>26569</v>
      </c>
      <c r="W522" s="7">
        <v>2666827</v>
      </c>
      <c r="Y522" s="7">
        <v>5857081</v>
      </c>
      <c r="AA522" s="7">
        <v>586554</v>
      </c>
      <c r="AC522" s="7">
        <v>5797806</v>
      </c>
      <c r="AE522" s="7">
        <v>3727692</v>
      </c>
      <c r="AG522" s="7">
        <v>777975</v>
      </c>
      <c r="AI522" s="7">
        <v>0</v>
      </c>
      <c r="AK522" s="7">
        <v>2863</v>
      </c>
      <c r="AL522" s="12" t="s">
        <v>285</v>
      </c>
      <c r="AM522" s="12"/>
      <c r="AN522" s="12" t="s">
        <v>20</v>
      </c>
      <c r="AP522" s="7">
        <v>249565</v>
      </c>
      <c r="AR522" s="7">
        <v>0</v>
      </c>
      <c r="AT522" s="7">
        <v>0</v>
      </c>
      <c r="AV522" s="7">
        <v>583497</v>
      </c>
      <c r="AX522" s="7">
        <v>333653</v>
      </c>
      <c r="AZ522" s="7">
        <v>0</v>
      </c>
      <c r="BB522" s="7">
        <f t="shared" si="147"/>
        <v>70328806</v>
      </c>
      <c r="BD522" s="7">
        <v>101935</v>
      </c>
      <c r="BF522" s="7">
        <v>0</v>
      </c>
      <c r="BH522" s="7">
        <v>0</v>
      </c>
      <c r="BJ522" s="7">
        <v>0</v>
      </c>
      <c r="BL522" s="7">
        <f t="shared" si="145"/>
        <v>70430741</v>
      </c>
      <c r="BN522" s="7">
        <f>+GenRev!AM522-GenExp!BL522</f>
        <v>2129608</v>
      </c>
      <c r="BP522" s="7">
        <v>-5751888</v>
      </c>
      <c r="BR522" s="7">
        <v>0</v>
      </c>
      <c r="BT522" s="7">
        <v>0</v>
      </c>
      <c r="BV522" s="7">
        <f t="shared" si="146"/>
        <v>-3622280</v>
      </c>
      <c r="BX522" s="8">
        <f>+BV522-'Gen Fd BS'!AE522+BT522</f>
        <v>0</v>
      </c>
      <c r="CB522" s="7" t="str">
        <f t="shared" si="142"/>
        <v>Strongsville City SD</v>
      </c>
      <c r="CC522" s="7" t="b">
        <f t="shared" si="139"/>
        <v>1</v>
      </c>
      <c r="CE522" s="12" t="str">
        <f>GenRev!A522</f>
        <v>Strongsville City SD</v>
      </c>
      <c r="CF522" s="7" t="b">
        <f t="shared" si="143"/>
        <v>1</v>
      </c>
      <c r="CG522" s="7" t="str">
        <f t="shared" si="140"/>
        <v>Cuyahoga</v>
      </c>
      <c r="CH522" s="7" t="b">
        <f t="shared" si="141"/>
        <v>1</v>
      </c>
      <c r="CI522" s="7" t="b">
        <f>C522=GenRev!C522</f>
        <v>1</v>
      </c>
    </row>
    <row r="523" spans="1:87">
      <c r="A523" s="12" t="s">
        <v>420</v>
      </c>
      <c r="B523" s="12"/>
      <c r="C523" s="12" t="s">
        <v>45</v>
      </c>
      <c r="D523" s="12"/>
      <c r="E523" s="12">
        <v>44859</v>
      </c>
      <c r="F523" s="10"/>
      <c r="G523" s="7">
        <v>7734602</v>
      </c>
      <c r="I523" s="7">
        <v>1909175</v>
      </c>
      <c r="K523" s="7">
        <v>456264</v>
      </c>
      <c r="M523" s="7">
        <v>0</v>
      </c>
      <c r="O523" s="7">
        <v>1070905</v>
      </c>
      <c r="Q523" s="7">
        <v>588194</v>
      </c>
      <c r="S523" s="7">
        <v>132647</v>
      </c>
      <c r="U523" s="7">
        <v>52096</v>
      </c>
      <c r="W523" s="7">
        <v>1080510</v>
      </c>
      <c r="Y523" s="7">
        <v>479006</v>
      </c>
      <c r="AA523" s="7">
        <v>60352</v>
      </c>
      <c r="AC523" s="7">
        <v>1641372</v>
      </c>
      <c r="AE523" s="7">
        <v>375326</v>
      </c>
      <c r="AG523" s="7">
        <v>37501</v>
      </c>
      <c r="AI523" s="7">
        <v>0</v>
      </c>
      <c r="AK523" s="7">
        <v>6725</v>
      </c>
      <c r="AL523" s="12" t="s">
        <v>420</v>
      </c>
      <c r="AM523" s="12"/>
      <c r="AN523" s="12" t="s">
        <v>45</v>
      </c>
      <c r="AP523" s="7">
        <v>359225</v>
      </c>
      <c r="AR523" s="7">
        <v>0</v>
      </c>
      <c r="AT523" s="7">
        <v>0</v>
      </c>
      <c r="AV523" s="7">
        <v>0</v>
      </c>
      <c r="AX523" s="7">
        <v>0</v>
      </c>
      <c r="AZ523" s="7">
        <v>0</v>
      </c>
      <c r="BB523" s="7">
        <f t="shared" si="147"/>
        <v>15983900</v>
      </c>
      <c r="BD523" s="7">
        <v>66365</v>
      </c>
      <c r="BF523" s="7">
        <v>0</v>
      </c>
      <c r="BH523" s="7">
        <v>0</v>
      </c>
      <c r="BJ523" s="7">
        <v>0</v>
      </c>
      <c r="BL523" s="7">
        <f t="shared" si="145"/>
        <v>16050265</v>
      </c>
      <c r="BN523" s="7">
        <f>+GenRev!AM523-GenExp!BL523</f>
        <v>1214254</v>
      </c>
      <c r="BP523" s="7">
        <v>4383652</v>
      </c>
      <c r="BR523" s="7">
        <v>0</v>
      </c>
      <c r="BT523" s="7">
        <v>0</v>
      </c>
      <c r="BV523" s="7">
        <f t="shared" si="146"/>
        <v>5597906</v>
      </c>
      <c r="BX523" s="8">
        <f>+BV523-'Gen Fd BS'!AE523+BT523</f>
        <v>0</v>
      </c>
      <c r="CB523" s="7" t="str">
        <f t="shared" si="142"/>
        <v>Struthers City SD</v>
      </c>
      <c r="CC523" s="7" t="b">
        <f t="shared" si="139"/>
        <v>1</v>
      </c>
      <c r="CE523" s="12" t="str">
        <f>GenRev!A523</f>
        <v>Struthers City SD</v>
      </c>
      <c r="CF523" s="7" t="b">
        <f t="shared" si="143"/>
        <v>1</v>
      </c>
      <c r="CG523" s="7" t="str">
        <f t="shared" si="140"/>
        <v>Mahoning</v>
      </c>
      <c r="CH523" s="7" t="b">
        <f t="shared" si="141"/>
        <v>1</v>
      </c>
      <c r="CI523" s="7" t="b">
        <f>C523=GenRev!C523</f>
        <v>1</v>
      </c>
    </row>
    <row r="524" spans="1:87">
      <c r="A524" s="12" t="s">
        <v>571</v>
      </c>
      <c r="B524" s="12"/>
      <c r="C524" s="12" t="s">
        <v>570</v>
      </c>
      <c r="D524" s="12"/>
      <c r="E524" s="12">
        <v>50658</v>
      </c>
      <c r="G524" s="7">
        <v>1978507</v>
      </c>
      <c r="I524" s="7">
        <v>265569</v>
      </c>
      <c r="K524" s="7">
        <v>264</v>
      </c>
      <c r="M524" s="7">
        <v>0</v>
      </c>
      <c r="O524" s="7">
        <v>342096</v>
      </c>
      <c r="Q524" s="7">
        <v>146917</v>
      </c>
      <c r="S524" s="7">
        <v>208160</v>
      </c>
      <c r="U524" s="7">
        <v>18165</v>
      </c>
      <c r="W524" s="7">
        <v>394238</v>
      </c>
      <c r="Y524" s="7">
        <v>193939</v>
      </c>
      <c r="AA524" s="7">
        <v>15327</v>
      </c>
      <c r="AC524" s="7">
        <v>231847</v>
      </c>
      <c r="AE524" s="7">
        <v>158650</v>
      </c>
      <c r="AG524" s="7">
        <v>30150</v>
      </c>
      <c r="AI524" s="7">
        <v>0</v>
      </c>
      <c r="AK524" s="7">
        <v>0</v>
      </c>
      <c r="AL524" s="12" t="s">
        <v>571</v>
      </c>
      <c r="AM524" s="12"/>
      <c r="AN524" s="12" t="s">
        <v>570</v>
      </c>
      <c r="AP524" s="7">
        <v>113003</v>
      </c>
      <c r="AR524" s="7">
        <v>0</v>
      </c>
      <c r="AT524" s="7">
        <v>0</v>
      </c>
      <c r="AV524" s="7">
        <v>39078</v>
      </c>
      <c r="AX524" s="7">
        <v>883</v>
      </c>
      <c r="AZ524" s="7">
        <v>0</v>
      </c>
      <c r="BB524" s="7">
        <f t="shared" si="147"/>
        <v>4136793</v>
      </c>
      <c r="BD524" s="7">
        <v>0</v>
      </c>
      <c r="BF524" s="7">
        <v>0</v>
      </c>
      <c r="BH524" s="7">
        <v>0</v>
      </c>
      <c r="BJ524" s="7">
        <v>0</v>
      </c>
      <c r="BL524" s="7">
        <f t="shared" si="145"/>
        <v>4136793</v>
      </c>
      <c r="BN524" s="7">
        <f>+GenRev!AM524-GenExp!BL524</f>
        <v>218202</v>
      </c>
      <c r="BP524" s="7">
        <v>632801</v>
      </c>
      <c r="BR524" s="7">
        <v>0</v>
      </c>
      <c r="BT524" s="7">
        <v>0</v>
      </c>
      <c r="BV524" s="7">
        <f t="shared" si="146"/>
        <v>851003</v>
      </c>
      <c r="BX524" s="8">
        <f>+BV524-'Gen Fd BS'!AE524+BT524</f>
        <v>0</v>
      </c>
      <c r="CB524" s="7" t="str">
        <f t="shared" si="142"/>
        <v>Stryker Local SD</v>
      </c>
      <c r="CC524" s="7" t="b">
        <f t="shared" si="139"/>
        <v>1</v>
      </c>
      <c r="CE524" s="12" t="str">
        <f>GenRev!A524</f>
        <v>Stryker Local SD</v>
      </c>
      <c r="CF524" s="7" t="b">
        <f t="shared" si="143"/>
        <v>1</v>
      </c>
      <c r="CG524" s="7" t="str">
        <f t="shared" si="140"/>
        <v>Williams</v>
      </c>
      <c r="CH524" s="7" t="b">
        <f t="shared" si="141"/>
        <v>1</v>
      </c>
      <c r="CI524" s="7" t="b">
        <f>C524=GenRev!C524</f>
        <v>1</v>
      </c>
    </row>
    <row r="525" spans="1:87">
      <c r="A525" s="12" t="s">
        <v>319</v>
      </c>
      <c r="B525" s="12"/>
      <c r="C525" s="12" t="s">
        <v>28</v>
      </c>
      <c r="D525" s="12"/>
      <c r="E525" s="12">
        <v>47092</v>
      </c>
      <c r="G525" s="7">
        <v>6189875</v>
      </c>
      <c r="I525" s="7">
        <v>1334012</v>
      </c>
      <c r="K525" s="7">
        <v>0</v>
      </c>
      <c r="M525" s="7">
        <v>0</v>
      </c>
      <c r="O525" s="7">
        <v>0</v>
      </c>
      <c r="Q525" s="7">
        <v>655457</v>
      </c>
      <c r="S525" s="7">
        <v>685850</v>
      </c>
      <c r="U525" s="7">
        <v>35626</v>
      </c>
      <c r="W525" s="7">
        <v>1287237</v>
      </c>
      <c r="Y525" s="7">
        <v>411319</v>
      </c>
      <c r="AA525" s="7">
        <v>8819</v>
      </c>
      <c r="AC525" s="7">
        <v>1275710</v>
      </c>
      <c r="AE525" s="7">
        <v>848854</v>
      </c>
      <c r="AG525" s="7">
        <v>8128</v>
      </c>
      <c r="AI525" s="7">
        <v>0</v>
      </c>
      <c r="AK525" s="7">
        <v>3303</v>
      </c>
      <c r="AL525" s="12" t="s">
        <v>319</v>
      </c>
      <c r="AM525" s="12"/>
      <c r="AN525" s="12" t="s">
        <v>28</v>
      </c>
      <c r="AP525" s="7">
        <v>285390</v>
      </c>
      <c r="AR525" s="7">
        <v>0</v>
      </c>
      <c r="AT525" s="7">
        <v>0</v>
      </c>
      <c r="AV525" s="7">
        <v>0</v>
      </c>
      <c r="AX525" s="7">
        <v>0</v>
      </c>
      <c r="AZ525" s="7">
        <v>0</v>
      </c>
      <c r="BB525" s="7">
        <f t="shared" si="147"/>
        <v>13029580</v>
      </c>
      <c r="BD525" s="7">
        <v>85783</v>
      </c>
      <c r="BF525" s="7">
        <v>0</v>
      </c>
      <c r="BH525" s="7">
        <v>0</v>
      </c>
      <c r="BJ525" s="7">
        <v>0</v>
      </c>
      <c r="BL525" s="7">
        <f t="shared" si="145"/>
        <v>13115363</v>
      </c>
      <c r="BN525" s="7">
        <f>+GenRev!AM525-GenExp!BL525</f>
        <v>-460643</v>
      </c>
      <c r="BP525" s="7">
        <v>9570199</v>
      </c>
      <c r="BR525" s="7">
        <v>0</v>
      </c>
      <c r="BT525" s="7">
        <v>0</v>
      </c>
      <c r="BV525" s="7">
        <f t="shared" si="146"/>
        <v>9109556</v>
      </c>
      <c r="BX525" s="8">
        <f>+BV525-'Gen Fd BS'!AE525+BT525</f>
        <v>0</v>
      </c>
      <c r="CB525" s="7" t="str">
        <f t="shared" si="142"/>
        <v>Swanton Local SD</v>
      </c>
      <c r="CC525" s="7" t="b">
        <f t="shared" si="139"/>
        <v>1</v>
      </c>
      <c r="CE525" s="12" t="str">
        <f>GenRev!A525</f>
        <v>Swanton Local SD</v>
      </c>
      <c r="CF525" s="7" t="b">
        <f t="shared" si="143"/>
        <v>1</v>
      </c>
      <c r="CG525" s="7" t="str">
        <f t="shared" si="140"/>
        <v>Fulton</v>
      </c>
      <c r="CH525" s="7" t="b">
        <f t="shared" si="141"/>
        <v>1</v>
      </c>
      <c r="CI525" s="7" t="b">
        <f>C525=GenRev!C525</f>
        <v>1</v>
      </c>
    </row>
    <row r="526" spans="1:87">
      <c r="A526" s="12" t="s">
        <v>655</v>
      </c>
      <c r="B526" s="12"/>
      <c r="C526" s="12" t="s">
        <v>49</v>
      </c>
      <c r="D526" s="12"/>
      <c r="E526" s="12">
        <v>48652</v>
      </c>
      <c r="G526" s="7">
        <v>8696616</v>
      </c>
      <c r="I526" s="7">
        <v>2099842</v>
      </c>
      <c r="K526" s="7">
        <v>2174418</v>
      </c>
      <c r="M526" s="7">
        <v>0</v>
      </c>
      <c r="O526" s="7">
        <v>4130</v>
      </c>
      <c r="Q526" s="7">
        <v>1057123</v>
      </c>
      <c r="S526" s="7">
        <v>436420</v>
      </c>
      <c r="U526" s="7">
        <v>37366</v>
      </c>
      <c r="W526" s="7">
        <v>1922681</v>
      </c>
      <c r="Y526" s="7">
        <v>740390</v>
      </c>
      <c r="AA526" s="7">
        <v>0</v>
      </c>
      <c r="AC526" s="7">
        <v>2237770</v>
      </c>
      <c r="AE526" s="7">
        <v>2411831</v>
      </c>
      <c r="AG526" s="7">
        <v>199834</v>
      </c>
      <c r="AI526" s="7">
        <v>0</v>
      </c>
      <c r="AK526" s="7">
        <v>0</v>
      </c>
      <c r="AL526" s="12" t="s">
        <v>655</v>
      </c>
      <c r="AM526" s="12"/>
      <c r="AN526" s="12" t="s">
        <v>49</v>
      </c>
      <c r="AP526" s="7">
        <v>390282</v>
      </c>
      <c r="AR526" s="7">
        <v>0</v>
      </c>
      <c r="AT526" s="7">
        <v>0</v>
      </c>
      <c r="AV526" s="7">
        <v>0</v>
      </c>
      <c r="AX526" s="7">
        <v>0</v>
      </c>
      <c r="AZ526" s="7">
        <v>0</v>
      </c>
      <c r="BB526" s="7">
        <f t="shared" si="147"/>
        <v>22408703</v>
      </c>
      <c r="BD526" s="7">
        <v>366495</v>
      </c>
      <c r="BF526" s="7">
        <v>0</v>
      </c>
      <c r="BH526" s="7">
        <v>0</v>
      </c>
      <c r="BJ526" s="7">
        <v>0</v>
      </c>
      <c r="BL526" s="7">
        <f t="shared" si="145"/>
        <v>22775198</v>
      </c>
      <c r="BN526" s="7">
        <f>+GenRev!AM526-GenExp!BL526</f>
        <v>1326807</v>
      </c>
      <c r="BP526" s="7">
        <v>-2768718</v>
      </c>
      <c r="BR526" s="7">
        <v>0</v>
      </c>
      <c r="BT526" s="7">
        <v>0</v>
      </c>
      <c r="BV526" s="7">
        <f t="shared" si="146"/>
        <v>-1441911</v>
      </c>
      <c r="BX526" s="8">
        <f>+BV526-'Gen Fd BS'!AE526+BT526</f>
        <v>0</v>
      </c>
      <c r="CB526" s="7" t="str">
        <f t="shared" si="142"/>
        <v>Switzerland of Ohio Local SD</v>
      </c>
      <c r="CC526" s="7" t="b">
        <f t="shared" si="139"/>
        <v>1</v>
      </c>
      <c r="CE526" s="12" t="str">
        <f>GenRev!A526</f>
        <v>Switzerland of Ohio Local SD</v>
      </c>
      <c r="CF526" s="7" t="b">
        <f t="shared" si="143"/>
        <v>1</v>
      </c>
      <c r="CG526" s="7" t="str">
        <f t="shared" si="140"/>
        <v>Monroe</v>
      </c>
      <c r="CH526" s="7" t="b">
        <f t="shared" si="141"/>
        <v>1</v>
      </c>
      <c r="CI526" s="7" t="b">
        <f>C526=GenRev!C526</f>
        <v>1</v>
      </c>
    </row>
    <row r="527" spans="1:87" hidden="1">
      <c r="A527" s="12" t="s">
        <v>340</v>
      </c>
      <c r="B527" s="12"/>
      <c r="C527" s="12" t="s">
        <v>32</v>
      </c>
      <c r="D527" s="12"/>
      <c r="E527" s="12">
        <v>44867</v>
      </c>
      <c r="AL527" s="12" t="s">
        <v>340</v>
      </c>
      <c r="AM527" s="12"/>
      <c r="AN527" s="12" t="s">
        <v>32</v>
      </c>
      <c r="BB527" s="7">
        <f t="shared" si="147"/>
        <v>0</v>
      </c>
      <c r="BL527" s="7">
        <f t="shared" si="145"/>
        <v>0</v>
      </c>
      <c r="BN527" s="7">
        <f>+GenRev!AM527-GenExp!BL527</f>
        <v>0</v>
      </c>
      <c r="BT527" s="7">
        <v>0</v>
      </c>
      <c r="BV527" s="7">
        <f t="shared" si="146"/>
        <v>0</v>
      </c>
      <c r="BX527" s="8">
        <f>+BV527-'Gen Fd BS'!AE527+BT527</f>
        <v>0</v>
      </c>
      <c r="CA527" s="7" t="s">
        <v>793</v>
      </c>
      <c r="CB527" s="7" t="str">
        <f t="shared" si="142"/>
        <v>Sycamore Community City SD</v>
      </c>
      <c r="CC527" s="7" t="b">
        <f t="shared" si="139"/>
        <v>1</v>
      </c>
      <c r="CE527" s="12" t="str">
        <f>GenRev!A527</f>
        <v>Sycamore Community City SD</v>
      </c>
      <c r="CF527" s="7" t="b">
        <f t="shared" si="143"/>
        <v>1</v>
      </c>
      <c r="CG527" s="7" t="str">
        <f t="shared" si="140"/>
        <v>Hamilton</v>
      </c>
      <c r="CH527" s="7" t="b">
        <f t="shared" si="141"/>
        <v>1</v>
      </c>
      <c r="CI527" s="7" t="b">
        <f>C527=GenRev!C527</f>
        <v>1</v>
      </c>
    </row>
    <row r="528" spans="1:87">
      <c r="A528" s="12" t="s">
        <v>407</v>
      </c>
      <c r="B528" s="12"/>
      <c r="C528" s="12" t="s">
        <v>115</v>
      </c>
      <c r="D528" s="12"/>
      <c r="E528" s="12">
        <v>44875</v>
      </c>
      <c r="F528" s="10"/>
      <c r="G528" s="7">
        <v>33363093</v>
      </c>
      <c r="I528" s="7">
        <v>7897571</v>
      </c>
      <c r="K528" s="7">
        <v>2005298</v>
      </c>
      <c r="M528" s="7">
        <v>0</v>
      </c>
      <c r="O528" s="7">
        <v>1600418</v>
      </c>
      <c r="Q528" s="7">
        <v>5819446</v>
      </c>
      <c r="S528" s="7">
        <v>1858356</v>
      </c>
      <c r="U528" s="7">
        <v>16401</v>
      </c>
      <c r="W528" s="7">
        <v>7558516</v>
      </c>
      <c r="Y528" s="7">
        <v>1488645</v>
      </c>
      <c r="AA528" s="7">
        <v>218664</v>
      </c>
      <c r="AC528" s="7">
        <v>8218172</v>
      </c>
      <c r="AE528" s="7">
        <v>4686129</v>
      </c>
      <c r="AG528" s="7">
        <v>787791</v>
      </c>
      <c r="AI528" s="7">
        <v>0</v>
      </c>
      <c r="AK528" s="7">
        <v>100697</v>
      </c>
      <c r="AL528" s="12" t="s">
        <v>407</v>
      </c>
      <c r="AM528" s="12"/>
      <c r="AN528" s="12" t="s">
        <v>115</v>
      </c>
      <c r="AP528" s="7">
        <v>1743141</v>
      </c>
      <c r="AR528" s="7">
        <v>0</v>
      </c>
      <c r="AT528" s="7">
        <v>0</v>
      </c>
      <c r="AV528" s="7">
        <v>125740</v>
      </c>
      <c r="AX528" s="7">
        <v>4148</v>
      </c>
      <c r="AZ528" s="7">
        <v>0</v>
      </c>
      <c r="BB528" s="7">
        <f t="shared" si="147"/>
        <v>77492226</v>
      </c>
      <c r="BD528" s="7">
        <v>333756</v>
      </c>
      <c r="BF528" s="7">
        <v>0</v>
      </c>
      <c r="BH528" s="7">
        <v>0</v>
      </c>
      <c r="BJ528" s="7">
        <v>0</v>
      </c>
      <c r="BL528" s="7">
        <f t="shared" si="145"/>
        <v>77825982</v>
      </c>
      <c r="BN528" s="7">
        <f>+GenRev!AM528-GenExp!BL528</f>
        <v>-2709194</v>
      </c>
      <c r="BP528" s="7">
        <v>-685790</v>
      </c>
      <c r="BR528" s="7">
        <v>0</v>
      </c>
      <c r="BT528" s="7">
        <v>0</v>
      </c>
      <c r="BV528" s="7">
        <f t="shared" si="146"/>
        <v>-3394984</v>
      </c>
      <c r="BX528" s="8">
        <f>+BV528-'Gen Fd BS'!AE528+BT528</f>
        <v>0</v>
      </c>
      <c r="CB528" s="7" t="str">
        <f t="shared" si="142"/>
        <v>Sylvania City SD</v>
      </c>
      <c r="CC528" s="7" t="b">
        <f t="shared" ref="CC528:CC591" si="148">A528=AL528</f>
        <v>1</v>
      </c>
      <c r="CE528" s="12" t="str">
        <f>GenRev!A528</f>
        <v>Sylvania City SD</v>
      </c>
      <c r="CF528" s="7" t="b">
        <f t="shared" si="143"/>
        <v>1</v>
      </c>
      <c r="CG528" s="7" t="str">
        <f t="shared" ref="CG528:CG591" si="149">C528</f>
        <v>Lucas</v>
      </c>
      <c r="CH528" s="7" t="b">
        <f t="shared" ref="CH528:CH591" si="150">C528=AN528</f>
        <v>1</v>
      </c>
      <c r="CI528" s="7" t="b">
        <f>C528=GenRev!C528</f>
        <v>1</v>
      </c>
    </row>
    <row r="529" spans="1:87">
      <c r="A529" s="12" t="s">
        <v>383</v>
      </c>
      <c r="B529" s="12"/>
      <c r="C529" s="12" t="s">
        <v>377</v>
      </c>
      <c r="D529" s="12"/>
      <c r="E529" s="12">
        <v>47969</v>
      </c>
      <c r="G529" s="7">
        <v>3755074</v>
      </c>
      <c r="I529" s="7">
        <v>604613</v>
      </c>
      <c r="K529" s="7">
        <v>192244</v>
      </c>
      <c r="M529" s="7">
        <v>0</v>
      </c>
      <c r="O529" s="7">
        <v>0</v>
      </c>
      <c r="Q529" s="7">
        <v>301867</v>
      </c>
      <c r="S529" s="7">
        <v>221107</v>
      </c>
      <c r="U529" s="7">
        <v>99336</v>
      </c>
      <c r="W529" s="7">
        <v>521481</v>
      </c>
      <c r="Y529" s="7">
        <v>328070</v>
      </c>
      <c r="AA529" s="7">
        <v>0</v>
      </c>
      <c r="AC529" s="7">
        <v>577978</v>
      </c>
      <c r="AE529" s="7">
        <v>979006</v>
      </c>
      <c r="AG529" s="7">
        <v>34192</v>
      </c>
      <c r="AI529" s="7">
        <v>0</v>
      </c>
      <c r="AK529" s="7">
        <v>0</v>
      </c>
      <c r="AL529" s="12" t="s">
        <v>383</v>
      </c>
      <c r="AM529" s="12"/>
      <c r="AN529" s="12" t="s">
        <v>377</v>
      </c>
      <c r="AP529" s="7">
        <v>182537</v>
      </c>
      <c r="AR529" s="7">
        <v>0</v>
      </c>
      <c r="AT529" s="7">
        <v>0</v>
      </c>
      <c r="AV529" s="7">
        <v>0</v>
      </c>
      <c r="AX529" s="7">
        <v>0</v>
      </c>
      <c r="AZ529" s="7">
        <v>0</v>
      </c>
      <c r="BB529" s="7">
        <f t="shared" si="147"/>
        <v>7797505</v>
      </c>
      <c r="BD529" s="7">
        <v>4228</v>
      </c>
      <c r="BF529" s="7">
        <v>0</v>
      </c>
      <c r="BH529" s="7">
        <v>0</v>
      </c>
      <c r="BJ529" s="7">
        <v>0</v>
      </c>
      <c r="BL529" s="7">
        <f t="shared" si="145"/>
        <v>7801733</v>
      </c>
      <c r="BN529" s="7">
        <f>+GenRev!AM529-GenExp!BL529</f>
        <v>-584528</v>
      </c>
      <c r="BP529" s="7">
        <v>3180405</v>
      </c>
      <c r="BR529" s="7">
        <v>0</v>
      </c>
      <c r="BT529" s="7">
        <v>0</v>
      </c>
      <c r="BV529" s="7">
        <f t="shared" si="146"/>
        <v>2595877</v>
      </c>
      <c r="BX529" s="8">
        <f>+BV529-'Gen Fd BS'!AE529+BT529</f>
        <v>0</v>
      </c>
      <c r="CB529" s="7" t="str">
        <f t="shared" si="142"/>
        <v>Symmes Valley Local SD</v>
      </c>
      <c r="CC529" s="7" t="b">
        <f t="shared" si="148"/>
        <v>1</v>
      </c>
      <c r="CE529" s="12" t="str">
        <f>GenRev!A529</f>
        <v>Symmes Valley Local SD</v>
      </c>
      <c r="CF529" s="7" t="b">
        <f t="shared" si="143"/>
        <v>1</v>
      </c>
      <c r="CG529" s="7" t="str">
        <f t="shared" si="149"/>
        <v>Lawrence</v>
      </c>
      <c r="CH529" s="7" t="b">
        <f t="shared" si="150"/>
        <v>1</v>
      </c>
      <c r="CI529" s="7" t="b">
        <f>C529=GenRev!C529</f>
        <v>1</v>
      </c>
    </row>
    <row r="530" spans="1:87">
      <c r="A530" s="12" t="s">
        <v>757</v>
      </c>
      <c r="B530" s="12"/>
      <c r="C530" s="12" t="s">
        <v>223</v>
      </c>
      <c r="D530" s="12"/>
      <c r="E530" s="12">
        <v>46151</v>
      </c>
      <c r="F530" s="10"/>
      <c r="G530" s="7">
        <v>13478170</v>
      </c>
      <c r="I530" s="7">
        <v>1843104</v>
      </c>
      <c r="K530" s="7">
        <v>0</v>
      </c>
      <c r="M530" s="7">
        <v>0</v>
      </c>
      <c r="O530" s="7">
        <v>949166</v>
      </c>
      <c r="Q530" s="7">
        <v>1543631</v>
      </c>
      <c r="S530" s="7">
        <v>1878402</v>
      </c>
      <c r="U530" s="7">
        <v>54884</v>
      </c>
      <c r="W530" s="7">
        <v>2381844</v>
      </c>
      <c r="Y530" s="7">
        <v>1231191</v>
      </c>
      <c r="AA530" s="7">
        <v>711</v>
      </c>
      <c r="AC530" s="7">
        <v>2511450</v>
      </c>
      <c r="AE530" s="7">
        <v>1782104</v>
      </c>
      <c r="AG530" s="7">
        <v>111690</v>
      </c>
      <c r="AI530" s="7">
        <v>0</v>
      </c>
      <c r="AK530" s="7">
        <v>0</v>
      </c>
      <c r="AL530" s="12" t="s">
        <v>757</v>
      </c>
      <c r="AM530" s="12"/>
      <c r="AN530" s="12" t="s">
        <v>223</v>
      </c>
      <c r="AP530" s="7">
        <v>596508</v>
      </c>
      <c r="AR530" s="7">
        <v>2000</v>
      </c>
      <c r="AT530" s="7">
        <v>0</v>
      </c>
      <c r="AV530" s="7">
        <v>0</v>
      </c>
      <c r="AX530" s="7">
        <v>0</v>
      </c>
      <c r="AZ530" s="7">
        <v>0</v>
      </c>
      <c r="BB530" s="7">
        <f t="shared" ref="BB530:BB563" si="151">SUM(G530:AZ530)</f>
        <v>28364855</v>
      </c>
      <c r="BD530" s="7">
        <v>0</v>
      </c>
      <c r="BF530" s="7">
        <v>0</v>
      </c>
      <c r="BH530" s="7">
        <v>0</v>
      </c>
      <c r="BJ530" s="7">
        <v>0</v>
      </c>
      <c r="BL530" s="7">
        <f t="shared" ref="BL530:BL544" si="152">+BB530+BD530+BF530+BJ530</f>
        <v>28364855</v>
      </c>
      <c r="BN530" s="7">
        <f>+GenRev!AM530-GenExp!BL530</f>
        <v>2610183</v>
      </c>
      <c r="BP530" s="7">
        <v>14576234</v>
      </c>
      <c r="BR530" s="7">
        <v>0</v>
      </c>
      <c r="BT530" s="7">
        <v>0</v>
      </c>
      <c r="BV530" s="7">
        <f t="shared" ref="BV530:BV545" si="153">+BP530+BN530-BR530</f>
        <v>17186417</v>
      </c>
      <c r="BX530" s="8">
        <f>+BV530-'Gen Fd BS'!AE530+BT530</f>
        <v>0</v>
      </c>
      <c r="CB530" s="7" t="str">
        <f t="shared" si="142"/>
        <v xml:space="preserve">Talawanda City SD </v>
      </c>
      <c r="CC530" s="7" t="b">
        <f t="shared" si="148"/>
        <v>1</v>
      </c>
      <c r="CE530" s="12" t="str">
        <f>GenRev!A530</f>
        <v xml:space="preserve">Talawanda City SD </v>
      </c>
      <c r="CF530" s="7" t="b">
        <f t="shared" si="143"/>
        <v>1</v>
      </c>
      <c r="CG530" s="7" t="str">
        <f t="shared" si="149"/>
        <v>Butler</v>
      </c>
      <c r="CH530" s="7" t="b">
        <f t="shared" si="150"/>
        <v>1</v>
      </c>
      <c r="CI530" s="7" t="b">
        <f>C530=GenRev!C530</f>
        <v>1</v>
      </c>
    </row>
    <row r="531" spans="1:87">
      <c r="A531" s="12" t="s">
        <v>531</v>
      </c>
      <c r="B531" s="12"/>
      <c r="C531" s="12" t="s">
        <v>63</v>
      </c>
      <c r="D531" s="12"/>
      <c r="E531" s="12">
        <v>44883</v>
      </c>
      <c r="G531" s="7">
        <v>12132682</v>
      </c>
      <c r="I531" s="7">
        <v>2520856</v>
      </c>
      <c r="K531" s="7">
        <v>863608</v>
      </c>
      <c r="M531" s="7">
        <v>1025</v>
      </c>
      <c r="O531" s="7">
        <v>0</v>
      </c>
      <c r="Q531" s="7">
        <v>1220720</v>
      </c>
      <c r="S531" s="7">
        <v>480793</v>
      </c>
      <c r="U531" s="7">
        <v>43871</v>
      </c>
      <c r="W531" s="7">
        <v>1913433</v>
      </c>
      <c r="Y531" s="7">
        <v>760987</v>
      </c>
      <c r="AA531" s="7">
        <v>108928</v>
      </c>
      <c r="AC531" s="7">
        <v>1509182</v>
      </c>
      <c r="AE531" s="7">
        <v>1734137</v>
      </c>
      <c r="AG531" s="7">
        <v>334395</v>
      </c>
      <c r="AI531" s="7">
        <v>0</v>
      </c>
      <c r="AK531" s="7">
        <v>0</v>
      </c>
      <c r="AL531" s="12" t="s">
        <v>531</v>
      </c>
      <c r="AM531" s="12"/>
      <c r="AN531" s="12" t="s">
        <v>63</v>
      </c>
      <c r="AP531" s="7">
        <v>734568</v>
      </c>
      <c r="AR531" s="7">
        <v>0</v>
      </c>
      <c r="AT531" s="7">
        <v>0</v>
      </c>
      <c r="AV531" s="7">
        <v>0</v>
      </c>
      <c r="AX531" s="7">
        <v>0</v>
      </c>
      <c r="AZ531" s="7">
        <v>0</v>
      </c>
      <c r="BB531" s="7">
        <f t="shared" si="151"/>
        <v>24359185</v>
      </c>
      <c r="BD531" s="7">
        <v>0</v>
      </c>
      <c r="BF531" s="7">
        <v>0</v>
      </c>
      <c r="BH531" s="7">
        <v>0</v>
      </c>
      <c r="BJ531" s="7">
        <v>0</v>
      </c>
      <c r="BL531" s="7">
        <f t="shared" si="152"/>
        <v>24359185</v>
      </c>
      <c r="BN531" s="7">
        <f>+GenRev!AM531-GenExp!BL531</f>
        <v>10027</v>
      </c>
      <c r="BP531" s="7">
        <v>1989979</v>
      </c>
      <c r="BR531" s="7">
        <v>0</v>
      </c>
      <c r="BT531" s="7">
        <v>0</v>
      </c>
      <c r="BV531" s="7">
        <f t="shared" si="153"/>
        <v>2000006</v>
      </c>
      <c r="BX531" s="8">
        <f>+BV531-'Gen Fd BS'!AE531+BT531</f>
        <v>0</v>
      </c>
      <c r="CB531" s="7" t="str">
        <f t="shared" si="142"/>
        <v>Tallmadge City SD</v>
      </c>
      <c r="CC531" s="7" t="b">
        <f t="shared" si="148"/>
        <v>1</v>
      </c>
      <c r="CE531" s="12" t="str">
        <f>GenRev!A531</f>
        <v>Tallmadge City SD</v>
      </c>
      <c r="CF531" s="7" t="b">
        <f t="shared" si="143"/>
        <v>1</v>
      </c>
      <c r="CG531" s="7" t="str">
        <f t="shared" si="149"/>
        <v>Summit</v>
      </c>
      <c r="CH531" s="7" t="b">
        <f t="shared" si="150"/>
        <v>1</v>
      </c>
      <c r="CI531" s="7" t="b">
        <f>C531=GenRev!C531</f>
        <v>1</v>
      </c>
    </row>
    <row r="532" spans="1:87">
      <c r="A532" s="12" t="s">
        <v>469</v>
      </c>
      <c r="B532" s="12"/>
      <c r="C532" s="12" t="s">
        <v>54</v>
      </c>
      <c r="D532" s="12"/>
      <c r="E532" s="12">
        <v>49098</v>
      </c>
      <c r="G532" s="7">
        <v>14091422</v>
      </c>
      <c r="I532" s="7">
        <v>2815458</v>
      </c>
      <c r="K532" s="7">
        <v>645121</v>
      </c>
      <c r="M532" s="7">
        <v>0</v>
      </c>
      <c r="O532" s="7">
        <v>204339</v>
      </c>
      <c r="Q532" s="7">
        <v>1222956</v>
      </c>
      <c r="S532" s="7">
        <v>1153090</v>
      </c>
      <c r="U532" s="7">
        <v>52798</v>
      </c>
      <c r="W532" s="7">
        <v>3103239</v>
      </c>
      <c r="Y532" s="7">
        <v>793539</v>
      </c>
      <c r="AA532" s="7">
        <v>215854</v>
      </c>
      <c r="AC532" s="7">
        <v>2777735</v>
      </c>
      <c r="AE532" s="7">
        <v>1716114</v>
      </c>
      <c r="AG532" s="7">
        <v>151818</v>
      </c>
      <c r="AI532" s="7">
        <v>0</v>
      </c>
      <c r="AK532" s="7">
        <v>21715</v>
      </c>
      <c r="AL532" s="12" t="s">
        <v>469</v>
      </c>
      <c r="AM532" s="12"/>
      <c r="AN532" s="12" t="s">
        <v>54</v>
      </c>
      <c r="AP532" s="7">
        <v>485764</v>
      </c>
      <c r="AR532" s="7">
        <v>6069</v>
      </c>
      <c r="AT532" s="7">
        <v>0</v>
      </c>
      <c r="AV532" s="7">
        <v>35744</v>
      </c>
      <c r="AX532" s="7">
        <v>9173</v>
      </c>
      <c r="AZ532" s="7">
        <v>0</v>
      </c>
      <c r="BB532" s="7">
        <f t="shared" si="151"/>
        <v>29501948</v>
      </c>
      <c r="BD532" s="7">
        <v>114224</v>
      </c>
      <c r="BF532" s="7">
        <v>0</v>
      </c>
      <c r="BH532" s="7">
        <v>0</v>
      </c>
      <c r="BJ532" s="7">
        <v>0</v>
      </c>
      <c r="BL532" s="7">
        <f t="shared" si="152"/>
        <v>29616172</v>
      </c>
      <c r="BN532" s="7">
        <f>+GenRev!AM532-GenExp!BL532</f>
        <v>-441681</v>
      </c>
      <c r="BP532" s="7">
        <v>6312056</v>
      </c>
      <c r="BR532" s="7">
        <v>-24418</v>
      </c>
      <c r="BT532" s="7">
        <v>0</v>
      </c>
      <c r="BV532" s="7">
        <f t="shared" si="153"/>
        <v>5894793</v>
      </c>
      <c r="BX532" s="8">
        <f>+BV532-'Gen Fd BS'!AE532+BT532</f>
        <v>0</v>
      </c>
      <c r="CB532" s="7" t="str">
        <f t="shared" ref="CB532:CB595" si="154">A532</f>
        <v>Teays Valley Local SD</v>
      </c>
      <c r="CC532" s="7" t="b">
        <f t="shared" si="148"/>
        <v>1</v>
      </c>
      <c r="CE532" s="12" t="str">
        <f>GenRev!A532</f>
        <v>Teays Valley Local SD</v>
      </c>
      <c r="CF532" s="7" t="b">
        <f t="shared" ref="CF532:CF595" si="155">CB532=CE532</f>
        <v>1</v>
      </c>
      <c r="CG532" s="7" t="str">
        <f t="shared" si="149"/>
        <v>Pickaway</v>
      </c>
      <c r="CH532" s="7" t="b">
        <f t="shared" si="150"/>
        <v>1</v>
      </c>
      <c r="CI532" s="7" t="b">
        <f>C532=GenRev!C532</f>
        <v>1</v>
      </c>
    </row>
    <row r="533" spans="1:87" ht="12.75" customHeight="1">
      <c r="A533" s="12" t="s">
        <v>241</v>
      </c>
      <c r="B533" s="12"/>
      <c r="C533" s="12" t="s">
        <v>17</v>
      </c>
      <c r="D533" s="12"/>
      <c r="E533" s="12">
        <v>46243</v>
      </c>
      <c r="G533" s="7">
        <v>11924185</v>
      </c>
      <c r="I533" s="7">
        <v>2531722</v>
      </c>
      <c r="K533" s="7">
        <v>477323</v>
      </c>
      <c r="M533" s="7">
        <v>0</v>
      </c>
      <c r="O533" s="7">
        <f>30710+1063474</f>
        <v>1094184</v>
      </c>
      <c r="Q533" s="7">
        <v>1646682</v>
      </c>
      <c r="S533" s="7">
        <v>809948</v>
      </c>
      <c r="U533" s="7">
        <v>71175</v>
      </c>
      <c r="W533" s="7">
        <v>2650420</v>
      </c>
      <c r="Y533" s="7">
        <v>579022</v>
      </c>
      <c r="AA533" s="7">
        <v>68760</v>
      </c>
      <c r="AC533" s="7">
        <v>2497559</v>
      </c>
      <c r="AE533" s="7">
        <v>1262927</v>
      </c>
      <c r="AG533" s="7">
        <v>140706</v>
      </c>
      <c r="AI533" s="7">
        <v>0</v>
      </c>
      <c r="AK533" s="7">
        <v>134431</v>
      </c>
      <c r="AL533" s="12" t="s">
        <v>241</v>
      </c>
      <c r="AM533" s="12"/>
      <c r="AN533" s="12" t="s">
        <v>17</v>
      </c>
      <c r="AP533" s="7">
        <v>385093</v>
      </c>
      <c r="AR533" s="7">
        <v>0</v>
      </c>
      <c r="AT533" s="7">
        <v>0</v>
      </c>
      <c r="AV533" s="7">
        <v>0</v>
      </c>
      <c r="AX533" s="7">
        <v>0</v>
      </c>
      <c r="AZ533" s="7">
        <v>0</v>
      </c>
      <c r="BB533" s="7">
        <f t="shared" si="151"/>
        <v>26274137</v>
      </c>
      <c r="BD533" s="7">
        <v>0</v>
      </c>
      <c r="BF533" s="7">
        <v>0</v>
      </c>
      <c r="BH533" s="7">
        <v>0</v>
      </c>
      <c r="BJ533" s="7">
        <v>0</v>
      </c>
      <c r="BL533" s="7">
        <f t="shared" si="152"/>
        <v>26274137</v>
      </c>
      <c r="BN533" s="7">
        <f>+GenRev!AM533-GenExp!BL533</f>
        <v>497493</v>
      </c>
      <c r="BP533" s="7">
        <v>2552472</v>
      </c>
      <c r="BR533" s="7">
        <v>0</v>
      </c>
      <c r="BT533" s="7">
        <v>0</v>
      </c>
      <c r="BV533" s="7">
        <f t="shared" si="153"/>
        <v>3049965</v>
      </c>
      <c r="BX533" s="8">
        <f>+BV533-'Gen Fd BS'!AE533+BT533</f>
        <v>0</v>
      </c>
      <c r="CB533" s="7" t="str">
        <f t="shared" si="154"/>
        <v>Tecumseh Local SD</v>
      </c>
      <c r="CC533" s="7" t="b">
        <f t="shared" si="148"/>
        <v>1</v>
      </c>
      <c r="CE533" s="12" t="str">
        <f>GenRev!A533</f>
        <v>Tecumseh Local SD</v>
      </c>
      <c r="CF533" s="7" t="b">
        <f t="shared" si="155"/>
        <v>1</v>
      </c>
      <c r="CG533" s="7" t="str">
        <f t="shared" si="149"/>
        <v>Clark</v>
      </c>
      <c r="CH533" s="7" t="b">
        <f t="shared" si="150"/>
        <v>1</v>
      </c>
      <c r="CI533" s="7" t="b">
        <f>C533=GenRev!C533</f>
        <v>1</v>
      </c>
    </row>
    <row r="534" spans="1:87">
      <c r="A534" s="12" t="s">
        <v>765</v>
      </c>
      <c r="B534" s="12"/>
      <c r="C534" s="12" t="s">
        <v>32</v>
      </c>
      <c r="D534" s="12"/>
      <c r="E534" s="12">
        <v>47399</v>
      </c>
      <c r="G534" s="7">
        <v>7893466</v>
      </c>
      <c r="I534" s="7">
        <v>2113908</v>
      </c>
      <c r="K534" s="7">
        <v>0</v>
      </c>
      <c r="M534" s="7">
        <v>0</v>
      </c>
      <c r="O534" s="7">
        <v>395975</v>
      </c>
      <c r="Q534" s="7">
        <v>1215623</v>
      </c>
      <c r="S534" s="7">
        <v>1583393</v>
      </c>
      <c r="U534" s="7">
        <v>51995</v>
      </c>
      <c r="W534" s="7">
        <v>1816290</v>
      </c>
      <c r="Y534" s="7">
        <v>551309</v>
      </c>
      <c r="AA534" s="7">
        <v>0</v>
      </c>
      <c r="AC534" s="7">
        <v>1433034</v>
      </c>
      <c r="AE534" s="7">
        <v>1268884</v>
      </c>
      <c r="AG534" s="7">
        <v>643587</v>
      </c>
      <c r="AI534" s="7">
        <v>0</v>
      </c>
      <c r="AK534" s="7">
        <v>45024</v>
      </c>
      <c r="AL534" s="12" t="s">
        <v>765</v>
      </c>
      <c r="AM534" s="12"/>
      <c r="AN534" s="12" t="s">
        <v>32</v>
      </c>
      <c r="AP534" s="7">
        <v>370039</v>
      </c>
      <c r="AR534" s="7">
        <v>17085</v>
      </c>
      <c r="AT534" s="7">
        <v>0</v>
      </c>
      <c r="AV534" s="7">
        <v>0</v>
      </c>
      <c r="AX534" s="7">
        <v>337467</v>
      </c>
      <c r="AZ534" s="7">
        <v>0</v>
      </c>
      <c r="BB534" s="7">
        <f t="shared" si="151"/>
        <v>19737079</v>
      </c>
      <c r="BD534" s="7">
        <v>66326</v>
      </c>
      <c r="BF534" s="7">
        <v>0</v>
      </c>
      <c r="BH534" s="7">
        <v>0</v>
      </c>
      <c r="BJ534" s="7">
        <v>265200</v>
      </c>
      <c r="BL534" s="7">
        <f t="shared" si="152"/>
        <v>20068605</v>
      </c>
      <c r="BN534" s="7">
        <f>+GenRev!AM534-GenExp!BL534</f>
        <v>1391694</v>
      </c>
      <c r="BP534" s="7">
        <v>9368255</v>
      </c>
      <c r="BR534" s="7">
        <v>0</v>
      </c>
      <c r="BT534" s="7">
        <v>0</v>
      </c>
      <c r="BV534" s="7">
        <f t="shared" si="153"/>
        <v>10759949</v>
      </c>
      <c r="BX534" s="8">
        <f>+BV534-'Gen Fd BS'!AE534+BT534</f>
        <v>0</v>
      </c>
      <c r="CB534" s="7" t="str">
        <f t="shared" si="154"/>
        <v xml:space="preserve">Three Rivers Local SD </v>
      </c>
      <c r="CC534" s="7" t="b">
        <f t="shared" si="148"/>
        <v>1</v>
      </c>
      <c r="CE534" s="12" t="str">
        <f>GenRev!A534</f>
        <v xml:space="preserve">Three Rivers Local SD </v>
      </c>
      <c r="CF534" s="7" t="b">
        <f t="shared" si="155"/>
        <v>1</v>
      </c>
      <c r="CG534" s="7" t="str">
        <f t="shared" si="149"/>
        <v>Hamilton</v>
      </c>
      <c r="CH534" s="7" t="b">
        <f t="shared" si="150"/>
        <v>1</v>
      </c>
      <c r="CI534" s="7" t="b">
        <f>C534=GenRev!C534</f>
        <v>1</v>
      </c>
    </row>
    <row r="535" spans="1:87">
      <c r="A535" s="12" t="s">
        <v>503</v>
      </c>
      <c r="B535" s="12"/>
      <c r="C535" s="12" t="s">
        <v>60</v>
      </c>
      <c r="D535" s="12"/>
      <c r="E535" s="12">
        <v>44891</v>
      </c>
      <c r="G535" s="7">
        <v>10176033</v>
      </c>
      <c r="I535" s="7">
        <v>3949913</v>
      </c>
      <c r="K535" s="7">
        <v>233828</v>
      </c>
      <c r="M535" s="7">
        <v>0</v>
      </c>
      <c r="O535" s="7">
        <v>10751</v>
      </c>
      <c r="Q535" s="7">
        <v>963244</v>
      </c>
      <c r="S535" s="7">
        <v>1039011</v>
      </c>
      <c r="U535" s="7">
        <v>37763</v>
      </c>
      <c r="W535" s="7">
        <v>2095014</v>
      </c>
      <c r="Y535" s="7">
        <v>605354</v>
      </c>
      <c r="AA535" s="7">
        <v>46238</v>
      </c>
      <c r="AC535" s="7">
        <v>2276619</v>
      </c>
      <c r="AE535" s="7">
        <v>818444</v>
      </c>
      <c r="AG535" s="7">
        <v>26391</v>
      </c>
      <c r="AI535" s="7">
        <v>0</v>
      </c>
      <c r="AK535" s="7">
        <v>0</v>
      </c>
      <c r="AL535" s="12" t="s">
        <v>503</v>
      </c>
      <c r="AM535" s="12"/>
      <c r="AN535" s="12" t="s">
        <v>60</v>
      </c>
      <c r="AP535" s="7">
        <v>310801</v>
      </c>
      <c r="AR535" s="7">
        <v>22816</v>
      </c>
      <c r="AT535" s="7">
        <v>0</v>
      </c>
      <c r="AV535" s="7">
        <v>158067</v>
      </c>
      <c r="AX535" s="7">
        <v>45530</v>
      </c>
      <c r="AZ535" s="7">
        <v>0</v>
      </c>
      <c r="BB535" s="7">
        <f t="shared" si="151"/>
        <v>22815817</v>
      </c>
      <c r="BD535" s="7">
        <v>0</v>
      </c>
      <c r="BF535" s="7">
        <v>0</v>
      </c>
      <c r="BH535" s="7">
        <v>0</v>
      </c>
      <c r="BJ535" s="7">
        <v>0</v>
      </c>
      <c r="BL535" s="7">
        <f t="shared" si="152"/>
        <v>22815817</v>
      </c>
      <c r="BN535" s="7">
        <f>+GenRev!AM535-GenExp!BL535</f>
        <v>1285228</v>
      </c>
      <c r="BP535" s="7">
        <v>2986321</v>
      </c>
      <c r="BR535" s="7">
        <v>0</v>
      </c>
      <c r="BT535" s="7">
        <v>0</v>
      </c>
      <c r="BV535" s="7">
        <f t="shared" si="153"/>
        <v>4271549</v>
      </c>
      <c r="BX535" s="8">
        <f>+BV535-'Gen Fd BS'!AE535+BT535</f>
        <v>0</v>
      </c>
      <c r="CB535" s="7" t="str">
        <f t="shared" si="154"/>
        <v>Tiffin City SD</v>
      </c>
      <c r="CC535" s="7" t="b">
        <f t="shared" si="148"/>
        <v>1</v>
      </c>
      <c r="CE535" s="12" t="str">
        <f>GenRev!A535</f>
        <v>Tiffin City SD</v>
      </c>
      <c r="CF535" s="7" t="b">
        <f t="shared" si="155"/>
        <v>1</v>
      </c>
      <c r="CG535" s="7" t="str">
        <f t="shared" si="149"/>
        <v>Seneca</v>
      </c>
      <c r="CH535" s="7" t="b">
        <f t="shared" si="150"/>
        <v>1</v>
      </c>
      <c r="CI535" s="7" t="b">
        <f>C535=GenRev!C535</f>
        <v>1</v>
      </c>
    </row>
    <row r="536" spans="1:87">
      <c r="A536" s="12" t="s">
        <v>887</v>
      </c>
      <c r="B536" s="12"/>
      <c r="C536" s="12" t="s">
        <v>48</v>
      </c>
      <c r="D536" s="12"/>
      <c r="E536" s="12">
        <v>45617</v>
      </c>
      <c r="G536" s="7">
        <v>13713939</v>
      </c>
      <c r="I536" s="7">
        <v>0</v>
      </c>
      <c r="K536" s="7">
        <v>0</v>
      </c>
      <c r="M536" s="7">
        <v>0</v>
      </c>
      <c r="O536" s="7">
        <v>0</v>
      </c>
      <c r="Q536" s="7">
        <v>1050713</v>
      </c>
      <c r="S536" s="7">
        <v>1242881</v>
      </c>
      <c r="U536" s="7">
        <v>17327</v>
      </c>
      <c r="W536" s="7">
        <v>1076802</v>
      </c>
      <c r="Y536" s="7">
        <v>578482</v>
      </c>
      <c r="AA536" s="7">
        <v>122641</v>
      </c>
      <c r="AC536" s="7">
        <v>2200547</v>
      </c>
      <c r="AE536" s="7">
        <v>938186</v>
      </c>
      <c r="AG536" s="7">
        <v>335419</v>
      </c>
      <c r="AI536" s="7">
        <v>0</v>
      </c>
      <c r="AK536" s="7">
        <v>7738</v>
      </c>
      <c r="AL536" s="12" t="s">
        <v>887</v>
      </c>
      <c r="AM536" s="12"/>
      <c r="AN536" s="12" t="s">
        <v>48</v>
      </c>
      <c r="AP536" s="7">
        <v>746080</v>
      </c>
      <c r="AR536" s="7">
        <v>0</v>
      </c>
      <c r="AT536" s="7">
        <v>0</v>
      </c>
      <c r="AV536" s="7">
        <v>60019</v>
      </c>
      <c r="AX536" s="7">
        <v>16035</v>
      </c>
      <c r="AZ536" s="7">
        <v>0</v>
      </c>
      <c r="BB536" s="7">
        <f t="shared" si="151"/>
        <v>22106809</v>
      </c>
      <c r="BD536" s="7">
        <v>32000</v>
      </c>
      <c r="BF536" s="7">
        <v>0</v>
      </c>
      <c r="BH536" s="7">
        <v>0</v>
      </c>
      <c r="BJ536" s="7">
        <v>0</v>
      </c>
      <c r="BL536" s="7">
        <f t="shared" si="152"/>
        <v>22138809</v>
      </c>
      <c r="BN536" s="7">
        <f>+GenRev!AM536-GenExp!BL536</f>
        <v>-71536</v>
      </c>
      <c r="BP536" s="7">
        <v>754728</v>
      </c>
      <c r="BR536" s="7">
        <v>0</v>
      </c>
      <c r="BT536" s="7">
        <v>0</v>
      </c>
      <c r="BV536" s="7">
        <f t="shared" si="153"/>
        <v>683192</v>
      </c>
      <c r="BX536" s="8">
        <f>+BV536-'Gen Fd BS'!AE536+BT536</f>
        <v>0</v>
      </c>
      <c r="CB536" s="7" t="str">
        <f t="shared" si="154"/>
        <v>Tipp City Exempted Village SD</v>
      </c>
      <c r="CC536" s="7" t="b">
        <f t="shared" si="148"/>
        <v>1</v>
      </c>
      <c r="CE536" s="12" t="str">
        <f>GenRev!A536</f>
        <v>Tipp City Exempted Village SD</v>
      </c>
      <c r="CF536" s="7" t="b">
        <f t="shared" si="155"/>
        <v>1</v>
      </c>
      <c r="CG536" s="7" t="str">
        <f t="shared" si="149"/>
        <v>Miami</v>
      </c>
      <c r="CH536" s="7" t="b">
        <f t="shared" si="150"/>
        <v>1</v>
      </c>
      <c r="CI536" s="7" t="b">
        <f>C536=GenRev!C536</f>
        <v>1</v>
      </c>
    </row>
    <row r="537" spans="1:87">
      <c r="A537" s="12" t="s">
        <v>408</v>
      </c>
      <c r="B537" s="12"/>
      <c r="C537" s="12" t="s">
        <v>115</v>
      </c>
      <c r="D537" s="12"/>
      <c r="E537" s="12">
        <v>44909</v>
      </c>
      <c r="G537" s="7">
        <v>195854434</v>
      </c>
      <c r="I537" s="7">
        <v>0</v>
      </c>
      <c r="K537" s="7">
        <v>0</v>
      </c>
      <c r="M537" s="7">
        <v>0</v>
      </c>
      <c r="O537" s="7">
        <v>0</v>
      </c>
      <c r="Q537" s="7">
        <v>95782965</v>
      </c>
      <c r="S537" s="7">
        <v>0</v>
      </c>
      <c r="U537" s="7">
        <v>0</v>
      </c>
      <c r="W537" s="7">
        <v>0</v>
      </c>
      <c r="Y537" s="7">
        <v>0</v>
      </c>
      <c r="AA537" s="7">
        <v>0</v>
      </c>
      <c r="AC537" s="7">
        <v>0</v>
      </c>
      <c r="AE537" s="7">
        <v>0</v>
      </c>
      <c r="AG537" s="7">
        <v>0</v>
      </c>
      <c r="AI537" s="7">
        <v>0</v>
      </c>
      <c r="AK537" s="7">
        <v>16113178</v>
      </c>
      <c r="AL537" s="12" t="s">
        <v>408</v>
      </c>
      <c r="AM537" s="12"/>
      <c r="AN537" s="12" t="s">
        <v>115</v>
      </c>
      <c r="AP537" s="7">
        <v>2998561</v>
      </c>
      <c r="AR537" s="7">
        <v>271309</v>
      </c>
      <c r="AT537" s="7">
        <v>0</v>
      </c>
      <c r="AV537" s="7">
        <v>0</v>
      </c>
      <c r="AX537" s="7">
        <v>0</v>
      </c>
      <c r="AZ537" s="7">
        <v>0</v>
      </c>
      <c r="BB537" s="7">
        <f t="shared" si="151"/>
        <v>311020447</v>
      </c>
      <c r="BD537" s="7">
        <v>2099747</v>
      </c>
      <c r="BF537" s="7">
        <v>0</v>
      </c>
      <c r="BH537" s="7">
        <v>0</v>
      </c>
      <c r="BJ537" s="7">
        <v>0</v>
      </c>
      <c r="BL537" s="7">
        <f t="shared" si="152"/>
        <v>313120194</v>
      </c>
      <c r="BN537" s="7">
        <f>+GenRev!AM537-GenExp!BL537</f>
        <v>312122</v>
      </c>
      <c r="BP537" s="7">
        <v>-11468054</v>
      </c>
      <c r="BR537" s="7">
        <v>0</v>
      </c>
      <c r="BT537" s="7">
        <v>0</v>
      </c>
      <c r="BV537" s="7">
        <f t="shared" si="153"/>
        <v>-11155932</v>
      </c>
      <c r="BX537" s="8">
        <f>+BV537-'Gen Fd BS'!AE537+BT537</f>
        <v>0</v>
      </c>
      <c r="CB537" s="7" t="str">
        <f t="shared" si="154"/>
        <v>Toledo City SD</v>
      </c>
      <c r="CC537" s="7" t="b">
        <f t="shared" si="148"/>
        <v>1</v>
      </c>
      <c r="CE537" s="12" t="str">
        <f>GenRev!A537</f>
        <v>Toledo City SD</v>
      </c>
      <c r="CF537" s="7" t="b">
        <f t="shared" si="155"/>
        <v>1</v>
      </c>
      <c r="CG537" s="7" t="str">
        <f t="shared" si="149"/>
        <v>Lucas</v>
      </c>
      <c r="CH537" s="7" t="b">
        <f t="shared" si="150"/>
        <v>1</v>
      </c>
      <c r="CI537" s="7" t="b">
        <f>C537=GenRev!C537</f>
        <v>1</v>
      </c>
    </row>
    <row r="538" spans="1:87" hidden="1">
      <c r="A538" s="12" t="s">
        <v>731</v>
      </c>
      <c r="B538" s="12"/>
      <c r="C538" s="12" t="s">
        <v>115</v>
      </c>
      <c r="D538" s="12"/>
      <c r="E538" s="12"/>
      <c r="AL538" s="12" t="s">
        <v>731</v>
      </c>
      <c r="AM538" s="12"/>
      <c r="AN538" s="12" t="s">
        <v>115</v>
      </c>
      <c r="BB538" s="7">
        <f t="shared" si="151"/>
        <v>0</v>
      </c>
      <c r="BL538" s="7">
        <f t="shared" si="152"/>
        <v>0</v>
      </c>
      <c r="BN538" s="7">
        <f>+GenRev!AM538-GenExp!BL538</f>
        <v>0</v>
      </c>
      <c r="BT538" s="7">
        <v>0</v>
      </c>
      <c r="BV538" s="7">
        <f t="shared" si="153"/>
        <v>0</v>
      </c>
      <c r="BX538" s="8">
        <f>+BV538-'Gen Fd BS'!AE538+BT538</f>
        <v>0</v>
      </c>
      <c r="CA538" s="7" t="s">
        <v>794</v>
      </c>
      <c r="CB538" s="7" t="str">
        <f t="shared" si="154"/>
        <v>Toledo School for the Arts</v>
      </c>
      <c r="CC538" s="7" t="b">
        <f t="shared" si="148"/>
        <v>1</v>
      </c>
      <c r="CE538" s="12" t="str">
        <f>GenRev!A538</f>
        <v>Toledo School for the Arts</v>
      </c>
      <c r="CF538" s="7" t="b">
        <f t="shared" si="155"/>
        <v>1</v>
      </c>
      <c r="CG538" s="7" t="str">
        <f t="shared" si="149"/>
        <v>Lucas</v>
      </c>
      <c r="CH538" s="7" t="b">
        <f t="shared" si="150"/>
        <v>1</v>
      </c>
      <c r="CI538" s="7" t="b">
        <f>C538=GenRev!C538</f>
        <v>1</v>
      </c>
    </row>
    <row r="539" spans="1:87">
      <c r="A539" s="12" t="s">
        <v>766</v>
      </c>
      <c r="B539" s="12"/>
      <c r="C539" s="12" t="s">
        <v>39</v>
      </c>
      <c r="D539" s="12"/>
      <c r="E539" s="12">
        <v>44917</v>
      </c>
      <c r="G539" s="7">
        <v>2887328</v>
      </c>
      <c r="I539" s="7">
        <v>568387</v>
      </c>
      <c r="K539" s="7">
        <v>121914</v>
      </c>
      <c r="M539" s="7">
        <v>0</v>
      </c>
      <c r="O539" s="7">
        <f>84641+625479</f>
        <v>710120</v>
      </c>
      <c r="Q539" s="7">
        <v>239449</v>
      </c>
      <c r="S539" s="7">
        <v>139760</v>
      </c>
      <c r="U539" s="7">
        <v>10355</v>
      </c>
      <c r="W539" s="7">
        <v>897099</v>
      </c>
      <c r="Y539" s="7">
        <v>307965</v>
      </c>
      <c r="AA539" s="7">
        <v>65715</v>
      </c>
      <c r="AC539" s="7">
        <v>821560</v>
      </c>
      <c r="AE539" s="7">
        <v>124722</v>
      </c>
      <c r="AG539" s="7">
        <v>0</v>
      </c>
      <c r="AI539" s="7">
        <v>0</v>
      </c>
      <c r="AK539" s="7">
        <v>1520</v>
      </c>
      <c r="AL539" s="12" t="s">
        <v>766</v>
      </c>
      <c r="AM539" s="12"/>
      <c r="AN539" s="12" t="s">
        <v>39</v>
      </c>
      <c r="AP539" s="7">
        <v>186351</v>
      </c>
      <c r="AR539" s="7">
        <v>48614</v>
      </c>
      <c r="AT539" s="7">
        <v>0</v>
      </c>
      <c r="AV539" s="7">
        <v>9607</v>
      </c>
      <c r="AX539" s="7">
        <v>1460</v>
      </c>
      <c r="AZ539" s="7">
        <v>0</v>
      </c>
      <c r="BB539" s="7">
        <f t="shared" si="151"/>
        <v>7141926</v>
      </c>
      <c r="BD539" s="7">
        <v>20000</v>
      </c>
      <c r="BF539" s="7">
        <v>0</v>
      </c>
      <c r="BH539" s="7">
        <v>0</v>
      </c>
      <c r="BJ539" s="7">
        <v>0</v>
      </c>
      <c r="BL539" s="7">
        <f t="shared" si="152"/>
        <v>7161926</v>
      </c>
      <c r="BN539" s="7">
        <f>+GenRev!AM539-GenExp!BL539</f>
        <v>-783181</v>
      </c>
      <c r="BP539" s="7">
        <v>2232423</v>
      </c>
      <c r="BR539" s="7">
        <v>0</v>
      </c>
      <c r="BT539" s="7">
        <v>0</v>
      </c>
      <c r="BV539" s="7">
        <f t="shared" si="153"/>
        <v>1449242</v>
      </c>
      <c r="BX539" s="8">
        <f>+BV539-'Gen Fd BS'!AE539+BT539</f>
        <v>0</v>
      </c>
      <c r="CA539" s="7" t="s">
        <v>788</v>
      </c>
      <c r="CB539" s="7" t="str">
        <f t="shared" si="154"/>
        <v xml:space="preserve">Toronto City SD  </v>
      </c>
      <c r="CC539" s="7" t="b">
        <f t="shared" si="148"/>
        <v>1</v>
      </c>
      <c r="CE539" s="12" t="str">
        <f>GenRev!A539</f>
        <v xml:space="preserve">Toronto City SD  </v>
      </c>
      <c r="CF539" s="7" t="b">
        <f t="shared" si="155"/>
        <v>1</v>
      </c>
      <c r="CG539" s="7" t="str">
        <f t="shared" si="149"/>
        <v>Jefferson</v>
      </c>
      <c r="CH539" s="7" t="b">
        <f t="shared" si="150"/>
        <v>1</v>
      </c>
      <c r="CI539" s="7" t="b">
        <f>C539=GenRev!C539</f>
        <v>1</v>
      </c>
    </row>
    <row r="540" spans="1:87">
      <c r="A540" s="12" t="s">
        <v>233</v>
      </c>
      <c r="B540" s="12"/>
      <c r="C540" s="12" t="s">
        <v>232</v>
      </c>
      <c r="D540" s="12"/>
      <c r="E540" s="12">
        <v>46201</v>
      </c>
      <c r="G540" s="7">
        <v>4378230</v>
      </c>
      <c r="I540" s="7">
        <v>1010971</v>
      </c>
      <c r="K540" s="7">
        <v>231601</v>
      </c>
      <c r="M540" s="7">
        <v>0</v>
      </c>
      <c r="O540" s="7">
        <v>0</v>
      </c>
      <c r="Q540" s="7">
        <v>281743</v>
      </c>
      <c r="S540" s="7">
        <v>232151</v>
      </c>
      <c r="U540" s="7">
        <v>61517</v>
      </c>
      <c r="W540" s="7">
        <v>865931</v>
      </c>
      <c r="Y540" s="7">
        <v>305116</v>
      </c>
      <c r="AA540" s="7">
        <v>6823</v>
      </c>
      <c r="AC540" s="7">
        <v>1104676</v>
      </c>
      <c r="AE540" s="7">
        <v>578443</v>
      </c>
      <c r="AG540" s="7">
        <v>191297</v>
      </c>
      <c r="AI540" s="7">
        <v>0</v>
      </c>
      <c r="AK540" s="7">
        <v>0</v>
      </c>
      <c r="AL540" s="12" t="s">
        <v>233</v>
      </c>
      <c r="AM540" s="12"/>
      <c r="AN540" s="12" t="s">
        <v>232</v>
      </c>
      <c r="AP540" s="7">
        <v>285441</v>
      </c>
      <c r="AR540" s="7">
        <v>0</v>
      </c>
      <c r="AT540" s="7">
        <v>0</v>
      </c>
      <c r="AV540" s="7">
        <v>0</v>
      </c>
      <c r="AX540" s="7">
        <v>0</v>
      </c>
      <c r="AZ540" s="7">
        <v>0</v>
      </c>
      <c r="BB540" s="7">
        <f t="shared" si="151"/>
        <v>9533940</v>
      </c>
      <c r="BD540" s="7">
        <v>165778</v>
      </c>
      <c r="BF540" s="7">
        <v>0</v>
      </c>
      <c r="BH540" s="7">
        <v>0</v>
      </c>
      <c r="BJ540" s="7">
        <v>0</v>
      </c>
      <c r="BL540" s="7">
        <f t="shared" si="152"/>
        <v>9699718</v>
      </c>
      <c r="BN540" s="7">
        <f>+GenRev!AM540-GenExp!BL540</f>
        <v>-84068</v>
      </c>
      <c r="BP540" s="7">
        <v>1034738</v>
      </c>
      <c r="BR540" s="7">
        <v>0</v>
      </c>
      <c r="BT540" s="7">
        <v>0</v>
      </c>
      <c r="BV540" s="7">
        <f t="shared" si="153"/>
        <v>950670</v>
      </c>
      <c r="BX540" s="8">
        <f>+BV540-'Gen Fd BS'!AE540+BT540</f>
        <v>0</v>
      </c>
      <c r="CB540" s="7" t="str">
        <f t="shared" si="154"/>
        <v>Triad Local SD</v>
      </c>
      <c r="CC540" s="7" t="b">
        <f t="shared" si="148"/>
        <v>1</v>
      </c>
      <c r="CE540" s="12" t="str">
        <f>GenRev!A540</f>
        <v>Triad Local SD</v>
      </c>
      <c r="CF540" s="7" t="b">
        <f t="shared" si="155"/>
        <v>1</v>
      </c>
      <c r="CG540" s="7" t="str">
        <f t="shared" si="149"/>
        <v>Champaign</v>
      </c>
      <c r="CH540" s="7" t="b">
        <f t="shared" si="150"/>
        <v>1</v>
      </c>
      <c r="CI540" s="7" t="b">
        <f>C540=GenRev!C540</f>
        <v>1</v>
      </c>
    </row>
    <row r="541" spans="1:87" s="32" customFormat="1">
      <c r="A541" s="31" t="s">
        <v>481</v>
      </c>
      <c r="B541" s="31"/>
      <c r="C541" s="31" t="s">
        <v>57</v>
      </c>
      <c r="D541" s="31"/>
      <c r="E541" s="31">
        <v>91397</v>
      </c>
      <c r="F541" s="37"/>
      <c r="G541" s="32">
        <v>4689648</v>
      </c>
      <c r="I541" s="32">
        <v>890869</v>
      </c>
      <c r="K541" s="32">
        <v>66681</v>
      </c>
      <c r="M541" s="32">
        <v>0</v>
      </c>
      <c r="O541" s="32">
        <v>0</v>
      </c>
      <c r="Q541" s="32">
        <v>418171</v>
      </c>
      <c r="S541" s="32">
        <v>382249</v>
      </c>
      <c r="U541" s="32">
        <v>22562</v>
      </c>
      <c r="W541" s="32">
        <v>1093086</v>
      </c>
      <c r="Y541" s="32">
        <v>225770</v>
      </c>
      <c r="AA541" s="32">
        <v>0</v>
      </c>
      <c r="AC541" s="32">
        <v>567130</v>
      </c>
      <c r="AE541" s="32">
        <v>528068</v>
      </c>
      <c r="AG541" s="32">
        <v>29216</v>
      </c>
      <c r="AI541" s="32">
        <v>0</v>
      </c>
      <c r="AK541" s="32">
        <v>0</v>
      </c>
      <c r="AL541" s="31" t="s">
        <v>481</v>
      </c>
      <c r="AM541" s="31"/>
      <c r="AN541" s="31" t="s">
        <v>57</v>
      </c>
      <c r="AP541" s="32">
        <v>322423</v>
      </c>
      <c r="AR541" s="32">
        <v>0</v>
      </c>
      <c r="AT541" s="32">
        <v>0</v>
      </c>
      <c r="AV541" s="32">
        <v>0</v>
      </c>
      <c r="AX541" s="32">
        <v>0</v>
      </c>
      <c r="AZ541" s="32">
        <v>0</v>
      </c>
      <c r="BB541" s="32">
        <f t="shared" si="151"/>
        <v>9235873</v>
      </c>
      <c r="BD541" s="32">
        <v>391</v>
      </c>
      <c r="BF541" s="32">
        <v>0</v>
      </c>
      <c r="BH541" s="32">
        <v>0</v>
      </c>
      <c r="BJ541" s="32">
        <v>0</v>
      </c>
      <c r="BL541" s="32">
        <f t="shared" si="152"/>
        <v>9236264</v>
      </c>
      <c r="BN541" s="32">
        <f>+GenRev!AM541-GenExp!BL541</f>
        <v>-277555</v>
      </c>
      <c r="BP541" s="32">
        <v>3136911</v>
      </c>
      <c r="BR541" s="32">
        <v>0</v>
      </c>
      <c r="BT541" s="32">
        <v>0</v>
      </c>
      <c r="BV541" s="32">
        <f t="shared" si="153"/>
        <v>2859356</v>
      </c>
      <c r="BX541" s="36">
        <f>+BV541-'Gen Fd BS'!AE541+BT541</f>
        <v>0</v>
      </c>
      <c r="CB541" s="32" t="str">
        <f t="shared" si="154"/>
        <v>Tri-County North Local SD</v>
      </c>
      <c r="CC541" s="32" t="b">
        <f t="shared" si="148"/>
        <v>1</v>
      </c>
      <c r="CE541" s="31" t="str">
        <f>GenRev!A541</f>
        <v>Tri-County North Local SD</v>
      </c>
      <c r="CF541" s="32" t="b">
        <f t="shared" si="155"/>
        <v>1</v>
      </c>
      <c r="CG541" s="32" t="str">
        <f t="shared" si="149"/>
        <v>Preble</v>
      </c>
      <c r="CH541" s="32" t="b">
        <f t="shared" si="150"/>
        <v>1</v>
      </c>
      <c r="CI541" s="32" t="b">
        <f>C541=GenRev!C541</f>
        <v>1</v>
      </c>
    </row>
    <row r="542" spans="1:87">
      <c r="A542" s="12" t="s">
        <v>213</v>
      </c>
      <c r="B542" s="12"/>
      <c r="C542" s="12" t="s">
        <v>13</v>
      </c>
      <c r="D542" s="12"/>
      <c r="E542" s="12">
        <v>45922</v>
      </c>
      <c r="G542" s="7">
        <v>3087057</v>
      </c>
      <c r="I542" s="7">
        <v>902966</v>
      </c>
      <c r="K542" s="7">
        <v>875</v>
      </c>
      <c r="M542" s="7">
        <v>0</v>
      </c>
      <c r="O542" s="7">
        <f>34950+620788</f>
        <v>655738</v>
      </c>
      <c r="Q542" s="7">
        <v>372538</v>
      </c>
      <c r="S542" s="7">
        <v>80594</v>
      </c>
      <c r="U542" s="7">
        <v>99070</v>
      </c>
      <c r="W542" s="7">
        <v>324507</v>
      </c>
      <c r="Y542" s="7">
        <v>283568</v>
      </c>
      <c r="AA542" s="7">
        <v>0</v>
      </c>
      <c r="AC542" s="7">
        <v>869050</v>
      </c>
      <c r="AE542" s="7">
        <v>581830</v>
      </c>
      <c r="AG542" s="7">
        <v>22677</v>
      </c>
      <c r="AI542" s="7">
        <v>0</v>
      </c>
      <c r="AK542" s="7">
        <v>-212</v>
      </c>
      <c r="AL542" s="12" t="s">
        <v>213</v>
      </c>
      <c r="AM542" s="12"/>
      <c r="AN542" s="12" t="s">
        <v>13</v>
      </c>
      <c r="AP542" s="7">
        <v>114059</v>
      </c>
      <c r="AR542" s="7">
        <v>2000</v>
      </c>
      <c r="AT542" s="7">
        <v>0</v>
      </c>
      <c r="AV542" s="7">
        <v>27566</v>
      </c>
      <c r="AX542" s="7">
        <v>2018</v>
      </c>
      <c r="AZ542" s="7">
        <v>0</v>
      </c>
      <c r="BB542" s="7">
        <f t="shared" si="151"/>
        <v>7425901</v>
      </c>
      <c r="BD542" s="7">
        <v>12552</v>
      </c>
      <c r="BF542" s="7">
        <v>0</v>
      </c>
      <c r="BH542" s="7">
        <v>0</v>
      </c>
      <c r="BJ542" s="7">
        <v>0</v>
      </c>
      <c r="BL542" s="7">
        <f t="shared" si="152"/>
        <v>7438453</v>
      </c>
      <c r="BN542" s="7">
        <f>+GenRev!AM542-GenExp!BL542</f>
        <v>617386</v>
      </c>
      <c r="BP542" s="7">
        <v>-290999</v>
      </c>
      <c r="BR542" s="7">
        <v>0</v>
      </c>
      <c r="BT542" s="7">
        <v>0</v>
      </c>
      <c r="BV542" s="7">
        <f t="shared" si="153"/>
        <v>326387</v>
      </c>
      <c r="BX542" s="8">
        <f>+BV542-'Gen Fd BS'!AE542+BT542</f>
        <v>0</v>
      </c>
      <c r="CB542" s="7" t="str">
        <f t="shared" si="154"/>
        <v>Trimble Local SD</v>
      </c>
      <c r="CC542" s="7" t="b">
        <f t="shared" si="148"/>
        <v>1</v>
      </c>
      <c r="CE542" s="12" t="str">
        <f>GenRev!A542</f>
        <v>Trimble Local SD</v>
      </c>
      <c r="CF542" s="7" t="b">
        <f t="shared" si="155"/>
        <v>1</v>
      </c>
      <c r="CG542" s="7" t="str">
        <f t="shared" si="149"/>
        <v>Athens</v>
      </c>
      <c r="CH542" s="7" t="b">
        <f t="shared" si="150"/>
        <v>1</v>
      </c>
      <c r="CI542" s="7" t="b">
        <f>C542=GenRev!C542</f>
        <v>1</v>
      </c>
    </row>
    <row r="543" spans="1:87">
      <c r="A543" s="12" t="s">
        <v>459</v>
      </c>
      <c r="B543" s="12"/>
      <c r="C543" s="12" t="s">
        <v>51</v>
      </c>
      <c r="D543" s="12"/>
      <c r="E543" s="12">
        <v>48876</v>
      </c>
      <c r="F543" s="10"/>
      <c r="G543" s="7">
        <v>10503009</v>
      </c>
      <c r="I543" s="7">
        <v>2302376</v>
      </c>
      <c r="K543" s="7">
        <v>310344</v>
      </c>
      <c r="M543" s="7">
        <v>0</v>
      </c>
      <c r="O543" s="7">
        <v>43754</v>
      </c>
      <c r="Q543" s="7">
        <v>501137</v>
      </c>
      <c r="S543" s="7">
        <v>1278121</v>
      </c>
      <c r="U543" s="7">
        <v>915946</v>
      </c>
      <c r="W543" s="7">
        <v>2232382</v>
      </c>
      <c r="Y543" s="7">
        <v>452442</v>
      </c>
      <c r="AA543" s="7">
        <v>0</v>
      </c>
      <c r="AC543" s="7">
        <v>1683190</v>
      </c>
      <c r="AE543" s="7">
        <v>1856743</v>
      </c>
      <c r="AG543" s="7">
        <v>405910</v>
      </c>
      <c r="AI543" s="7">
        <v>0</v>
      </c>
      <c r="AK543" s="7">
        <v>0</v>
      </c>
      <c r="AL543" s="12" t="s">
        <v>459</v>
      </c>
      <c r="AM543" s="12"/>
      <c r="AN543" s="12" t="s">
        <v>51</v>
      </c>
      <c r="AP543" s="7">
        <v>17954</v>
      </c>
      <c r="AR543" s="7">
        <v>17065</v>
      </c>
      <c r="AT543" s="7">
        <v>0</v>
      </c>
      <c r="AV543" s="7">
        <v>21234</v>
      </c>
      <c r="AX543" s="7">
        <v>1008</v>
      </c>
      <c r="AZ543" s="7">
        <v>0</v>
      </c>
      <c r="BB543" s="7">
        <f t="shared" si="151"/>
        <v>22542615</v>
      </c>
      <c r="BD543" s="7">
        <v>0</v>
      </c>
      <c r="BF543" s="7">
        <v>0</v>
      </c>
      <c r="BH543" s="7">
        <v>0</v>
      </c>
      <c r="BJ543" s="7">
        <v>0</v>
      </c>
      <c r="BL543" s="7">
        <f t="shared" si="152"/>
        <v>22542615</v>
      </c>
      <c r="BN543" s="7">
        <f>+GenRev!AM543-GenExp!BL543</f>
        <v>1906058</v>
      </c>
      <c r="BP543" s="7">
        <v>-1638968</v>
      </c>
      <c r="BR543" s="7">
        <v>0</v>
      </c>
      <c r="BT543" s="7">
        <v>0</v>
      </c>
      <c r="BV543" s="7">
        <f t="shared" si="153"/>
        <v>267090</v>
      </c>
      <c r="BX543" s="8">
        <f>+BV543-'Gen Fd BS'!AE543+BT543</f>
        <v>0</v>
      </c>
      <c r="CB543" s="7" t="str">
        <f t="shared" si="154"/>
        <v>Tri-Valley Local SD</v>
      </c>
      <c r="CC543" s="7" t="b">
        <f t="shared" si="148"/>
        <v>1</v>
      </c>
      <c r="CE543" s="12" t="str">
        <f>GenRev!A543</f>
        <v>Tri-Valley Local SD</v>
      </c>
      <c r="CF543" s="7" t="b">
        <f t="shared" si="155"/>
        <v>1</v>
      </c>
      <c r="CG543" s="7" t="str">
        <f t="shared" si="149"/>
        <v>Muskingum</v>
      </c>
      <c r="CH543" s="7" t="b">
        <f t="shared" si="150"/>
        <v>1</v>
      </c>
      <c r="CI543" s="7" t="b">
        <f>C543=GenRev!C543</f>
        <v>1</v>
      </c>
    </row>
    <row r="544" spans="1:87" hidden="1">
      <c r="A544" s="12" t="s">
        <v>726</v>
      </c>
      <c r="B544" s="12"/>
      <c r="C544" s="12" t="s">
        <v>21</v>
      </c>
      <c r="D544" s="12"/>
      <c r="E544" s="12">
        <v>46680</v>
      </c>
      <c r="AL544" s="12" t="s">
        <v>726</v>
      </c>
      <c r="AM544" s="12"/>
      <c r="AN544" s="12" t="s">
        <v>21</v>
      </c>
      <c r="BB544" s="7">
        <f t="shared" si="151"/>
        <v>0</v>
      </c>
      <c r="BL544" s="7">
        <f t="shared" si="152"/>
        <v>0</v>
      </c>
      <c r="BN544" s="7">
        <f>+GenRev!AM544-GenExp!BL544</f>
        <v>0</v>
      </c>
      <c r="BT544" s="7">
        <v>0</v>
      </c>
      <c r="BV544" s="7">
        <f t="shared" si="153"/>
        <v>0</v>
      </c>
      <c r="BX544" s="8">
        <f>+BV544-'Gen Fd BS'!AE544+BT544</f>
        <v>0</v>
      </c>
      <c r="CB544" s="7" t="str">
        <f t="shared" si="154"/>
        <v>Tri-Village Local SD (CASH)</v>
      </c>
      <c r="CC544" s="7" t="b">
        <f t="shared" si="148"/>
        <v>1</v>
      </c>
      <c r="CE544" s="12" t="str">
        <f>GenRev!A544</f>
        <v>Tri-Village Local SD (CASH)</v>
      </c>
      <c r="CF544" s="7" t="b">
        <f t="shared" si="155"/>
        <v>1</v>
      </c>
      <c r="CG544" s="7" t="str">
        <f t="shared" si="149"/>
        <v>Darke</v>
      </c>
      <c r="CH544" s="7" t="b">
        <f t="shared" si="150"/>
        <v>1</v>
      </c>
      <c r="CI544" s="7" t="b">
        <f>C544=GenRev!C544</f>
        <v>1</v>
      </c>
    </row>
    <row r="545" spans="1:87" hidden="1">
      <c r="A545" s="12" t="s">
        <v>569</v>
      </c>
      <c r="B545" s="12"/>
      <c r="C545" s="12" t="s">
        <v>71</v>
      </c>
      <c r="D545" s="12"/>
      <c r="E545" s="12">
        <v>50591</v>
      </c>
      <c r="AL545" s="12" t="s">
        <v>569</v>
      </c>
      <c r="AM545" s="12"/>
      <c r="AN545" s="12" t="s">
        <v>71</v>
      </c>
      <c r="BB545" s="7">
        <f t="shared" si="151"/>
        <v>0</v>
      </c>
      <c r="BL545" s="7">
        <f t="shared" ref="BL545:BL562" si="156">+BB545+BD545+BF545+BJ545</f>
        <v>0</v>
      </c>
      <c r="BN545" s="7">
        <f>+GenRev!AM545-GenExp!BL545</f>
        <v>0</v>
      </c>
      <c r="BT545" s="7">
        <v>0</v>
      </c>
      <c r="BV545" s="7">
        <f t="shared" si="153"/>
        <v>0</v>
      </c>
      <c r="BX545" s="8">
        <f>+BV545-'Gen Fd BS'!AE545+BT545</f>
        <v>0</v>
      </c>
      <c r="CA545" s="7" t="s">
        <v>795</v>
      </c>
      <c r="CB545" s="7" t="str">
        <f t="shared" si="154"/>
        <v>Triway Local SD</v>
      </c>
      <c r="CC545" s="7" t="b">
        <f t="shared" si="148"/>
        <v>1</v>
      </c>
      <c r="CE545" s="12" t="str">
        <f>GenRev!A545</f>
        <v>Triway Local SD</v>
      </c>
      <c r="CF545" s="7" t="b">
        <f t="shared" si="155"/>
        <v>1</v>
      </c>
      <c r="CG545" s="7" t="str">
        <f t="shared" si="149"/>
        <v>Wayne</v>
      </c>
      <c r="CH545" s="7" t="b">
        <f t="shared" si="150"/>
        <v>1</v>
      </c>
      <c r="CI545" s="7" t="b">
        <f>C545=GenRev!C545</f>
        <v>1</v>
      </c>
    </row>
    <row r="546" spans="1:87">
      <c r="A546" s="12" t="s">
        <v>449</v>
      </c>
      <c r="B546" s="12"/>
      <c r="C546" s="12" t="s">
        <v>50</v>
      </c>
      <c r="D546" s="12"/>
      <c r="E546" s="12">
        <v>48694</v>
      </c>
      <c r="G546" s="7">
        <v>13323899</v>
      </c>
      <c r="I546" s="7">
        <v>3024078</v>
      </c>
      <c r="K546" s="7">
        <v>0</v>
      </c>
      <c r="M546" s="7">
        <v>0</v>
      </c>
      <c r="O546" s="7">
        <v>65142</v>
      </c>
      <c r="Q546" s="7">
        <v>2030164</v>
      </c>
      <c r="S546" s="7">
        <v>960390</v>
      </c>
      <c r="U546" s="7">
        <v>42389</v>
      </c>
      <c r="W546" s="7">
        <v>2180622</v>
      </c>
      <c r="Y546" s="7">
        <v>623796</v>
      </c>
      <c r="AA546" s="7">
        <v>503894</v>
      </c>
      <c r="AC546" s="7">
        <v>2955470</v>
      </c>
      <c r="AE546" s="7">
        <v>1518679</v>
      </c>
      <c r="AG546" s="7">
        <v>1119205</v>
      </c>
      <c r="AI546" s="7">
        <v>0</v>
      </c>
      <c r="AK546" s="7">
        <v>13983</v>
      </c>
      <c r="AL546" s="12" t="s">
        <v>449</v>
      </c>
      <c r="AM546" s="12"/>
      <c r="AN546" s="12" t="s">
        <v>50</v>
      </c>
      <c r="AP546" s="7">
        <v>494161</v>
      </c>
      <c r="AR546" s="7">
        <v>79011</v>
      </c>
      <c r="AT546" s="7">
        <v>0</v>
      </c>
      <c r="AV546" s="7">
        <v>0</v>
      </c>
      <c r="AX546" s="7">
        <v>0</v>
      </c>
      <c r="AZ546" s="7">
        <v>0</v>
      </c>
      <c r="BB546" s="7">
        <f t="shared" si="151"/>
        <v>28934883</v>
      </c>
      <c r="BD546" s="7">
        <v>225731</v>
      </c>
      <c r="BF546" s="7">
        <v>0</v>
      </c>
      <c r="BH546" s="7">
        <v>0</v>
      </c>
      <c r="BJ546" s="7">
        <v>0</v>
      </c>
      <c r="BL546" s="7">
        <f t="shared" si="156"/>
        <v>29160614</v>
      </c>
      <c r="BN546" s="7">
        <f>+GenRev!AM546-GenExp!BL546</f>
        <v>3643999</v>
      </c>
      <c r="BP546" s="7">
        <v>8845017</v>
      </c>
      <c r="BR546" s="7">
        <v>0</v>
      </c>
      <c r="BT546" s="7">
        <v>0</v>
      </c>
      <c r="BV546" s="7">
        <f t="shared" ref="BV546:BV567" si="157">+BP546+BN546-BR546</f>
        <v>12489016</v>
      </c>
      <c r="BX546" s="8">
        <f>+BV546-'Gen Fd BS'!AE546+BT546</f>
        <v>0</v>
      </c>
      <c r="CB546" s="7" t="str">
        <f t="shared" si="154"/>
        <v>Trotwood-Madison City SD</v>
      </c>
      <c r="CC546" s="7" t="b">
        <f t="shared" si="148"/>
        <v>1</v>
      </c>
      <c r="CE546" s="12" t="str">
        <f>GenRev!A546</f>
        <v>Trotwood-Madison City SD</v>
      </c>
      <c r="CF546" s="7" t="b">
        <f t="shared" si="155"/>
        <v>1</v>
      </c>
      <c r="CG546" s="7" t="str">
        <f t="shared" si="149"/>
        <v>Montgomery</v>
      </c>
      <c r="CH546" s="7" t="b">
        <f t="shared" si="150"/>
        <v>1</v>
      </c>
      <c r="CI546" s="7" t="b">
        <f>C546=GenRev!C546</f>
        <v>1</v>
      </c>
    </row>
    <row r="547" spans="1:87">
      <c r="A547" s="12" t="s">
        <v>439</v>
      </c>
      <c r="B547" s="12"/>
      <c r="C547" s="12" t="s">
        <v>48</v>
      </c>
      <c r="D547" s="12"/>
      <c r="E547" s="12">
        <v>44925</v>
      </c>
      <c r="F547" s="10"/>
      <c r="G547" s="7">
        <v>20687531</v>
      </c>
      <c r="I547" s="7">
        <v>4810228</v>
      </c>
      <c r="K547" s="7">
        <v>16822</v>
      </c>
      <c r="M547" s="7">
        <v>0</v>
      </c>
      <c r="O547" s="7">
        <v>2036069</v>
      </c>
      <c r="Q547" s="7">
        <v>2192102</v>
      </c>
      <c r="S547" s="7">
        <v>906245</v>
      </c>
      <c r="U547" s="7">
        <v>691712</v>
      </c>
      <c r="W547" s="7">
        <v>2811154</v>
      </c>
      <c r="Y547" s="7">
        <v>524523</v>
      </c>
      <c r="AA547" s="7">
        <v>564351</v>
      </c>
      <c r="AC547" s="7">
        <v>3437646</v>
      </c>
      <c r="AE547" s="7">
        <v>1513156</v>
      </c>
      <c r="AG547" s="7">
        <v>55829</v>
      </c>
      <c r="AI547" s="7">
        <v>0</v>
      </c>
      <c r="AK547" s="7">
        <v>0</v>
      </c>
      <c r="AL547" s="12" t="s">
        <v>439</v>
      </c>
      <c r="AM547" s="12"/>
      <c r="AN547" s="12" t="s">
        <v>48</v>
      </c>
      <c r="AP547" s="7">
        <v>5484</v>
      </c>
      <c r="AR547" s="7">
        <v>572112</v>
      </c>
      <c r="AT547" s="7">
        <v>0</v>
      </c>
      <c r="AV547" s="7">
        <v>100574</v>
      </c>
      <c r="AX547" s="7">
        <v>535</v>
      </c>
      <c r="AZ547" s="7">
        <v>0</v>
      </c>
      <c r="BB547" s="7">
        <f t="shared" si="151"/>
        <v>40926073</v>
      </c>
      <c r="BD547" s="7">
        <v>150000</v>
      </c>
      <c r="BF547" s="7">
        <v>0</v>
      </c>
      <c r="BH547" s="7">
        <v>0</v>
      </c>
      <c r="BJ547" s="7">
        <v>0</v>
      </c>
      <c r="BL547" s="7">
        <f t="shared" si="156"/>
        <v>41076073</v>
      </c>
      <c r="BN547" s="7">
        <f>+GenRev!AM547-GenExp!BL547</f>
        <v>970944</v>
      </c>
      <c r="BP547" s="7">
        <v>11685421</v>
      </c>
      <c r="BR547" s="7">
        <v>0</v>
      </c>
      <c r="BT547" s="7">
        <v>0</v>
      </c>
      <c r="BV547" s="7">
        <f t="shared" si="157"/>
        <v>12656365</v>
      </c>
      <c r="BX547" s="8">
        <f>+BV547-'Gen Fd BS'!AE547+BT547</f>
        <v>0</v>
      </c>
      <c r="CB547" s="7" t="str">
        <f t="shared" si="154"/>
        <v>Troy City SD</v>
      </c>
      <c r="CC547" s="7" t="b">
        <f t="shared" si="148"/>
        <v>1</v>
      </c>
      <c r="CE547" s="12" t="str">
        <f>GenRev!A547</f>
        <v>Troy City SD</v>
      </c>
      <c r="CF547" s="7" t="b">
        <f t="shared" si="155"/>
        <v>1</v>
      </c>
      <c r="CG547" s="7" t="str">
        <f t="shared" si="149"/>
        <v>Miami</v>
      </c>
      <c r="CH547" s="7" t="b">
        <f t="shared" si="150"/>
        <v>1</v>
      </c>
      <c r="CI547" s="7" t="b">
        <f>C547=GenRev!C547</f>
        <v>1</v>
      </c>
    </row>
    <row r="548" spans="1:87">
      <c r="A548" s="12" t="s">
        <v>554</v>
      </c>
      <c r="B548" s="12"/>
      <c r="C548" s="12" t="s">
        <v>65</v>
      </c>
      <c r="D548" s="12"/>
      <c r="E548" s="12">
        <v>50302</v>
      </c>
      <c r="G548" s="7">
        <v>5359400</v>
      </c>
      <c r="I548" s="7">
        <v>562708</v>
      </c>
      <c r="K548" s="7">
        <v>145126</v>
      </c>
      <c r="M548" s="7">
        <v>0</v>
      </c>
      <c r="O548" s="7">
        <v>1067411</v>
      </c>
      <c r="Q548" s="7">
        <v>253267</v>
      </c>
      <c r="S548" s="7">
        <v>394649</v>
      </c>
      <c r="U548" s="7">
        <v>16931</v>
      </c>
      <c r="W548" s="7">
        <v>1248607</v>
      </c>
      <c r="Y548" s="7">
        <v>334341</v>
      </c>
      <c r="AA548" s="7">
        <v>0</v>
      </c>
      <c r="AC548" s="7">
        <v>924161</v>
      </c>
      <c r="AE548" s="7">
        <v>1121811</v>
      </c>
      <c r="AG548" s="7">
        <v>63501</v>
      </c>
      <c r="AI548" s="7">
        <v>0</v>
      </c>
      <c r="AK548" s="7">
        <v>0</v>
      </c>
      <c r="AL548" s="12" t="s">
        <v>554</v>
      </c>
      <c r="AM548" s="12"/>
      <c r="AN548" s="12" t="s">
        <v>65</v>
      </c>
      <c r="AP548" s="7">
        <v>321062</v>
      </c>
      <c r="AR548" s="7">
        <v>45094</v>
      </c>
      <c r="AT548" s="7">
        <v>0</v>
      </c>
      <c r="AV548" s="7">
        <v>7499</v>
      </c>
      <c r="AX548" s="7">
        <v>75</v>
      </c>
      <c r="AZ548" s="7">
        <v>0</v>
      </c>
      <c r="BB548" s="7">
        <f t="shared" si="151"/>
        <v>11865643</v>
      </c>
      <c r="BD548" s="7">
        <v>0</v>
      </c>
      <c r="BF548" s="7">
        <v>0</v>
      </c>
      <c r="BH548" s="7">
        <v>0</v>
      </c>
      <c r="BJ548" s="7">
        <v>0</v>
      </c>
      <c r="BL548" s="7">
        <f t="shared" si="156"/>
        <v>11865643</v>
      </c>
      <c r="BN548" s="7">
        <f>+GenRev!AM548-GenExp!BL548</f>
        <v>-70770</v>
      </c>
      <c r="BP548" s="7">
        <v>1828317</v>
      </c>
      <c r="BR548" s="7">
        <v>19935</v>
      </c>
      <c r="BT548" s="7">
        <v>0</v>
      </c>
      <c r="BV548" s="7">
        <f t="shared" si="157"/>
        <v>1737612</v>
      </c>
      <c r="BX548" s="8">
        <f>+BV548-'Gen Fd BS'!AE548+BT548</f>
        <v>0</v>
      </c>
      <c r="CB548" s="7" t="str">
        <f t="shared" si="154"/>
        <v>Tuscarawas Valley Local SD</v>
      </c>
      <c r="CC548" s="7" t="b">
        <f t="shared" si="148"/>
        <v>1</v>
      </c>
      <c r="CE548" s="12" t="str">
        <f>GenRev!A548</f>
        <v>Tuscarawas Valley Local SD</v>
      </c>
      <c r="CF548" s="7" t="b">
        <f t="shared" si="155"/>
        <v>1</v>
      </c>
      <c r="CG548" s="7" t="str">
        <f t="shared" si="149"/>
        <v>Tuscarawas</v>
      </c>
      <c r="CH548" s="7" t="b">
        <f t="shared" si="150"/>
        <v>1</v>
      </c>
      <c r="CI548" s="7" t="b">
        <f>C548=GenRev!C548</f>
        <v>1</v>
      </c>
    </row>
    <row r="549" spans="1:87">
      <c r="A549" s="12" t="s">
        <v>521</v>
      </c>
      <c r="B549" s="12"/>
      <c r="C549" s="12" t="s">
        <v>62</v>
      </c>
      <c r="D549" s="12"/>
      <c r="E549" s="12">
        <v>49957</v>
      </c>
      <c r="G549" s="7">
        <v>5130050</v>
      </c>
      <c r="I549" s="7">
        <v>1174147</v>
      </c>
      <c r="K549" s="7">
        <v>199008</v>
      </c>
      <c r="M549" s="7">
        <v>0</v>
      </c>
      <c r="O549" s="7">
        <v>13539</v>
      </c>
      <c r="Q549" s="7">
        <v>644002</v>
      </c>
      <c r="S549" s="7">
        <v>286269</v>
      </c>
      <c r="U549" s="7">
        <v>14353</v>
      </c>
      <c r="W549" s="7">
        <v>991767</v>
      </c>
      <c r="Y549" s="7">
        <v>299353</v>
      </c>
      <c r="AA549" s="7">
        <v>45051</v>
      </c>
      <c r="AC549" s="7">
        <v>721729</v>
      </c>
      <c r="AE549" s="7">
        <v>727303</v>
      </c>
      <c r="AG549" s="7">
        <v>36834</v>
      </c>
      <c r="AI549" s="7">
        <v>0</v>
      </c>
      <c r="AK549" s="7">
        <v>34036</v>
      </c>
      <c r="AL549" s="12" t="s">
        <v>521</v>
      </c>
      <c r="AM549" s="12"/>
      <c r="AN549" s="12" t="s">
        <v>62</v>
      </c>
      <c r="AP549" s="7">
        <v>455290</v>
      </c>
      <c r="AR549" s="7">
        <v>0</v>
      </c>
      <c r="AT549" s="7">
        <v>0</v>
      </c>
      <c r="AV549" s="7">
        <v>60598</v>
      </c>
      <c r="AX549" s="7">
        <v>25603</v>
      </c>
      <c r="AZ549" s="7">
        <v>0</v>
      </c>
      <c r="BB549" s="7">
        <f t="shared" si="151"/>
        <v>10858932</v>
      </c>
      <c r="BD549" s="7">
        <v>93112</v>
      </c>
      <c r="BF549" s="7">
        <v>0</v>
      </c>
      <c r="BH549" s="7">
        <v>0</v>
      </c>
      <c r="BJ549" s="7">
        <v>0</v>
      </c>
      <c r="BL549" s="7">
        <f t="shared" si="156"/>
        <v>10952044</v>
      </c>
      <c r="BN549" s="7">
        <f>+GenRev!AM549-GenExp!BL549</f>
        <v>1249786</v>
      </c>
      <c r="BP549" s="7">
        <v>-88200</v>
      </c>
      <c r="BR549" s="7">
        <v>0</v>
      </c>
      <c r="BT549" s="7">
        <v>0</v>
      </c>
      <c r="BV549" s="7">
        <f t="shared" si="157"/>
        <v>1161586</v>
      </c>
      <c r="BX549" s="8">
        <f>+BV549-'Gen Fd BS'!AE549+BT549</f>
        <v>0</v>
      </c>
      <c r="CB549" s="7" t="str">
        <f t="shared" si="154"/>
        <v>Tuslaw Local SD</v>
      </c>
      <c r="CC549" s="7" t="b">
        <f t="shared" si="148"/>
        <v>1</v>
      </c>
      <c r="CE549" s="12" t="str">
        <f>GenRev!A549</f>
        <v>Tuslaw Local SD</v>
      </c>
      <c r="CF549" s="7" t="b">
        <f t="shared" si="155"/>
        <v>1</v>
      </c>
      <c r="CG549" s="7" t="str">
        <f t="shared" si="149"/>
        <v>Stark</v>
      </c>
      <c r="CH549" s="7" t="b">
        <f t="shared" si="150"/>
        <v>1</v>
      </c>
      <c r="CI549" s="7" t="b">
        <f>C549=GenRev!C549</f>
        <v>1</v>
      </c>
    </row>
    <row r="550" spans="1:87" hidden="1">
      <c r="A550" s="12" t="s">
        <v>732</v>
      </c>
      <c r="B550" s="12"/>
      <c r="C550" s="12" t="s">
        <v>57</v>
      </c>
      <c r="D550" s="12"/>
      <c r="E550" s="12">
        <v>49296</v>
      </c>
      <c r="AL550" s="12" t="s">
        <v>732</v>
      </c>
      <c r="AM550" s="12"/>
      <c r="AN550" s="12" t="s">
        <v>57</v>
      </c>
      <c r="BB550" s="7">
        <f t="shared" si="151"/>
        <v>0</v>
      </c>
      <c r="BL550" s="7">
        <f t="shared" si="156"/>
        <v>0</v>
      </c>
      <c r="BN550" s="7">
        <f>+GenRev!AM550-GenExp!BL550</f>
        <v>0</v>
      </c>
      <c r="BT550" s="7">
        <v>0</v>
      </c>
      <c r="BV550" s="7">
        <f t="shared" si="157"/>
        <v>0</v>
      </c>
      <c r="BX550" s="8">
        <f>+BV550-'Gen Fd BS'!AE550+BT550</f>
        <v>0</v>
      </c>
      <c r="CA550" s="7" t="s">
        <v>789</v>
      </c>
      <c r="CB550" s="7" t="str">
        <f t="shared" si="154"/>
        <v>Twin Valley Community Local SD (CASH)</v>
      </c>
      <c r="CC550" s="7" t="b">
        <f t="shared" si="148"/>
        <v>1</v>
      </c>
      <c r="CE550" s="12" t="str">
        <f>GenRev!A550</f>
        <v>Twin Valley Community Local SD (CASH)</v>
      </c>
      <c r="CF550" s="7" t="b">
        <f t="shared" si="155"/>
        <v>1</v>
      </c>
      <c r="CG550" s="7" t="str">
        <f t="shared" si="149"/>
        <v>Preble</v>
      </c>
      <c r="CH550" s="7" t="b">
        <f t="shared" si="150"/>
        <v>1</v>
      </c>
      <c r="CI550" s="7" t="b">
        <f>C550=GenRev!C550</f>
        <v>1</v>
      </c>
    </row>
    <row r="551" spans="1:87">
      <c r="A551" s="12" t="s">
        <v>532</v>
      </c>
      <c r="B551" s="12"/>
      <c r="C551" s="12" t="s">
        <v>63</v>
      </c>
      <c r="D551" s="12"/>
      <c r="E551" s="12">
        <v>50070</v>
      </c>
      <c r="G551" s="7">
        <v>20293607</v>
      </c>
      <c r="I551" s="7">
        <v>2107527</v>
      </c>
      <c r="K551" s="7">
        <v>313703</v>
      </c>
      <c r="M551" s="7">
        <v>0</v>
      </c>
      <c r="O551" s="7">
        <v>3327</v>
      </c>
      <c r="Q551" s="7">
        <v>2045705</v>
      </c>
      <c r="S551" s="7">
        <v>1880608</v>
      </c>
      <c r="U551" s="7">
        <v>270329</v>
      </c>
      <c r="W551" s="7">
        <v>2897087</v>
      </c>
      <c r="Y551" s="7">
        <v>1126088</v>
      </c>
      <c r="AA551" s="7">
        <v>96131</v>
      </c>
      <c r="AC551" s="7">
        <v>3776228</v>
      </c>
      <c r="AE551" s="7">
        <v>2639415</v>
      </c>
      <c r="AG551" s="7">
        <v>691713</v>
      </c>
      <c r="AI551" s="7">
        <v>0</v>
      </c>
      <c r="AK551" s="7">
        <v>0</v>
      </c>
      <c r="AL551" s="12" t="s">
        <v>532</v>
      </c>
      <c r="AM551" s="12"/>
      <c r="AN551" s="12" t="s">
        <v>63</v>
      </c>
      <c r="AP551" s="7">
        <v>809620</v>
      </c>
      <c r="AR551" s="7">
        <v>0</v>
      </c>
      <c r="AT551" s="7">
        <v>0</v>
      </c>
      <c r="AV551" s="7">
        <v>150804</v>
      </c>
      <c r="AX551" s="7">
        <v>75058</v>
      </c>
      <c r="AZ551" s="7">
        <v>0</v>
      </c>
      <c r="BB551" s="7">
        <f t="shared" si="151"/>
        <v>39176950</v>
      </c>
      <c r="BD551" s="7">
        <v>0</v>
      </c>
      <c r="BF551" s="7">
        <v>0</v>
      </c>
      <c r="BH551" s="7">
        <v>0</v>
      </c>
      <c r="BJ551" s="7">
        <v>0</v>
      </c>
      <c r="BL551" s="7">
        <f t="shared" si="156"/>
        <v>39176950</v>
      </c>
      <c r="BN551" s="7">
        <f>+GenRev!AM551-GenExp!BL551</f>
        <v>-246863</v>
      </c>
      <c r="BP551" s="7">
        <v>28723937</v>
      </c>
      <c r="BR551" s="7">
        <v>0</v>
      </c>
      <c r="BT551" s="7">
        <v>0</v>
      </c>
      <c r="BV551" s="7">
        <f t="shared" si="157"/>
        <v>28477074</v>
      </c>
      <c r="BX551" s="8">
        <f>+BV551-'Gen Fd BS'!AE551+BT551</f>
        <v>0</v>
      </c>
      <c r="CB551" s="7" t="str">
        <f t="shared" si="154"/>
        <v>Twinsburg City SD</v>
      </c>
      <c r="CC551" s="7" t="b">
        <f t="shared" si="148"/>
        <v>1</v>
      </c>
      <c r="CE551" s="12" t="str">
        <f>GenRev!A551</f>
        <v>Twinsburg City SD</v>
      </c>
      <c r="CF551" s="7" t="b">
        <f t="shared" si="155"/>
        <v>1</v>
      </c>
      <c r="CG551" s="7" t="str">
        <f t="shared" si="149"/>
        <v>Summit</v>
      </c>
      <c r="CH551" s="7" t="b">
        <f t="shared" si="150"/>
        <v>1</v>
      </c>
      <c r="CI551" s="7" t="b">
        <f>C551=GenRev!C551</f>
        <v>1</v>
      </c>
    </row>
    <row r="552" spans="1:87" hidden="1">
      <c r="A552" s="12" t="s">
        <v>219</v>
      </c>
      <c r="B552" s="12"/>
      <c r="C552" s="12" t="s">
        <v>15</v>
      </c>
      <c r="D552" s="12"/>
      <c r="E552" s="12">
        <v>46011</v>
      </c>
      <c r="AL552" s="12" t="s">
        <v>219</v>
      </c>
      <c r="AM552" s="12"/>
      <c r="AN552" s="12" t="s">
        <v>15</v>
      </c>
      <c r="BB552" s="7">
        <f t="shared" si="151"/>
        <v>0</v>
      </c>
      <c r="BL552" s="7">
        <f t="shared" si="156"/>
        <v>0</v>
      </c>
      <c r="BN552" s="7">
        <f>+GenRev!AM552-GenExp!BL552</f>
        <v>0</v>
      </c>
      <c r="BT552" s="7">
        <v>0</v>
      </c>
      <c r="BV552" s="7">
        <f t="shared" si="157"/>
        <v>0</v>
      </c>
      <c r="BX552" s="8">
        <f>+BV552-'Gen Fd BS'!AE552+BT552</f>
        <v>0</v>
      </c>
      <c r="CA552" s="7" t="s">
        <v>791</v>
      </c>
      <c r="CB552" s="7" t="str">
        <f t="shared" si="154"/>
        <v>Union Local SD</v>
      </c>
      <c r="CC552" s="7" t="b">
        <f t="shared" si="148"/>
        <v>1</v>
      </c>
      <c r="CE552" s="12" t="str">
        <f>GenRev!A552</f>
        <v>Union Local SD</v>
      </c>
      <c r="CF552" s="7" t="b">
        <f t="shared" si="155"/>
        <v>1</v>
      </c>
      <c r="CG552" s="7" t="str">
        <f t="shared" si="149"/>
        <v>Belmont</v>
      </c>
      <c r="CH552" s="7" t="b">
        <f t="shared" si="150"/>
        <v>1</v>
      </c>
      <c r="CI552" s="7" t="b">
        <f>C552=GenRev!C552</f>
        <v>1</v>
      </c>
    </row>
    <row r="553" spans="1:87">
      <c r="A553" s="12" t="s">
        <v>491</v>
      </c>
      <c r="B553" s="12"/>
      <c r="C553" s="12" t="s">
        <v>58</v>
      </c>
      <c r="D553" s="12"/>
      <c r="E553" s="12">
        <v>49536</v>
      </c>
      <c r="G553" s="7">
        <v>9934649</v>
      </c>
      <c r="I553" s="7">
        <v>854015</v>
      </c>
      <c r="K553" s="7">
        <v>9805</v>
      </c>
      <c r="M553" s="7">
        <v>0</v>
      </c>
      <c r="O553" s="7">
        <v>0</v>
      </c>
      <c r="Q553" s="7">
        <v>502771</v>
      </c>
      <c r="S553" s="7">
        <v>566396</v>
      </c>
      <c r="U553" s="7">
        <v>603249</v>
      </c>
      <c r="W553" s="7">
        <v>1019912</v>
      </c>
      <c r="Y553" s="7">
        <v>435837</v>
      </c>
      <c r="AA553" s="7">
        <v>85507</v>
      </c>
      <c r="AC553" s="7">
        <v>1022325</v>
      </c>
      <c r="AE553" s="7">
        <v>661286</v>
      </c>
      <c r="AG553" s="7">
        <v>0</v>
      </c>
      <c r="AI553" s="7">
        <v>0</v>
      </c>
      <c r="AK553" s="7">
        <v>0</v>
      </c>
      <c r="AL553" s="12" t="s">
        <v>491</v>
      </c>
      <c r="AM553" s="12"/>
      <c r="AN553" s="12" t="s">
        <v>58</v>
      </c>
      <c r="AP553" s="7">
        <v>143773</v>
      </c>
      <c r="AR553" s="7">
        <v>0</v>
      </c>
      <c r="AT553" s="7">
        <v>0</v>
      </c>
      <c r="AV553" s="7">
        <v>209620</v>
      </c>
      <c r="AX553" s="7">
        <v>34311</v>
      </c>
      <c r="AZ553" s="7">
        <v>0</v>
      </c>
      <c r="BB553" s="7">
        <f t="shared" si="151"/>
        <v>16083456</v>
      </c>
      <c r="BD553" s="7">
        <v>245000</v>
      </c>
      <c r="BF553" s="7">
        <v>0</v>
      </c>
      <c r="BH553" s="7">
        <v>0</v>
      </c>
      <c r="BJ553" s="7">
        <v>0</v>
      </c>
      <c r="BL553" s="7">
        <f t="shared" si="156"/>
        <v>16328456</v>
      </c>
      <c r="BN553" s="7">
        <f>+GenRev!AM553-GenExp!BL553</f>
        <v>1070281</v>
      </c>
      <c r="BP553" s="7">
        <v>9803095</v>
      </c>
      <c r="BR553" s="7">
        <v>0</v>
      </c>
      <c r="BT553" s="7">
        <v>0</v>
      </c>
      <c r="BV553" s="7">
        <f t="shared" si="157"/>
        <v>10873376</v>
      </c>
      <c r="BX553" s="8">
        <f>+BV553-'Gen Fd BS'!AE553+BT553</f>
        <v>0</v>
      </c>
      <c r="CB553" s="7" t="str">
        <f t="shared" si="154"/>
        <v>Union-Scioto Local SD</v>
      </c>
      <c r="CC553" s="7" t="b">
        <f t="shared" si="148"/>
        <v>1</v>
      </c>
      <c r="CE553" s="12" t="str">
        <f>GenRev!A553</f>
        <v>Union-Scioto Local SD</v>
      </c>
      <c r="CF553" s="7" t="b">
        <f t="shared" si="155"/>
        <v>1</v>
      </c>
      <c r="CG553" s="7" t="str">
        <f t="shared" si="149"/>
        <v>Ross</v>
      </c>
      <c r="CH553" s="7" t="b">
        <f t="shared" si="150"/>
        <v>1</v>
      </c>
      <c r="CI553" s="7" t="b">
        <f>C553=GenRev!C553</f>
        <v>1</v>
      </c>
    </row>
    <row r="554" spans="1:87">
      <c r="A554" s="12" t="s">
        <v>257</v>
      </c>
      <c r="B554" s="12"/>
      <c r="C554" s="12" t="s">
        <v>112</v>
      </c>
      <c r="D554" s="12"/>
      <c r="E554" s="12">
        <v>46458</v>
      </c>
      <c r="G554" s="7">
        <v>5528715</v>
      </c>
      <c r="I554" s="7">
        <v>1244173</v>
      </c>
      <c r="K554" s="7">
        <v>205188</v>
      </c>
      <c r="M554" s="7">
        <v>8620</v>
      </c>
      <c r="O554" s="7">
        <v>2707</v>
      </c>
      <c r="Q554" s="7">
        <v>198181</v>
      </c>
      <c r="S554" s="7">
        <v>401802</v>
      </c>
      <c r="U554" s="7">
        <v>87232</v>
      </c>
      <c r="W554" s="7">
        <v>671463</v>
      </c>
      <c r="Y554" s="7">
        <v>280710</v>
      </c>
      <c r="AA554" s="7">
        <v>0</v>
      </c>
      <c r="AC554" s="7">
        <v>980375</v>
      </c>
      <c r="AE554" s="7">
        <v>767874</v>
      </c>
      <c r="AG554" s="7">
        <v>8344</v>
      </c>
      <c r="AI554" s="7">
        <v>0</v>
      </c>
      <c r="AK554" s="7">
        <v>1009</v>
      </c>
      <c r="AL554" s="12" t="s">
        <v>257</v>
      </c>
      <c r="AM554" s="12"/>
      <c r="AN554" s="12" t="s">
        <v>112</v>
      </c>
      <c r="AP554" s="7">
        <v>345504</v>
      </c>
      <c r="AR554" s="7">
        <v>115</v>
      </c>
      <c r="AT554" s="7">
        <v>0</v>
      </c>
      <c r="AV554" s="7">
        <v>23879</v>
      </c>
      <c r="AX554" s="7">
        <v>2234</v>
      </c>
      <c r="AZ554" s="7">
        <v>0</v>
      </c>
      <c r="BB554" s="7">
        <f t="shared" si="151"/>
        <v>10758125</v>
      </c>
      <c r="BD554" s="7">
        <v>0</v>
      </c>
      <c r="BF554" s="7">
        <v>0</v>
      </c>
      <c r="BH554" s="7">
        <v>0</v>
      </c>
      <c r="BJ554" s="7">
        <v>0</v>
      </c>
      <c r="BL554" s="7">
        <f t="shared" si="156"/>
        <v>10758125</v>
      </c>
      <c r="BN554" s="7">
        <f>+GenRev!AM554-GenExp!BL554</f>
        <v>74974</v>
      </c>
      <c r="BP554" s="7">
        <v>2930163</v>
      </c>
      <c r="BR554" s="7">
        <v>0</v>
      </c>
      <c r="BT554" s="7">
        <v>0</v>
      </c>
      <c r="BV554" s="7">
        <f t="shared" si="157"/>
        <v>3005137</v>
      </c>
      <c r="BX554" s="8">
        <f>+BV554-'Gen Fd BS'!AE554+BT554</f>
        <v>0</v>
      </c>
      <c r="CB554" s="7" t="str">
        <f t="shared" si="154"/>
        <v>United Local SD</v>
      </c>
      <c r="CC554" s="7" t="b">
        <f t="shared" si="148"/>
        <v>1</v>
      </c>
      <c r="CE554" s="12" t="str">
        <f>GenRev!A554</f>
        <v>United Local SD</v>
      </c>
      <c r="CF554" s="7" t="b">
        <f t="shared" si="155"/>
        <v>1</v>
      </c>
      <c r="CG554" s="7" t="str">
        <f t="shared" si="149"/>
        <v>Columbiana</v>
      </c>
      <c r="CH554" s="7" t="b">
        <f t="shared" si="150"/>
        <v>1</v>
      </c>
      <c r="CI554" s="7" t="b">
        <f>C554=GenRev!C554</f>
        <v>1</v>
      </c>
    </row>
    <row r="555" spans="1:87">
      <c r="A555" s="12" t="s">
        <v>314</v>
      </c>
      <c r="B555" s="12"/>
      <c r="C555" s="12" t="s">
        <v>27</v>
      </c>
      <c r="D555" s="12"/>
      <c r="E555" s="12">
        <v>44933</v>
      </c>
      <c r="G555" s="7">
        <v>39998905</v>
      </c>
      <c r="I555" s="7">
        <v>7570073</v>
      </c>
      <c r="K555" s="7">
        <v>135957</v>
      </c>
      <c r="M555" s="7">
        <v>0</v>
      </c>
      <c r="O555" s="7">
        <v>0</v>
      </c>
      <c r="Q555" s="7">
        <v>4510711</v>
      </c>
      <c r="S555" s="7">
        <v>5785331</v>
      </c>
      <c r="U555" s="7">
        <v>39933</v>
      </c>
      <c r="W555" s="7">
        <v>4237478</v>
      </c>
      <c r="Y555" s="7">
        <v>1638946</v>
      </c>
      <c r="AA555" s="7">
        <v>585316</v>
      </c>
      <c r="AC555" s="7">
        <v>6803076</v>
      </c>
      <c r="AE555" s="7">
        <v>1634433</v>
      </c>
      <c r="AG555" s="7">
        <v>2125491</v>
      </c>
      <c r="AI555" s="7">
        <v>0</v>
      </c>
      <c r="AK555" s="7">
        <v>0</v>
      </c>
      <c r="AL555" s="12" t="s">
        <v>314</v>
      </c>
      <c r="AM555" s="12"/>
      <c r="AN555" s="12" t="s">
        <v>27</v>
      </c>
      <c r="AP555" s="7">
        <v>1441634</v>
      </c>
      <c r="AR555" s="7">
        <v>0</v>
      </c>
      <c r="AT555" s="7">
        <v>0</v>
      </c>
      <c r="AV555" s="7">
        <v>0</v>
      </c>
      <c r="AX555" s="7">
        <v>0</v>
      </c>
      <c r="AZ555" s="7">
        <v>0</v>
      </c>
      <c r="BB555" s="7">
        <f t="shared" si="151"/>
        <v>76507284</v>
      </c>
      <c r="BD555" s="7">
        <v>151175</v>
      </c>
      <c r="BF555" s="7">
        <v>0</v>
      </c>
      <c r="BH555" s="7">
        <v>0</v>
      </c>
      <c r="BJ555" s="7">
        <v>0</v>
      </c>
      <c r="BL555" s="7">
        <f t="shared" si="156"/>
        <v>76658459</v>
      </c>
      <c r="BN555" s="7">
        <f>+GenRev!AM555-GenExp!BL555</f>
        <v>2367707</v>
      </c>
      <c r="BP555" s="7">
        <v>50609539</v>
      </c>
      <c r="BR555" s="7">
        <v>0</v>
      </c>
      <c r="BT555" s="7">
        <v>0</v>
      </c>
      <c r="BV555" s="7">
        <f t="shared" si="157"/>
        <v>52977246</v>
      </c>
      <c r="BX555" s="8">
        <f>+BV555-'Gen Fd BS'!AE555+BT555</f>
        <v>0</v>
      </c>
      <c r="CB555" s="7" t="str">
        <f t="shared" si="154"/>
        <v>Upper Arlington City SD</v>
      </c>
      <c r="CC555" s="7" t="b">
        <f t="shared" si="148"/>
        <v>1</v>
      </c>
      <c r="CE555" s="12" t="str">
        <f>GenRev!A555</f>
        <v>Upper Arlington City SD</v>
      </c>
      <c r="CF555" s="7" t="b">
        <f t="shared" si="155"/>
        <v>1</v>
      </c>
      <c r="CG555" s="7" t="str">
        <f t="shared" si="149"/>
        <v>Franklin</v>
      </c>
      <c r="CH555" s="7" t="b">
        <f t="shared" si="150"/>
        <v>1</v>
      </c>
      <c r="CI555" s="7" t="b">
        <f>C555=GenRev!C555</f>
        <v>1</v>
      </c>
    </row>
    <row r="556" spans="1:87" hidden="1">
      <c r="A556" s="12" t="s">
        <v>888</v>
      </c>
      <c r="B556" s="12"/>
      <c r="C556" s="12" t="s">
        <v>577</v>
      </c>
      <c r="D556" s="12"/>
      <c r="E556" s="12">
        <v>45625</v>
      </c>
      <c r="AL556" s="12" t="s">
        <v>888</v>
      </c>
      <c r="AM556" s="12"/>
      <c r="AN556" s="12" t="s">
        <v>577</v>
      </c>
      <c r="BB556" s="7">
        <f t="shared" si="151"/>
        <v>0</v>
      </c>
      <c r="BL556" s="7">
        <f t="shared" si="156"/>
        <v>0</v>
      </c>
      <c r="BN556" s="7">
        <f>+GenRev!AM556-GenExp!BL556</f>
        <v>0</v>
      </c>
      <c r="BT556" s="7">
        <v>0</v>
      </c>
      <c r="BV556" s="7">
        <f t="shared" si="157"/>
        <v>0</v>
      </c>
      <c r="BX556" s="8">
        <f>+BV556-'Gen Fd BS'!AE556+BT556</f>
        <v>0</v>
      </c>
      <c r="CA556" s="7" t="s">
        <v>789</v>
      </c>
      <c r="CB556" s="7" t="str">
        <f t="shared" si="154"/>
        <v>Upper Sandusky Exempted Village SD (CASH)</v>
      </c>
      <c r="CC556" s="7" t="b">
        <f t="shared" si="148"/>
        <v>1</v>
      </c>
      <c r="CE556" s="12" t="str">
        <f>GenRev!A556</f>
        <v>Upper Sandusky Exempted Village SD (CASH)</v>
      </c>
      <c r="CF556" s="7" t="b">
        <f t="shared" si="155"/>
        <v>1</v>
      </c>
      <c r="CG556" s="7" t="str">
        <f t="shared" si="149"/>
        <v>Wyandot</v>
      </c>
      <c r="CH556" s="7" t="b">
        <f t="shared" si="150"/>
        <v>1</v>
      </c>
      <c r="CI556" s="7" t="b">
        <f>C556=GenRev!C556</f>
        <v>1</v>
      </c>
    </row>
    <row r="557" spans="1:87" hidden="1">
      <c r="A557" s="12" t="s">
        <v>733</v>
      </c>
      <c r="B557" s="12"/>
      <c r="C557" s="12" t="s">
        <v>348</v>
      </c>
      <c r="D557" s="12"/>
      <c r="E557" s="12">
        <v>47522</v>
      </c>
      <c r="AL557" s="12" t="s">
        <v>733</v>
      </c>
      <c r="AM557" s="12"/>
      <c r="AN557" s="12" t="s">
        <v>348</v>
      </c>
      <c r="BB557" s="7">
        <f t="shared" si="151"/>
        <v>0</v>
      </c>
      <c r="BL557" s="7">
        <f t="shared" si="156"/>
        <v>0</v>
      </c>
      <c r="BN557" s="7">
        <f>+GenRev!AM557-GenExp!BL557</f>
        <v>0</v>
      </c>
      <c r="BT557" s="7">
        <v>0</v>
      </c>
      <c r="BV557" s="7">
        <f t="shared" si="157"/>
        <v>0</v>
      </c>
      <c r="BX557" s="8">
        <f>+BV557-'Gen Fd BS'!AE557+BT557</f>
        <v>0</v>
      </c>
      <c r="CA557" s="7" t="s">
        <v>789</v>
      </c>
      <c r="CB557" s="7" t="str">
        <f t="shared" si="154"/>
        <v>Upper Scioto Valley Local SD (CASH)</v>
      </c>
      <c r="CC557" s="7" t="b">
        <f t="shared" si="148"/>
        <v>1</v>
      </c>
      <c r="CE557" s="12" t="str">
        <f>GenRev!A557</f>
        <v>Upper Scioto Valley Local SD (CASH)</v>
      </c>
      <c r="CF557" s="7" t="b">
        <f t="shared" si="155"/>
        <v>1</v>
      </c>
      <c r="CG557" s="7" t="str">
        <f t="shared" si="149"/>
        <v>Hardin</v>
      </c>
      <c r="CH557" s="7" t="b">
        <f t="shared" si="150"/>
        <v>1</v>
      </c>
      <c r="CI557" s="7" t="b">
        <f>C557=GenRev!C557</f>
        <v>1</v>
      </c>
    </row>
    <row r="558" spans="1:87">
      <c r="A558" s="12" t="s">
        <v>234</v>
      </c>
      <c r="B558" s="12"/>
      <c r="C558" s="12" t="s">
        <v>232</v>
      </c>
      <c r="D558" s="12"/>
      <c r="E558" s="12">
        <v>44941</v>
      </c>
      <c r="G558" s="7">
        <v>10872675</v>
      </c>
      <c r="I558" s="7">
        <v>3342203</v>
      </c>
      <c r="K558" s="7">
        <v>360338</v>
      </c>
      <c r="M558" s="7">
        <v>0</v>
      </c>
      <c r="O558" s="7">
        <v>116350</v>
      </c>
      <c r="Q558" s="7">
        <v>1197670</v>
      </c>
      <c r="S558" s="7">
        <v>509874</v>
      </c>
      <c r="U558" s="7">
        <v>24135</v>
      </c>
      <c r="W558" s="7">
        <v>2005746</v>
      </c>
      <c r="Y558" s="7">
        <v>200560</v>
      </c>
      <c r="AA558" s="7">
        <v>372944</v>
      </c>
      <c r="AC558" s="7">
        <v>1488711</v>
      </c>
      <c r="AE558" s="7">
        <v>717545</v>
      </c>
      <c r="AG558" s="7">
        <v>156551</v>
      </c>
      <c r="AI558" s="7">
        <v>0</v>
      </c>
      <c r="AK558" s="7">
        <v>56720</v>
      </c>
      <c r="AL558" s="12" t="s">
        <v>234</v>
      </c>
      <c r="AM558" s="12"/>
      <c r="AN558" s="12" t="s">
        <v>232</v>
      </c>
      <c r="AP558" s="7">
        <v>473363</v>
      </c>
      <c r="AR558" s="7">
        <v>0</v>
      </c>
      <c r="AT558" s="7">
        <v>0</v>
      </c>
      <c r="AV558" s="7">
        <v>92288</v>
      </c>
      <c r="AX558" s="7">
        <v>40747</v>
      </c>
      <c r="AZ558" s="7">
        <v>0</v>
      </c>
      <c r="BB558" s="7">
        <f t="shared" si="151"/>
        <v>22028420</v>
      </c>
      <c r="BD558" s="7">
        <v>0</v>
      </c>
      <c r="BF558" s="7">
        <v>0</v>
      </c>
      <c r="BH558" s="7">
        <v>0</v>
      </c>
      <c r="BJ558" s="7">
        <v>0</v>
      </c>
      <c r="BL558" s="7">
        <f t="shared" si="156"/>
        <v>22028420</v>
      </c>
      <c r="BN558" s="7">
        <f>+GenRev!AM558-GenExp!BL558</f>
        <v>-830624</v>
      </c>
      <c r="BP558" s="7">
        <v>4860151</v>
      </c>
      <c r="BR558" s="7">
        <v>0</v>
      </c>
      <c r="BT558" s="7">
        <v>0</v>
      </c>
      <c r="BV558" s="7">
        <f t="shared" si="157"/>
        <v>4029527</v>
      </c>
      <c r="BX558" s="8">
        <f>+BV558-'Gen Fd BS'!AE558+BT558</f>
        <v>0</v>
      </c>
      <c r="CB558" s="7" t="str">
        <f t="shared" si="154"/>
        <v>Urbana City SD</v>
      </c>
      <c r="CC558" s="7" t="b">
        <f t="shared" si="148"/>
        <v>1</v>
      </c>
      <c r="CE558" s="12" t="str">
        <f>GenRev!A558</f>
        <v>Urbana City SD</v>
      </c>
      <c r="CF558" s="7" t="b">
        <f t="shared" si="155"/>
        <v>1</v>
      </c>
      <c r="CG558" s="7" t="str">
        <f t="shared" si="149"/>
        <v>Champaign</v>
      </c>
      <c r="CH558" s="7" t="b">
        <f t="shared" si="150"/>
        <v>1</v>
      </c>
      <c r="CI558" s="7" t="b">
        <f>C558=GenRev!C558</f>
        <v>1</v>
      </c>
    </row>
    <row r="559" spans="1:87" hidden="1">
      <c r="A559" s="12" t="s">
        <v>734</v>
      </c>
      <c r="B559" s="12"/>
      <c r="C559" s="12" t="s">
        <v>59</v>
      </c>
      <c r="D559" s="12"/>
      <c r="E559" s="12">
        <v>49643</v>
      </c>
      <c r="AL559" s="12" t="s">
        <v>734</v>
      </c>
      <c r="AM559" s="12"/>
      <c r="AN559" s="12" t="s">
        <v>59</v>
      </c>
      <c r="BB559" s="7">
        <f t="shared" si="151"/>
        <v>0</v>
      </c>
      <c r="BL559" s="7">
        <f t="shared" si="156"/>
        <v>0</v>
      </c>
      <c r="BN559" s="7">
        <f>+GenRev!AM559-GenExp!BL559</f>
        <v>0</v>
      </c>
      <c r="BT559" s="7">
        <v>0</v>
      </c>
      <c r="BV559" s="7">
        <f t="shared" si="157"/>
        <v>0</v>
      </c>
      <c r="BX559" s="8">
        <f>+BV559-'Gen Fd BS'!AE559+BT559</f>
        <v>0</v>
      </c>
      <c r="CA559" s="7" t="s">
        <v>789</v>
      </c>
      <c r="CB559" s="7" t="str">
        <f t="shared" si="154"/>
        <v>Valley Local SD (CASH)</v>
      </c>
      <c r="CC559" s="7" t="b">
        <f t="shared" si="148"/>
        <v>1</v>
      </c>
      <c r="CE559" s="12" t="str">
        <f>GenRev!A559</f>
        <v>Valley Local SD (CASH)</v>
      </c>
      <c r="CF559" s="7" t="b">
        <f t="shared" si="155"/>
        <v>1</v>
      </c>
      <c r="CG559" s="7" t="str">
        <f t="shared" si="149"/>
        <v>Scioto</v>
      </c>
      <c r="CH559" s="7" t="b">
        <f t="shared" si="150"/>
        <v>1</v>
      </c>
      <c r="CI559" s="7" t="b">
        <f>C559=GenRev!C559</f>
        <v>1</v>
      </c>
    </row>
    <row r="560" spans="1:87">
      <c r="A560" s="12" t="s">
        <v>450</v>
      </c>
      <c r="B560" s="12"/>
      <c r="C560" s="12" t="s">
        <v>50</v>
      </c>
      <c r="D560" s="12"/>
      <c r="E560" s="12">
        <v>48744</v>
      </c>
      <c r="G560" s="7">
        <v>8602068</v>
      </c>
      <c r="I560" s="7">
        <v>1071875</v>
      </c>
      <c r="K560" s="7">
        <v>350557</v>
      </c>
      <c r="M560" s="7">
        <v>0</v>
      </c>
      <c r="O560" s="7">
        <v>562830</v>
      </c>
      <c r="Q560" s="7">
        <v>1103531</v>
      </c>
      <c r="S560" s="7">
        <v>1478668</v>
      </c>
      <c r="U560" s="7">
        <v>27216</v>
      </c>
      <c r="W560" s="7">
        <v>1503724</v>
      </c>
      <c r="Y560" s="7">
        <v>318688</v>
      </c>
      <c r="AA560" s="7">
        <v>13403</v>
      </c>
      <c r="AC560" s="7">
        <v>1803024</v>
      </c>
      <c r="AE560" s="7">
        <v>913709</v>
      </c>
      <c r="AG560" s="7">
        <v>17014</v>
      </c>
      <c r="AI560" s="7">
        <v>0</v>
      </c>
      <c r="AK560" s="7">
        <v>7845</v>
      </c>
      <c r="AL560" s="12" t="s">
        <v>450</v>
      </c>
      <c r="AM560" s="12"/>
      <c r="AN560" s="12" t="s">
        <v>50</v>
      </c>
      <c r="AP560" s="7">
        <v>486751</v>
      </c>
      <c r="AR560" s="7">
        <f>702451+296105</f>
        <v>998556</v>
      </c>
      <c r="AT560" s="7">
        <v>0</v>
      </c>
      <c r="AV560" s="7">
        <v>147050</v>
      </c>
      <c r="AX560" s="7">
        <v>40749</v>
      </c>
      <c r="AZ560" s="7">
        <v>0</v>
      </c>
      <c r="BB560" s="7">
        <f t="shared" si="151"/>
        <v>19447258</v>
      </c>
      <c r="BD560" s="7">
        <v>41982</v>
      </c>
      <c r="BF560" s="7">
        <v>0</v>
      </c>
      <c r="BH560" s="7">
        <v>0</v>
      </c>
      <c r="BJ560" s="7">
        <v>0</v>
      </c>
      <c r="BL560" s="7">
        <f t="shared" si="156"/>
        <v>19489240</v>
      </c>
      <c r="BN560" s="7">
        <f>+GenRev!AM560-GenExp!BL560</f>
        <v>-3224019</v>
      </c>
      <c r="BP560" s="7">
        <v>4211115</v>
      </c>
      <c r="BR560" s="7">
        <v>0</v>
      </c>
      <c r="BT560" s="7">
        <v>0</v>
      </c>
      <c r="BV560" s="7">
        <f t="shared" si="157"/>
        <v>987096</v>
      </c>
      <c r="BX560" s="8">
        <f>+BV560-'Gen Fd BS'!AE560+BT560</f>
        <v>0</v>
      </c>
      <c r="CB560" s="7" t="str">
        <f t="shared" si="154"/>
        <v>Valley View Local SD</v>
      </c>
      <c r="CC560" s="7" t="b">
        <f t="shared" si="148"/>
        <v>1</v>
      </c>
      <c r="CE560" s="12" t="str">
        <f>GenRev!A560</f>
        <v>Valley View Local SD</v>
      </c>
      <c r="CF560" s="7" t="b">
        <f t="shared" si="155"/>
        <v>1</v>
      </c>
      <c r="CG560" s="7" t="str">
        <f t="shared" si="149"/>
        <v>Montgomery</v>
      </c>
      <c r="CH560" s="7" t="b">
        <f t="shared" si="150"/>
        <v>1</v>
      </c>
      <c r="CI560" s="7" t="b">
        <f>C560=GenRev!C560</f>
        <v>1</v>
      </c>
    </row>
    <row r="561" spans="1:87">
      <c r="A561" s="12" t="s">
        <v>347</v>
      </c>
      <c r="B561" s="12"/>
      <c r="C561" s="12" t="s">
        <v>33</v>
      </c>
      <c r="D561" s="12"/>
      <c r="E561" s="12">
        <v>47464</v>
      </c>
      <c r="G561" s="7">
        <v>4937043</v>
      </c>
      <c r="I561" s="7">
        <v>545427</v>
      </c>
      <c r="K561" s="7">
        <v>164888</v>
      </c>
      <c r="M561" s="7">
        <v>0</v>
      </c>
      <c r="O561" s="7">
        <v>0</v>
      </c>
      <c r="Q561" s="7">
        <v>516638</v>
      </c>
      <c r="S561" s="7">
        <v>353576</v>
      </c>
      <c r="U561" s="7">
        <v>69757</v>
      </c>
      <c r="W561" s="7">
        <v>805336</v>
      </c>
      <c r="Y561" s="7">
        <v>385084</v>
      </c>
      <c r="AA561" s="7">
        <v>0</v>
      </c>
      <c r="AC561" s="7">
        <v>1116820</v>
      </c>
      <c r="AE561" s="7">
        <v>487764</v>
      </c>
      <c r="AG561" s="7">
        <v>21382</v>
      </c>
      <c r="AI561" s="7">
        <v>0</v>
      </c>
      <c r="AK561" s="7">
        <v>0</v>
      </c>
      <c r="AL561" s="12" t="s">
        <v>347</v>
      </c>
      <c r="AM561" s="12"/>
      <c r="AN561" s="12" t="s">
        <v>33</v>
      </c>
      <c r="AP561" s="7">
        <v>323603</v>
      </c>
      <c r="AR561" s="7">
        <v>1738</v>
      </c>
      <c r="AT561" s="7">
        <v>0</v>
      </c>
      <c r="AV561" s="7">
        <v>0</v>
      </c>
      <c r="AX561" s="7">
        <v>0</v>
      </c>
      <c r="AZ561" s="7">
        <v>0</v>
      </c>
      <c r="BB561" s="7">
        <f t="shared" si="151"/>
        <v>9729056</v>
      </c>
      <c r="BD561" s="7">
        <v>20000</v>
      </c>
      <c r="BF561" s="7">
        <v>0</v>
      </c>
      <c r="BH561" s="7">
        <v>0</v>
      </c>
      <c r="BJ561" s="7">
        <v>0</v>
      </c>
      <c r="BL561" s="7">
        <f t="shared" si="156"/>
        <v>9749056</v>
      </c>
      <c r="BN561" s="7">
        <f>+GenRev!AM561-GenExp!BL561</f>
        <v>452051</v>
      </c>
      <c r="BP561" s="7">
        <v>6456015</v>
      </c>
      <c r="BR561" s="7">
        <v>0</v>
      </c>
      <c r="BT561" s="7">
        <v>0</v>
      </c>
      <c r="BV561" s="7">
        <f t="shared" si="157"/>
        <v>6908066</v>
      </c>
      <c r="BX561" s="8">
        <f>+BV561-'Gen Fd BS'!AE561+BT561</f>
        <v>0</v>
      </c>
      <c r="CB561" s="7" t="str">
        <f t="shared" si="154"/>
        <v>Van Buren Local SD</v>
      </c>
      <c r="CC561" s="7" t="b">
        <f t="shared" si="148"/>
        <v>1</v>
      </c>
      <c r="CE561" s="12" t="str">
        <f>GenRev!A561</f>
        <v>Van Buren Local SD</v>
      </c>
      <c r="CF561" s="7" t="b">
        <f t="shared" si="155"/>
        <v>1</v>
      </c>
      <c r="CG561" s="7" t="str">
        <f t="shared" si="149"/>
        <v>Hancock</v>
      </c>
      <c r="CH561" s="7" t="b">
        <f t="shared" si="150"/>
        <v>1</v>
      </c>
      <c r="CI561" s="7" t="b">
        <f>C561=GenRev!C561</f>
        <v>1</v>
      </c>
    </row>
    <row r="562" spans="1:87" hidden="1">
      <c r="A562" s="12" t="s">
        <v>978</v>
      </c>
      <c r="B562" s="12"/>
      <c r="C562" s="12" t="s">
        <v>67</v>
      </c>
      <c r="D562" s="12"/>
      <c r="E562" s="12">
        <v>44966</v>
      </c>
      <c r="AL562" s="12" t="s">
        <v>558</v>
      </c>
      <c r="AM562" s="12"/>
      <c r="AN562" s="12" t="s">
        <v>67</v>
      </c>
      <c r="BB562" s="7">
        <f t="shared" si="151"/>
        <v>0</v>
      </c>
      <c r="BL562" s="7">
        <f t="shared" si="156"/>
        <v>0</v>
      </c>
      <c r="BN562" s="7">
        <f>+GenRev!AM562-GenExp!BL562</f>
        <v>0</v>
      </c>
      <c r="BT562" s="7">
        <v>0</v>
      </c>
      <c r="BV562" s="7">
        <f t="shared" si="157"/>
        <v>0</v>
      </c>
      <c r="BX562" s="8">
        <f>+BV562-'Gen Fd BS'!AE562+BT562</f>
        <v>0</v>
      </c>
      <c r="CA562" s="7" t="s">
        <v>979</v>
      </c>
      <c r="CB562" s="7" t="str">
        <f t="shared" si="154"/>
        <v>Van Wert City SD (CASH)</v>
      </c>
      <c r="CC562" s="7" t="b">
        <f t="shared" si="148"/>
        <v>0</v>
      </c>
      <c r="CE562" s="12" t="str">
        <f>GenRev!A562</f>
        <v>Van Wert City SD (CASH)</v>
      </c>
      <c r="CF562" s="7" t="b">
        <f t="shared" si="155"/>
        <v>1</v>
      </c>
      <c r="CG562" s="7" t="str">
        <f t="shared" si="149"/>
        <v>Van Wert</v>
      </c>
      <c r="CH562" s="7" t="b">
        <f t="shared" si="150"/>
        <v>1</v>
      </c>
      <c r="CI562" s="7" t="b">
        <f>C562=GenRev!C562</f>
        <v>1</v>
      </c>
    </row>
    <row r="563" spans="1:87">
      <c r="A563" s="12" t="s">
        <v>451</v>
      </c>
      <c r="B563" s="12"/>
      <c r="C563" s="12" t="s">
        <v>50</v>
      </c>
      <c r="D563" s="12"/>
      <c r="E563" s="12">
        <v>44958</v>
      </c>
      <c r="G563" s="7">
        <v>15858382</v>
      </c>
      <c r="I563" s="7">
        <v>3832167</v>
      </c>
      <c r="K563" s="7">
        <v>350118</v>
      </c>
      <c r="M563" s="7">
        <v>0</v>
      </c>
      <c r="O563" s="7">
        <v>1780255</v>
      </c>
      <c r="Q563" s="7">
        <v>2380102</v>
      </c>
      <c r="S563" s="7">
        <v>2058632</v>
      </c>
      <c r="U563" s="7">
        <v>44665</v>
      </c>
      <c r="W563" s="7">
        <v>2512641</v>
      </c>
      <c r="Y563" s="7">
        <v>977189</v>
      </c>
      <c r="AA563" s="7">
        <v>308136</v>
      </c>
      <c r="AC563" s="7">
        <v>1921275</v>
      </c>
      <c r="AE563" s="7">
        <v>1489823</v>
      </c>
      <c r="AG563" s="7">
        <v>697836</v>
      </c>
      <c r="AI563" s="7">
        <v>0</v>
      </c>
      <c r="AK563" s="7">
        <v>298647</v>
      </c>
      <c r="AL563" s="12" t="s">
        <v>451</v>
      </c>
      <c r="AM563" s="12"/>
      <c r="AN563" s="12" t="s">
        <v>50</v>
      </c>
      <c r="AP563" s="7">
        <v>349467</v>
      </c>
      <c r="AR563" s="7">
        <v>349038</v>
      </c>
      <c r="AT563" s="7">
        <v>0</v>
      </c>
      <c r="AV563" s="7">
        <v>137314</v>
      </c>
      <c r="AX563" s="7">
        <v>101099</v>
      </c>
      <c r="AZ563" s="7">
        <v>0</v>
      </c>
      <c r="BB563" s="7">
        <f t="shared" si="151"/>
        <v>35446786</v>
      </c>
      <c r="BD563" s="7">
        <v>28714</v>
      </c>
      <c r="BF563" s="7">
        <v>0</v>
      </c>
      <c r="BH563" s="7">
        <v>0</v>
      </c>
      <c r="BJ563" s="7">
        <v>0</v>
      </c>
      <c r="BL563" s="7">
        <f>+BB563+BD563+BF563+BJ563</f>
        <v>35475500</v>
      </c>
      <c r="BN563" s="7">
        <f>+GenRev!AM563-GenExp!BL563</f>
        <v>-3044539</v>
      </c>
      <c r="BP563" s="7">
        <v>11291313</v>
      </c>
      <c r="BR563" s="7">
        <v>0</v>
      </c>
      <c r="BT563" s="7">
        <v>0</v>
      </c>
      <c r="BV563" s="7">
        <f t="shared" si="157"/>
        <v>8246774</v>
      </c>
      <c r="BX563" s="8">
        <f>+BV563-'Gen Fd BS'!AE563+BT563</f>
        <v>0</v>
      </c>
      <c r="CB563" s="7" t="str">
        <f t="shared" si="154"/>
        <v>Vandalia-Butler City SD</v>
      </c>
      <c r="CC563" s="7" t="b">
        <f t="shared" si="148"/>
        <v>1</v>
      </c>
      <c r="CE563" s="12" t="str">
        <f>GenRev!A563</f>
        <v>Vandalia-Butler City SD</v>
      </c>
      <c r="CF563" s="7" t="b">
        <f t="shared" si="155"/>
        <v>1</v>
      </c>
      <c r="CG563" s="7" t="str">
        <f t="shared" si="149"/>
        <v>Montgomery</v>
      </c>
      <c r="CH563" s="7" t="b">
        <f t="shared" si="150"/>
        <v>1</v>
      </c>
      <c r="CI563" s="7" t="b">
        <f>C563=GenRev!C563</f>
        <v>1</v>
      </c>
    </row>
    <row r="564" spans="1:87" hidden="1">
      <c r="A564" s="12" t="s">
        <v>736</v>
      </c>
      <c r="B564" s="12"/>
      <c r="C564" s="12" t="s">
        <v>33</v>
      </c>
      <c r="D564" s="12"/>
      <c r="E564" s="12">
        <v>47472</v>
      </c>
      <c r="AL564" s="12" t="s">
        <v>736</v>
      </c>
      <c r="AM564" s="12"/>
      <c r="AN564" s="12" t="s">
        <v>33</v>
      </c>
      <c r="BB564" s="7">
        <f>SUM(G564:AZ564)</f>
        <v>0</v>
      </c>
      <c r="BL564" s="7">
        <f>+BB564+BD564+BF564+BJ564</f>
        <v>0</v>
      </c>
      <c r="BN564" s="7">
        <f>+GenRev!AM564-GenExp!BL564</f>
        <v>0</v>
      </c>
      <c r="BT564" s="7">
        <v>0</v>
      </c>
      <c r="BV564" s="7">
        <f t="shared" si="157"/>
        <v>0</v>
      </c>
      <c r="BX564" s="8">
        <f>+BV564-'Gen Fd BS'!AE564+BT564</f>
        <v>0</v>
      </c>
      <c r="CA564" s="7" t="s">
        <v>789</v>
      </c>
      <c r="CB564" s="7" t="str">
        <f t="shared" si="154"/>
        <v>Vanlue Local SD (CASH)</v>
      </c>
      <c r="CC564" s="7" t="b">
        <f t="shared" si="148"/>
        <v>1</v>
      </c>
      <c r="CE564" s="12" t="str">
        <f>GenRev!A564</f>
        <v>Vanlue Local SD (CASH)</v>
      </c>
      <c r="CF564" s="7" t="b">
        <f t="shared" si="155"/>
        <v>1</v>
      </c>
      <c r="CG564" s="7" t="str">
        <f t="shared" si="149"/>
        <v>Hancock</v>
      </c>
      <c r="CH564" s="7" t="b">
        <f t="shared" si="150"/>
        <v>1</v>
      </c>
      <c r="CI564" s="7" t="b">
        <f>C564=GenRev!C564</f>
        <v>1</v>
      </c>
    </row>
    <row r="565" spans="1:87">
      <c r="A565" s="12" t="s">
        <v>297</v>
      </c>
      <c r="B565" s="12"/>
      <c r="C565" s="12" t="s">
        <v>24</v>
      </c>
      <c r="D565" s="12"/>
      <c r="E565" s="12">
        <v>46821</v>
      </c>
      <c r="G565" s="7">
        <v>9129742</v>
      </c>
      <c r="I565" s="7">
        <v>1786131</v>
      </c>
      <c r="K565" s="7">
        <v>333657</v>
      </c>
      <c r="M565" s="7">
        <v>0</v>
      </c>
      <c r="O565" s="7">
        <v>811007</v>
      </c>
      <c r="Q565" s="7">
        <v>807080</v>
      </c>
      <c r="S565" s="7">
        <v>1473779</v>
      </c>
      <c r="U565" s="7">
        <v>187809</v>
      </c>
      <c r="W565" s="7">
        <v>1364717</v>
      </c>
      <c r="Y565" s="7">
        <v>598450</v>
      </c>
      <c r="AA565" s="7">
        <v>116327</v>
      </c>
      <c r="AC565" s="7">
        <v>2334395</v>
      </c>
      <c r="AE565" s="7">
        <v>1154291</v>
      </c>
      <c r="AG565" s="7">
        <v>29917</v>
      </c>
      <c r="AI565" s="7">
        <v>0</v>
      </c>
      <c r="AK565" s="7">
        <v>0</v>
      </c>
      <c r="AL565" s="12" t="s">
        <v>297</v>
      </c>
      <c r="AM565" s="12"/>
      <c r="AN565" s="12" t="s">
        <v>24</v>
      </c>
      <c r="AP565" s="7">
        <v>479353</v>
      </c>
      <c r="AR565" s="7">
        <v>87589</v>
      </c>
      <c r="AT565" s="7">
        <v>0</v>
      </c>
      <c r="AV565" s="7">
        <v>1115754</v>
      </c>
      <c r="AX565" s="7">
        <v>153852</v>
      </c>
      <c r="AZ565" s="7">
        <v>0</v>
      </c>
      <c r="BB565" s="7">
        <f>SUM(G565:AZ565)</f>
        <v>21963850</v>
      </c>
      <c r="BD565" s="7">
        <v>0</v>
      </c>
      <c r="BF565" s="7">
        <v>0</v>
      </c>
      <c r="BH565" s="7">
        <v>0</v>
      </c>
      <c r="BJ565" s="7">
        <v>0</v>
      </c>
      <c r="BL565" s="7">
        <f>+BB565+BD565+BF565+BJ565</f>
        <v>21963850</v>
      </c>
      <c r="BN565" s="7">
        <f>+GenRev!AM565-GenExp!BL565</f>
        <v>1840106</v>
      </c>
      <c r="BP565" s="7">
        <v>12460094</v>
      </c>
      <c r="BR565" s="7">
        <v>-1318</v>
      </c>
      <c r="BT565" s="7">
        <v>0</v>
      </c>
      <c r="BV565" s="7">
        <f t="shared" si="157"/>
        <v>14301518</v>
      </c>
      <c r="BX565" s="8">
        <f>+BV565-'Gen Fd BS'!AE565+BT565</f>
        <v>0</v>
      </c>
      <c r="CB565" s="7" t="str">
        <f t="shared" si="154"/>
        <v>Vermilion Local SD</v>
      </c>
      <c r="CC565" s="7" t="b">
        <f t="shared" si="148"/>
        <v>1</v>
      </c>
      <c r="CE565" s="12" t="str">
        <f>GenRev!A565</f>
        <v>Vermilion Local SD</v>
      </c>
      <c r="CF565" s="7" t="b">
        <f t="shared" si="155"/>
        <v>1</v>
      </c>
      <c r="CG565" s="7" t="str">
        <f t="shared" si="149"/>
        <v>Erie</v>
      </c>
      <c r="CH565" s="7" t="b">
        <f t="shared" si="150"/>
        <v>1</v>
      </c>
      <c r="CI565" s="7" t="b">
        <f>C565=GenRev!C565</f>
        <v>1</v>
      </c>
    </row>
    <row r="566" spans="1:87" hidden="1">
      <c r="A566" s="12" t="s">
        <v>737</v>
      </c>
      <c r="B566" s="12"/>
      <c r="C566" s="12" t="s">
        <v>21</v>
      </c>
      <c r="D566" s="12"/>
      <c r="E566" s="12"/>
      <c r="AL566" s="12" t="s">
        <v>737</v>
      </c>
      <c r="AM566" s="12"/>
      <c r="AN566" s="12" t="s">
        <v>21</v>
      </c>
      <c r="BB566" s="7">
        <f>SUM(G566:AZ566)</f>
        <v>0</v>
      </c>
      <c r="BL566" s="7">
        <f>+BB566+BD566+BF566+BJ566</f>
        <v>0</v>
      </c>
      <c r="BN566" s="7">
        <f>+GenRev!AM566-GenExp!BL566</f>
        <v>0</v>
      </c>
      <c r="BT566" s="7">
        <v>0</v>
      </c>
      <c r="BV566" s="7">
        <f t="shared" si="157"/>
        <v>0</v>
      </c>
      <c r="BX566" s="8">
        <f>+BV566-'Gen Fd BS'!AE566+BT566</f>
        <v>0</v>
      </c>
      <c r="CA566" s="7" t="s">
        <v>789</v>
      </c>
      <c r="CB566" s="7" t="str">
        <f t="shared" si="154"/>
        <v>Versailles Exempted Village SD (CASH)</v>
      </c>
      <c r="CC566" s="7" t="b">
        <f t="shared" si="148"/>
        <v>1</v>
      </c>
      <c r="CE566" s="12" t="str">
        <f>GenRev!A566</f>
        <v>Versailles Exempted Village SD (CASH)</v>
      </c>
      <c r="CF566" s="7" t="b">
        <f t="shared" si="155"/>
        <v>1</v>
      </c>
      <c r="CG566" s="7" t="str">
        <f t="shared" si="149"/>
        <v>Darke</v>
      </c>
      <c r="CH566" s="7" t="b">
        <f t="shared" si="150"/>
        <v>1</v>
      </c>
      <c r="CI566" s="7" t="b">
        <f>C566=GenRev!C566</f>
        <v>1</v>
      </c>
    </row>
    <row r="567" spans="1:87">
      <c r="A567" s="12" t="s">
        <v>559</v>
      </c>
      <c r="B567" s="12"/>
      <c r="C567" s="12" t="s">
        <v>68</v>
      </c>
      <c r="D567" s="12"/>
      <c r="E567" s="12">
        <v>50393</v>
      </c>
      <c r="G567" s="7">
        <v>8576267</v>
      </c>
      <c r="I567" s="7">
        <v>1982790</v>
      </c>
      <c r="K567" s="7">
        <v>259390</v>
      </c>
      <c r="M567" s="7">
        <v>0</v>
      </c>
      <c r="O567" s="7">
        <v>1201202</v>
      </c>
      <c r="Q567" s="7">
        <v>958551</v>
      </c>
      <c r="S567" s="7">
        <v>725620</v>
      </c>
      <c r="U567" s="7">
        <v>289033</v>
      </c>
      <c r="W567" s="7">
        <v>1769648</v>
      </c>
      <c r="Y567" s="7">
        <v>380945</v>
      </c>
      <c r="AA567" s="7">
        <v>0</v>
      </c>
      <c r="AC567" s="7">
        <v>1941391</v>
      </c>
      <c r="AE567" s="7">
        <v>2139508</v>
      </c>
      <c r="AG567" s="7">
        <v>362505</v>
      </c>
      <c r="AI567" s="7">
        <v>0</v>
      </c>
      <c r="AK567" s="7">
        <v>85450</v>
      </c>
      <c r="AL567" s="12" t="s">
        <v>559</v>
      </c>
      <c r="AM567" s="12"/>
      <c r="AN567" s="12" t="s">
        <v>68</v>
      </c>
      <c r="AP567" s="7">
        <v>160417</v>
      </c>
      <c r="AR567" s="7">
        <v>171590</v>
      </c>
      <c r="AT567" s="7">
        <v>0</v>
      </c>
      <c r="AV567" s="7">
        <v>101736</v>
      </c>
      <c r="AX567" s="7">
        <v>37219</v>
      </c>
      <c r="AZ567" s="7">
        <v>0</v>
      </c>
      <c r="BB567" s="7">
        <f>SUM(G567:AZ567)</f>
        <v>21143262</v>
      </c>
      <c r="BD567" s="7">
        <v>81382</v>
      </c>
      <c r="BF567" s="7">
        <v>0</v>
      </c>
      <c r="BH567" s="7">
        <v>0</v>
      </c>
      <c r="BJ567" s="7">
        <v>0</v>
      </c>
      <c r="BL567" s="7">
        <f>+BB567+BD567+BF567+BJ567</f>
        <v>21224644</v>
      </c>
      <c r="BN567" s="7">
        <f>+GenRev!AM567-GenExp!BL567</f>
        <v>558186</v>
      </c>
      <c r="BP567" s="7">
        <v>11499227</v>
      </c>
      <c r="BR567" s="7">
        <v>0</v>
      </c>
      <c r="BT567" s="7">
        <v>0</v>
      </c>
      <c r="BV567" s="7">
        <f t="shared" si="157"/>
        <v>12057413</v>
      </c>
      <c r="BX567" s="8">
        <f>+BV567-'Gen Fd BS'!AE567+BT567</f>
        <v>0</v>
      </c>
      <c r="CB567" s="7" t="str">
        <f t="shared" si="154"/>
        <v>Vinton County Local SD</v>
      </c>
      <c r="CC567" s="7" t="b">
        <f t="shared" si="148"/>
        <v>1</v>
      </c>
      <c r="CE567" s="12" t="str">
        <f>GenRev!A567</f>
        <v>Vinton County Local SD</v>
      </c>
      <c r="CF567" s="7" t="b">
        <f t="shared" si="155"/>
        <v>1</v>
      </c>
      <c r="CG567" s="7" t="str">
        <f t="shared" si="149"/>
        <v>Vinton</v>
      </c>
      <c r="CH567" s="7" t="b">
        <f t="shared" si="150"/>
        <v>1</v>
      </c>
      <c r="CI567" s="7" t="b">
        <f>C567=GenRev!C567</f>
        <v>1</v>
      </c>
    </row>
    <row r="568" spans="1:87">
      <c r="A568" s="12" t="s">
        <v>432</v>
      </c>
      <c r="B568" s="12"/>
      <c r="C568" s="12" t="s">
        <v>47</v>
      </c>
      <c r="D568" s="12"/>
      <c r="E568" s="12">
        <v>44974</v>
      </c>
      <c r="G568" s="7">
        <v>17370086</v>
      </c>
      <c r="I568" s="7">
        <v>2177596</v>
      </c>
      <c r="K568" s="7">
        <v>1715141</v>
      </c>
      <c r="M568" s="7">
        <v>24577</v>
      </c>
      <c r="O568" s="7">
        <v>1255371</v>
      </c>
      <c r="Q568" s="7">
        <v>2639858</v>
      </c>
      <c r="S568" s="7">
        <v>1195070</v>
      </c>
      <c r="U568" s="7">
        <v>252403</v>
      </c>
      <c r="W568" s="7">
        <v>3416934</v>
      </c>
      <c r="Y568" s="7">
        <v>664362</v>
      </c>
      <c r="AA568" s="7">
        <v>0</v>
      </c>
      <c r="AC568" s="7">
        <v>3991771</v>
      </c>
      <c r="AE568" s="7">
        <v>1345408</v>
      </c>
      <c r="AG568" s="7">
        <v>670836</v>
      </c>
      <c r="AI568" s="7">
        <v>0</v>
      </c>
      <c r="AK568" s="7">
        <v>0</v>
      </c>
      <c r="AL568" s="12" t="s">
        <v>432</v>
      </c>
      <c r="AM568" s="12"/>
      <c r="AN568" s="12" t="s">
        <v>47</v>
      </c>
      <c r="AP568" s="7">
        <v>715631</v>
      </c>
      <c r="AR568" s="7">
        <v>26581</v>
      </c>
      <c r="AV568" s="7">
        <v>0</v>
      </c>
      <c r="AX568" s="7">
        <v>0</v>
      </c>
      <c r="AZ568" s="7">
        <v>0</v>
      </c>
      <c r="BB568" s="7">
        <f t="shared" ref="BB568:BB586" si="158">SUM(G568:AZ568)</f>
        <v>37461625</v>
      </c>
      <c r="BD568" s="7">
        <v>0</v>
      </c>
      <c r="BF568" s="7">
        <v>0</v>
      </c>
      <c r="BH568" s="7">
        <v>0</v>
      </c>
      <c r="BJ568" s="7">
        <v>0</v>
      </c>
      <c r="BL568" s="7">
        <f t="shared" ref="BL568:BL618" si="159">+BB568+BD568+BF568+BJ568</f>
        <v>37461625</v>
      </c>
      <c r="BN568" s="7">
        <f>+GenRev!AM568-GenExp!BL568</f>
        <v>-1775302</v>
      </c>
      <c r="BP568" s="7">
        <v>6319763</v>
      </c>
      <c r="BR568" s="7">
        <v>0</v>
      </c>
      <c r="BT568" s="7">
        <v>0</v>
      </c>
      <c r="BV568" s="7">
        <f t="shared" ref="BV568:BV618" si="160">+BP568+BN568-BR568</f>
        <v>4544461</v>
      </c>
      <c r="BX568" s="8">
        <f>+BV568-'Gen Fd BS'!AE568+BT568</f>
        <v>0</v>
      </c>
      <c r="CB568" s="7" t="str">
        <f t="shared" si="154"/>
        <v>Wadsworth City SD</v>
      </c>
      <c r="CC568" s="7" t="b">
        <f t="shared" si="148"/>
        <v>1</v>
      </c>
      <c r="CE568" s="12" t="str">
        <f>GenRev!A568</f>
        <v>Wadsworth City SD</v>
      </c>
      <c r="CF568" s="7" t="b">
        <f t="shared" si="155"/>
        <v>1</v>
      </c>
      <c r="CG568" s="7" t="str">
        <f t="shared" si="149"/>
        <v>Medina</v>
      </c>
      <c r="CH568" s="7" t="b">
        <f t="shared" si="150"/>
        <v>1</v>
      </c>
      <c r="CI568" s="7" t="b">
        <f>C568=GenRev!C568</f>
        <v>1</v>
      </c>
    </row>
    <row r="569" spans="1:87">
      <c r="A569" s="12" t="s">
        <v>547</v>
      </c>
      <c r="B569" s="12"/>
      <c r="C569" s="12" t="s">
        <v>64</v>
      </c>
      <c r="D569" s="12"/>
      <c r="E569" s="12">
        <v>44990</v>
      </c>
      <c r="G569" s="7">
        <v>25939163</v>
      </c>
      <c r="I569" s="7">
        <v>7262980</v>
      </c>
      <c r="K569" s="7">
        <v>218998</v>
      </c>
      <c r="M569" s="7">
        <v>0</v>
      </c>
      <c r="O569" s="7">
        <v>2673703</v>
      </c>
      <c r="Q569" s="7">
        <v>3139933</v>
      </c>
      <c r="S569" s="7">
        <v>2485101</v>
      </c>
      <c r="U569" s="7">
        <v>43310</v>
      </c>
      <c r="W569" s="7">
        <v>5432961</v>
      </c>
      <c r="Y569" s="7">
        <v>963290</v>
      </c>
      <c r="AA569" s="7">
        <v>712753</v>
      </c>
      <c r="AC569" s="7">
        <v>7465994</v>
      </c>
      <c r="AE569" s="7">
        <v>2558869</v>
      </c>
      <c r="AG569" s="7">
        <v>1313706</v>
      </c>
      <c r="AI569" s="7">
        <v>0</v>
      </c>
      <c r="AK569" s="7">
        <v>2194</v>
      </c>
      <c r="AL569" s="12" t="s">
        <v>547</v>
      </c>
      <c r="AM569" s="12"/>
      <c r="AN569" s="12" t="s">
        <v>64</v>
      </c>
      <c r="AP569" s="7">
        <v>854319</v>
      </c>
      <c r="AR569" s="7">
        <v>62487</v>
      </c>
      <c r="AV569" s="7">
        <v>0</v>
      </c>
      <c r="AX569" s="7">
        <v>0</v>
      </c>
      <c r="AZ569" s="7">
        <v>0</v>
      </c>
      <c r="BB569" s="7">
        <f t="shared" si="158"/>
        <v>61129761</v>
      </c>
      <c r="BD569" s="7">
        <v>140020</v>
      </c>
      <c r="BF569" s="7">
        <v>0</v>
      </c>
      <c r="BH569" s="7">
        <v>0</v>
      </c>
      <c r="BJ569" s="7">
        <v>0</v>
      </c>
      <c r="BL569" s="7">
        <f t="shared" si="159"/>
        <v>61269781</v>
      </c>
      <c r="BN569" s="7">
        <f>+GenRev!AM569-GenExp!BL569</f>
        <v>-2790207</v>
      </c>
      <c r="BP569" s="7">
        <v>13551467</v>
      </c>
      <c r="BR569" s="7">
        <v>0</v>
      </c>
      <c r="BT569" s="7">
        <v>0</v>
      </c>
      <c r="BV569" s="7">
        <f t="shared" si="160"/>
        <v>10761260</v>
      </c>
      <c r="BX569" s="8">
        <f>+BV569-'Gen Fd BS'!AE569+BT569</f>
        <v>0</v>
      </c>
      <c r="CB569" s="7" t="str">
        <f t="shared" si="154"/>
        <v>Warren City SD</v>
      </c>
      <c r="CC569" s="7" t="b">
        <f t="shared" si="148"/>
        <v>1</v>
      </c>
      <c r="CE569" s="12" t="str">
        <f>GenRev!A569</f>
        <v>Warren City SD</v>
      </c>
      <c r="CF569" s="7" t="b">
        <f t="shared" si="155"/>
        <v>1</v>
      </c>
      <c r="CG569" s="7" t="str">
        <f t="shared" si="149"/>
        <v>Trumbull</v>
      </c>
      <c r="CH569" s="7" t="b">
        <f t="shared" si="150"/>
        <v>1</v>
      </c>
      <c r="CI569" s="7" t="b">
        <f>C569=GenRev!C569</f>
        <v>1</v>
      </c>
    </row>
    <row r="570" spans="1:87">
      <c r="A570" s="12" t="s">
        <v>566</v>
      </c>
      <c r="B570" s="12"/>
      <c r="C570" s="12" t="s">
        <v>70</v>
      </c>
      <c r="D570" s="12"/>
      <c r="E570" s="12">
        <v>50500</v>
      </c>
      <c r="G570" s="7">
        <v>10112056</v>
      </c>
      <c r="I570" s="7">
        <v>1334743</v>
      </c>
      <c r="K570" s="7">
        <v>85261</v>
      </c>
      <c r="M570" s="7">
        <v>0</v>
      </c>
      <c r="O570" s="7">
        <v>19209</v>
      </c>
      <c r="Q570" s="7">
        <v>543048</v>
      </c>
      <c r="S570" s="7">
        <v>671650</v>
      </c>
      <c r="U570" s="7">
        <v>130750</v>
      </c>
      <c r="W570" s="7">
        <v>869913</v>
      </c>
      <c r="Y570" s="7">
        <v>513771</v>
      </c>
      <c r="AA570" s="7">
        <v>7755</v>
      </c>
      <c r="AC570" s="7">
        <v>1705777</v>
      </c>
      <c r="AE570" s="7">
        <v>1861144</v>
      </c>
      <c r="AG570" s="7">
        <v>30119</v>
      </c>
      <c r="AI570" s="7">
        <v>0</v>
      </c>
      <c r="AK570" s="7">
        <v>0</v>
      </c>
      <c r="AL570" s="12" t="s">
        <v>566</v>
      </c>
      <c r="AM570" s="12"/>
      <c r="AN570" s="12" t="s">
        <v>70</v>
      </c>
      <c r="AP570" s="7">
        <v>311140</v>
      </c>
      <c r="AR570" s="7">
        <v>0</v>
      </c>
      <c r="AV570" s="7">
        <v>0</v>
      </c>
      <c r="AX570" s="7">
        <v>0</v>
      </c>
      <c r="AZ570" s="7">
        <v>0</v>
      </c>
      <c r="BB570" s="7">
        <f t="shared" si="158"/>
        <v>18196336</v>
      </c>
      <c r="BD570" s="7">
        <v>317986</v>
      </c>
      <c r="BF570" s="7">
        <v>0</v>
      </c>
      <c r="BH570" s="7">
        <v>0</v>
      </c>
      <c r="BJ570" s="7">
        <v>0</v>
      </c>
      <c r="BL570" s="7">
        <f t="shared" si="159"/>
        <v>18514322</v>
      </c>
      <c r="BN570" s="7">
        <f>+GenRev!AM570-GenExp!BL570</f>
        <v>1405803</v>
      </c>
      <c r="BP570" s="7">
        <v>1519960</v>
      </c>
      <c r="BR570" s="7">
        <v>0</v>
      </c>
      <c r="BT570" s="7">
        <v>0</v>
      </c>
      <c r="BV570" s="7">
        <f t="shared" si="160"/>
        <v>2925763</v>
      </c>
      <c r="BX570" s="8">
        <f>+BV570-'Gen Fd BS'!AE570+BT570</f>
        <v>0</v>
      </c>
      <c r="CB570" s="7" t="str">
        <f t="shared" si="154"/>
        <v>Warren Local SD</v>
      </c>
      <c r="CC570" s="7" t="b">
        <f t="shared" si="148"/>
        <v>1</v>
      </c>
      <c r="CE570" s="12" t="str">
        <f>GenRev!A570</f>
        <v>Warren Local SD</v>
      </c>
      <c r="CF570" s="7" t="b">
        <f t="shared" si="155"/>
        <v>1</v>
      </c>
      <c r="CG570" s="7" t="str">
        <f t="shared" si="149"/>
        <v>Washington</v>
      </c>
      <c r="CH570" s="7" t="b">
        <f t="shared" si="150"/>
        <v>1</v>
      </c>
      <c r="CI570" s="7" t="b">
        <f>C570=GenRev!C570</f>
        <v>1</v>
      </c>
    </row>
    <row r="571" spans="1:87">
      <c r="A571" s="12" t="s">
        <v>286</v>
      </c>
      <c r="B571" s="12"/>
      <c r="C571" s="12" t="s">
        <v>20</v>
      </c>
      <c r="D571" s="12"/>
      <c r="E571" s="12">
        <v>45005</v>
      </c>
      <c r="F571" s="10"/>
      <c r="G571" s="7">
        <v>12166037</v>
      </c>
      <c r="I571" s="7">
        <v>3316522</v>
      </c>
      <c r="K571" s="7">
        <v>110801</v>
      </c>
      <c r="M571" s="7">
        <v>0</v>
      </c>
      <c r="O571" s="7">
        <v>0</v>
      </c>
      <c r="Q571" s="7">
        <v>1012891</v>
      </c>
      <c r="S571" s="7">
        <v>1460396</v>
      </c>
      <c r="U571" s="7">
        <v>70448</v>
      </c>
      <c r="W571" s="7">
        <v>2363687</v>
      </c>
      <c r="Y571" s="7">
        <v>1245181</v>
      </c>
      <c r="AA571" s="7">
        <v>1684651</v>
      </c>
      <c r="AC571" s="7">
        <v>3467415</v>
      </c>
      <c r="AE571" s="7">
        <v>1091283</v>
      </c>
      <c r="AG571" s="7">
        <v>179082</v>
      </c>
      <c r="AI571" s="7">
        <v>55221</v>
      </c>
      <c r="AK571" s="7">
        <v>2900</v>
      </c>
      <c r="AL571" s="12" t="s">
        <v>286</v>
      </c>
      <c r="AM571" s="12"/>
      <c r="AN571" s="12" t="s">
        <v>20</v>
      </c>
      <c r="AP571" s="7">
        <v>109518</v>
      </c>
      <c r="AR571" s="7">
        <v>0</v>
      </c>
      <c r="AV571" s="7">
        <v>0</v>
      </c>
      <c r="AX571" s="7">
        <v>0</v>
      </c>
      <c r="AZ571" s="7">
        <v>0</v>
      </c>
      <c r="BB571" s="7">
        <f>SUM(G571:AZ571)</f>
        <v>28336033</v>
      </c>
      <c r="BD571" s="7">
        <v>196309</v>
      </c>
      <c r="BF571" s="7">
        <v>0</v>
      </c>
      <c r="BH571" s="7">
        <v>0</v>
      </c>
      <c r="BJ571" s="7">
        <v>0</v>
      </c>
      <c r="BL571" s="7">
        <f>+BB571+BD571+BF571+BJ571</f>
        <v>28532342</v>
      </c>
      <c r="BN571" s="7">
        <f>+GenRev!AM571-GenExp!BL571</f>
        <v>6206060</v>
      </c>
      <c r="BP571" s="7">
        <v>1005999</v>
      </c>
      <c r="BR571" s="7">
        <v>0</v>
      </c>
      <c r="BT571" s="7">
        <v>0</v>
      </c>
      <c r="BV571" s="7">
        <f>+BP571+BN571-BR571</f>
        <v>7212059</v>
      </c>
      <c r="BX571" s="8">
        <f>+BV571-'Gen Fd BS'!AE571+BT571</f>
        <v>0</v>
      </c>
      <c r="CB571" s="7" t="str">
        <f t="shared" si="154"/>
        <v>Warrensville Heights City SD</v>
      </c>
      <c r="CC571" s="7" t="b">
        <f t="shared" si="148"/>
        <v>1</v>
      </c>
      <c r="CE571" s="12" t="str">
        <f>GenRev!A571</f>
        <v>Warrensville Heights City SD</v>
      </c>
      <c r="CF571" s="7" t="b">
        <f t="shared" si="155"/>
        <v>1</v>
      </c>
      <c r="CG571" s="7" t="str">
        <f t="shared" si="149"/>
        <v>Cuyahoga</v>
      </c>
      <c r="CH571" s="7" t="b">
        <f t="shared" si="150"/>
        <v>1</v>
      </c>
      <c r="CI571" s="7" t="b">
        <f>C571=GenRev!C571</f>
        <v>1</v>
      </c>
    </row>
    <row r="572" spans="1:87">
      <c r="A572" s="12" t="s">
        <v>304</v>
      </c>
      <c r="B572" s="12"/>
      <c r="C572" s="12" t="s">
        <v>26</v>
      </c>
      <c r="D572" s="12"/>
      <c r="E572" s="12">
        <v>45013</v>
      </c>
      <c r="G572" s="7">
        <v>7484338</v>
      </c>
      <c r="I572" s="7">
        <v>2116436</v>
      </c>
      <c r="K572" s="7">
        <v>0</v>
      </c>
      <c r="M572" s="7">
        <v>25012</v>
      </c>
      <c r="O572" s="7">
        <v>0</v>
      </c>
      <c r="Q572" s="7">
        <v>491096</v>
      </c>
      <c r="S572" s="7">
        <v>376475</v>
      </c>
      <c r="U572" s="7">
        <v>29668</v>
      </c>
      <c r="W572" s="7">
        <v>1714276</v>
      </c>
      <c r="Y572" s="7">
        <v>483637</v>
      </c>
      <c r="AA572" s="7">
        <v>0</v>
      </c>
      <c r="AC572" s="7">
        <v>1784209</v>
      </c>
      <c r="AE572" s="7">
        <v>593779</v>
      </c>
      <c r="AG572" s="7">
        <v>244671</v>
      </c>
      <c r="AI572" s="7">
        <v>0</v>
      </c>
      <c r="AK572" s="7">
        <v>0</v>
      </c>
      <c r="AL572" s="12" t="s">
        <v>304</v>
      </c>
      <c r="AM572" s="12"/>
      <c r="AN572" s="12" t="s">
        <v>26</v>
      </c>
      <c r="AP572" s="7">
        <v>312329</v>
      </c>
      <c r="AR572" s="7">
        <v>64351</v>
      </c>
      <c r="AV572" s="7">
        <v>62465</v>
      </c>
      <c r="AX572" s="7">
        <v>17358</v>
      </c>
      <c r="AZ572" s="7">
        <v>0</v>
      </c>
      <c r="BB572" s="7">
        <f t="shared" si="158"/>
        <v>15800100</v>
      </c>
      <c r="BD572" s="7">
        <v>0</v>
      </c>
      <c r="BF572" s="7">
        <v>0</v>
      </c>
      <c r="BH572" s="7">
        <v>0</v>
      </c>
      <c r="BJ572" s="7">
        <v>0</v>
      </c>
      <c r="BL572" s="7">
        <f t="shared" si="159"/>
        <v>15800100</v>
      </c>
      <c r="BN572" s="7">
        <f>+GenRev!AM572-GenExp!BL572</f>
        <v>1032921</v>
      </c>
      <c r="BP572" s="7">
        <v>616648</v>
      </c>
      <c r="BR572" s="7">
        <v>0</v>
      </c>
      <c r="BT572" s="7">
        <v>0</v>
      </c>
      <c r="BV572" s="7">
        <f t="shared" si="160"/>
        <v>1649569</v>
      </c>
      <c r="BX572" s="8">
        <f>+BV572-'Gen Fd BS'!AE572+BT572</f>
        <v>0</v>
      </c>
      <c r="CB572" s="7" t="str">
        <f t="shared" si="154"/>
        <v>Washington Court House City SD</v>
      </c>
      <c r="CC572" s="7" t="b">
        <f t="shared" si="148"/>
        <v>1</v>
      </c>
      <c r="CE572" s="12" t="str">
        <f>GenRev!A572</f>
        <v>Washington Court House City SD</v>
      </c>
      <c r="CF572" s="7" t="b">
        <f t="shared" si="155"/>
        <v>1</v>
      </c>
      <c r="CG572" s="7" t="str">
        <f t="shared" si="149"/>
        <v>Fayette</v>
      </c>
      <c r="CH572" s="7" t="b">
        <f t="shared" si="150"/>
        <v>1</v>
      </c>
      <c r="CI572" s="7" t="b">
        <f>C572=GenRev!C572</f>
        <v>1</v>
      </c>
    </row>
    <row r="573" spans="1:87">
      <c r="A573" s="12" t="s">
        <v>409</v>
      </c>
      <c r="B573" s="12"/>
      <c r="C573" s="12" t="s">
        <v>115</v>
      </c>
      <c r="D573" s="12"/>
      <c r="E573" s="12">
        <v>48231</v>
      </c>
      <c r="G573" s="7">
        <v>29969326</v>
      </c>
      <c r="I573" s="7">
        <v>6449016</v>
      </c>
      <c r="K573" s="7">
        <v>3119262</v>
      </c>
      <c r="M573" s="7">
        <v>6597</v>
      </c>
      <c r="O573" s="7">
        <v>3496733</v>
      </c>
      <c r="Q573" s="7">
        <v>3901170</v>
      </c>
      <c r="S573" s="7">
        <v>3457954</v>
      </c>
      <c r="U573" s="7">
        <v>143359</v>
      </c>
      <c r="W573" s="7">
        <v>5117606</v>
      </c>
      <c r="Y573" s="7">
        <v>1520076</v>
      </c>
      <c r="AA573" s="7">
        <v>593968</v>
      </c>
      <c r="AC573" s="7">
        <v>7504395</v>
      </c>
      <c r="AE573" s="7">
        <v>3299727</v>
      </c>
      <c r="AG573" s="7">
        <v>1560098</v>
      </c>
      <c r="AI573" s="7">
        <v>0</v>
      </c>
      <c r="AK573" s="7">
        <v>29547</v>
      </c>
      <c r="AL573" s="12" t="s">
        <v>409</v>
      </c>
      <c r="AM573" s="12"/>
      <c r="AN573" s="12" t="s">
        <v>115</v>
      </c>
      <c r="AP573" s="7">
        <v>870672</v>
      </c>
      <c r="AR573" s="7">
        <v>11914</v>
      </c>
      <c r="AV573" s="7">
        <v>0</v>
      </c>
      <c r="AX573" s="7">
        <v>0</v>
      </c>
      <c r="AZ573" s="7">
        <v>0</v>
      </c>
      <c r="BB573" s="7">
        <f t="shared" si="158"/>
        <v>71051420</v>
      </c>
      <c r="BD573" s="7">
        <v>13500</v>
      </c>
      <c r="BF573" s="7">
        <v>0</v>
      </c>
      <c r="BH573" s="7">
        <v>0</v>
      </c>
      <c r="BJ573" s="7">
        <v>0</v>
      </c>
      <c r="BL573" s="7">
        <f t="shared" si="159"/>
        <v>71064920</v>
      </c>
      <c r="BN573" s="7">
        <f>+GenRev!AM573-GenExp!BL573</f>
        <v>-2343317</v>
      </c>
      <c r="BP573" s="7">
        <v>26942054</v>
      </c>
      <c r="BR573" s="7">
        <v>0</v>
      </c>
      <c r="BT573" s="7">
        <v>0</v>
      </c>
      <c r="BV573" s="7">
        <f t="shared" si="160"/>
        <v>24598737</v>
      </c>
      <c r="BX573" s="8">
        <f>+BV573-'Gen Fd BS'!AE573+BT573</f>
        <v>0</v>
      </c>
      <c r="CB573" s="7" t="str">
        <f t="shared" si="154"/>
        <v>Washington Local SD</v>
      </c>
      <c r="CC573" s="7" t="b">
        <f t="shared" si="148"/>
        <v>1</v>
      </c>
      <c r="CE573" s="12" t="str">
        <f>GenRev!A573</f>
        <v>Washington Local SD</v>
      </c>
      <c r="CF573" s="7" t="b">
        <f t="shared" si="155"/>
        <v>1</v>
      </c>
      <c r="CG573" s="7" t="str">
        <f t="shared" si="149"/>
        <v>Lucas</v>
      </c>
      <c r="CH573" s="7" t="b">
        <f t="shared" si="150"/>
        <v>1</v>
      </c>
      <c r="CI573" s="7" t="b">
        <f>C573=GenRev!C573</f>
        <v>1</v>
      </c>
    </row>
    <row r="574" spans="1:87">
      <c r="A574" s="12" t="s">
        <v>500</v>
      </c>
      <c r="B574" s="12"/>
      <c r="C574" s="12" t="s">
        <v>59</v>
      </c>
      <c r="D574" s="12"/>
      <c r="E574" s="12">
        <v>49650</v>
      </c>
      <c r="F574" s="10"/>
      <c r="G574" s="7">
        <v>6187189</v>
      </c>
      <c r="I574" s="7">
        <v>1313978</v>
      </c>
      <c r="K574" s="7">
        <v>105249</v>
      </c>
      <c r="M574" s="7">
        <v>53897</v>
      </c>
      <c r="O574" s="7">
        <v>0</v>
      </c>
      <c r="Q574" s="7">
        <v>753181</v>
      </c>
      <c r="S574" s="7">
        <v>484997</v>
      </c>
      <c r="U574" s="7">
        <v>111224</v>
      </c>
      <c r="W574" s="7">
        <v>1089441</v>
      </c>
      <c r="Y574" s="7">
        <v>304182</v>
      </c>
      <c r="AA574" s="7">
        <v>0</v>
      </c>
      <c r="AC574" s="7">
        <v>923847</v>
      </c>
      <c r="AE574" s="7">
        <v>823277</v>
      </c>
      <c r="AG574" s="7">
        <v>0</v>
      </c>
      <c r="AI574" s="7">
        <v>0</v>
      </c>
      <c r="AK574" s="7">
        <v>0</v>
      </c>
      <c r="AL574" s="12" t="s">
        <v>500</v>
      </c>
      <c r="AM574" s="12"/>
      <c r="AN574" s="12" t="s">
        <v>59</v>
      </c>
      <c r="AP574" s="7">
        <v>149490</v>
      </c>
      <c r="AR574" s="7">
        <v>1633</v>
      </c>
      <c r="AV574" s="7">
        <v>0</v>
      </c>
      <c r="AX574" s="7">
        <v>0</v>
      </c>
      <c r="AZ574" s="7">
        <v>0</v>
      </c>
      <c r="BB574" s="7">
        <f t="shared" si="158"/>
        <v>12301585</v>
      </c>
      <c r="BD574" s="7">
        <v>236014</v>
      </c>
      <c r="BF574" s="7">
        <v>0</v>
      </c>
      <c r="BH574" s="7">
        <v>0</v>
      </c>
      <c r="BJ574" s="7">
        <v>0</v>
      </c>
      <c r="BL574" s="7">
        <f t="shared" si="159"/>
        <v>12537599</v>
      </c>
      <c r="BN574" s="7">
        <f>+GenRev!AM574-GenExp!BL574</f>
        <v>-323318</v>
      </c>
      <c r="BP574" s="7">
        <v>1839001</v>
      </c>
      <c r="BR574" s="7">
        <v>0</v>
      </c>
      <c r="BT574" s="7">
        <v>0</v>
      </c>
      <c r="BV574" s="7">
        <f t="shared" si="160"/>
        <v>1515683</v>
      </c>
      <c r="BX574" s="8">
        <f>+BV574-'Gen Fd BS'!AE574+BT574</f>
        <v>0</v>
      </c>
      <c r="CB574" s="7" t="str">
        <f t="shared" si="154"/>
        <v>Washington-Nile Local SD</v>
      </c>
      <c r="CC574" s="7" t="b">
        <f t="shared" si="148"/>
        <v>1</v>
      </c>
      <c r="CE574" s="12" t="str">
        <f>GenRev!A574</f>
        <v>Washington-Nile Local SD</v>
      </c>
      <c r="CF574" s="7" t="b">
        <f t="shared" si="155"/>
        <v>1</v>
      </c>
      <c r="CG574" s="7" t="str">
        <f t="shared" si="149"/>
        <v>Scioto</v>
      </c>
      <c r="CH574" s="7" t="b">
        <f t="shared" si="150"/>
        <v>1</v>
      </c>
      <c r="CI574" s="7" t="b">
        <f>C574=GenRev!C574</f>
        <v>1</v>
      </c>
    </row>
    <row r="575" spans="1:87">
      <c r="A575" s="12" t="s">
        <v>480</v>
      </c>
      <c r="B575" s="12"/>
      <c r="C575" s="12" t="s">
        <v>56</v>
      </c>
      <c r="D575" s="12"/>
      <c r="E575" s="12">
        <v>49247</v>
      </c>
      <c r="G575" s="7">
        <v>4911063</v>
      </c>
      <c r="I575" s="7">
        <v>1093967</v>
      </c>
      <c r="K575" s="7">
        <v>64326</v>
      </c>
      <c r="M575" s="7">
        <v>0</v>
      </c>
      <c r="O575" s="7">
        <v>17909</v>
      </c>
      <c r="Q575" s="7">
        <v>407746</v>
      </c>
      <c r="S575" s="7">
        <v>330324</v>
      </c>
      <c r="U575" s="7">
        <v>36717</v>
      </c>
      <c r="W575" s="7">
        <v>894004</v>
      </c>
      <c r="Y575" s="7">
        <v>349317</v>
      </c>
      <c r="AA575" s="7">
        <v>21320</v>
      </c>
      <c r="AC575" s="7">
        <v>709168</v>
      </c>
      <c r="AE575" s="7">
        <v>823066</v>
      </c>
      <c r="AG575" s="7">
        <v>12381</v>
      </c>
      <c r="AI575" s="7">
        <v>0</v>
      </c>
      <c r="AK575" s="7">
        <v>0</v>
      </c>
      <c r="AL575" s="12" t="s">
        <v>480</v>
      </c>
      <c r="AM575" s="12"/>
      <c r="AN575" s="12" t="s">
        <v>56</v>
      </c>
      <c r="AP575" s="7">
        <v>231955</v>
      </c>
      <c r="AR575" s="7">
        <v>0</v>
      </c>
      <c r="AV575" s="7">
        <v>0</v>
      </c>
      <c r="AX575" s="7">
        <v>0</v>
      </c>
      <c r="AZ575" s="7">
        <v>0</v>
      </c>
      <c r="BB575" s="7">
        <f t="shared" si="158"/>
        <v>9903263</v>
      </c>
      <c r="BD575" s="7">
        <v>0</v>
      </c>
      <c r="BF575" s="7">
        <v>0</v>
      </c>
      <c r="BH575" s="7">
        <v>0</v>
      </c>
      <c r="BJ575" s="7">
        <v>0</v>
      </c>
      <c r="BL575" s="7">
        <f t="shared" si="159"/>
        <v>9903263</v>
      </c>
      <c r="BN575" s="7">
        <f>+GenRev!AM575-GenExp!BL575</f>
        <v>-523702</v>
      </c>
      <c r="BP575" s="7">
        <v>758522</v>
      </c>
      <c r="BR575" s="7">
        <v>-1978</v>
      </c>
      <c r="BT575" s="7">
        <v>0</v>
      </c>
      <c r="BV575" s="7">
        <f t="shared" si="160"/>
        <v>236798</v>
      </c>
      <c r="BX575" s="8">
        <f>+BV575-'Gen Fd BS'!AE575+BT575</f>
        <v>0</v>
      </c>
      <c r="CB575" s="7" t="str">
        <f t="shared" si="154"/>
        <v>Waterloo Local SD</v>
      </c>
      <c r="CC575" s="7" t="b">
        <f t="shared" si="148"/>
        <v>1</v>
      </c>
      <c r="CE575" s="12" t="str">
        <f>GenRev!A575</f>
        <v>Waterloo Local SD</v>
      </c>
      <c r="CF575" s="7" t="b">
        <f t="shared" si="155"/>
        <v>1</v>
      </c>
      <c r="CG575" s="7" t="str">
        <f t="shared" si="149"/>
        <v>Portage</v>
      </c>
      <c r="CH575" s="7" t="b">
        <f t="shared" si="150"/>
        <v>1</v>
      </c>
      <c r="CI575" s="7" t="b">
        <f>C575=GenRev!C575</f>
        <v>1</v>
      </c>
    </row>
    <row r="576" spans="1:87">
      <c r="A576" s="12" t="s">
        <v>889</v>
      </c>
      <c r="B576" s="12"/>
      <c r="C576" s="12" t="s">
        <v>28</v>
      </c>
      <c r="D576" s="12"/>
      <c r="E576" s="12">
        <v>45641</v>
      </c>
      <c r="G576" s="7">
        <v>6451717</v>
      </c>
      <c r="I576" s="7">
        <v>1614181</v>
      </c>
      <c r="K576" s="7">
        <v>249665</v>
      </c>
      <c r="M576" s="7">
        <v>0</v>
      </c>
      <c r="O576" s="7">
        <v>786578</v>
      </c>
      <c r="Q576" s="7">
        <v>572989</v>
      </c>
      <c r="S576" s="7">
        <v>640476</v>
      </c>
      <c r="U576" s="7">
        <v>39221</v>
      </c>
      <c r="W576" s="7">
        <v>1346007</v>
      </c>
      <c r="Y576" s="7">
        <v>332550</v>
      </c>
      <c r="AA576" s="7">
        <v>66838</v>
      </c>
      <c r="AC576" s="7">
        <v>1284328</v>
      </c>
      <c r="AE576" s="7">
        <v>759019</v>
      </c>
      <c r="AG576" s="7">
        <v>97842</v>
      </c>
      <c r="AI576" s="7">
        <v>0</v>
      </c>
      <c r="AK576" s="7">
        <v>0</v>
      </c>
      <c r="AL576" s="12" t="s">
        <v>889</v>
      </c>
      <c r="AM576" s="12"/>
      <c r="AN576" s="12" t="s">
        <v>28</v>
      </c>
      <c r="AP576" s="7">
        <v>480156</v>
      </c>
      <c r="AR576" s="7">
        <v>0</v>
      </c>
      <c r="AV576" s="7">
        <v>0</v>
      </c>
      <c r="AX576" s="7">
        <v>0</v>
      </c>
      <c r="AZ576" s="7">
        <v>0</v>
      </c>
      <c r="BB576" s="7">
        <f t="shared" si="158"/>
        <v>14721567</v>
      </c>
      <c r="BD576" s="7">
        <v>161510</v>
      </c>
      <c r="BF576" s="7">
        <v>0</v>
      </c>
      <c r="BH576" s="7">
        <v>0</v>
      </c>
      <c r="BJ576" s="7">
        <v>0</v>
      </c>
      <c r="BL576" s="7">
        <f t="shared" si="159"/>
        <v>14883077</v>
      </c>
      <c r="BN576" s="7">
        <f>+GenRev!AM576-GenExp!BL576</f>
        <v>-727997</v>
      </c>
      <c r="BP576" s="7">
        <v>3288074</v>
      </c>
      <c r="BR576" s="7">
        <v>0</v>
      </c>
      <c r="BT576" s="7">
        <v>0</v>
      </c>
      <c r="BV576" s="7">
        <f t="shared" si="160"/>
        <v>2560077</v>
      </c>
      <c r="BX576" s="8">
        <f>+BV576-'Gen Fd BS'!AE576+BT576</f>
        <v>0</v>
      </c>
      <c r="CB576" s="7" t="str">
        <f t="shared" si="154"/>
        <v>Wauseon Exempted Village SD</v>
      </c>
      <c r="CC576" s="7" t="b">
        <f t="shared" si="148"/>
        <v>1</v>
      </c>
      <c r="CE576" s="12" t="str">
        <f>GenRev!A576</f>
        <v>Wauseon Exempted Village SD</v>
      </c>
      <c r="CF576" s="7" t="b">
        <f t="shared" si="155"/>
        <v>1</v>
      </c>
      <c r="CG576" s="7" t="str">
        <f t="shared" si="149"/>
        <v>Fulton</v>
      </c>
      <c r="CH576" s="7" t="b">
        <f t="shared" si="150"/>
        <v>1</v>
      </c>
      <c r="CI576" s="7" t="b">
        <f>C576=GenRev!C576</f>
        <v>1</v>
      </c>
    </row>
    <row r="577" spans="1:87">
      <c r="A577" s="12" t="s">
        <v>472</v>
      </c>
      <c r="B577" s="12"/>
      <c r="C577" s="12" t="s">
        <v>55</v>
      </c>
      <c r="D577" s="12"/>
      <c r="E577" s="12">
        <v>49148</v>
      </c>
      <c r="G577" s="7">
        <v>7221393</v>
      </c>
      <c r="I577" s="7">
        <v>1262079</v>
      </c>
      <c r="K577" s="7">
        <v>185584</v>
      </c>
      <c r="M577" s="7">
        <v>0</v>
      </c>
      <c r="O577" s="7">
        <v>0</v>
      </c>
      <c r="Q577" s="7">
        <v>757411</v>
      </c>
      <c r="S577" s="7">
        <v>620176</v>
      </c>
      <c r="U577" s="7">
        <v>55505</v>
      </c>
      <c r="W577" s="7">
        <v>1064079</v>
      </c>
      <c r="Y577" s="7">
        <v>424868</v>
      </c>
      <c r="AA577" s="7">
        <v>0</v>
      </c>
      <c r="AC577" s="7">
        <v>1964139</v>
      </c>
      <c r="AE577" s="7">
        <v>1059501</v>
      </c>
      <c r="AG577" s="7">
        <v>1825</v>
      </c>
      <c r="AI577" s="7">
        <v>0</v>
      </c>
      <c r="AK577" s="7">
        <v>8605</v>
      </c>
      <c r="AL577" s="12" t="s">
        <v>472</v>
      </c>
      <c r="AM577" s="12"/>
      <c r="AN577" s="12" t="s">
        <v>55</v>
      </c>
      <c r="AP577" s="7">
        <v>277442</v>
      </c>
      <c r="AR577" s="7">
        <v>0</v>
      </c>
      <c r="AV577" s="7">
        <v>64786</v>
      </c>
      <c r="AX577" s="7">
        <v>66236</v>
      </c>
      <c r="AZ577" s="7">
        <v>0</v>
      </c>
      <c r="BB577" s="7">
        <f t="shared" si="158"/>
        <v>15033629</v>
      </c>
      <c r="BD577" s="7">
        <v>0</v>
      </c>
      <c r="BF577" s="7">
        <v>0</v>
      </c>
      <c r="BH577" s="7">
        <v>0</v>
      </c>
      <c r="BJ577" s="7">
        <v>0</v>
      </c>
      <c r="BL577" s="7">
        <f t="shared" si="159"/>
        <v>15033629</v>
      </c>
      <c r="BN577" s="7">
        <f>+GenRev!AM577-GenExp!BL577</f>
        <v>-282715</v>
      </c>
      <c r="BP577" s="7">
        <v>919959</v>
      </c>
      <c r="BR577" s="7">
        <v>0</v>
      </c>
      <c r="BT577" s="7">
        <v>0</v>
      </c>
      <c r="BV577" s="7">
        <f t="shared" si="160"/>
        <v>637244</v>
      </c>
      <c r="BX577" s="8">
        <f>+BV577-'Gen Fd BS'!AE577+BT577</f>
        <v>0</v>
      </c>
      <c r="CB577" s="7" t="str">
        <f t="shared" si="154"/>
        <v>Waverly City SD</v>
      </c>
      <c r="CC577" s="7" t="b">
        <f t="shared" si="148"/>
        <v>1</v>
      </c>
      <c r="CE577" s="12" t="str">
        <f>GenRev!A577</f>
        <v>Waverly City SD</v>
      </c>
      <c r="CF577" s="7" t="b">
        <f t="shared" si="155"/>
        <v>1</v>
      </c>
      <c r="CG577" s="7" t="str">
        <f t="shared" si="149"/>
        <v>Pike</v>
      </c>
      <c r="CH577" s="7" t="b">
        <f t="shared" si="150"/>
        <v>1</v>
      </c>
      <c r="CI577" s="7" t="b">
        <f>C577=GenRev!C577</f>
        <v>1</v>
      </c>
    </row>
    <row r="578" spans="1:87" hidden="1">
      <c r="A578" s="12" t="s">
        <v>747</v>
      </c>
      <c r="B578" s="12"/>
      <c r="C578" s="12" t="s">
        <v>69</v>
      </c>
      <c r="D578" s="12"/>
      <c r="E578" s="12">
        <v>50468</v>
      </c>
      <c r="F578" s="10"/>
      <c r="AL578" s="12" t="s">
        <v>747</v>
      </c>
      <c r="AM578" s="12"/>
      <c r="AN578" s="12" t="s">
        <v>69</v>
      </c>
      <c r="BB578" s="7">
        <f t="shared" si="158"/>
        <v>0</v>
      </c>
      <c r="BF578" s="7">
        <v>0</v>
      </c>
      <c r="BH578" s="7">
        <v>0</v>
      </c>
      <c r="BL578" s="7">
        <f t="shared" si="159"/>
        <v>0</v>
      </c>
      <c r="BN578" s="7">
        <f>+GenRev!AM578-GenExp!BL578</f>
        <v>0</v>
      </c>
      <c r="BT578" s="7">
        <v>0</v>
      </c>
      <c r="BV578" s="7">
        <f t="shared" si="160"/>
        <v>0</v>
      </c>
      <c r="BX578" s="8">
        <f>+BV578-'Gen Fd BS'!AE578+BT578</f>
        <v>0</v>
      </c>
      <c r="CB578" s="7" t="str">
        <f t="shared" si="154"/>
        <v>Wayne Local SD (CASH)</v>
      </c>
      <c r="CC578" s="7" t="b">
        <f t="shared" si="148"/>
        <v>1</v>
      </c>
      <c r="CE578" s="12" t="str">
        <f>GenRev!A578</f>
        <v>Wayne Local SD (CASH)</v>
      </c>
      <c r="CF578" s="7" t="b">
        <f t="shared" si="155"/>
        <v>1</v>
      </c>
      <c r="CG578" s="7" t="str">
        <f t="shared" si="149"/>
        <v>Warren</v>
      </c>
      <c r="CH578" s="7" t="b">
        <f t="shared" si="150"/>
        <v>1</v>
      </c>
      <c r="CI578" s="7" t="b">
        <f>C578=GenRev!C578</f>
        <v>1</v>
      </c>
    </row>
    <row r="579" spans="1:87" hidden="1">
      <c r="A579" s="12" t="s">
        <v>926</v>
      </c>
      <c r="B579" s="12"/>
      <c r="C579" s="12" t="s">
        <v>465</v>
      </c>
      <c r="D579" s="12"/>
      <c r="E579" s="12">
        <v>49031</v>
      </c>
      <c r="AL579" s="12" t="s">
        <v>926</v>
      </c>
      <c r="AM579" s="12"/>
      <c r="AN579" s="12" t="s">
        <v>465</v>
      </c>
      <c r="BB579" s="7">
        <f t="shared" si="158"/>
        <v>0</v>
      </c>
      <c r="BF579" s="7">
        <v>0</v>
      </c>
      <c r="BH579" s="7">
        <v>0</v>
      </c>
      <c r="BL579" s="7">
        <f t="shared" si="159"/>
        <v>0</v>
      </c>
      <c r="BN579" s="7">
        <f>+GenRev!AM579-GenExp!BL579</f>
        <v>0</v>
      </c>
      <c r="BT579" s="7">
        <v>0</v>
      </c>
      <c r="BV579" s="7">
        <f t="shared" si="160"/>
        <v>0</v>
      </c>
      <c r="BX579" s="8">
        <f>+BV579-'Gen Fd BS'!AE579+BT579</f>
        <v>0</v>
      </c>
      <c r="CB579" s="7" t="str">
        <f t="shared" si="154"/>
        <v>Wayne Trace Local SD (CASH)</v>
      </c>
      <c r="CC579" s="7" t="b">
        <f t="shared" si="148"/>
        <v>1</v>
      </c>
      <c r="CE579" s="12" t="str">
        <f>GenRev!A579</f>
        <v>Wayne Trace Local SD (CASH)</v>
      </c>
      <c r="CF579" s="7" t="b">
        <f t="shared" si="155"/>
        <v>1</v>
      </c>
      <c r="CG579" s="7" t="str">
        <f t="shared" si="149"/>
        <v>Paulding</v>
      </c>
      <c r="CH579" s="7" t="b">
        <f t="shared" si="150"/>
        <v>1</v>
      </c>
      <c r="CI579" s="7" t="b">
        <f>C579=GenRev!C579</f>
        <v>1</v>
      </c>
    </row>
    <row r="580" spans="1:87" hidden="1">
      <c r="A580" s="12" t="s">
        <v>675</v>
      </c>
      <c r="B580" s="12"/>
      <c r="C580" s="12" t="s">
        <v>14</v>
      </c>
      <c r="D580" s="12"/>
      <c r="E580" s="12">
        <v>45971</v>
      </c>
      <c r="AL580" s="12" t="s">
        <v>675</v>
      </c>
      <c r="AM580" s="12"/>
      <c r="AN580" s="12" t="s">
        <v>14</v>
      </c>
      <c r="BB580" s="7">
        <f t="shared" si="158"/>
        <v>0</v>
      </c>
      <c r="BF580" s="7">
        <v>0</v>
      </c>
      <c r="BH580" s="7">
        <v>0</v>
      </c>
      <c r="BL580" s="7">
        <f t="shared" si="159"/>
        <v>0</v>
      </c>
      <c r="BN580" s="7">
        <f>+GenRev!AM580-GenExp!BL580</f>
        <v>0</v>
      </c>
      <c r="BT580" s="7">
        <v>0</v>
      </c>
      <c r="BV580" s="7">
        <f t="shared" si="160"/>
        <v>0</v>
      </c>
      <c r="BX580" s="8">
        <f>+BV580-'Gen Fd BS'!AE580+BT580</f>
        <v>0</v>
      </c>
      <c r="CB580" s="7" t="str">
        <f t="shared" si="154"/>
        <v>Waynesfield-Goshen Local SD  (CASH)</v>
      </c>
      <c r="CC580" s="7" t="b">
        <f t="shared" si="148"/>
        <v>1</v>
      </c>
      <c r="CE580" s="12" t="str">
        <f>GenRev!A580</f>
        <v>Waynesfield-Goshen Local SD  (CASH)</v>
      </c>
      <c r="CF580" s="7" t="b">
        <f t="shared" si="155"/>
        <v>1</v>
      </c>
      <c r="CG580" s="7" t="str">
        <f t="shared" si="149"/>
        <v>Auglaize</v>
      </c>
      <c r="CH580" s="7" t="b">
        <f t="shared" si="150"/>
        <v>1</v>
      </c>
      <c r="CI580" s="7" t="b">
        <f>C580=GenRev!C580</f>
        <v>1</v>
      </c>
    </row>
    <row r="581" spans="1:87">
      <c r="A581" s="12" t="s">
        <v>548</v>
      </c>
      <c r="B581" s="12"/>
      <c r="C581" s="12" t="s">
        <v>64</v>
      </c>
      <c r="D581" s="12"/>
      <c r="E581" s="12">
        <v>50252</v>
      </c>
      <c r="G581" s="7">
        <v>3569071</v>
      </c>
      <c r="I581" s="7">
        <v>601966</v>
      </c>
      <c r="K581" s="7">
        <v>0</v>
      </c>
      <c r="M581" s="7">
        <v>0</v>
      </c>
      <c r="O581" s="7">
        <v>513996</v>
      </c>
      <c r="Q581" s="7">
        <v>369371</v>
      </c>
      <c r="S581" s="7">
        <v>126102</v>
      </c>
      <c r="U581" s="7">
        <v>21578</v>
      </c>
      <c r="W581" s="7">
        <v>749270</v>
      </c>
      <c r="Y581" s="7">
        <v>288244</v>
      </c>
      <c r="AA581" s="7">
        <v>9144</v>
      </c>
      <c r="AC581" s="7">
        <v>1127980</v>
      </c>
      <c r="AE581" s="7">
        <v>358523</v>
      </c>
      <c r="AG581" s="7">
        <v>0</v>
      </c>
      <c r="AI581" s="7">
        <v>0</v>
      </c>
      <c r="AK581" s="7">
        <v>0</v>
      </c>
      <c r="AL581" s="12" t="s">
        <v>548</v>
      </c>
      <c r="AM581" s="12"/>
      <c r="AN581" s="12" t="s">
        <v>64</v>
      </c>
      <c r="AP581" s="7">
        <v>248638</v>
      </c>
      <c r="AR581" s="7">
        <v>0</v>
      </c>
      <c r="AV581" s="7">
        <v>71000</v>
      </c>
      <c r="AX581" s="7">
        <v>31115</v>
      </c>
      <c r="AZ581" s="7">
        <v>0</v>
      </c>
      <c r="BB581" s="7">
        <f t="shared" si="158"/>
        <v>8085998</v>
      </c>
      <c r="BD581" s="7">
        <v>55043</v>
      </c>
      <c r="BF581" s="7">
        <v>0</v>
      </c>
      <c r="BH581" s="7">
        <v>0</v>
      </c>
      <c r="BJ581" s="7">
        <v>0</v>
      </c>
      <c r="BL581" s="7">
        <f t="shared" si="159"/>
        <v>8141041</v>
      </c>
      <c r="BN581" s="7">
        <f>+GenRev!AM581-GenExp!BL581</f>
        <v>233750</v>
      </c>
      <c r="BP581" s="7">
        <v>738154</v>
      </c>
      <c r="BR581" s="7">
        <v>0</v>
      </c>
      <c r="BT581" s="7">
        <v>0</v>
      </c>
      <c r="BV581" s="7">
        <f t="shared" si="160"/>
        <v>971904</v>
      </c>
      <c r="BX581" s="8">
        <f>+BV581-'Gen Fd BS'!AE581+BT581</f>
        <v>0</v>
      </c>
      <c r="CB581" s="7" t="str">
        <f t="shared" si="154"/>
        <v>Weathersfield Local SD</v>
      </c>
      <c r="CC581" s="7" t="b">
        <f t="shared" si="148"/>
        <v>1</v>
      </c>
      <c r="CE581" s="12" t="str">
        <f>GenRev!A581</f>
        <v>Weathersfield Local SD</v>
      </c>
      <c r="CF581" s="7" t="b">
        <f t="shared" si="155"/>
        <v>1</v>
      </c>
      <c r="CG581" s="7" t="str">
        <f t="shared" si="149"/>
        <v>Trumbull</v>
      </c>
      <c r="CH581" s="7" t="b">
        <f t="shared" si="150"/>
        <v>1</v>
      </c>
      <c r="CI581" s="7" t="b">
        <f>C581=GenRev!C581</f>
        <v>1</v>
      </c>
    </row>
    <row r="582" spans="1:87">
      <c r="A582" s="12" t="s">
        <v>890</v>
      </c>
      <c r="B582" s="12"/>
      <c r="C582" s="12" t="s">
        <v>44</v>
      </c>
      <c r="D582" s="12"/>
      <c r="E582" s="12">
        <v>45658</v>
      </c>
      <c r="G582" s="7">
        <v>5647134</v>
      </c>
      <c r="I582" s="7">
        <v>1174234</v>
      </c>
      <c r="K582" s="7">
        <v>86382</v>
      </c>
      <c r="M582" s="7">
        <v>0</v>
      </c>
      <c r="O582" s="7">
        <v>0</v>
      </c>
      <c r="Q582" s="7">
        <v>446316</v>
      </c>
      <c r="S582" s="7">
        <v>476229</v>
      </c>
      <c r="U582" s="7">
        <v>24305</v>
      </c>
      <c r="W582" s="7">
        <v>1148596</v>
      </c>
      <c r="Y582" s="7">
        <v>358372</v>
      </c>
      <c r="AA582" s="7">
        <v>0</v>
      </c>
      <c r="AC582" s="7">
        <v>1007519</v>
      </c>
      <c r="AE582" s="7">
        <v>629475</v>
      </c>
      <c r="AG582" s="7">
        <v>105593</v>
      </c>
      <c r="AI582" s="7">
        <v>0</v>
      </c>
      <c r="AK582" s="7">
        <v>162</v>
      </c>
      <c r="AL582" s="12" t="s">
        <v>890</v>
      </c>
      <c r="AM582" s="12"/>
      <c r="AN582" s="12" t="s">
        <v>44</v>
      </c>
      <c r="AP582" s="7">
        <v>251981</v>
      </c>
      <c r="AR582" s="7">
        <v>16208</v>
      </c>
      <c r="AV582" s="7">
        <v>0</v>
      </c>
      <c r="AX582" s="7">
        <v>0</v>
      </c>
      <c r="AZ582" s="7">
        <v>0</v>
      </c>
      <c r="BB582" s="7">
        <f t="shared" si="158"/>
        <v>11372506</v>
      </c>
      <c r="BD582" s="7">
        <v>527685</v>
      </c>
      <c r="BF582" s="7">
        <v>0</v>
      </c>
      <c r="BH582" s="7">
        <v>0</v>
      </c>
      <c r="BJ582" s="7">
        <v>0</v>
      </c>
      <c r="BL582" s="7">
        <f t="shared" si="159"/>
        <v>11900191</v>
      </c>
      <c r="BN582" s="7">
        <f>+GenRev!AM582-GenExp!BL582</f>
        <v>-14423</v>
      </c>
      <c r="BP582" s="7">
        <v>3854789</v>
      </c>
      <c r="BR582" s="7">
        <v>0</v>
      </c>
      <c r="BT582" s="7">
        <v>0</v>
      </c>
      <c r="BV582" s="7">
        <f t="shared" si="160"/>
        <v>3840366</v>
      </c>
      <c r="BX582" s="8">
        <f>+BV582-'Gen Fd BS'!AE582+BT582</f>
        <v>0</v>
      </c>
      <c r="CB582" s="7" t="str">
        <f t="shared" si="154"/>
        <v>Wellington Exempted Village SD</v>
      </c>
      <c r="CC582" s="7" t="b">
        <f t="shared" si="148"/>
        <v>1</v>
      </c>
      <c r="CE582" s="12" t="str">
        <f>GenRev!A582</f>
        <v>Wellington Exempted Village SD</v>
      </c>
      <c r="CF582" s="7" t="b">
        <f t="shared" si="155"/>
        <v>1</v>
      </c>
      <c r="CG582" s="7" t="str">
        <f t="shared" si="149"/>
        <v>Lorain</v>
      </c>
      <c r="CH582" s="7" t="b">
        <f t="shared" si="150"/>
        <v>1</v>
      </c>
      <c r="CI582" s="7" t="b">
        <f>C582=GenRev!C582</f>
        <v>1</v>
      </c>
    </row>
    <row r="583" spans="1:87" ht="11.25" customHeight="1">
      <c r="A583" s="12" t="s">
        <v>371</v>
      </c>
      <c r="B583" s="12"/>
      <c r="C583" s="12" t="s">
        <v>38</v>
      </c>
      <c r="D583" s="12"/>
      <c r="E583" s="12">
        <v>45021</v>
      </c>
      <c r="G583" s="7">
        <v>5634114</v>
      </c>
      <c r="I583" s="7">
        <v>1479162</v>
      </c>
      <c r="K583" s="7">
        <v>94876</v>
      </c>
      <c r="M583" s="7">
        <v>0</v>
      </c>
      <c r="O583" s="7">
        <v>0</v>
      </c>
      <c r="Q583" s="7">
        <v>601707</v>
      </c>
      <c r="S583" s="7">
        <v>546165</v>
      </c>
      <c r="U583" s="7">
        <v>127104</v>
      </c>
      <c r="W583" s="7">
        <v>1181561</v>
      </c>
      <c r="Y583" s="7">
        <v>433516</v>
      </c>
      <c r="AA583" s="7">
        <v>0</v>
      </c>
      <c r="AC583" s="7">
        <v>1447745</v>
      </c>
      <c r="AE583" s="7">
        <v>910564</v>
      </c>
      <c r="AG583" s="7">
        <v>260066</v>
      </c>
      <c r="AI583" s="7">
        <v>0</v>
      </c>
      <c r="AK583" s="7">
        <v>9313</v>
      </c>
      <c r="AL583" s="12" t="s">
        <v>371</v>
      </c>
      <c r="AM583" s="12"/>
      <c r="AN583" s="12" t="s">
        <v>38</v>
      </c>
      <c r="AP583" s="7">
        <v>202896</v>
      </c>
      <c r="AR583" s="7">
        <v>0</v>
      </c>
      <c r="AV583" s="7">
        <v>0</v>
      </c>
      <c r="AX583" s="7">
        <v>0</v>
      </c>
      <c r="AZ583" s="7">
        <v>0</v>
      </c>
      <c r="BB583" s="7">
        <f t="shared" si="158"/>
        <v>12928789</v>
      </c>
      <c r="BD583" s="7">
        <v>0</v>
      </c>
      <c r="BF583" s="7">
        <v>0</v>
      </c>
      <c r="BH583" s="7">
        <v>0</v>
      </c>
      <c r="BJ583" s="7">
        <v>0</v>
      </c>
      <c r="BL583" s="7">
        <f t="shared" si="159"/>
        <v>12928789</v>
      </c>
      <c r="BN583" s="7">
        <f>+GenRev!AM583-GenExp!BL583</f>
        <v>-134841</v>
      </c>
      <c r="BP583" s="7">
        <v>6170712</v>
      </c>
      <c r="BR583" s="7">
        <v>0</v>
      </c>
      <c r="BT583" s="7">
        <v>0</v>
      </c>
      <c r="BV583" s="7">
        <f t="shared" si="160"/>
        <v>6035871</v>
      </c>
      <c r="BX583" s="8">
        <f>+BV583-'Gen Fd BS'!AE583+BT583</f>
        <v>0</v>
      </c>
      <c r="CB583" s="7" t="str">
        <f t="shared" si="154"/>
        <v>Wellston City SD</v>
      </c>
      <c r="CC583" s="7" t="b">
        <f t="shared" si="148"/>
        <v>1</v>
      </c>
      <c r="CE583" s="12" t="str">
        <f>GenRev!A583</f>
        <v>Wellston City SD</v>
      </c>
      <c r="CF583" s="7" t="b">
        <f t="shared" si="155"/>
        <v>1</v>
      </c>
      <c r="CG583" s="7" t="str">
        <f t="shared" si="149"/>
        <v>Jackson</v>
      </c>
      <c r="CH583" s="7" t="b">
        <f t="shared" si="150"/>
        <v>1</v>
      </c>
      <c r="CI583" s="7" t="b">
        <f>C583=GenRev!C583</f>
        <v>1</v>
      </c>
    </row>
    <row r="584" spans="1:87">
      <c r="A584" s="12" t="s">
        <v>258</v>
      </c>
      <c r="B584" s="12"/>
      <c r="C584" s="12" t="s">
        <v>112</v>
      </c>
      <c r="D584" s="12"/>
      <c r="E584" s="12">
        <v>45039</v>
      </c>
      <c r="G584" s="7">
        <v>3717012</v>
      </c>
      <c r="I584" s="7">
        <v>841878</v>
      </c>
      <c r="K584" s="7">
        <v>171204</v>
      </c>
      <c r="M584" s="7">
        <v>0</v>
      </c>
      <c r="O584" s="7">
        <v>89481</v>
      </c>
      <c r="Q584" s="7">
        <v>274238</v>
      </c>
      <c r="S584" s="7">
        <v>158167</v>
      </c>
      <c r="U584" s="7">
        <v>13346</v>
      </c>
      <c r="W584" s="7">
        <v>590854</v>
      </c>
      <c r="Y584" s="7">
        <v>223984</v>
      </c>
      <c r="AA584" s="7">
        <v>0</v>
      </c>
      <c r="AC584" s="7">
        <v>1023157</v>
      </c>
      <c r="AE584" s="7">
        <v>139042</v>
      </c>
      <c r="AG584" s="7">
        <v>56627</v>
      </c>
      <c r="AI584" s="7">
        <v>0</v>
      </c>
      <c r="AK584" s="7">
        <v>0</v>
      </c>
      <c r="AL584" s="12" t="s">
        <v>258</v>
      </c>
      <c r="AM584" s="12"/>
      <c r="AN584" s="12" t="s">
        <v>112</v>
      </c>
      <c r="AP584" s="7">
        <v>190696</v>
      </c>
      <c r="AR584" s="7">
        <v>0</v>
      </c>
      <c r="AV584" s="7">
        <v>0</v>
      </c>
      <c r="AX584" s="7">
        <v>0</v>
      </c>
      <c r="AZ584" s="7">
        <v>0</v>
      </c>
      <c r="BB584" s="7">
        <f t="shared" si="158"/>
        <v>7489686</v>
      </c>
      <c r="BD584" s="7">
        <v>0</v>
      </c>
      <c r="BF584" s="7">
        <v>0</v>
      </c>
      <c r="BH584" s="7">
        <v>0</v>
      </c>
      <c r="BJ584" s="7">
        <v>0</v>
      </c>
      <c r="BL584" s="7">
        <f t="shared" si="159"/>
        <v>7489686</v>
      </c>
      <c r="BN584" s="7">
        <f>+GenRev!AM584-GenExp!BL584</f>
        <v>-375709</v>
      </c>
      <c r="BP584" s="7">
        <v>1949322</v>
      </c>
      <c r="BR584" s="7">
        <v>0</v>
      </c>
      <c r="BT584" s="7">
        <v>0</v>
      </c>
      <c r="BV584" s="7">
        <f t="shared" si="160"/>
        <v>1573613</v>
      </c>
      <c r="BX584" s="8">
        <f>+BV584-'Gen Fd BS'!AE584+BT584</f>
        <v>0</v>
      </c>
      <c r="CB584" s="7" t="str">
        <f t="shared" si="154"/>
        <v>Wellsville Local SD</v>
      </c>
      <c r="CC584" s="7" t="b">
        <f t="shared" si="148"/>
        <v>1</v>
      </c>
      <c r="CE584" s="12" t="str">
        <f>GenRev!A584</f>
        <v>Wellsville Local SD</v>
      </c>
      <c r="CF584" s="7" t="b">
        <f t="shared" si="155"/>
        <v>1</v>
      </c>
      <c r="CG584" s="7" t="str">
        <f t="shared" si="149"/>
        <v>Columbiana</v>
      </c>
      <c r="CH584" s="7" t="b">
        <f t="shared" si="150"/>
        <v>1</v>
      </c>
      <c r="CI584" s="7" t="b">
        <f>C584=GenRev!C584</f>
        <v>1</v>
      </c>
    </row>
    <row r="585" spans="1:87">
      <c r="A585" s="12" t="s">
        <v>421</v>
      </c>
      <c r="B585" s="12"/>
      <c r="C585" s="12" t="s">
        <v>45</v>
      </c>
      <c r="D585" s="12"/>
      <c r="E585" s="12">
        <v>48389</v>
      </c>
      <c r="G585" s="7">
        <v>8307956</v>
      </c>
      <c r="I585" s="7">
        <v>1581182</v>
      </c>
      <c r="K585" s="7">
        <v>394094</v>
      </c>
      <c r="M585" s="7">
        <v>0</v>
      </c>
      <c r="O585" s="7">
        <v>184771</v>
      </c>
      <c r="Q585" s="7">
        <v>1114138</v>
      </c>
      <c r="S585" s="7">
        <v>951189</v>
      </c>
      <c r="U585" s="7">
        <v>22897</v>
      </c>
      <c r="W585" s="7">
        <v>1620533</v>
      </c>
      <c r="Y585" s="7">
        <v>434800</v>
      </c>
      <c r="AA585" s="7">
        <v>0</v>
      </c>
      <c r="AC585" s="7">
        <v>1819724</v>
      </c>
      <c r="AE585" s="7">
        <v>1448322</v>
      </c>
      <c r="AG585" s="7">
        <v>238026</v>
      </c>
      <c r="AI585" s="7">
        <v>0</v>
      </c>
      <c r="AK585" s="7">
        <v>44374</v>
      </c>
      <c r="AL585" s="12" t="s">
        <v>421</v>
      </c>
      <c r="AM585" s="12"/>
      <c r="AN585" s="12" t="s">
        <v>45</v>
      </c>
      <c r="AP585" s="7">
        <v>390541</v>
      </c>
      <c r="AR585" s="7">
        <v>0</v>
      </c>
      <c r="AV585" s="7">
        <v>0</v>
      </c>
      <c r="AX585" s="7">
        <v>0</v>
      </c>
      <c r="AZ585" s="7">
        <v>0</v>
      </c>
      <c r="BB585" s="7">
        <f t="shared" si="158"/>
        <v>18552547</v>
      </c>
      <c r="BD585" s="7">
        <v>95684</v>
      </c>
      <c r="BF585" s="7">
        <v>0</v>
      </c>
      <c r="BH585" s="7">
        <v>0</v>
      </c>
      <c r="BJ585" s="7">
        <v>0</v>
      </c>
      <c r="BL585" s="7">
        <f t="shared" si="159"/>
        <v>18648231</v>
      </c>
      <c r="BN585" s="7">
        <f>+GenRev!AM585-GenExp!BL585</f>
        <v>-507030</v>
      </c>
      <c r="BP585" s="7">
        <v>1987160</v>
      </c>
      <c r="BR585" s="7">
        <v>0</v>
      </c>
      <c r="BT585" s="7">
        <v>0</v>
      </c>
      <c r="BV585" s="7">
        <f t="shared" si="160"/>
        <v>1480130</v>
      </c>
      <c r="BX585" s="8">
        <f>+BV585-'Gen Fd BS'!AE585+BT585</f>
        <v>0</v>
      </c>
      <c r="CB585" s="7" t="str">
        <f t="shared" si="154"/>
        <v>West Branch Local SD</v>
      </c>
      <c r="CC585" s="7" t="b">
        <f t="shared" si="148"/>
        <v>1</v>
      </c>
      <c r="CE585" s="12" t="str">
        <f>GenRev!A585</f>
        <v>West Branch Local SD</v>
      </c>
      <c r="CF585" s="7" t="b">
        <f t="shared" si="155"/>
        <v>1</v>
      </c>
      <c r="CG585" s="7" t="str">
        <f t="shared" si="149"/>
        <v>Mahoning</v>
      </c>
      <c r="CH585" s="7" t="b">
        <f t="shared" si="150"/>
        <v>1</v>
      </c>
      <c r="CI585" s="7" t="b">
        <f>C585=GenRev!C585</f>
        <v>1</v>
      </c>
    </row>
    <row r="586" spans="1:87">
      <c r="A586" s="12" t="s">
        <v>746</v>
      </c>
      <c r="B586" s="12"/>
      <c r="C586" s="12" t="s">
        <v>50</v>
      </c>
      <c r="D586" s="12"/>
      <c r="E586" s="12"/>
      <c r="G586" s="7">
        <v>14736213</v>
      </c>
      <c r="I586" s="7">
        <v>3978143</v>
      </c>
      <c r="K586" s="7">
        <v>204907</v>
      </c>
      <c r="M586" s="7">
        <v>0</v>
      </c>
      <c r="O586" s="7">
        <v>2051142</v>
      </c>
      <c r="Q586" s="7">
        <v>2619491</v>
      </c>
      <c r="S586" s="7">
        <v>2087642</v>
      </c>
      <c r="U586" s="7">
        <v>30365</v>
      </c>
      <c r="W586" s="7">
        <v>2939821</v>
      </c>
      <c r="Y586" s="7">
        <v>722753</v>
      </c>
      <c r="AA586" s="7">
        <v>492556</v>
      </c>
      <c r="AC586" s="7">
        <v>3374733</v>
      </c>
      <c r="AE586" s="7">
        <v>2210918</v>
      </c>
      <c r="AG586" s="7">
        <v>262797</v>
      </c>
      <c r="AI586" s="7">
        <v>0</v>
      </c>
      <c r="AK586" s="7">
        <v>51013</v>
      </c>
      <c r="AL586" s="12" t="s">
        <v>746</v>
      </c>
      <c r="AM586" s="12"/>
      <c r="AN586" s="12" t="s">
        <v>50</v>
      </c>
      <c r="AP586" s="7">
        <v>602315</v>
      </c>
      <c r="AR586" s="7">
        <v>0</v>
      </c>
      <c r="AV586" s="7">
        <v>413654</v>
      </c>
      <c r="AX586" s="7">
        <v>49280</v>
      </c>
      <c r="AZ586" s="7">
        <v>0</v>
      </c>
      <c r="BB586" s="7">
        <f t="shared" si="158"/>
        <v>36827743</v>
      </c>
      <c r="BD586" s="7">
        <v>0</v>
      </c>
      <c r="BF586" s="7">
        <v>0</v>
      </c>
      <c r="BH586" s="7">
        <v>0</v>
      </c>
      <c r="BJ586" s="7">
        <v>0</v>
      </c>
      <c r="BL586" s="7">
        <f t="shared" si="159"/>
        <v>36827743</v>
      </c>
      <c r="BN586" s="7">
        <f>+GenRev!AM586-GenExp!BL586</f>
        <v>-257611</v>
      </c>
      <c r="BP586" s="7">
        <v>13814887</v>
      </c>
      <c r="BR586" s="7">
        <v>0</v>
      </c>
      <c r="BT586" s="7">
        <v>0</v>
      </c>
      <c r="BV586" s="7">
        <f t="shared" si="160"/>
        <v>13557276</v>
      </c>
      <c r="BX586" s="8">
        <f>+BV586-'Gen Fd BS'!AE586+BT586</f>
        <v>0</v>
      </c>
      <c r="CB586" s="7" t="str">
        <f t="shared" si="154"/>
        <v>West Carrollton City SD</v>
      </c>
      <c r="CC586" s="7" t="b">
        <f t="shared" si="148"/>
        <v>1</v>
      </c>
      <c r="CE586" s="12" t="str">
        <f>GenRev!A586</f>
        <v>West Carrollton City SD</v>
      </c>
      <c r="CF586" s="7" t="b">
        <f t="shared" si="155"/>
        <v>1</v>
      </c>
      <c r="CG586" s="7" t="str">
        <f t="shared" si="149"/>
        <v>Montgomery</v>
      </c>
      <c r="CH586" s="7" t="b">
        <f t="shared" si="150"/>
        <v>1</v>
      </c>
      <c r="CI586" s="7" t="b">
        <f>C586=GenRev!C586</f>
        <v>1</v>
      </c>
    </row>
    <row r="587" spans="1:87">
      <c r="A587" s="12" t="s">
        <v>246</v>
      </c>
      <c r="B587" s="12"/>
      <c r="C587" s="12" t="s">
        <v>113</v>
      </c>
      <c r="D587" s="12"/>
      <c r="E587" s="12">
        <v>46359</v>
      </c>
      <c r="G587" s="7">
        <v>31051402</v>
      </c>
      <c r="I587" s="7">
        <v>9350973</v>
      </c>
      <c r="K587" s="7">
        <v>181822</v>
      </c>
      <c r="M587" s="7">
        <v>0</v>
      </c>
      <c r="O587" s="7">
        <v>0</v>
      </c>
      <c r="Q587" s="7">
        <v>4511242</v>
      </c>
      <c r="S587" s="7">
        <v>1391830</v>
      </c>
      <c r="U587" s="7">
        <v>84090</v>
      </c>
      <c r="W587" s="7">
        <v>5052536</v>
      </c>
      <c r="Y587" s="7">
        <v>1506383</v>
      </c>
      <c r="AA587" s="7">
        <v>50081</v>
      </c>
      <c r="AC587" s="7">
        <v>4486405</v>
      </c>
      <c r="AE587" s="7">
        <v>7841048</v>
      </c>
      <c r="AG587" s="7">
        <v>715633</v>
      </c>
      <c r="AI587" s="7">
        <v>0</v>
      </c>
      <c r="AK587" s="7">
        <v>0</v>
      </c>
      <c r="AL587" s="12" t="s">
        <v>246</v>
      </c>
      <c r="AM587" s="12"/>
      <c r="AN587" s="12" t="s">
        <v>113</v>
      </c>
      <c r="AP587" s="7">
        <v>985924</v>
      </c>
      <c r="AR587" s="7">
        <v>0</v>
      </c>
      <c r="AV587" s="7">
        <v>0</v>
      </c>
      <c r="AX587" s="7">
        <v>0</v>
      </c>
      <c r="AZ587" s="7">
        <v>0</v>
      </c>
      <c r="BB587" s="7">
        <f t="shared" ref="BB587:BB618" si="161">SUM(G587:AZ587)</f>
        <v>67209369</v>
      </c>
      <c r="BD587" s="7">
        <v>0</v>
      </c>
      <c r="BF587" s="7">
        <v>0</v>
      </c>
      <c r="BH587" s="7">
        <v>0</v>
      </c>
      <c r="BJ587" s="7">
        <v>0</v>
      </c>
      <c r="BL587" s="7">
        <f t="shared" si="159"/>
        <v>67209369</v>
      </c>
      <c r="BN587" s="7">
        <f>+GenRev!AM587-GenExp!BL587</f>
        <v>3383807</v>
      </c>
      <c r="BP587" s="7">
        <v>-993514</v>
      </c>
      <c r="BR587" s="7">
        <v>0</v>
      </c>
      <c r="BT587" s="7">
        <v>0</v>
      </c>
      <c r="BV587" s="7">
        <f t="shared" si="160"/>
        <v>2390293</v>
      </c>
      <c r="BX587" s="8">
        <f>+BV587-'Gen Fd BS'!AE587+BT587</f>
        <v>0</v>
      </c>
      <c r="CB587" s="7" t="str">
        <f t="shared" si="154"/>
        <v>West Clermont Local SD</v>
      </c>
      <c r="CC587" s="7" t="b">
        <f t="shared" si="148"/>
        <v>1</v>
      </c>
      <c r="CE587" s="12" t="str">
        <f>GenRev!A587</f>
        <v>West Clermont Local SD</v>
      </c>
      <c r="CF587" s="7" t="b">
        <f t="shared" si="155"/>
        <v>1</v>
      </c>
      <c r="CG587" s="7" t="str">
        <f t="shared" si="149"/>
        <v>Clermont</v>
      </c>
      <c r="CH587" s="7" t="b">
        <f t="shared" si="150"/>
        <v>1</v>
      </c>
      <c r="CI587" s="7" t="b">
        <f>C587=GenRev!C587</f>
        <v>1</v>
      </c>
    </row>
    <row r="588" spans="1:87">
      <c r="A588" s="12" t="s">
        <v>324</v>
      </c>
      <c r="B588" s="12"/>
      <c r="C588" s="12" t="s">
        <v>30</v>
      </c>
      <c r="D588" s="12"/>
      <c r="E588" s="12">
        <v>47225</v>
      </c>
      <c r="G588" s="7">
        <v>10461480</v>
      </c>
      <c r="I588" s="7">
        <v>3183928</v>
      </c>
      <c r="K588" s="7">
        <v>309061</v>
      </c>
      <c r="M588" s="7">
        <v>25075</v>
      </c>
      <c r="O588" s="7">
        <v>307938</v>
      </c>
      <c r="Q588" s="7">
        <v>1436812</v>
      </c>
      <c r="S588" s="7">
        <v>610576</v>
      </c>
      <c r="U588" s="7">
        <v>45551</v>
      </c>
      <c r="W588" s="7">
        <v>1756400</v>
      </c>
      <c r="Y588" s="7">
        <v>655251</v>
      </c>
      <c r="AA588" s="7">
        <v>317122</v>
      </c>
      <c r="AC588" s="7">
        <v>2100180</v>
      </c>
      <c r="AE588" s="7">
        <v>1947501</v>
      </c>
      <c r="AG588" s="7">
        <v>74242</v>
      </c>
      <c r="AI588" s="7">
        <v>11500</v>
      </c>
      <c r="AK588" s="7">
        <f>15749+1001</f>
        <v>16750</v>
      </c>
      <c r="AL588" s="12" t="s">
        <v>324</v>
      </c>
      <c r="AM588" s="12"/>
      <c r="AN588" s="12" t="s">
        <v>30</v>
      </c>
      <c r="AP588" s="7">
        <v>565061</v>
      </c>
      <c r="AR588" s="7">
        <v>146293</v>
      </c>
      <c r="AV588" s="7">
        <v>0</v>
      </c>
      <c r="AX588" s="7">
        <v>0</v>
      </c>
      <c r="AZ588" s="7">
        <v>0</v>
      </c>
      <c r="BB588" s="7">
        <f t="shared" si="161"/>
        <v>23970721</v>
      </c>
      <c r="BD588" s="7">
        <v>225000</v>
      </c>
      <c r="BF588" s="7">
        <v>0</v>
      </c>
      <c r="BH588" s="7">
        <v>0</v>
      </c>
      <c r="BJ588" s="7">
        <v>0</v>
      </c>
      <c r="BL588" s="7">
        <f t="shared" si="159"/>
        <v>24195721</v>
      </c>
      <c r="BN588" s="7">
        <f>+GenRev!AM588-GenExp!BL588</f>
        <v>1407101</v>
      </c>
      <c r="BP588" s="7">
        <v>4397943</v>
      </c>
      <c r="BR588" s="7">
        <v>0</v>
      </c>
      <c r="BT588" s="7">
        <v>0</v>
      </c>
      <c r="BV588" s="7">
        <f t="shared" si="160"/>
        <v>5805044</v>
      </c>
      <c r="BX588" s="8">
        <f>+BV588-'Gen Fd BS'!AE588+BT588</f>
        <v>0</v>
      </c>
      <c r="CB588" s="7" t="str">
        <f t="shared" si="154"/>
        <v>West Geauga Local SD</v>
      </c>
      <c r="CC588" s="7" t="b">
        <f t="shared" si="148"/>
        <v>1</v>
      </c>
      <c r="CE588" s="12" t="str">
        <f>GenRev!A588</f>
        <v>West Geauga Local SD</v>
      </c>
      <c r="CF588" s="7" t="b">
        <f t="shared" si="155"/>
        <v>1</v>
      </c>
      <c r="CG588" s="7" t="str">
        <f t="shared" si="149"/>
        <v>Geauga</v>
      </c>
      <c r="CH588" s="7" t="b">
        <f t="shared" si="150"/>
        <v>1</v>
      </c>
      <c r="CI588" s="7" t="b">
        <f>C588=GenRev!C588</f>
        <v>1</v>
      </c>
    </row>
    <row r="589" spans="1:87">
      <c r="A589" s="12" t="s">
        <v>364</v>
      </c>
      <c r="B589" s="12"/>
      <c r="C589" s="12" t="s">
        <v>36</v>
      </c>
      <c r="D589" s="12"/>
      <c r="E589" s="12">
        <v>47696</v>
      </c>
      <c r="F589" s="10"/>
      <c r="G589" s="7">
        <v>10392978</v>
      </c>
      <c r="I589" s="7">
        <v>1917778</v>
      </c>
      <c r="K589" s="7">
        <v>242370</v>
      </c>
      <c r="M589" s="7">
        <v>0</v>
      </c>
      <c r="O589" s="7">
        <v>0</v>
      </c>
      <c r="Q589" s="7">
        <v>799331</v>
      </c>
      <c r="S589" s="7">
        <v>679634</v>
      </c>
      <c r="U589" s="7">
        <v>30034</v>
      </c>
      <c r="W589" s="7">
        <v>1839316</v>
      </c>
      <c r="Y589" s="7">
        <v>248340</v>
      </c>
      <c r="AA589" s="7">
        <v>1440</v>
      </c>
      <c r="AC589" s="7">
        <v>2088175</v>
      </c>
      <c r="AE589" s="7">
        <v>1559571</v>
      </c>
      <c r="AG589" s="7">
        <v>66023</v>
      </c>
      <c r="AI589" s="7">
        <v>5284</v>
      </c>
      <c r="AK589" s="7">
        <v>68713</v>
      </c>
      <c r="AL589" s="12" t="s">
        <v>364</v>
      </c>
      <c r="AM589" s="12"/>
      <c r="AN589" s="12" t="s">
        <v>36</v>
      </c>
      <c r="AP589" s="7">
        <v>336010</v>
      </c>
      <c r="AR589" s="7">
        <v>0</v>
      </c>
      <c r="AV589" s="7">
        <v>0</v>
      </c>
      <c r="AX589" s="7">
        <v>0</v>
      </c>
      <c r="AZ589" s="7">
        <v>0</v>
      </c>
      <c r="BB589" s="7">
        <f t="shared" si="161"/>
        <v>20274997</v>
      </c>
      <c r="BD589" s="7">
        <v>0</v>
      </c>
      <c r="BF589" s="7">
        <v>0</v>
      </c>
      <c r="BH589" s="7">
        <v>0</v>
      </c>
      <c r="BJ589" s="7">
        <v>0</v>
      </c>
      <c r="BL589" s="7">
        <f t="shared" si="159"/>
        <v>20274997</v>
      </c>
      <c r="BN589" s="7">
        <f>+GenRev!AM589-GenExp!BL589</f>
        <v>497687</v>
      </c>
      <c r="BP589" s="7">
        <v>8521189</v>
      </c>
      <c r="BR589" s="7">
        <v>0</v>
      </c>
      <c r="BT589" s="7">
        <v>0</v>
      </c>
      <c r="BV589" s="7">
        <f t="shared" si="160"/>
        <v>9018876</v>
      </c>
      <c r="BX589" s="8">
        <f>+BV589-'Gen Fd BS'!AE589+BT589</f>
        <v>0</v>
      </c>
      <c r="CB589" s="7" t="str">
        <f t="shared" si="154"/>
        <v>West Holmes Local SD</v>
      </c>
      <c r="CC589" s="7" t="b">
        <f t="shared" si="148"/>
        <v>1</v>
      </c>
      <c r="CE589" s="12" t="str">
        <f>GenRev!A589</f>
        <v>West Holmes Local SD</v>
      </c>
      <c r="CF589" s="7" t="b">
        <f t="shared" si="155"/>
        <v>1</v>
      </c>
      <c r="CG589" s="7" t="str">
        <f t="shared" si="149"/>
        <v>Holmes</v>
      </c>
      <c r="CH589" s="7" t="b">
        <f t="shared" si="150"/>
        <v>1</v>
      </c>
      <c r="CI589" s="7" t="b">
        <f>C589=GenRev!C589</f>
        <v>1</v>
      </c>
    </row>
    <row r="590" spans="1:87">
      <c r="A590" s="12" t="s">
        <v>235</v>
      </c>
      <c r="B590" s="12"/>
      <c r="C590" s="12" t="s">
        <v>232</v>
      </c>
      <c r="D590" s="12"/>
      <c r="E590" s="12">
        <v>46219</v>
      </c>
      <c r="G590" s="7">
        <v>4443519</v>
      </c>
      <c r="I590" s="7">
        <v>1752868</v>
      </c>
      <c r="K590" s="7">
        <v>181437</v>
      </c>
      <c r="M590" s="7">
        <v>0</v>
      </c>
      <c r="O590" s="7">
        <v>416153</v>
      </c>
      <c r="Q590" s="7">
        <v>353436</v>
      </c>
      <c r="S590" s="7">
        <v>596579</v>
      </c>
      <c r="U590" s="7">
        <v>40469</v>
      </c>
      <c r="W590" s="7">
        <v>726992</v>
      </c>
      <c r="Y590" s="7">
        <v>395869</v>
      </c>
      <c r="AA590" s="7">
        <v>0</v>
      </c>
      <c r="AC590" s="7">
        <v>1018543</v>
      </c>
      <c r="AE590" s="7">
        <v>745717</v>
      </c>
      <c r="AG590" s="7">
        <v>289089</v>
      </c>
      <c r="AI590" s="7">
        <v>0</v>
      </c>
      <c r="AK590" s="7">
        <v>0</v>
      </c>
      <c r="AL590" s="12" t="s">
        <v>235</v>
      </c>
      <c r="AM590" s="12"/>
      <c r="AN590" s="12" t="s">
        <v>232</v>
      </c>
      <c r="AP590" s="7">
        <v>452710</v>
      </c>
      <c r="AR590" s="7">
        <v>0</v>
      </c>
      <c r="AV590" s="7">
        <v>55038</v>
      </c>
      <c r="AX590" s="7">
        <v>3016</v>
      </c>
      <c r="AZ590" s="7">
        <v>0</v>
      </c>
      <c r="BB590" s="7">
        <f t="shared" si="161"/>
        <v>11471435</v>
      </c>
      <c r="BD590" s="7">
        <v>3053</v>
      </c>
      <c r="BF590" s="7">
        <v>0</v>
      </c>
      <c r="BH590" s="7">
        <v>0</v>
      </c>
      <c r="BJ590" s="7">
        <v>0</v>
      </c>
      <c r="BL590" s="7">
        <f t="shared" si="159"/>
        <v>11474488</v>
      </c>
      <c r="BN590" s="7">
        <f>+GenRev!AM590-GenExp!BL590</f>
        <v>-18797</v>
      </c>
      <c r="BP590" s="7">
        <v>1518702</v>
      </c>
      <c r="BR590" s="7">
        <v>0</v>
      </c>
      <c r="BT590" s="7">
        <v>0</v>
      </c>
      <c r="BV590" s="7">
        <f t="shared" si="160"/>
        <v>1499905</v>
      </c>
      <c r="BX590" s="8">
        <f>+BV590-'Gen Fd BS'!AE590+BT590</f>
        <v>0</v>
      </c>
      <c r="CB590" s="7" t="str">
        <f t="shared" si="154"/>
        <v>West Liberty-Salem Local SD</v>
      </c>
      <c r="CC590" s="7" t="b">
        <f t="shared" si="148"/>
        <v>1</v>
      </c>
      <c r="CE590" s="12" t="str">
        <f>GenRev!A590</f>
        <v>West Liberty-Salem Local SD</v>
      </c>
      <c r="CF590" s="7" t="b">
        <f t="shared" si="155"/>
        <v>1</v>
      </c>
      <c r="CG590" s="7" t="str">
        <f t="shared" si="149"/>
        <v>Champaign</v>
      </c>
      <c r="CH590" s="7" t="b">
        <f t="shared" si="150"/>
        <v>1</v>
      </c>
      <c r="CI590" s="7" t="b">
        <f>C590=GenRev!C590</f>
        <v>1</v>
      </c>
    </row>
    <row r="591" spans="1:87">
      <c r="A591" s="12" t="s">
        <v>460</v>
      </c>
      <c r="B591" s="12"/>
      <c r="C591" s="12" t="s">
        <v>51</v>
      </c>
      <c r="D591" s="12"/>
      <c r="E591" s="12">
        <v>48884</v>
      </c>
      <c r="F591" s="10"/>
      <c r="G591" s="7">
        <v>7136627</v>
      </c>
      <c r="I591" s="7">
        <v>1429723</v>
      </c>
      <c r="K591" s="7">
        <v>120604</v>
      </c>
      <c r="M591" s="7">
        <v>75745</v>
      </c>
      <c r="O591" s="7">
        <v>0</v>
      </c>
      <c r="Q591" s="7">
        <v>404542</v>
      </c>
      <c r="S591" s="7">
        <v>466884</v>
      </c>
      <c r="U591" s="7">
        <v>14609</v>
      </c>
      <c r="W591" s="7">
        <v>1195604</v>
      </c>
      <c r="Y591" s="7">
        <v>356168</v>
      </c>
      <c r="AA591" s="7">
        <v>0</v>
      </c>
      <c r="AC591" s="7">
        <v>1034169</v>
      </c>
      <c r="AE591" s="7">
        <v>985880</v>
      </c>
      <c r="AG591" s="7">
        <v>34105</v>
      </c>
      <c r="AI591" s="7">
        <v>0</v>
      </c>
      <c r="AK591" s="7">
        <v>6870</v>
      </c>
      <c r="AL591" s="12" t="s">
        <v>460</v>
      </c>
      <c r="AM591" s="12"/>
      <c r="AN591" s="12" t="s">
        <v>51</v>
      </c>
      <c r="AP591" s="7">
        <v>16</v>
      </c>
      <c r="AR591" s="7">
        <v>0</v>
      </c>
      <c r="AV591" s="7">
        <v>71350</v>
      </c>
      <c r="AX591" s="7">
        <v>79835</v>
      </c>
      <c r="AZ591" s="7">
        <v>0</v>
      </c>
      <c r="BB591" s="7">
        <f t="shared" si="161"/>
        <v>13412731</v>
      </c>
      <c r="BD591" s="7">
        <v>35000</v>
      </c>
      <c r="BF591" s="7">
        <v>0</v>
      </c>
      <c r="BH591" s="7">
        <v>0</v>
      </c>
      <c r="BJ591" s="7">
        <v>0</v>
      </c>
      <c r="BL591" s="7">
        <f t="shared" si="159"/>
        <v>13447731</v>
      </c>
      <c r="BN591" s="7">
        <f>+GenRev!AM591-GenExp!BL591</f>
        <v>655265</v>
      </c>
      <c r="BP591" s="7">
        <v>-743118</v>
      </c>
      <c r="BR591" s="7">
        <v>0</v>
      </c>
      <c r="BT591" s="7">
        <v>0</v>
      </c>
      <c r="BV591" s="7">
        <f t="shared" si="160"/>
        <v>-87853</v>
      </c>
      <c r="BX591" s="8">
        <f>+BV591-'Gen Fd BS'!AE591+BT591</f>
        <v>0</v>
      </c>
      <c r="CB591" s="7" t="str">
        <f t="shared" si="154"/>
        <v>West Muskingum Local SD</v>
      </c>
      <c r="CC591" s="7" t="b">
        <f t="shared" si="148"/>
        <v>1</v>
      </c>
      <c r="CE591" s="12" t="str">
        <f>GenRev!A591</f>
        <v>West Muskingum Local SD</v>
      </c>
      <c r="CF591" s="7" t="b">
        <f t="shared" si="155"/>
        <v>1</v>
      </c>
      <c r="CG591" s="7" t="str">
        <f t="shared" si="149"/>
        <v>Muskingum</v>
      </c>
      <c r="CH591" s="7" t="b">
        <f t="shared" si="150"/>
        <v>1</v>
      </c>
      <c r="CI591" s="7" t="b">
        <f>C591=GenRev!C591</f>
        <v>1</v>
      </c>
    </row>
    <row r="592" spans="1:87">
      <c r="A592" s="12" t="s">
        <v>222</v>
      </c>
      <c r="B592" s="12"/>
      <c r="C592" s="12" t="s">
        <v>77</v>
      </c>
      <c r="D592" s="12"/>
      <c r="E592" s="12">
        <v>46060</v>
      </c>
      <c r="G592" s="7">
        <v>13744673</v>
      </c>
      <c r="I592" s="7">
        <v>2227296</v>
      </c>
      <c r="K592" s="7">
        <v>267186</v>
      </c>
      <c r="M592" s="7">
        <v>0</v>
      </c>
      <c r="O592" s="7">
        <v>0</v>
      </c>
      <c r="Q592" s="7">
        <v>581190</v>
      </c>
      <c r="S592" s="7">
        <v>890994</v>
      </c>
      <c r="U592" s="7">
        <v>25568</v>
      </c>
      <c r="W592" s="7">
        <v>1735832</v>
      </c>
      <c r="Y592" s="7">
        <v>545383</v>
      </c>
      <c r="AA592" s="7">
        <v>0</v>
      </c>
      <c r="AC592" s="7">
        <v>2396639</v>
      </c>
      <c r="AE592" s="7">
        <v>1862898</v>
      </c>
      <c r="AG592" s="7">
        <v>306944</v>
      </c>
      <c r="AI592" s="7">
        <v>0</v>
      </c>
      <c r="AK592" s="7">
        <v>0</v>
      </c>
      <c r="AL592" s="12" t="s">
        <v>222</v>
      </c>
      <c r="AM592" s="12"/>
      <c r="AN592" s="12" t="s">
        <v>77</v>
      </c>
      <c r="AP592" s="7">
        <v>462662</v>
      </c>
      <c r="AR592" s="7">
        <v>22314</v>
      </c>
      <c r="AV592" s="7">
        <v>91000</v>
      </c>
      <c r="AX592" s="7">
        <v>26720</v>
      </c>
      <c r="AZ592" s="7">
        <v>0</v>
      </c>
      <c r="BB592" s="7">
        <f t="shared" si="161"/>
        <v>25187299</v>
      </c>
      <c r="BD592" s="7">
        <v>0</v>
      </c>
      <c r="BF592" s="7">
        <v>0</v>
      </c>
      <c r="BH592" s="7">
        <v>0</v>
      </c>
      <c r="BJ592" s="7">
        <v>0</v>
      </c>
      <c r="BL592" s="7">
        <f t="shared" si="159"/>
        <v>25187299</v>
      </c>
      <c r="BN592" s="7">
        <f>+GenRev!AM592-GenExp!BL592</f>
        <v>555573</v>
      </c>
      <c r="BP592" s="7">
        <v>254721</v>
      </c>
      <c r="BR592" s="7">
        <v>0</v>
      </c>
      <c r="BT592" s="7">
        <v>0</v>
      </c>
      <c r="BV592" s="7">
        <f t="shared" si="160"/>
        <v>810294</v>
      </c>
      <c r="BX592" s="8">
        <f>+BV592-'Gen Fd BS'!AE592+BT592</f>
        <v>0</v>
      </c>
      <c r="CB592" s="7" t="str">
        <f t="shared" si="154"/>
        <v>Western Brown Local SD</v>
      </c>
      <c r="CC592" s="7" t="b">
        <f t="shared" ref="CC592:CC618" si="162">A592=AL592</f>
        <v>1</v>
      </c>
      <c r="CE592" s="12" t="str">
        <f>GenRev!A592</f>
        <v>Western Brown Local SD</v>
      </c>
      <c r="CF592" s="7" t="b">
        <f t="shared" si="155"/>
        <v>1</v>
      </c>
      <c r="CG592" s="7" t="str">
        <f t="shared" ref="CG592:CG618" si="163">C592</f>
        <v>Brown</v>
      </c>
      <c r="CH592" s="7" t="b">
        <f t="shared" ref="CH592:CH618" si="164">C592=AN592</f>
        <v>1</v>
      </c>
      <c r="CI592" s="7" t="b">
        <f>C592=GenRev!C592</f>
        <v>1</v>
      </c>
    </row>
    <row r="593" spans="1:87">
      <c r="A593" s="12" t="s">
        <v>473</v>
      </c>
      <c r="B593" s="12"/>
      <c r="C593" s="12" t="s">
        <v>55</v>
      </c>
      <c r="D593" s="12"/>
      <c r="E593" s="12">
        <v>49155</v>
      </c>
      <c r="G593" s="7">
        <v>3216924</v>
      </c>
      <c r="I593" s="7">
        <v>750837</v>
      </c>
      <c r="K593" s="7">
        <v>0</v>
      </c>
      <c r="M593" s="7">
        <v>0</v>
      </c>
      <c r="O593" s="7">
        <v>683141</v>
      </c>
      <c r="Q593" s="7">
        <v>298773</v>
      </c>
      <c r="S593" s="7">
        <v>166840</v>
      </c>
      <c r="U593" s="7">
        <v>17031</v>
      </c>
      <c r="W593" s="7">
        <v>679639</v>
      </c>
      <c r="Y593" s="7">
        <v>309274</v>
      </c>
      <c r="AA593" s="7">
        <v>0</v>
      </c>
      <c r="AC593" s="7">
        <v>700495</v>
      </c>
      <c r="AE593" s="7">
        <v>740651</v>
      </c>
      <c r="AG593" s="7">
        <v>1412</v>
      </c>
      <c r="AI593" s="7">
        <v>0</v>
      </c>
      <c r="AK593" s="7">
        <v>3897</v>
      </c>
      <c r="AL593" s="12" t="s">
        <v>473</v>
      </c>
      <c r="AM593" s="12"/>
      <c r="AN593" s="12" t="s">
        <v>55</v>
      </c>
      <c r="AP593" s="7">
        <v>137461</v>
      </c>
      <c r="AR593" s="7">
        <v>8412</v>
      </c>
      <c r="AV593" s="7">
        <v>28913</v>
      </c>
      <c r="AX593" s="7">
        <v>8700</v>
      </c>
      <c r="AZ593" s="7">
        <v>0</v>
      </c>
      <c r="BB593" s="7">
        <f t="shared" si="161"/>
        <v>7752400</v>
      </c>
      <c r="BD593" s="7">
        <v>104000</v>
      </c>
      <c r="BF593" s="7">
        <v>0</v>
      </c>
      <c r="BH593" s="7">
        <v>0</v>
      </c>
      <c r="BJ593" s="7">
        <v>0</v>
      </c>
      <c r="BL593" s="7">
        <f t="shared" si="159"/>
        <v>7856400</v>
      </c>
      <c r="BN593" s="7">
        <f>+GenRev!AM593-GenExp!BL593</f>
        <v>-936492</v>
      </c>
      <c r="BP593" s="7">
        <v>3879703</v>
      </c>
      <c r="BR593" s="7">
        <v>0</v>
      </c>
      <c r="BT593" s="7">
        <v>0</v>
      </c>
      <c r="BV593" s="7">
        <f t="shared" si="160"/>
        <v>2943211</v>
      </c>
      <c r="BX593" s="8">
        <f>+BV593-'Gen Fd BS'!AE593+BT593</f>
        <v>0</v>
      </c>
      <c r="CB593" s="7" t="str">
        <f t="shared" si="154"/>
        <v>Western Local SD</v>
      </c>
      <c r="CC593" s="7" t="b">
        <f t="shared" si="162"/>
        <v>1</v>
      </c>
      <c r="CE593" s="12" t="str">
        <f>GenRev!A593</f>
        <v>Western Local SD</v>
      </c>
      <c r="CF593" s="7" t="b">
        <f t="shared" si="155"/>
        <v>1</v>
      </c>
      <c r="CG593" s="7" t="str">
        <f t="shared" si="163"/>
        <v>Pike</v>
      </c>
      <c r="CH593" s="7" t="b">
        <f t="shared" si="164"/>
        <v>1</v>
      </c>
      <c r="CI593" s="7" t="b">
        <f>C593=GenRev!C593</f>
        <v>1</v>
      </c>
    </row>
    <row r="594" spans="1:87">
      <c r="A594" s="12" t="s">
        <v>369</v>
      </c>
      <c r="B594" s="12"/>
      <c r="C594" s="12" t="s">
        <v>37</v>
      </c>
      <c r="D594" s="12"/>
      <c r="E594" s="12">
        <v>47746</v>
      </c>
      <c r="G594" s="7">
        <v>4907269</v>
      </c>
      <c r="I594" s="7">
        <v>1122984</v>
      </c>
      <c r="K594" s="7">
        <v>163791</v>
      </c>
      <c r="M594" s="7">
        <v>0</v>
      </c>
      <c r="O594" s="7">
        <v>267914</v>
      </c>
      <c r="Q594" s="7">
        <v>222647</v>
      </c>
      <c r="S594" s="7">
        <v>690752</v>
      </c>
      <c r="U594" s="7">
        <v>143557</v>
      </c>
      <c r="W594" s="7">
        <v>864786</v>
      </c>
      <c r="Y594" s="7">
        <v>427765</v>
      </c>
      <c r="AA594" s="7">
        <v>32710</v>
      </c>
      <c r="AC594" s="7">
        <v>615763</v>
      </c>
      <c r="AE594" s="7">
        <v>710518</v>
      </c>
      <c r="AG594" s="7">
        <v>26462</v>
      </c>
      <c r="AI594" s="7">
        <v>0</v>
      </c>
      <c r="AK594" s="7">
        <v>302721</v>
      </c>
      <c r="AL594" s="12" t="s">
        <v>369</v>
      </c>
      <c r="AM594" s="12"/>
      <c r="AN594" s="12" t="s">
        <v>37</v>
      </c>
      <c r="AP594" s="7">
        <v>273203</v>
      </c>
      <c r="AR594" s="7">
        <v>5462</v>
      </c>
      <c r="AV594" s="7">
        <v>29935</v>
      </c>
      <c r="AX594" s="7">
        <v>2057</v>
      </c>
      <c r="AZ594" s="7">
        <v>0</v>
      </c>
      <c r="BB594" s="7">
        <f t="shared" si="161"/>
        <v>10810296</v>
      </c>
      <c r="BD594" s="7">
        <v>0</v>
      </c>
      <c r="BF594" s="7">
        <v>0</v>
      </c>
      <c r="BH594" s="7">
        <v>0</v>
      </c>
      <c r="BJ594" s="7">
        <v>0</v>
      </c>
      <c r="BL594" s="7">
        <f t="shared" si="159"/>
        <v>10810296</v>
      </c>
      <c r="BN594" s="7">
        <f>+GenRev!AM594-GenExp!BL594</f>
        <v>331844</v>
      </c>
      <c r="BP594" s="7">
        <v>812341</v>
      </c>
      <c r="BR594" s="7">
        <v>0</v>
      </c>
      <c r="BT594" s="7">
        <v>0</v>
      </c>
      <c r="BV594" s="7">
        <f t="shared" si="160"/>
        <v>1144185</v>
      </c>
      <c r="BX594" s="8">
        <f>+BV594-'Gen Fd BS'!AE594+BT594</f>
        <v>0</v>
      </c>
      <c r="CB594" s="7" t="str">
        <f t="shared" si="154"/>
        <v>Western Reserve Local SD</v>
      </c>
      <c r="CC594" s="7" t="b">
        <f t="shared" si="162"/>
        <v>1</v>
      </c>
      <c r="CE594" s="12" t="str">
        <f>GenRev!A594</f>
        <v>Western Reserve Local SD</v>
      </c>
      <c r="CF594" s="7" t="b">
        <f t="shared" si="155"/>
        <v>1</v>
      </c>
      <c r="CG594" s="7" t="str">
        <f t="shared" si="163"/>
        <v>Huron</v>
      </c>
      <c r="CH594" s="7" t="b">
        <f t="shared" si="164"/>
        <v>1</v>
      </c>
      <c r="CI594" s="7" t="b">
        <f>C594=GenRev!C594</f>
        <v>1</v>
      </c>
    </row>
    <row r="595" spans="1:87">
      <c r="A595" s="12" t="s">
        <v>369</v>
      </c>
      <c r="B595" s="12"/>
      <c r="C595" s="12" t="s">
        <v>45</v>
      </c>
      <c r="D595" s="12"/>
      <c r="E595" s="12">
        <v>48397</v>
      </c>
      <c r="G595" s="7">
        <v>2746081</v>
      </c>
      <c r="I595" s="7">
        <v>618892</v>
      </c>
      <c r="K595" s="7">
        <v>117094</v>
      </c>
      <c r="M595" s="7">
        <v>2889</v>
      </c>
      <c r="O595" s="7">
        <v>0</v>
      </c>
      <c r="Q595" s="7">
        <v>357007</v>
      </c>
      <c r="S595" s="7">
        <v>291970</v>
      </c>
      <c r="U595" s="7">
        <v>23266</v>
      </c>
      <c r="W595" s="7">
        <v>675134</v>
      </c>
      <c r="Y595" s="7">
        <v>289234</v>
      </c>
      <c r="AA595" s="7">
        <v>7594</v>
      </c>
      <c r="AC595" s="7">
        <v>460144</v>
      </c>
      <c r="AE595" s="7">
        <v>414131</v>
      </c>
      <c r="AG595" s="7">
        <v>18204</v>
      </c>
      <c r="AI595" s="7">
        <v>0</v>
      </c>
      <c r="AK595" s="7">
        <v>0</v>
      </c>
      <c r="AL595" s="12" t="s">
        <v>369</v>
      </c>
      <c r="AM595" s="12"/>
      <c r="AN595" s="12" t="s">
        <v>45</v>
      </c>
      <c r="AP595" s="7">
        <v>193242</v>
      </c>
      <c r="AR595" s="7">
        <v>0</v>
      </c>
      <c r="AV595" s="7">
        <v>0</v>
      </c>
      <c r="AX595" s="7">
        <v>0</v>
      </c>
      <c r="AZ595" s="7">
        <v>0</v>
      </c>
      <c r="BB595" s="7">
        <f t="shared" si="161"/>
        <v>6214882</v>
      </c>
      <c r="BD595" s="7">
        <v>48076</v>
      </c>
      <c r="BF595" s="7">
        <v>0</v>
      </c>
      <c r="BH595" s="7">
        <v>0</v>
      </c>
      <c r="BJ595" s="7">
        <v>0</v>
      </c>
      <c r="BL595" s="7">
        <f t="shared" si="159"/>
        <v>6262958</v>
      </c>
      <c r="BN595" s="7">
        <f>+GenRev!AM595-GenExp!BL595</f>
        <v>-34649</v>
      </c>
      <c r="BP595" s="7">
        <v>1212117</v>
      </c>
      <c r="BR595" s="7">
        <v>0</v>
      </c>
      <c r="BT595" s="7">
        <v>0</v>
      </c>
      <c r="BV595" s="7">
        <f t="shared" si="160"/>
        <v>1177468</v>
      </c>
      <c r="BX595" s="8">
        <f>+BV595-'Gen Fd BS'!AE595+BT595</f>
        <v>0</v>
      </c>
      <c r="CB595" s="7" t="str">
        <f t="shared" si="154"/>
        <v>Western Reserve Local SD</v>
      </c>
      <c r="CC595" s="7" t="b">
        <f t="shared" si="162"/>
        <v>1</v>
      </c>
      <c r="CE595" s="12" t="str">
        <f>GenRev!A595</f>
        <v>Western Reserve Local SD</v>
      </c>
      <c r="CF595" s="7" t="b">
        <f t="shared" si="155"/>
        <v>1</v>
      </c>
      <c r="CG595" s="7" t="str">
        <f t="shared" si="163"/>
        <v>Mahoning</v>
      </c>
      <c r="CH595" s="7" t="b">
        <f t="shared" si="164"/>
        <v>1</v>
      </c>
      <c r="CI595" s="7" t="b">
        <f>C595=GenRev!C595</f>
        <v>1</v>
      </c>
    </row>
    <row r="596" spans="1:87">
      <c r="A596" s="12" t="s">
        <v>315</v>
      </c>
      <c r="B596" s="12"/>
      <c r="C596" s="12" t="s">
        <v>27</v>
      </c>
      <c r="D596" s="12"/>
      <c r="E596" s="12">
        <v>45047</v>
      </c>
      <c r="G596" s="7">
        <v>63986197</v>
      </c>
      <c r="I596" s="7">
        <v>19088249</v>
      </c>
      <c r="K596" s="7">
        <v>838940</v>
      </c>
      <c r="M596" s="7">
        <v>0</v>
      </c>
      <c r="O596" s="7">
        <v>4076542</v>
      </c>
      <c r="Q596" s="7">
        <v>12003477</v>
      </c>
      <c r="S596" s="7">
        <v>4554360</v>
      </c>
      <c r="U596" s="7">
        <v>1728431</v>
      </c>
      <c r="W596" s="7">
        <v>9190894</v>
      </c>
      <c r="Y596" s="7">
        <v>2540003</v>
      </c>
      <c r="AA596" s="7">
        <v>933609</v>
      </c>
      <c r="AC596" s="7">
        <v>14656965</v>
      </c>
      <c r="AE596" s="7">
        <v>8321519</v>
      </c>
      <c r="AG596" s="7">
        <v>2333262</v>
      </c>
      <c r="AI596" s="7">
        <v>0</v>
      </c>
      <c r="AK596" s="7">
        <v>87434</v>
      </c>
      <c r="AL596" s="12" t="s">
        <v>315</v>
      </c>
      <c r="AM596" s="12"/>
      <c r="AN596" s="12" t="s">
        <v>27</v>
      </c>
      <c r="AP596" s="7">
        <v>2120266</v>
      </c>
      <c r="AR596" s="7">
        <v>0</v>
      </c>
      <c r="AV596" s="7">
        <v>0</v>
      </c>
      <c r="AX596" s="7">
        <v>0</v>
      </c>
      <c r="AZ596" s="7">
        <v>0</v>
      </c>
      <c r="BB596" s="7">
        <f t="shared" si="161"/>
        <v>146460148</v>
      </c>
      <c r="BD596" s="7">
        <v>51940</v>
      </c>
      <c r="BF596" s="7">
        <v>0</v>
      </c>
      <c r="BH596" s="7">
        <v>0</v>
      </c>
      <c r="BJ596" s="7">
        <v>0</v>
      </c>
      <c r="BL596" s="7">
        <f t="shared" si="159"/>
        <v>146512088</v>
      </c>
      <c r="BN596" s="7">
        <f>+GenRev!AM596-GenExp!BL596</f>
        <v>2505954</v>
      </c>
      <c r="BP596" s="7">
        <v>21947387</v>
      </c>
      <c r="BR596" s="7">
        <v>0</v>
      </c>
      <c r="BT596" s="7">
        <v>0</v>
      </c>
      <c r="BV596" s="7">
        <f t="shared" si="160"/>
        <v>24453341</v>
      </c>
      <c r="BX596" s="8">
        <f>+BV596-'Gen Fd BS'!AE596+BT596</f>
        <v>0</v>
      </c>
      <c r="CB596" s="7" t="str">
        <f t="shared" ref="CB596:CB618" si="165">A596</f>
        <v>Westerville City SD</v>
      </c>
      <c r="CC596" s="7" t="b">
        <f t="shared" si="162"/>
        <v>1</v>
      </c>
      <c r="CE596" s="12" t="str">
        <f>GenRev!A596</f>
        <v>Westerville City SD</v>
      </c>
      <c r="CF596" s="7" t="b">
        <f t="shared" ref="CF596:CF618" si="166">CB596=CE596</f>
        <v>1</v>
      </c>
      <c r="CG596" s="7" t="str">
        <f t="shared" si="163"/>
        <v>Franklin</v>
      </c>
      <c r="CH596" s="7" t="b">
        <f t="shared" si="164"/>
        <v>1</v>
      </c>
      <c r="CI596" s="7" t="b">
        <f>C596=GenRev!C596</f>
        <v>1</v>
      </c>
    </row>
    <row r="597" spans="1:87">
      <c r="A597" s="12" t="s">
        <v>470</v>
      </c>
      <c r="B597" s="12"/>
      <c r="C597" s="12" t="s">
        <v>54</v>
      </c>
      <c r="D597" s="12"/>
      <c r="E597" s="12">
        <v>49106</v>
      </c>
      <c r="G597" s="7">
        <v>6334258</v>
      </c>
      <c r="I597" s="7">
        <v>846768</v>
      </c>
      <c r="K597" s="7">
        <v>0</v>
      </c>
      <c r="M597" s="7">
        <v>0</v>
      </c>
      <c r="O597" s="7">
        <v>4581</v>
      </c>
      <c r="Q597" s="7">
        <v>293070</v>
      </c>
      <c r="S597" s="7">
        <v>387876</v>
      </c>
      <c r="U597" s="7">
        <v>164915</v>
      </c>
      <c r="W597" s="7">
        <v>1198966</v>
      </c>
      <c r="Y597" s="7">
        <v>350211</v>
      </c>
      <c r="AA597" s="7">
        <v>0</v>
      </c>
      <c r="AC597" s="7">
        <v>779786</v>
      </c>
      <c r="AE597" s="7">
        <v>1072080</v>
      </c>
      <c r="AG597" s="7">
        <v>219393</v>
      </c>
      <c r="AI597" s="7">
        <v>0</v>
      </c>
      <c r="AK597" s="7">
        <v>568</v>
      </c>
      <c r="AL597" s="12" t="s">
        <v>470</v>
      </c>
      <c r="AM597" s="12"/>
      <c r="AN597" s="12" t="s">
        <v>54</v>
      </c>
      <c r="AP597" s="7">
        <v>152284</v>
      </c>
      <c r="AR597" s="7">
        <v>0</v>
      </c>
      <c r="AV597" s="7">
        <v>0</v>
      </c>
      <c r="AX597" s="7">
        <v>0</v>
      </c>
      <c r="AZ597" s="7">
        <v>0</v>
      </c>
      <c r="BB597" s="7">
        <f t="shared" si="161"/>
        <v>11804756</v>
      </c>
      <c r="BD597" s="7">
        <v>82447</v>
      </c>
      <c r="BF597" s="7">
        <v>0</v>
      </c>
      <c r="BH597" s="7">
        <v>0</v>
      </c>
      <c r="BJ597" s="7">
        <v>0</v>
      </c>
      <c r="BL597" s="7">
        <f t="shared" si="159"/>
        <v>11887203</v>
      </c>
      <c r="BN597" s="7">
        <f>+GenRev!AM597-GenExp!BL597</f>
        <v>2103096</v>
      </c>
      <c r="BP597" s="7">
        <v>1498342</v>
      </c>
      <c r="BR597" s="7">
        <v>0</v>
      </c>
      <c r="BT597" s="7">
        <v>0</v>
      </c>
      <c r="BV597" s="7">
        <f t="shared" si="160"/>
        <v>3601438</v>
      </c>
      <c r="BX597" s="8">
        <f>+BV597-'Gen Fd BS'!AE597+BT597</f>
        <v>0</v>
      </c>
      <c r="CB597" s="7" t="str">
        <f t="shared" si="165"/>
        <v>Westfall Local SD</v>
      </c>
      <c r="CC597" s="7" t="b">
        <f t="shared" si="162"/>
        <v>1</v>
      </c>
      <c r="CE597" s="12" t="str">
        <f>GenRev!A597</f>
        <v>Westfall Local SD</v>
      </c>
      <c r="CF597" s="7" t="b">
        <f t="shared" si="166"/>
        <v>1</v>
      </c>
      <c r="CG597" s="7" t="str">
        <f t="shared" si="163"/>
        <v>Pickaway</v>
      </c>
      <c r="CH597" s="7" t="b">
        <f t="shared" si="164"/>
        <v>1</v>
      </c>
      <c r="CI597" s="7" t="b">
        <f>C597=GenRev!C597</f>
        <v>1</v>
      </c>
    </row>
    <row r="598" spans="1:87">
      <c r="A598" s="12" t="s">
        <v>287</v>
      </c>
      <c r="B598" s="12"/>
      <c r="C598" s="12" t="s">
        <v>20</v>
      </c>
      <c r="D598" s="12"/>
      <c r="E598" s="12">
        <v>45062</v>
      </c>
      <c r="G598" s="7">
        <v>22180042</v>
      </c>
      <c r="I598" s="7">
        <v>4573721</v>
      </c>
      <c r="K598" s="7">
        <v>258978</v>
      </c>
      <c r="M598" s="7">
        <v>672</v>
      </c>
      <c r="O598" s="7">
        <v>1236797</v>
      </c>
      <c r="Q598" s="7">
        <v>3318846</v>
      </c>
      <c r="S598" s="7">
        <v>3278563</v>
      </c>
      <c r="U598" s="7">
        <v>31539</v>
      </c>
      <c r="W598" s="7">
        <v>2946801</v>
      </c>
      <c r="Y598" s="7">
        <v>1220613</v>
      </c>
      <c r="AA598" s="7">
        <v>383740</v>
      </c>
      <c r="AC598" s="7">
        <v>4540179</v>
      </c>
      <c r="AE598" s="7">
        <v>4681708</v>
      </c>
      <c r="AG598" s="7">
        <v>126730</v>
      </c>
      <c r="AI598" s="7">
        <v>0</v>
      </c>
      <c r="AK598" s="7">
        <v>250088</v>
      </c>
      <c r="AL598" s="12" t="s">
        <v>287</v>
      </c>
      <c r="AM598" s="12"/>
      <c r="AN598" s="12" t="s">
        <v>20</v>
      </c>
      <c r="AP598" s="7">
        <v>1242596</v>
      </c>
      <c r="AR598" s="7">
        <v>37943</v>
      </c>
      <c r="AV598" s="7">
        <v>63859</v>
      </c>
      <c r="AX598" s="7">
        <v>20816</v>
      </c>
      <c r="AZ598" s="7">
        <v>0</v>
      </c>
      <c r="BB598" s="7">
        <f t="shared" si="161"/>
        <v>50394231</v>
      </c>
      <c r="BD598" s="7">
        <v>10000</v>
      </c>
      <c r="BF598" s="7">
        <v>0</v>
      </c>
      <c r="BH598" s="7">
        <v>0</v>
      </c>
      <c r="BJ598" s="7">
        <v>0</v>
      </c>
      <c r="BL598" s="7">
        <f t="shared" si="159"/>
        <v>50404231</v>
      </c>
      <c r="BN598" s="7">
        <f>+GenRev!AM598-GenExp!BL598</f>
        <v>1192512</v>
      </c>
      <c r="BP598" s="7">
        <v>21099472</v>
      </c>
      <c r="BR598" s="7">
        <v>0</v>
      </c>
      <c r="BT598" s="7">
        <v>0</v>
      </c>
      <c r="BV598" s="7">
        <f t="shared" si="160"/>
        <v>22291984</v>
      </c>
      <c r="BX598" s="8">
        <f>+BV598-'Gen Fd BS'!AE598+BT598</f>
        <v>0</v>
      </c>
      <c r="CB598" s="7" t="str">
        <f t="shared" si="165"/>
        <v>Westlake City SD</v>
      </c>
      <c r="CC598" s="7" t="b">
        <f t="shared" si="162"/>
        <v>1</v>
      </c>
      <c r="CE598" s="12" t="str">
        <f>GenRev!A598</f>
        <v>Westlake City SD</v>
      </c>
      <c r="CF598" s="7" t="b">
        <f t="shared" si="166"/>
        <v>1</v>
      </c>
      <c r="CG598" s="7" t="str">
        <f t="shared" si="163"/>
        <v>Cuyahoga</v>
      </c>
      <c r="CH598" s="7" t="b">
        <f t="shared" si="164"/>
        <v>1</v>
      </c>
      <c r="CI598" s="7" t="b">
        <f>C598=GenRev!C598</f>
        <v>1</v>
      </c>
    </row>
    <row r="599" spans="1:87">
      <c r="A599" s="12" t="s">
        <v>501</v>
      </c>
      <c r="B599" s="12"/>
      <c r="C599" s="12" t="s">
        <v>59</v>
      </c>
      <c r="D599" s="12"/>
      <c r="E599" s="12">
        <v>49668</v>
      </c>
      <c r="G599" s="7">
        <v>6482827</v>
      </c>
      <c r="I599" s="7">
        <v>666918</v>
      </c>
      <c r="K599" s="7">
        <v>5525</v>
      </c>
      <c r="M599" s="7">
        <v>0</v>
      </c>
      <c r="O599" s="7">
        <v>19204</v>
      </c>
      <c r="Q599" s="7">
        <v>567220</v>
      </c>
      <c r="S599" s="7">
        <v>588681</v>
      </c>
      <c r="U599" s="7">
        <v>87536</v>
      </c>
      <c r="W599" s="7">
        <v>1017513</v>
      </c>
      <c r="Y599" s="7">
        <v>314208</v>
      </c>
      <c r="AA599" s="7">
        <v>0</v>
      </c>
      <c r="AC599" s="7">
        <v>1024255</v>
      </c>
      <c r="AE599" s="7">
        <v>475814</v>
      </c>
      <c r="AG599" s="7">
        <v>117436</v>
      </c>
      <c r="AI599" s="7">
        <v>0</v>
      </c>
      <c r="AK599" s="7">
        <v>0</v>
      </c>
      <c r="AL599" s="12" t="s">
        <v>501</v>
      </c>
      <c r="AM599" s="12"/>
      <c r="AN599" s="12" t="s">
        <v>59</v>
      </c>
      <c r="AP599" s="7">
        <v>202599</v>
      </c>
      <c r="AR599" s="7">
        <v>1030</v>
      </c>
      <c r="AV599" s="7">
        <v>53000</v>
      </c>
      <c r="AX599" s="7">
        <v>18272</v>
      </c>
      <c r="AZ599" s="7">
        <v>0</v>
      </c>
      <c r="BB599" s="7">
        <f t="shared" si="161"/>
        <v>11642038</v>
      </c>
      <c r="BD599" s="7">
        <v>0</v>
      </c>
      <c r="BF599" s="7">
        <v>0</v>
      </c>
      <c r="BH599" s="7">
        <v>0</v>
      </c>
      <c r="BJ599" s="7">
        <v>0</v>
      </c>
      <c r="BL599" s="7">
        <f t="shared" si="159"/>
        <v>11642038</v>
      </c>
      <c r="BN599" s="7">
        <f>+GenRev!AM599-GenExp!BL599</f>
        <v>-503856</v>
      </c>
      <c r="BP599" s="7">
        <v>1332425</v>
      </c>
      <c r="BR599" s="7">
        <v>0</v>
      </c>
      <c r="BT599" s="7">
        <v>0</v>
      </c>
      <c r="BV599" s="7">
        <f t="shared" si="160"/>
        <v>828569</v>
      </c>
      <c r="BX599" s="8">
        <f>+BV599-'Gen Fd BS'!AE599+BT599</f>
        <v>0</v>
      </c>
      <c r="CB599" s="7" t="str">
        <f t="shared" si="165"/>
        <v>Wheelersburg Local SD</v>
      </c>
      <c r="CC599" s="7" t="b">
        <f t="shared" si="162"/>
        <v>1</v>
      </c>
      <c r="CE599" s="12" t="str">
        <f>GenRev!A599</f>
        <v>Wheelersburg Local SD</v>
      </c>
      <c r="CF599" s="7" t="b">
        <f t="shared" si="166"/>
        <v>1</v>
      </c>
      <c r="CG599" s="7" t="str">
        <f t="shared" si="163"/>
        <v>Scioto</v>
      </c>
      <c r="CH599" s="7" t="b">
        <f t="shared" si="164"/>
        <v>1</v>
      </c>
      <c r="CI599" s="7" t="b">
        <f>C599=GenRev!C599</f>
        <v>1</v>
      </c>
    </row>
    <row r="600" spans="1:87">
      <c r="A600" s="12" t="s">
        <v>316</v>
      </c>
      <c r="B600" s="12"/>
      <c r="C600" s="12" t="s">
        <v>27</v>
      </c>
      <c r="D600" s="12"/>
      <c r="E600" s="12">
        <v>45070</v>
      </c>
      <c r="G600" s="7">
        <v>13768452</v>
      </c>
      <c r="I600" s="7">
        <v>3690336</v>
      </c>
      <c r="K600" s="7">
        <v>682864</v>
      </c>
      <c r="M600" s="7">
        <v>0</v>
      </c>
      <c r="O600" s="7">
        <v>325011</v>
      </c>
      <c r="Q600" s="7">
        <v>1606320</v>
      </c>
      <c r="S600" s="7">
        <v>877620</v>
      </c>
      <c r="U600" s="7">
        <v>107386</v>
      </c>
      <c r="W600" s="7">
        <v>2721283</v>
      </c>
      <c r="Y600" s="7">
        <v>0</v>
      </c>
      <c r="AA600" s="7">
        <v>771318</v>
      </c>
      <c r="AC600" s="7">
        <v>2657249</v>
      </c>
      <c r="AE600" s="7">
        <v>1404048</v>
      </c>
      <c r="AG600" s="7">
        <v>453643</v>
      </c>
      <c r="AI600" s="7">
        <v>0</v>
      </c>
      <c r="AK600" s="7">
        <v>16090</v>
      </c>
      <c r="AL600" s="12" t="s">
        <v>316</v>
      </c>
      <c r="AM600" s="12"/>
      <c r="AN600" s="12" t="s">
        <v>27</v>
      </c>
      <c r="AP600" s="7">
        <v>617901</v>
      </c>
      <c r="AR600" s="7">
        <v>128372</v>
      </c>
      <c r="AV600" s="7">
        <v>7006</v>
      </c>
      <c r="AX600" s="7">
        <v>1454</v>
      </c>
      <c r="AZ600" s="7">
        <v>0</v>
      </c>
      <c r="BB600" s="7">
        <f t="shared" si="161"/>
        <v>29836353</v>
      </c>
      <c r="BD600" s="7">
        <v>0</v>
      </c>
      <c r="BF600" s="7">
        <v>0</v>
      </c>
      <c r="BH600" s="7">
        <v>0</v>
      </c>
      <c r="BJ600" s="7">
        <v>0</v>
      </c>
      <c r="BL600" s="7">
        <f t="shared" si="159"/>
        <v>29836353</v>
      </c>
      <c r="BN600" s="7">
        <f>+GenRev!AM600-GenExp!BL600</f>
        <v>-610294</v>
      </c>
      <c r="BP600" s="7">
        <v>16425673</v>
      </c>
      <c r="BR600" s="7">
        <v>0</v>
      </c>
      <c r="BT600" s="7">
        <v>0</v>
      </c>
      <c r="BV600" s="7">
        <f t="shared" si="160"/>
        <v>15815379</v>
      </c>
      <c r="BX600" s="8">
        <f>+BV600-'Gen Fd BS'!AE600+BT600</f>
        <v>0</v>
      </c>
      <c r="CB600" s="7" t="str">
        <f t="shared" si="165"/>
        <v>Whitehall City SD</v>
      </c>
      <c r="CC600" s="7" t="b">
        <f t="shared" si="162"/>
        <v>1</v>
      </c>
      <c r="CE600" s="12" t="str">
        <f>GenRev!A600</f>
        <v>Whitehall City SD</v>
      </c>
      <c r="CF600" s="7" t="b">
        <f t="shared" si="166"/>
        <v>1</v>
      </c>
      <c r="CG600" s="7" t="str">
        <f t="shared" si="163"/>
        <v>Franklin</v>
      </c>
      <c r="CH600" s="7" t="b">
        <f t="shared" si="164"/>
        <v>1</v>
      </c>
      <c r="CI600" s="7" t="b">
        <f>C600=GenRev!C600</f>
        <v>1</v>
      </c>
    </row>
    <row r="601" spans="1:87" hidden="1">
      <c r="A601" s="12" t="s">
        <v>649</v>
      </c>
      <c r="B601" s="12"/>
      <c r="C601" s="12" t="s">
        <v>41</v>
      </c>
      <c r="D601" s="12"/>
      <c r="E601" s="12">
        <v>45088</v>
      </c>
      <c r="AL601" s="12" t="s">
        <v>649</v>
      </c>
      <c r="AM601" s="12"/>
      <c r="AN601" s="12" t="s">
        <v>41</v>
      </c>
      <c r="BB601" s="7">
        <f t="shared" si="161"/>
        <v>0</v>
      </c>
      <c r="BF601" s="7">
        <v>0</v>
      </c>
      <c r="BH601" s="7">
        <v>0</v>
      </c>
      <c r="BL601" s="7">
        <f t="shared" si="159"/>
        <v>0</v>
      </c>
      <c r="BN601" s="7">
        <f>+GenRev!AM601-GenExp!BL601</f>
        <v>0</v>
      </c>
      <c r="BT601" s="7">
        <v>0</v>
      </c>
      <c r="BV601" s="7">
        <f t="shared" si="160"/>
        <v>0</v>
      </c>
      <c r="BX601" s="8">
        <f>+BV601-'Gen Fd BS'!AE601+BT601</f>
        <v>0</v>
      </c>
      <c r="CB601" s="7" t="str">
        <f t="shared" si="165"/>
        <v>Wickliffe City SD (CASH)</v>
      </c>
      <c r="CC601" s="7" t="b">
        <f t="shared" si="162"/>
        <v>1</v>
      </c>
      <c r="CE601" s="12" t="str">
        <f>GenRev!A601</f>
        <v>Wickliffe City SD (CASH)</v>
      </c>
      <c r="CF601" s="7" t="b">
        <f t="shared" si="166"/>
        <v>1</v>
      </c>
      <c r="CG601" s="7" t="str">
        <f t="shared" si="163"/>
        <v>Lake</v>
      </c>
      <c r="CH601" s="7" t="b">
        <f t="shared" si="164"/>
        <v>1</v>
      </c>
      <c r="CI601" s="7" t="b">
        <f>C601=GenRev!C601</f>
        <v>1</v>
      </c>
    </row>
    <row r="602" spans="1:87">
      <c r="A602" s="12" t="s">
        <v>370</v>
      </c>
      <c r="B602" s="12"/>
      <c r="C602" s="12" t="s">
        <v>37</v>
      </c>
      <c r="D602" s="12"/>
      <c r="E602" s="12">
        <v>45096</v>
      </c>
      <c r="G602" s="7">
        <v>6775237</v>
      </c>
      <c r="I602" s="7">
        <v>842772</v>
      </c>
      <c r="K602" s="7">
        <v>205903</v>
      </c>
      <c r="M602" s="7">
        <v>0</v>
      </c>
      <c r="O602" s="7">
        <v>2000101</v>
      </c>
      <c r="Q602" s="7">
        <v>787779</v>
      </c>
      <c r="S602" s="7">
        <v>568703</v>
      </c>
      <c r="U602" s="7">
        <v>438862</v>
      </c>
      <c r="W602" s="7">
        <v>1712948</v>
      </c>
      <c r="Y602" s="7">
        <v>394863</v>
      </c>
      <c r="AA602" s="7">
        <v>41836</v>
      </c>
      <c r="AC602" s="7">
        <v>1276431</v>
      </c>
      <c r="AE602" s="7">
        <v>784394</v>
      </c>
      <c r="AG602" s="7">
        <v>4962</v>
      </c>
      <c r="AI602" s="7">
        <v>0</v>
      </c>
      <c r="AK602" s="7">
        <v>0</v>
      </c>
      <c r="AL602" s="12" t="s">
        <v>370</v>
      </c>
      <c r="AM602" s="12"/>
      <c r="AN602" s="12" t="s">
        <v>37</v>
      </c>
      <c r="AP602" s="7">
        <v>334664</v>
      </c>
      <c r="AR602" s="7">
        <v>130086</v>
      </c>
      <c r="AV602" s="7">
        <v>59667</v>
      </c>
      <c r="AX602" s="7">
        <v>18436</v>
      </c>
      <c r="AZ602" s="7">
        <v>0</v>
      </c>
      <c r="BB602" s="7">
        <f t="shared" si="161"/>
        <v>16377644</v>
      </c>
      <c r="BD602" s="7">
        <v>58248</v>
      </c>
      <c r="BF602" s="7">
        <v>0</v>
      </c>
      <c r="BH602" s="7">
        <v>0</v>
      </c>
      <c r="BJ602" s="7">
        <v>0</v>
      </c>
      <c r="BL602" s="7">
        <f t="shared" si="159"/>
        <v>16435892</v>
      </c>
      <c r="BN602" s="7">
        <f>+GenRev!AM602-GenExp!BL602</f>
        <v>-73303</v>
      </c>
      <c r="BP602" s="7">
        <v>1161053</v>
      </c>
      <c r="BR602" s="7">
        <v>0</v>
      </c>
      <c r="BT602" s="7">
        <v>0</v>
      </c>
      <c r="BV602" s="7">
        <f t="shared" si="160"/>
        <v>1087750</v>
      </c>
      <c r="BX602" s="8">
        <f>+BV602-'Gen Fd BS'!AE602+BT602</f>
        <v>0</v>
      </c>
      <c r="CB602" s="7" t="str">
        <f t="shared" si="165"/>
        <v>Willard City SD</v>
      </c>
      <c r="CC602" s="7" t="b">
        <f t="shared" si="162"/>
        <v>1</v>
      </c>
      <c r="CE602" s="12" t="str">
        <f>GenRev!A602</f>
        <v>Willard City SD</v>
      </c>
      <c r="CF602" s="7" t="b">
        <f t="shared" si="166"/>
        <v>1</v>
      </c>
      <c r="CG602" s="7" t="str">
        <f t="shared" si="163"/>
        <v>Huron</v>
      </c>
      <c r="CH602" s="7" t="b">
        <f t="shared" si="164"/>
        <v>1</v>
      </c>
      <c r="CI602" s="7" t="b">
        <f>C602=GenRev!C602</f>
        <v>1</v>
      </c>
    </row>
    <row r="603" spans="1:87">
      <c r="A603" s="12" t="s">
        <v>247</v>
      </c>
      <c r="B603" s="12"/>
      <c r="C603" s="12" t="s">
        <v>113</v>
      </c>
      <c r="D603" s="12"/>
      <c r="E603" s="12">
        <v>46367</v>
      </c>
      <c r="G603" s="7">
        <v>4376574</v>
      </c>
      <c r="I603" s="7">
        <v>1201757</v>
      </c>
      <c r="K603" s="7">
        <v>85612</v>
      </c>
      <c r="M603" s="7">
        <v>0</v>
      </c>
      <c r="O603" s="7">
        <v>25384</v>
      </c>
      <c r="Q603" s="7">
        <v>135216</v>
      </c>
      <c r="S603" s="7">
        <v>341536</v>
      </c>
      <c r="U603" s="7">
        <v>22187</v>
      </c>
      <c r="W603" s="7">
        <v>314768</v>
      </c>
      <c r="Y603" s="7">
        <v>312705</v>
      </c>
      <c r="AA603" s="7">
        <v>0</v>
      </c>
      <c r="AC603" s="7">
        <v>918979</v>
      </c>
      <c r="AE603" s="7">
        <v>563504</v>
      </c>
      <c r="AG603" s="7">
        <v>0</v>
      </c>
      <c r="AI603" s="7">
        <v>0</v>
      </c>
      <c r="AK603" s="7">
        <v>25033</v>
      </c>
      <c r="AL603" s="12" t="s">
        <v>247</v>
      </c>
      <c r="AM603" s="12"/>
      <c r="AN603" s="12" t="s">
        <v>113</v>
      </c>
      <c r="AP603" s="7">
        <v>62694</v>
      </c>
      <c r="AR603" s="7">
        <v>230270</v>
      </c>
      <c r="AV603" s="7">
        <v>44618</v>
      </c>
      <c r="AX603" s="7">
        <v>8817</v>
      </c>
      <c r="AZ603" s="7">
        <v>0</v>
      </c>
      <c r="BB603" s="7">
        <f t="shared" si="161"/>
        <v>8669654</v>
      </c>
      <c r="BD603" s="7">
        <v>267635</v>
      </c>
      <c r="BF603" s="7">
        <v>0</v>
      </c>
      <c r="BH603" s="7">
        <v>0</v>
      </c>
      <c r="BJ603" s="7">
        <v>0</v>
      </c>
      <c r="BL603" s="7">
        <f t="shared" si="159"/>
        <v>8937289</v>
      </c>
      <c r="BN603" s="7">
        <f>+GenRev!AM603-GenExp!BL603</f>
        <v>197658</v>
      </c>
      <c r="BP603" s="7">
        <v>1457900</v>
      </c>
      <c r="BR603" s="7">
        <v>0</v>
      </c>
      <c r="BT603" s="7">
        <v>0</v>
      </c>
      <c r="BV603" s="7">
        <f t="shared" si="160"/>
        <v>1655558</v>
      </c>
      <c r="BX603" s="8">
        <f>+BV603-'Gen Fd BS'!AE603+BT603</f>
        <v>0</v>
      </c>
      <c r="CB603" s="7" t="str">
        <f t="shared" si="165"/>
        <v>Williamsburg Local SD</v>
      </c>
      <c r="CC603" s="7" t="b">
        <f t="shared" si="162"/>
        <v>1</v>
      </c>
      <c r="CE603" s="12" t="str">
        <f>GenRev!A603</f>
        <v>Williamsburg Local SD</v>
      </c>
      <c r="CF603" s="7" t="b">
        <f t="shared" si="166"/>
        <v>1</v>
      </c>
      <c r="CG603" s="7" t="str">
        <f t="shared" si="163"/>
        <v>Clermont</v>
      </c>
      <c r="CH603" s="7" t="b">
        <f t="shared" si="164"/>
        <v>1</v>
      </c>
      <c r="CI603" s="7" t="b">
        <f>C603=GenRev!C603</f>
        <v>1</v>
      </c>
    </row>
    <row r="604" spans="1:87">
      <c r="A604" s="12" t="s">
        <v>376</v>
      </c>
      <c r="B604" s="12"/>
      <c r="C604" s="12" t="s">
        <v>41</v>
      </c>
      <c r="D604" s="12"/>
      <c r="E604" s="12">
        <v>45104</v>
      </c>
      <c r="G604" s="7">
        <v>39412017</v>
      </c>
      <c r="I604" s="7">
        <v>13895605</v>
      </c>
      <c r="K604" s="7">
        <v>1307711</v>
      </c>
      <c r="M604" s="7">
        <v>0</v>
      </c>
      <c r="O604" s="7">
        <v>0</v>
      </c>
      <c r="Q604" s="7">
        <v>7259001</v>
      </c>
      <c r="S604" s="7">
        <v>3066147</v>
      </c>
      <c r="U604" s="7">
        <v>384030</v>
      </c>
      <c r="W604" s="7">
        <v>5174443</v>
      </c>
      <c r="Y604" s="7">
        <v>1367565</v>
      </c>
      <c r="AA604" s="7">
        <v>362265</v>
      </c>
      <c r="AC604" s="7">
        <v>6998430</v>
      </c>
      <c r="AE604" s="7">
        <v>6053932</v>
      </c>
      <c r="AG604" s="7">
        <v>492068</v>
      </c>
      <c r="AI604" s="7">
        <v>0</v>
      </c>
      <c r="AK604" s="7">
        <v>379957</v>
      </c>
      <c r="AL604" s="12" t="s">
        <v>376</v>
      </c>
      <c r="AM604" s="12"/>
      <c r="AN604" s="12" t="s">
        <v>41</v>
      </c>
      <c r="AP604" s="7">
        <v>1319290</v>
      </c>
      <c r="AR604" s="7">
        <v>22731</v>
      </c>
      <c r="AV604" s="7">
        <v>0</v>
      </c>
      <c r="AX604" s="7">
        <v>0</v>
      </c>
      <c r="AZ604" s="7">
        <v>0</v>
      </c>
      <c r="BB604" s="7">
        <f t="shared" si="161"/>
        <v>87495192</v>
      </c>
      <c r="BD604" s="7">
        <v>375222</v>
      </c>
      <c r="BF604" s="7">
        <v>0</v>
      </c>
      <c r="BH604" s="7">
        <v>0</v>
      </c>
      <c r="BJ604" s="7">
        <v>0</v>
      </c>
      <c r="BL604" s="7">
        <f t="shared" si="159"/>
        <v>87870414</v>
      </c>
      <c r="BN604" s="7">
        <f>+GenRev!AM604-GenExp!BL604</f>
        <v>440657</v>
      </c>
      <c r="BP604" s="7">
        <v>8838363</v>
      </c>
      <c r="BR604" s="7">
        <v>0</v>
      </c>
      <c r="BT604" s="7">
        <v>0</v>
      </c>
      <c r="BV604" s="7">
        <f t="shared" si="160"/>
        <v>9279020</v>
      </c>
      <c r="BX604" s="8">
        <f>+BV604-'Gen Fd BS'!AE604+BT604</f>
        <v>0</v>
      </c>
      <c r="CB604" s="7" t="str">
        <f t="shared" si="165"/>
        <v>Willoughby-Eastlake City SD</v>
      </c>
      <c r="CC604" s="7" t="b">
        <f t="shared" si="162"/>
        <v>1</v>
      </c>
      <c r="CE604" s="12" t="str">
        <f>GenRev!A604</f>
        <v>Willoughby-Eastlake City SD</v>
      </c>
      <c r="CF604" s="7" t="b">
        <f t="shared" si="166"/>
        <v>1</v>
      </c>
      <c r="CG604" s="7" t="str">
        <f t="shared" si="163"/>
        <v>Lake</v>
      </c>
      <c r="CH604" s="7" t="b">
        <f t="shared" si="164"/>
        <v>1</v>
      </c>
      <c r="CI604" s="7" t="b">
        <f>C604=GenRev!C604</f>
        <v>1</v>
      </c>
    </row>
    <row r="605" spans="1:87">
      <c r="A605" s="12" t="s">
        <v>251</v>
      </c>
      <c r="B605" s="12"/>
      <c r="C605" s="12" t="s">
        <v>18</v>
      </c>
      <c r="D605" s="12"/>
      <c r="E605" s="12">
        <v>45112</v>
      </c>
      <c r="G605" s="7">
        <v>12924996</v>
      </c>
      <c r="I605" s="7">
        <v>1894909</v>
      </c>
      <c r="K605" s="7">
        <v>227636</v>
      </c>
      <c r="M605" s="7">
        <v>0</v>
      </c>
      <c r="O605" s="7">
        <v>440832</v>
      </c>
      <c r="Q605" s="7">
        <v>1420165</v>
      </c>
      <c r="S605" s="7">
        <v>1207583</v>
      </c>
      <c r="U605" s="7">
        <v>172728</v>
      </c>
      <c r="W605" s="7">
        <v>1518210</v>
      </c>
      <c r="Y605" s="7">
        <v>651489</v>
      </c>
      <c r="AA605" s="7">
        <v>287952</v>
      </c>
      <c r="AC605" s="7">
        <v>1644113</v>
      </c>
      <c r="AE605" s="7">
        <v>1226826</v>
      </c>
      <c r="AG605" s="7">
        <v>298360</v>
      </c>
      <c r="AI605" s="7">
        <v>0</v>
      </c>
      <c r="AK605" s="7">
        <v>0</v>
      </c>
      <c r="AL605" s="12" t="s">
        <v>251</v>
      </c>
      <c r="AM605" s="12"/>
      <c r="AN605" s="12" t="s">
        <v>18</v>
      </c>
      <c r="AP605" s="7">
        <v>436038</v>
      </c>
      <c r="AR605" s="7">
        <v>0</v>
      </c>
      <c r="AV605" s="7">
        <v>74000</v>
      </c>
      <c r="AX605" s="7">
        <v>19448</v>
      </c>
      <c r="AZ605" s="7">
        <v>0</v>
      </c>
      <c r="BB605" s="7">
        <f t="shared" si="161"/>
        <v>24445285</v>
      </c>
      <c r="BD605" s="7">
        <v>0</v>
      </c>
      <c r="BF605" s="7">
        <v>0</v>
      </c>
      <c r="BH605" s="7">
        <v>0</v>
      </c>
      <c r="BJ605" s="7">
        <v>0</v>
      </c>
      <c r="BL605" s="7">
        <f t="shared" si="159"/>
        <v>24445285</v>
      </c>
      <c r="BN605" s="7">
        <f>+GenRev!AM605-GenExp!BL605</f>
        <v>-994466</v>
      </c>
      <c r="BP605" s="7">
        <v>4492229</v>
      </c>
      <c r="BR605" s="7">
        <v>0</v>
      </c>
      <c r="BT605" s="7">
        <v>0</v>
      </c>
      <c r="BV605" s="7">
        <f t="shared" si="160"/>
        <v>3497763</v>
      </c>
      <c r="BX605" s="8">
        <f>+BV605-'Gen Fd BS'!AE605+BT605</f>
        <v>0</v>
      </c>
      <c r="CB605" s="7" t="str">
        <f t="shared" si="165"/>
        <v>Wilmington City SD</v>
      </c>
      <c r="CC605" s="7" t="b">
        <f t="shared" si="162"/>
        <v>1</v>
      </c>
      <c r="CE605" s="12" t="str">
        <f>GenRev!A605</f>
        <v>Wilmington City SD</v>
      </c>
      <c r="CF605" s="7" t="b">
        <f t="shared" si="166"/>
        <v>1</v>
      </c>
      <c r="CG605" s="7" t="str">
        <f t="shared" si="163"/>
        <v>Clinton</v>
      </c>
      <c r="CH605" s="7" t="b">
        <f t="shared" si="164"/>
        <v>1</v>
      </c>
      <c r="CI605" s="7" t="b">
        <f>C605=GenRev!C605</f>
        <v>1</v>
      </c>
    </row>
    <row r="606" spans="1:87">
      <c r="A606" s="12" t="s">
        <v>891</v>
      </c>
      <c r="B606" s="12"/>
      <c r="C606" s="12" t="s">
        <v>56</v>
      </c>
      <c r="D606" s="12"/>
      <c r="E606" s="12">
        <v>45666</v>
      </c>
      <c r="G606" s="7">
        <v>2819168</v>
      </c>
      <c r="I606" s="7">
        <v>1107907</v>
      </c>
      <c r="K606" s="7">
        <v>185477</v>
      </c>
      <c r="M606" s="7">
        <v>0</v>
      </c>
      <c r="O606" s="7">
        <v>4214</v>
      </c>
      <c r="Q606" s="7">
        <v>487485</v>
      </c>
      <c r="S606" s="7">
        <v>323546</v>
      </c>
      <c r="U606" s="7">
        <v>38373</v>
      </c>
      <c r="W606" s="7">
        <v>602323</v>
      </c>
      <c r="Y606" s="7">
        <v>214649</v>
      </c>
      <c r="AA606" s="7">
        <v>9415</v>
      </c>
      <c r="AC606" s="7">
        <v>692090</v>
      </c>
      <c r="AE606" s="7">
        <v>348754</v>
      </c>
      <c r="AG606" s="7">
        <v>79575</v>
      </c>
      <c r="AI606" s="7">
        <v>0</v>
      </c>
      <c r="AK606" s="7">
        <v>0</v>
      </c>
      <c r="AL606" s="12" t="s">
        <v>891</v>
      </c>
      <c r="AM606" s="12"/>
      <c r="AN606" s="12" t="s">
        <v>56</v>
      </c>
      <c r="AP606" s="7">
        <v>155743</v>
      </c>
      <c r="AR606" s="7">
        <v>0</v>
      </c>
      <c r="AV606" s="7">
        <v>33716</v>
      </c>
      <c r="AX606" s="7">
        <v>4845</v>
      </c>
      <c r="AZ606" s="7">
        <v>0</v>
      </c>
      <c r="BB606" s="7">
        <f t="shared" si="161"/>
        <v>7107280</v>
      </c>
      <c r="BD606" s="7">
        <v>0</v>
      </c>
      <c r="BF606" s="7">
        <v>0</v>
      </c>
      <c r="BH606" s="7">
        <v>0</v>
      </c>
      <c r="BJ606" s="7">
        <v>0</v>
      </c>
      <c r="BL606" s="7">
        <f t="shared" si="159"/>
        <v>7107280</v>
      </c>
      <c r="BN606" s="7">
        <f>+GenRev!AM606-GenExp!BL606</f>
        <v>429690</v>
      </c>
      <c r="BP606" s="7">
        <v>992095</v>
      </c>
      <c r="BR606" s="7">
        <v>-840</v>
      </c>
      <c r="BT606" s="7">
        <v>0</v>
      </c>
      <c r="BV606" s="7">
        <f t="shared" si="160"/>
        <v>1422625</v>
      </c>
      <c r="BX606" s="8">
        <f>+BV606-'Gen Fd BS'!AE606+BT606</f>
        <v>0</v>
      </c>
      <c r="CB606" s="7" t="str">
        <f t="shared" si="165"/>
        <v>Windham Exempted Village SD</v>
      </c>
      <c r="CC606" s="7" t="b">
        <f t="shared" si="162"/>
        <v>1</v>
      </c>
      <c r="CE606" s="12" t="str">
        <f>GenRev!A606</f>
        <v>Windham Exempted Village SD</v>
      </c>
      <c r="CF606" s="7" t="b">
        <f t="shared" si="166"/>
        <v>1</v>
      </c>
      <c r="CG606" s="7" t="str">
        <f t="shared" si="163"/>
        <v>Portage</v>
      </c>
      <c r="CH606" s="7" t="b">
        <f t="shared" si="164"/>
        <v>1</v>
      </c>
      <c r="CI606" s="7" t="b">
        <f>C606=GenRev!C606</f>
        <v>1</v>
      </c>
    </row>
    <row r="607" spans="1:87">
      <c r="A607" s="12" t="s">
        <v>341</v>
      </c>
      <c r="B607" s="12"/>
      <c r="C607" s="12" t="s">
        <v>32</v>
      </c>
      <c r="D607" s="12"/>
      <c r="E607" s="12">
        <v>44081</v>
      </c>
      <c r="G607" s="7">
        <v>17637500</v>
      </c>
      <c r="I607" s="7">
        <v>5103130</v>
      </c>
      <c r="K607" s="7">
        <v>332140</v>
      </c>
      <c r="M607" s="7">
        <v>0</v>
      </c>
      <c r="O607" s="7">
        <v>1316</v>
      </c>
      <c r="Q607" s="7">
        <v>2317805</v>
      </c>
      <c r="S607" s="7">
        <v>3038675</v>
      </c>
      <c r="U607" s="7">
        <v>81299</v>
      </c>
      <c r="W607" s="7">
        <v>3514564</v>
      </c>
      <c r="Y607" s="7">
        <v>1182269</v>
      </c>
      <c r="AA607" s="7">
        <v>436816</v>
      </c>
      <c r="AC607" s="7">
        <v>3314802</v>
      </c>
      <c r="AE607" s="7">
        <v>2305017</v>
      </c>
      <c r="AG607" s="7">
        <v>769948</v>
      </c>
      <c r="AI607" s="7">
        <v>0</v>
      </c>
      <c r="AK607" s="7">
        <v>24866</v>
      </c>
      <c r="AL607" s="12" t="s">
        <v>341</v>
      </c>
      <c r="AM607" s="12"/>
      <c r="AN607" s="12" t="s">
        <v>32</v>
      </c>
      <c r="AP607" s="7">
        <v>576888</v>
      </c>
      <c r="AR607" s="7">
        <v>25197</v>
      </c>
      <c r="AV607" s="7">
        <v>2804</v>
      </c>
      <c r="AX607" s="7">
        <v>839</v>
      </c>
      <c r="AZ607" s="7">
        <v>0</v>
      </c>
      <c r="BB607" s="7">
        <f t="shared" si="161"/>
        <v>40665875</v>
      </c>
      <c r="BD607" s="7">
        <v>0</v>
      </c>
      <c r="BF607" s="7">
        <v>0</v>
      </c>
      <c r="BH607" s="7">
        <v>0</v>
      </c>
      <c r="BJ607" s="7">
        <v>0</v>
      </c>
      <c r="BL607" s="7">
        <f t="shared" si="159"/>
        <v>40665875</v>
      </c>
      <c r="BN607" s="7">
        <f>+GenRev!AM607-GenExp!BL607</f>
        <v>1600385</v>
      </c>
      <c r="BP607" s="7">
        <v>7086133</v>
      </c>
      <c r="BR607" s="7">
        <v>0</v>
      </c>
      <c r="BT607" s="7">
        <v>0</v>
      </c>
      <c r="BV607" s="7">
        <f t="shared" si="160"/>
        <v>8686518</v>
      </c>
      <c r="BX607" s="8">
        <f>+BV607-'Gen Fd BS'!AE607+BT607</f>
        <v>0</v>
      </c>
      <c r="CB607" s="7" t="str">
        <f t="shared" si="165"/>
        <v>Winton Woods City SD</v>
      </c>
      <c r="CC607" s="7" t="b">
        <f t="shared" si="162"/>
        <v>1</v>
      </c>
      <c r="CE607" s="12" t="str">
        <f>GenRev!A607</f>
        <v>Winton Woods City SD</v>
      </c>
      <c r="CF607" s="7" t="b">
        <f t="shared" si="166"/>
        <v>1</v>
      </c>
      <c r="CG607" s="7" t="str">
        <f t="shared" si="163"/>
        <v>Hamilton</v>
      </c>
      <c r="CH607" s="7" t="b">
        <f t="shared" si="164"/>
        <v>1</v>
      </c>
      <c r="CI607" s="7" t="b">
        <f>C607=GenRev!C607</f>
        <v>1</v>
      </c>
    </row>
    <row r="608" spans="1:87">
      <c r="A608" s="12" t="s">
        <v>567</v>
      </c>
      <c r="B608" s="12"/>
      <c r="C608" s="12" t="s">
        <v>70</v>
      </c>
      <c r="D608" s="12"/>
      <c r="E608" s="12">
        <v>50518</v>
      </c>
      <c r="G608" s="7">
        <v>2996668</v>
      </c>
      <c r="I608" s="7">
        <v>207133</v>
      </c>
      <c r="K608" s="7">
        <v>163102</v>
      </c>
      <c r="M608" s="7">
        <v>0</v>
      </c>
      <c r="O608" s="7">
        <v>0</v>
      </c>
      <c r="Q608" s="7">
        <v>179883</v>
      </c>
      <c r="S608" s="7">
        <v>382117</v>
      </c>
      <c r="U608" s="7">
        <v>28830</v>
      </c>
      <c r="W608" s="7">
        <v>325428</v>
      </c>
      <c r="Y608" s="7">
        <v>569053</v>
      </c>
      <c r="AA608" s="7">
        <v>0</v>
      </c>
      <c r="AC608" s="7">
        <v>601434</v>
      </c>
      <c r="AE608" s="7">
        <v>388642</v>
      </c>
      <c r="AG608" s="7">
        <v>32748</v>
      </c>
      <c r="AI608" s="7">
        <v>0</v>
      </c>
      <c r="AK608" s="7">
        <v>0</v>
      </c>
      <c r="AL608" s="12" t="s">
        <v>567</v>
      </c>
      <c r="AM608" s="12"/>
      <c r="AN608" s="12" t="s">
        <v>70</v>
      </c>
      <c r="AP608" s="7">
        <v>434603</v>
      </c>
      <c r="AR608" s="7">
        <v>72831</v>
      </c>
      <c r="AV608" s="7">
        <v>0</v>
      </c>
      <c r="AX608" s="7">
        <v>0</v>
      </c>
      <c r="AZ608" s="7">
        <v>0</v>
      </c>
      <c r="BB608" s="7">
        <f t="shared" si="161"/>
        <v>6382472</v>
      </c>
      <c r="BD608" s="7">
        <v>100000</v>
      </c>
      <c r="BF608" s="7">
        <v>0</v>
      </c>
      <c r="BH608" s="7">
        <v>0</v>
      </c>
      <c r="BJ608" s="7">
        <v>0</v>
      </c>
      <c r="BL608" s="7">
        <f t="shared" si="159"/>
        <v>6482472</v>
      </c>
      <c r="BN608" s="7">
        <f>+GenRev!AM608-GenExp!BL608</f>
        <v>771925</v>
      </c>
      <c r="BP608" s="7">
        <v>6286692</v>
      </c>
      <c r="BR608" s="7">
        <v>0</v>
      </c>
      <c r="BT608" s="7">
        <v>0</v>
      </c>
      <c r="BV608" s="7">
        <f t="shared" si="160"/>
        <v>7058617</v>
      </c>
      <c r="BX608" s="8">
        <f>+BV608-'Gen Fd BS'!AE608+BT608</f>
        <v>0</v>
      </c>
      <c r="CB608" s="7" t="str">
        <f t="shared" si="165"/>
        <v>Wolf Creek Local SD</v>
      </c>
      <c r="CC608" s="7" t="b">
        <f t="shared" si="162"/>
        <v>1</v>
      </c>
      <c r="CE608" s="12" t="str">
        <f>GenRev!A608</f>
        <v>Wolf Creek Local SD</v>
      </c>
      <c r="CF608" s="7" t="b">
        <f t="shared" si="166"/>
        <v>1</v>
      </c>
      <c r="CG608" s="7" t="str">
        <f t="shared" si="163"/>
        <v>Washington</v>
      </c>
      <c r="CH608" s="7" t="b">
        <f t="shared" si="164"/>
        <v>1</v>
      </c>
      <c r="CI608" s="7" t="b">
        <f>C608=GenRev!C608</f>
        <v>1</v>
      </c>
    </row>
    <row r="609" spans="1:87">
      <c r="A609" s="12" t="s">
        <v>493</v>
      </c>
      <c r="B609" s="12"/>
      <c r="C609" s="12" t="s">
        <v>79</v>
      </c>
      <c r="D609" s="12"/>
      <c r="E609" s="12">
        <v>49577</v>
      </c>
      <c r="G609" s="7">
        <v>4933571</v>
      </c>
      <c r="I609" s="7">
        <v>498710</v>
      </c>
      <c r="K609" s="7">
        <v>5731</v>
      </c>
      <c r="M609" s="7">
        <v>0</v>
      </c>
      <c r="O609" s="7">
        <v>4026</v>
      </c>
      <c r="Q609" s="7">
        <v>331091</v>
      </c>
      <c r="S609" s="7">
        <v>141531</v>
      </c>
      <c r="U609" s="7">
        <v>52983</v>
      </c>
      <c r="W609" s="7">
        <v>787045</v>
      </c>
      <c r="Y609" s="7">
        <v>303397</v>
      </c>
      <c r="AA609" s="7">
        <v>0</v>
      </c>
      <c r="AC609" s="7">
        <v>726117</v>
      </c>
      <c r="AE609" s="7">
        <v>493773</v>
      </c>
      <c r="AG609" s="7">
        <v>0</v>
      </c>
      <c r="AI609" s="7">
        <v>0</v>
      </c>
      <c r="AK609" s="7">
        <v>0</v>
      </c>
      <c r="AL609" s="12" t="s">
        <v>493</v>
      </c>
      <c r="AM609" s="12"/>
      <c r="AN609" s="12" t="s">
        <v>79</v>
      </c>
      <c r="AP609" s="7">
        <v>257725</v>
      </c>
      <c r="AR609" s="7">
        <v>0</v>
      </c>
      <c r="AV609" s="7">
        <v>15966</v>
      </c>
      <c r="AX609" s="7">
        <v>3327</v>
      </c>
      <c r="AZ609" s="7">
        <v>0</v>
      </c>
      <c r="BB609" s="7">
        <f t="shared" si="161"/>
        <v>8554993</v>
      </c>
      <c r="BD609" s="7">
        <v>0</v>
      </c>
      <c r="BF609" s="7">
        <v>0</v>
      </c>
      <c r="BH609" s="7">
        <v>0</v>
      </c>
      <c r="BJ609" s="7">
        <v>0</v>
      </c>
      <c r="BL609" s="7">
        <f t="shared" si="159"/>
        <v>8554993</v>
      </c>
      <c r="BN609" s="7">
        <f>+GenRev!AM609-GenExp!BL609</f>
        <v>354824</v>
      </c>
      <c r="BP609" s="7">
        <v>947231</v>
      </c>
      <c r="BR609" s="7">
        <v>0</v>
      </c>
      <c r="BT609" s="7">
        <v>0</v>
      </c>
      <c r="BV609" s="7">
        <f t="shared" si="160"/>
        <v>1302055</v>
      </c>
      <c r="BX609" s="8">
        <f>+BV609-'Gen Fd BS'!AE609+BT609</f>
        <v>0</v>
      </c>
      <c r="CB609" s="7" t="str">
        <f t="shared" si="165"/>
        <v>Woodmore Local SD</v>
      </c>
      <c r="CC609" s="7" t="b">
        <f t="shared" si="162"/>
        <v>1</v>
      </c>
      <c r="CE609" s="12" t="str">
        <f>GenRev!A609</f>
        <v>Woodmore Local SD</v>
      </c>
      <c r="CF609" s="7" t="b">
        <f t="shared" si="166"/>
        <v>1</v>
      </c>
      <c r="CG609" s="7" t="str">
        <f t="shared" si="163"/>
        <v>Sandusky</v>
      </c>
      <c r="CH609" s="7" t="b">
        <f t="shared" si="164"/>
        <v>1</v>
      </c>
      <c r="CI609" s="7" t="b">
        <f>C609=GenRev!C609</f>
        <v>1</v>
      </c>
    </row>
    <row r="610" spans="1:87">
      <c r="A610" s="12" t="s">
        <v>533</v>
      </c>
      <c r="B610" s="12"/>
      <c r="C610" s="12" t="s">
        <v>63</v>
      </c>
      <c r="D610" s="12"/>
      <c r="E610" s="12">
        <v>49973</v>
      </c>
      <c r="G610" s="7">
        <v>9658401</v>
      </c>
      <c r="I610" s="7">
        <v>3418328</v>
      </c>
      <c r="K610" s="7">
        <v>342177</v>
      </c>
      <c r="M610" s="7">
        <v>0</v>
      </c>
      <c r="O610" s="7">
        <v>430189</v>
      </c>
      <c r="Q610" s="7">
        <v>1270980</v>
      </c>
      <c r="S610" s="7">
        <v>409913</v>
      </c>
      <c r="U610" s="7">
        <v>31052</v>
      </c>
      <c r="W610" s="7">
        <v>1924587</v>
      </c>
      <c r="Y610" s="7">
        <v>579021</v>
      </c>
      <c r="AA610" s="7">
        <v>0</v>
      </c>
      <c r="AC610" s="7">
        <v>1783434</v>
      </c>
      <c r="AE610" s="7">
        <v>1592434</v>
      </c>
      <c r="AG610" s="7">
        <v>235430</v>
      </c>
      <c r="AI610" s="7">
        <v>0</v>
      </c>
      <c r="AK610" s="7">
        <v>1307</v>
      </c>
      <c r="AL610" s="12" t="s">
        <v>533</v>
      </c>
      <c r="AM610" s="12"/>
      <c r="AN610" s="12" t="s">
        <v>63</v>
      </c>
      <c r="AP610" s="7">
        <v>610572</v>
      </c>
      <c r="AR610" s="7">
        <v>103855</v>
      </c>
      <c r="AV610" s="7">
        <v>30146</v>
      </c>
      <c r="AX610" s="7">
        <v>5956</v>
      </c>
      <c r="AZ610" s="7">
        <v>0</v>
      </c>
      <c r="BB610" s="7">
        <f t="shared" si="161"/>
        <v>22427782</v>
      </c>
      <c r="BD610" s="7">
        <v>148460</v>
      </c>
      <c r="BF610" s="7">
        <v>0</v>
      </c>
      <c r="BH610" s="7">
        <v>0</v>
      </c>
      <c r="BJ610" s="7">
        <v>0</v>
      </c>
      <c r="BL610" s="7">
        <f t="shared" si="159"/>
        <v>22576242</v>
      </c>
      <c r="BN610" s="7">
        <f>+GenRev!AM610-GenExp!BL610</f>
        <v>-1429765</v>
      </c>
      <c r="BP610" s="7">
        <v>8063309</v>
      </c>
      <c r="BR610" s="7">
        <v>0</v>
      </c>
      <c r="BT610" s="7">
        <v>0</v>
      </c>
      <c r="BV610" s="7">
        <f t="shared" si="160"/>
        <v>6633544</v>
      </c>
      <c r="BX610" s="8">
        <f>+BV610-'Gen Fd BS'!AE610+BT610</f>
        <v>0</v>
      </c>
      <c r="CB610" s="7" t="str">
        <f t="shared" si="165"/>
        <v>Woodridge Local SD</v>
      </c>
      <c r="CC610" s="7" t="b">
        <f t="shared" si="162"/>
        <v>1</v>
      </c>
      <c r="CE610" s="12" t="str">
        <f>GenRev!A610</f>
        <v>Woodridge Local SD</v>
      </c>
      <c r="CF610" s="7" t="b">
        <f t="shared" si="166"/>
        <v>1</v>
      </c>
      <c r="CG610" s="7" t="str">
        <f t="shared" si="163"/>
        <v>Summit</v>
      </c>
      <c r="CH610" s="7" t="b">
        <f t="shared" si="164"/>
        <v>1</v>
      </c>
      <c r="CI610" s="7" t="b">
        <f>C610=GenRev!C610</f>
        <v>1</v>
      </c>
    </row>
    <row r="611" spans="1:87">
      <c r="A611" s="12" t="s">
        <v>650</v>
      </c>
      <c r="B611" s="12"/>
      <c r="C611" s="12" t="s">
        <v>71</v>
      </c>
      <c r="D611" s="12"/>
      <c r="E611" s="12">
        <v>45138</v>
      </c>
      <c r="G611" s="7">
        <v>17095907</v>
      </c>
      <c r="I611" s="7">
        <v>3628916</v>
      </c>
      <c r="K611" s="7">
        <v>383741</v>
      </c>
      <c r="M611" s="7">
        <v>6911</v>
      </c>
      <c r="O611" s="7">
        <v>2354936</v>
      </c>
      <c r="Q611" s="7">
        <v>1907907</v>
      </c>
      <c r="S611" s="7">
        <v>1609145</v>
      </c>
      <c r="U611" s="7">
        <v>51587</v>
      </c>
      <c r="W611" s="7">
        <v>2754829</v>
      </c>
      <c r="Y611" s="7">
        <v>906739</v>
      </c>
      <c r="AA611" s="7">
        <v>220504</v>
      </c>
      <c r="AC611" s="7">
        <v>3721597</v>
      </c>
      <c r="AE611" s="7">
        <v>1550250</v>
      </c>
      <c r="AG611" s="7">
        <v>522324</v>
      </c>
      <c r="AI611" s="7">
        <v>0</v>
      </c>
      <c r="AK611" s="7">
        <v>137866</v>
      </c>
      <c r="AL611" s="12" t="s">
        <v>650</v>
      </c>
      <c r="AM611" s="12"/>
      <c r="AN611" s="12" t="s">
        <v>71</v>
      </c>
      <c r="AP611" s="7">
        <v>477867</v>
      </c>
      <c r="AR611" s="7">
        <v>0</v>
      </c>
      <c r="AV611" s="7">
        <v>0</v>
      </c>
      <c r="AX611" s="7">
        <v>0</v>
      </c>
      <c r="AZ611" s="7">
        <v>0</v>
      </c>
      <c r="BB611" s="7">
        <f t="shared" si="161"/>
        <v>37331026</v>
      </c>
      <c r="BD611" s="7">
        <v>280500</v>
      </c>
      <c r="BF611" s="7">
        <v>0</v>
      </c>
      <c r="BH611" s="7">
        <v>0</v>
      </c>
      <c r="BJ611" s="7">
        <v>0</v>
      </c>
      <c r="BL611" s="7">
        <f t="shared" si="159"/>
        <v>37611526</v>
      </c>
      <c r="BN611" s="7">
        <f>+GenRev!AM611-GenExp!BL611</f>
        <v>3869194</v>
      </c>
      <c r="BP611" s="7">
        <v>13448530</v>
      </c>
      <c r="BR611" s="7">
        <v>0</v>
      </c>
      <c r="BT611" s="7">
        <v>0</v>
      </c>
      <c r="BV611" s="7">
        <f t="shared" si="160"/>
        <v>17317724</v>
      </c>
      <c r="BX611" s="8">
        <f>+BV611-'Gen Fd BS'!AE611+BT611</f>
        <v>0</v>
      </c>
      <c r="CB611" s="7" t="str">
        <f t="shared" si="165"/>
        <v>Wooster City SD</v>
      </c>
      <c r="CC611" s="7" t="b">
        <f t="shared" si="162"/>
        <v>1</v>
      </c>
      <c r="CE611" s="12" t="str">
        <f>GenRev!A611</f>
        <v>Wooster City SD</v>
      </c>
      <c r="CF611" s="7" t="b">
        <f t="shared" si="166"/>
        <v>1</v>
      </c>
      <c r="CG611" s="7" t="str">
        <f t="shared" si="163"/>
        <v>Wayne</v>
      </c>
      <c r="CH611" s="7" t="b">
        <f t="shared" si="164"/>
        <v>1</v>
      </c>
      <c r="CI611" s="7" t="b">
        <f>C611=GenRev!C611</f>
        <v>1</v>
      </c>
    </row>
    <row r="612" spans="1:87">
      <c r="A612" s="12" t="s">
        <v>317</v>
      </c>
      <c r="B612" s="12"/>
      <c r="C612" s="12" t="s">
        <v>27</v>
      </c>
      <c r="D612" s="12"/>
      <c r="E612" s="12">
        <v>46524</v>
      </c>
      <c r="G612" s="7">
        <v>57235568</v>
      </c>
      <c r="I612" s="7">
        <v>10726534</v>
      </c>
      <c r="K612" s="7">
        <v>1292106</v>
      </c>
      <c r="M612" s="7">
        <v>2320</v>
      </c>
      <c r="O612" s="7">
        <v>0</v>
      </c>
      <c r="Q612" s="7">
        <v>6069117</v>
      </c>
      <c r="S612" s="7">
        <v>9310457</v>
      </c>
      <c r="U612" s="7">
        <v>54509</v>
      </c>
      <c r="W612" s="7">
        <v>8468121</v>
      </c>
      <c r="Y612" s="7">
        <v>0</v>
      </c>
      <c r="AA612" s="7">
        <v>2540140</v>
      </c>
      <c r="AC612" s="7">
        <v>10692254</v>
      </c>
      <c r="AE612" s="7">
        <v>3822196</v>
      </c>
      <c r="AG612" s="7">
        <v>1411739</v>
      </c>
      <c r="AI612" s="7">
        <v>0</v>
      </c>
      <c r="AK612" s="7">
        <v>711867</v>
      </c>
      <c r="AL612" s="12" t="s">
        <v>317</v>
      </c>
      <c r="AM612" s="12"/>
      <c r="AN612" s="12" t="s">
        <v>27</v>
      </c>
      <c r="AP612" s="7">
        <v>1921610</v>
      </c>
      <c r="AR612" s="7">
        <v>271782</v>
      </c>
      <c r="AV612" s="7">
        <v>0</v>
      </c>
      <c r="AX612" s="7">
        <v>0</v>
      </c>
      <c r="AZ612" s="7">
        <v>0</v>
      </c>
      <c r="BB612" s="7">
        <f t="shared" si="161"/>
        <v>114530320</v>
      </c>
      <c r="BD612" s="7">
        <v>987401</v>
      </c>
      <c r="BF612" s="7">
        <v>0</v>
      </c>
      <c r="BH612" s="7">
        <v>0</v>
      </c>
      <c r="BJ612" s="7">
        <v>0</v>
      </c>
      <c r="BL612" s="7">
        <f t="shared" si="159"/>
        <v>115517721</v>
      </c>
      <c r="BN612" s="7">
        <f>+GenRev!AM612-GenExp!BL612</f>
        <v>4048049</v>
      </c>
      <c r="BP612" s="7">
        <v>52773929</v>
      </c>
      <c r="BR612" s="7">
        <v>0</v>
      </c>
      <c r="BT612" s="7">
        <v>0</v>
      </c>
      <c r="BV612" s="7">
        <f t="shared" si="160"/>
        <v>56821978</v>
      </c>
      <c r="BX612" s="8">
        <f>+BV612-'Gen Fd BS'!AE612+BT612</f>
        <v>0</v>
      </c>
      <c r="CB612" s="7" t="str">
        <f t="shared" si="165"/>
        <v>Worthington City SD</v>
      </c>
      <c r="CC612" s="7" t="b">
        <f t="shared" si="162"/>
        <v>1</v>
      </c>
      <c r="CE612" s="12" t="str">
        <f>GenRev!A612</f>
        <v>Worthington City SD</v>
      </c>
      <c r="CF612" s="7" t="b">
        <f t="shared" si="166"/>
        <v>1</v>
      </c>
      <c r="CG612" s="7" t="str">
        <f t="shared" si="163"/>
        <v>Franklin</v>
      </c>
      <c r="CH612" s="7" t="b">
        <f t="shared" si="164"/>
        <v>1</v>
      </c>
      <c r="CI612" s="7" t="b">
        <f>C612=GenRev!C612</f>
        <v>1</v>
      </c>
    </row>
    <row r="613" spans="1:87">
      <c r="A613" s="12" t="s">
        <v>266</v>
      </c>
      <c r="B613" s="12"/>
      <c r="C613" s="12" t="s">
        <v>111</v>
      </c>
      <c r="D613" s="12"/>
      <c r="E613" s="12">
        <v>45146</v>
      </c>
      <c r="G613" s="7">
        <v>4634513</v>
      </c>
      <c r="I613" s="7">
        <v>875598</v>
      </c>
      <c r="K613" s="7">
        <v>5013</v>
      </c>
      <c r="M613" s="7">
        <v>0</v>
      </c>
      <c r="O613" s="7">
        <v>610524</v>
      </c>
      <c r="Q613" s="7">
        <v>977038</v>
      </c>
      <c r="S613" s="7">
        <v>465401</v>
      </c>
      <c r="U613" s="7">
        <v>6706</v>
      </c>
      <c r="W613" s="7">
        <v>843601</v>
      </c>
      <c r="Y613" s="7">
        <v>363848</v>
      </c>
      <c r="AA613" s="7">
        <v>15278</v>
      </c>
      <c r="AC613" s="7">
        <v>442595</v>
      </c>
      <c r="AE613" s="7">
        <v>680988</v>
      </c>
      <c r="AG613" s="7">
        <v>16085</v>
      </c>
      <c r="AI613" s="7">
        <v>0</v>
      </c>
      <c r="AK613" s="7">
        <v>600</v>
      </c>
      <c r="AL613" s="12" t="s">
        <v>266</v>
      </c>
      <c r="AM613" s="12"/>
      <c r="AN613" s="12" t="s">
        <v>111</v>
      </c>
      <c r="AP613" s="7">
        <v>236018</v>
      </c>
      <c r="AR613" s="7">
        <v>0</v>
      </c>
      <c r="AV613" s="7">
        <v>5388</v>
      </c>
      <c r="AX613" s="7">
        <v>1046</v>
      </c>
      <c r="AZ613" s="7">
        <v>0</v>
      </c>
      <c r="BB613" s="7">
        <f t="shared" si="161"/>
        <v>10180240</v>
      </c>
      <c r="BD613" s="7">
        <v>31985</v>
      </c>
      <c r="BF613" s="7">
        <v>0</v>
      </c>
      <c r="BH613" s="7">
        <v>0</v>
      </c>
      <c r="BJ613" s="7">
        <v>0</v>
      </c>
      <c r="BL613" s="7">
        <f t="shared" si="159"/>
        <v>10212225</v>
      </c>
      <c r="BN613" s="7">
        <f>+GenRev!AM613-GenExp!BL613</f>
        <v>-355084</v>
      </c>
      <c r="BP613" s="7">
        <v>1382259</v>
      </c>
      <c r="BR613" s="7">
        <v>0</v>
      </c>
      <c r="BT613" s="7">
        <v>0</v>
      </c>
      <c r="BV613" s="7">
        <f t="shared" si="160"/>
        <v>1027175</v>
      </c>
      <c r="BX613" s="8">
        <f>+BV613-'Gen Fd BS'!AE613+BT613</f>
        <v>0</v>
      </c>
      <c r="CB613" s="7" t="str">
        <f t="shared" si="165"/>
        <v>Wynford Local SD</v>
      </c>
      <c r="CC613" s="7" t="b">
        <f t="shared" si="162"/>
        <v>1</v>
      </c>
      <c r="CE613" s="12" t="str">
        <f>GenRev!A613</f>
        <v>Wynford Local SD</v>
      </c>
      <c r="CF613" s="7" t="b">
        <f t="shared" si="166"/>
        <v>1</v>
      </c>
      <c r="CG613" s="7" t="str">
        <f t="shared" si="163"/>
        <v>Crawford</v>
      </c>
      <c r="CH613" s="7" t="b">
        <f t="shared" si="164"/>
        <v>1</v>
      </c>
      <c r="CI613" s="7" t="b">
        <f>C613=GenRev!C613</f>
        <v>1</v>
      </c>
    </row>
    <row r="614" spans="1:87">
      <c r="A614" s="12" t="s">
        <v>342</v>
      </c>
      <c r="B614" s="12"/>
      <c r="C614" s="12" t="s">
        <v>32</v>
      </c>
      <c r="D614" s="12"/>
      <c r="E614" s="12">
        <v>45153</v>
      </c>
      <c r="G614" s="7">
        <v>11016006</v>
      </c>
      <c r="I614" s="7">
        <v>1921337</v>
      </c>
      <c r="K614" s="7">
        <v>106326</v>
      </c>
      <c r="M614" s="7">
        <v>0</v>
      </c>
      <c r="O614" s="7">
        <v>18396</v>
      </c>
      <c r="Q614" s="7">
        <v>1755639</v>
      </c>
      <c r="S614" s="7">
        <v>916459</v>
      </c>
      <c r="U614" s="7">
        <v>225222</v>
      </c>
      <c r="W614" s="7">
        <v>1715374</v>
      </c>
      <c r="Y614" s="7">
        <v>910599</v>
      </c>
      <c r="AA614" s="7">
        <v>1113</v>
      </c>
      <c r="AC614" s="7">
        <v>1565925</v>
      </c>
      <c r="AE614" s="7">
        <v>387755</v>
      </c>
      <c r="AG614" s="7">
        <v>120080</v>
      </c>
      <c r="AI614" s="7">
        <v>0</v>
      </c>
      <c r="AK614" s="7">
        <v>4583</v>
      </c>
      <c r="AL614" s="12" t="s">
        <v>342</v>
      </c>
      <c r="AM614" s="12"/>
      <c r="AN614" s="12" t="s">
        <v>32</v>
      </c>
      <c r="AP614" s="7">
        <v>483587</v>
      </c>
      <c r="AR614" s="7">
        <v>177060</v>
      </c>
      <c r="AV614" s="7">
        <v>43600</v>
      </c>
      <c r="AX614" s="7">
        <v>81920</v>
      </c>
      <c r="AZ614" s="7">
        <v>0</v>
      </c>
      <c r="BB614" s="7">
        <f t="shared" si="161"/>
        <v>21450981</v>
      </c>
      <c r="BD614" s="7">
        <v>35000</v>
      </c>
      <c r="BF614" s="7">
        <v>0</v>
      </c>
      <c r="BH614" s="7">
        <v>0</v>
      </c>
      <c r="BJ614" s="7">
        <v>0</v>
      </c>
      <c r="BL614" s="7">
        <f t="shared" si="159"/>
        <v>21485981</v>
      </c>
      <c r="BN614" s="7">
        <f>+GenRev!AM614-GenExp!BL614</f>
        <v>629394</v>
      </c>
      <c r="BP614" s="7">
        <v>13825386</v>
      </c>
      <c r="BR614" s="7">
        <v>0</v>
      </c>
      <c r="BT614" s="7">
        <v>0</v>
      </c>
      <c r="BV614" s="7">
        <f t="shared" si="160"/>
        <v>14454780</v>
      </c>
      <c r="BX614" s="8">
        <f>+BV614-'Gen Fd BS'!AE614+BT614</f>
        <v>0</v>
      </c>
      <c r="CB614" s="7" t="str">
        <f t="shared" si="165"/>
        <v>Wyoming City SD</v>
      </c>
      <c r="CC614" s="7" t="b">
        <f t="shared" si="162"/>
        <v>1</v>
      </c>
      <c r="CE614" s="12" t="str">
        <f>GenRev!A614</f>
        <v>Wyoming City SD</v>
      </c>
      <c r="CF614" s="7" t="b">
        <f t="shared" si="166"/>
        <v>1</v>
      </c>
      <c r="CG614" s="7" t="str">
        <f t="shared" si="163"/>
        <v>Hamilton</v>
      </c>
      <c r="CH614" s="7" t="b">
        <f t="shared" si="164"/>
        <v>1</v>
      </c>
      <c r="CI614" s="7" t="b">
        <f>C614=GenRev!C614</f>
        <v>1</v>
      </c>
    </row>
    <row r="615" spans="1:87">
      <c r="A615" s="12" t="s">
        <v>892</v>
      </c>
      <c r="B615" s="12"/>
      <c r="C615" s="12" t="s">
        <v>114</v>
      </c>
      <c r="D615" s="12"/>
      <c r="E615" s="12">
        <v>45674</v>
      </c>
      <c r="G615" s="7">
        <v>3776922</v>
      </c>
      <c r="I615" s="7">
        <v>620460</v>
      </c>
      <c r="K615" s="7">
        <v>0</v>
      </c>
      <c r="M615" s="7">
        <v>2176</v>
      </c>
      <c r="O615" s="7">
        <v>222923</v>
      </c>
      <c r="Q615" s="7">
        <v>375865</v>
      </c>
      <c r="S615" s="7">
        <v>431398</v>
      </c>
      <c r="U615" s="7">
        <v>46346</v>
      </c>
      <c r="W615" s="7">
        <v>811061</v>
      </c>
      <c r="Y615" s="7">
        <v>361974</v>
      </c>
      <c r="AA615" s="7">
        <v>0</v>
      </c>
      <c r="AC615" s="7">
        <v>643212</v>
      </c>
      <c r="AE615" s="7">
        <v>217403</v>
      </c>
      <c r="AG615" s="7">
        <v>24168</v>
      </c>
      <c r="AI615" s="7">
        <v>0</v>
      </c>
      <c r="AK615" s="7">
        <v>3389</v>
      </c>
      <c r="AL615" s="12" t="s">
        <v>892</v>
      </c>
      <c r="AM615" s="12"/>
      <c r="AN615" s="12" t="s">
        <v>114</v>
      </c>
      <c r="AP615" s="7">
        <v>157652</v>
      </c>
      <c r="AR615" s="7">
        <v>443062</v>
      </c>
      <c r="AV615" s="7">
        <v>77750</v>
      </c>
      <c r="AX615" s="7">
        <v>19279</v>
      </c>
      <c r="AZ615" s="7">
        <v>0</v>
      </c>
      <c r="BB615" s="7">
        <f t="shared" si="161"/>
        <v>8235040</v>
      </c>
      <c r="BD615" s="7">
        <v>0</v>
      </c>
      <c r="BF615" s="7">
        <v>0</v>
      </c>
      <c r="BH615" s="7">
        <v>0</v>
      </c>
      <c r="BJ615" s="7">
        <v>0</v>
      </c>
      <c r="BL615" s="7">
        <f t="shared" si="159"/>
        <v>8235040</v>
      </c>
      <c r="BN615" s="7">
        <f>+GenRev!AM615-GenExp!BL615</f>
        <v>-378188</v>
      </c>
      <c r="BP615" s="7">
        <v>2310983</v>
      </c>
      <c r="BR615" s="7">
        <v>0</v>
      </c>
      <c r="BT615" s="7">
        <v>0</v>
      </c>
      <c r="BV615" s="7">
        <f t="shared" si="160"/>
        <v>1932795</v>
      </c>
      <c r="BX615" s="8">
        <f>+BV615-'Gen Fd BS'!AE615+BT615</f>
        <v>0</v>
      </c>
      <c r="CB615" s="7" t="str">
        <f t="shared" si="165"/>
        <v>Yellow Springs Exempted Village SD</v>
      </c>
      <c r="CC615" s="7" t="b">
        <f t="shared" si="162"/>
        <v>1</v>
      </c>
      <c r="CE615" s="12" t="str">
        <f>GenRev!A615</f>
        <v>Yellow Springs Exempted Village SD</v>
      </c>
      <c r="CF615" s="7" t="b">
        <f t="shared" si="166"/>
        <v>1</v>
      </c>
      <c r="CG615" s="7" t="str">
        <f t="shared" si="163"/>
        <v>Greene</v>
      </c>
      <c r="CH615" s="7" t="b">
        <f t="shared" si="164"/>
        <v>1</v>
      </c>
      <c r="CI615" s="7" t="b">
        <f>C615=GenRev!C615</f>
        <v>1</v>
      </c>
    </row>
    <row r="616" spans="1:87">
      <c r="A616" s="12" t="s">
        <v>422</v>
      </c>
      <c r="B616" s="12"/>
      <c r="C616" s="12" t="s">
        <v>45</v>
      </c>
      <c r="D616" s="12"/>
      <c r="E616" s="12">
        <v>45161</v>
      </c>
      <c r="G616" s="7">
        <v>48469716</v>
      </c>
      <c r="I616" s="7">
        <v>11318734</v>
      </c>
      <c r="K616" s="7">
        <v>2289898</v>
      </c>
      <c r="M616" s="7">
        <v>0</v>
      </c>
      <c r="O616" s="7">
        <v>1154913</v>
      </c>
      <c r="Q616" s="7">
        <v>3603967</v>
      </c>
      <c r="S616" s="7">
        <v>4469237</v>
      </c>
      <c r="U616" s="7">
        <v>501528</v>
      </c>
      <c r="W616" s="7">
        <v>5400977</v>
      </c>
      <c r="Y616" s="7">
        <v>1355162</v>
      </c>
      <c r="AA616" s="7">
        <v>747822</v>
      </c>
      <c r="AC616" s="7">
        <v>10729903</v>
      </c>
      <c r="AE616" s="7">
        <v>4387506</v>
      </c>
      <c r="AG616" s="7">
        <v>897686</v>
      </c>
      <c r="AI616" s="7">
        <v>0</v>
      </c>
      <c r="AK616" s="7">
        <v>9430</v>
      </c>
      <c r="AL616" s="12" t="s">
        <v>422</v>
      </c>
      <c r="AM616" s="12"/>
      <c r="AN616" s="12" t="s">
        <v>45</v>
      </c>
      <c r="AP616" s="7">
        <v>283214</v>
      </c>
      <c r="AR616" s="7">
        <v>20831</v>
      </c>
      <c r="AV616" s="7">
        <v>0</v>
      </c>
      <c r="AX616" s="7">
        <v>48933</v>
      </c>
      <c r="AZ616" s="7">
        <v>0</v>
      </c>
      <c r="BB616" s="7">
        <f t="shared" si="161"/>
        <v>95689457</v>
      </c>
      <c r="BD616" s="7">
        <v>42696</v>
      </c>
      <c r="BF616" s="7">
        <v>0</v>
      </c>
      <c r="BH616" s="7">
        <v>0</v>
      </c>
      <c r="BJ616" s="7">
        <v>0</v>
      </c>
      <c r="BL616" s="7">
        <f t="shared" si="159"/>
        <v>95732153</v>
      </c>
      <c r="BN616" s="7">
        <f>+GenRev!AM616-GenExp!BL616</f>
        <v>8826769</v>
      </c>
      <c r="BP616" s="7">
        <v>-10912395</v>
      </c>
      <c r="BR616" s="7">
        <v>0</v>
      </c>
      <c r="BT616" s="7">
        <v>0</v>
      </c>
      <c r="BV616" s="7">
        <f t="shared" si="160"/>
        <v>-2085626</v>
      </c>
      <c r="BX616" s="8">
        <f>+BV616-'Gen Fd BS'!AE616+BT616</f>
        <v>0</v>
      </c>
      <c r="CB616" s="7" t="str">
        <f t="shared" si="165"/>
        <v>Youngstown City SD</v>
      </c>
      <c r="CC616" s="7" t="b">
        <f t="shared" si="162"/>
        <v>1</v>
      </c>
      <c r="CE616" s="12" t="str">
        <f>GenRev!A616</f>
        <v>Youngstown City SD</v>
      </c>
      <c r="CF616" s="7" t="b">
        <f t="shared" si="166"/>
        <v>1</v>
      </c>
      <c r="CG616" s="7" t="str">
        <f t="shared" si="163"/>
        <v>Mahoning</v>
      </c>
      <c r="CH616" s="7" t="b">
        <f t="shared" si="164"/>
        <v>1</v>
      </c>
      <c r="CI616" s="7" t="b">
        <f>C616=GenRev!C616</f>
        <v>1</v>
      </c>
    </row>
    <row r="617" spans="1:87">
      <c r="A617" s="12" t="s">
        <v>492</v>
      </c>
      <c r="B617" s="12"/>
      <c r="C617" s="12" t="s">
        <v>58</v>
      </c>
      <c r="D617" s="12"/>
      <c r="E617" s="12">
        <v>49544</v>
      </c>
      <c r="G617" s="7">
        <v>6546143</v>
      </c>
      <c r="I617" s="7">
        <v>739907</v>
      </c>
      <c r="K617" s="7">
        <v>7150</v>
      </c>
      <c r="M617" s="7">
        <v>0</v>
      </c>
      <c r="O617" s="7">
        <v>62992</v>
      </c>
      <c r="Q617" s="7">
        <v>505786</v>
      </c>
      <c r="S617" s="7">
        <v>355581</v>
      </c>
      <c r="U617" s="7">
        <v>205871</v>
      </c>
      <c r="W617" s="7">
        <v>891693</v>
      </c>
      <c r="Y617" s="7">
        <v>409964</v>
      </c>
      <c r="AA617" s="7">
        <v>0</v>
      </c>
      <c r="AC617" s="7">
        <v>1084035</v>
      </c>
      <c r="AE617" s="7">
        <v>999169</v>
      </c>
      <c r="AG617" s="7">
        <v>129586</v>
      </c>
      <c r="AI617" s="7">
        <v>0</v>
      </c>
      <c r="AK617" s="7">
        <v>0</v>
      </c>
      <c r="AL617" s="12" t="s">
        <v>492</v>
      </c>
      <c r="AM617" s="12"/>
      <c r="AN617" s="12" t="s">
        <v>58</v>
      </c>
      <c r="AP617" s="7">
        <v>209768</v>
      </c>
      <c r="AR617" s="7">
        <v>0</v>
      </c>
      <c r="AV617" s="7">
        <v>147409</v>
      </c>
      <c r="AX617" s="7">
        <v>139453</v>
      </c>
      <c r="AZ617" s="7">
        <v>0</v>
      </c>
      <c r="BB617" s="7">
        <f t="shared" si="161"/>
        <v>12434507</v>
      </c>
      <c r="BD617" s="7">
        <v>10000</v>
      </c>
      <c r="BF617" s="7">
        <v>0</v>
      </c>
      <c r="BH617" s="7">
        <v>0</v>
      </c>
      <c r="BJ617" s="7">
        <v>0</v>
      </c>
      <c r="BL617" s="7">
        <f t="shared" si="159"/>
        <v>12444507</v>
      </c>
      <c r="BN617" s="7">
        <f>+GenRev!AM617-GenExp!BL617</f>
        <v>-472600</v>
      </c>
      <c r="BP617" s="7">
        <v>4579833</v>
      </c>
      <c r="BR617" s="7">
        <v>0</v>
      </c>
      <c r="BT617" s="7">
        <v>0</v>
      </c>
      <c r="BV617" s="7">
        <f t="shared" si="160"/>
        <v>4107233</v>
      </c>
      <c r="BX617" s="8">
        <f>+BV617-'Gen Fd BS'!AE617+BT617</f>
        <v>0</v>
      </c>
      <c r="CB617" s="7" t="str">
        <f t="shared" si="165"/>
        <v>Zane Trace Local SD</v>
      </c>
      <c r="CC617" s="7" t="b">
        <f t="shared" si="162"/>
        <v>1</v>
      </c>
      <c r="CE617" s="12" t="str">
        <f>GenRev!A617</f>
        <v>Zane Trace Local SD</v>
      </c>
      <c r="CF617" s="7" t="b">
        <f t="shared" si="166"/>
        <v>1</v>
      </c>
      <c r="CG617" s="7" t="str">
        <f t="shared" si="163"/>
        <v>Ross</v>
      </c>
      <c r="CH617" s="7" t="b">
        <f t="shared" si="164"/>
        <v>1</v>
      </c>
      <c r="CI617" s="7" t="b">
        <f>C617=GenRev!C617</f>
        <v>1</v>
      </c>
    </row>
    <row r="618" spans="1:87">
      <c r="A618" s="12" t="s">
        <v>461</v>
      </c>
      <c r="B618" s="12"/>
      <c r="C618" s="12" t="s">
        <v>51</v>
      </c>
      <c r="D618" s="12"/>
      <c r="E618" s="12">
        <v>45179</v>
      </c>
      <c r="G618" s="7">
        <v>15690672</v>
      </c>
      <c r="I618" s="7">
        <v>5218687</v>
      </c>
      <c r="K618" s="7">
        <v>416946</v>
      </c>
      <c r="M618" s="7">
        <v>0</v>
      </c>
      <c r="O618" s="7">
        <v>131052</v>
      </c>
      <c r="Q618" s="7">
        <v>2150863</v>
      </c>
      <c r="S618" s="7">
        <v>1365697</v>
      </c>
      <c r="U618" s="7">
        <v>111821</v>
      </c>
      <c r="W618" s="7">
        <v>1966051</v>
      </c>
      <c r="Y618" s="7">
        <v>671994</v>
      </c>
      <c r="AA618" s="7">
        <v>0</v>
      </c>
      <c r="AC618" s="7">
        <v>3591082</v>
      </c>
      <c r="AE618" s="7">
        <v>1091306</v>
      </c>
      <c r="AG618" s="7">
        <v>674184</v>
      </c>
      <c r="AI618" s="7">
        <v>6221</v>
      </c>
      <c r="AK618" s="7">
        <v>4130</v>
      </c>
      <c r="AL618" s="12" t="s">
        <v>461</v>
      </c>
      <c r="AM618" s="12"/>
      <c r="AN618" s="12" t="s">
        <v>51</v>
      </c>
      <c r="AP618" s="7">
        <v>489888</v>
      </c>
      <c r="AR618" s="7">
        <v>467363</v>
      </c>
      <c r="AV618" s="7">
        <v>105360</v>
      </c>
      <c r="AX618" s="7">
        <v>17072</v>
      </c>
      <c r="AZ618" s="7">
        <v>0</v>
      </c>
      <c r="BB618" s="7">
        <f t="shared" si="161"/>
        <v>34170389</v>
      </c>
      <c r="BD618" s="7">
        <v>0</v>
      </c>
      <c r="BF618" s="7">
        <v>0</v>
      </c>
      <c r="BH618" s="7">
        <v>0</v>
      </c>
      <c r="BJ618" s="7">
        <v>0</v>
      </c>
      <c r="BL618" s="7">
        <f t="shared" si="159"/>
        <v>34170389</v>
      </c>
      <c r="BN618" s="7">
        <f>+GenRev!AM618-GenExp!BL618</f>
        <v>-113831</v>
      </c>
      <c r="BP618" s="7">
        <v>1980771</v>
      </c>
      <c r="BR618" s="7">
        <v>0</v>
      </c>
      <c r="BT618" s="7">
        <v>0</v>
      </c>
      <c r="BV618" s="7">
        <f t="shared" si="160"/>
        <v>1866940</v>
      </c>
      <c r="BX618" s="8">
        <f>+BV618-'Gen Fd BS'!AE618+BT618</f>
        <v>0</v>
      </c>
      <c r="CB618" s="7" t="str">
        <f t="shared" si="165"/>
        <v>Zanesville City SD</v>
      </c>
      <c r="CC618" s="7" t="b">
        <f t="shared" si="162"/>
        <v>1</v>
      </c>
      <c r="CE618" s="12" t="str">
        <f>GenRev!A618</f>
        <v>Zanesville City SD</v>
      </c>
      <c r="CF618" s="7" t="b">
        <f t="shared" si="166"/>
        <v>1</v>
      </c>
      <c r="CG618" s="7" t="str">
        <f t="shared" si="163"/>
        <v>Muskingum</v>
      </c>
      <c r="CH618" s="7" t="b">
        <f t="shared" si="164"/>
        <v>1</v>
      </c>
      <c r="CI618" s="7" t="b">
        <f>C618=GenRev!C618</f>
        <v>1</v>
      </c>
    </row>
    <row r="619" spans="1:87">
      <c r="A619" s="12"/>
      <c r="B619" s="12"/>
      <c r="C619" s="12"/>
      <c r="D619" s="12"/>
      <c r="BX619" s="7"/>
    </row>
  </sheetData>
  <phoneticPr fontId="3" type="noConversion"/>
  <pageMargins left="0.9" right="0.75" top="0.5" bottom="0.5" header="0.25" footer="0.25"/>
  <pageSetup scale="77" firstPageNumber="114" fitToWidth="4" fitToHeight="18" pageOrder="overThenDown" orientation="portrait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19"/>
  <sheetViews>
    <sheetView view="pageBreakPreview" zoomScaleNormal="100" zoomScaleSheetLayoutView="100" workbookViewId="0">
      <pane xSplit="6" ySplit="9" topLeftCell="G448" activePane="bottomRight" state="frozen"/>
      <selection sqref="A1:IV65536"/>
      <selection pane="topRight" sqref="A1:IV65536"/>
      <selection pane="bottomLeft" sqref="A1:IV65536"/>
      <selection pane="bottomRight" activeCell="AC476" sqref="AC476"/>
    </sheetView>
  </sheetViews>
  <sheetFormatPr defaultColWidth="9.140625" defaultRowHeight="12"/>
  <cols>
    <col min="1" max="1" width="32" style="7" customWidth="1"/>
    <col min="2" max="2" width="1.7109375" style="7" customWidth="1"/>
    <col min="3" max="3" width="11.7109375" style="7" customWidth="1"/>
    <col min="4" max="4" width="1.7109375" style="7" customWidth="1"/>
    <col min="5" max="5" width="11.7109375" style="7" hidden="1" customWidth="1"/>
    <col min="6" max="6" width="1.7109375" style="7" hidden="1" customWidth="1"/>
    <col min="7" max="7" width="11.7109375" style="7" customWidth="1"/>
    <col min="8" max="8" width="1.7109375" style="7" customWidth="1"/>
    <col min="9" max="9" width="11.7109375" style="7" customWidth="1"/>
    <col min="10" max="10" width="1.7109375" style="7" customWidth="1"/>
    <col min="11" max="11" width="11.7109375" style="7" customWidth="1"/>
    <col min="12" max="12" width="1.7109375" style="7" customWidth="1"/>
    <col min="13" max="13" width="11.7109375" style="7" customWidth="1"/>
    <col min="14" max="14" width="1.7109375" style="7" customWidth="1"/>
    <col min="15" max="15" width="10.140625" style="7" bestFit="1" customWidth="1"/>
    <col min="16" max="16" width="1.7109375" style="7" customWidth="1"/>
    <col min="17" max="17" width="10.140625" style="7" bestFit="1" customWidth="1"/>
    <col min="18" max="18" width="1.7109375" style="7" customWidth="1"/>
    <col min="19" max="19" width="10.140625" style="7" bestFit="1" customWidth="1"/>
    <col min="20" max="20" width="1.7109375" style="7" customWidth="1"/>
    <col min="21" max="21" width="10.85546875" style="7" bestFit="1" customWidth="1"/>
    <col min="22" max="22" width="1.7109375" style="7" customWidth="1"/>
    <col min="23" max="23" width="10.28515625" style="7" bestFit="1" customWidth="1"/>
    <col min="24" max="24" width="1.7109375" style="7" customWidth="1"/>
    <col min="25" max="25" width="10.28515625" style="7" bestFit="1" customWidth="1"/>
    <col min="26" max="26" width="1.7109375" style="7" customWidth="1"/>
    <col min="27" max="27" width="10.28515625" style="7" bestFit="1" customWidth="1"/>
    <col min="28" max="28" width="1.7109375" style="7" customWidth="1"/>
    <col min="29" max="29" width="11.7109375" style="7" customWidth="1"/>
    <col min="30" max="30" width="1.7109375" style="7" customWidth="1"/>
    <col min="31" max="31" width="11.7109375" style="7" customWidth="1"/>
    <col min="32" max="32" width="1.7109375" style="7" customWidth="1"/>
    <col min="33" max="33" width="11.7109375" style="7" customWidth="1"/>
    <col min="34" max="34" width="4.7109375" style="7" customWidth="1"/>
    <col min="35" max="35" width="19.140625" style="7" customWidth="1"/>
    <col min="36" max="36" width="1.7109375" style="7" customWidth="1"/>
    <col min="37" max="37" width="13.28515625" style="7" customWidth="1"/>
    <col min="38" max="38" width="15.85546875" style="7" customWidth="1"/>
    <col min="39" max="39" width="14.7109375" style="7" customWidth="1"/>
    <col min="40" max="40" width="9.140625" style="7" customWidth="1"/>
    <col min="41" max="16384" width="9.140625" style="7"/>
  </cols>
  <sheetData>
    <row r="1" spans="1:41">
      <c r="A1" s="25" t="s">
        <v>198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</row>
    <row r="2" spans="1:41">
      <c r="A2" s="25" t="s">
        <v>769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</row>
    <row r="3" spans="1:41">
      <c r="A3" s="14" t="s">
        <v>622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</row>
    <row r="4" spans="1:41">
      <c r="A4" s="14" t="s">
        <v>169</v>
      </c>
      <c r="B4" s="14"/>
      <c r="C4" s="14"/>
      <c r="D4" s="14"/>
      <c r="E4" s="14"/>
      <c r="F4" s="96"/>
      <c r="G4" s="96"/>
      <c r="H4" s="96"/>
      <c r="I4" s="96"/>
      <c r="J4" s="96"/>
      <c r="K4" s="104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41">
      <c r="A5" s="14"/>
      <c r="Q5" s="15" t="s">
        <v>92</v>
      </c>
    </row>
    <row r="6" spans="1:41">
      <c r="A6" s="59" t="s">
        <v>767</v>
      </c>
      <c r="F6" s="96"/>
      <c r="G6" s="113" t="s">
        <v>87</v>
      </c>
      <c r="H6" s="113"/>
      <c r="I6" s="113"/>
      <c r="J6" s="113"/>
      <c r="K6" s="113"/>
      <c r="L6" s="96"/>
      <c r="M6" s="96"/>
      <c r="N6" s="96"/>
      <c r="O6" s="95" t="s">
        <v>92</v>
      </c>
      <c r="P6" s="10"/>
      <c r="Q6" s="95" t="s">
        <v>622</v>
      </c>
      <c r="R6" s="96"/>
      <c r="S6" s="96"/>
      <c r="T6" s="96"/>
      <c r="U6" s="113" t="s">
        <v>999</v>
      </c>
      <c r="V6" s="113"/>
      <c r="W6" s="113"/>
      <c r="X6" s="113"/>
      <c r="Y6" s="113"/>
      <c r="Z6" s="113"/>
      <c r="AA6" s="113"/>
      <c r="AB6" s="113"/>
      <c r="AC6" s="113"/>
    </row>
    <row r="7" spans="1:41">
      <c r="A7" s="14"/>
      <c r="B7" s="14"/>
      <c r="C7" s="14"/>
      <c r="D7" s="14"/>
      <c r="E7" s="14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G7" s="15" t="s">
        <v>133</v>
      </c>
      <c r="AH7" s="15"/>
      <c r="AI7" s="15"/>
      <c r="AK7" s="96"/>
    </row>
    <row r="8" spans="1:41">
      <c r="A8" s="96"/>
      <c r="B8" s="96"/>
      <c r="C8" s="96"/>
      <c r="D8" s="96"/>
      <c r="E8" s="96"/>
      <c r="F8" s="96"/>
      <c r="G8" s="96" t="s">
        <v>88</v>
      </c>
      <c r="H8" s="96"/>
      <c r="I8" s="96" t="s">
        <v>102</v>
      </c>
      <c r="J8" s="96"/>
      <c r="K8" s="96" t="s">
        <v>82</v>
      </c>
      <c r="L8" s="96"/>
      <c r="M8" s="96" t="s">
        <v>3</v>
      </c>
      <c r="N8" s="96"/>
      <c r="O8" s="96"/>
      <c r="P8" s="96"/>
      <c r="Q8" s="96" t="s">
        <v>89</v>
      </c>
      <c r="R8" s="96"/>
      <c r="S8" s="96" t="s">
        <v>3</v>
      </c>
      <c r="T8" s="96"/>
      <c r="U8" s="96" t="s">
        <v>774</v>
      </c>
      <c r="V8" s="96"/>
      <c r="W8" s="96" t="s">
        <v>102</v>
      </c>
      <c r="X8" s="96"/>
      <c r="Y8" s="96" t="s">
        <v>775</v>
      </c>
      <c r="Z8" s="96"/>
      <c r="AA8" s="96" t="s">
        <v>776</v>
      </c>
      <c r="AB8" s="96"/>
      <c r="AC8" s="96" t="s">
        <v>777</v>
      </c>
      <c r="AD8" s="96"/>
      <c r="AE8" s="96" t="s">
        <v>3</v>
      </c>
      <c r="AG8" s="15" t="s">
        <v>134</v>
      </c>
      <c r="AH8" s="15"/>
      <c r="AI8" s="15"/>
    </row>
    <row r="9" spans="1:41" s="10" customFormat="1">
      <c r="A9" s="95" t="s">
        <v>200</v>
      </c>
      <c r="B9" s="15"/>
      <c r="C9" s="95" t="s">
        <v>4</v>
      </c>
      <c r="D9" s="15"/>
      <c r="E9" s="95" t="s">
        <v>199</v>
      </c>
      <c r="F9" s="96"/>
      <c r="G9" s="95" t="s">
        <v>91</v>
      </c>
      <c r="H9" s="96"/>
      <c r="I9" s="95" t="s">
        <v>87</v>
      </c>
      <c r="J9" s="96"/>
      <c r="K9" s="95" t="s">
        <v>87</v>
      </c>
      <c r="L9" s="96"/>
      <c r="M9" s="95" t="s">
        <v>87</v>
      </c>
      <c r="N9" s="96"/>
      <c r="O9" s="95" t="s">
        <v>92</v>
      </c>
      <c r="P9" s="96"/>
      <c r="Q9" s="95" t="s">
        <v>8</v>
      </c>
      <c r="R9" s="96"/>
      <c r="S9" s="95" t="s">
        <v>92</v>
      </c>
      <c r="T9" s="96"/>
      <c r="U9" s="95" t="s">
        <v>93</v>
      </c>
      <c r="V9" s="96"/>
      <c r="W9" s="95" t="s">
        <v>93</v>
      </c>
      <c r="X9" s="96"/>
      <c r="Y9" s="95" t="s">
        <v>93</v>
      </c>
      <c r="Z9" s="96"/>
      <c r="AA9" s="95" t="s">
        <v>93</v>
      </c>
      <c r="AB9" s="96"/>
      <c r="AC9" s="95" t="s">
        <v>93</v>
      </c>
      <c r="AD9" s="96"/>
      <c r="AE9" s="95" t="s">
        <v>93</v>
      </c>
      <c r="AG9" s="95" t="s">
        <v>135</v>
      </c>
      <c r="AH9" s="96"/>
      <c r="AI9" s="96"/>
      <c r="AK9" s="10" t="s">
        <v>816</v>
      </c>
      <c r="AL9" s="10" t="s">
        <v>820</v>
      </c>
      <c r="AN9" s="10" t="s">
        <v>815</v>
      </c>
      <c r="AO9" s="10" t="s">
        <v>833</v>
      </c>
    </row>
    <row r="10" spans="1:41">
      <c r="A10" s="12"/>
      <c r="B10" s="12"/>
      <c r="C10" s="12"/>
      <c r="D10" s="12"/>
      <c r="E10" s="12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</row>
    <row r="11" spans="1:41" s="32" customFormat="1">
      <c r="A11" s="31" t="s">
        <v>898</v>
      </c>
      <c r="B11" s="31"/>
      <c r="C11" s="31" t="s">
        <v>201</v>
      </c>
      <c r="D11" s="31"/>
      <c r="E11" s="31">
        <v>61903</v>
      </c>
      <c r="F11" s="37"/>
      <c r="G11" s="32">
        <v>12903459</v>
      </c>
      <c r="I11" s="32">
        <v>179480</v>
      </c>
      <c r="K11" s="34">
        <f>M11-G11-I11</f>
        <v>9938179</v>
      </c>
      <c r="M11" s="32">
        <v>23021118</v>
      </c>
      <c r="O11" s="34">
        <f>S11-Q11</f>
        <v>5498902</v>
      </c>
      <c r="Q11" s="32">
        <v>8085961</v>
      </c>
      <c r="S11" s="32">
        <v>13584863</v>
      </c>
      <c r="U11" s="32">
        <v>84838</v>
      </c>
      <c r="W11" s="32">
        <v>7742053</v>
      </c>
      <c r="Y11" s="32">
        <v>1481581</v>
      </c>
      <c r="AA11" s="32">
        <v>232770</v>
      </c>
      <c r="AC11" s="32">
        <v>-104987</v>
      </c>
      <c r="AE11" s="45">
        <f>U11+W11+Y11+AA11+AC11</f>
        <v>9436255</v>
      </c>
      <c r="AG11" s="32">
        <f>+G11+I11+K11-O11-Q11-Y11-W11-U11-AA11-AC11</f>
        <v>0</v>
      </c>
      <c r="AK11" s="32" t="str">
        <f>A11</f>
        <v>Adams County/Ohio Valley Local SD</v>
      </c>
      <c r="AL11" s="32" t="str">
        <f>GenExp!A11</f>
        <v>Adams County/Ohio Valley Local SD</v>
      </c>
      <c r="AM11" s="32" t="b">
        <f>AK11=AL11</f>
        <v>1</v>
      </c>
      <c r="AN11" s="32" t="str">
        <f>C11</f>
        <v>Adams</v>
      </c>
      <c r="AO11" s="32" t="b">
        <f>C11=GenExp!C11</f>
        <v>1</v>
      </c>
    </row>
    <row r="12" spans="1:41">
      <c r="A12" s="12" t="s">
        <v>607</v>
      </c>
      <c r="B12" s="12"/>
      <c r="C12" s="12" t="s">
        <v>58</v>
      </c>
      <c r="D12" s="12"/>
      <c r="E12" s="12">
        <v>49494</v>
      </c>
      <c r="G12" s="7">
        <f>5338254+1391</f>
        <v>5339645</v>
      </c>
      <c r="I12" s="7">
        <v>821492</v>
      </c>
      <c r="K12" s="2">
        <f t="shared" ref="K12:K17" si="0">M12-G12-I12</f>
        <v>2958917</v>
      </c>
      <c r="M12" s="7">
        <v>9120054</v>
      </c>
      <c r="O12" s="2">
        <f>S12-Q12</f>
        <v>1366659</v>
      </c>
      <c r="Q12" s="7">
        <v>1992425</v>
      </c>
      <c r="S12" s="7">
        <v>3359084</v>
      </c>
      <c r="U12" s="7">
        <v>0</v>
      </c>
      <c r="W12" s="7">
        <v>2030121</v>
      </c>
      <c r="Y12" s="7">
        <v>156171</v>
      </c>
      <c r="AA12" s="7">
        <v>101552</v>
      </c>
      <c r="AC12" s="7">
        <v>3473126</v>
      </c>
      <c r="AE12" s="13">
        <f t="shared" ref="AE12:AE76" si="1">U12+W12+Y12+AA12+AC12</f>
        <v>5760970</v>
      </c>
      <c r="AG12" s="7">
        <f t="shared" ref="AG12:AG76" si="2">+G12+I12+K12-O12-Q12-Y12-W12-U12-AA12-AC12</f>
        <v>0</v>
      </c>
      <c r="AK12" s="7" t="str">
        <f t="shared" ref="AK12:AK76" si="3">A12</f>
        <v xml:space="preserve">Adena Local SD </v>
      </c>
      <c r="AL12" s="7" t="str">
        <f>GenExp!A12</f>
        <v xml:space="preserve">Adena Local SD </v>
      </c>
      <c r="AM12" s="7" t="b">
        <f t="shared" ref="AM12:AM76" si="4">AK12=AL12</f>
        <v>1</v>
      </c>
      <c r="AN12" s="7" t="str">
        <f t="shared" ref="AN12:AN75" si="5">C12</f>
        <v>Ross</v>
      </c>
      <c r="AO12" s="7" t="b">
        <f>C12=GenExp!C12</f>
        <v>1</v>
      </c>
    </row>
    <row r="13" spans="1:41">
      <c r="A13" s="12" t="s">
        <v>522</v>
      </c>
      <c r="B13" s="12"/>
      <c r="C13" s="12" t="s">
        <v>63</v>
      </c>
      <c r="D13" s="12"/>
      <c r="E13" s="12">
        <v>43489</v>
      </c>
      <c r="G13" s="7">
        <f>51190889+25374606+29283839</f>
        <v>105849334</v>
      </c>
      <c r="I13" s="7">
        <v>0</v>
      </c>
      <c r="K13" s="2">
        <f t="shared" si="0"/>
        <v>220244376</v>
      </c>
      <c r="M13" s="7">
        <v>326093710</v>
      </c>
      <c r="O13" s="2">
        <f t="shared" ref="O13:O32" si="6">S13-Q13</f>
        <v>122083841</v>
      </c>
      <c r="Q13" s="7">
        <v>139036365</v>
      </c>
      <c r="S13" s="7">
        <v>261120206</v>
      </c>
      <c r="U13" s="7">
        <v>463342</v>
      </c>
      <c r="W13" s="7">
        <v>53679413</v>
      </c>
      <c r="Y13" s="7">
        <v>1647468</v>
      </c>
      <c r="AA13" s="7">
        <v>2222963</v>
      </c>
      <c r="AC13" s="7">
        <v>6960318</v>
      </c>
      <c r="AE13" s="13">
        <f t="shared" si="1"/>
        <v>64973504</v>
      </c>
      <c r="AG13" s="7">
        <f t="shared" si="2"/>
        <v>0</v>
      </c>
      <c r="AK13" s="7" t="str">
        <f t="shared" si="3"/>
        <v>Akron City SD</v>
      </c>
      <c r="AL13" s="7" t="str">
        <f>GenExp!A13</f>
        <v>Akron City SD</v>
      </c>
      <c r="AM13" s="7" t="b">
        <f t="shared" si="4"/>
        <v>1</v>
      </c>
      <c r="AN13" s="7" t="str">
        <f t="shared" si="5"/>
        <v>Summit</v>
      </c>
      <c r="AO13" s="7" t="b">
        <f>C13=GenExp!C13</f>
        <v>1</v>
      </c>
    </row>
    <row r="14" spans="1:41" hidden="1">
      <c r="A14" s="12" t="s">
        <v>643</v>
      </c>
      <c r="B14" s="12"/>
      <c r="C14" s="12" t="s">
        <v>13</v>
      </c>
      <c r="D14" s="12"/>
      <c r="E14" s="12">
        <v>45906</v>
      </c>
      <c r="K14" s="2">
        <f t="shared" si="0"/>
        <v>0</v>
      </c>
      <c r="O14" s="2">
        <f t="shared" si="6"/>
        <v>0</v>
      </c>
      <c r="AE14" s="13">
        <f t="shared" si="1"/>
        <v>0</v>
      </c>
      <c r="AG14" s="7">
        <f t="shared" si="2"/>
        <v>0</v>
      </c>
      <c r="AI14" s="7" t="s">
        <v>778</v>
      </c>
      <c r="AK14" s="7" t="str">
        <f t="shared" si="3"/>
        <v>Alexander Local SD (CASH)</v>
      </c>
      <c r="AL14" s="7" t="str">
        <f>GenExp!A14</f>
        <v>Alexander Local SD (CASH)</v>
      </c>
      <c r="AM14" s="7" t="b">
        <f t="shared" si="4"/>
        <v>1</v>
      </c>
      <c r="AN14" s="7" t="str">
        <f t="shared" si="5"/>
        <v>Athens</v>
      </c>
      <c r="AO14" s="7" t="b">
        <f>C14=GenExp!C14</f>
        <v>1</v>
      </c>
    </row>
    <row r="15" spans="1:41">
      <c r="A15" s="12" t="s">
        <v>508</v>
      </c>
      <c r="B15" s="12"/>
      <c r="C15" s="12" t="s">
        <v>62</v>
      </c>
      <c r="D15" s="12"/>
      <c r="E15" s="12">
        <v>43497</v>
      </c>
      <c r="G15" s="7">
        <f>10410397+150597</f>
        <v>10560994</v>
      </c>
      <c r="I15" s="7">
        <v>295597</v>
      </c>
      <c r="K15" s="2">
        <f t="shared" si="0"/>
        <v>10062033</v>
      </c>
      <c r="M15" s="7">
        <v>20918624</v>
      </c>
      <c r="O15" s="2">
        <f t="shared" si="6"/>
        <v>4396056</v>
      </c>
      <c r="Q15" s="7">
        <v>8531438</v>
      </c>
      <c r="S15" s="7">
        <v>12927494</v>
      </c>
      <c r="U15" s="7">
        <v>120199</v>
      </c>
      <c r="W15" s="7">
        <v>4615893</v>
      </c>
      <c r="Y15" s="7">
        <v>65767</v>
      </c>
      <c r="AA15" s="7">
        <v>331984</v>
      </c>
      <c r="AC15" s="7">
        <v>2857287</v>
      </c>
      <c r="AE15" s="13">
        <f t="shared" si="1"/>
        <v>7991130</v>
      </c>
      <c r="AG15" s="7">
        <f t="shared" si="2"/>
        <v>0</v>
      </c>
      <c r="AK15" s="7" t="str">
        <f t="shared" si="3"/>
        <v>Alliance City SD</v>
      </c>
      <c r="AL15" s="7" t="str">
        <f>GenExp!A15</f>
        <v>Alliance City SD</v>
      </c>
      <c r="AM15" s="7" t="b">
        <f t="shared" si="4"/>
        <v>1</v>
      </c>
      <c r="AN15" s="7" t="str">
        <f t="shared" si="5"/>
        <v>Stark</v>
      </c>
      <c r="AO15" s="7" t="b">
        <f>C15=GenExp!C15</f>
        <v>1</v>
      </c>
    </row>
    <row r="16" spans="1:41">
      <c r="A16" s="12" t="s">
        <v>298</v>
      </c>
      <c r="B16" s="12"/>
      <c r="C16" s="12" t="s">
        <v>25</v>
      </c>
      <c r="D16" s="12"/>
      <c r="E16" s="12">
        <v>46847</v>
      </c>
      <c r="G16" s="7">
        <v>3395860</v>
      </c>
      <c r="I16" s="7">
        <v>155652</v>
      </c>
      <c r="K16" s="2">
        <f t="shared" si="0"/>
        <v>3451120</v>
      </c>
      <c r="M16" s="7">
        <v>7002632</v>
      </c>
      <c r="O16" s="2">
        <f t="shared" si="6"/>
        <v>1877593</v>
      </c>
      <c r="Q16" s="7">
        <v>3149759</v>
      </c>
      <c r="S16" s="7">
        <v>5027352</v>
      </c>
      <c r="U16" s="7">
        <v>0</v>
      </c>
      <c r="W16" s="7">
        <v>1516402</v>
      </c>
      <c r="Y16" s="7">
        <v>0</v>
      </c>
      <c r="AA16" s="7">
        <v>127890</v>
      </c>
      <c r="AC16" s="7">
        <v>330988</v>
      </c>
      <c r="AE16" s="13">
        <f t="shared" si="1"/>
        <v>1975280</v>
      </c>
      <c r="AG16" s="7">
        <f t="shared" si="2"/>
        <v>0</v>
      </c>
      <c r="AK16" s="7" t="str">
        <f t="shared" si="3"/>
        <v>Amanda-Clearcreek Local SD</v>
      </c>
      <c r="AL16" s="7" t="str">
        <f>GenExp!A16</f>
        <v>Amanda-Clearcreek Local SD</v>
      </c>
      <c r="AM16" s="7" t="b">
        <f t="shared" si="4"/>
        <v>1</v>
      </c>
      <c r="AN16" s="7" t="str">
        <f t="shared" si="5"/>
        <v>Fairfield</v>
      </c>
      <c r="AO16" s="7" t="b">
        <f>C16=GenExp!C16</f>
        <v>1</v>
      </c>
    </row>
    <row r="17" spans="1:41">
      <c r="A17" s="12" t="s">
        <v>858</v>
      </c>
      <c r="B17" s="12"/>
      <c r="C17" s="12" t="s">
        <v>44</v>
      </c>
      <c r="D17" s="12"/>
      <c r="E17" s="12">
        <v>45195</v>
      </c>
      <c r="F17" s="96"/>
      <c r="G17" s="7">
        <v>8725989</v>
      </c>
      <c r="I17" s="7">
        <v>268004</v>
      </c>
      <c r="K17" s="2">
        <f t="shared" si="0"/>
        <v>18524075</v>
      </c>
      <c r="M17" s="7">
        <v>27518068</v>
      </c>
      <c r="O17" s="2">
        <f t="shared" si="6"/>
        <v>5611377</v>
      </c>
      <c r="Q17" s="7">
        <v>15300109</v>
      </c>
      <c r="S17" s="7">
        <v>20911486</v>
      </c>
      <c r="U17" s="7">
        <v>0</v>
      </c>
      <c r="W17" s="7">
        <v>2979856</v>
      </c>
      <c r="Y17" s="7">
        <v>0</v>
      </c>
      <c r="AA17" s="7">
        <v>403979</v>
      </c>
      <c r="AC17" s="7">
        <v>3222747</v>
      </c>
      <c r="AE17" s="13">
        <f t="shared" si="1"/>
        <v>6606582</v>
      </c>
      <c r="AG17" s="7">
        <f t="shared" si="2"/>
        <v>0</v>
      </c>
      <c r="AK17" s="7" t="str">
        <f t="shared" si="3"/>
        <v xml:space="preserve">Amherst Exempted Village SD </v>
      </c>
      <c r="AL17" s="7" t="str">
        <f>GenExp!A17</f>
        <v xml:space="preserve">Amherst Exempted Village SD </v>
      </c>
      <c r="AM17" s="7" t="b">
        <f t="shared" si="4"/>
        <v>1</v>
      </c>
      <c r="AN17" s="7" t="str">
        <f t="shared" si="5"/>
        <v>Lorain</v>
      </c>
      <c r="AO17" s="7" t="b">
        <f>C17=GenExp!C17</f>
        <v>1</v>
      </c>
    </row>
    <row r="18" spans="1:41">
      <c r="A18" s="12" t="s">
        <v>928</v>
      </c>
      <c r="B18" s="12"/>
      <c r="C18" s="12" t="s">
        <v>61</v>
      </c>
      <c r="D18" s="12"/>
      <c r="E18" s="12">
        <v>49759</v>
      </c>
      <c r="G18" s="7">
        <v>5698048</v>
      </c>
      <c r="I18" s="7">
        <v>70953</v>
      </c>
      <c r="K18" s="2">
        <f t="shared" ref="K18:K32" si="7">M18-G18-I18</f>
        <v>3633837</v>
      </c>
      <c r="M18" s="7">
        <v>9402838</v>
      </c>
      <c r="O18" s="2">
        <f t="shared" si="6"/>
        <v>1151685</v>
      </c>
      <c r="Q18" s="7">
        <v>3029204</v>
      </c>
      <c r="S18" s="7">
        <v>4180889</v>
      </c>
      <c r="U18" s="7">
        <v>14842</v>
      </c>
      <c r="W18" s="7">
        <v>3076237</v>
      </c>
      <c r="Y18" s="7">
        <v>305659</v>
      </c>
      <c r="AA18" s="7">
        <v>132081</v>
      </c>
      <c r="AC18" s="7">
        <v>1693130</v>
      </c>
      <c r="AE18" s="13">
        <f t="shared" si="1"/>
        <v>5221949</v>
      </c>
      <c r="AG18" s="7">
        <f t="shared" si="2"/>
        <v>0</v>
      </c>
      <c r="AI18" s="7" t="s">
        <v>929</v>
      </c>
      <c r="AK18" s="7" t="str">
        <f t="shared" si="3"/>
        <v>Anna Local SD</v>
      </c>
      <c r="AL18" s="7" t="str">
        <f>GenExp!A18</f>
        <v>Anna Local SD</v>
      </c>
      <c r="AM18" s="7" t="b">
        <f t="shared" si="4"/>
        <v>1</v>
      </c>
      <c r="AN18" s="7" t="str">
        <f t="shared" si="5"/>
        <v>Shelby</v>
      </c>
      <c r="AO18" s="7" t="b">
        <f>C18=GenExp!C18</f>
        <v>1</v>
      </c>
    </row>
    <row r="19" spans="1:41" hidden="1">
      <c r="A19" s="12" t="s">
        <v>727</v>
      </c>
      <c r="B19" s="12"/>
      <c r="C19" s="12" t="s">
        <v>628</v>
      </c>
      <c r="D19" s="12"/>
      <c r="E19" s="12"/>
      <c r="K19" s="2">
        <f t="shared" si="7"/>
        <v>0</v>
      </c>
      <c r="O19" s="2">
        <f t="shared" si="6"/>
        <v>0</v>
      </c>
      <c r="AE19" s="13">
        <f t="shared" si="1"/>
        <v>0</v>
      </c>
      <c r="AG19" s="7">
        <f t="shared" si="2"/>
        <v>0</v>
      </c>
      <c r="AI19" s="7" t="s">
        <v>778</v>
      </c>
      <c r="AK19" s="7" t="str">
        <f t="shared" si="3"/>
        <v>Ansonia Local SD (CASH)</v>
      </c>
      <c r="AL19" s="7" t="str">
        <f>GenExp!A19</f>
        <v>Ansonia Local SD (CASH)</v>
      </c>
      <c r="AM19" s="7" t="b">
        <f t="shared" si="4"/>
        <v>1</v>
      </c>
      <c r="AN19" s="7" t="str">
        <f t="shared" si="5"/>
        <v xml:space="preserve">Darke </v>
      </c>
      <c r="AO19" s="7" t="b">
        <f>C19=GenExp!C19</f>
        <v>1</v>
      </c>
    </row>
    <row r="20" spans="1:41">
      <c r="A20" s="12" t="s">
        <v>402</v>
      </c>
      <c r="B20" s="12"/>
      <c r="C20" s="12" t="s">
        <v>115</v>
      </c>
      <c r="D20" s="12"/>
      <c r="E20" s="12">
        <v>48207</v>
      </c>
      <c r="G20" s="7">
        <v>12435027</v>
      </c>
      <c r="I20" s="7">
        <v>34698</v>
      </c>
      <c r="K20" s="2">
        <f t="shared" si="7"/>
        <v>26733857</v>
      </c>
      <c r="M20" s="7">
        <v>39203582</v>
      </c>
      <c r="O20" s="2">
        <f t="shared" si="6"/>
        <v>5305363</v>
      </c>
      <c r="Q20" s="7">
        <f>1239841+23662113</f>
        <v>24901954</v>
      </c>
      <c r="S20" s="7">
        <v>30207317</v>
      </c>
      <c r="U20" s="7">
        <f>79034+34610</f>
        <v>113644</v>
      </c>
      <c r="W20" s="7">
        <f>997012+172013+274228+34698+57009</f>
        <v>1534960</v>
      </c>
      <c r="Y20" s="7">
        <v>2370171</v>
      </c>
      <c r="AA20" s="7">
        <f>131475+343853+350+81154+1497+161674</f>
        <v>720003</v>
      </c>
      <c r="AC20" s="7">
        <v>4257487</v>
      </c>
      <c r="AE20" s="13">
        <f t="shared" si="1"/>
        <v>8996265</v>
      </c>
      <c r="AG20" s="7">
        <f t="shared" si="2"/>
        <v>0</v>
      </c>
      <c r="AK20" s="7" t="str">
        <f t="shared" si="3"/>
        <v>Anthony Wayne Local SD</v>
      </c>
      <c r="AL20" s="7" t="str">
        <f>GenExp!A20</f>
        <v>Anthony Wayne Local SD</v>
      </c>
      <c r="AM20" s="7" t="b">
        <f t="shared" si="4"/>
        <v>1</v>
      </c>
      <c r="AN20" s="7" t="str">
        <f t="shared" si="5"/>
        <v>Lucas</v>
      </c>
      <c r="AO20" s="7" t="b">
        <f>C20=GenExp!C20</f>
        <v>1</v>
      </c>
    </row>
    <row r="21" spans="1:41">
      <c r="A21" s="12" t="s">
        <v>343</v>
      </c>
      <c r="B21" s="12"/>
      <c r="C21" s="12" t="s">
        <v>33</v>
      </c>
      <c r="D21" s="12"/>
      <c r="E21" s="12">
        <v>47415</v>
      </c>
      <c r="G21" s="7">
        <v>3636550</v>
      </c>
      <c r="I21" s="7">
        <v>149536</v>
      </c>
      <c r="K21" s="2">
        <f t="shared" si="7"/>
        <v>2565206</v>
      </c>
      <c r="M21" s="7">
        <v>6351292</v>
      </c>
      <c r="O21" s="2">
        <f t="shared" si="6"/>
        <v>740015</v>
      </c>
      <c r="Q21" s="7">
        <v>2163936</v>
      </c>
      <c r="S21" s="7">
        <v>2903951</v>
      </c>
      <c r="U21" s="7">
        <v>14746</v>
      </c>
      <c r="W21" s="7">
        <v>442245</v>
      </c>
      <c r="Y21" s="7">
        <v>0</v>
      </c>
      <c r="AA21" s="7">
        <v>45714</v>
      </c>
      <c r="AC21" s="7">
        <v>2944636</v>
      </c>
      <c r="AE21" s="13">
        <f t="shared" si="1"/>
        <v>3447341</v>
      </c>
      <c r="AG21" s="7">
        <f t="shared" si="2"/>
        <v>0</v>
      </c>
      <c r="AK21" s="7" t="str">
        <f t="shared" si="3"/>
        <v>Arcadia Local SD</v>
      </c>
      <c r="AL21" s="7" t="str">
        <f>GenExp!A21</f>
        <v>Arcadia Local SD</v>
      </c>
      <c r="AM21" s="7" t="b">
        <f t="shared" si="4"/>
        <v>1</v>
      </c>
      <c r="AN21" s="7" t="str">
        <f t="shared" si="5"/>
        <v>Hancock</v>
      </c>
      <c r="AO21" s="7" t="b">
        <f>C21=GenExp!C21</f>
        <v>1</v>
      </c>
    </row>
    <row r="22" spans="1:41" hidden="1">
      <c r="A22" s="12" t="s">
        <v>702</v>
      </c>
      <c r="B22" s="12"/>
      <c r="C22" s="12" t="s">
        <v>21</v>
      </c>
      <c r="D22" s="12"/>
      <c r="E22" s="12">
        <v>46631</v>
      </c>
      <c r="K22" s="2">
        <f t="shared" si="7"/>
        <v>0</v>
      </c>
      <c r="O22" s="2">
        <f t="shared" si="6"/>
        <v>0</v>
      </c>
      <c r="AE22" s="13">
        <f t="shared" si="1"/>
        <v>0</v>
      </c>
      <c r="AG22" s="7">
        <f t="shared" si="2"/>
        <v>0</v>
      </c>
      <c r="AI22" s="7" t="s">
        <v>778</v>
      </c>
      <c r="AK22" s="7" t="str">
        <f t="shared" si="3"/>
        <v>Arcanum Butler Local SD (CASH)</v>
      </c>
      <c r="AL22" s="7" t="str">
        <f>GenExp!A22</f>
        <v>Arcanum Butler Local SD (CASH)</v>
      </c>
      <c r="AM22" s="7" t="b">
        <f t="shared" si="4"/>
        <v>1</v>
      </c>
      <c r="AN22" s="7" t="str">
        <f t="shared" si="5"/>
        <v>Darke</v>
      </c>
      <c r="AO22" s="7" t="b">
        <f>C22=GenExp!C22</f>
        <v>1</v>
      </c>
    </row>
    <row r="23" spans="1:41">
      <c r="A23" s="12" t="s">
        <v>318</v>
      </c>
      <c r="B23" s="12"/>
      <c r="C23" s="12" t="s">
        <v>28</v>
      </c>
      <c r="D23" s="12"/>
      <c r="E23" s="12">
        <v>47043</v>
      </c>
      <c r="G23" s="7">
        <v>9023308</v>
      </c>
      <c r="I23" s="7">
        <v>0</v>
      </c>
      <c r="K23" s="2">
        <f t="shared" si="7"/>
        <v>7162604</v>
      </c>
      <c r="M23" s="7">
        <v>16185912</v>
      </c>
      <c r="O23" s="2">
        <f t="shared" si="6"/>
        <v>1455054</v>
      </c>
      <c r="Q23" s="7">
        <v>6679728</v>
      </c>
      <c r="S23" s="7">
        <v>8134782</v>
      </c>
      <c r="U23" s="7">
        <v>21277</v>
      </c>
      <c r="W23" s="7">
        <v>3942348</v>
      </c>
      <c r="Y23" s="7">
        <v>0</v>
      </c>
      <c r="AA23" s="7">
        <v>90327</v>
      </c>
      <c r="AC23" s="7">
        <v>3997178</v>
      </c>
      <c r="AE23" s="13">
        <f t="shared" si="1"/>
        <v>8051130</v>
      </c>
      <c r="AG23" s="7">
        <f t="shared" si="2"/>
        <v>0</v>
      </c>
      <c r="AK23" s="7" t="str">
        <f t="shared" si="3"/>
        <v>Archbold-Area Local SD</v>
      </c>
      <c r="AL23" s="7" t="str">
        <f>GenExp!A23</f>
        <v>Archbold-Area Local SD</v>
      </c>
      <c r="AM23" s="7" t="b">
        <f t="shared" si="4"/>
        <v>1</v>
      </c>
      <c r="AN23" s="7" t="str">
        <f t="shared" si="5"/>
        <v>Fulton</v>
      </c>
      <c r="AO23" s="7" t="b">
        <f>C23=GenExp!C23</f>
        <v>1</v>
      </c>
    </row>
    <row r="24" spans="1:41">
      <c r="A24" s="12" t="s">
        <v>344</v>
      </c>
      <c r="B24" s="12"/>
      <c r="C24" s="12" t="s">
        <v>33</v>
      </c>
      <c r="D24" s="12"/>
      <c r="E24" s="12">
        <v>47423</v>
      </c>
      <c r="G24" s="7">
        <v>2190005</v>
      </c>
      <c r="I24" s="7">
        <v>369285</v>
      </c>
      <c r="K24" s="2">
        <f t="shared" si="7"/>
        <v>1997929</v>
      </c>
      <c r="M24" s="7">
        <v>4557219</v>
      </c>
      <c r="O24" s="2">
        <f t="shared" si="6"/>
        <v>752711</v>
      </c>
      <c r="Q24" s="7">
        <v>1512013</v>
      </c>
      <c r="S24" s="7">
        <v>2264724</v>
      </c>
      <c r="U24" s="7">
        <v>61676</v>
      </c>
      <c r="W24" s="7">
        <v>589187</v>
      </c>
      <c r="Y24" s="7">
        <v>44202</v>
      </c>
      <c r="AA24" s="7">
        <v>67045</v>
      </c>
      <c r="AC24" s="7">
        <v>1530385</v>
      </c>
      <c r="AE24" s="13">
        <f t="shared" si="1"/>
        <v>2292495</v>
      </c>
      <c r="AG24" s="7">
        <f t="shared" si="2"/>
        <v>0</v>
      </c>
      <c r="AK24" s="7" t="str">
        <f t="shared" si="3"/>
        <v>Arlington Local SD</v>
      </c>
      <c r="AL24" s="7" t="str">
        <f>GenExp!A24</f>
        <v>Arlington Local SD</v>
      </c>
      <c r="AM24" s="7" t="b">
        <f t="shared" si="4"/>
        <v>1</v>
      </c>
      <c r="AN24" s="7" t="str">
        <f t="shared" si="5"/>
        <v>Hancock</v>
      </c>
      <c r="AO24" s="7" t="b">
        <f>C24=GenExp!C24</f>
        <v>1</v>
      </c>
    </row>
    <row r="25" spans="1:41">
      <c r="A25" s="12" t="s">
        <v>204</v>
      </c>
      <c r="B25" s="12"/>
      <c r="C25" s="12" t="s">
        <v>11</v>
      </c>
      <c r="D25" s="12"/>
      <c r="E25" s="12">
        <v>43505</v>
      </c>
      <c r="G25" s="7">
        <f>9449922+2245</f>
        <v>9452167</v>
      </c>
      <c r="I25" s="7">
        <v>0</v>
      </c>
      <c r="K25" s="2">
        <f t="shared" si="7"/>
        <v>15876886</v>
      </c>
      <c r="M25" s="7">
        <v>25329053</v>
      </c>
      <c r="O25" s="2">
        <f t="shared" si="6"/>
        <v>4818971</v>
      </c>
      <c r="Q25" s="7">
        <v>11897335</v>
      </c>
      <c r="S25" s="7">
        <v>16716306</v>
      </c>
      <c r="U25" s="7">
        <v>10248</v>
      </c>
      <c r="W25" s="7">
        <v>653959</v>
      </c>
      <c r="Y25" s="7">
        <v>0</v>
      </c>
      <c r="AA25" s="7">
        <v>182554</v>
      </c>
      <c r="AC25" s="7">
        <v>7765986</v>
      </c>
      <c r="AE25" s="13">
        <f t="shared" si="1"/>
        <v>8612747</v>
      </c>
      <c r="AG25" s="7">
        <f t="shared" si="2"/>
        <v>0</v>
      </c>
      <c r="AK25" s="7" t="str">
        <f t="shared" si="3"/>
        <v>Ashland City SD</v>
      </c>
      <c r="AL25" s="7" t="str">
        <f>GenExp!A25</f>
        <v>Ashland City SD</v>
      </c>
      <c r="AM25" s="7" t="b">
        <f t="shared" si="4"/>
        <v>1</v>
      </c>
      <c r="AN25" s="7" t="str">
        <f t="shared" si="5"/>
        <v>Ashland</v>
      </c>
      <c r="AO25" s="7" t="b">
        <f>C25=GenExp!C25</f>
        <v>1</v>
      </c>
    </row>
    <row r="26" spans="1:41">
      <c r="A26" s="12" t="s">
        <v>701</v>
      </c>
      <c r="B26" s="12"/>
      <c r="C26" s="12" t="s">
        <v>12</v>
      </c>
      <c r="D26" s="12"/>
      <c r="E26" s="12">
        <v>43513</v>
      </c>
      <c r="G26" s="7">
        <v>9191819</v>
      </c>
      <c r="I26" s="7">
        <v>14680950</v>
      </c>
      <c r="K26" s="2">
        <f t="shared" si="7"/>
        <v>17983841</v>
      </c>
      <c r="M26" s="7">
        <v>41856610</v>
      </c>
      <c r="O26" s="2">
        <f t="shared" si="6"/>
        <v>11667304</v>
      </c>
      <c r="Q26" s="7">
        <v>10062825</v>
      </c>
      <c r="S26" s="7">
        <v>21730129</v>
      </c>
      <c r="U26" s="7">
        <v>377185</v>
      </c>
      <c r="W26" s="7">
        <v>19759786</v>
      </c>
      <c r="Y26" s="7">
        <v>193024</v>
      </c>
      <c r="AA26" s="7">
        <v>160555</v>
      </c>
      <c r="AC26" s="7">
        <v>-364069</v>
      </c>
      <c r="AE26" s="13">
        <f t="shared" si="1"/>
        <v>20126481</v>
      </c>
      <c r="AG26" s="7">
        <f t="shared" si="2"/>
        <v>0</v>
      </c>
      <c r="AK26" s="7" t="str">
        <f t="shared" si="3"/>
        <v xml:space="preserve">Ashtabula Area City SD </v>
      </c>
      <c r="AL26" s="7" t="str">
        <f>GenExp!A26</f>
        <v xml:space="preserve">Ashtabula Area City SD </v>
      </c>
      <c r="AM26" s="7" t="b">
        <f t="shared" si="4"/>
        <v>1</v>
      </c>
      <c r="AN26" s="7" t="str">
        <f t="shared" si="5"/>
        <v>Ashtabula</v>
      </c>
      <c r="AO26" s="7" t="b">
        <f>C26=GenExp!C26</f>
        <v>1</v>
      </c>
    </row>
    <row r="27" spans="1:41">
      <c r="A27" s="12" t="s">
        <v>211</v>
      </c>
      <c r="B27" s="12"/>
      <c r="C27" s="12" t="s">
        <v>13</v>
      </c>
      <c r="D27" s="12"/>
      <c r="E27" s="12">
        <v>43521</v>
      </c>
      <c r="G27" s="7">
        <v>15944081</v>
      </c>
      <c r="I27" s="7">
        <v>0</v>
      </c>
      <c r="K27" s="2">
        <f t="shared" si="7"/>
        <v>18590899</v>
      </c>
      <c r="M27" s="7">
        <v>34534980</v>
      </c>
      <c r="O27" s="2">
        <f t="shared" si="6"/>
        <v>5257505</v>
      </c>
      <c r="Q27" s="7">
        <v>15695211</v>
      </c>
      <c r="S27" s="7">
        <v>20952716</v>
      </c>
      <c r="U27" s="7">
        <v>5842</v>
      </c>
      <c r="W27" s="7">
        <v>6333868</v>
      </c>
      <c r="Y27" s="7">
        <v>0</v>
      </c>
      <c r="AA27" s="7">
        <v>262310</v>
      </c>
      <c r="AC27" s="7">
        <v>6980244</v>
      </c>
      <c r="AE27" s="13">
        <f t="shared" si="1"/>
        <v>13582264</v>
      </c>
      <c r="AG27" s="7">
        <f t="shared" si="2"/>
        <v>0</v>
      </c>
      <c r="AK27" s="7" t="str">
        <f t="shared" si="3"/>
        <v>Athens City SD</v>
      </c>
      <c r="AL27" s="7" t="str">
        <f>GenExp!A27</f>
        <v>Athens City SD</v>
      </c>
      <c r="AM27" s="7" t="b">
        <f t="shared" si="4"/>
        <v>1</v>
      </c>
      <c r="AN27" s="7" t="str">
        <f t="shared" si="5"/>
        <v>Athens</v>
      </c>
      <c r="AO27" s="7" t="b">
        <f>C27=GenExp!C27</f>
        <v>1</v>
      </c>
    </row>
    <row r="28" spans="1:41">
      <c r="A28" s="12" t="s">
        <v>474</v>
      </c>
      <c r="B28" s="12"/>
      <c r="C28" s="12" t="s">
        <v>56</v>
      </c>
      <c r="D28" s="12"/>
      <c r="E28" s="12">
        <v>49171</v>
      </c>
      <c r="G28" s="7">
        <f>605000+230497</f>
        <v>835497</v>
      </c>
      <c r="I28" s="7">
        <v>1178024</v>
      </c>
      <c r="K28" s="2">
        <f t="shared" si="7"/>
        <v>29251633</v>
      </c>
      <c r="M28" s="7">
        <v>31265154</v>
      </c>
      <c r="O28" s="2">
        <f t="shared" si="6"/>
        <v>4460538</v>
      </c>
      <c r="Q28" s="7">
        <v>21734518</v>
      </c>
      <c r="S28" s="7">
        <v>26195056</v>
      </c>
      <c r="U28" s="7">
        <v>57031</v>
      </c>
      <c r="W28" s="7">
        <v>3769951</v>
      </c>
      <c r="Y28" s="7">
        <v>0</v>
      </c>
      <c r="AA28" s="7">
        <v>3603005</v>
      </c>
      <c r="AC28" s="7">
        <v>-2359889</v>
      </c>
      <c r="AE28" s="13">
        <f t="shared" si="1"/>
        <v>5070098</v>
      </c>
      <c r="AG28" s="7">
        <f t="shared" si="2"/>
        <v>0</v>
      </c>
      <c r="AK28" s="7" t="str">
        <f t="shared" si="3"/>
        <v>Aurora City SD</v>
      </c>
      <c r="AL28" s="7" t="str">
        <f>GenExp!A28</f>
        <v>Aurora City SD</v>
      </c>
      <c r="AM28" s="7" t="b">
        <f t="shared" si="4"/>
        <v>1</v>
      </c>
      <c r="AN28" s="7" t="str">
        <f t="shared" si="5"/>
        <v>Portage</v>
      </c>
      <c r="AO28" s="7" t="b">
        <f>C28=GenExp!C28</f>
        <v>1</v>
      </c>
    </row>
    <row r="29" spans="1:41">
      <c r="A29" s="12" t="s">
        <v>414</v>
      </c>
      <c r="B29" s="12"/>
      <c r="C29" s="12" t="s">
        <v>45</v>
      </c>
      <c r="D29" s="12"/>
      <c r="E29" s="12">
        <v>48298</v>
      </c>
      <c r="G29" s="7">
        <f>16733563+25997826</f>
        <v>42731389</v>
      </c>
      <c r="I29" s="7">
        <v>71058</v>
      </c>
      <c r="K29" s="2">
        <f t="shared" si="7"/>
        <v>39017279</v>
      </c>
      <c r="M29" s="7">
        <v>81819726</v>
      </c>
      <c r="O29" s="2">
        <f t="shared" si="6"/>
        <v>-23589821</v>
      </c>
      <c r="Q29" s="7">
        <f>50838841+17723020</f>
        <v>68561861</v>
      </c>
      <c r="S29" s="7">
        <v>44972040</v>
      </c>
      <c r="U29" s="7">
        <v>69928</v>
      </c>
      <c r="W29" s="7">
        <v>35761823</v>
      </c>
      <c r="Y29" s="7">
        <v>479417</v>
      </c>
      <c r="AA29" s="7">
        <v>457516</v>
      </c>
      <c r="AC29" s="7">
        <v>79002</v>
      </c>
      <c r="AE29" s="13">
        <f t="shared" si="1"/>
        <v>36847686</v>
      </c>
      <c r="AG29" s="7">
        <f t="shared" si="2"/>
        <v>0</v>
      </c>
      <c r="AK29" s="7" t="str">
        <f t="shared" si="3"/>
        <v>Austintown Local SD</v>
      </c>
      <c r="AL29" s="7" t="str">
        <f>GenExp!A29</f>
        <v>Austintown Local SD</v>
      </c>
      <c r="AM29" s="7" t="b">
        <f t="shared" si="4"/>
        <v>1</v>
      </c>
      <c r="AN29" s="7" t="str">
        <f t="shared" si="5"/>
        <v>Mahoning</v>
      </c>
      <c r="AO29" s="7" t="b">
        <f>C29=GenExp!C29</f>
        <v>1</v>
      </c>
    </row>
    <row r="30" spans="1:41">
      <c r="A30" s="12" t="s">
        <v>392</v>
      </c>
      <c r="B30" s="12"/>
      <c r="C30" s="12" t="s">
        <v>44</v>
      </c>
      <c r="D30" s="12"/>
      <c r="E30" s="12">
        <v>48124</v>
      </c>
      <c r="G30" s="7">
        <f>22847519+275663</f>
        <v>23123182</v>
      </c>
      <c r="I30" s="7">
        <v>113990</v>
      </c>
      <c r="K30" s="2">
        <f t="shared" si="7"/>
        <v>37814829</v>
      </c>
      <c r="M30" s="7">
        <v>61052001</v>
      </c>
      <c r="O30" s="2">
        <f t="shared" si="6"/>
        <v>7776207</v>
      </c>
      <c r="Q30" s="7">
        <v>33907195</v>
      </c>
      <c r="S30" s="7">
        <v>41683402</v>
      </c>
      <c r="U30" s="7">
        <v>47434</v>
      </c>
      <c r="W30" s="7">
        <v>6850257</v>
      </c>
      <c r="Y30" s="7">
        <v>113990</v>
      </c>
      <c r="AA30" s="7">
        <v>1762398</v>
      </c>
      <c r="AC30" s="7">
        <v>10594520</v>
      </c>
      <c r="AE30" s="13">
        <f t="shared" si="1"/>
        <v>19368599</v>
      </c>
      <c r="AG30" s="7">
        <f t="shared" si="2"/>
        <v>0</v>
      </c>
      <c r="AK30" s="7" t="str">
        <f t="shared" si="3"/>
        <v>Avon Lake City SD</v>
      </c>
      <c r="AL30" s="7" t="str">
        <f>GenExp!A30</f>
        <v>Avon Lake City SD</v>
      </c>
      <c r="AM30" s="7" t="b">
        <f t="shared" si="4"/>
        <v>1</v>
      </c>
      <c r="AN30" s="7" t="str">
        <f t="shared" si="5"/>
        <v>Lorain</v>
      </c>
      <c r="AO30" s="7" t="b">
        <f>C30=GenExp!C30</f>
        <v>1</v>
      </c>
    </row>
    <row r="31" spans="1:41">
      <c r="A31" s="12" t="s">
        <v>393</v>
      </c>
      <c r="B31" s="12"/>
      <c r="C31" s="12" t="s">
        <v>44</v>
      </c>
      <c r="D31" s="12"/>
      <c r="E31" s="12">
        <v>48116</v>
      </c>
      <c r="G31" s="7">
        <v>14933757</v>
      </c>
      <c r="I31" s="7">
        <v>0</v>
      </c>
      <c r="K31" s="2">
        <f t="shared" si="7"/>
        <v>30067918</v>
      </c>
      <c r="M31" s="7">
        <v>45001675</v>
      </c>
      <c r="O31" s="2">
        <f t="shared" si="6"/>
        <v>8935352</v>
      </c>
      <c r="Q31" s="7">
        <v>27200413</v>
      </c>
      <c r="S31" s="7">
        <v>36135765</v>
      </c>
      <c r="U31" s="7">
        <v>0</v>
      </c>
      <c r="W31" s="7">
        <v>5202110</v>
      </c>
      <c r="Y31" s="7">
        <v>0</v>
      </c>
      <c r="AA31" s="7">
        <v>580521</v>
      </c>
      <c r="AC31" s="7">
        <v>3083279</v>
      </c>
      <c r="AE31" s="13">
        <f t="shared" si="1"/>
        <v>8865910</v>
      </c>
      <c r="AG31" s="7">
        <f t="shared" si="2"/>
        <v>0</v>
      </c>
      <c r="AK31" s="7" t="str">
        <f t="shared" si="3"/>
        <v>Avon Local SD</v>
      </c>
      <c r="AL31" s="7" t="str">
        <f>GenExp!A31</f>
        <v>Avon Local SD</v>
      </c>
      <c r="AM31" s="7" t="b">
        <f t="shared" si="4"/>
        <v>1</v>
      </c>
      <c r="AN31" s="7" t="str">
        <f t="shared" si="5"/>
        <v>Lorain</v>
      </c>
      <c r="AO31" s="7" t="b">
        <f>C31=GenExp!C31</f>
        <v>1</v>
      </c>
    </row>
    <row r="32" spans="1:41">
      <c r="A32" s="12" t="s">
        <v>289</v>
      </c>
      <c r="B32" s="12"/>
      <c r="C32" s="12" t="s">
        <v>22</v>
      </c>
      <c r="D32" s="12"/>
      <c r="E32" s="12">
        <v>46706</v>
      </c>
      <c r="G32" s="7">
        <v>3924494</v>
      </c>
      <c r="I32" s="7">
        <v>1056</v>
      </c>
      <c r="K32" s="2">
        <f t="shared" si="7"/>
        <v>3024253</v>
      </c>
      <c r="M32" s="7">
        <v>6949803</v>
      </c>
      <c r="O32" s="2">
        <f t="shared" si="6"/>
        <v>1044404</v>
      </c>
      <c r="Q32" s="7">
        <v>2452020</v>
      </c>
      <c r="S32" s="7">
        <v>3496424</v>
      </c>
      <c r="U32" s="7">
        <f>23281+11228</f>
        <v>34509</v>
      </c>
      <c r="W32" s="7">
        <f>67368+5105+62062+21318+213398</f>
        <v>369251</v>
      </c>
      <c r="Y32" s="7">
        <v>0</v>
      </c>
      <c r="AA32" s="7">
        <f>64471+42311+49139</f>
        <v>155921</v>
      </c>
      <c r="AC32" s="7">
        <v>2893698</v>
      </c>
      <c r="AE32" s="13">
        <f t="shared" si="1"/>
        <v>3453379</v>
      </c>
      <c r="AG32" s="7">
        <f t="shared" si="2"/>
        <v>0</v>
      </c>
      <c r="AK32" s="7" t="str">
        <f t="shared" si="3"/>
        <v>Ayersville Local SD</v>
      </c>
      <c r="AL32" s="7" t="str">
        <f>GenExp!A32</f>
        <v>Ayersville Local SD</v>
      </c>
      <c r="AM32" s="7" t="b">
        <f t="shared" si="4"/>
        <v>1</v>
      </c>
      <c r="AN32" s="7" t="str">
        <f t="shared" si="5"/>
        <v>Defiance</v>
      </c>
      <c r="AO32" s="7" t="b">
        <f>C32=GenExp!C32</f>
        <v>1</v>
      </c>
    </row>
    <row r="33" spans="1:41">
      <c r="A33" s="12" t="s">
        <v>523</v>
      </c>
      <c r="B33" s="12"/>
      <c r="C33" s="12" t="s">
        <v>63</v>
      </c>
      <c r="D33" s="12"/>
      <c r="E33" s="12">
        <v>43539</v>
      </c>
      <c r="G33" s="7">
        <f>11505888+35359134</f>
        <v>46865022</v>
      </c>
      <c r="I33" s="7">
        <v>0</v>
      </c>
      <c r="K33" s="2">
        <f t="shared" ref="K33:K49" si="8">+M33-I33-G33</f>
        <v>20970205</v>
      </c>
      <c r="M33" s="7">
        <v>67835227</v>
      </c>
      <c r="O33" s="2">
        <f t="shared" ref="O33:O49" si="9">+S33-Q33</f>
        <v>10380260</v>
      </c>
      <c r="Q33" s="7">
        <f>7090876+11470273</f>
        <v>18561149</v>
      </c>
      <c r="S33" s="7">
        <v>28941409</v>
      </c>
      <c r="U33" s="7">
        <v>125488</v>
      </c>
      <c r="W33" s="7">
        <f>2228936+31897607+619606+215961+15183+3697+16782+95515</f>
        <v>35093287</v>
      </c>
      <c r="Y33" s="7">
        <v>14012</v>
      </c>
      <c r="AA33" s="7">
        <f>167479+377315+11596+13188</f>
        <v>569578</v>
      </c>
      <c r="AC33" s="7">
        <v>3091453</v>
      </c>
      <c r="AE33" s="13">
        <f t="shared" si="1"/>
        <v>38893818</v>
      </c>
      <c r="AG33" s="7">
        <f t="shared" si="2"/>
        <v>0</v>
      </c>
      <c r="AK33" s="7" t="str">
        <f t="shared" si="3"/>
        <v>Barberton City SD</v>
      </c>
      <c r="AL33" s="7" t="str">
        <f>GenExp!A33</f>
        <v>Barberton City SD</v>
      </c>
      <c r="AM33" s="7" t="b">
        <f t="shared" si="4"/>
        <v>1</v>
      </c>
      <c r="AN33" s="7" t="str">
        <f t="shared" si="5"/>
        <v>Summit</v>
      </c>
      <c r="AO33" s="7" t="b">
        <f>C33=GenExp!C33</f>
        <v>1</v>
      </c>
    </row>
    <row r="34" spans="1:41">
      <c r="A34" s="12" t="s">
        <v>859</v>
      </c>
      <c r="B34" s="12"/>
      <c r="C34" s="12" t="s">
        <v>15</v>
      </c>
      <c r="D34" s="12"/>
      <c r="E34" s="12"/>
      <c r="G34" s="7">
        <v>3899004</v>
      </c>
      <c r="I34" s="7">
        <v>9036</v>
      </c>
      <c r="K34" s="2">
        <f t="shared" si="8"/>
        <v>4164085</v>
      </c>
      <c r="M34" s="7">
        <v>8072125</v>
      </c>
      <c r="O34" s="2">
        <f t="shared" si="9"/>
        <v>1578425</v>
      </c>
      <c r="Q34" s="7">
        <v>3515003</v>
      </c>
      <c r="S34" s="7">
        <v>5093428</v>
      </c>
      <c r="U34" s="7">
        <f>34221+5836</f>
        <v>40057</v>
      </c>
      <c r="W34" s="7">
        <f>9677+559597+105575+21933+71560+1044+107486+9036</f>
        <v>885908</v>
      </c>
      <c r="Y34" s="7">
        <v>0</v>
      </c>
      <c r="AA34" s="7">
        <v>0</v>
      </c>
      <c r="AC34" s="7">
        <v>2052732</v>
      </c>
      <c r="AE34" s="13">
        <f t="shared" si="1"/>
        <v>2978697</v>
      </c>
      <c r="AG34" s="7">
        <f t="shared" si="2"/>
        <v>0</v>
      </c>
      <c r="AK34" s="7" t="str">
        <f t="shared" si="3"/>
        <v>Barnesville Exempted Village SD</v>
      </c>
      <c r="AL34" s="7" t="str">
        <f>GenExp!A34</f>
        <v>Barnesville Exempted Village SD</v>
      </c>
      <c r="AM34" s="7" t="b">
        <f t="shared" si="4"/>
        <v>1</v>
      </c>
      <c r="AN34" s="7" t="str">
        <f t="shared" si="5"/>
        <v>Belmont</v>
      </c>
      <c r="AO34" s="7" t="b">
        <f>C34=GenExp!C34</f>
        <v>1</v>
      </c>
    </row>
    <row r="35" spans="1:41">
      <c r="A35" s="12" t="s">
        <v>242</v>
      </c>
      <c r="B35" s="12"/>
      <c r="C35" s="12" t="s">
        <v>113</v>
      </c>
      <c r="D35" s="12"/>
      <c r="E35" s="12">
        <v>46300</v>
      </c>
      <c r="G35" s="7">
        <v>2506082</v>
      </c>
      <c r="I35" s="7">
        <v>78607</v>
      </c>
      <c r="K35" s="2">
        <f t="shared" si="8"/>
        <v>9580159</v>
      </c>
      <c r="M35" s="7">
        <v>12164848</v>
      </c>
      <c r="O35" s="2">
        <f t="shared" si="9"/>
        <v>3159924</v>
      </c>
      <c r="Q35" s="7">
        <v>6937456</v>
      </c>
      <c r="S35" s="7">
        <v>10097380</v>
      </c>
      <c r="U35" s="7">
        <v>0</v>
      </c>
      <c r="W35" s="7">
        <v>2085386</v>
      </c>
      <c r="Y35" s="7">
        <v>10844</v>
      </c>
      <c r="AA35" s="7">
        <v>61386</v>
      </c>
      <c r="AC35" s="7">
        <v>-90148</v>
      </c>
      <c r="AE35" s="13">
        <f t="shared" si="1"/>
        <v>2067468</v>
      </c>
      <c r="AG35" s="7">
        <f t="shared" si="2"/>
        <v>0</v>
      </c>
      <c r="AK35" s="7" t="str">
        <f t="shared" si="3"/>
        <v>Batavia Local SD</v>
      </c>
      <c r="AL35" s="7" t="str">
        <f>GenExp!A35</f>
        <v>Batavia Local SD</v>
      </c>
      <c r="AM35" s="7" t="b">
        <f t="shared" si="4"/>
        <v>1</v>
      </c>
      <c r="AN35" s="7" t="str">
        <f t="shared" si="5"/>
        <v>Clermont</v>
      </c>
      <c r="AO35" s="7" t="b">
        <f>C35=GenExp!C35</f>
        <v>1</v>
      </c>
    </row>
    <row r="36" spans="1:41" hidden="1">
      <c r="A36" s="12" t="s">
        <v>703</v>
      </c>
      <c r="B36" s="12"/>
      <c r="C36" s="12" t="s">
        <v>10</v>
      </c>
      <c r="D36" s="12"/>
      <c r="E36" s="12">
        <v>45765</v>
      </c>
      <c r="K36" s="2">
        <f t="shared" si="8"/>
        <v>0</v>
      </c>
      <c r="O36" s="2">
        <f t="shared" si="9"/>
        <v>0</v>
      </c>
      <c r="AE36" s="13">
        <f t="shared" si="1"/>
        <v>0</v>
      </c>
      <c r="AG36" s="7">
        <f t="shared" si="2"/>
        <v>0</v>
      </c>
      <c r="AI36" s="7" t="s">
        <v>778</v>
      </c>
      <c r="AK36" s="7" t="str">
        <f t="shared" si="3"/>
        <v>Bath Local SD (CASH)</v>
      </c>
      <c r="AL36" s="7" t="str">
        <f>GenExp!A36</f>
        <v>Bath Local SD (CASH)</v>
      </c>
      <c r="AM36" s="7" t="b">
        <f t="shared" si="4"/>
        <v>1</v>
      </c>
      <c r="AN36" s="7" t="str">
        <f t="shared" si="5"/>
        <v>Allen</v>
      </c>
      <c r="AO36" s="7" t="b">
        <f>C36=GenExp!C36</f>
        <v>1</v>
      </c>
    </row>
    <row r="37" spans="1:41">
      <c r="A37" s="12" t="s">
        <v>661</v>
      </c>
      <c r="B37" s="12"/>
      <c r="C37" s="12" t="s">
        <v>20</v>
      </c>
      <c r="D37" s="12"/>
      <c r="E37" s="12">
        <v>43547</v>
      </c>
      <c r="G37" s="7">
        <v>10828070</v>
      </c>
      <c r="I37" s="7">
        <v>0</v>
      </c>
      <c r="K37" s="2">
        <f t="shared" si="8"/>
        <v>24832838</v>
      </c>
      <c r="M37" s="7">
        <v>35660908</v>
      </c>
      <c r="O37" s="2">
        <f t="shared" si="9"/>
        <v>4372145</v>
      </c>
      <c r="Q37" s="7">
        <v>20782619</v>
      </c>
      <c r="S37" s="7">
        <v>25154764</v>
      </c>
      <c r="U37" s="7">
        <v>44552</v>
      </c>
      <c r="W37" s="7">
        <v>3964961</v>
      </c>
      <c r="Y37" s="7">
        <v>0</v>
      </c>
      <c r="AA37" s="7">
        <v>841256</v>
      </c>
      <c r="AC37" s="7">
        <v>5655375</v>
      </c>
      <c r="AE37" s="13">
        <f t="shared" si="1"/>
        <v>10506144</v>
      </c>
      <c r="AG37" s="7">
        <f t="shared" si="2"/>
        <v>0</v>
      </c>
      <c r="AK37" s="7" t="str">
        <f t="shared" si="3"/>
        <v xml:space="preserve">Bay Village City SD </v>
      </c>
      <c r="AL37" s="7" t="str">
        <f>GenExp!A37</f>
        <v xml:space="preserve">Bay Village City SD </v>
      </c>
      <c r="AM37" s="7" t="b">
        <f t="shared" si="4"/>
        <v>1</v>
      </c>
      <c r="AN37" s="7" t="str">
        <f t="shared" si="5"/>
        <v>Cuyahoga</v>
      </c>
      <c r="AO37" s="7" t="b">
        <f>C37=GenExp!C37</f>
        <v>1</v>
      </c>
    </row>
    <row r="38" spans="1:41">
      <c r="A38" s="12" t="s">
        <v>267</v>
      </c>
      <c r="B38" s="12"/>
      <c r="C38" s="12" t="s">
        <v>20</v>
      </c>
      <c r="D38" s="12"/>
      <c r="E38" s="12">
        <v>43554</v>
      </c>
      <c r="G38" s="7">
        <f>53640864+134873</f>
        <v>53775737</v>
      </c>
      <c r="I38" s="7">
        <v>0</v>
      </c>
      <c r="K38" s="2">
        <f t="shared" si="8"/>
        <v>30268838</v>
      </c>
      <c r="M38" s="7">
        <v>84044575</v>
      </c>
      <c r="O38" s="2">
        <f t="shared" si="9"/>
        <v>5822870</v>
      </c>
      <c r="Q38" s="7">
        <v>23281617</v>
      </c>
      <c r="S38" s="7">
        <v>29104487</v>
      </c>
      <c r="U38" s="7">
        <v>83725</v>
      </c>
      <c r="W38" s="7">
        <v>30305581</v>
      </c>
      <c r="Y38" s="7">
        <v>6564197</v>
      </c>
      <c r="AA38" s="7">
        <v>1170307</v>
      </c>
      <c r="AC38" s="7">
        <v>16816278</v>
      </c>
      <c r="AE38" s="13">
        <f t="shared" si="1"/>
        <v>54940088</v>
      </c>
      <c r="AG38" s="7">
        <f t="shared" si="2"/>
        <v>0</v>
      </c>
      <c r="AK38" s="7" t="str">
        <f t="shared" si="3"/>
        <v>Beachwood City SD</v>
      </c>
      <c r="AL38" s="7" t="str">
        <f>GenExp!A38</f>
        <v>Beachwood City SD</v>
      </c>
      <c r="AM38" s="7" t="b">
        <f t="shared" si="4"/>
        <v>1</v>
      </c>
      <c r="AN38" s="7" t="str">
        <f t="shared" si="5"/>
        <v>Cuyahoga</v>
      </c>
      <c r="AO38" s="7" t="b">
        <f>C38=GenExp!C38</f>
        <v>1</v>
      </c>
    </row>
    <row r="39" spans="1:41">
      <c r="A39" s="12" t="s">
        <v>252</v>
      </c>
      <c r="B39" s="12"/>
      <c r="C39" s="12" t="s">
        <v>112</v>
      </c>
      <c r="D39" s="12"/>
      <c r="E39" s="12">
        <v>46425</v>
      </c>
      <c r="G39" s="7">
        <v>782635</v>
      </c>
      <c r="I39" s="7">
        <v>0</v>
      </c>
      <c r="K39" s="2">
        <f t="shared" si="8"/>
        <v>7174550</v>
      </c>
      <c r="M39" s="7">
        <v>7957185</v>
      </c>
      <c r="O39" s="2">
        <f t="shared" si="9"/>
        <v>2206078</v>
      </c>
      <c r="Q39" s="7">
        <v>6838557</v>
      </c>
      <c r="S39" s="7">
        <v>9044635</v>
      </c>
      <c r="U39" s="7">
        <v>48716</v>
      </c>
      <c r="W39" s="7">
        <v>71165</v>
      </c>
      <c r="Y39" s="7">
        <v>0</v>
      </c>
      <c r="AA39" s="7">
        <v>210869</v>
      </c>
      <c r="AC39" s="7">
        <v>-1418200</v>
      </c>
      <c r="AE39" s="13">
        <f t="shared" si="1"/>
        <v>-1087450</v>
      </c>
      <c r="AG39" s="7">
        <f t="shared" si="2"/>
        <v>0</v>
      </c>
      <c r="AK39" s="7" t="str">
        <f t="shared" si="3"/>
        <v>Beaver Local SD</v>
      </c>
      <c r="AL39" s="7" t="str">
        <f>GenExp!A39</f>
        <v>Beaver Local SD</v>
      </c>
      <c r="AM39" s="7" t="b">
        <f t="shared" si="4"/>
        <v>1</v>
      </c>
      <c r="AN39" s="7" t="str">
        <f t="shared" si="5"/>
        <v>Columbiana</v>
      </c>
      <c r="AO39" s="7" t="b">
        <f>C39=GenExp!C39</f>
        <v>1</v>
      </c>
    </row>
    <row r="40" spans="1:41">
      <c r="A40" s="12" t="s">
        <v>325</v>
      </c>
      <c r="B40" s="12"/>
      <c r="C40" s="12" t="s">
        <v>114</v>
      </c>
      <c r="D40" s="12"/>
      <c r="E40" s="12">
        <v>47241</v>
      </c>
      <c r="G40" s="7">
        <v>101356235</v>
      </c>
      <c r="I40" s="7">
        <v>0</v>
      </c>
      <c r="K40" s="2">
        <f t="shared" si="8"/>
        <v>54526362</v>
      </c>
      <c r="M40" s="7">
        <v>155882597</v>
      </c>
      <c r="O40" s="2">
        <f t="shared" si="9"/>
        <v>11305316</v>
      </c>
      <c r="Q40" s="7">
        <v>48949605</v>
      </c>
      <c r="S40" s="7">
        <v>60254921</v>
      </c>
      <c r="U40" s="7">
        <v>122547</v>
      </c>
      <c r="W40" s="7">
        <v>69746216</v>
      </c>
      <c r="Y40" s="7">
        <v>3595889</v>
      </c>
      <c r="AA40" s="7">
        <v>419622</v>
      </c>
      <c r="AC40" s="7">
        <v>21743402</v>
      </c>
      <c r="AE40" s="13">
        <f t="shared" si="1"/>
        <v>95627676</v>
      </c>
      <c r="AG40" s="7">
        <f t="shared" si="2"/>
        <v>0</v>
      </c>
      <c r="AK40" s="7" t="str">
        <f t="shared" si="3"/>
        <v>Beavercreek City SD</v>
      </c>
      <c r="AL40" s="7" t="str">
        <f>GenExp!A40</f>
        <v>Beavercreek City SD</v>
      </c>
      <c r="AM40" s="7" t="b">
        <f t="shared" si="4"/>
        <v>1</v>
      </c>
      <c r="AN40" s="7" t="str">
        <f t="shared" si="5"/>
        <v>Greene</v>
      </c>
      <c r="AO40" s="7" t="b">
        <f>C40=GenExp!C40</f>
        <v>1</v>
      </c>
    </row>
    <row r="41" spans="1:41">
      <c r="A41" s="12" t="s">
        <v>268</v>
      </c>
      <c r="B41" s="12"/>
      <c r="C41" s="12" t="s">
        <v>20</v>
      </c>
      <c r="D41" s="12"/>
      <c r="E41" s="12">
        <v>43562</v>
      </c>
      <c r="G41" s="7">
        <f>21524936+157255</f>
        <v>21682191</v>
      </c>
      <c r="I41" s="7">
        <v>0</v>
      </c>
      <c r="K41" s="2">
        <f t="shared" si="8"/>
        <v>33920250</v>
      </c>
      <c r="M41" s="7">
        <v>55602441</v>
      </c>
      <c r="O41" s="2">
        <f t="shared" si="9"/>
        <v>8306847</v>
      </c>
      <c r="Q41" s="7">
        <v>26899277</v>
      </c>
      <c r="S41" s="7">
        <v>35206124</v>
      </c>
      <c r="U41" s="7">
        <v>427829</v>
      </c>
      <c r="W41" s="7">
        <v>2683911</v>
      </c>
      <c r="Y41" s="7">
        <v>540219</v>
      </c>
      <c r="AA41" s="7">
        <v>212853</v>
      </c>
      <c r="AC41" s="7">
        <v>16531505</v>
      </c>
      <c r="AE41" s="13">
        <f t="shared" si="1"/>
        <v>20396317</v>
      </c>
      <c r="AG41" s="7">
        <f t="shared" si="2"/>
        <v>0</v>
      </c>
      <c r="AK41" s="7" t="str">
        <f t="shared" si="3"/>
        <v>Bedford City SD</v>
      </c>
      <c r="AL41" s="7" t="str">
        <f>GenExp!A41</f>
        <v>Bedford City SD</v>
      </c>
      <c r="AM41" s="7" t="b">
        <f t="shared" si="4"/>
        <v>1</v>
      </c>
      <c r="AN41" s="7" t="str">
        <f t="shared" si="5"/>
        <v>Cuyahoga</v>
      </c>
      <c r="AO41" s="7" t="b">
        <f>C41=GenExp!C41</f>
        <v>1</v>
      </c>
    </row>
    <row r="42" spans="1:41">
      <c r="A42" s="12" t="s">
        <v>216</v>
      </c>
      <c r="B42" s="12"/>
      <c r="C42" s="12" t="s">
        <v>15</v>
      </c>
      <c r="D42" s="12"/>
      <c r="E42" s="12">
        <v>43570</v>
      </c>
      <c r="G42" s="7">
        <f>2240737+330405</f>
        <v>2571142</v>
      </c>
      <c r="I42" s="7">
        <v>6396</v>
      </c>
      <c r="K42" s="2">
        <f t="shared" si="8"/>
        <v>4008466</v>
      </c>
      <c r="M42" s="7">
        <v>6586004</v>
      </c>
      <c r="O42" s="2">
        <f t="shared" si="9"/>
        <v>5391455</v>
      </c>
      <c r="Q42" s="7">
        <v>3124927</v>
      </c>
      <c r="S42" s="7">
        <v>8516382</v>
      </c>
      <c r="U42" s="7">
        <f>78070+42571</f>
        <v>120641</v>
      </c>
      <c r="W42" s="7">
        <f>217859+622194+1129286+428716+20264+55562+74583</f>
        <v>2548464</v>
      </c>
      <c r="Y42" s="7">
        <v>0</v>
      </c>
      <c r="AA42" s="7">
        <v>0</v>
      </c>
      <c r="AC42" s="7">
        <v>-4599483</v>
      </c>
      <c r="AE42" s="13">
        <f t="shared" si="1"/>
        <v>-1930378</v>
      </c>
      <c r="AG42" s="7">
        <f t="shared" si="2"/>
        <v>0</v>
      </c>
      <c r="AK42" s="7" t="str">
        <f t="shared" si="3"/>
        <v>Bellaire Local SD</v>
      </c>
      <c r="AL42" s="7" t="str">
        <f>GenExp!A42</f>
        <v>Bellaire Local SD</v>
      </c>
      <c r="AM42" s="7" t="b">
        <f t="shared" si="4"/>
        <v>1</v>
      </c>
      <c r="AN42" s="7" t="str">
        <f t="shared" si="5"/>
        <v>Belmont</v>
      </c>
      <c r="AO42" s="7" t="b">
        <f>C42=GenExp!C42</f>
        <v>1</v>
      </c>
    </row>
    <row r="43" spans="1:41">
      <c r="A43" s="12" t="s">
        <v>796</v>
      </c>
      <c r="B43" s="12"/>
      <c r="C43" s="12" t="s">
        <v>114</v>
      </c>
      <c r="D43" s="12"/>
      <c r="E43" s="12"/>
      <c r="G43" s="7">
        <f>3535832+5709</f>
        <v>3541541</v>
      </c>
      <c r="I43" s="7">
        <v>0</v>
      </c>
      <c r="K43" s="2">
        <f t="shared" si="8"/>
        <v>18937232</v>
      </c>
      <c r="M43" s="7">
        <v>22478773</v>
      </c>
      <c r="O43" s="2">
        <f t="shared" si="9"/>
        <v>3039665</v>
      </c>
      <c r="Q43" s="7">
        <v>17343369</v>
      </c>
      <c r="S43" s="7">
        <v>20383034</v>
      </c>
      <c r="U43" s="7">
        <v>0</v>
      </c>
      <c r="W43" s="7">
        <v>1723427</v>
      </c>
      <c r="Y43" s="7">
        <v>331839</v>
      </c>
      <c r="AA43" s="7">
        <v>94534</v>
      </c>
      <c r="AC43" s="7">
        <v>-54061</v>
      </c>
      <c r="AE43" s="13">
        <f t="shared" ref="AE43" si="10">U43+W43+Y43+AA43+AC43</f>
        <v>2095739</v>
      </c>
      <c r="AG43" s="7">
        <f t="shared" ref="AG43" si="11">+G43+I43+K43-O43-Q43-Y43-W43-U43-AA43-AC43</f>
        <v>0</v>
      </c>
      <c r="AI43" s="7" t="s">
        <v>780</v>
      </c>
      <c r="AK43" s="7" t="str">
        <f t="shared" ref="AK43:AK44" si="12">A43</f>
        <v>Bellbrook-Sugarcreek Local SD</v>
      </c>
      <c r="AL43" s="7" t="str">
        <f>GenExp!A43</f>
        <v>Bellbrook-Sugarcreek Local SD</v>
      </c>
      <c r="AM43" s="7" t="b">
        <f t="shared" ref="AM43:AM44" si="13">AK43=AL43</f>
        <v>1</v>
      </c>
      <c r="AN43" s="7" t="str">
        <f t="shared" si="5"/>
        <v>Greene</v>
      </c>
      <c r="AO43" s="7" t="b">
        <f>C43=GenExp!C43</f>
        <v>1</v>
      </c>
    </row>
    <row r="44" spans="1:41">
      <c r="A44" s="12" t="s">
        <v>365</v>
      </c>
      <c r="B44" s="12"/>
      <c r="C44" s="12" t="s">
        <v>37</v>
      </c>
      <c r="D44" s="12"/>
      <c r="E44" s="12">
        <v>43596</v>
      </c>
      <c r="G44" s="7">
        <v>38287485</v>
      </c>
      <c r="I44" s="7">
        <v>0</v>
      </c>
      <c r="K44" s="2">
        <f t="shared" si="8"/>
        <v>15162569</v>
      </c>
      <c r="M44" s="7">
        <v>53450054</v>
      </c>
      <c r="O44" s="2">
        <f t="shared" si="9"/>
        <v>4356278</v>
      </c>
      <c r="Q44" s="7">
        <f>5976919+5804413</f>
        <v>11781332</v>
      </c>
      <c r="S44" s="7">
        <v>16137610</v>
      </c>
      <c r="U44" s="7">
        <f>152672+62232</f>
        <v>214904</v>
      </c>
      <c r="W44" s="7">
        <f>1056158+31034137+320963+141914+28452+200+27097+160002</f>
        <v>32768923</v>
      </c>
      <c r="Y44" s="7">
        <v>197482</v>
      </c>
      <c r="AA44" s="7">
        <f>16481+142572+1360+2027+21656</f>
        <v>184096</v>
      </c>
      <c r="AC44" s="7">
        <v>3947039</v>
      </c>
      <c r="AE44" s="13">
        <f t="shared" si="1"/>
        <v>37312444</v>
      </c>
      <c r="AG44" s="7">
        <f t="shared" si="2"/>
        <v>0</v>
      </c>
      <c r="AK44" s="7" t="str">
        <f t="shared" si="12"/>
        <v>Bellevue City SD</v>
      </c>
      <c r="AL44" s="7" t="str">
        <f>GenExp!A44</f>
        <v>Bellevue City SD</v>
      </c>
      <c r="AM44" s="7" t="b">
        <f t="shared" si="13"/>
        <v>1</v>
      </c>
      <c r="AN44" s="7" t="str">
        <f t="shared" si="5"/>
        <v>Huron</v>
      </c>
      <c r="AO44" s="7" t="b">
        <f>C44=GenExp!C44</f>
        <v>1</v>
      </c>
    </row>
    <row r="45" spans="1:41">
      <c r="A45" s="12" t="s">
        <v>564</v>
      </c>
      <c r="B45" s="12"/>
      <c r="C45" s="12" t="s">
        <v>70</v>
      </c>
      <c r="D45" s="12"/>
      <c r="E45" s="12">
        <v>43604</v>
      </c>
      <c r="G45" s="7">
        <f>1710528+1123+2500</f>
        <v>1714151</v>
      </c>
      <c r="I45" s="7">
        <v>191793</v>
      </c>
      <c r="K45" s="2">
        <f t="shared" si="8"/>
        <v>4358801</v>
      </c>
      <c r="M45" s="7">
        <v>6264745</v>
      </c>
      <c r="O45" s="2">
        <f t="shared" si="9"/>
        <v>1499349</v>
      </c>
      <c r="Q45" s="7">
        <f>670704+3464953</f>
        <v>4135657</v>
      </c>
      <c r="S45" s="7">
        <v>5635006</v>
      </c>
      <c r="U45" s="7">
        <f>31656+4438</f>
        <v>36094</v>
      </c>
      <c r="W45" s="7">
        <f>31318+9913+33022+185849+5944</f>
        <v>266046</v>
      </c>
      <c r="Y45" s="7">
        <v>5078</v>
      </c>
      <c r="AA45" s="7">
        <f>14721+63602+565+18086+1123+2388</f>
        <v>100485</v>
      </c>
      <c r="AC45" s="7">
        <v>222036</v>
      </c>
      <c r="AE45" s="13">
        <f t="shared" si="1"/>
        <v>629739</v>
      </c>
      <c r="AG45" s="7">
        <f t="shared" si="2"/>
        <v>0</v>
      </c>
      <c r="AK45" s="7" t="str">
        <f t="shared" si="3"/>
        <v>Belpre City SD</v>
      </c>
      <c r="AL45" s="7" t="str">
        <f>GenExp!A45</f>
        <v>Belpre City SD</v>
      </c>
      <c r="AM45" s="7" t="b">
        <f t="shared" si="4"/>
        <v>1</v>
      </c>
      <c r="AN45" s="7" t="str">
        <f t="shared" si="5"/>
        <v>Washington</v>
      </c>
      <c r="AO45" s="7" t="b">
        <f>C45=GenExp!C45</f>
        <v>1</v>
      </c>
    </row>
    <row r="46" spans="1:41">
      <c r="A46" s="12" t="s">
        <v>463</v>
      </c>
      <c r="B46" s="12"/>
      <c r="C46" s="12" t="s">
        <v>53</v>
      </c>
      <c r="D46" s="12"/>
      <c r="E46" s="12">
        <v>48926</v>
      </c>
      <c r="G46" s="7">
        <f>4878862+879</f>
        <v>4879741</v>
      </c>
      <c r="I46" s="7">
        <v>663368</v>
      </c>
      <c r="K46" s="2">
        <f t="shared" si="8"/>
        <v>9189275</v>
      </c>
      <c r="M46" s="7">
        <v>14732384</v>
      </c>
      <c r="O46" s="2">
        <f t="shared" si="9"/>
        <v>2743058</v>
      </c>
      <c r="Q46" s="7">
        <f>828978+7377315</f>
        <v>8206293</v>
      </c>
      <c r="S46" s="7">
        <v>10949351</v>
      </c>
      <c r="U46" s="7">
        <f>20619+13418</f>
        <v>34037</v>
      </c>
      <c r="W46" s="7">
        <f>1128429+8544+253999+9304+3436+17367+647752+15616+8296</f>
        <v>2092743</v>
      </c>
      <c r="Y46" s="7">
        <f>782107+252657</f>
        <v>1034764</v>
      </c>
      <c r="AA46" s="7">
        <f>47554+528743+65250+8799</f>
        <v>650346</v>
      </c>
      <c r="AC46" s="7">
        <v>-28857</v>
      </c>
      <c r="AE46" s="13">
        <f t="shared" si="1"/>
        <v>3783033</v>
      </c>
      <c r="AG46" s="7">
        <f t="shared" si="2"/>
        <v>0</v>
      </c>
      <c r="AK46" s="7" t="str">
        <f t="shared" si="3"/>
        <v>Benton Carroll Salem Local SD</v>
      </c>
      <c r="AL46" s="7" t="str">
        <f>GenExp!A46</f>
        <v>Benton Carroll Salem Local SD</v>
      </c>
      <c r="AM46" s="7" t="b">
        <f t="shared" si="4"/>
        <v>1</v>
      </c>
      <c r="AN46" s="7" t="str">
        <f t="shared" si="5"/>
        <v>Ottawa</v>
      </c>
      <c r="AO46" s="7" t="b">
        <f>C46=GenExp!C46</f>
        <v>1</v>
      </c>
    </row>
    <row r="47" spans="1:41">
      <c r="A47" s="12" t="s">
        <v>269</v>
      </c>
      <c r="B47" s="12"/>
      <c r="C47" s="12" t="s">
        <v>20</v>
      </c>
      <c r="D47" s="12"/>
      <c r="E47" s="12">
        <v>43612</v>
      </c>
      <c r="G47" s="7">
        <f>29903374+660028</f>
        <v>30563402</v>
      </c>
      <c r="I47" s="7">
        <v>193440</v>
      </c>
      <c r="K47" s="2">
        <f t="shared" si="8"/>
        <v>52235593</v>
      </c>
      <c r="M47" s="7">
        <v>82992435</v>
      </c>
      <c r="O47" s="2">
        <f t="shared" si="9"/>
        <v>14601702</v>
      </c>
      <c r="Q47" s="7">
        <v>44159244</v>
      </c>
      <c r="S47" s="7">
        <v>58760946</v>
      </c>
      <c r="U47" s="7">
        <v>202295</v>
      </c>
      <c r="W47" s="7">
        <v>9168095</v>
      </c>
      <c r="Y47" s="7">
        <v>0</v>
      </c>
      <c r="AA47" s="7">
        <v>196107</v>
      </c>
      <c r="AC47" s="7">
        <v>14664992</v>
      </c>
      <c r="AE47" s="13">
        <f t="shared" si="1"/>
        <v>24231489</v>
      </c>
      <c r="AG47" s="7">
        <f t="shared" si="2"/>
        <v>0</v>
      </c>
      <c r="AK47" s="7" t="str">
        <f t="shared" si="3"/>
        <v>Berea City SD</v>
      </c>
      <c r="AL47" s="7" t="str">
        <f>GenExp!A47</f>
        <v>Berea City SD</v>
      </c>
      <c r="AM47" s="7" t="b">
        <f t="shared" si="4"/>
        <v>1</v>
      </c>
      <c r="AN47" s="7" t="str">
        <f t="shared" si="5"/>
        <v>Cuyahoga</v>
      </c>
      <c r="AO47" s="7" t="b">
        <f>C47=GenExp!C47</f>
        <v>1</v>
      </c>
    </row>
    <row r="48" spans="1:41">
      <c r="A48" s="12" t="s">
        <v>668</v>
      </c>
      <c r="B48" s="12"/>
      <c r="C48" s="12" t="s">
        <v>30</v>
      </c>
      <c r="D48" s="12"/>
      <c r="E48" s="12">
        <v>47167</v>
      </c>
      <c r="G48" s="7">
        <v>3128063</v>
      </c>
      <c r="I48" s="7">
        <v>39468</v>
      </c>
      <c r="K48" s="2">
        <f t="shared" si="8"/>
        <v>5105641</v>
      </c>
      <c r="M48" s="7">
        <v>8273172</v>
      </c>
      <c r="O48" s="2">
        <f t="shared" si="9"/>
        <v>1927482</v>
      </c>
      <c r="Q48" s="7">
        <v>4010108</v>
      </c>
      <c r="S48" s="7">
        <v>5937590</v>
      </c>
      <c r="U48" s="7">
        <v>10240</v>
      </c>
      <c r="W48" s="7">
        <v>299718</v>
      </c>
      <c r="Y48" s="7">
        <v>0</v>
      </c>
      <c r="AA48" s="7">
        <v>888474</v>
      </c>
      <c r="AC48" s="7">
        <v>1137150</v>
      </c>
      <c r="AE48" s="13">
        <f t="shared" si="1"/>
        <v>2335582</v>
      </c>
      <c r="AG48" s="7">
        <f t="shared" si="2"/>
        <v>0</v>
      </c>
      <c r="AK48" s="7" t="str">
        <f t="shared" si="3"/>
        <v xml:space="preserve">Berkshire Local SD </v>
      </c>
      <c r="AL48" s="7" t="str">
        <f>GenExp!A48</f>
        <v xml:space="preserve">Berkshire Local SD </v>
      </c>
      <c r="AM48" s="7" t="b">
        <f t="shared" si="4"/>
        <v>1</v>
      </c>
      <c r="AN48" s="7" t="str">
        <f t="shared" si="5"/>
        <v>Geauga</v>
      </c>
      <c r="AO48" s="7" t="b">
        <f>C48=GenExp!C48</f>
        <v>1</v>
      </c>
    </row>
    <row r="49" spans="1:41">
      <c r="A49" s="12" t="s">
        <v>291</v>
      </c>
      <c r="B49" s="12"/>
      <c r="C49" s="12" t="s">
        <v>24</v>
      </c>
      <c r="D49" s="12"/>
      <c r="E49" s="12">
        <v>46789</v>
      </c>
      <c r="G49" s="7">
        <v>6556500</v>
      </c>
      <c r="I49" s="7">
        <v>0</v>
      </c>
      <c r="K49" s="2">
        <f t="shared" si="8"/>
        <v>7599185</v>
      </c>
      <c r="M49" s="7">
        <v>14155685</v>
      </c>
      <c r="O49" s="2">
        <f t="shared" si="9"/>
        <v>2349703</v>
      </c>
      <c r="Q49" s="7">
        <v>5923768</v>
      </c>
      <c r="S49" s="7">
        <v>8273471</v>
      </c>
      <c r="U49" s="7">
        <f>49248+11969+360</f>
        <v>61577</v>
      </c>
      <c r="W49" s="7">
        <f>1864513+229080+59179+3035+66072+32563</f>
        <v>2254442</v>
      </c>
      <c r="Y49" s="7">
        <f>42341+14580</f>
        <v>56921</v>
      </c>
      <c r="AA49" s="7">
        <f>102690+193649+57574+262</f>
        <v>354175</v>
      </c>
      <c r="AC49" s="7">
        <v>3155099</v>
      </c>
      <c r="AE49" s="13">
        <f t="shared" si="1"/>
        <v>5882214</v>
      </c>
      <c r="AG49" s="7">
        <f t="shared" si="2"/>
        <v>0</v>
      </c>
      <c r="AK49" s="7" t="str">
        <f t="shared" si="3"/>
        <v>Berlin-Milan Local SD</v>
      </c>
      <c r="AL49" s="7" t="str">
        <f>GenExp!A49</f>
        <v>Berlin-Milan Local SD</v>
      </c>
      <c r="AM49" s="7" t="b">
        <f t="shared" si="4"/>
        <v>1</v>
      </c>
      <c r="AN49" s="7" t="str">
        <f t="shared" si="5"/>
        <v>Erie</v>
      </c>
      <c r="AO49" s="7" t="b">
        <f>C49=GenExp!C49</f>
        <v>1</v>
      </c>
    </row>
    <row r="50" spans="1:41" hidden="1">
      <c r="A50" s="12" t="s">
        <v>905</v>
      </c>
      <c r="B50" s="12"/>
      <c r="C50" s="12" t="s">
        <v>25</v>
      </c>
      <c r="D50" s="12"/>
      <c r="E50" s="12">
        <v>46854</v>
      </c>
      <c r="K50" s="2">
        <f t="shared" ref="K50:K82" si="14">M50-G50-I50</f>
        <v>0</v>
      </c>
      <c r="O50" s="2">
        <f t="shared" ref="O50:O82" si="15">S50-Q50</f>
        <v>0</v>
      </c>
      <c r="AE50" s="13">
        <f t="shared" si="1"/>
        <v>0</v>
      </c>
      <c r="AG50" s="7">
        <f t="shared" si="2"/>
        <v>0</v>
      </c>
      <c r="AI50" s="7" t="s">
        <v>903</v>
      </c>
      <c r="AK50" s="7" t="str">
        <f t="shared" si="3"/>
        <v>Berne Union Local SD (CASH)</v>
      </c>
      <c r="AL50" s="7" t="str">
        <f>GenExp!A50</f>
        <v>Berne Union Local SD (CASH)</v>
      </c>
      <c r="AM50" s="7" t="b">
        <f t="shared" si="4"/>
        <v>1</v>
      </c>
      <c r="AN50" s="7" t="str">
        <f t="shared" si="5"/>
        <v>Fairfield</v>
      </c>
      <c r="AO50" s="7" t="b">
        <f>C50=GenExp!C50</f>
        <v>1</v>
      </c>
    </row>
    <row r="51" spans="1:41">
      <c r="A51" s="12" t="s">
        <v>436</v>
      </c>
      <c r="B51" s="12"/>
      <c r="C51" s="12" t="s">
        <v>48</v>
      </c>
      <c r="D51" s="12"/>
      <c r="E51" s="12">
        <v>48611</v>
      </c>
      <c r="G51" s="7">
        <v>1539604</v>
      </c>
      <c r="I51" s="7">
        <v>0</v>
      </c>
      <c r="K51" s="2">
        <f t="shared" si="14"/>
        <v>3760402</v>
      </c>
      <c r="M51" s="7">
        <v>5300006</v>
      </c>
      <c r="O51" s="2">
        <f t="shared" si="15"/>
        <v>900947</v>
      </c>
      <c r="Q51" s="7">
        <v>3114250</v>
      </c>
      <c r="S51" s="7">
        <v>4015197</v>
      </c>
      <c r="U51" s="7">
        <v>23141</v>
      </c>
      <c r="W51" s="7">
        <f>616+923896+71052+2818+12834+1555</f>
        <v>1012771</v>
      </c>
      <c r="Y51" s="7">
        <v>0</v>
      </c>
      <c r="AA51" s="7">
        <f>60485+51364</f>
        <v>111849</v>
      </c>
      <c r="AC51" s="7">
        <v>137048</v>
      </c>
      <c r="AE51" s="13">
        <f t="shared" si="1"/>
        <v>1284809</v>
      </c>
      <c r="AG51" s="7">
        <f t="shared" si="2"/>
        <v>0</v>
      </c>
      <c r="AK51" s="7" t="str">
        <f t="shared" si="3"/>
        <v>Bethel Local SD</v>
      </c>
      <c r="AL51" s="7" t="str">
        <f>GenExp!A51</f>
        <v>Bethel Local SD</v>
      </c>
      <c r="AM51" s="7" t="b">
        <f t="shared" si="4"/>
        <v>1</v>
      </c>
      <c r="AN51" s="7" t="str">
        <f t="shared" si="5"/>
        <v>Miami</v>
      </c>
      <c r="AO51" s="7" t="b">
        <f>C51=GenExp!C51</f>
        <v>1</v>
      </c>
    </row>
    <row r="52" spans="1:41">
      <c r="A52" s="12" t="s">
        <v>243</v>
      </c>
      <c r="B52" s="12"/>
      <c r="C52" s="12" t="s">
        <v>113</v>
      </c>
      <c r="D52" s="12"/>
      <c r="E52" s="12">
        <v>46318</v>
      </c>
      <c r="G52" s="7">
        <v>4185718</v>
      </c>
      <c r="I52" s="7">
        <v>377048</v>
      </c>
      <c r="K52" s="2">
        <f t="shared" si="14"/>
        <v>4277855</v>
      </c>
      <c r="M52" s="7">
        <v>8840621</v>
      </c>
      <c r="O52" s="2">
        <f t="shared" si="15"/>
        <v>1914390</v>
      </c>
      <c r="Q52" s="7">
        <v>3175160</v>
      </c>
      <c r="S52" s="7">
        <v>5089550</v>
      </c>
      <c r="U52" s="7">
        <v>0</v>
      </c>
      <c r="W52" s="7">
        <v>2677757</v>
      </c>
      <c r="Y52" s="7">
        <v>0</v>
      </c>
      <c r="AA52" s="7">
        <v>165877</v>
      </c>
      <c r="AC52" s="7">
        <v>907437</v>
      </c>
      <c r="AE52" s="13">
        <f t="shared" si="1"/>
        <v>3751071</v>
      </c>
      <c r="AG52" s="7">
        <f t="shared" si="2"/>
        <v>0</v>
      </c>
      <c r="AK52" s="7" t="str">
        <f t="shared" si="3"/>
        <v>Bethel-Tate Local SD</v>
      </c>
      <c r="AL52" s="7" t="str">
        <f>GenExp!A52</f>
        <v>Bethel-Tate Local SD</v>
      </c>
      <c r="AM52" s="7" t="b">
        <f t="shared" si="4"/>
        <v>1</v>
      </c>
      <c r="AN52" s="7" t="str">
        <f t="shared" si="5"/>
        <v>Clermont</v>
      </c>
      <c r="AO52" s="7" t="b">
        <f>C52=GenExp!C52</f>
        <v>1</v>
      </c>
    </row>
    <row r="53" spans="1:41" hidden="1">
      <c r="A53" s="12" t="s">
        <v>705</v>
      </c>
      <c r="B53" s="12"/>
      <c r="C53" s="12" t="s">
        <v>60</v>
      </c>
      <c r="D53" s="12"/>
      <c r="E53" s="12">
        <v>49692</v>
      </c>
      <c r="K53" s="2">
        <f t="shared" si="14"/>
        <v>0</v>
      </c>
      <c r="O53" s="2">
        <f t="shared" si="15"/>
        <v>0</v>
      </c>
      <c r="AE53" s="13">
        <f t="shared" si="1"/>
        <v>0</v>
      </c>
      <c r="AG53" s="7">
        <f t="shared" si="2"/>
        <v>0</v>
      </c>
      <c r="AI53" s="7" t="s">
        <v>778</v>
      </c>
      <c r="AK53" s="7" t="str">
        <f t="shared" si="3"/>
        <v>Bettsville Local SD (CASH)</v>
      </c>
      <c r="AL53" s="7" t="str">
        <f>GenExp!A53</f>
        <v>Bettsville Local SD (CASH)</v>
      </c>
      <c r="AM53" s="7" t="b">
        <f t="shared" si="4"/>
        <v>1</v>
      </c>
      <c r="AN53" s="7" t="str">
        <f t="shared" si="5"/>
        <v>Seneca</v>
      </c>
      <c r="AO53" s="7" t="b">
        <f>C53=GenExp!C53</f>
        <v>1</v>
      </c>
    </row>
    <row r="54" spans="1:41">
      <c r="A54" s="12" t="s">
        <v>305</v>
      </c>
      <c r="B54" s="12"/>
      <c r="C54" s="12" t="s">
        <v>27</v>
      </c>
      <c r="D54" s="12"/>
      <c r="E54" s="12">
        <v>43620</v>
      </c>
      <c r="G54" s="7">
        <v>25082985</v>
      </c>
      <c r="I54" s="7">
        <v>0</v>
      </c>
      <c r="K54" s="2">
        <f t="shared" si="14"/>
        <v>19776987</v>
      </c>
      <c r="M54" s="7">
        <v>44859972</v>
      </c>
      <c r="O54" s="2">
        <f t="shared" si="15"/>
        <v>4099789</v>
      </c>
      <c r="Q54" s="7">
        <v>14127791</v>
      </c>
      <c r="S54" s="7">
        <v>18227580</v>
      </c>
      <c r="U54" s="7">
        <f>12495+14295</f>
        <v>26790</v>
      </c>
      <c r="W54" s="7">
        <f>2696209+797955+126922+1748+17656+2190+10589+46657+73387+62657</f>
        <v>3835970</v>
      </c>
      <c r="Y54" s="7">
        <v>0</v>
      </c>
      <c r="AA54" s="7">
        <v>549817</v>
      </c>
      <c r="AC54" s="7">
        <v>22219815</v>
      </c>
      <c r="AE54" s="13">
        <f t="shared" si="1"/>
        <v>26632392</v>
      </c>
      <c r="AG54" s="7">
        <f t="shared" si="2"/>
        <v>0</v>
      </c>
      <c r="AK54" s="7" t="str">
        <f t="shared" si="3"/>
        <v>Bexley City SD</v>
      </c>
      <c r="AL54" s="7" t="str">
        <f>GenExp!A54</f>
        <v>Bexley City SD</v>
      </c>
      <c r="AM54" s="7" t="b">
        <f t="shared" si="4"/>
        <v>1</v>
      </c>
      <c r="AN54" s="7" t="str">
        <f t="shared" si="5"/>
        <v>Franklin</v>
      </c>
      <c r="AO54" s="7" t="b">
        <f>C54=GenExp!C54</f>
        <v>1</v>
      </c>
    </row>
    <row r="55" spans="1:41">
      <c r="A55" s="12" t="s">
        <v>664</v>
      </c>
      <c r="B55" s="12"/>
      <c r="C55" s="12" t="s">
        <v>23</v>
      </c>
      <c r="D55" s="12"/>
      <c r="E55" s="12">
        <v>46748</v>
      </c>
      <c r="G55" s="7">
        <f>11506821+9919</f>
        <v>11516740</v>
      </c>
      <c r="I55" s="7">
        <v>370742</v>
      </c>
      <c r="K55" s="2">
        <f t="shared" si="14"/>
        <v>23335943</v>
      </c>
      <c r="M55" s="7">
        <v>35223425</v>
      </c>
      <c r="O55" s="2">
        <f t="shared" si="15"/>
        <v>4807365</v>
      </c>
      <c r="Q55" s="7">
        <v>18068704</v>
      </c>
      <c r="S55" s="7">
        <v>22876069</v>
      </c>
      <c r="U55" s="7">
        <v>12933</v>
      </c>
      <c r="W55" s="7">
        <v>7310147</v>
      </c>
      <c r="Y55" s="7">
        <v>0</v>
      </c>
      <c r="AA55" s="7">
        <v>364639</v>
      </c>
      <c r="AC55" s="7">
        <v>4659637</v>
      </c>
      <c r="AE55" s="13">
        <f t="shared" si="1"/>
        <v>12347356</v>
      </c>
      <c r="AG55" s="7">
        <f t="shared" si="2"/>
        <v>0</v>
      </c>
      <c r="AK55" s="7" t="str">
        <f t="shared" si="3"/>
        <v xml:space="preserve">Big Walnut Local SD </v>
      </c>
      <c r="AL55" s="7" t="str">
        <f>GenExp!A55</f>
        <v xml:space="preserve">Big Walnut Local SD </v>
      </c>
      <c r="AM55" s="7" t="b">
        <f t="shared" si="4"/>
        <v>1</v>
      </c>
      <c r="AN55" s="7" t="str">
        <f t="shared" si="5"/>
        <v>Delaware</v>
      </c>
      <c r="AO55" s="7" t="b">
        <f>C55=GenExp!C55</f>
        <v>1</v>
      </c>
    </row>
    <row r="56" spans="1:41">
      <c r="A56" s="12" t="s">
        <v>427</v>
      </c>
      <c r="B56" s="12"/>
      <c r="C56" s="12" t="s">
        <v>47</v>
      </c>
      <c r="D56" s="12"/>
      <c r="E56" s="12">
        <v>48462</v>
      </c>
      <c r="G56" s="7">
        <v>88629</v>
      </c>
      <c r="I56" s="7">
        <v>0</v>
      </c>
      <c r="K56" s="2">
        <f t="shared" si="14"/>
        <v>5963943</v>
      </c>
      <c r="M56" s="7">
        <v>6052572</v>
      </c>
      <c r="O56" s="2">
        <f t="shared" si="15"/>
        <v>6226339</v>
      </c>
      <c r="Q56" s="7">
        <v>633228</v>
      </c>
      <c r="S56" s="7">
        <v>6859567</v>
      </c>
      <c r="U56" s="7">
        <f>4419+31788</f>
        <v>36207</v>
      </c>
      <c r="W56" s="7">
        <f>740166+106289+1823+3233</f>
        <v>851511</v>
      </c>
      <c r="Y56" s="7">
        <v>69124</v>
      </c>
      <c r="AA56" s="7">
        <f>16821+91850+2155</f>
        <v>110826</v>
      </c>
      <c r="AC56" s="7">
        <v>-1874663</v>
      </c>
      <c r="AE56" s="13">
        <f t="shared" si="1"/>
        <v>-806995</v>
      </c>
      <c r="AG56" s="7">
        <f t="shared" si="2"/>
        <v>0</v>
      </c>
      <c r="AK56" s="7" t="str">
        <f t="shared" si="3"/>
        <v>Black River Local SD</v>
      </c>
      <c r="AL56" s="7" t="str">
        <f>GenExp!A56</f>
        <v>Black River Local SD</v>
      </c>
      <c r="AM56" s="7" t="b">
        <f t="shared" si="4"/>
        <v>1</v>
      </c>
      <c r="AN56" s="7" t="str">
        <f t="shared" si="5"/>
        <v>Medina</v>
      </c>
      <c r="AO56" s="7" t="b">
        <f>C56=GenExp!C56</f>
        <v>1</v>
      </c>
    </row>
    <row r="57" spans="1:41">
      <c r="A57" s="12" t="s">
        <v>248</v>
      </c>
      <c r="B57" s="12"/>
      <c r="C57" s="12" t="s">
        <v>18</v>
      </c>
      <c r="D57" s="12"/>
      <c r="E57" s="12">
        <v>46383</v>
      </c>
      <c r="G57" s="7">
        <v>2740808</v>
      </c>
      <c r="I57" s="7">
        <v>586213</v>
      </c>
      <c r="K57" s="2">
        <f t="shared" si="14"/>
        <v>4609691</v>
      </c>
      <c r="M57" s="7">
        <v>7936712</v>
      </c>
      <c r="O57" s="2">
        <f t="shared" si="15"/>
        <v>1887734</v>
      </c>
      <c r="Q57" s="7">
        <v>4120116</v>
      </c>
      <c r="S57" s="7">
        <v>6007850</v>
      </c>
      <c r="U57" s="7">
        <v>9082</v>
      </c>
      <c r="W57" s="7">
        <v>1385304</v>
      </c>
      <c r="Y57" s="7">
        <v>110812</v>
      </c>
      <c r="AA57" s="7">
        <v>326213</v>
      </c>
      <c r="AC57" s="7">
        <v>97451</v>
      </c>
      <c r="AE57" s="13">
        <f t="shared" si="1"/>
        <v>1928862</v>
      </c>
      <c r="AG57" s="7">
        <f t="shared" si="2"/>
        <v>0</v>
      </c>
      <c r="AK57" s="7" t="str">
        <f t="shared" si="3"/>
        <v>Blanchester Local SD</v>
      </c>
      <c r="AL57" s="7" t="str">
        <f>GenExp!A57</f>
        <v>Blanchester Local SD</v>
      </c>
      <c r="AM57" s="7" t="b">
        <f t="shared" si="4"/>
        <v>1</v>
      </c>
      <c r="AN57" s="7" t="str">
        <f t="shared" si="5"/>
        <v>Clinton</v>
      </c>
      <c r="AO57" s="7" t="b">
        <f>C57=GenExp!C57</f>
        <v>1</v>
      </c>
    </row>
    <row r="58" spans="1:41">
      <c r="A58" s="12" t="s">
        <v>299</v>
      </c>
      <c r="B58" s="12"/>
      <c r="C58" s="12" t="s">
        <v>25</v>
      </c>
      <c r="D58" s="12"/>
      <c r="E58" s="12">
        <v>46862</v>
      </c>
      <c r="G58" s="7">
        <v>10068855</v>
      </c>
      <c r="I58" s="7">
        <f>16605000+31855</f>
        <v>16636855</v>
      </c>
      <c r="K58" s="2">
        <f t="shared" si="14"/>
        <v>9316159</v>
      </c>
      <c r="M58" s="7">
        <v>36021869</v>
      </c>
      <c r="O58" s="2">
        <f t="shared" si="15"/>
        <v>2844272</v>
      </c>
      <c r="Q58" s="7">
        <v>7212944</v>
      </c>
      <c r="S58" s="7">
        <v>10057216</v>
      </c>
      <c r="U58" s="7">
        <v>16851</v>
      </c>
      <c r="W58" s="7">
        <v>24351179</v>
      </c>
      <c r="Y58" s="7">
        <v>0</v>
      </c>
      <c r="AA58" s="7">
        <v>193924</v>
      </c>
      <c r="AC58" s="7">
        <v>1402699</v>
      </c>
      <c r="AE58" s="13">
        <f t="shared" si="1"/>
        <v>25964653</v>
      </c>
      <c r="AG58" s="7">
        <f t="shared" si="2"/>
        <v>0</v>
      </c>
      <c r="AK58" s="7" t="str">
        <f t="shared" si="3"/>
        <v>Bloom-Carroll Local SD</v>
      </c>
      <c r="AL58" s="7" t="str">
        <f>GenExp!A58</f>
        <v>Bloom-Carroll Local SD</v>
      </c>
      <c r="AM58" s="7" t="b">
        <f t="shared" si="4"/>
        <v>1</v>
      </c>
      <c r="AN58" s="7" t="str">
        <f t="shared" si="5"/>
        <v>Fairfield</v>
      </c>
      <c r="AO58" s="7" t="b">
        <f>C58=GenExp!C58</f>
        <v>1</v>
      </c>
    </row>
    <row r="59" spans="1:41">
      <c r="A59" s="12" t="s">
        <v>534</v>
      </c>
      <c r="B59" s="12"/>
      <c r="C59" s="12" t="s">
        <v>64</v>
      </c>
      <c r="D59" s="12"/>
      <c r="E59" s="12">
        <v>50096</v>
      </c>
      <c r="G59" s="7">
        <v>750333</v>
      </c>
      <c r="I59" s="7">
        <v>15949</v>
      </c>
      <c r="K59" s="2">
        <f t="shared" si="14"/>
        <v>1822967</v>
      </c>
      <c r="M59" s="7">
        <v>2589249</v>
      </c>
      <c r="O59" s="2">
        <f t="shared" si="15"/>
        <v>431959</v>
      </c>
      <c r="Q59" s="7">
        <f>460650+1285621</f>
        <v>1746271</v>
      </c>
      <c r="S59" s="7">
        <v>2178230</v>
      </c>
      <c r="U59" s="7">
        <f>5135+580</f>
        <v>5715</v>
      </c>
      <c r="W59" s="7">
        <f>13744+150330+1044+4597+18732+13233+2716+1896</f>
        <v>206292</v>
      </c>
      <c r="Y59" s="7">
        <v>0</v>
      </c>
      <c r="AA59" s="7">
        <v>363</v>
      </c>
      <c r="AC59" s="7">
        <v>198649</v>
      </c>
      <c r="AE59" s="13">
        <f t="shared" si="1"/>
        <v>411019</v>
      </c>
      <c r="AG59" s="7">
        <f t="shared" si="2"/>
        <v>0</v>
      </c>
      <c r="AK59" s="7" t="str">
        <f t="shared" si="3"/>
        <v>Bloomfield-Mespo Local SD</v>
      </c>
      <c r="AL59" s="7" t="str">
        <f>GenExp!A59</f>
        <v>Bloomfield-Mespo Local SD</v>
      </c>
      <c r="AM59" s="7" t="b">
        <f t="shared" si="4"/>
        <v>1</v>
      </c>
      <c r="AN59" s="7" t="str">
        <f t="shared" si="5"/>
        <v>Trumbull</v>
      </c>
      <c r="AO59" s="7" t="b">
        <f>C59=GenExp!C59</f>
        <v>1</v>
      </c>
    </row>
    <row r="60" spans="1:41">
      <c r="A60" s="12" t="s">
        <v>494</v>
      </c>
      <c r="B60" s="12"/>
      <c r="C60" s="12" t="s">
        <v>59</v>
      </c>
      <c r="D60" s="12"/>
      <c r="E60" s="12">
        <v>49593</v>
      </c>
      <c r="G60" s="7">
        <v>1892207</v>
      </c>
      <c r="I60" s="7">
        <v>88726</v>
      </c>
      <c r="K60" s="2">
        <f>M60-G60-I60</f>
        <v>2203846</v>
      </c>
      <c r="M60" s="7">
        <v>4184779</v>
      </c>
      <c r="O60" s="2">
        <f>S60-Q60</f>
        <v>1128004</v>
      </c>
      <c r="Q60" s="7">
        <v>1751492</v>
      </c>
      <c r="S60" s="7">
        <v>2879496</v>
      </c>
      <c r="U60" s="7">
        <v>37030</v>
      </c>
      <c r="W60" s="7">
        <v>696231</v>
      </c>
      <c r="Y60" s="7">
        <v>0</v>
      </c>
      <c r="AA60" s="7">
        <v>126964</v>
      </c>
      <c r="AC60" s="7">
        <v>445058</v>
      </c>
      <c r="AE60" s="13">
        <f t="shared" si="1"/>
        <v>1305283</v>
      </c>
      <c r="AG60" s="7">
        <f t="shared" si="2"/>
        <v>0</v>
      </c>
      <c r="AK60" s="7" t="str">
        <f t="shared" si="3"/>
        <v>Bloom-Vernon Local SD</v>
      </c>
      <c r="AL60" s="7" t="str">
        <f>GenExp!A60</f>
        <v>Bloom-Vernon Local SD</v>
      </c>
      <c r="AM60" s="7" t="b">
        <f t="shared" si="4"/>
        <v>1</v>
      </c>
      <c r="AN60" s="7" t="str">
        <f t="shared" si="5"/>
        <v>Scioto</v>
      </c>
      <c r="AO60" s="7" t="b">
        <f>C60=GenExp!C60</f>
        <v>1</v>
      </c>
    </row>
    <row r="61" spans="1:41" hidden="1">
      <c r="A61" s="12" t="s">
        <v>676</v>
      </c>
      <c r="B61" s="12"/>
      <c r="C61" s="12" t="s">
        <v>10</v>
      </c>
      <c r="D61" s="12"/>
      <c r="E61" s="12">
        <v>49593</v>
      </c>
      <c r="G61" s="7">
        <v>0</v>
      </c>
      <c r="I61" s="7">
        <v>0</v>
      </c>
      <c r="K61" s="2">
        <f t="shared" si="14"/>
        <v>0</v>
      </c>
      <c r="M61" s="7">
        <v>0</v>
      </c>
      <c r="O61" s="2">
        <f t="shared" si="15"/>
        <v>0</v>
      </c>
      <c r="Q61" s="7">
        <v>0</v>
      </c>
      <c r="S61" s="7">
        <v>0</v>
      </c>
      <c r="U61" s="7">
        <v>0</v>
      </c>
      <c r="W61" s="7">
        <v>0</v>
      </c>
      <c r="Y61" s="7">
        <v>0</v>
      </c>
      <c r="AA61" s="7">
        <v>0</v>
      </c>
      <c r="AC61" s="7">
        <v>0</v>
      </c>
      <c r="AE61" s="13">
        <f t="shared" si="1"/>
        <v>0</v>
      </c>
      <c r="AG61" s="7">
        <f t="shared" si="2"/>
        <v>0</v>
      </c>
      <c r="AI61" s="7" t="s">
        <v>778</v>
      </c>
      <c r="AK61" s="7" t="str">
        <f t="shared" si="3"/>
        <v>Bluffton Ex Vill SD (OCBOA)</v>
      </c>
      <c r="AL61" s="7" t="str">
        <f>GenExp!A61</f>
        <v>Bluffton Ex Vill SD (OCBOA)</v>
      </c>
      <c r="AM61" s="7" t="b">
        <f t="shared" si="4"/>
        <v>1</v>
      </c>
      <c r="AN61" s="7" t="str">
        <f t="shared" si="5"/>
        <v>Allen</v>
      </c>
      <c r="AO61" s="7" t="b">
        <f>C61=GenExp!C61</f>
        <v>1</v>
      </c>
    </row>
    <row r="62" spans="1:41">
      <c r="A62" s="12" t="s">
        <v>415</v>
      </c>
      <c r="B62" s="12"/>
      <c r="C62" s="12" t="s">
        <v>45</v>
      </c>
      <c r="D62" s="12"/>
      <c r="E62" s="12">
        <v>48306</v>
      </c>
      <c r="G62" s="7">
        <v>10008101</v>
      </c>
      <c r="I62" s="7">
        <v>233898</v>
      </c>
      <c r="K62" s="2">
        <f t="shared" si="14"/>
        <v>34840631</v>
      </c>
      <c r="M62" s="7">
        <v>45082630</v>
      </c>
      <c r="O62" s="2">
        <f t="shared" si="15"/>
        <v>7597352</v>
      </c>
      <c r="Q62" s="7">
        <v>33651992</v>
      </c>
      <c r="S62" s="7">
        <v>41249344</v>
      </c>
      <c r="U62" s="7">
        <v>69156</v>
      </c>
      <c r="W62" s="7">
        <v>1144467</v>
      </c>
      <c r="Y62" s="7">
        <v>719610</v>
      </c>
      <c r="AA62" s="7">
        <v>1078851</v>
      </c>
      <c r="AC62" s="7">
        <v>821202</v>
      </c>
      <c r="AE62" s="13">
        <f t="shared" si="1"/>
        <v>3833286</v>
      </c>
      <c r="AG62" s="7">
        <f t="shared" si="2"/>
        <v>0</v>
      </c>
      <c r="AK62" s="7" t="str">
        <f t="shared" si="3"/>
        <v>Boardman Local SD</v>
      </c>
      <c r="AL62" s="7" t="str">
        <f>GenExp!A62</f>
        <v>Boardman Local SD</v>
      </c>
      <c r="AM62" s="7" t="b">
        <f t="shared" si="4"/>
        <v>1</v>
      </c>
      <c r="AN62" s="7" t="str">
        <f t="shared" si="5"/>
        <v>Mahoning</v>
      </c>
      <c r="AO62" s="7" t="b">
        <f>C62=GenExp!C62</f>
        <v>1</v>
      </c>
    </row>
    <row r="63" spans="1:41">
      <c r="A63" s="12" t="s">
        <v>504</v>
      </c>
      <c r="B63" s="12"/>
      <c r="C63" s="12" t="s">
        <v>61</v>
      </c>
      <c r="D63" s="12"/>
      <c r="E63" s="12">
        <v>49767</v>
      </c>
      <c r="G63" s="7">
        <v>2678131</v>
      </c>
      <c r="I63" s="7">
        <v>144345</v>
      </c>
      <c r="K63" s="2">
        <f t="shared" si="14"/>
        <v>1442876</v>
      </c>
      <c r="M63" s="7">
        <v>4265352</v>
      </c>
      <c r="O63" s="2">
        <f t="shared" si="15"/>
        <v>483132</v>
      </c>
      <c r="Q63" s="7">
        <v>1148076</v>
      </c>
      <c r="S63" s="7">
        <v>1631208</v>
      </c>
      <c r="U63" s="7">
        <v>48394</v>
      </c>
      <c r="W63" s="7">
        <v>784798</v>
      </c>
      <c r="Y63" s="7">
        <v>63661</v>
      </c>
      <c r="AA63" s="7">
        <v>1032710</v>
      </c>
      <c r="AC63" s="7">
        <v>704581</v>
      </c>
      <c r="AE63" s="13">
        <f t="shared" si="1"/>
        <v>2634144</v>
      </c>
      <c r="AG63" s="7">
        <f t="shared" si="2"/>
        <v>0</v>
      </c>
      <c r="AK63" s="7" t="str">
        <f t="shared" si="3"/>
        <v>Botkins Local SD</v>
      </c>
      <c r="AL63" s="7" t="str">
        <f>GenExp!A63</f>
        <v>Botkins Local SD</v>
      </c>
      <c r="AM63" s="7" t="b">
        <f t="shared" si="4"/>
        <v>1</v>
      </c>
      <c r="AN63" s="7" t="str">
        <f t="shared" si="5"/>
        <v>Shelby</v>
      </c>
      <c r="AO63" s="7" t="b">
        <f>C63=GenExp!C63</f>
        <v>1</v>
      </c>
    </row>
    <row r="64" spans="1:41">
      <c r="A64" s="12" t="s">
        <v>572</v>
      </c>
      <c r="B64" s="12"/>
      <c r="C64" s="12" t="s">
        <v>72</v>
      </c>
      <c r="D64" s="12"/>
      <c r="E64" s="12">
        <v>43638</v>
      </c>
      <c r="G64" s="7">
        <f>6833680+3000+6786817</f>
        <v>13623497</v>
      </c>
      <c r="I64" s="7">
        <v>0</v>
      </c>
      <c r="K64" s="2">
        <f t="shared" si="14"/>
        <v>19344939</v>
      </c>
      <c r="M64" s="7">
        <v>32968436</v>
      </c>
      <c r="O64" s="2">
        <f t="shared" si="15"/>
        <v>3925377</v>
      </c>
      <c r="Q64" s="7">
        <v>14422896</v>
      </c>
      <c r="S64" s="7">
        <v>18348273</v>
      </c>
      <c r="U64" s="7">
        <v>239435</v>
      </c>
      <c r="W64" s="7">
        <v>5354053</v>
      </c>
      <c r="Y64" s="7">
        <v>999694</v>
      </c>
      <c r="AA64" s="7">
        <v>3090707</v>
      </c>
      <c r="AC64" s="7">
        <v>4936274</v>
      </c>
      <c r="AE64" s="13">
        <f t="shared" si="1"/>
        <v>14620163</v>
      </c>
      <c r="AG64" s="7">
        <f t="shared" si="2"/>
        <v>0</v>
      </c>
      <c r="AK64" s="7" t="str">
        <f t="shared" si="3"/>
        <v>Bowling Green City SD</v>
      </c>
      <c r="AL64" s="7" t="str">
        <f>GenExp!A64</f>
        <v>Bowling Green City SD</v>
      </c>
      <c r="AM64" s="7" t="b">
        <f t="shared" si="4"/>
        <v>1</v>
      </c>
      <c r="AN64" s="7" t="str">
        <f t="shared" si="5"/>
        <v>Wood</v>
      </c>
      <c r="AO64" s="7" t="b">
        <f>C64=GenExp!C64</f>
        <v>1</v>
      </c>
    </row>
    <row r="65" spans="1:41" hidden="1">
      <c r="A65" s="12" t="s">
        <v>704</v>
      </c>
      <c r="B65" s="12"/>
      <c r="C65" s="12" t="s">
        <v>48</v>
      </c>
      <c r="D65" s="12"/>
      <c r="E65" s="12">
        <v>43646</v>
      </c>
      <c r="K65" s="2">
        <f>M65-G65-I65</f>
        <v>0</v>
      </c>
      <c r="O65" s="2">
        <f>S65-Q65</f>
        <v>0</v>
      </c>
      <c r="AE65" s="13">
        <f t="shared" si="1"/>
        <v>0</v>
      </c>
      <c r="AG65" s="7">
        <f t="shared" si="2"/>
        <v>0</v>
      </c>
      <c r="AI65" s="7" t="s">
        <v>778</v>
      </c>
      <c r="AK65" s="7" t="str">
        <f t="shared" si="3"/>
        <v>Bradford Ex Vill SD (cash) Two year audit</v>
      </c>
      <c r="AL65" s="7" t="str">
        <f>GenExp!A65</f>
        <v>Bradford Ex Vill SD (cash) Two year audit</v>
      </c>
      <c r="AM65" s="7" t="b">
        <f t="shared" si="4"/>
        <v>1</v>
      </c>
      <c r="AN65" s="7" t="str">
        <f t="shared" si="5"/>
        <v>Miami</v>
      </c>
      <c r="AO65" s="7" t="b">
        <f>C65=GenExp!C65</f>
        <v>1</v>
      </c>
    </row>
    <row r="66" spans="1:41">
      <c r="A66" s="12" t="s">
        <v>895</v>
      </c>
      <c r="B66" s="12"/>
      <c r="C66" s="12" t="s">
        <v>20</v>
      </c>
      <c r="D66" s="12"/>
      <c r="E66" s="12">
        <v>43646</v>
      </c>
      <c r="G66" s="7">
        <v>18818844</v>
      </c>
      <c r="I66" s="7">
        <v>0</v>
      </c>
      <c r="K66" s="2">
        <f t="shared" si="14"/>
        <v>33215119</v>
      </c>
      <c r="M66" s="7">
        <v>52033963</v>
      </c>
      <c r="O66" s="2">
        <f t="shared" si="15"/>
        <v>8875239</v>
      </c>
      <c r="Q66" s="7">
        <v>26848352</v>
      </c>
      <c r="S66" s="7">
        <v>35723591</v>
      </c>
      <c r="U66" s="7">
        <v>52692</v>
      </c>
      <c r="W66" s="7">
        <v>7566871</v>
      </c>
      <c r="Y66" s="7">
        <v>165213</v>
      </c>
      <c r="AA66" s="7">
        <v>325080</v>
      </c>
      <c r="AC66" s="7">
        <v>8200516</v>
      </c>
      <c r="AE66" s="13">
        <f t="shared" si="1"/>
        <v>16310372</v>
      </c>
      <c r="AG66" s="7">
        <f t="shared" si="2"/>
        <v>0</v>
      </c>
      <c r="AK66" s="7" t="str">
        <f t="shared" si="3"/>
        <v>Brecksville-Broadview Heights City SD</v>
      </c>
      <c r="AL66" s="7" t="str">
        <f>GenExp!A66</f>
        <v>Brecksville-Broadview Heights City SD</v>
      </c>
      <c r="AM66" s="7" t="b">
        <f t="shared" si="4"/>
        <v>1</v>
      </c>
      <c r="AN66" s="7" t="str">
        <f t="shared" si="5"/>
        <v>Cuyahoga</v>
      </c>
      <c r="AO66" s="7" t="b">
        <f>C66=GenExp!C66</f>
        <v>1</v>
      </c>
    </row>
    <row r="67" spans="1:41">
      <c r="A67" s="12" t="s">
        <v>860</v>
      </c>
      <c r="B67" s="12"/>
      <c r="C67" s="12" t="s">
        <v>15</v>
      </c>
      <c r="D67" s="12"/>
      <c r="E67" s="12">
        <v>45237</v>
      </c>
      <c r="G67" s="7">
        <v>1635015</v>
      </c>
      <c r="I67" s="7">
        <v>32629</v>
      </c>
      <c r="K67" s="2">
        <f t="shared" si="14"/>
        <v>2648039</v>
      </c>
      <c r="M67" s="7">
        <v>4315683</v>
      </c>
      <c r="O67" s="2">
        <f t="shared" si="15"/>
        <v>1129278</v>
      </c>
      <c r="Q67" s="7">
        <f>716394+1398602</f>
        <v>2114996</v>
      </c>
      <c r="S67" s="7">
        <v>3244274</v>
      </c>
      <c r="U67" s="7">
        <f>24784+3050+40702</f>
        <v>68536</v>
      </c>
      <c r="W67" s="7">
        <f>173776+243192+240602+20761+13358+10815+1954+41000+32909+32629</f>
        <v>810996</v>
      </c>
      <c r="Y67" s="7">
        <v>0</v>
      </c>
      <c r="AA67" s="7">
        <f>24494+62219</f>
        <v>86713</v>
      </c>
      <c r="AC67" s="7">
        <v>105164</v>
      </c>
      <c r="AE67" s="13">
        <f t="shared" si="1"/>
        <v>1071409</v>
      </c>
      <c r="AG67" s="7">
        <f t="shared" si="2"/>
        <v>0</v>
      </c>
      <c r="AK67" s="7" t="str">
        <f t="shared" si="3"/>
        <v>Bridgeport Exempted Village SD</v>
      </c>
      <c r="AL67" s="7" t="str">
        <f>GenExp!A67</f>
        <v>Bridgeport Exempted Village SD</v>
      </c>
      <c r="AM67" s="7" t="b">
        <f t="shared" si="4"/>
        <v>1</v>
      </c>
      <c r="AN67" s="7" t="str">
        <f t="shared" si="5"/>
        <v>Belmont</v>
      </c>
      <c r="AO67" s="7" t="b">
        <f>C67=GenExp!C67</f>
        <v>1</v>
      </c>
    </row>
    <row r="68" spans="1:41" hidden="1">
      <c r="A68" s="12" t="s">
        <v>906</v>
      </c>
      <c r="B68" s="12"/>
      <c r="C68" s="12" t="s">
        <v>358</v>
      </c>
      <c r="D68" s="12"/>
      <c r="E68" s="12">
        <v>47613</v>
      </c>
      <c r="K68" s="2">
        <f t="shared" si="14"/>
        <v>0</v>
      </c>
      <c r="O68" s="2">
        <f t="shared" si="15"/>
        <v>0</v>
      </c>
      <c r="AE68" s="13">
        <f t="shared" si="1"/>
        <v>0</v>
      </c>
      <c r="AG68" s="7">
        <f t="shared" si="2"/>
        <v>0</v>
      </c>
      <c r="AI68" s="7" t="s">
        <v>903</v>
      </c>
      <c r="AK68" s="7" t="str">
        <f t="shared" si="3"/>
        <v>Bright Local SD (CASH)</v>
      </c>
      <c r="AL68" s="7" t="str">
        <f>GenExp!A68</f>
        <v>Bright Local SD (CASH)</v>
      </c>
      <c r="AM68" s="7" t="b">
        <f t="shared" si="4"/>
        <v>1</v>
      </c>
      <c r="AN68" s="7" t="str">
        <f t="shared" si="5"/>
        <v>Highland</v>
      </c>
      <c r="AO68" s="7" t="b">
        <f>C68=GenExp!C68</f>
        <v>1</v>
      </c>
    </row>
    <row r="69" spans="1:41">
      <c r="A69" s="12" t="s">
        <v>535</v>
      </c>
      <c r="B69" s="12"/>
      <c r="C69" s="12" t="s">
        <v>64</v>
      </c>
      <c r="D69" s="12"/>
      <c r="E69" s="12">
        <v>50112</v>
      </c>
      <c r="G69" s="7">
        <v>2975131</v>
      </c>
      <c r="I69" s="7">
        <v>94421</v>
      </c>
      <c r="K69" s="2">
        <f t="shared" si="14"/>
        <v>3271270</v>
      </c>
      <c r="M69" s="7">
        <v>6340822</v>
      </c>
      <c r="O69" s="2">
        <f t="shared" si="15"/>
        <v>748057</v>
      </c>
      <c r="Q69" s="7">
        <f>501700+2666088</f>
        <v>3167788</v>
      </c>
      <c r="S69" s="7">
        <v>3915845</v>
      </c>
      <c r="U69" s="7">
        <f>5173+10724</f>
        <v>15897</v>
      </c>
      <c r="W69" s="7">
        <f>101258+72731+24162+322747+1781+81774+94421+39724</f>
        <v>738598</v>
      </c>
      <c r="Y69" s="7">
        <v>12750</v>
      </c>
      <c r="AA69" s="7">
        <f>18549+11475+1315+2099+9372+68</f>
        <v>42878</v>
      </c>
      <c r="AC69" s="7">
        <v>1614854</v>
      </c>
      <c r="AE69" s="13">
        <f t="shared" si="1"/>
        <v>2424977</v>
      </c>
      <c r="AG69" s="7">
        <f t="shared" si="2"/>
        <v>0</v>
      </c>
      <c r="AK69" s="7" t="str">
        <f t="shared" si="3"/>
        <v>Bristol Local SD</v>
      </c>
      <c r="AL69" s="7" t="str">
        <f>GenExp!A69</f>
        <v>Bristol Local SD</v>
      </c>
      <c r="AM69" s="7" t="b">
        <f t="shared" si="4"/>
        <v>1</v>
      </c>
      <c r="AN69" s="7" t="str">
        <f t="shared" si="5"/>
        <v>Trumbull</v>
      </c>
      <c r="AO69" s="7" t="b">
        <f>C69=GenExp!C69</f>
        <v>1</v>
      </c>
    </row>
    <row r="70" spans="1:41">
      <c r="A70" s="12" t="s">
        <v>706</v>
      </c>
      <c r="B70" s="12"/>
      <c r="C70" s="12" t="s">
        <v>64</v>
      </c>
      <c r="D70" s="12"/>
      <c r="E70" s="12">
        <v>50120</v>
      </c>
      <c r="G70" s="7">
        <f>6932801+451646+250088</f>
        <v>7634535</v>
      </c>
      <c r="I70" s="7">
        <v>0</v>
      </c>
      <c r="K70" s="2">
        <f t="shared" si="14"/>
        <v>6858586</v>
      </c>
      <c r="M70" s="7">
        <v>14493121</v>
      </c>
      <c r="O70" s="2">
        <f t="shared" si="15"/>
        <v>4746245</v>
      </c>
      <c r="Q70" s="7">
        <f>3162343+1494839</f>
        <v>4657182</v>
      </c>
      <c r="S70" s="7">
        <v>9403427</v>
      </c>
      <c r="U70" s="7">
        <v>1200</v>
      </c>
      <c r="W70" s="7">
        <f>525820+5754548+340740+6987+8502</f>
        <v>6636597</v>
      </c>
      <c r="Y70" s="7">
        <v>0</v>
      </c>
      <c r="AA70" s="7">
        <f>19191+8005</f>
        <v>27196</v>
      </c>
      <c r="AC70" s="7">
        <v>-1575299</v>
      </c>
      <c r="AE70" s="13">
        <f t="shared" si="1"/>
        <v>5089694</v>
      </c>
      <c r="AG70" s="7">
        <f t="shared" si="2"/>
        <v>0</v>
      </c>
      <c r="AK70" s="7" t="str">
        <f t="shared" si="3"/>
        <v xml:space="preserve">Brookfield Local SD </v>
      </c>
      <c r="AL70" s="7" t="str">
        <f>GenExp!A70</f>
        <v xml:space="preserve">Brookfield Local SD </v>
      </c>
      <c r="AM70" s="7" t="b">
        <f t="shared" si="4"/>
        <v>1</v>
      </c>
      <c r="AN70" s="7" t="str">
        <f t="shared" si="5"/>
        <v>Trumbull</v>
      </c>
      <c r="AO70" s="7" t="b">
        <f>C70=GenExp!C70</f>
        <v>1</v>
      </c>
    </row>
    <row r="71" spans="1:41">
      <c r="A71" s="12" t="s">
        <v>270</v>
      </c>
      <c r="B71" s="12"/>
      <c r="C71" s="12" t="s">
        <v>20</v>
      </c>
      <c r="D71" s="12"/>
      <c r="E71" s="12">
        <v>43653</v>
      </c>
      <c r="G71" s="7">
        <v>3878427</v>
      </c>
      <c r="I71" s="7">
        <v>41921</v>
      </c>
      <c r="K71" s="2">
        <f t="shared" si="14"/>
        <v>14834363</v>
      </c>
      <c r="M71" s="7">
        <v>18754711</v>
      </c>
      <c r="O71" s="2">
        <f t="shared" si="15"/>
        <v>2392376</v>
      </c>
      <c r="Q71" s="7">
        <v>12116781</v>
      </c>
      <c r="S71" s="7">
        <v>14509157</v>
      </c>
      <c r="U71" s="7">
        <v>41010</v>
      </c>
      <c r="W71" s="7">
        <v>347446</v>
      </c>
      <c r="Y71" s="7">
        <v>0</v>
      </c>
      <c r="AA71" s="7">
        <v>0</v>
      </c>
      <c r="AC71" s="7">
        <v>3857098</v>
      </c>
      <c r="AE71" s="13">
        <f t="shared" si="1"/>
        <v>4245554</v>
      </c>
      <c r="AG71" s="7">
        <f t="shared" si="2"/>
        <v>0</v>
      </c>
      <c r="AK71" s="7" t="str">
        <f t="shared" si="3"/>
        <v>Brooklyn City SD</v>
      </c>
      <c r="AL71" s="7" t="str">
        <f>GenExp!A71</f>
        <v>Brooklyn City SD</v>
      </c>
      <c r="AM71" s="7" t="b">
        <f t="shared" si="4"/>
        <v>1</v>
      </c>
      <c r="AN71" s="7" t="str">
        <f t="shared" si="5"/>
        <v>Cuyahoga</v>
      </c>
      <c r="AO71" s="7" t="b">
        <f>C71=GenExp!C71</f>
        <v>1</v>
      </c>
    </row>
    <row r="72" spans="1:41">
      <c r="A72" s="12" t="s">
        <v>441</v>
      </c>
      <c r="B72" s="12"/>
      <c r="C72" s="12" t="s">
        <v>50</v>
      </c>
      <c r="D72" s="12"/>
      <c r="E72" s="12">
        <v>48678</v>
      </c>
      <c r="G72" s="7">
        <v>10428531</v>
      </c>
      <c r="I72" s="7">
        <v>804336</v>
      </c>
      <c r="K72" s="2">
        <f t="shared" si="14"/>
        <v>10952362</v>
      </c>
      <c r="M72" s="7">
        <v>22185229</v>
      </c>
      <c r="O72" s="2">
        <f t="shared" si="15"/>
        <v>4320804</v>
      </c>
      <c r="Q72" s="7">
        <v>6361405</v>
      </c>
      <c r="S72" s="7">
        <v>10682209</v>
      </c>
      <c r="U72" s="7">
        <v>60827</v>
      </c>
      <c r="W72" s="7">
        <v>8584569</v>
      </c>
      <c r="Y72" s="7">
        <v>0</v>
      </c>
      <c r="AA72" s="7">
        <v>126070</v>
      </c>
      <c r="AC72" s="7">
        <v>2731554</v>
      </c>
      <c r="AE72" s="13">
        <f t="shared" si="1"/>
        <v>11503020</v>
      </c>
      <c r="AG72" s="7">
        <f t="shared" si="2"/>
        <v>0</v>
      </c>
      <c r="AK72" s="7" t="str">
        <f t="shared" si="3"/>
        <v>Brookville Local SD</v>
      </c>
      <c r="AL72" s="7" t="str">
        <f>GenExp!A72</f>
        <v>Brookville Local SD</v>
      </c>
      <c r="AM72" s="7" t="b">
        <f t="shared" si="4"/>
        <v>1</v>
      </c>
      <c r="AN72" s="7" t="str">
        <f t="shared" si="5"/>
        <v>Montgomery</v>
      </c>
      <c r="AO72" s="7" t="b">
        <f>C72=GenExp!C72</f>
        <v>1</v>
      </c>
    </row>
    <row r="73" spans="1:41">
      <c r="A73" s="12" t="s">
        <v>231</v>
      </c>
      <c r="B73" s="12"/>
      <c r="C73" s="12" t="s">
        <v>16</v>
      </c>
      <c r="D73" s="12"/>
      <c r="E73" s="12">
        <v>46177</v>
      </c>
      <c r="G73" s="7">
        <v>3327285</v>
      </c>
      <c r="I73" s="7">
        <v>29889</v>
      </c>
      <c r="K73" s="2">
        <f t="shared" si="14"/>
        <v>3115787</v>
      </c>
      <c r="M73" s="7">
        <v>6472961</v>
      </c>
      <c r="O73" s="2">
        <f t="shared" si="15"/>
        <v>778419</v>
      </c>
      <c r="Q73" s="7">
        <v>2086488</v>
      </c>
      <c r="S73" s="7">
        <v>2864907</v>
      </c>
      <c r="U73" s="7">
        <v>14530</v>
      </c>
      <c r="W73" s="7">
        <v>744936</v>
      </c>
      <c r="Y73" s="7">
        <v>125320</v>
      </c>
      <c r="AA73" s="7">
        <v>42871</v>
      </c>
      <c r="AC73" s="7">
        <v>2680397</v>
      </c>
      <c r="AE73" s="13">
        <f t="shared" si="1"/>
        <v>3608054</v>
      </c>
      <c r="AG73" s="7">
        <f t="shared" si="2"/>
        <v>0</v>
      </c>
      <c r="AK73" s="7" t="str">
        <f t="shared" si="3"/>
        <v>Brown Local SD</v>
      </c>
      <c r="AL73" s="7" t="str">
        <f>GenExp!A73</f>
        <v>Brown Local SD</v>
      </c>
      <c r="AM73" s="7" t="b">
        <f t="shared" si="4"/>
        <v>1</v>
      </c>
      <c r="AN73" s="7" t="str">
        <f t="shared" si="5"/>
        <v>Carroll</v>
      </c>
      <c r="AO73" s="7" t="b">
        <f>C73=GenExp!C73</f>
        <v>1</v>
      </c>
    </row>
    <row r="74" spans="1:41">
      <c r="A74" s="12" t="s">
        <v>428</v>
      </c>
      <c r="B74" s="12"/>
      <c r="C74" s="12" t="s">
        <v>47</v>
      </c>
      <c r="D74" s="12"/>
      <c r="E74" s="12">
        <v>43661</v>
      </c>
      <c r="G74" s="7">
        <v>27841574</v>
      </c>
      <c r="I74" s="7">
        <v>0</v>
      </c>
      <c r="K74" s="2">
        <f t="shared" si="14"/>
        <v>44039203</v>
      </c>
      <c r="M74" s="7">
        <v>71880777</v>
      </c>
      <c r="O74" s="2">
        <f t="shared" si="15"/>
        <v>11370529</v>
      </c>
      <c r="Q74" s="7">
        <v>39190307</v>
      </c>
      <c r="S74" s="7">
        <v>50560836</v>
      </c>
      <c r="U74" s="7">
        <v>647141</v>
      </c>
      <c r="W74" s="7">
        <v>12089909</v>
      </c>
      <c r="Y74" s="7">
        <v>1956264</v>
      </c>
      <c r="AA74" s="7">
        <v>730320</v>
      </c>
      <c r="AC74" s="7">
        <v>5896307</v>
      </c>
      <c r="AE74" s="13">
        <f t="shared" si="1"/>
        <v>21319941</v>
      </c>
      <c r="AG74" s="7">
        <f t="shared" si="2"/>
        <v>0</v>
      </c>
      <c r="AK74" s="7" t="str">
        <f t="shared" si="3"/>
        <v>Brunswick City SD</v>
      </c>
      <c r="AL74" s="7" t="str">
        <f>GenExp!A74</f>
        <v>Brunswick City SD</v>
      </c>
      <c r="AM74" s="7" t="b">
        <f t="shared" si="4"/>
        <v>1</v>
      </c>
      <c r="AN74" s="7" t="str">
        <f t="shared" si="5"/>
        <v>Medina</v>
      </c>
      <c r="AO74" s="7" t="b">
        <f>C74=GenExp!C74</f>
        <v>1</v>
      </c>
    </row>
    <row r="75" spans="1:41" hidden="1">
      <c r="A75" s="12" t="s">
        <v>707</v>
      </c>
      <c r="B75" s="12"/>
      <c r="C75" s="12" t="s">
        <v>570</v>
      </c>
      <c r="D75" s="12"/>
      <c r="E75" s="12">
        <v>43679</v>
      </c>
      <c r="K75" s="2">
        <f t="shared" si="14"/>
        <v>0</v>
      </c>
      <c r="O75" s="2">
        <f t="shared" si="15"/>
        <v>0</v>
      </c>
      <c r="AE75" s="13">
        <f t="shared" si="1"/>
        <v>0</v>
      </c>
      <c r="AG75" s="7">
        <f t="shared" si="2"/>
        <v>0</v>
      </c>
      <c r="AI75" s="7" t="s">
        <v>778</v>
      </c>
      <c r="AK75" s="7" t="str">
        <f t="shared" si="3"/>
        <v>Bryan City SD (CASH)</v>
      </c>
      <c r="AL75" s="7" t="str">
        <f>GenExp!A75</f>
        <v>Bryan City SD (CASH)</v>
      </c>
      <c r="AM75" s="7" t="b">
        <f t="shared" si="4"/>
        <v>1</v>
      </c>
      <c r="AN75" s="7" t="str">
        <f t="shared" si="5"/>
        <v>Williams</v>
      </c>
      <c r="AO75" s="7" t="b">
        <f>C75=GenExp!C75</f>
        <v>1</v>
      </c>
    </row>
    <row r="76" spans="1:41">
      <c r="A76" s="12" t="s">
        <v>262</v>
      </c>
      <c r="B76" s="12"/>
      <c r="C76" s="12" t="s">
        <v>111</v>
      </c>
      <c r="D76" s="12"/>
      <c r="E76" s="12">
        <v>46508</v>
      </c>
      <c r="G76" s="7">
        <v>5450087</v>
      </c>
      <c r="I76" s="7">
        <v>0</v>
      </c>
      <c r="K76" s="2">
        <f t="shared" si="14"/>
        <v>3137762</v>
      </c>
      <c r="M76" s="7">
        <v>8587849</v>
      </c>
      <c r="O76" s="2">
        <f t="shared" si="15"/>
        <v>886632</v>
      </c>
      <c r="Q76" s="7">
        <f>1684525+274447</f>
        <v>1958972</v>
      </c>
      <c r="S76" s="7">
        <v>2845604</v>
      </c>
      <c r="U76" s="7">
        <f>10107+11891</f>
        <v>21998</v>
      </c>
      <c r="W76" s="7">
        <f>692771+1841154+153417+56415+21731+37677+15191+273+13562</f>
        <v>2832191</v>
      </c>
      <c r="Y76" s="7">
        <v>10000</v>
      </c>
      <c r="AA76" s="7">
        <f>25334+141861+736+2410</f>
        <v>170341</v>
      </c>
      <c r="AC76" s="7">
        <f>9472+2698243</f>
        <v>2707715</v>
      </c>
      <c r="AE76" s="13">
        <f t="shared" si="1"/>
        <v>5742245</v>
      </c>
      <c r="AG76" s="7">
        <f t="shared" si="2"/>
        <v>0</v>
      </c>
      <c r="AK76" s="7" t="str">
        <f t="shared" si="3"/>
        <v>Buckeye Central Local SD</v>
      </c>
      <c r="AL76" s="7" t="str">
        <f>GenExp!A76</f>
        <v>Buckeye Central Local SD</v>
      </c>
      <c r="AM76" s="7" t="b">
        <f t="shared" si="4"/>
        <v>1</v>
      </c>
      <c r="AN76" s="7" t="str">
        <f t="shared" ref="AN76:AN139" si="16">C76</f>
        <v>Crawford</v>
      </c>
      <c r="AO76" s="7" t="b">
        <f>C76=GenExp!C76</f>
        <v>1</v>
      </c>
    </row>
    <row r="77" spans="1:41">
      <c r="A77" s="12" t="s">
        <v>207</v>
      </c>
      <c r="B77" s="12"/>
      <c r="C77" s="12" t="s">
        <v>12</v>
      </c>
      <c r="D77" s="12"/>
      <c r="E77" s="12">
        <v>45856</v>
      </c>
      <c r="G77" s="7">
        <v>6013051</v>
      </c>
      <c r="I77" s="7">
        <v>181630</v>
      </c>
      <c r="K77" s="2">
        <f t="shared" si="14"/>
        <v>7718625</v>
      </c>
      <c r="M77" s="7">
        <v>13913306</v>
      </c>
      <c r="O77" s="2">
        <f t="shared" si="15"/>
        <v>2346899</v>
      </c>
      <c r="Q77" s="7">
        <v>4343955</v>
      </c>
      <c r="S77" s="7">
        <v>6690854</v>
      </c>
      <c r="U77" s="7">
        <v>171537</v>
      </c>
      <c r="W77" s="7">
        <v>643846</v>
      </c>
      <c r="Y77" s="7">
        <v>800952</v>
      </c>
      <c r="AA77" s="7">
        <v>72509</v>
      </c>
      <c r="AC77" s="7">
        <v>5533608</v>
      </c>
      <c r="AE77" s="13">
        <f t="shared" ref="AE77:AE140" si="17">U77+W77+Y77+AA77+AC77</f>
        <v>7222452</v>
      </c>
      <c r="AG77" s="7">
        <f t="shared" ref="AG77:AG140" si="18">+G77+I77+K77-O77-Q77-Y77-W77-U77-AA77-AC77</f>
        <v>0</v>
      </c>
      <c r="AK77" s="7" t="str">
        <f t="shared" ref="AK77:AK140" si="19">A77</f>
        <v>Buckeye Local SD</v>
      </c>
      <c r="AL77" s="7" t="str">
        <f>GenExp!A77</f>
        <v>Buckeye Local SD</v>
      </c>
      <c r="AM77" s="7" t="b">
        <f t="shared" ref="AM77:AM140" si="20">AK77=AL77</f>
        <v>1</v>
      </c>
      <c r="AN77" s="7" t="str">
        <f t="shared" si="16"/>
        <v>Ashtabula</v>
      </c>
      <c r="AO77" s="7" t="b">
        <f>C77=GenExp!C77</f>
        <v>1</v>
      </c>
    </row>
    <row r="78" spans="1:41">
      <c r="A78" s="12" t="s">
        <v>207</v>
      </c>
      <c r="B78" s="12"/>
      <c r="C78" s="12" t="s">
        <v>39</v>
      </c>
      <c r="D78" s="12"/>
      <c r="E78" s="12">
        <v>47787</v>
      </c>
      <c r="G78" s="7">
        <f>1983279+603+399796</f>
        <v>2383678</v>
      </c>
      <c r="I78" s="7">
        <v>121920</v>
      </c>
      <c r="K78" s="2">
        <f t="shared" si="14"/>
        <v>7876089</v>
      </c>
      <c r="M78" s="7">
        <v>10381687</v>
      </c>
      <c r="O78" s="2">
        <f t="shared" si="15"/>
        <v>2599352</v>
      </c>
      <c r="Q78" s="7">
        <v>7071968</v>
      </c>
      <c r="S78" s="7">
        <v>9671320</v>
      </c>
      <c r="U78" s="7">
        <f>60643+1387</f>
        <v>62030</v>
      </c>
      <c r="W78" s="7">
        <f>5959+115961+2397+677083+13645+115240</f>
        <v>930285</v>
      </c>
      <c r="Y78" s="7">
        <v>0</v>
      </c>
      <c r="AA78" s="7">
        <v>0</v>
      </c>
      <c r="AC78" s="7">
        <v>-281948</v>
      </c>
      <c r="AE78" s="13">
        <f t="shared" si="17"/>
        <v>710367</v>
      </c>
      <c r="AG78" s="7">
        <f t="shared" si="18"/>
        <v>0</v>
      </c>
      <c r="AK78" s="7" t="str">
        <f t="shared" si="19"/>
        <v>Buckeye Local SD</v>
      </c>
      <c r="AL78" s="7" t="str">
        <f>GenExp!A78</f>
        <v>Buckeye Local SD</v>
      </c>
      <c r="AM78" s="7" t="b">
        <f t="shared" si="20"/>
        <v>1</v>
      </c>
      <c r="AN78" s="7" t="str">
        <f t="shared" si="16"/>
        <v>Jefferson</v>
      </c>
      <c r="AO78" s="7" t="b">
        <f>C78=GenExp!C78</f>
        <v>1</v>
      </c>
    </row>
    <row r="79" spans="1:41">
      <c r="A79" s="12" t="s">
        <v>708</v>
      </c>
      <c r="B79" s="12"/>
      <c r="C79" s="12" t="s">
        <v>47</v>
      </c>
      <c r="D79" s="12"/>
      <c r="E79" s="12">
        <v>48470</v>
      </c>
      <c r="G79" s="7">
        <v>3557478</v>
      </c>
      <c r="I79" s="7">
        <v>0</v>
      </c>
      <c r="K79" s="2">
        <f t="shared" si="14"/>
        <v>11225894</v>
      </c>
      <c r="M79" s="7">
        <v>14783372</v>
      </c>
      <c r="O79" s="2">
        <f t="shared" si="15"/>
        <v>2919957</v>
      </c>
      <c r="Q79" s="7">
        <v>10049026</v>
      </c>
      <c r="S79" s="7">
        <v>12968983</v>
      </c>
      <c r="U79" s="7">
        <v>100910</v>
      </c>
      <c r="W79" s="7">
        <v>2439894</v>
      </c>
      <c r="Y79" s="7">
        <v>101711</v>
      </c>
      <c r="AA79" s="7">
        <v>317001</v>
      </c>
      <c r="AC79" s="7">
        <v>-1145127</v>
      </c>
      <c r="AE79" s="13">
        <f t="shared" si="17"/>
        <v>1814389</v>
      </c>
      <c r="AG79" s="7">
        <f t="shared" si="18"/>
        <v>0</v>
      </c>
      <c r="AK79" s="7" t="str">
        <f t="shared" si="19"/>
        <v xml:space="preserve">Buckeye Local SD </v>
      </c>
      <c r="AL79" s="7" t="str">
        <f>GenExp!A79</f>
        <v xml:space="preserve">Buckeye Local SD </v>
      </c>
      <c r="AM79" s="7" t="b">
        <f t="shared" si="20"/>
        <v>1</v>
      </c>
      <c r="AN79" s="7" t="str">
        <f t="shared" si="16"/>
        <v>Medina</v>
      </c>
      <c r="AO79" s="7" t="b">
        <f>C79=GenExp!C79</f>
        <v>1</v>
      </c>
    </row>
    <row r="80" spans="1:41" hidden="1">
      <c r="A80" s="54" t="s">
        <v>908</v>
      </c>
      <c r="B80" s="12"/>
      <c r="C80" s="12" t="s">
        <v>112</v>
      </c>
      <c r="D80" s="12"/>
      <c r="E80" s="12">
        <v>46755</v>
      </c>
      <c r="K80" s="2">
        <f>M80-G80-I80</f>
        <v>0</v>
      </c>
      <c r="O80" s="2">
        <f>S80-Q80</f>
        <v>0</v>
      </c>
      <c r="AE80" s="13">
        <f t="shared" si="17"/>
        <v>0</v>
      </c>
      <c r="AG80" s="7">
        <f t="shared" si="18"/>
        <v>0</v>
      </c>
      <c r="AI80" s="7" t="s">
        <v>907</v>
      </c>
      <c r="AK80" s="7" t="str">
        <f t="shared" si="19"/>
        <v>Buckeye Online School for Success (now Community School)</v>
      </c>
      <c r="AL80" s="7" t="str">
        <f>GenExp!A80</f>
        <v>Buckeye Online School for Success (now Community School)</v>
      </c>
      <c r="AM80" s="7" t="b">
        <f t="shared" si="20"/>
        <v>1</v>
      </c>
      <c r="AN80" s="7" t="str">
        <f t="shared" si="16"/>
        <v>Columbiana</v>
      </c>
      <c r="AO80" s="7" t="b">
        <f>C80=GenExp!C80</f>
        <v>1</v>
      </c>
    </row>
    <row r="81" spans="1:41">
      <c r="A81" s="12" t="s">
        <v>665</v>
      </c>
      <c r="B81" s="12"/>
      <c r="C81" s="12" t="s">
        <v>23</v>
      </c>
      <c r="D81" s="12"/>
      <c r="E81" s="12">
        <v>46755</v>
      </c>
      <c r="G81" s="7">
        <v>11394958</v>
      </c>
      <c r="I81" s="7">
        <v>0</v>
      </c>
      <c r="K81" s="2">
        <f t="shared" si="14"/>
        <v>14140280</v>
      </c>
      <c r="M81" s="7">
        <v>25535238</v>
      </c>
      <c r="O81" s="2">
        <f t="shared" si="15"/>
        <v>2986987</v>
      </c>
      <c r="Q81" s="7">
        <f>666020+9828199</f>
        <v>10494219</v>
      </c>
      <c r="S81" s="7">
        <v>13481206</v>
      </c>
      <c r="U81" s="7">
        <f>41207+13530</f>
        <v>54737</v>
      </c>
      <c r="W81" s="7">
        <f>975307+5715947+122475+10181+26956+55083+130391</f>
        <v>7036340</v>
      </c>
      <c r="Y81" s="7">
        <v>439743</v>
      </c>
      <c r="AA81" s="7">
        <f>10191+364726+19889+67539+13532</f>
        <v>475877</v>
      </c>
      <c r="AC81" s="7">
        <v>4047335</v>
      </c>
      <c r="AE81" s="13">
        <f t="shared" si="17"/>
        <v>12054032</v>
      </c>
      <c r="AG81" s="7">
        <f t="shared" si="18"/>
        <v>0</v>
      </c>
      <c r="AK81" s="7" t="str">
        <f t="shared" si="19"/>
        <v xml:space="preserve">Buckeye Valley Local SD </v>
      </c>
      <c r="AL81" s="7" t="str">
        <f>GenExp!A81</f>
        <v xml:space="preserve">Buckeye Valley Local SD </v>
      </c>
      <c r="AM81" s="7" t="b">
        <f t="shared" si="20"/>
        <v>1</v>
      </c>
      <c r="AN81" s="7" t="str">
        <f t="shared" si="16"/>
        <v>Delaware</v>
      </c>
      <c r="AO81" s="7" t="b">
        <f>C81=GenExp!C81</f>
        <v>1</v>
      </c>
    </row>
    <row r="82" spans="1:41">
      <c r="A82" s="12" t="s">
        <v>263</v>
      </c>
      <c r="B82" s="12"/>
      <c r="C82" s="12" t="s">
        <v>111</v>
      </c>
      <c r="D82" s="12"/>
      <c r="E82" s="12">
        <v>43687</v>
      </c>
      <c r="G82" s="7">
        <f>8913888+686616</f>
        <v>9600504</v>
      </c>
      <c r="I82" s="7">
        <v>5605</v>
      </c>
      <c r="K82" s="2">
        <f t="shared" si="14"/>
        <v>5915133</v>
      </c>
      <c r="M82" s="7">
        <v>15521242</v>
      </c>
      <c r="O82" s="2">
        <f t="shared" si="15"/>
        <v>2641119</v>
      </c>
      <c r="Q82" s="7">
        <v>3694888</v>
      </c>
      <c r="S82" s="7">
        <v>6336007</v>
      </c>
      <c r="U82" s="7">
        <v>62867</v>
      </c>
      <c r="W82" s="7">
        <v>3051366</v>
      </c>
      <c r="Y82" s="7">
        <v>0</v>
      </c>
      <c r="AA82" s="7">
        <v>293894</v>
      </c>
      <c r="AC82" s="7">
        <v>5777108</v>
      </c>
      <c r="AE82" s="13">
        <f t="shared" si="17"/>
        <v>9185235</v>
      </c>
      <c r="AG82" s="7">
        <f t="shared" si="18"/>
        <v>0</v>
      </c>
      <c r="AK82" s="7" t="str">
        <f t="shared" si="19"/>
        <v>Bucyrus City SD</v>
      </c>
      <c r="AL82" s="7" t="str">
        <f>GenExp!A82</f>
        <v>Bucyrus City SD</v>
      </c>
      <c r="AM82" s="7" t="b">
        <f t="shared" si="20"/>
        <v>1</v>
      </c>
      <c r="AN82" s="7" t="str">
        <f t="shared" si="16"/>
        <v>Crawford</v>
      </c>
      <c r="AO82" s="7" t="b">
        <f>C82=GenExp!C82</f>
        <v>1</v>
      </c>
    </row>
    <row r="83" spans="1:41">
      <c r="A83" s="12" t="s">
        <v>861</v>
      </c>
      <c r="B83" s="12"/>
      <c r="C83" s="12" t="s">
        <v>52</v>
      </c>
      <c r="D83" s="12"/>
      <c r="E83" s="12">
        <v>45252</v>
      </c>
      <c r="G83" s="7">
        <v>1554228</v>
      </c>
      <c r="I83" s="7">
        <v>28461</v>
      </c>
      <c r="K83" s="2">
        <f t="shared" ref="K83" si="21">M83-G83-I83</f>
        <v>3030788</v>
      </c>
      <c r="M83" s="7">
        <v>4613477</v>
      </c>
      <c r="O83" s="2">
        <f t="shared" ref="O83" si="22">S83-Q83</f>
        <v>1182064</v>
      </c>
      <c r="Q83" s="7">
        <v>2610739</v>
      </c>
      <c r="S83" s="7">
        <v>3792803</v>
      </c>
      <c r="U83" s="7">
        <v>6455</v>
      </c>
      <c r="W83" s="7">
        <v>320486</v>
      </c>
      <c r="Y83" s="7">
        <v>0</v>
      </c>
      <c r="AA83" s="7">
        <v>505969</v>
      </c>
      <c r="AC83" s="7">
        <v>-12236</v>
      </c>
      <c r="AE83" s="13">
        <f t="shared" si="17"/>
        <v>820674</v>
      </c>
      <c r="AG83" s="7">
        <f t="shared" si="18"/>
        <v>0</v>
      </c>
      <c r="AK83" s="7" t="str">
        <f t="shared" si="19"/>
        <v>Caldwell Exempted Village SD</v>
      </c>
      <c r="AL83" s="7" t="str">
        <f>GenExp!A83</f>
        <v>Caldwell Exempted Village SD</v>
      </c>
      <c r="AM83" s="7" t="b">
        <f t="shared" si="20"/>
        <v>1</v>
      </c>
      <c r="AN83" s="7" t="str">
        <f t="shared" si="16"/>
        <v>Noble</v>
      </c>
      <c r="AO83" s="7" t="b">
        <f>C83=GenExp!C83</f>
        <v>1</v>
      </c>
    </row>
    <row r="84" spans="1:41">
      <c r="A84" s="12" t="s">
        <v>327</v>
      </c>
      <c r="B84" s="12"/>
      <c r="C84" s="12" t="s">
        <v>31</v>
      </c>
      <c r="D84" s="12"/>
      <c r="E84" s="12">
        <v>43695</v>
      </c>
      <c r="G84" s="7">
        <f>4370563+1319775+15539</f>
        <v>5705877</v>
      </c>
      <c r="I84" s="7">
        <v>23525</v>
      </c>
      <c r="K84" s="2">
        <f t="shared" ref="K84:K149" si="23">M84-G84-I84</f>
        <v>9073466</v>
      </c>
      <c r="M84" s="7">
        <v>14802868</v>
      </c>
      <c r="O84" s="2">
        <f t="shared" ref="O84:O149" si="24">S84-Q84</f>
        <v>2963545</v>
      </c>
      <c r="Q84" s="7">
        <v>6693886</v>
      </c>
      <c r="S84" s="7">
        <v>9657431</v>
      </c>
      <c r="U84" s="7">
        <f>73185+88670+12869+500</f>
        <v>175224</v>
      </c>
      <c r="W84" s="7">
        <f>2072313+1314761+10656+216807+24942+3464+2014+118917+51229</f>
        <v>3815103</v>
      </c>
      <c r="Y84" s="7">
        <f>21167+62916</f>
        <v>84083</v>
      </c>
      <c r="AA84" s="7">
        <f>271372+186310+392319+30700</f>
        <v>880701</v>
      </c>
      <c r="AC84" s="7">
        <v>190326</v>
      </c>
      <c r="AE84" s="13">
        <f t="shared" si="17"/>
        <v>5145437</v>
      </c>
      <c r="AG84" s="7">
        <f t="shared" si="18"/>
        <v>0</v>
      </c>
      <c r="AK84" s="7" t="str">
        <f t="shared" si="19"/>
        <v>Cambridge City SD</v>
      </c>
      <c r="AL84" s="7" t="str">
        <f>GenExp!A84</f>
        <v>Cambridge City SD</v>
      </c>
      <c r="AM84" s="7" t="b">
        <f t="shared" si="20"/>
        <v>1</v>
      </c>
      <c r="AN84" s="7" t="str">
        <f t="shared" si="16"/>
        <v>Guernsey</v>
      </c>
      <c r="AO84" s="7" t="b">
        <f>C84=GenExp!C84</f>
        <v>1</v>
      </c>
    </row>
    <row r="85" spans="1:41">
      <c r="A85" s="12" t="s">
        <v>677</v>
      </c>
      <c r="B85" s="12"/>
      <c r="C85" s="12" t="s">
        <v>45</v>
      </c>
      <c r="D85" s="12"/>
      <c r="E85" s="12">
        <v>43703</v>
      </c>
      <c r="G85" s="7">
        <v>2047713</v>
      </c>
      <c r="I85" s="7">
        <v>85084</v>
      </c>
      <c r="K85" s="2">
        <f t="shared" si="23"/>
        <v>3925185</v>
      </c>
      <c r="M85" s="7">
        <v>6057982</v>
      </c>
      <c r="O85" s="2">
        <f t="shared" si="24"/>
        <v>2309946</v>
      </c>
      <c r="Q85" s="7">
        <v>3380201</v>
      </c>
      <c r="S85" s="7">
        <v>5690147</v>
      </c>
      <c r="U85" s="7">
        <v>11382</v>
      </c>
      <c r="W85" s="7">
        <v>1020822</v>
      </c>
      <c r="Y85" s="7">
        <v>21441</v>
      </c>
      <c r="AA85" s="7">
        <v>302393</v>
      </c>
      <c r="AC85" s="7">
        <v>-988203</v>
      </c>
      <c r="AE85" s="13">
        <f t="shared" si="17"/>
        <v>367835</v>
      </c>
      <c r="AG85" s="7">
        <f t="shared" si="18"/>
        <v>0</v>
      </c>
      <c r="AK85" s="7" t="str">
        <f t="shared" si="19"/>
        <v xml:space="preserve">Campbell City SD </v>
      </c>
      <c r="AL85" s="7" t="str">
        <f>GenExp!A85</f>
        <v xml:space="preserve">Campbell City SD </v>
      </c>
      <c r="AM85" s="7" t="b">
        <f t="shared" si="20"/>
        <v>1</v>
      </c>
      <c r="AN85" s="7" t="str">
        <f t="shared" si="16"/>
        <v>Mahoning</v>
      </c>
      <c r="AO85" s="7" t="b">
        <f>C85=GenExp!C85</f>
        <v>1</v>
      </c>
    </row>
    <row r="86" spans="1:41">
      <c r="A86" s="12" t="s">
        <v>306</v>
      </c>
      <c r="B86" s="12"/>
      <c r="C86" s="12" t="s">
        <v>27</v>
      </c>
      <c r="D86" s="12"/>
      <c r="E86" s="12">
        <v>46946</v>
      </c>
      <c r="G86" s="7">
        <f>8229977+175</f>
        <v>8230152</v>
      </c>
      <c r="I86" s="7">
        <v>0</v>
      </c>
      <c r="K86" s="2">
        <f t="shared" si="23"/>
        <v>24688381</v>
      </c>
      <c r="M86" s="7">
        <v>32918533</v>
      </c>
      <c r="O86" s="2">
        <f t="shared" si="24"/>
        <v>5165311</v>
      </c>
      <c r="Q86" s="7">
        <f>2714559+13959449</f>
        <v>16674008</v>
      </c>
      <c r="S86" s="7">
        <v>21839319</v>
      </c>
      <c r="U86" s="7">
        <v>0</v>
      </c>
      <c r="W86" s="7">
        <f>2425323+409985+745945+35217+46284+29696+72585+27042</f>
        <v>3792077</v>
      </c>
      <c r="Y86" s="7">
        <f>54219+58148+444979</f>
        <v>557346</v>
      </c>
      <c r="AA86" s="7">
        <f>101067+352606+1711</f>
        <v>455384</v>
      </c>
      <c r="AC86" s="7">
        <v>6274407</v>
      </c>
      <c r="AE86" s="13">
        <f t="shared" si="17"/>
        <v>11079214</v>
      </c>
      <c r="AG86" s="7">
        <f t="shared" si="18"/>
        <v>0</v>
      </c>
      <c r="AK86" s="7" t="str">
        <f t="shared" si="19"/>
        <v>Canal Winchester Local SD</v>
      </c>
      <c r="AL86" s="7" t="str">
        <f>GenExp!A86</f>
        <v>Canal Winchester Local SD</v>
      </c>
      <c r="AM86" s="7" t="b">
        <f t="shared" si="20"/>
        <v>1</v>
      </c>
      <c r="AN86" s="7" t="str">
        <f t="shared" si="16"/>
        <v>Franklin</v>
      </c>
      <c r="AO86" s="7" t="b">
        <f>C86=GenExp!C86</f>
        <v>1</v>
      </c>
    </row>
    <row r="87" spans="1:41">
      <c r="A87" s="12" t="s">
        <v>416</v>
      </c>
      <c r="B87" s="12"/>
      <c r="C87" s="12" t="s">
        <v>45</v>
      </c>
      <c r="D87" s="12"/>
      <c r="E87" s="12">
        <v>48314</v>
      </c>
      <c r="G87" s="7">
        <v>7899088</v>
      </c>
      <c r="I87" s="7">
        <v>1130724</v>
      </c>
      <c r="K87" s="2">
        <f t="shared" si="23"/>
        <v>18323794</v>
      </c>
      <c r="M87" s="7">
        <v>27353606</v>
      </c>
      <c r="O87" s="2">
        <f t="shared" si="24"/>
        <v>2307062</v>
      </c>
      <c r="Q87" s="7">
        <v>18212294</v>
      </c>
      <c r="S87" s="7">
        <v>20519356</v>
      </c>
      <c r="U87" s="7">
        <v>138635</v>
      </c>
      <c r="W87" s="7">
        <v>4255903</v>
      </c>
      <c r="Y87" s="7">
        <v>44339</v>
      </c>
      <c r="AA87" s="7">
        <v>90839</v>
      </c>
      <c r="AC87" s="7">
        <v>2304534</v>
      </c>
      <c r="AE87" s="13">
        <f t="shared" si="17"/>
        <v>6834250</v>
      </c>
      <c r="AG87" s="7">
        <f t="shared" si="18"/>
        <v>0</v>
      </c>
      <c r="AK87" s="7" t="str">
        <f t="shared" si="19"/>
        <v>Canfield Local SD</v>
      </c>
      <c r="AL87" s="7" t="str">
        <f>GenExp!A87</f>
        <v>Canfield Local SD</v>
      </c>
      <c r="AM87" s="7" t="b">
        <f t="shared" si="20"/>
        <v>1</v>
      </c>
      <c r="AN87" s="7" t="str">
        <f t="shared" si="16"/>
        <v>Mahoning</v>
      </c>
      <c r="AO87" s="7" t="b">
        <f>C87=GenExp!C87</f>
        <v>1</v>
      </c>
    </row>
    <row r="88" spans="1:41">
      <c r="A88" s="12" t="s">
        <v>509</v>
      </c>
      <c r="B88" s="12"/>
      <c r="C88" s="12" t="s">
        <v>62</v>
      </c>
      <c r="D88" s="12"/>
      <c r="E88" s="12">
        <v>49833</v>
      </c>
      <c r="G88" s="7">
        <v>2073603</v>
      </c>
      <c r="I88" s="7">
        <v>0</v>
      </c>
      <c r="K88" s="2">
        <f>M88-G88-I88</f>
        <v>10974492</v>
      </c>
      <c r="M88" s="7">
        <v>13048095</v>
      </c>
      <c r="O88" s="2">
        <f>S88-Q88</f>
        <v>3962958</v>
      </c>
      <c r="Q88" s="7">
        <f>7889326+988213</f>
        <v>8877539</v>
      </c>
      <c r="S88" s="7">
        <v>12840497</v>
      </c>
      <c r="U88" s="7">
        <v>19625</v>
      </c>
      <c r="W88" s="7">
        <f>351366+1131+66068+81670+20882+517679+14204</f>
        <v>1053000</v>
      </c>
      <c r="Y88" s="7">
        <v>0</v>
      </c>
      <c r="AA88" s="7">
        <f>126720+166796+1563+29808+10787</f>
        <v>335674</v>
      </c>
      <c r="AC88" s="7">
        <v>-1200701</v>
      </c>
      <c r="AE88" s="13">
        <f>U88+W88+Y88+AA88+AC88</f>
        <v>207598</v>
      </c>
      <c r="AG88" s="7">
        <f>+G88+I88+K88-O88-Q88-Y88-W88-U88-AA88-AC88</f>
        <v>0</v>
      </c>
      <c r="AK88" s="7" t="str">
        <f>A88</f>
        <v>Canton City SD</v>
      </c>
      <c r="AL88" s="7" t="str">
        <f>GenExp!A88</f>
        <v>Canton City SD</v>
      </c>
      <c r="AM88" s="7" t="b">
        <f>AK88=AL88</f>
        <v>1</v>
      </c>
      <c r="AN88" s="7" t="str">
        <f>C88</f>
        <v>Stark</v>
      </c>
      <c r="AO88" s="7" t="b">
        <f>C88=GenExp!C88</f>
        <v>1</v>
      </c>
    </row>
    <row r="89" spans="1:41">
      <c r="A89" s="12" t="s">
        <v>510</v>
      </c>
      <c r="B89" s="12"/>
      <c r="C89" s="12" t="s">
        <v>62</v>
      </c>
      <c r="D89" s="12"/>
      <c r="E89" s="12">
        <v>43711</v>
      </c>
      <c r="G89" s="7">
        <v>31842000</v>
      </c>
      <c r="I89" s="7">
        <v>12827000</v>
      </c>
      <c r="K89" s="2">
        <f t="shared" si="23"/>
        <v>41407000</v>
      </c>
      <c r="M89" s="7">
        <v>86076000</v>
      </c>
      <c r="O89" s="2">
        <f t="shared" si="24"/>
        <v>17691000</v>
      </c>
      <c r="Q89" s="7">
        <f>12926000+23180000</f>
        <v>36106000</v>
      </c>
      <c r="S89" s="7">
        <v>53797000</v>
      </c>
      <c r="U89" s="7">
        <f>178000+56000</f>
        <v>234000</v>
      </c>
      <c r="W89" s="7">
        <v>31583000</v>
      </c>
      <c r="Y89" s="7">
        <v>0</v>
      </c>
      <c r="AA89" s="7">
        <v>3237000</v>
      </c>
      <c r="AC89" s="7">
        <v>-2775000</v>
      </c>
      <c r="AE89" s="13">
        <f t="shared" si="17"/>
        <v>32279000</v>
      </c>
      <c r="AG89" s="7">
        <f t="shared" si="18"/>
        <v>0</v>
      </c>
      <c r="AK89" s="7" t="str">
        <f t="shared" si="19"/>
        <v>Canton Local SD</v>
      </c>
      <c r="AL89" s="7" t="str">
        <f>GenExp!A89</f>
        <v>Canton Local SD</v>
      </c>
      <c r="AM89" s="7" t="b">
        <f t="shared" si="20"/>
        <v>1</v>
      </c>
      <c r="AN89" s="7" t="str">
        <f t="shared" si="16"/>
        <v>Stark</v>
      </c>
      <c r="AO89" s="7" t="b">
        <f>C89=GenExp!C89</f>
        <v>1</v>
      </c>
    </row>
    <row r="90" spans="1:41">
      <c r="A90" s="12" t="s">
        <v>678</v>
      </c>
      <c r="B90" s="12"/>
      <c r="C90" s="12" t="s">
        <v>30</v>
      </c>
      <c r="D90" s="12"/>
      <c r="E90" s="12">
        <v>47175</v>
      </c>
      <c r="G90" s="7">
        <v>2460524</v>
      </c>
      <c r="I90" s="7">
        <v>715179</v>
      </c>
      <c r="K90" s="2">
        <f t="shared" si="23"/>
        <v>8176469</v>
      </c>
      <c r="M90" s="7">
        <v>11352172</v>
      </c>
      <c r="O90" s="2">
        <f t="shared" si="24"/>
        <v>2061668</v>
      </c>
      <c r="Q90" s="7">
        <v>7362339</v>
      </c>
      <c r="S90" s="7">
        <v>9424007</v>
      </c>
      <c r="U90" s="7">
        <v>62224</v>
      </c>
      <c r="W90" s="7">
        <v>2905490</v>
      </c>
      <c r="Y90" s="7">
        <v>0</v>
      </c>
      <c r="AA90" s="7">
        <v>129096</v>
      </c>
      <c r="AC90" s="7">
        <v>-1168645</v>
      </c>
      <c r="AE90" s="13">
        <f t="shared" si="17"/>
        <v>1928165</v>
      </c>
      <c r="AG90" s="7">
        <f t="shared" si="18"/>
        <v>0</v>
      </c>
      <c r="AK90" s="7" t="str">
        <f t="shared" si="19"/>
        <v xml:space="preserve">Cardinal Local SD </v>
      </c>
      <c r="AL90" s="7" t="str">
        <f>GenExp!A90</f>
        <v xml:space="preserve">Cardinal Local SD </v>
      </c>
      <c r="AM90" s="7" t="b">
        <f t="shared" si="20"/>
        <v>1</v>
      </c>
      <c r="AN90" s="7" t="str">
        <f t="shared" si="16"/>
        <v>Geauga</v>
      </c>
      <c r="AO90" s="7" t="b">
        <f>C90=GenExp!C90</f>
        <v>1</v>
      </c>
    </row>
    <row r="91" spans="1:41" hidden="1">
      <c r="A91" s="12" t="s">
        <v>454</v>
      </c>
      <c r="B91" s="12"/>
      <c r="C91" s="12" t="s">
        <v>78</v>
      </c>
      <c r="D91" s="12"/>
      <c r="E91" s="12">
        <v>48793</v>
      </c>
      <c r="K91" s="2">
        <f t="shared" si="23"/>
        <v>0</v>
      </c>
      <c r="O91" s="2">
        <f t="shared" si="24"/>
        <v>0</v>
      </c>
      <c r="AE91" s="13">
        <f t="shared" si="17"/>
        <v>0</v>
      </c>
      <c r="AG91" s="7">
        <f t="shared" si="18"/>
        <v>0</v>
      </c>
      <c r="AI91" s="7" t="s">
        <v>981</v>
      </c>
      <c r="AK91" s="7" t="str">
        <f t="shared" si="19"/>
        <v>Cardington-Lincoln Local SD</v>
      </c>
      <c r="AL91" s="7" t="str">
        <f>GenExp!A91</f>
        <v>Cardington-Lincoln Local SD</v>
      </c>
      <c r="AM91" s="7" t="b">
        <f t="shared" si="20"/>
        <v>1</v>
      </c>
      <c r="AN91" s="7" t="str">
        <f t="shared" si="16"/>
        <v>Morrow</v>
      </c>
      <c r="AO91" s="7" t="b">
        <f>C91=GenExp!C91</f>
        <v>1</v>
      </c>
    </row>
    <row r="92" spans="1:41" hidden="1">
      <c r="A92" s="12" t="s">
        <v>644</v>
      </c>
      <c r="B92" s="12"/>
      <c r="C92" s="12" t="s">
        <v>577</v>
      </c>
      <c r="D92" s="12"/>
      <c r="E92" s="12">
        <v>45260</v>
      </c>
      <c r="K92" s="2">
        <f t="shared" si="23"/>
        <v>0</v>
      </c>
      <c r="O92" s="2">
        <f t="shared" si="24"/>
        <v>0</v>
      </c>
      <c r="AE92" s="13">
        <f t="shared" si="17"/>
        <v>0</v>
      </c>
      <c r="AG92" s="7">
        <f t="shared" si="18"/>
        <v>0</v>
      </c>
      <c r="AI92" s="7" t="s">
        <v>778</v>
      </c>
      <c r="AK92" s="7" t="str">
        <f t="shared" si="19"/>
        <v>Carey Ex Vill SD (CASH)</v>
      </c>
      <c r="AL92" s="7" t="str">
        <f>GenExp!A92</f>
        <v>Carey Ex Vill SD (CASH)</v>
      </c>
      <c r="AM92" s="7" t="b">
        <f t="shared" si="20"/>
        <v>1</v>
      </c>
      <c r="AN92" s="7" t="str">
        <f t="shared" si="16"/>
        <v>Wyandot</v>
      </c>
      <c r="AO92" s="7" t="b">
        <f>C92=GenExp!C92</f>
        <v>1</v>
      </c>
    </row>
    <row r="93" spans="1:41" s="32" customFormat="1">
      <c r="A93" s="31" t="s">
        <v>560</v>
      </c>
      <c r="B93" s="31"/>
      <c r="C93" s="31" t="s">
        <v>69</v>
      </c>
      <c r="D93" s="31"/>
      <c r="E93" s="31">
        <v>50419</v>
      </c>
      <c r="G93" s="32">
        <v>1437855</v>
      </c>
      <c r="I93" s="32">
        <v>0</v>
      </c>
      <c r="K93" s="34">
        <f t="shared" si="23"/>
        <v>5435583</v>
      </c>
      <c r="M93" s="32">
        <v>6873438</v>
      </c>
      <c r="O93" s="34">
        <f t="shared" si="24"/>
        <v>2245174</v>
      </c>
      <c r="Q93" s="32">
        <v>4328405</v>
      </c>
      <c r="S93" s="32">
        <v>6573579</v>
      </c>
      <c r="U93" s="32">
        <v>0</v>
      </c>
      <c r="W93" s="32">
        <v>189971</v>
      </c>
      <c r="Y93" s="32">
        <v>0</v>
      </c>
      <c r="AA93" s="32">
        <v>30681</v>
      </c>
      <c r="AC93" s="32">
        <v>79207</v>
      </c>
      <c r="AE93" s="45">
        <f t="shared" si="17"/>
        <v>299859</v>
      </c>
      <c r="AG93" s="32">
        <f t="shared" si="18"/>
        <v>0</v>
      </c>
      <c r="AK93" s="32" t="str">
        <f t="shared" si="19"/>
        <v>Carlisle Local SD</v>
      </c>
      <c r="AL93" s="32" t="str">
        <f>GenExp!A93</f>
        <v>Carlisle Local SD</v>
      </c>
      <c r="AM93" s="32" t="b">
        <f t="shared" si="20"/>
        <v>1</v>
      </c>
      <c r="AN93" s="32" t="str">
        <f t="shared" si="16"/>
        <v>Warren</v>
      </c>
      <c r="AO93" s="32" t="b">
        <f>C93=GenExp!C93</f>
        <v>1</v>
      </c>
    </row>
    <row r="94" spans="1:41">
      <c r="A94" s="12" t="s">
        <v>862</v>
      </c>
      <c r="B94" s="12"/>
      <c r="C94" s="12" t="s">
        <v>16</v>
      </c>
      <c r="D94" s="12"/>
      <c r="E94" s="12">
        <v>45278</v>
      </c>
      <c r="G94" s="7">
        <v>6136588</v>
      </c>
      <c r="I94" s="7">
        <v>0</v>
      </c>
      <c r="K94" s="2">
        <f t="shared" si="23"/>
        <v>6966562</v>
      </c>
      <c r="M94" s="7">
        <v>13103150</v>
      </c>
      <c r="O94" s="2">
        <f t="shared" si="24"/>
        <v>2561741</v>
      </c>
      <c r="Q94" s="7">
        <v>4952201</v>
      </c>
      <c r="S94" s="7">
        <v>7513942</v>
      </c>
      <c r="U94" s="7">
        <v>64848</v>
      </c>
      <c r="W94" s="7">
        <v>76524</v>
      </c>
      <c r="Y94" s="7">
        <v>0</v>
      </c>
      <c r="AA94" s="7">
        <v>241355</v>
      </c>
      <c r="AC94" s="7">
        <v>5206481</v>
      </c>
      <c r="AE94" s="13">
        <f t="shared" si="17"/>
        <v>5589208</v>
      </c>
      <c r="AG94" s="7">
        <f t="shared" si="18"/>
        <v>0</v>
      </c>
      <c r="AK94" s="7" t="str">
        <f t="shared" si="19"/>
        <v>Carrollton Exempted Village SD</v>
      </c>
      <c r="AL94" s="7" t="str">
        <f>GenExp!A94</f>
        <v>Carrollton Exempted Village SD</v>
      </c>
      <c r="AM94" s="7" t="b">
        <f t="shared" si="20"/>
        <v>1</v>
      </c>
      <c r="AN94" s="7" t="str">
        <f t="shared" si="16"/>
        <v>Carroll</v>
      </c>
      <c r="AO94" s="7" t="b">
        <f>C94=GenExp!C94</f>
        <v>1</v>
      </c>
    </row>
    <row r="95" spans="1:41">
      <c r="A95" s="12" t="s">
        <v>679</v>
      </c>
      <c r="B95" s="12"/>
      <c r="C95" s="12" t="s">
        <v>114</v>
      </c>
      <c r="D95" s="12"/>
      <c r="E95" s="12">
        <v>47258</v>
      </c>
      <c r="G95" s="7">
        <f>21549966+69</f>
        <v>21550035</v>
      </c>
      <c r="I95" s="7">
        <v>0</v>
      </c>
      <c r="K95" s="2">
        <f t="shared" si="23"/>
        <v>8377939</v>
      </c>
      <c r="M95" s="7">
        <v>29927974</v>
      </c>
      <c r="O95" s="2">
        <f t="shared" si="24"/>
        <v>1687320</v>
      </c>
      <c r="Q95" s="7">
        <v>7735542</v>
      </c>
      <c r="S95" s="7">
        <v>9422862</v>
      </c>
      <c r="U95" s="7">
        <v>18176</v>
      </c>
      <c r="W95" s="7">
        <v>18402334</v>
      </c>
      <c r="Y95" s="7">
        <v>0</v>
      </c>
      <c r="AA95" s="7">
        <v>34499</v>
      </c>
      <c r="AC95" s="7">
        <v>2050103</v>
      </c>
      <c r="AE95" s="13">
        <f t="shared" si="17"/>
        <v>20505112</v>
      </c>
      <c r="AG95" s="7">
        <f t="shared" si="18"/>
        <v>0</v>
      </c>
      <c r="AI95" s="7" t="s">
        <v>783</v>
      </c>
      <c r="AK95" s="7" t="str">
        <f t="shared" si="19"/>
        <v xml:space="preserve">Cedar Cliff Local SD </v>
      </c>
      <c r="AL95" s="7" t="str">
        <f>GenExp!A95</f>
        <v xml:space="preserve">Cedar Cliff Local SD </v>
      </c>
      <c r="AM95" s="7" t="b">
        <f t="shared" si="20"/>
        <v>1</v>
      </c>
      <c r="AN95" s="7" t="str">
        <f t="shared" si="16"/>
        <v>Greene</v>
      </c>
      <c r="AO95" s="7" t="b">
        <f>C95=GenExp!C95</f>
        <v>1</v>
      </c>
    </row>
    <row r="96" spans="1:41" hidden="1">
      <c r="A96" s="12" t="s">
        <v>645</v>
      </c>
      <c r="B96" s="12"/>
      <c r="C96" s="12" t="s">
        <v>435</v>
      </c>
      <c r="D96" s="12"/>
      <c r="E96" s="12">
        <v>43729</v>
      </c>
      <c r="K96" s="2">
        <f t="shared" si="23"/>
        <v>0</v>
      </c>
      <c r="O96" s="2">
        <f t="shared" si="24"/>
        <v>0</v>
      </c>
      <c r="AE96" s="13">
        <f t="shared" si="17"/>
        <v>0</v>
      </c>
      <c r="AG96" s="7">
        <f t="shared" si="18"/>
        <v>0</v>
      </c>
      <c r="AI96" s="7" t="s">
        <v>778</v>
      </c>
      <c r="AK96" s="7" t="str">
        <f t="shared" si="19"/>
        <v>Celina City SD (CASH)</v>
      </c>
      <c r="AL96" s="7" t="str">
        <f>GenExp!A96</f>
        <v>Celina City SD (CASH)</v>
      </c>
      <c r="AM96" s="7" t="b">
        <f t="shared" si="20"/>
        <v>1</v>
      </c>
      <c r="AN96" s="7" t="str">
        <f t="shared" si="16"/>
        <v>Mercer</v>
      </c>
      <c r="AO96" s="7" t="b">
        <f>C96=GenExp!C96</f>
        <v>1</v>
      </c>
    </row>
    <row r="97" spans="1:41">
      <c r="A97" s="12" t="s">
        <v>680</v>
      </c>
      <c r="B97" s="12"/>
      <c r="C97" s="12" t="s">
        <v>40</v>
      </c>
      <c r="D97" s="12"/>
      <c r="E97" s="12">
        <v>47829</v>
      </c>
      <c r="G97" s="7">
        <v>4327173</v>
      </c>
      <c r="I97" s="7">
        <v>488074</v>
      </c>
      <c r="K97" s="2">
        <f t="shared" si="23"/>
        <v>4007007</v>
      </c>
      <c r="M97" s="7">
        <v>8822254</v>
      </c>
      <c r="O97" s="2">
        <f t="shared" si="24"/>
        <v>1105167</v>
      </c>
      <c r="Q97" s="7">
        <v>2374493</v>
      </c>
      <c r="S97" s="7">
        <v>3479660</v>
      </c>
      <c r="U97" s="7">
        <v>32470</v>
      </c>
      <c r="W97" s="7">
        <v>2182983</v>
      </c>
      <c r="Y97" s="7">
        <v>0</v>
      </c>
      <c r="AA97" s="7">
        <v>488050</v>
      </c>
      <c r="AC97" s="7">
        <v>2639091</v>
      </c>
      <c r="AE97" s="13">
        <f t="shared" si="17"/>
        <v>5342594</v>
      </c>
      <c r="AG97" s="7">
        <f t="shared" si="18"/>
        <v>0</v>
      </c>
      <c r="AK97" s="7" t="str">
        <f t="shared" si="19"/>
        <v xml:space="preserve">Centerburg Local SD </v>
      </c>
      <c r="AL97" s="7" t="str">
        <f>GenExp!A97</f>
        <v xml:space="preserve">Centerburg Local SD </v>
      </c>
      <c r="AM97" s="7" t="b">
        <f t="shared" si="20"/>
        <v>1</v>
      </c>
      <c r="AN97" s="7" t="str">
        <f t="shared" si="16"/>
        <v>Knox</v>
      </c>
      <c r="AO97" s="7" t="b">
        <f>C97=GenExp!C97</f>
        <v>1</v>
      </c>
    </row>
    <row r="98" spans="1:41">
      <c r="A98" s="12" t="s">
        <v>681</v>
      </c>
      <c r="B98" s="12"/>
      <c r="C98" s="12" t="s">
        <v>50</v>
      </c>
      <c r="D98" s="12"/>
      <c r="E98" s="12">
        <v>43737</v>
      </c>
      <c r="G98" s="7">
        <v>37114363</v>
      </c>
      <c r="I98" s="7">
        <v>141886</v>
      </c>
      <c r="K98" s="2">
        <f t="shared" si="23"/>
        <v>63109372</v>
      </c>
      <c r="M98" s="7">
        <v>100365621</v>
      </c>
      <c r="O98" s="2">
        <f t="shared" si="24"/>
        <v>10634812</v>
      </c>
      <c r="Q98" s="7">
        <v>58222291</v>
      </c>
      <c r="S98" s="7">
        <v>68857103</v>
      </c>
      <c r="U98" s="7">
        <v>23832</v>
      </c>
      <c r="W98" s="7">
        <v>15358789</v>
      </c>
      <c r="Y98" s="7">
        <v>0</v>
      </c>
      <c r="AA98" s="7">
        <v>363830</v>
      </c>
      <c r="AC98" s="7">
        <v>15762067</v>
      </c>
      <c r="AE98" s="13">
        <f t="shared" si="17"/>
        <v>31508518</v>
      </c>
      <c r="AG98" s="7">
        <f t="shared" si="18"/>
        <v>0</v>
      </c>
      <c r="AK98" s="7" t="str">
        <f t="shared" si="19"/>
        <v xml:space="preserve">Centerville City SD </v>
      </c>
      <c r="AL98" s="7" t="str">
        <f>GenExp!A98</f>
        <v xml:space="preserve">Centerville City SD </v>
      </c>
      <c r="AM98" s="7" t="b">
        <f t="shared" si="20"/>
        <v>1</v>
      </c>
      <c r="AN98" s="7" t="str">
        <f t="shared" si="16"/>
        <v>Montgomery</v>
      </c>
      <c r="AO98" s="7" t="b">
        <f>C98=GenExp!C98</f>
        <v>1</v>
      </c>
    </row>
    <row r="99" spans="1:41" hidden="1">
      <c r="A99" s="12" t="s">
        <v>797</v>
      </c>
      <c r="B99" s="12"/>
      <c r="C99" s="12" t="s">
        <v>22</v>
      </c>
      <c r="D99" s="12"/>
      <c r="E99" s="12">
        <v>46714</v>
      </c>
      <c r="K99" s="2">
        <f t="shared" si="23"/>
        <v>0</v>
      </c>
      <c r="O99" s="2">
        <f t="shared" si="24"/>
        <v>0</v>
      </c>
      <c r="AE99" s="13">
        <f t="shared" si="17"/>
        <v>0</v>
      </c>
      <c r="AG99" s="7">
        <f t="shared" si="18"/>
        <v>0</v>
      </c>
      <c r="AI99" s="7" t="s">
        <v>779</v>
      </c>
      <c r="AK99" s="7" t="str">
        <f t="shared" si="19"/>
        <v>Central Local SD (CASH)</v>
      </c>
      <c r="AL99" s="7" t="str">
        <f>GenExp!A99</f>
        <v>Central Local SD (CASH)</v>
      </c>
      <c r="AM99" s="7" t="b">
        <f t="shared" si="20"/>
        <v>1</v>
      </c>
      <c r="AN99" s="7" t="str">
        <f t="shared" si="16"/>
        <v>Defiance</v>
      </c>
      <c r="AO99" s="7" t="b">
        <f>C99=GenExp!C99</f>
        <v>1</v>
      </c>
    </row>
    <row r="100" spans="1:41">
      <c r="A100" s="12" t="s">
        <v>863</v>
      </c>
      <c r="B100" s="12"/>
      <c r="C100" s="12" t="s">
        <v>20</v>
      </c>
      <c r="D100" s="12"/>
      <c r="E100" s="12">
        <v>45286</v>
      </c>
      <c r="G100" s="7">
        <v>11494571</v>
      </c>
      <c r="I100" s="7">
        <v>0</v>
      </c>
      <c r="K100" s="2">
        <f t="shared" si="23"/>
        <v>21146168</v>
      </c>
      <c r="M100" s="7">
        <v>32640739</v>
      </c>
      <c r="O100" s="2">
        <f t="shared" si="24"/>
        <v>3053955</v>
      </c>
      <c r="Q100" s="7">
        <v>18263668</v>
      </c>
      <c r="S100" s="7">
        <v>21317623</v>
      </c>
      <c r="U100" s="7">
        <v>0</v>
      </c>
      <c r="W100" s="7">
        <v>4773178</v>
      </c>
      <c r="Y100" s="7">
        <v>0</v>
      </c>
      <c r="AA100" s="7">
        <v>53895</v>
      </c>
      <c r="AC100" s="7">
        <v>6496043</v>
      </c>
      <c r="AE100" s="13">
        <f t="shared" si="17"/>
        <v>11323116</v>
      </c>
      <c r="AG100" s="7">
        <f t="shared" si="18"/>
        <v>0</v>
      </c>
      <c r="AK100" s="7" t="str">
        <f t="shared" si="19"/>
        <v>Chagrin Falls Exempted Village SD</v>
      </c>
      <c r="AL100" s="7" t="str">
        <f>GenExp!A100</f>
        <v>Chagrin Falls Exempted Village SD</v>
      </c>
      <c r="AM100" s="7" t="b">
        <f t="shared" si="20"/>
        <v>1</v>
      </c>
      <c r="AN100" s="7" t="str">
        <f t="shared" si="16"/>
        <v>Cuyahoga</v>
      </c>
      <c r="AO100" s="7" t="b">
        <f>C100=GenExp!C100</f>
        <v>1</v>
      </c>
    </row>
    <row r="101" spans="1:41">
      <c r="A101" s="12" t="s">
        <v>536</v>
      </c>
      <c r="B101" s="12"/>
      <c r="C101" s="12" t="s">
        <v>64</v>
      </c>
      <c r="D101" s="12"/>
      <c r="E101" s="12">
        <v>50138</v>
      </c>
      <c r="G101" s="7">
        <v>1951390</v>
      </c>
      <c r="I101" s="7">
        <v>0</v>
      </c>
      <c r="K101" s="2">
        <f t="shared" si="23"/>
        <v>6625282</v>
      </c>
      <c r="M101" s="7">
        <v>8576672</v>
      </c>
      <c r="O101" s="2">
        <f t="shared" si="24"/>
        <v>2549201</v>
      </c>
      <c r="Q101" s="7">
        <f>4783265+1720674</f>
        <v>6503939</v>
      </c>
      <c r="S101" s="7">
        <v>9053140</v>
      </c>
      <c r="U101" s="7">
        <f>12530+39582</f>
        <v>52112</v>
      </c>
      <c r="W101" s="7">
        <f>207779+349+8+31222</f>
        <v>239358</v>
      </c>
      <c r="Y101" s="7">
        <v>0</v>
      </c>
      <c r="AA101" s="7">
        <f>19234+142290+15807</f>
        <v>177331</v>
      </c>
      <c r="AC101" s="7">
        <v>-945269</v>
      </c>
      <c r="AE101" s="13">
        <f t="shared" si="17"/>
        <v>-476468</v>
      </c>
      <c r="AG101" s="7">
        <f t="shared" si="18"/>
        <v>0</v>
      </c>
      <c r="AK101" s="7" t="str">
        <f t="shared" si="19"/>
        <v>Champion Local SD</v>
      </c>
      <c r="AL101" s="7" t="str">
        <f>GenExp!A101</f>
        <v>Champion Local SD</v>
      </c>
      <c r="AM101" s="7" t="b">
        <f t="shared" si="20"/>
        <v>1</v>
      </c>
      <c r="AN101" s="7" t="str">
        <f t="shared" si="16"/>
        <v>Trumbull</v>
      </c>
      <c r="AO101" s="7" t="b">
        <f>C101=GenExp!C101</f>
        <v>1</v>
      </c>
    </row>
    <row r="102" spans="1:41" hidden="1">
      <c r="A102" s="12" t="s">
        <v>798</v>
      </c>
      <c r="B102" s="12"/>
      <c r="C102" s="12" t="s">
        <v>30</v>
      </c>
      <c r="D102" s="12"/>
      <c r="E102" s="12">
        <v>47183</v>
      </c>
      <c r="K102" s="2">
        <f t="shared" si="23"/>
        <v>0</v>
      </c>
      <c r="O102" s="2">
        <f t="shared" si="24"/>
        <v>0</v>
      </c>
      <c r="AE102" s="13">
        <f t="shared" si="17"/>
        <v>0</v>
      </c>
      <c r="AG102" s="7">
        <f t="shared" si="18"/>
        <v>0</v>
      </c>
      <c r="AI102" s="7" t="s">
        <v>779</v>
      </c>
      <c r="AK102" s="7" t="str">
        <f t="shared" si="19"/>
        <v>Chardon Local SD (CASH)</v>
      </c>
      <c r="AL102" s="7" t="str">
        <f>GenExp!A102</f>
        <v>Chardon Local SD (CASH)</v>
      </c>
      <c r="AM102" s="7" t="b">
        <f t="shared" si="20"/>
        <v>1</v>
      </c>
      <c r="AN102" s="7" t="str">
        <f t="shared" si="16"/>
        <v>Geauga</v>
      </c>
      <c r="AO102" s="7" t="b">
        <f>C102=GenExp!C102</f>
        <v>1</v>
      </c>
    </row>
    <row r="103" spans="1:41">
      <c r="A103" s="12" t="s">
        <v>864</v>
      </c>
      <c r="B103" s="12"/>
      <c r="C103" s="12" t="s">
        <v>377</v>
      </c>
      <c r="D103" s="12"/>
      <c r="E103" s="12">
        <v>45294</v>
      </c>
      <c r="G103" s="7">
        <v>2811762</v>
      </c>
      <c r="I103" s="7">
        <v>704663</v>
      </c>
      <c r="K103" s="2">
        <f t="shared" si="23"/>
        <v>2421510</v>
      </c>
      <c r="M103" s="7">
        <v>5937935</v>
      </c>
      <c r="O103" s="2">
        <f t="shared" si="24"/>
        <v>1822481</v>
      </c>
      <c r="Q103" s="7">
        <v>2131822</v>
      </c>
      <c r="S103" s="7">
        <v>3954303</v>
      </c>
      <c r="U103" s="7">
        <v>0</v>
      </c>
      <c r="W103" s="7">
        <v>2801614</v>
      </c>
      <c r="Y103" s="7">
        <v>11000</v>
      </c>
      <c r="AA103" s="7">
        <v>0</v>
      </c>
      <c r="AC103" s="7">
        <v>-828982</v>
      </c>
      <c r="AE103" s="13">
        <f t="shared" si="17"/>
        <v>1983632</v>
      </c>
      <c r="AG103" s="7">
        <f t="shared" si="18"/>
        <v>0</v>
      </c>
      <c r="AK103" s="7" t="str">
        <f t="shared" si="19"/>
        <v>Chesapeake Union Exempted Village SD</v>
      </c>
      <c r="AL103" s="7" t="str">
        <f>GenExp!A103</f>
        <v>Chesapeake Union Exempted Village SD</v>
      </c>
      <c r="AM103" s="7" t="b">
        <f t="shared" si="20"/>
        <v>1</v>
      </c>
      <c r="AN103" s="7" t="str">
        <f t="shared" si="16"/>
        <v>Lawrence</v>
      </c>
      <c r="AO103" s="7" t="b">
        <f>C103=GenExp!C103</f>
        <v>1</v>
      </c>
    </row>
    <row r="104" spans="1:41">
      <c r="A104" s="12" t="s">
        <v>488</v>
      </c>
      <c r="B104" s="12"/>
      <c r="C104" s="12" t="s">
        <v>58</v>
      </c>
      <c r="D104" s="12"/>
      <c r="E104" s="12">
        <v>43745</v>
      </c>
      <c r="G104" s="7">
        <v>6263638</v>
      </c>
      <c r="I104" s="7">
        <v>492</v>
      </c>
      <c r="K104" s="2">
        <f t="shared" si="23"/>
        <v>14213998</v>
      </c>
      <c r="M104" s="7">
        <v>20478128</v>
      </c>
      <c r="O104" s="2">
        <f t="shared" si="24"/>
        <v>3408321</v>
      </c>
      <c r="Q104" s="7">
        <v>10711618</v>
      </c>
      <c r="S104" s="7">
        <v>14119939</v>
      </c>
      <c r="U104" s="7">
        <v>450000</v>
      </c>
      <c r="W104" s="7">
        <f>1794717+108978+15701+23215+11823+492+930015+57183+2381+32588</f>
        <v>2977093</v>
      </c>
      <c r="Y104" s="7">
        <f>81415+60079+221652</f>
        <v>363146</v>
      </c>
      <c r="AA104" s="7">
        <f>31889+93570</f>
        <v>125459</v>
      </c>
      <c r="AC104" s="7">
        <v>2442491</v>
      </c>
      <c r="AE104" s="13">
        <f t="shared" si="17"/>
        <v>6358189</v>
      </c>
      <c r="AG104" s="7">
        <f t="shared" si="18"/>
        <v>0</v>
      </c>
      <c r="AK104" s="7" t="str">
        <f t="shared" si="19"/>
        <v>Chillicothe City SD</v>
      </c>
      <c r="AL104" s="7" t="str">
        <f>GenExp!A104</f>
        <v>Chillicothe City SD</v>
      </c>
      <c r="AM104" s="7" t="b">
        <f t="shared" si="20"/>
        <v>1</v>
      </c>
      <c r="AN104" s="7" t="str">
        <f t="shared" si="16"/>
        <v>Ross</v>
      </c>
      <c r="AO104" s="7" t="b">
        <f>C104=GenExp!C104</f>
        <v>1</v>
      </c>
    </row>
    <row r="105" spans="1:41">
      <c r="A105" s="12" t="s">
        <v>568</v>
      </c>
      <c r="B105" s="12"/>
      <c r="C105" s="12" t="s">
        <v>71</v>
      </c>
      <c r="D105" s="12"/>
      <c r="E105" s="12">
        <v>50534</v>
      </c>
      <c r="G105" s="7">
        <v>6568620</v>
      </c>
      <c r="I105" s="7">
        <v>0</v>
      </c>
      <c r="K105" s="2">
        <f t="shared" si="23"/>
        <v>4589143</v>
      </c>
      <c r="M105" s="7">
        <v>11157763</v>
      </c>
      <c r="O105" s="2">
        <f t="shared" si="24"/>
        <v>1525043</v>
      </c>
      <c r="Q105" s="7">
        <f>355634+3279797</f>
        <v>3635431</v>
      </c>
      <c r="S105" s="7">
        <v>5160474</v>
      </c>
      <c r="U105" s="7">
        <f>25415+20294</f>
        <v>45709</v>
      </c>
      <c r="W105" s="7">
        <f>258581+71915+56334+40177+27893+80624</f>
        <v>535524</v>
      </c>
      <c r="Y105" s="7">
        <v>0</v>
      </c>
      <c r="AA105" s="7">
        <f>15997+139532+62885+34769</f>
        <v>253183</v>
      </c>
      <c r="AC105" s="7">
        <v>5162873</v>
      </c>
      <c r="AE105" s="13">
        <f t="shared" si="17"/>
        <v>5997289</v>
      </c>
      <c r="AG105" s="7">
        <f t="shared" si="18"/>
        <v>0</v>
      </c>
      <c r="AK105" s="7" t="str">
        <f t="shared" si="19"/>
        <v>Chippewa Local SD</v>
      </c>
      <c r="AL105" s="7" t="str">
        <f>GenExp!A105</f>
        <v>Chippewa Local SD</v>
      </c>
      <c r="AM105" s="7" t="b">
        <f t="shared" si="20"/>
        <v>1</v>
      </c>
      <c r="AN105" s="7" t="str">
        <f t="shared" si="16"/>
        <v>Wayne</v>
      </c>
      <c r="AO105" s="7" t="b">
        <f>C105=GenExp!C105</f>
        <v>1</v>
      </c>
    </row>
    <row r="106" spans="1:41">
      <c r="A106" s="12" t="s">
        <v>683</v>
      </c>
      <c r="B106" s="12"/>
      <c r="C106" s="12" t="s">
        <v>32</v>
      </c>
      <c r="D106" s="12"/>
      <c r="E106" s="12">
        <v>43752</v>
      </c>
      <c r="G106" s="7">
        <f>420755265+249756</f>
        <v>421005021</v>
      </c>
      <c r="I106" s="7">
        <v>12604372</v>
      </c>
      <c r="K106" s="2">
        <f t="shared" si="23"/>
        <v>397368714</v>
      </c>
      <c r="M106" s="7">
        <v>830978107</v>
      </c>
      <c r="O106" s="2">
        <f t="shared" si="24"/>
        <v>83588959</v>
      </c>
      <c r="Q106" s="7">
        <f>299894822+34273134</f>
        <v>334167956</v>
      </c>
      <c r="S106" s="7">
        <v>417756915</v>
      </c>
      <c r="U106" s="7">
        <v>1276452</v>
      </c>
      <c r="W106" s="7">
        <v>265207563</v>
      </c>
      <c r="Y106" s="7">
        <v>0</v>
      </c>
      <c r="AA106" s="7">
        <v>11987019</v>
      </c>
      <c r="AC106" s="7">
        <v>134750158</v>
      </c>
      <c r="AE106" s="13">
        <f t="shared" si="17"/>
        <v>413221192</v>
      </c>
      <c r="AG106" s="7">
        <f t="shared" si="18"/>
        <v>0</v>
      </c>
      <c r="AK106" s="7" t="str">
        <f t="shared" si="19"/>
        <v>Cincinnati City SD/Cincinnati Public SD</v>
      </c>
      <c r="AL106" s="7" t="str">
        <f>GenExp!A106</f>
        <v>Cincinnati City SD/Cincinnati Public SD</v>
      </c>
      <c r="AM106" s="7" t="b">
        <f t="shared" si="20"/>
        <v>1</v>
      </c>
      <c r="AN106" s="7" t="str">
        <f t="shared" si="16"/>
        <v>Hamilton</v>
      </c>
      <c r="AO106" s="7" t="b">
        <f>C106=GenExp!C106</f>
        <v>1</v>
      </c>
    </row>
    <row r="107" spans="1:41">
      <c r="A107" s="12" t="s">
        <v>467</v>
      </c>
      <c r="B107" s="12"/>
      <c r="C107" s="12" t="s">
        <v>54</v>
      </c>
      <c r="D107" s="12"/>
      <c r="E107" s="12">
        <v>43760</v>
      </c>
      <c r="G107" s="7">
        <f>6349641+2994</f>
        <v>6352635</v>
      </c>
      <c r="I107" s="7">
        <v>22253</v>
      </c>
      <c r="K107" s="2">
        <f t="shared" si="23"/>
        <v>96186566</v>
      </c>
      <c r="M107" s="7">
        <v>102561454</v>
      </c>
      <c r="O107" s="2">
        <f t="shared" si="24"/>
        <v>2998570</v>
      </c>
      <c r="Q107" s="7">
        <f>8526193+25092997</f>
        <v>33619190</v>
      </c>
      <c r="S107" s="7">
        <v>36617760</v>
      </c>
      <c r="U107" s="7">
        <f>24367+24542</f>
        <v>48909</v>
      </c>
      <c r="W107" s="7">
        <f>1224320+48893141+70045+12697+85880+22253</f>
        <v>50308336</v>
      </c>
      <c r="Y107" s="7">
        <f>352122+51071</f>
        <v>403193</v>
      </c>
      <c r="AA107" s="7">
        <f>45498+348770</f>
        <v>394268</v>
      </c>
      <c r="AC107" s="7">
        <v>14788988</v>
      </c>
      <c r="AE107" s="13">
        <f t="shared" si="17"/>
        <v>65943694</v>
      </c>
      <c r="AG107" s="7">
        <f t="shared" si="18"/>
        <v>0</v>
      </c>
      <c r="AK107" s="7" t="str">
        <f t="shared" si="19"/>
        <v>Circleville City SD</v>
      </c>
      <c r="AL107" s="7" t="str">
        <f>GenExp!A107</f>
        <v>Circleville City SD</v>
      </c>
      <c r="AM107" s="7" t="b">
        <f t="shared" si="20"/>
        <v>1</v>
      </c>
      <c r="AN107" s="7" t="str">
        <f t="shared" si="16"/>
        <v>Pickaway</v>
      </c>
      <c r="AO107" s="7" t="b">
        <f>C107=GenExp!C107</f>
        <v>1</v>
      </c>
    </row>
    <row r="108" spans="1:41">
      <c r="A108" s="12" t="s">
        <v>236</v>
      </c>
      <c r="B108" s="12"/>
      <c r="C108" s="12" t="s">
        <v>17</v>
      </c>
      <c r="D108" s="12"/>
      <c r="E108" s="12">
        <v>46284</v>
      </c>
      <c r="G108" s="7">
        <v>4300178</v>
      </c>
      <c r="I108" s="7">
        <v>15770</v>
      </c>
      <c r="K108" s="2">
        <f t="shared" si="23"/>
        <v>12715614</v>
      </c>
      <c r="M108" s="7">
        <v>17031562</v>
      </c>
      <c r="O108" s="2">
        <f t="shared" si="24"/>
        <v>2616218</v>
      </c>
      <c r="Q108" s="7">
        <v>10191298</v>
      </c>
      <c r="S108" s="7">
        <v>12807516</v>
      </c>
      <c r="U108" s="7">
        <v>58173</v>
      </c>
      <c r="W108" s="7">
        <v>848215</v>
      </c>
      <c r="Y108" s="7">
        <v>11000</v>
      </c>
      <c r="AA108" s="7">
        <v>1337679</v>
      </c>
      <c r="AC108" s="7">
        <v>1968979</v>
      </c>
      <c r="AE108" s="13">
        <f t="shared" si="17"/>
        <v>4224046</v>
      </c>
      <c r="AG108" s="7">
        <f t="shared" si="18"/>
        <v>0</v>
      </c>
      <c r="AK108" s="7" t="str">
        <f t="shared" si="19"/>
        <v>Clark-Shawnee Local SD</v>
      </c>
      <c r="AL108" s="7" t="str">
        <f>GenExp!A108</f>
        <v>Clark-Shawnee Local SD</v>
      </c>
      <c r="AM108" s="7" t="b">
        <f t="shared" si="20"/>
        <v>1</v>
      </c>
      <c r="AN108" s="7" t="str">
        <f t="shared" si="16"/>
        <v>Clark</v>
      </c>
      <c r="AO108" s="7" t="b">
        <f>C108=GenExp!C108</f>
        <v>1</v>
      </c>
    </row>
    <row r="109" spans="1:41">
      <c r="A109" s="12" t="s">
        <v>495</v>
      </c>
      <c r="B109" s="12"/>
      <c r="C109" s="12" t="s">
        <v>59</v>
      </c>
      <c r="D109" s="12"/>
      <c r="E109" s="12">
        <v>49601</v>
      </c>
      <c r="G109" s="7">
        <f>969712+3345475+5237976</f>
        <v>9553163</v>
      </c>
      <c r="I109" s="7">
        <f>10677+308572</f>
        <v>319249</v>
      </c>
      <c r="K109" s="2">
        <f t="shared" si="23"/>
        <v>1695744</v>
      </c>
      <c r="M109" s="7">
        <v>11568156</v>
      </c>
      <c r="O109" s="2">
        <f t="shared" si="24"/>
        <v>4376341</v>
      </c>
      <c r="Q109" s="7">
        <v>1483426</v>
      </c>
      <c r="S109" s="7">
        <v>5859767</v>
      </c>
      <c r="U109" s="7">
        <v>15942</v>
      </c>
      <c r="W109" s="7">
        <v>5384585</v>
      </c>
      <c r="Y109" s="7">
        <v>0</v>
      </c>
      <c r="AA109" s="7">
        <v>173737</v>
      </c>
      <c r="AC109" s="7">
        <v>134125</v>
      </c>
      <c r="AE109" s="13">
        <f t="shared" si="17"/>
        <v>5708389</v>
      </c>
      <c r="AG109" s="7">
        <f t="shared" si="18"/>
        <v>0</v>
      </c>
      <c r="AK109" s="7" t="str">
        <f t="shared" si="19"/>
        <v>Clay Local SD</v>
      </c>
      <c r="AL109" s="7" t="str">
        <f>GenExp!A109</f>
        <v>Clay Local SD</v>
      </c>
      <c r="AM109" s="7" t="b">
        <f t="shared" si="20"/>
        <v>1</v>
      </c>
      <c r="AN109" s="7" t="str">
        <f t="shared" si="16"/>
        <v>Scioto</v>
      </c>
      <c r="AO109" s="7" t="b">
        <f>C109=GenExp!C109</f>
        <v>1</v>
      </c>
    </row>
    <row r="110" spans="1:41">
      <c r="A110" s="12" t="s">
        <v>549</v>
      </c>
      <c r="B110" s="12"/>
      <c r="C110" s="12" t="s">
        <v>65</v>
      </c>
      <c r="D110" s="12"/>
      <c r="E110" s="12">
        <v>43778</v>
      </c>
      <c r="G110" s="7">
        <v>4232605</v>
      </c>
      <c r="I110" s="7">
        <v>173425</v>
      </c>
      <c r="K110" s="2">
        <f t="shared" si="23"/>
        <v>5284277</v>
      </c>
      <c r="M110" s="7">
        <v>9690307</v>
      </c>
      <c r="O110" s="2">
        <f t="shared" si="24"/>
        <v>2754442</v>
      </c>
      <c r="Q110" s="7">
        <f>1404577+3020558</f>
        <v>4425135</v>
      </c>
      <c r="S110" s="7">
        <v>7179577</v>
      </c>
      <c r="U110" s="7">
        <f>8482+33883</f>
        <v>42365</v>
      </c>
      <c r="W110" s="7">
        <f>495180+53749+257418+28172+3502+26895+170554+70246+173425</f>
        <v>1279141</v>
      </c>
      <c r="Y110" s="7">
        <v>18837</v>
      </c>
      <c r="AA110" s="7">
        <f>25887+287715+4449+63546+103</f>
        <v>381700</v>
      </c>
      <c r="AC110" s="7">
        <v>788687</v>
      </c>
      <c r="AE110" s="13">
        <f t="shared" si="17"/>
        <v>2510730</v>
      </c>
      <c r="AG110" s="7">
        <f t="shared" si="18"/>
        <v>0</v>
      </c>
      <c r="AK110" s="7" t="str">
        <f t="shared" si="19"/>
        <v>Claymont City SD</v>
      </c>
      <c r="AL110" s="7" t="str">
        <f>GenExp!A110</f>
        <v>Claymont City SD</v>
      </c>
      <c r="AM110" s="7" t="b">
        <f t="shared" si="20"/>
        <v>1</v>
      </c>
      <c r="AN110" s="7" t="str">
        <f t="shared" si="16"/>
        <v>Tuscarawas</v>
      </c>
      <c r="AO110" s="7" t="b">
        <f>C110=GenExp!C110</f>
        <v>1</v>
      </c>
    </row>
    <row r="111" spans="1:41">
      <c r="A111" s="12" t="s">
        <v>483</v>
      </c>
      <c r="B111" s="12"/>
      <c r="C111" s="12" t="s">
        <v>110</v>
      </c>
      <c r="D111" s="12"/>
      <c r="E111" s="12">
        <v>49411</v>
      </c>
      <c r="G111" s="7">
        <f>7744861+862</f>
        <v>7745723</v>
      </c>
      <c r="I111" s="7">
        <v>0</v>
      </c>
      <c r="K111" s="2">
        <f t="shared" si="23"/>
        <v>5077764</v>
      </c>
      <c r="M111" s="7">
        <v>12823487</v>
      </c>
      <c r="O111" s="2">
        <f t="shared" si="24"/>
        <v>1506941</v>
      </c>
      <c r="Q111" s="7">
        <f>3118481+587665</f>
        <v>3706146</v>
      </c>
      <c r="S111" s="7">
        <v>5213087</v>
      </c>
      <c r="U111" s="7">
        <f>36122+265650</f>
        <v>301772</v>
      </c>
      <c r="W111" s="7">
        <f>545445+257591+88853+2801+38527+39240</f>
        <v>972457</v>
      </c>
      <c r="Y111" s="7">
        <v>4400</v>
      </c>
      <c r="AA111" s="7">
        <f>3673+286+14471</f>
        <v>18430</v>
      </c>
      <c r="AC111" s="7">
        <v>6313341</v>
      </c>
      <c r="AE111" s="13">
        <f t="shared" si="17"/>
        <v>7610400</v>
      </c>
      <c r="AG111" s="7">
        <f t="shared" si="18"/>
        <v>0</v>
      </c>
      <c r="AK111" s="7" t="str">
        <f t="shared" si="19"/>
        <v>Clear Fork Valley Local SD</v>
      </c>
      <c r="AL111" s="7" t="str">
        <f>GenExp!A111</f>
        <v>Clear Fork Valley Local SD</v>
      </c>
      <c r="AM111" s="7" t="b">
        <f t="shared" si="20"/>
        <v>1</v>
      </c>
      <c r="AN111" s="7" t="str">
        <f t="shared" si="16"/>
        <v>Richland</v>
      </c>
      <c r="AO111" s="7" t="b">
        <f>C111=GenExp!C111</f>
        <v>1</v>
      </c>
    </row>
    <row r="112" spans="1:41">
      <c r="A112" s="12" t="s">
        <v>394</v>
      </c>
      <c r="B112" s="12"/>
      <c r="C112" s="12" t="s">
        <v>44</v>
      </c>
      <c r="D112" s="12"/>
      <c r="E112" s="12">
        <v>48132</v>
      </c>
      <c r="G112" s="7">
        <v>1828176</v>
      </c>
      <c r="I112" s="7">
        <v>396438</v>
      </c>
      <c r="K112" s="2">
        <f t="shared" si="23"/>
        <v>4245509</v>
      </c>
      <c r="M112" s="7">
        <v>6470123</v>
      </c>
      <c r="O112" s="2">
        <f t="shared" si="24"/>
        <v>2286689</v>
      </c>
      <c r="Q112" s="7">
        <v>3961794</v>
      </c>
      <c r="S112" s="7">
        <v>6248483</v>
      </c>
      <c r="U112" s="7">
        <v>0</v>
      </c>
      <c r="W112" s="7">
        <v>1076251</v>
      </c>
      <c r="Y112" s="7">
        <v>0</v>
      </c>
      <c r="AA112" s="7">
        <v>169007</v>
      </c>
      <c r="AC112" s="7">
        <v>-1023618</v>
      </c>
      <c r="AE112" s="13">
        <f t="shared" si="17"/>
        <v>221640</v>
      </c>
      <c r="AG112" s="7">
        <f t="shared" si="18"/>
        <v>0</v>
      </c>
      <c r="AK112" s="7" t="str">
        <f t="shared" si="19"/>
        <v>Clearview Local SD</v>
      </c>
      <c r="AL112" s="7" t="str">
        <f>GenExp!A112</f>
        <v>Clearview Local SD</v>
      </c>
      <c r="AM112" s="7" t="b">
        <f t="shared" si="20"/>
        <v>1</v>
      </c>
      <c r="AN112" s="7" t="str">
        <f t="shared" si="16"/>
        <v>Lorain</v>
      </c>
      <c r="AO112" s="7" t="b">
        <f>C112=GenExp!C112</f>
        <v>1</v>
      </c>
    </row>
    <row r="113" spans="1:41">
      <c r="A113" s="12" t="s">
        <v>684</v>
      </c>
      <c r="B113" s="12"/>
      <c r="C113" s="12" t="s">
        <v>113</v>
      </c>
      <c r="D113" s="12"/>
      <c r="E113" s="12"/>
      <c r="G113" s="7">
        <v>1686143</v>
      </c>
      <c r="I113" s="7">
        <v>0</v>
      </c>
      <c r="K113" s="2">
        <f t="shared" si="23"/>
        <v>8932973</v>
      </c>
      <c r="M113" s="7">
        <v>10619116</v>
      </c>
      <c r="O113" s="2">
        <f t="shared" si="24"/>
        <v>1706222</v>
      </c>
      <c r="Q113" s="7">
        <v>6105345</v>
      </c>
      <c r="S113" s="7">
        <v>7811567</v>
      </c>
      <c r="U113" s="7">
        <v>19252</v>
      </c>
      <c r="W113" s="7">
        <v>1402880</v>
      </c>
      <c r="Y113" s="7">
        <v>168422</v>
      </c>
      <c r="AA113" s="7">
        <v>979365</v>
      </c>
      <c r="AC113" s="7">
        <v>237630</v>
      </c>
      <c r="AE113" s="13">
        <f t="shared" si="17"/>
        <v>2807549</v>
      </c>
      <c r="AG113" s="7">
        <f t="shared" si="18"/>
        <v>0</v>
      </c>
      <c r="AK113" s="7" t="str">
        <f t="shared" si="19"/>
        <v>Clermont Northeastern Local SD</v>
      </c>
      <c r="AL113" s="7" t="str">
        <f>GenExp!A113</f>
        <v>Clermont Northeastern Local SD</v>
      </c>
      <c r="AM113" s="7" t="b">
        <f t="shared" si="20"/>
        <v>1</v>
      </c>
      <c r="AN113" s="7" t="str">
        <f t="shared" si="16"/>
        <v>Clermont</v>
      </c>
      <c r="AO113" s="7" t="b">
        <f>C113=GenExp!C113</f>
        <v>1</v>
      </c>
    </row>
    <row r="114" spans="1:41">
      <c r="A114" s="12" t="s">
        <v>682</v>
      </c>
      <c r="B114" s="12"/>
      <c r="C114" s="12" t="s">
        <v>20</v>
      </c>
      <c r="D114" s="12"/>
      <c r="E114" s="12">
        <v>43794</v>
      </c>
      <c r="G114" s="7">
        <v>36784979</v>
      </c>
      <c r="I114" s="7">
        <v>6322852</v>
      </c>
      <c r="K114" s="2">
        <f t="shared" si="23"/>
        <v>82423880</v>
      </c>
      <c r="M114" s="7">
        <v>125531711</v>
      </c>
      <c r="O114" s="2">
        <f t="shared" si="24"/>
        <v>5571890</v>
      </c>
      <c r="Q114" s="7">
        <v>60363223</v>
      </c>
      <c r="S114" s="7">
        <v>65935113</v>
      </c>
      <c r="U114" s="7">
        <v>377185</v>
      </c>
      <c r="W114" s="7">
        <v>8654807</v>
      </c>
      <c r="Y114" s="7">
        <v>0</v>
      </c>
      <c r="AA114" s="7">
        <v>2045821</v>
      </c>
      <c r="AC114" s="7">
        <v>48518785</v>
      </c>
      <c r="AE114" s="13">
        <f t="shared" si="17"/>
        <v>59596598</v>
      </c>
      <c r="AG114" s="7">
        <f t="shared" si="18"/>
        <v>0</v>
      </c>
      <c r="AK114" s="7" t="str">
        <f t="shared" si="19"/>
        <v>Cleveland Heights-University Heights City SD</v>
      </c>
      <c r="AL114" s="7" t="str">
        <f>GenExp!A114</f>
        <v>Cleveland Heights-University Heights City SD</v>
      </c>
      <c r="AM114" s="7" t="b">
        <f t="shared" si="20"/>
        <v>1</v>
      </c>
      <c r="AN114" s="7" t="str">
        <f t="shared" si="16"/>
        <v>Cuyahoga</v>
      </c>
      <c r="AO114" s="7" t="b">
        <f>C114=GenExp!C114</f>
        <v>1</v>
      </c>
    </row>
    <row r="115" spans="1:41">
      <c r="A115" s="12" t="s">
        <v>271</v>
      </c>
      <c r="B115" s="12"/>
      <c r="C115" s="12" t="s">
        <v>20</v>
      </c>
      <c r="D115" s="12"/>
      <c r="E115" s="12">
        <v>43786</v>
      </c>
      <c r="G115" s="7">
        <f>165060423+2407943+85455495+15353015</f>
        <v>268276876</v>
      </c>
      <c r="I115" s="7">
        <v>0</v>
      </c>
      <c r="K115" s="2">
        <f t="shared" si="23"/>
        <v>466110413</v>
      </c>
      <c r="M115" s="7">
        <v>734387289</v>
      </c>
      <c r="O115" s="2">
        <f t="shared" si="24"/>
        <v>80321031</v>
      </c>
      <c r="Q115" s="7">
        <v>467148804</v>
      </c>
      <c r="S115" s="7">
        <v>547469835</v>
      </c>
      <c r="U115" s="7">
        <v>4553082</v>
      </c>
      <c r="W115" s="7">
        <v>95339759</v>
      </c>
      <c r="Y115" s="7">
        <v>33933454</v>
      </c>
      <c r="AA115" s="7">
        <v>4740443</v>
      </c>
      <c r="AC115" s="7">
        <v>48350716</v>
      </c>
      <c r="AE115" s="13">
        <f t="shared" si="17"/>
        <v>186917454</v>
      </c>
      <c r="AG115" s="7">
        <f t="shared" si="18"/>
        <v>0</v>
      </c>
      <c r="AK115" s="7" t="str">
        <f t="shared" si="19"/>
        <v>Cleveland Municipal SD</v>
      </c>
      <c r="AL115" s="7" t="str">
        <f>GenExp!A115</f>
        <v>Cleveland Municipal SD</v>
      </c>
      <c r="AM115" s="7" t="b">
        <f t="shared" si="20"/>
        <v>1</v>
      </c>
      <c r="AN115" s="7" t="str">
        <f t="shared" si="16"/>
        <v>Cuyahoga</v>
      </c>
      <c r="AO115" s="7" t="b">
        <f>C115=GenExp!C115</f>
        <v>1</v>
      </c>
    </row>
    <row r="116" spans="1:41">
      <c r="A116" s="12" t="s">
        <v>249</v>
      </c>
      <c r="B116" s="12"/>
      <c r="C116" s="12" t="s">
        <v>18</v>
      </c>
      <c r="D116" s="12"/>
      <c r="E116" s="12">
        <v>46391</v>
      </c>
      <c r="G116" s="7">
        <v>6079650</v>
      </c>
      <c r="I116" s="7">
        <v>0</v>
      </c>
      <c r="K116" s="2">
        <f t="shared" si="23"/>
        <v>5781633</v>
      </c>
      <c r="M116" s="7">
        <v>11861283</v>
      </c>
      <c r="O116" s="2">
        <f t="shared" si="24"/>
        <v>1820224</v>
      </c>
      <c r="Q116" s="7">
        <v>5190983</v>
      </c>
      <c r="S116" s="7">
        <v>7011207</v>
      </c>
      <c r="U116" s="7">
        <v>14206</v>
      </c>
      <c r="W116" s="7">
        <v>2700031</v>
      </c>
      <c r="Y116" s="7">
        <v>0</v>
      </c>
      <c r="AA116" s="7">
        <v>111972</v>
      </c>
      <c r="AC116" s="7">
        <v>2023867</v>
      </c>
      <c r="AE116" s="13">
        <f t="shared" si="17"/>
        <v>4850076</v>
      </c>
      <c r="AG116" s="7">
        <f t="shared" si="18"/>
        <v>0</v>
      </c>
      <c r="AK116" s="7" t="str">
        <f t="shared" si="19"/>
        <v>Clinton-Massie Local SD</v>
      </c>
      <c r="AL116" s="7" t="str">
        <f>GenExp!A116</f>
        <v>Clinton-Massie Local SD</v>
      </c>
      <c r="AM116" s="7" t="b">
        <f t="shared" si="20"/>
        <v>1</v>
      </c>
      <c r="AN116" s="7" t="str">
        <f t="shared" si="16"/>
        <v>Clinton</v>
      </c>
      <c r="AO116" s="7" t="b">
        <f>C116=GenExp!C116</f>
        <v>1</v>
      </c>
    </row>
    <row r="117" spans="1:41">
      <c r="A117" s="12" t="s">
        <v>429</v>
      </c>
      <c r="B117" s="12"/>
      <c r="C117" s="12" t="s">
        <v>47</v>
      </c>
      <c r="D117" s="12"/>
      <c r="E117" s="12">
        <v>48488</v>
      </c>
      <c r="G117" s="7">
        <f>4353643+10464191+376360</f>
        <v>15194194</v>
      </c>
      <c r="I117" s="7">
        <v>0</v>
      </c>
      <c r="K117" s="2">
        <f t="shared" si="23"/>
        <v>14800929</v>
      </c>
      <c r="M117" s="7">
        <v>29995123</v>
      </c>
      <c r="O117" s="2">
        <f t="shared" si="24"/>
        <v>6084098</v>
      </c>
      <c r="Q117" s="7">
        <v>12210705</v>
      </c>
      <c r="S117" s="7">
        <v>18294803</v>
      </c>
      <c r="U117" s="7">
        <v>0</v>
      </c>
      <c r="W117" s="7">
        <v>12522607</v>
      </c>
      <c r="Y117" s="7">
        <v>167451</v>
      </c>
      <c r="AA117" s="7">
        <v>0</v>
      </c>
      <c r="AC117" s="7">
        <v>-989738</v>
      </c>
      <c r="AE117" s="13">
        <f t="shared" si="17"/>
        <v>11700320</v>
      </c>
      <c r="AG117" s="7">
        <f t="shared" si="18"/>
        <v>0</v>
      </c>
      <c r="AK117" s="7" t="str">
        <f t="shared" si="19"/>
        <v>Cloverleaf Local SD</v>
      </c>
      <c r="AL117" s="7" t="str">
        <f>GenExp!A117</f>
        <v>Cloverleaf Local SD</v>
      </c>
      <c r="AM117" s="7" t="b">
        <f t="shared" si="20"/>
        <v>1</v>
      </c>
      <c r="AN117" s="7" t="str">
        <f t="shared" si="16"/>
        <v>Medina</v>
      </c>
      <c r="AO117" s="7" t="b">
        <f>C117=GenExp!C117</f>
        <v>1</v>
      </c>
    </row>
    <row r="118" spans="1:41">
      <c r="A118" s="12" t="s">
        <v>865</v>
      </c>
      <c r="B118" s="12"/>
      <c r="C118" s="12" t="s">
        <v>79</v>
      </c>
      <c r="D118" s="12"/>
      <c r="E118" s="12">
        <v>45302</v>
      </c>
      <c r="G118" s="7">
        <f>13344042+210418</f>
        <v>13554460</v>
      </c>
      <c r="I118" s="7">
        <v>0</v>
      </c>
      <c r="K118" s="2">
        <f t="shared" si="23"/>
        <v>8630832</v>
      </c>
      <c r="M118" s="7">
        <v>22185292</v>
      </c>
      <c r="O118" s="2">
        <f t="shared" si="24"/>
        <v>2784094</v>
      </c>
      <c r="Q118" s="7">
        <f>1336957+4828273</f>
        <v>6165230</v>
      </c>
      <c r="S118" s="7">
        <v>8949324</v>
      </c>
      <c r="U118" s="7">
        <f>21791+31181</f>
        <v>52972</v>
      </c>
      <c r="W118" s="7">
        <f>785217+9200933+393389+432403+4368+2024+33261+82799+972375</f>
        <v>11906769</v>
      </c>
      <c r="Y118" s="7">
        <v>0</v>
      </c>
      <c r="AA118" s="7">
        <f>30856+21970+13393</f>
        <v>66219</v>
      </c>
      <c r="AC118" s="7">
        <v>1210008</v>
      </c>
      <c r="AE118" s="13">
        <f t="shared" si="17"/>
        <v>13235968</v>
      </c>
      <c r="AG118" s="7">
        <f t="shared" si="18"/>
        <v>0</v>
      </c>
      <c r="AK118" s="7" t="str">
        <f t="shared" si="19"/>
        <v>Clyde-Green Springs Exempted Village SD</v>
      </c>
      <c r="AL118" s="7" t="str">
        <f>GenExp!A118</f>
        <v>Clyde-Green Springs Exempted Village SD</v>
      </c>
      <c r="AM118" s="7" t="b">
        <f t="shared" si="20"/>
        <v>1</v>
      </c>
      <c r="AN118" s="7" t="str">
        <f t="shared" si="16"/>
        <v>Sandusky</v>
      </c>
      <c r="AO118" s="7" t="b">
        <f>C118=GenExp!C118</f>
        <v>1</v>
      </c>
    </row>
    <row r="119" spans="1:41" hidden="1">
      <c r="A119" s="12" t="s">
        <v>685</v>
      </c>
      <c r="B119" s="12"/>
      <c r="C119" s="12" t="s">
        <v>435</v>
      </c>
      <c r="D119" s="12"/>
      <c r="E119" s="12"/>
      <c r="K119" s="2">
        <f t="shared" si="23"/>
        <v>0</v>
      </c>
      <c r="O119" s="2">
        <f t="shared" si="24"/>
        <v>0</v>
      </c>
      <c r="AE119" s="13">
        <f t="shared" si="17"/>
        <v>0</v>
      </c>
      <c r="AG119" s="7">
        <f t="shared" si="18"/>
        <v>0</v>
      </c>
      <c r="AI119" s="7" t="s">
        <v>778</v>
      </c>
      <c r="AK119" s="7" t="str">
        <f t="shared" si="19"/>
        <v>Coldwater Exempted Village SD (CASH)</v>
      </c>
      <c r="AL119" s="7" t="str">
        <f>GenExp!A119</f>
        <v>Coldwater Exempted Village SD (CASH)</v>
      </c>
      <c r="AM119" s="7" t="b">
        <f t="shared" si="20"/>
        <v>1</v>
      </c>
      <c r="AN119" s="7" t="str">
        <f t="shared" si="16"/>
        <v>Mercer</v>
      </c>
      <c r="AO119" s="7" t="b">
        <f>C119=GenExp!C119</f>
        <v>1</v>
      </c>
    </row>
    <row r="120" spans="1:41" hidden="1">
      <c r="A120" s="12" t="s">
        <v>636</v>
      </c>
      <c r="B120" s="12"/>
      <c r="C120" s="12" t="s">
        <v>57</v>
      </c>
      <c r="D120" s="12"/>
      <c r="E120" s="12">
        <v>64964</v>
      </c>
      <c r="K120" s="2">
        <f t="shared" si="23"/>
        <v>0</v>
      </c>
      <c r="O120" s="2">
        <f t="shared" si="24"/>
        <v>0</v>
      </c>
      <c r="AE120" s="13">
        <f t="shared" si="17"/>
        <v>0</v>
      </c>
      <c r="AG120" s="7">
        <f t="shared" si="18"/>
        <v>0</v>
      </c>
      <c r="AI120" s="7" t="s">
        <v>778</v>
      </c>
      <c r="AK120" s="7" t="str">
        <f t="shared" si="19"/>
        <v>College Corner Local SD (CASH)</v>
      </c>
      <c r="AL120" s="7" t="str">
        <f>GenExp!A120</f>
        <v>College Corner Local SD (CASH)</v>
      </c>
      <c r="AM120" s="7" t="b">
        <f t="shared" si="20"/>
        <v>1</v>
      </c>
      <c r="AN120" s="7" t="str">
        <f t="shared" si="16"/>
        <v>Preble</v>
      </c>
      <c r="AO120" s="7" t="b">
        <f>C120=GenExp!C120</f>
        <v>1</v>
      </c>
    </row>
    <row r="121" spans="1:41">
      <c r="A121" s="12" t="s">
        <v>264</v>
      </c>
      <c r="B121" s="12"/>
      <c r="C121" s="12" t="s">
        <v>111</v>
      </c>
      <c r="D121" s="12"/>
      <c r="E121" s="12">
        <v>46516</v>
      </c>
      <c r="G121" s="7">
        <v>2760764</v>
      </c>
      <c r="I121" s="7">
        <v>42629</v>
      </c>
      <c r="K121" s="2">
        <f t="shared" si="23"/>
        <v>3710380</v>
      </c>
      <c r="M121" s="7">
        <v>6513773</v>
      </c>
      <c r="O121" s="2">
        <f t="shared" si="24"/>
        <v>1213599</v>
      </c>
      <c r="Q121" s="7">
        <f>1531902+309960</f>
        <v>1841862</v>
      </c>
      <c r="S121" s="7">
        <v>3055461</v>
      </c>
      <c r="U121" s="7">
        <v>18231</v>
      </c>
      <c r="W121" s="7">
        <f>908774+2061+9722+4010+28179+54557+42629</f>
        <v>1049932</v>
      </c>
      <c r="Y121" s="7">
        <f>646416+153014</f>
        <v>799430</v>
      </c>
      <c r="AA121" s="7">
        <f>4411+31237+1978</f>
        <v>37626</v>
      </c>
      <c r="AC121" s="7">
        <v>1553093</v>
      </c>
      <c r="AE121" s="13">
        <f t="shared" si="17"/>
        <v>3458312</v>
      </c>
      <c r="AG121" s="7">
        <f t="shared" si="18"/>
        <v>0</v>
      </c>
      <c r="AK121" s="7" t="str">
        <f t="shared" si="19"/>
        <v>Colonel Crawford Local SD</v>
      </c>
      <c r="AL121" s="7" t="str">
        <f>GenExp!A121</f>
        <v>Colonel Crawford Local SD</v>
      </c>
      <c r="AM121" s="7" t="b">
        <f t="shared" si="20"/>
        <v>1</v>
      </c>
      <c r="AN121" s="7" t="str">
        <f t="shared" si="16"/>
        <v>Crawford</v>
      </c>
      <c r="AO121" s="7" t="b">
        <f>C121=GenExp!C121</f>
        <v>1</v>
      </c>
    </row>
    <row r="122" spans="1:41">
      <c r="A122" s="12" t="s">
        <v>395</v>
      </c>
      <c r="B122" s="12"/>
      <c r="C122" s="12" t="s">
        <v>44</v>
      </c>
      <c r="D122" s="12"/>
      <c r="E122" s="12">
        <v>48140</v>
      </c>
      <c r="G122" s="7">
        <v>7672696</v>
      </c>
      <c r="I122" s="7">
        <v>0</v>
      </c>
      <c r="K122" s="2">
        <f t="shared" si="23"/>
        <v>6533670</v>
      </c>
      <c r="M122" s="7">
        <v>14206366</v>
      </c>
      <c r="O122" s="2">
        <f t="shared" si="24"/>
        <v>7631823</v>
      </c>
      <c r="Q122" s="7">
        <f>185828+5766878</f>
        <v>5952706</v>
      </c>
      <c r="S122" s="7">
        <v>13584529</v>
      </c>
      <c r="U122" s="7">
        <v>4351</v>
      </c>
      <c r="W122" s="7">
        <f>36806+37131+14141+12046+65114</f>
        <v>165238</v>
      </c>
      <c r="Y122" s="7">
        <v>11000</v>
      </c>
      <c r="AA122" s="7">
        <f>26790+42857+509+31028+3187</f>
        <v>104371</v>
      </c>
      <c r="AC122" s="7">
        <v>336877</v>
      </c>
      <c r="AE122" s="13">
        <f t="shared" si="17"/>
        <v>621837</v>
      </c>
      <c r="AG122" s="7">
        <f t="shared" si="18"/>
        <v>0</v>
      </c>
      <c r="AK122" s="7" t="str">
        <f t="shared" si="19"/>
        <v>Columbia Local SD</v>
      </c>
      <c r="AL122" s="7" t="str">
        <f>GenExp!A122</f>
        <v>Columbia Local SD</v>
      </c>
      <c r="AM122" s="7" t="b">
        <f t="shared" si="20"/>
        <v>1</v>
      </c>
      <c r="AN122" s="7" t="str">
        <f t="shared" si="16"/>
        <v>Lorain</v>
      </c>
      <c r="AO122" s="7" t="b">
        <f>C122=GenExp!C122</f>
        <v>1</v>
      </c>
    </row>
    <row r="123" spans="1:41">
      <c r="A123" s="12" t="s">
        <v>866</v>
      </c>
      <c r="B123" s="12"/>
      <c r="C123" s="12" t="s">
        <v>112</v>
      </c>
      <c r="D123" s="12"/>
      <c r="E123" s="12">
        <v>45328</v>
      </c>
      <c r="G123" s="7">
        <f>5376999+96759</f>
        <v>5473758</v>
      </c>
      <c r="I123" s="7">
        <v>0</v>
      </c>
      <c r="K123" s="2">
        <f t="shared" si="23"/>
        <v>5676421</v>
      </c>
      <c r="M123" s="7">
        <v>11150179</v>
      </c>
      <c r="O123" s="2">
        <f t="shared" si="24"/>
        <v>1521053</v>
      </c>
      <c r="Q123" s="7">
        <v>4899989</v>
      </c>
      <c r="S123" s="7">
        <v>6421042</v>
      </c>
      <c r="U123" s="7">
        <v>11081</v>
      </c>
      <c r="W123" s="7">
        <v>3008526</v>
      </c>
      <c r="Y123" s="7">
        <v>0</v>
      </c>
      <c r="AA123" s="7">
        <v>53921</v>
      </c>
      <c r="AC123" s="7">
        <v>1655609</v>
      </c>
      <c r="AE123" s="13">
        <f t="shared" si="17"/>
        <v>4729137</v>
      </c>
      <c r="AG123" s="7">
        <f t="shared" si="18"/>
        <v>0</v>
      </c>
      <c r="AK123" s="7" t="str">
        <f t="shared" si="19"/>
        <v>Columbiana Exempted Village SD</v>
      </c>
      <c r="AL123" s="7" t="str">
        <f>GenExp!A123</f>
        <v>Columbiana Exempted Village SD</v>
      </c>
      <c r="AM123" s="7" t="b">
        <f t="shared" si="20"/>
        <v>1</v>
      </c>
      <c r="AN123" s="7" t="str">
        <f t="shared" si="16"/>
        <v>Columbiana</v>
      </c>
      <c r="AO123" s="7" t="b">
        <f>C123=GenExp!C123</f>
        <v>1</v>
      </c>
    </row>
    <row r="124" spans="1:41">
      <c r="A124" s="12" t="s">
        <v>307</v>
      </c>
      <c r="B124" s="12"/>
      <c r="C124" s="12" t="s">
        <v>27</v>
      </c>
      <c r="D124" s="12"/>
      <c r="E124" s="12">
        <v>43802</v>
      </c>
      <c r="G124" s="7">
        <f>423950542+1405168+81868112</f>
        <v>507223822</v>
      </c>
      <c r="I124" s="7">
        <v>595605</v>
      </c>
      <c r="K124" s="2">
        <f t="shared" si="23"/>
        <v>522221538</v>
      </c>
      <c r="M124" s="7">
        <v>1030040965</v>
      </c>
      <c r="O124" s="2">
        <f t="shared" si="24"/>
        <v>131112206</v>
      </c>
      <c r="Q124" s="7">
        <v>394159071</v>
      </c>
      <c r="S124" s="7">
        <v>525271277</v>
      </c>
      <c r="U124" s="7">
        <v>1233399</v>
      </c>
      <c r="W124" s="7">
        <v>261497181</v>
      </c>
      <c r="Y124" s="7">
        <v>976222</v>
      </c>
      <c r="AA124" s="7">
        <v>9880731</v>
      </c>
      <c r="AC124" s="7">
        <v>231182155</v>
      </c>
      <c r="AE124" s="13">
        <f t="shared" si="17"/>
        <v>504769688</v>
      </c>
      <c r="AG124" s="7">
        <f t="shared" si="18"/>
        <v>0</v>
      </c>
      <c r="AK124" s="7" t="str">
        <f t="shared" si="19"/>
        <v>Columbus City SD</v>
      </c>
      <c r="AL124" s="7" t="str">
        <f>GenExp!A124</f>
        <v>Columbus City SD</v>
      </c>
      <c r="AM124" s="7" t="b">
        <f t="shared" si="20"/>
        <v>1</v>
      </c>
      <c r="AN124" s="7" t="str">
        <f t="shared" si="16"/>
        <v>Franklin</v>
      </c>
      <c r="AO124" s="7" t="b">
        <f>C124=GenExp!C124</f>
        <v>1</v>
      </c>
    </row>
    <row r="125" spans="1:41" hidden="1">
      <c r="A125" s="12" t="s">
        <v>637</v>
      </c>
      <c r="B125" s="12"/>
      <c r="C125" s="12" t="s">
        <v>482</v>
      </c>
      <c r="D125" s="12"/>
      <c r="E125" s="12">
        <v>49312</v>
      </c>
      <c r="K125" s="2">
        <f t="shared" si="23"/>
        <v>0</v>
      </c>
      <c r="O125" s="2">
        <f t="shared" si="24"/>
        <v>0</v>
      </c>
      <c r="AE125" s="13">
        <f t="shared" si="17"/>
        <v>0</v>
      </c>
      <c r="AG125" s="7">
        <f t="shared" si="18"/>
        <v>0</v>
      </c>
      <c r="AI125" s="7" t="s">
        <v>778</v>
      </c>
      <c r="AK125" s="7" t="str">
        <f t="shared" si="19"/>
        <v>Columbus Grove Local SD (CASH)</v>
      </c>
      <c r="AL125" s="7" t="str">
        <f>GenExp!A125</f>
        <v>Columbus Grove Local SD (CASH)</v>
      </c>
      <c r="AM125" s="7" t="b">
        <f t="shared" si="20"/>
        <v>1</v>
      </c>
      <c r="AN125" s="7" t="str">
        <f t="shared" si="16"/>
        <v>Putnam</v>
      </c>
      <c r="AO125" s="7" t="b">
        <f>C125=GenExp!C125</f>
        <v>1</v>
      </c>
    </row>
    <row r="126" spans="1:41">
      <c r="A126" s="12" t="s">
        <v>208</v>
      </c>
      <c r="B126" s="12"/>
      <c r="C126" s="12" t="s">
        <v>12</v>
      </c>
      <c r="D126" s="12"/>
      <c r="E126" s="12">
        <v>43810</v>
      </c>
      <c r="G126" s="7">
        <v>8254452</v>
      </c>
      <c r="I126" s="7">
        <v>799810</v>
      </c>
      <c r="K126" s="2">
        <f t="shared" si="23"/>
        <v>5563166</v>
      </c>
      <c r="M126" s="7">
        <v>14617428</v>
      </c>
      <c r="O126" s="2">
        <f t="shared" si="24"/>
        <v>2473950</v>
      </c>
      <c r="Q126" s="7">
        <v>3583253</v>
      </c>
      <c r="S126" s="7">
        <v>6057203</v>
      </c>
      <c r="U126" s="7">
        <v>67862</v>
      </c>
      <c r="W126" s="7">
        <v>5599348</v>
      </c>
      <c r="Y126" s="7">
        <v>0</v>
      </c>
      <c r="AA126" s="7">
        <v>2502952</v>
      </c>
      <c r="AC126" s="7">
        <v>390063</v>
      </c>
      <c r="AE126" s="13">
        <f t="shared" si="17"/>
        <v>8560225</v>
      </c>
      <c r="AG126" s="7">
        <f t="shared" si="18"/>
        <v>0</v>
      </c>
      <c r="AK126" s="7" t="str">
        <f t="shared" si="19"/>
        <v>Conneaut Area City SD</v>
      </c>
      <c r="AL126" s="7" t="str">
        <f>GenExp!A126</f>
        <v>Conneaut Area City SD</v>
      </c>
      <c r="AM126" s="7" t="b">
        <f t="shared" si="20"/>
        <v>1</v>
      </c>
      <c r="AN126" s="7" t="str">
        <f t="shared" si="16"/>
        <v>Ashtabula</v>
      </c>
      <c r="AO126" s="7" t="b">
        <f>C126=GenExp!C126</f>
        <v>1</v>
      </c>
    </row>
    <row r="127" spans="1:41">
      <c r="A127" s="12" t="s">
        <v>351</v>
      </c>
      <c r="B127" s="12"/>
      <c r="C127" s="12" t="s">
        <v>352</v>
      </c>
      <c r="D127" s="12"/>
      <c r="E127" s="12">
        <v>47548</v>
      </c>
      <c r="G127" s="7">
        <v>862800</v>
      </c>
      <c r="I127" s="7">
        <v>163128</v>
      </c>
      <c r="K127" s="2">
        <f t="shared" si="23"/>
        <v>2416099</v>
      </c>
      <c r="M127" s="7">
        <v>3442027</v>
      </c>
      <c r="O127" s="2">
        <f t="shared" si="24"/>
        <v>572277</v>
      </c>
      <c r="Q127" s="7">
        <f>151996+1818493</f>
        <v>1970489</v>
      </c>
      <c r="S127" s="7">
        <v>2542766</v>
      </c>
      <c r="U127" s="7">
        <f>2403+27767</f>
        <v>30170</v>
      </c>
      <c r="W127" s="7">
        <f>95328+330+2478+163128+28389</f>
        <v>289653</v>
      </c>
      <c r="Y127" s="7">
        <v>0</v>
      </c>
      <c r="AA127" s="7">
        <f>2359+3859</f>
        <v>6218</v>
      </c>
      <c r="AC127" s="7">
        <v>573220</v>
      </c>
      <c r="AE127" s="13">
        <f t="shared" si="17"/>
        <v>899261</v>
      </c>
      <c r="AG127" s="7">
        <f t="shared" si="18"/>
        <v>0</v>
      </c>
      <c r="AK127" s="7" t="str">
        <f t="shared" si="19"/>
        <v>Conotton Valley Union Local SD</v>
      </c>
      <c r="AL127" s="7" t="str">
        <f>GenExp!A127</f>
        <v>Conotton Valley Union Local SD</v>
      </c>
      <c r="AM127" s="7" t="b">
        <f t="shared" si="20"/>
        <v>1</v>
      </c>
      <c r="AN127" s="7" t="str">
        <f t="shared" si="16"/>
        <v>Harrison</v>
      </c>
      <c r="AO127" s="7" t="b">
        <f>C127=GenExp!C127</f>
        <v>1</v>
      </c>
    </row>
    <row r="128" spans="1:41" hidden="1">
      <c r="A128" s="12" t="s">
        <v>709</v>
      </c>
      <c r="B128" s="12"/>
      <c r="C128" s="12" t="s">
        <v>482</v>
      </c>
      <c r="D128" s="12"/>
      <c r="E128" s="12">
        <v>49320</v>
      </c>
      <c r="K128" s="2">
        <f t="shared" si="23"/>
        <v>0</v>
      </c>
      <c r="O128" s="2">
        <f t="shared" si="24"/>
        <v>0</v>
      </c>
      <c r="AE128" s="13">
        <f t="shared" si="17"/>
        <v>0</v>
      </c>
      <c r="AG128" s="7">
        <f t="shared" si="18"/>
        <v>0</v>
      </c>
      <c r="AI128" s="7" t="s">
        <v>778</v>
      </c>
      <c r="AK128" s="7" t="str">
        <f t="shared" si="19"/>
        <v>Continental Local SD (CASH) Two year Audit</v>
      </c>
      <c r="AL128" s="7" t="str">
        <f>GenExp!A128</f>
        <v>Continental Local SD (CASH) Two year Audit</v>
      </c>
      <c r="AM128" s="7" t="b">
        <f t="shared" si="20"/>
        <v>1</v>
      </c>
      <c r="AN128" s="7" t="str">
        <f t="shared" si="16"/>
        <v>Putnam</v>
      </c>
      <c r="AO128" s="7" t="b">
        <f>C128=GenExp!C128</f>
        <v>1</v>
      </c>
    </row>
    <row r="129" spans="1:41" ht="12" customHeight="1">
      <c r="A129" s="12" t="s">
        <v>524</v>
      </c>
      <c r="B129" s="12"/>
      <c r="C129" s="12" t="s">
        <v>63</v>
      </c>
      <c r="D129" s="12"/>
      <c r="E129" s="12">
        <v>49981</v>
      </c>
      <c r="G129" s="7">
        <f>10559318+30759</f>
        <v>10590077</v>
      </c>
      <c r="I129" s="7">
        <v>0</v>
      </c>
      <c r="K129" s="2">
        <f t="shared" si="23"/>
        <v>29831640</v>
      </c>
      <c r="M129" s="7">
        <v>40421717</v>
      </c>
      <c r="O129" s="2">
        <f t="shared" si="24"/>
        <v>4168387</v>
      </c>
      <c r="Q129" s="7">
        <v>25700795</v>
      </c>
      <c r="S129" s="7">
        <v>29869182</v>
      </c>
      <c r="U129" s="7">
        <v>121098</v>
      </c>
      <c r="W129" s="7">
        <v>2545805</v>
      </c>
      <c r="Y129" s="7">
        <v>0</v>
      </c>
      <c r="AA129" s="7">
        <v>1278600</v>
      </c>
      <c r="AC129" s="7">
        <v>6607032</v>
      </c>
      <c r="AE129" s="13">
        <f t="shared" si="17"/>
        <v>10552535</v>
      </c>
      <c r="AG129" s="7">
        <f t="shared" si="18"/>
        <v>0</v>
      </c>
      <c r="AK129" s="7" t="str">
        <f t="shared" si="19"/>
        <v>Copley-Fairlawn City SD</v>
      </c>
      <c r="AL129" s="7" t="str">
        <f>GenExp!A129</f>
        <v>Copley-Fairlawn City SD</v>
      </c>
      <c r="AM129" s="7" t="b">
        <f t="shared" si="20"/>
        <v>1</v>
      </c>
      <c r="AN129" s="7" t="str">
        <f t="shared" si="16"/>
        <v>Summit</v>
      </c>
      <c r="AO129" s="7" t="b">
        <f>C129=GenExp!C129</f>
        <v>1</v>
      </c>
    </row>
    <row r="130" spans="1:41" ht="12" customHeight="1">
      <c r="A130" s="12" t="s">
        <v>345</v>
      </c>
      <c r="B130" s="12"/>
      <c r="C130" s="12" t="s">
        <v>33</v>
      </c>
      <c r="D130" s="12"/>
      <c r="E130" s="12">
        <v>47431</v>
      </c>
      <c r="G130" s="7">
        <v>10076199</v>
      </c>
      <c r="I130" s="7">
        <v>5370</v>
      </c>
      <c r="K130" s="2">
        <f t="shared" si="23"/>
        <v>6078114</v>
      </c>
      <c r="M130" s="7">
        <v>16159683</v>
      </c>
      <c r="O130" s="2">
        <f t="shared" si="24"/>
        <v>985508</v>
      </c>
      <c r="Q130" s="7">
        <v>5367397</v>
      </c>
      <c r="S130" s="7">
        <v>6352905</v>
      </c>
      <c r="U130" s="7">
        <v>3319</v>
      </c>
      <c r="W130" s="7">
        <v>9747573</v>
      </c>
      <c r="Y130" s="7">
        <v>0</v>
      </c>
      <c r="AA130" s="7">
        <v>37932</v>
      </c>
      <c r="AC130" s="7">
        <v>17954</v>
      </c>
      <c r="AE130" s="13">
        <f t="shared" si="17"/>
        <v>9806778</v>
      </c>
      <c r="AG130" s="7">
        <f t="shared" si="18"/>
        <v>0</v>
      </c>
      <c r="AK130" s="7" t="str">
        <f t="shared" si="19"/>
        <v>Cory-Rawson Local SD</v>
      </c>
      <c r="AL130" s="7" t="str">
        <f>GenExp!A130</f>
        <v>Cory-Rawson Local SD</v>
      </c>
      <c r="AM130" s="7" t="b">
        <f t="shared" si="20"/>
        <v>1</v>
      </c>
      <c r="AN130" s="7" t="str">
        <f t="shared" si="16"/>
        <v>Hancock</v>
      </c>
      <c r="AO130" s="7" t="b">
        <f>C130=GenExp!C130</f>
        <v>1</v>
      </c>
    </row>
    <row r="131" spans="1:41" ht="12" customHeight="1">
      <c r="A131" s="12" t="s">
        <v>259</v>
      </c>
      <c r="B131" s="12"/>
      <c r="C131" s="12" t="s">
        <v>19</v>
      </c>
      <c r="D131" s="12"/>
      <c r="E131" s="12">
        <v>43828</v>
      </c>
      <c r="G131" s="7">
        <v>15040681</v>
      </c>
      <c r="I131" s="7">
        <v>836502</v>
      </c>
      <c r="K131" s="2">
        <f t="shared" si="23"/>
        <v>18095160</v>
      </c>
      <c r="M131" s="7">
        <v>33972343</v>
      </c>
      <c r="O131" s="2">
        <f t="shared" si="24"/>
        <v>2433227</v>
      </c>
      <c r="Q131" s="7">
        <f>5632873+11989226</f>
        <v>17622099</v>
      </c>
      <c r="S131" s="7">
        <v>20055326</v>
      </c>
      <c r="U131" s="7">
        <v>17219</v>
      </c>
      <c r="W131" s="7">
        <v>14253497</v>
      </c>
      <c r="Y131" s="7">
        <v>0</v>
      </c>
      <c r="AA131" s="7">
        <v>250883</v>
      </c>
      <c r="AC131" s="7">
        <v>-604582</v>
      </c>
      <c r="AE131" s="13">
        <f t="shared" si="17"/>
        <v>13917017</v>
      </c>
      <c r="AG131" s="7">
        <f t="shared" si="18"/>
        <v>0</v>
      </c>
      <c r="AK131" s="7" t="str">
        <f t="shared" si="19"/>
        <v>Coshocton City SD</v>
      </c>
      <c r="AL131" s="7" t="str">
        <f>GenExp!A131</f>
        <v>Coshocton City SD</v>
      </c>
      <c r="AM131" s="7" t="b">
        <f t="shared" si="20"/>
        <v>1</v>
      </c>
      <c r="AN131" s="7" t="str">
        <f t="shared" si="16"/>
        <v>Coshocton</v>
      </c>
      <c r="AO131" s="7" t="b">
        <f>C131=GenExp!C131</f>
        <v>1</v>
      </c>
    </row>
    <row r="132" spans="1:41" ht="12" customHeight="1">
      <c r="A132" s="12" t="s">
        <v>629</v>
      </c>
      <c r="B132" s="12"/>
      <c r="C132" s="12" t="s">
        <v>63</v>
      </c>
      <c r="D132" s="12"/>
      <c r="E132" s="12"/>
      <c r="G132" s="7">
        <v>1016956</v>
      </c>
      <c r="I132" s="7">
        <v>3344</v>
      </c>
      <c r="K132" s="2">
        <f t="shared" si="23"/>
        <v>11464451</v>
      </c>
      <c r="M132" s="7">
        <v>12484751</v>
      </c>
      <c r="O132" s="2">
        <f t="shared" si="24"/>
        <v>5936699</v>
      </c>
      <c r="Q132" s="7">
        <v>9408281</v>
      </c>
      <c r="S132" s="7">
        <v>15344980</v>
      </c>
      <c r="U132" s="7">
        <v>0</v>
      </c>
      <c r="W132" s="7">
        <v>920394</v>
      </c>
      <c r="Y132" s="7">
        <v>0</v>
      </c>
      <c r="AA132" s="7">
        <v>0</v>
      </c>
      <c r="AC132" s="7">
        <v>-3780623</v>
      </c>
      <c r="AE132" s="13">
        <f t="shared" si="17"/>
        <v>-2860229</v>
      </c>
      <c r="AG132" s="7">
        <f t="shared" si="18"/>
        <v>0</v>
      </c>
      <c r="AK132" s="7" t="str">
        <f t="shared" si="19"/>
        <v>Coventry Local SD</v>
      </c>
      <c r="AL132" s="7" t="str">
        <f>GenExp!A132</f>
        <v>Coventry Local SD</v>
      </c>
      <c r="AM132" s="7" t="b">
        <f t="shared" si="20"/>
        <v>1</v>
      </c>
      <c r="AN132" s="7" t="str">
        <f t="shared" si="16"/>
        <v>Summit</v>
      </c>
      <c r="AO132" s="7" t="b">
        <f>C132=GenExp!C132</f>
        <v>1</v>
      </c>
    </row>
    <row r="133" spans="1:41" ht="12" customHeight="1">
      <c r="A133" s="12" t="s">
        <v>867</v>
      </c>
      <c r="B133" s="12"/>
      <c r="C133" s="12" t="s">
        <v>48</v>
      </c>
      <c r="D133" s="12"/>
      <c r="E133" s="12">
        <v>45336</v>
      </c>
      <c r="G133" s="7">
        <v>1592979</v>
      </c>
      <c r="I133" s="7">
        <v>0</v>
      </c>
      <c r="K133" s="2">
        <f t="shared" si="23"/>
        <v>2601441</v>
      </c>
      <c r="M133" s="7">
        <v>4194420</v>
      </c>
      <c r="O133" s="2">
        <f t="shared" si="24"/>
        <v>910414</v>
      </c>
      <c r="Q133" s="7">
        <f>1415664+236326</f>
        <v>1651990</v>
      </c>
      <c r="S133" s="7">
        <v>2562404</v>
      </c>
      <c r="U133" s="7">
        <f>21555+6076</f>
        <v>27631</v>
      </c>
      <c r="W133" s="7">
        <f>32700+4290+100186+47932</f>
        <v>185108</v>
      </c>
      <c r="Y133" s="7">
        <v>74896</v>
      </c>
      <c r="AA133" s="7">
        <f>2252+38046</f>
        <v>40298</v>
      </c>
      <c r="AC133" s="7">
        <v>1304083</v>
      </c>
      <c r="AE133" s="13">
        <f t="shared" si="17"/>
        <v>1632016</v>
      </c>
      <c r="AG133" s="7">
        <f t="shared" si="18"/>
        <v>0</v>
      </c>
      <c r="AK133" s="7" t="str">
        <f t="shared" si="19"/>
        <v>Covington Exempted Village SD</v>
      </c>
      <c r="AL133" s="7" t="str">
        <f>GenExp!A133</f>
        <v>Covington Exempted Village SD</v>
      </c>
      <c r="AM133" s="7" t="b">
        <f t="shared" si="20"/>
        <v>1</v>
      </c>
      <c r="AN133" s="7" t="str">
        <f t="shared" si="16"/>
        <v>Miami</v>
      </c>
      <c r="AO133" s="7" t="b">
        <f>C133=GenExp!C133</f>
        <v>1</v>
      </c>
    </row>
    <row r="134" spans="1:41" ht="12" hidden="1" customHeight="1">
      <c r="A134" s="12" t="s">
        <v>982</v>
      </c>
      <c r="B134" s="12"/>
      <c r="C134" s="12" t="s">
        <v>111</v>
      </c>
      <c r="D134" s="12"/>
      <c r="E134" s="12">
        <v>45344</v>
      </c>
      <c r="K134" s="2">
        <f t="shared" si="23"/>
        <v>0</v>
      </c>
      <c r="O134" s="2">
        <f t="shared" si="24"/>
        <v>0</v>
      </c>
      <c r="AE134" s="13">
        <f t="shared" si="17"/>
        <v>0</v>
      </c>
      <c r="AG134" s="7">
        <f t="shared" si="18"/>
        <v>0</v>
      </c>
      <c r="AI134" s="7" t="s">
        <v>903</v>
      </c>
      <c r="AK134" s="7" t="str">
        <f t="shared" si="19"/>
        <v>Crestline Exempted Village SD (CASH)</v>
      </c>
      <c r="AL134" s="7" t="str">
        <f>GenExp!A134</f>
        <v>Crestline Exempted Village SD (CASH)</v>
      </c>
      <c r="AM134" s="7" t="b">
        <f t="shared" si="20"/>
        <v>1</v>
      </c>
      <c r="AN134" s="7" t="str">
        <f t="shared" si="16"/>
        <v>Crawford</v>
      </c>
      <c r="AO134" s="7" t="b">
        <f>C134=GenExp!C134</f>
        <v>1</v>
      </c>
    </row>
    <row r="135" spans="1:41" ht="12" customHeight="1">
      <c r="A135" s="12" t="s">
        <v>253</v>
      </c>
      <c r="B135" s="12"/>
      <c r="C135" s="12" t="s">
        <v>112</v>
      </c>
      <c r="D135" s="12"/>
      <c r="E135" s="12">
        <v>46433</v>
      </c>
      <c r="G135" s="7">
        <v>4859687</v>
      </c>
      <c r="I135" s="7">
        <v>10469</v>
      </c>
      <c r="K135" s="2">
        <f t="shared" si="23"/>
        <v>3275602</v>
      </c>
      <c r="M135" s="7">
        <v>8145758</v>
      </c>
      <c r="O135" s="2">
        <f t="shared" si="24"/>
        <v>1767267</v>
      </c>
      <c r="Q135" s="7">
        <v>2589459</v>
      </c>
      <c r="S135" s="7">
        <v>4356726</v>
      </c>
      <c r="U135" s="7">
        <v>57546</v>
      </c>
      <c r="W135" s="7">
        <v>3022441</v>
      </c>
      <c r="Y135" s="7">
        <v>112115</v>
      </c>
      <c r="AA135" s="7">
        <v>20869</v>
      </c>
      <c r="AC135" s="7">
        <v>576061</v>
      </c>
      <c r="AE135" s="13">
        <f t="shared" si="17"/>
        <v>3789032</v>
      </c>
      <c r="AG135" s="7">
        <f t="shared" si="18"/>
        <v>0</v>
      </c>
      <c r="AK135" s="7" t="str">
        <f t="shared" si="19"/>
        <v>Crestview Local SD</v>
      </c>
      <c r="AL135" s="7" t="str">
        <f>GenExp!A135</f>
        <v>Crestview Local SD</v>
      </c>
      <c r="AM135" s="7" t="b">
        <f t="shared" si="20"/>
        <v>1</v>
      </c>
      <c r="AN135" s="7" t="str">
        <f t="shared" si="16"/>
        <v>Columbiana</v>
      </c>
      <c r="AO135" s="7" t="b">
        <f>C135=GenExp!C135</f>
        <v>1</v>
      </c>
    </row>
    <row r="136" spans="1:41" ht="12" customHeight="1">
      <c r="A136" s="12" t="s">
        <v>253</v>
      </c>
      <c r="B136" s="12"/>
      <c r="C136" s="12" t="s">
        <v>110</v>
      </c>
      <c r="D136" s="12"/>
      <c r="E136" s="12">
        <v>49429</v>
      </c>
      <c r="G136" s="7">
        <v>7833196</v>
      </c>
      <c r="I136" s="7">
        <v>1198</v>
      </c>
      <c r="K136" s="2">
        <f t="shared" si="23"/>
        <v>2964739</v>
      </c>
      <c r="M136" s="7">
        <v>10799133</v>
      </c>
      <c r="O136" s="2">
        <f t="shared" si="24"/>
        <v>1154358</v>
      </c>
      <c r="Q136" s="7">
        <f>1936190+168921</f>
        <v>2105111</v>
      </c>
      <c r="S136" s="7">
        <v>3259469</v>
      </c>
      <c r="U136" s="7">
        <f>55755+67813</f>
        <v>123568</v>
      </c>
      <c r="W136" s="7">
        <f>668723+364017+237736+206790+15073+6611+33664+1198</f>
        <v>1533812</v>
      </c>
      <c r="Y136" s="7">
        <v>2000</v>
      </c>
      <c r="AA136" s="7">
        <f>5742+59477+1327</f>
        <v>66546</v>
      </c>
      <c r="AC136" s="7">
        <v>5813738</v>
      </c>
      <c r="AE136" s="13">
        <f t="shared" si="17"/>
        <v>7539664</v>
      </c>
      <c r="AG136" s="7">
        <f t="shared" si="18"/>
        <v>0</v>
      </c>
      <c r="AK136" s="7" t="str">
        <f t="shared" si="19"/>
        <v>Crestview Local SD</v>
      </c>
      <c r="AL136" s="7" t="str">
        <f>GenExp!A136</f>
        <v>Crestview Local SD</v>
      </c>
      <c r="AM136" s="7" t="b">
        <f t="shared" si="20"/>
        <v>1</v>
      </c>
      <c r="AN136" s="7" t="str">
        <f t="shared" si="16"/>
        <v>Richland</v>
      </c>
      <c r="AO136" s="7" t="b">
        <f>C136=GenExp!C136</f>
        <v>1</v>
      </c>
    </row>
    <row r="137" spans="1:41" ht="12" hidden="1" customHeight="1">
      <c r="A137" s="12" t="s">
        <v>686</v>
      </c>
      <c r="B137" s="12"/>
      <c r="C137" s="12" t="s">
        <v>67</v>
      </c>
      <c r="D137" s="12"/>
      <c r="E137" s="12"/>
      <c r="K137" s="2">
        <f t="shared" si="23"/>
        <v>0</v>
      </c>
      <c r="O137" s="2">
        <f t="shared" si="24"/>
        <v>0</v>
      </c>
      <c r="AE137" s="13">
        <f t="shared" si="17"/>
        <v>0</v>
      </c>
      <c r="AG137" s="7">
        <f t="shared" si="18"/>
        <v>0</v>
      </c>
      <c r="AI137" s="7" t="s">
        <v>778</v>
      </c>
      <c r="AK137" s="7" t="str">
        <f t="shared" si="19"/>
        <v>Crestview Local SD (CASH)</v>
      </c>
      <c r="AL137" s="7" t="str">
        <f>GenExp!A137</f>
        <v>Crestview Local SD (CASH)</v>
      </c>
      <c r="AM137" s="7" t="b">
        <f t="shared" si="20"/>
        <v>1</v>
      </c>
      <c r="AN137" s="7" t="str">
        <f t="shared" si="16"/>
        <v>Van Wert</v>
      </c>
      <c r="AO137" s="7" t="b">
        <f>C137=GenExp!C137</f>
        <v>1</v>
      </c>
    </row>
    <row r="138" spans="1:41" ht="12" customHeight="1">
      <c r="A138" s="12" t="s">
        <v>758</v>
      </c>
      <c r="B138" s="12"/>
      <c r="C138" s="12" t="s">
        <v>56</v>
      </c>
      <c r="D138" s="12"/>
      <c r="E138" s="12">
        <v>49189</v>
      </c>
      <c r="G138" s="7">
        <v>7805003</v>
      </c>
      <c r="I138" s="7">
        <f>396748+27899</f>
        <v>424647</v>
      </c>
      <c r="K138" s="2">
        <f t="shared" si="23"/>
        <v>7912431</v>
      </c>
      <c r="M138" s="7">
        <v>16142081</v>
      </c>
      <c r="O138" s="2">
        <f t="shared" si="24"/>
        <v>3388142</v>
      </c>
      <c r="Q138" s="7">
        <v>6978874</v>
      </c>
      <c r="S138" s="7">
        <v>10367016</v>
      </c>
      <c r="U138" s="7">
        <v>99128</v>
      </c>
      <c r="W138" s="7">
        <v>4113323</v>
      </c>
      <c r="Y138" s="7">
        <v>0</v>
      </c>
      <c r="AA138" s="7">
        <v>472388</v>
      </c>
      <c r="AC138" s="7">
        <v>1090226</v>
      </c>
      <c r="AE138" s="13">
        <f t="shared" si="17"/>
        <v>5775065</v>
      </c>
      <c r="AG138" s="7">
        <f t="shared" si="18"/>
        <v>0</v>
      </c>
      <c r="AK138" s="7" t="str">
        <f t="shared" si="19"/>
        <v xml:space="preserve">Crestwood Local SD </v>
      </c>
      <c r="AL138" s="7" t="str">
        <f>GenExp!A138</f>
        <v xml:space="preserve">Crestwood Local SD </v>
      </c>
      <c r="AM138" s="7" t="b">
        <f t="shared" si="20"/>
        <v>1</v>
      </c>
      <c r="AN138" s="7" t="str">
        <f t="shared" si="16"/>
        <v>Portage</v>
      </c>
      <c r="AO138" s="7" t="b">
        <f>C138=GenExp!C138</f>
        <v>1</v>
      </c>
    </row>
    <row r="139" spans="1:41" ht="12" customHeight="1">
      <c r="A139" s="12" t="s">
        <v>868</v>
      </c>
      <c r="B139" s="12"/>
      <c r="C139" s="12" t="s">
        <v>466</v>
      </c>
      <c r="D139" s="12"/>
      <c r="E139" s="12"/>
      <c r="G139" s="7">
        <v>1269406</v>
      </c>
      <c r="I139" s="7">
        <v>204360</v>
      </c>
      <c r="K139" s="2">
        <f t="shared" si="23"/>
        <v>3007564</v>
      </c>
      <c r="M139" s="7">
        <v>4481330</v>
      </c>
      <c r="O139" s="2">
        <f t="shared" si="24"/>
        <v>1435955</v>
      </c>
      <c r="Q139" s="7">
        <f>2198593+135730</f>
        <v>2334323</v>
      </c>
      <c r="S139" s="7">
        <v>3770278</v>
      </c>
      <c r="U139" s="7">
        <v>170122</v>
      </c>
      <c r="W139" s="7">
        <v>861758</v>
      </c>
      <c r="Y139" s="7">
        <v>0</v>
      </c>
      <c r="AA139" s="7">
        <v>96185</v>
      </c>
      <c r="AC139" s="7">
        <v>-417013</v>
      </c>
      <c r="AE139" s="13">
        <f t="shared" si="17"/>
        <v>711052</v>
      </c>
      <c r="AG139" s="7">
        <f t="shared" si="18"/>
        <v>0</v>
      </c>
      <c r="AK139" s="7" t="str">
        <f t="shared" si="19"/>
        <v>Crooksville Exempted Village SD</v>
      </c>
      <c r="AL139" s="7" t="str">
        <f>GenExp!A139</f>
        <v>Crooksville Exempted Village SD</v>
      </c>
      <c r="AM139" s="7" t="b">
        <f t="shared" si="20"/>
        <v>1</v>
      </c>
      <c r="AN139" s="7" t="str">
        <f t="shared" si="16"/>
        <v>Perry</v>
      </c>
      <c r="AO139" s="7" t="b">
        <f>C139=GenExp!C139</f>
        <v>1</v>
      </c>
    </row>
    <row r="140" spans="1:41" ht="12" customHeight="1">
      <c r="A140" s="12" t="s">
        <v>687</v>
      </c>
      <c r="B140" s="12"/>
      <c r="C140" s="12" t="s">
        <v>63</v>
      </c>
      <c r="D140" s="12"/>
      <c r="E140" s="12">
        <v>43836</v>
      </c>
      <c r="G140" s="7">
        <v>5948393</v>
      </c>
      <c r="I140" s="7">
        <v>0</v>
      </c>
      <c r="K140" s="2">
        <f t="shared" si="23"/>
        <v>29509526</v>
      </c>
      <c r="M140" s="7">
        <v>35457919</v>
      </c>
      <c r="O140" s="2">
        <f t="shared" si="24"/>
        <v>5220203</v>
      </c>
      <c r="Q140" s="7">
        <f>24035961+1833122</f>
        <v>25869083</v>
      </c>
      <c r="S140" s="7">
        <v>31089286</v>
      </c>
      <c r="U140" s="7">
        <f>89844+177+1369</f>
        <v>91390</v>
      </c>
      <c r="W140" s="7">
        <f>330052+232163+13128+14315+165711</f>
        <v>755369</v>
      </c>
      <c r="Y140" s="7">
        <f>490886+732+11000</f>
        <v>502618</v>
      </c>
      <c r="AA140" s="7">
        <f>100+282314+450+111560+6089+94199</f>
        <v>494712</v>
      </c>
      <c r="AC140" s="7">
        <v>2524544</v>
      </c>
      <c r="AE140" s="13">
        <f t="shared" si="17"/>
        <v>4368633</v>
      </c>
      <c r="AG140" s="7">
        <f t="shared" si="18"/>
        <v>0</v>
      </c>
      <c r="AK140" s="7" t="str">
        <f t="shared" si="19"/>
        <v xml:space="preserve">Cuyahoga Falls City SD </v>
      </c>
      <c r="AL140" s="7" t="str">
        <f>GenExp!A140</f>
        <v xml:space="preserve">Cuyahoga Falls City SD </v>
      </c>
      <c r="AM140" s="7" t="b">
        <f t="shared" si="20"/>
        <v>1</v>
      </c>
      <c r="AN140" s="7" t="str">
        <f t="shared" ref="AN140:AN203" si="25">C140</f>
        <v>Summit</v>
      </c>
      <c r="AO140" s="7" t="b">
        <f>C140=GenExp!C140</f>
        <v>1</v>
      </c>
    </row>
    <row r="141" spans="1:41">
      <c r="A141" s="12" t="s">
        <v>759</v>
      </c>
      <c r="B141" s="12"/>
      <c r="C141" s="12" t="s">
        <v>20</v>
      </c>
      <c r="D141" s="12"/>
      <c r="E141" s="12">
        <v>46557</v>
      </c>
      <c r="G141" s="7">
        <v>3189589</v>
      </c>
      <c r="I141" s="7">
        <v>56259</v>
      </c>
      <c r="K141" s="2">
        <f t="shared" si="23"/>
        <v>9062958</v>
      </c>
      <c r="M141" s="7">
        <v>12308806</v>
      </c>
      <c r="O141" s="2">
        <f t="shared" si="24"/>
        <v>2256097</v>
      </c>
      <c r="Q141" s="7">
        <f>7573126+12958</f>
        <v>7586084</v>
      </c>
      <c r="S141" s="7">
        <v>9842181</v>
      </c>
      <c r="U141" s="7">
        <v>62957</v>
      </c>
      <c r="W141" s="7">
        <v>1374670</v>
      </c>
      <c r="Y141" s="7">
        <v>55144</v>
      </c>
      <c r="AA141" s="7">
        <v>352668</v>
      </c>
      <c r="AC141" s="7">
        <v>621186</v>
      </c>
      <c r="AE141" s="13">
        <f t="shared" ref="AE141:AE204" si="26">U141+W141+Y141+AA141+AC141</f>
        <v>2466625</v>
      </c>
      <c r="AG141" s="7">
        <f t="shared" ref="AG141:AG204" si="27">+G141+I141+K141-O141-Q141-Y141-W141-U141-AA141-AC141</f>
        <v>0</v>
      </c>
      <c r="AK141" s="7" t="str">
        <f t="shared" ref="AK141:AK204" si="28">A141</f>
        <v xml:space="preserve">Cuyahoga Heights Local SD </v>
      </c>
      <c r="AL141" s="7" t="str">
        <f>GenExp!A141</f>
        <v xml:space="preserve">Cuyahoga Heights Local SD </v>
      </c>
      <c r="AM141" s="7" t="b">
        <f t="shared" ref="AM141:AM204" si="29">AK141=AL141</f>
        <v>1</v>
      </c>
      <c r="AN141" s="7" t="str">
        <f t="shared" si="25"/>
        <v>Cuyahoga</v>
      </c>
      <c r="AO141" s="7" t="b">
        <f>C141=GenExp!C141</f>
        <v>1</v>
      </c>
    </row>
    <row r="142" spans="1:41">
      <c r="A142" s="12" t="s">
        <v>635</v>
      </c>
      <c r="B142" s="12"/>
      <c r="C142" s="12" t="s">
        <v>71</v>
      </c>
      <c r="D142" s="12"/>
      <c r="E142" s="12">
        <v>48934</v>
      </c>
      <c r="G142" s="7">
        <v>526842</v>
      </c>
      <c r="I142" s="7">
        <v>231966</v>
      </c>
      <c r="K142" s="2">
        <f t="shared" si="23"/>
        <v>3314927</v>
      </c>
      <c r="M142" s="7">
        <v>4073735</v>
      </c>
      <c r="O142" s="2">
        <f t="shared" si="24"/>
        <v>982103</v>
      </c>
      <c r="Q142" s="7">
        <f>278895+2426365</f>
        <v>2705260</v>
      </c>
      <c r="S142" s="7">
        <v>3687363</v>
      </c>
      <c r="U142" s="7">
        <v>3125</v>
      </c>
      <c r="W142" s="7">
        <f>101938+6954+3300+3431+231966</f>
        <v>347589</v>
      </c>
      <c r="Y142" s="7">
        <v>0</v>
      </c>
      <c r="AA142" s="7">
        <f>790+38286+1300</f>
        <v>40376</v>
      </c>
      <c r="AC142" s="7">
        <v>-4718</v>
      </c>
      <c r="AE142" s="13">
        <f t="shared" si="26"/>
        <v>386372</v>
      </c>
      <c r="AG142" s="7">
        <f t="shared" si="27"/>
        <v>0</v>
      </c>
      <c r="AK142" s="7" t="str">
        <f t="shared" si="28"/>
        <v>Dalton Local SD</v>
      </c>
      <c r="AL142" s="7" t="str">
        <f>GenExp!A142</f>
        <v>Dalton Local SD</v>
      </c>
      <c r="AM142" s="7" t="b">
        <f t="shared" si="29"/>
        <v>1</v>
      </c>
      <c r="AN142" s="7" t="str">
        <f t="shared" si="25"/>
        <v>Wayne</v>
      </c>
      <c r="AO142" s="7" t="b">
        <f>C142=GenExp!C142</f>
        <v>1</v>
      </c>
    </row>
    <row r="143" spans="1:41" hidden="1">
      <c r="A143" s="12" t="s">
        <v>838</v>
      </c>
      <c r="B143" s="12"/>
      <c r="C143" s="12" t="s">
        <v>53</v>
      </c>
      <c r="D143" s="12"/>
      <c r="E143" s="12">
        <v>48934</v>
      </c>
      <c r="K143" s="2">
        <f t="shared" si="23"/>
        <v>0</v>
      </c>
      <c r="O143" s="2">
        <f t="shared" si="24"/>
        <v>0</v>
      </c>
      <c r="AE143" s="13">
        <f t="shared" si="26"/>
        <v>0</v>
      </c>
      <c r="AG143" s="7">
        <f t="shared" si="27"/>
        <v>0</v>
      </c>
      <c r="AI143" s="7" t="s">
        <v>837</v>
      </c>
      <c r="AK143" s="7" t="str">
        <f t="shared" si="28"/>
        <v>Danbury Local SD (CASH)</v>
      </c>
      <c r="AL143" s="7" t="str">
        <f>GenExp!A143</f>
        <v>Danbury Local SD (CASH)</v>
      </c>
      <c r="AM143" s="7" t="b">
        <f t="shared" si="29"/>
        <v>1</v>
      </c>
      <c r="AN143" s="7" t="str">
        <f t="shared" si="25"/>
        <v>Ottawa</v>
      </c>
      <c r="AO143" s="7" t="b">
        <f>C143=GenExp!C143</f>
        <v>1</v>
      </c>
    </row>
    <row r="144" spans="1:41" hidden="1">
      <c r="A144" s="12" t="s">
        <v>688</v>
      </c>
      <c r="B144" s="12"/>
      <c r="C144" s="12" t="s">
        <v>40</v>
      </c>
      <c r="D144" s="12"/>
      <c r="E144" s="12">
        <v>47837</v>
      </c>
      <c r="K144" s="2">
        <f t="shared" si="23"/>
        <v>0</v>
      </c>
      <c r="O144" s="2">
        <f t="shared" si="24"/>
        <v>0</v>
      </c>
      <c r="AE144" s="13">
        <f t="shared" si="26"/>
        <v>0</v>
      </c>
      <c r="AG144" s="7">
        <f t="shared" si="27"/>
        <v>0</v>
      </c>
      <c r="AI144" s="7" t="s">
        <v>839</v>
      </c>
      <c r="AK144" s="7" t="str">
        <f t="shared" si="28"/>
        <v>Danville Local SD (CASH)</v>
      </c>
      <c r="AL144" s="7" t="str">
        <f>GenExp!A144</f>
        <v>Danville Local SD (CASH)</v>
      </c>
      <c r="AM144" s="7" t="b">
        <f t="shared" si="29"/>
        <v>1</v>
      </c>
      <c r="AN144" s="7" t="str">
        <f t="shared" si="25"/>
        <v>Knox</v>
      </c>
      <c r="AO144" s="7" t="b">
        <f>C144=GenExp!C144</f>
        <v>1</v>
      </c>
    </row>
    <row r="145" spans="1:41">
      <c r="A145" s="12" t="s">
        <v>378</v>
      </c>
      <c r="B145" s="12"/>
      <c r="C145" s="12" t="s">
        <v>377</v>
      </c>
      <c r="D145" s="12"/>
      <c r="E145" s="12">
        <v>47928</v>
      </c>
      <c r="G145" s="7">
        <f>7437696+2579</f>
        <v>7440275</v>
      </c>
      <c r="I145" s="7">
        <v>0</v>
      </c>
      <c r="K145" s="2">
        <f t="shared" si="23"/>
        <v>1933744</v>
      </c>
      <c r="M145" s="7">
        <v>9374019</v>
      </c>
      <c r="O145" s="2">
        <f t="shared" si="24"/>
        <v>2222162</v>
      </c>
      <c r="Q145" s="7">
        <v>1468258</v>
      </c>
      <c r="S145" s="7">
        <v>3690420</v>
      </c>
      <c r="U145" s="7">
        <v>35576</v>
      </c>
      <c r="W145" s="7">
        <v>2147990</v>
      </c>
      <c r="Y145" s="7">
        <v>146742</v>
      </c>
      <c r="AA145" s="7">
        <v>865493</v>
      </c>
      <c r="AC145" s="7">
        <v>2487798</v>
      </c>
      <c r="AE145" s="13">
        <f t="shared" si="26"/>
        <v>5683599</v>
      </c>
      <c r="AG145" s="7">
        <f t="shared" si="27"/>
        <v>0</v>
      </c>
      <c r="AK145" s="7" t="str">
        <f t="shared" si="28"/>
        <v>Dawson-Bryant Local SD</v>
      </c>
      <c r="AL145" s="7" t="str">
        <f>GenExp!A145</f>
        <v>Dawson-Bryant Local SD</v>
      </c>
      <c r="AM145" s="7" t="b">
        <f t="shared" si="29"/>
        <v>1</v>
      </c>
      <c r="AN145" s="7" t="str">
        <f t="shared" si="25"/>
        <v>Lawrence</v>
      </c>
      <c r="AO145" s="7" t="b">
        <f>C145=GenExp!C145</f>
        <v>1</v>
      </c>
    </row>
    <row r="146" spans="1:41">
      <c r="A146" s="12" t="s">
        <v>442</v>
      </c>
      <c r="B146" s="12"/>
      <c r="C146" s="12" t="s">
        <v>50</v>
      </c>
      <c r="D146" s="12"/>
      <c r="E146" s="12">
        <v>43844</v>
      </c>
      <c r="G146" s="7">
        <f>103139303+9663997</f>
        <v>112803300</v>
      </c>
      <c r="I146" s="7">
        <v>1529470</v>
      </c>
      <c r="K146" s="2">
        <f t="shared" si="23"/>
        <v>136658641</v>
      </c>
      <c r="M146" s="7">
        <v>250991411</v>
      </c>
      <c r="O146" s="2">
        <f t="shared" si="24"/>
        <v>27278498</v>
      </c>
      <c r="Q146" s="7">
        <v>122109478</v>
      </c>
      <c r="S146" s="7">
        <v>149387976</v>
      </c>
      <c r="U146" s="7">
        <v>1302349</v>
      </c>
      <c r="W146" s="7">
        <v>94212021</v>
      </c>
      <c r="Y146" s="7">
        <v>0</v>
      </c>
      <c r="AA146" s="7">
        <v>87383</v>
      </c>
      <c r="AC146" s="7">
        <v>6001682</v>
      </c>
      <c r="AE146" s="13">
        <f t="shared" si="26"/>
        <v>101603435</v>
      </c>
      <c r="AG146" s="7">
        <f t="shared" si="27"/>
        <v>0</v>
      </c>
      <c r="AI146" s="7" t="s">
        <v>843</v>
      </c>
      <c r="AK146" s="7" t="str">
        <f t="shared" si="28"/>
        <v>Dayton City SD</v>
      </c>
      <c r="AL146" s="7" t="str">
        <f>GenExp!A146</f>
        <v>Dayton City SD</v>
      </c>
      <c r="AM146" s="7" t="b">
        <f t="shared" si="29"/>
        <v>1</v>
      </c>
      <c r="AN146" s="7" t="str">
        <f t="shared" si="25"/>
        <v>Montgomery</v>
      </c>
      <c r="AO146" s="7" t="b">
        <f>C146=GenExp!C146</f>
        <v>1</v>
      </c>
    </row>
    <row r="147" spans="1:41">
      <c r="A147" s="12" t="s">
        <v>689</v>
      </c>
      <c r="B147" s="12"/>
      <c r="C147" s="12" t="s">
        <v>32</v>
      </c>
      <c r="D147" s="12"/>
      <c r="E147" s="12">
        <v>43851</v>
      </c>
      <c r="G147" s="7">
        <v>6528052</v>
      </c>
      <c r="I147" s="7">
        <v>50000</v>
      </c>
      <c r="K147" s="2">
        <f t="shared" si="23"/>
        <v>9546660</v>
      </c>
      <c r="M147" s="7">
        <v>16124712</v>
      </c>
      <c r="O147" s="2">
        <f t="shared" si="24"/>
        <v>1986478</v>
      </c>
      <c r="Q147" s="7">
        <v>6115748</v>
      </c>
      <c r="S147" s="7">
        <v>8102226</v>
      </c>
      <c r="U147" s="7">
        <v>18303</v>
      </c>
      <c r="W147" s="7">
        <v>788932</v>
      </c>
      <c r="Y147" s="7">
        <v>0</v>
      </c>
      <c r="AA147" s="7">
        <v>191686</v>
      </c>
      <c r="AC147" s="7">
        <v>7023565</v>
      </c>
      <c r="AE147" s="13">
        <f t="shared" si="26"/>
        <v>8022486</v>
      </c>
      <c r="AG147" s="7">
        <f t="shared" si="27"/>
        <v>0</v>
      </c>
      <c r="AK147" s="7" t="str">
        <f t="shared" si="28"/>
        <v>Deer Park City SD</v>
      </c>
      <c r="AL147" s="7" t="str">
        <f>GenExp!A147</f>
        <v>Deer Park City SD</v>
      </c>
      <c r="AM147" s="7" t="b">
        <f t="shared" si="29"/>
        <v>1</v>
      </c>
      <c r="AN147" s="7" t="str">
        <f t="shared" si="25"/>
        <v>Hamilton</v>
      </c>
      <c r="AO147" s="7" t="b">
        <f>C147=GenExp!C147</f>
        <v>1</v>
      </c>
    </row>
    <row r="148" spans="1:41" hidden="1">
      <c r="A148" s="12" t="s">
        <v>690</v>
      </c>
      <c r="B148" s="12"/>
      <c r="C148" s="12" t="s">
        <v>22</v>
      </c>
      <c r="D148" s="12"/>
      <c r="E148" s="12">
        <v>43869</v>
      </c>
      <c r="K148" s="2">
        <f t="shared" si="23"/>
        <v>0</v>
      </c>
      <c r="O148" s="2">
        <f t="shared" si="24"/>
        <v>0</v>
      </c>
      <c r="AE148" s="13">
        <f t="shared" si="26"/>
        <v>0</v>
      </c>
      <c r="AG148" s="7">
        <f t="shared" si="27"/>
        <v>0</v>
      </c>
      <c r="AI148" s="7" t="s">
        <v>839</v>
      </c>
      <c r="AK148" s="7" t="str">
        <f t="shared" si="28"/>
        <v>Defiance City SD (CASH)</v>
      </c>
      <c r="AL148" s="7" t="str">
        <f>GenExp!A148</f>
        <v>Defiance City SD (CASH)</v>
      </c>
      <c r="AM148" s="7" t="b">
        <f t="shared" si="29"/>
        <v>1</v>
      </c>
      <c r="AN148" s="7" t="str">
        <f t="shared" si="25"/>
        <v>Defiance</v>
      </c>
      <c r="AO148" s="7" t="b">
        <f>C148=GenExp!C148</f>
        <v>1</v>
      </c>
    </row>
    <row r="149" spans="1:41">
      <c r="A149" s="12" t="s">
        <v>840</v>
      </c>
      <c r="B149" s="12"/>
      <c r="C149" s="12" t="s">
        <v>23</v>
      </c>
      <c r="D149" s="12"/>
      <c r="E149" s="12"/>
      <c r="G149" s="7">
        <v>9495638</v>
      </c>
      <c r="I149" s="7">
        <v>0</v>
      </c>
      <c r="K149" s="2">
        <f t="shared" si="23"/>
        <v>29611050</v>
      </c>
      <c r="M149" s="7">
        <v>39106688</v>
      </c>
      <c r="O149" s="2">
        <f t="shared" si="24"/>
        <v>7015110</v>
      </c>
      <c r="Q149" s="7">
        <v>24294968</v>
      </c>
      <c r="S149" s="7">
        <v>31310078</v>
      </c>
      <c r="U149" s="7">
        <v>246567</v>
      </c>
      <c r="W149" s="7">
        <v>4857178</v>
      </c>
      <c r="Y149" s="7">
        <v>878024</v>
      </c>
      <c r="AA149" s="7">
        <v>286116</v>
      </c>
      <c r="AC149" s="7">
        <v>1528725</v>
      </c>
      <c r="AE149" s="13">
        <f t="shared" si="26"/>
        <v>7796610</v>
      </c>
      <c r="AG149" s="7">
        <f t="shared" si="27"/>
        <v>0</v>
      </c>
      <c r="AK149" s="7" t="str">
        <f t="shared" si="28"/>
        <v>Delaware City SD</v>
      </c>
      <c r="AL149" s="7" t="str">
        <f>GenExp!A149</f>
        <v>Delaware City SD</v>
      </c>
      <c r="AM149" s="7" t="b">
        <f t="shared" si="29"/>
        <v>1</v>
      </c>
      <c r="AN149" s="7" t="str">
        <f t="shared" si="25"/>
        <v>Delaware</v>
      </c>
      <c r="AO149" s="7" t="b">
        <f>C149=GenExp!C149</f>
        <v>1</v>
      </c>
    </row>
    <row r="150" spans="1:41">
      <c r="A150" s="12" t="s">
        <v>202</v>
      </c>
      <c r="B150" s="12"/>
      <c r="C150" s="12" t="s">
        <v>10</v>
      </c>
      <c r="D150" s="12"/>
      <c r="E150" s="12">
        <v>43885</v>
      </c>
      <c r="G150" s="7">
        <v>933038</v>
      </c>
      <c r="I150" s="7">
        <v>11268</v>
      </c>
      <c r="K150" s="2">
        <f t="shared" ref="K150:K153" si="30">M150-G150-I150</f>
        <v>4645244</v>
      </c>
      <c r="M150" s="7">
        <v>5589550</v>
      </c>
      <c r="O150" s="2">
        <f t="shared" ref="O150:O152" si="31">S150-Q150</f>
        <v>1177325</v>
      </c>
      <c r="Q150" s="7">
        <v>3992525</v>
      </c>
      <c r="S150" s="7">
        <v>5169850</v>
      </c>
      <c r="U150" s="7">
        <v>62630</v>
      </c>
      <c r="W150" s="7">
        <v>842957</v>
      </c>
      <c r="Y150" s="7">
        <v>0</v>
      </c>
      <c r="AA150" s="7">
        <v>125393</v>
      </c>
      <c r="AC150" s="7">
        <v>-611280</v>
      </c>
      <c r="AE150" s="13">
        <f t="shared" si="26"/>
        <v>419700</v>
      </c>
      <c r="AG150" s="7">
        <f t="shared" si="27"/>
        <v>0</v>
      </c>
      <c r="AK150" s="7" t="str">
        <f t="shared" si="28"/>
        <v>Delphos City SD</v>
      </c>
      <c r="AL150" s="7" t="str">
        <f>GenExp!A150</f>
        <v>Delphos City SD</v>
      </c>
      <c r="AM150" s="7" t="b">
        <f t="shared" si="29"/>
        <v>1</v>
      </c>
      <c r="AN150" s="7" t="str">
        <f t="shared" si="25"/>
        <v>Allen</v>
      </c>
      <c r="AO150" s="7" t="b">
        <f>C150=GenExp!C150</f>
        <v>1</v>
      </c>
    </row>
    <row r="151" spans="1:41">
      <c r="A151" s="12" t="s">
        <v>550</v>
      </c>
      <c r="B151" s="12"/>
      <c r="C151" s="12" t="s">
        <v>65</v>
      </c>
      <c r="D151" s="12"/>
      <c r="E151" s="12">
        <v>43893</v>
      </c>
      <c r="G151" s="7">
        <v>9889733</v>
      </c>
      <c r="I151" s="7">
        <v>129036</v>
      </c>
      <c r="K151" s="2">
        <f t="shared" si="30"/>
        <v>12784522</v>
      </c>
      <c r="M151" s="7">
        <v>22803291</v>
      </c>
      <c r="O151" s="2">
        <f t="shared" si="31"/>
        <v>3689268</v>
      </c>
      <c r="Q151" s="7">
        <v>10906474</v>
      </c>
      <c r="S151" s="7">
        <v>14595742</v>
      </c>
      <c r="U151" s="7">
        <v>0</v>
      </c>
      <c r="W151" s="7">
        <v>1494706</v>
      </c>
      <c r="Y151" s="7">
        <v>0</v>
      </c>
      <c r="AA151" s="7">
        <v>360616</v>
      </c>
      <c r="AC151" s="7">
        <v>6352227</v>
      </c>
      <c r="AE151" s="13">
        <f t="shared" si="26"/>
        <v>8207549</v>
      </c>
      <c r="AG151" s="7">
        <f t="shared" si="27"/>
        <v>0</v>
      </c>
      <c r="AK151" s="7" t="str">
        <f t="shared" si="28"/>
        <v>Dover City SD</v>
      </c>
      <c r="AL151" s="7" t="str">
        <f>GenExp!A151</f>
        <v>Dover City SD</v>
      </c>
      <c r="AM151" s="7" t="b">
        <f t="shared" si="29"/>
        <v>1</v>
      </c>
      <c r="AN151" s="7" t="str">
        <f t="shared" si="25"/>
        <v>Tuscarawas</v>
      </c>
      <c r="AO151" s="7" t="b">
        <f>C151=GenExp!C151</f>
        <v>1</v>
      </c>
    </row>
    <row r="152" spans="1:41">
      <c r="A152" s="12" t="s">
        <v>308</v>
      </c>
      <c r="B152" s="12"/>
      <c r="C152" s="12" t="s">
        <v>27</v>
      </c>
      <c r="D152" s="12"/>
      <c r="E152" s="12">
        <v>47027</v>
      </c>
      <c r="G152" s="7">
        <v>69577450</v>
      </c>
      <c r="I152" s="7">
        <v>0</v>
      </c>
      <c r="K152" s="2">
        <f t="shared" si="30"/>
        <v>240578110</v>
      </c>
      <c r="M152" s="7">
        <v>310155560</v>
      </c>
      <c r="O152" s="2">
        <f t="shared" si="31"/>
        <v>20022181</v>
      </c>
      <c r="Q152" s="7">
        <v>189940760</v>
      </c>
      <c r="S152" s="7">
        <v>209962941</v>
      </c>
      <c r="U152" s="7">
        <v>208473</v>
      </c>
      <c r="W152" s="7">
        <f>19054555+6477257+4301223+1606450+65871+345952+95707+331614+246187</f>
        <v>32524816</v>
      </c>
      <c r="Y152" s="7">
        <v>1168430</v>
      </c>
      <c r="AA152" s="7">
        <f>1192711+211742+180010+628146+217943</f>
        <v>2430552</v>
      </c>
      <c r="AC152" s="7">
        <v>63860348</v>
      </c>
      <c r="AE152" s="13">
        <f t="shared" si="26"/>
        <v>100192619</v>
      </c>
      <c r="AG152" s="7">
        <f t="shared" si="27"/>
        <v>0</v>
      </c>
      <c r="AK152" s="7" t="str">
        <f t="shared" si="28"/>
        <v>Dublin City SD</v>
      </c>
      <c r="AL152" s="7" t="str">
        <f>GenExp!A152</f>
        <v>Dublin City SD</v>
      </c>
      <c r="AM152" s="7" t="b">
        <f t="shared" si="29"/>
        <v>1</v>
      </c>
      <c r="AN152" s="7" t="str">
        <f t="shared" si="25"/>
        <v>Franklin</v>
      </c>
      <c r="AO152" s="7" t="b">
        <f>C152=GenExp!C152</f>
        <v>1</v>
      </c>
    </row>
    <row r="153" spans="1:41">
      <c r="A153" s="12" t="s">
        <v>272</v>
      </c>
      <c r="B153" s="12"/>
      <c r="C153" s="12" t="s">
        <v>20</v>
      </c>
      <c r="D153" s="12"/>
      <c r="E153" s="12">
        <v>43901</v>
      </c>
      <c r="G153" s="7">
        <v>41464011</v>
      </c>
      <c r="I153" s="7">
        <v>0</v>
      </c>
      <c r="K153" s="2">
        <f t="shared" si="30"/>
        <v>22799401</v>
      </c>
      <c r="M153" s="7">
        <v>64263412</v>
      </c>
      <c r="O153" s="2">
        <f>S153-Q153</f>
        <v>8582669</v>
      </c>
      <c r="Q153" s="7">
        <v>17531141</v>
      </c>
      <c r="S153" s="7">
        <v>26113810</v>
      </c>
      <c r="U153" s="7">
        <v>14817</v>
      </c>
      <c r="W153" s="7">
        <v>5047398</v>
      </c>
      <c r="Y153" s="7">
        <v>0</v>
      </c>
      <c r="AA153" s="7">
        <v>1625983</v>
      </c>
      <c r="AC153" s="7">
        <v>31461404</v>
      </c>
      <c r="AE153" s="13">
        <f t="shared" si="26"/>
        <v>38149602</v>
      </c>
      <c r="AG153" s="7">
        <f t="shared" si="27"/>
        <v>0</v>
      </c>
      <c r="AI153" s="7" t="s">
        <v>843</v>
      </c>
      <c r="AK153" s="7" t="str">
        <f t="shared" si="28"/>
        <v>East Cleveland City SD</v>
      </c>
      <c r="AL153" s="7" t="str">
        <f>GenExp!A153</f>
        <v>East Cleveland City SD</v>
      </c>
      <c r="AM153" s="7" t="b">
        <f t="shared" si="29"/>
        <v>1</v>
      </c>
      <c r="AN153" s="7" t="str">
        <f t="shared" si="25"/>
        <v>Cuyahoga</v>
      </c>
      <c r="AO153" s="7" t="b">
        <f>C153=GenExp!C153</f>
        <v>1</v>
      </c>
    </row>
    <row r="154" spans="1:41">
      <c r="A154" s="12" t="s">
        <v>250</v>
      </c>
      <c r="B154" s="12"/>
      <c r="C154" s="12" t="s">
        <v>18</v>
      </c>
      <c r="D154" s="12"/>
      <c r="E154" s="12">
        <v>46409</v>
      </c>
      <c r="G154" s="7">
        <v>4192387</v>
      </c>
      <c r="I154" s="7">
        <v>0</v>
      </c>
      <c r="K154" s="2">
        <f>M154-G154-I154</f>
        <v>3613746</v>
      </c>
      <c r="M154" s="7">
        <v>7806133</v>
      </c>
      <c r="O154" s="2">
        <f>S154-Q154</f>
        <v>1532587</v>
      </c>
      <c r="Q154" s="7">
        <v>3266680</v>
      </c>
      <c r="S154" s="7">
        <v>4799267</v>
      </c>
      <c r="U154" s="7">
        <v>315705</v>
      </c>
      <c r="W154" s="7">
        <v>1605347</v>
      </c>
      <c r="Y154" s="7">
        <v>30140</v>
      </c>
      <c r="AA154" s="7">
        <v>117153</v>
      </c>
      <c r="AC154" s="7">
        <v>938521</v>
      </c>
      <c r="AE154" s="13">
        <f t="shared" si="26"/>
        <v>3006866</v>
      </c>
      <c r="AG154" s="7">
        <f t="shared" si="27"/>
        <v>0</v>
      </c>
      <c r="AK154" s="7" t="str">
        <f t="shared" si="28"/>
        <v>East Clinton Local SD</v>
      </c>
      <c r="AL154" s="7" t="str">
        <f>GenExp!A154</f>
        <v>East Clinton Local SD</v>
      </c>
      <c r="AM154" s="7" t="b">
        <f t="shared" si="29"/>
        <v>1</v>
      </c>
      <c r="AN154" s="7" t="str">
        <f t="shared" si="25"/>
        <v>Clinton</v>
      </c>
      <c r="AO154" s="7" t="b">
        <f>C154=GenExp!C154</f>
        <v>1</v>
      </c>
    </row>
    <row r="155" spans="1:41">
      <c r="A155" s="12" t="s">
        <v>328</v>
      </c>
      <c r="B155" s="12"/>
      <c r="C155" s="12" t="s">
        <v>31</v>
      </c>
      <c r="D155" s="12"/>
      <c r="E155" s="12">
        <v>69682</v>
      </c>
      <c r="G155" s="7">
        <v>4278348</v>
      </c>
      <c r="I155" s="7">
        <v>0</v>
      </c>
      <c r="K155" s="2">
        <f t="shared" ref="K155:K219" si="32">M155-G155-I155</f>
        <v>3733282</v>
      </c>
      <c r="M155" s="7">
        <v>8011630</v>
      </c>
      <c r="O155" s="2">
        <f t="shared" ref="O155:O219" si="33">S155-Q155</f>
        <v>1298220</v>
      </c>
      <c r="Q155" s="7">
        <v>2595073</v>
      </c>
      <c r="S155" s="7">
        <v>3893293</v>
      </c>
      <c r="U155" s="7">
        <f>45981+157661</f>
        <v>203642</v>
      </c>
      <c r="W155" s="7">
        <f>33269+141725+2694+1212244+450877</f>
        <v>1840809</v>
      </c>
      <c r="Y155" s="7">
        <v>0</v>
      </c>
      <c r="AA155" s="7">
        <v>0</v>
      </c>
      <c r="AC155" s="7">
        <v>2073886</v>
      </c>
      <c r="AE155" s="13">
        <f t="shared" si="26"/>
        <v>4118337</v>
      </c>
      <c r="AG155" s="7">
        <f t="shared" si="27"/>
        <v>0</v>
      </c>
      <c r="AK155" s="7" t="str">
        <f t="shared" si="28"/>
        <v>East Guernsey Local SD</v>
      </c>
      <c r="AL155" s="7" t="str">
        <f>GenExp!A155</f>
        <v>East Guernsey Local SD</v>
      </c>
      <c r="AM155" s="7" t="b">
        <f t="shared" si="29"/>
        <v>1</v>
      </c>
      <c r="AN155" s="7" t="str">
        <f t="shared" si="25"/>
        <v>Guernsey</v>
      </c>
      <c r="AO155" s="7" t="b">
        <f>C155=GenExp!C155</f>
        <v>1</v>
      </c>
    </row>
    <row r="156" spans="1:41">
      <c r="A156" s="12" t="s">
        <v>363</v>
      </c>
      <c r="B156" s="12"/>
      <c r="C156" s="12" t="s">
        <v>36</v>
      </c>
      <c r="D156" s="12"/>
      <c r="E156" s="12">
        <v>47688</v>
      </c>
      <c r="G156" s="7">
        <v>7065945</v>
      </c>
      <c r="I156" s="7">
        <v>0</v>
      </c>
      <c r="K156" s="2">
        <f t="shared" si="32"/>
        <v>9195073</v>
      </c>
      <c r="M156" s="7">
        <v>16261018</v>
      </c>
      <c r="O156" s="2">
        <f t="shared" si="33"/>
        <v>2377687</v>
      </c>
      <c r="Q156" s="7">
        <v>8461613</v>
      </c>
      <c r="S156" s="7">
        <v>10839300</v>
      </c>
      <c r="U156" s="7">
        <v>127048</v>
      </c>
      <c r="W156" s="7">
        <v>1601585</v>
      </c>
      <c r="Y156" s="7">
        <v>0</v>
      </c>
      <c r="AA156" s="7">
        <v>251236</v>
      </c>
      <c r="AC156" s="7">
        <v>3441849</v>
      </c>
      <c r="AE156" s="13">
        <f t="shared" si="26"/>
        <v>5421718</v>
      </c>
      <c r="AG156" s="7">
        <f t="shared" si="27"/>
        <v>0</v>
      </c>
      <c r="AI156" s="7" t="s">
        <v>843</v>
      </c>
      <c r="AK156" s="7" t="str">
        <f t="shared" si="28"/>
        <v>East Holmes Local SD</v>
      </c>
      <c r="AL156" s="7" t="str">
        <f>GenExp!A156</f>
        <v>East Holmes Local SD</v>
      </c>
      <c r="AM156" s="7" t="b">
        <f t="shared" si="29"/>
        <v>1</v>
      </c>
      <c r="AN156" s="7" t="str">
        <f t="shared" si="25"/>
        <v>Holmes</v>
      </c>
      <c r="AO156" s="7" t="b">
        <f>C156=GenExp!C156</f>
        <v>1</v>
      </c>
    </row>
    <row r="157" spans="1:41" hidden="1">
      <c r="A157" s="12" t="s">
        <v>691</v>
      </c>
      <c r="B157" s="12"/>
      <c r="C157" s="12" t="s">
        <v>40</v>
      </c>
      <c r="D157" s="12"/>
      <c r="E157" s="12"/>
      <c r="I157" s="7">
        <v>0</v>
      </c>
      <c r="K157" s="2">
        <f t="shared" si="32"/>
        <v>0</v>
      </c>
      <c r="O157" s="2">
        <f t="shared" si="33"/>
        <v>0</v>
      </c>
      <c r="AE157" s="13">
        <f t="shared" si="26"/>
        <v>0</v>
      </c>
      <c r="AG157" s="7">
        <f t="shared" si="27"/>
        <v>0</v>
      </c>
      <c r="AI157" s="7" t="s">
        <v>839</v>
      </c>
      <c r="AK157" s="7" t="str">
        <f t="shared" si="28"/>
        <v>East Knox Local SD (CASH)</v>
      </c>
      <c r="AL157" s="7" t="str">
        <f>GenExp!A157</f>
        <v>East Knox Local SD (CASH)</v>
      </c>
      <c r="AM157" s="7" t="b">
        <f t="shared" si="29"/>
        <v>1</v>
      </c>
      <c r="AN157" s="7" t="str">
        <f t="shared" si="25"/>
        <v>Knox</v>
      </c>
      <c r="AO157" s="7" t="b">
        <f>C157=GenExp!C157</f>
        <v>1</v>
      </c>
    </row>
    <row r="158" spans="1:41">
      <c r="A158" s="12" t="s">
        <v>254</v>
      </c>
      <c r="B158" s="12"/>
      <c r="C158" s="12" t="s">
        <v>112</v>
      </c>
      <c r="D158" s="12"/>
      <c r="E158" s="12">
        <v>43919</v>
      </c>
      <c r="G158" s="7">
        <v>12124750</v>
      </c>
      <c r="I158" s="7">
        <v>170118</v>
      </c>
      <c r="K158" s="2">
        <f t="shared" si="32"/>
        <v>11199696</v>
      </c>
      <c r="M158" s="7">
        <v>23494564</v>
      </c>
      <c r="O158" s="2">
        <f t="shared" si="33"/>
        <v>3707360</v>
      </c>
      <c r="Q158" s="7">
        <v>6780437</v>
      </c>
      <c r="S158" s="7">
        <v>10487797</v>
      </c>
      <c r="U158" s="7">
        <v>0</v>
      </c>
      <c r="W158" s="7">
        <v>9374019</v>
      </c>
      <c r="Y158" s="7">
        <v>500000</v>
      </c>
      <c r="AA158" s="7">
        <v>170895</v>
      </c>
      <c r="AC158" s="7">
        <v>2961853</v>
      </c>
      <c r="AE158" s="13">
        <f t="shared" si="26"/>
        <v>13006767</v>
      </c>
      <c r="AG158" s="7">
        <f t="shared" si="27"/>
        <v>0</v>
      </c>
      <c r="AK158" s="7" t="str">
        <f t="shared" si="28"/>
        <v>East Liverpool City SD</v>
      </c>
      <c r="AL158" s="7" t="str">
        <f>GenExp!A158</f>
        <v>East Liverpool City SD</v>
      </c>
      <c r="AM158" s="7" t="b">
        <f t="shared" si="29"/>
        <v>1</v>
      </c>
      <c r="AN158" s="7" t="str">
        <f t="shared" si="25"/>
        <v>Columbiana</v>
      </c>
      <c r="AO158" s="7" t="b">
        <f>C158=GenExp!C158</f>
        <v>1</v>
      </c>
    </row>
    <row r="159" spans="1:41">
      <c r="A159" s="12" t="s">
        <v>456</v>
      </c>
      <c r="B159" s="12"/>
      <c r="C159" s="12" t="s">
        <v>51</v>
      </c>
      <c r="D159" s="12"/>
      <c r="E159" s="12">
        <v>48835</v>
      </c>
      <c r="G159" s="7">
        <f>6945191+1228</f>
        <v>6946419</v>
      </c>
      <c r="I159" s="7">
        <v>3503</v>
      </c>
      <c r="K159" s="2">
        <f t="shared" si="32"/>
        <v>8826029</v>
      </c>
      <c r="M159" s="7">
        <v>15775951</v>
      </c>
      <c r="O159" s="2">
        <f t="shared" si="33"/>
        <v>2335665</v>
      </c>
      <c r="Q159" s="7">
        <v>7861416</v>
      </c>
      <c r="S159" s="7">
        <v>10197081</v>
      </c>
      <c r="U159" s="7">
        <f>136894+35334+3503</f>
        <v>175731</v>
      </c>
      <c r="W159" s="7">
        <f>270569+5515+103139+141738+1232038+315034+67634</f>
        <v>2135667</v>
      </c>
      <c r="Y159" s="7">
        <v>254182</v>
      </c>
      <c r="AA159" s="7">
        <f>112476+250000+57421</f>
        <v>419897</v>
      </c>
      <c r="AC159" s="7">
        <v>2593393</v>
      </c>
      <c r="AE159" s="13">
        <f t="shared" si="26"/>
        <v>5578870</v>
      </c>
      <c r="AG159" s="7">
        <f t="shared" si="27"/>
        <v>0</v>
      </c>
      <c r="AK159" s="7" t="str">
        <f t="shared" si="28"/>
        <v>East Muskingum Local SD</v>
      </c>
      <c r="AL159" s="7" t="str">
        <f>GenExp!A159</f>
        <v>East Muskingum Local SD</v>
      </c>
      <c r="AM159" s="7" t="b">
        <f t="shared" si="29"/>
        <v>1</v>
      </c>
      <c r="AN159" s="7" t="str">
        <f t="shared" si="25"/>
        <v>Muskingum</v>
      </c>
      <c r="AO159" s="7" t="b">
        <f>C159=GenExp!C159</f>
        <v>1</v>
      </c>
    </row>
    <row r="160" spans="1:41">
      <c r="A160" s="12" t="s">
        <v>255</v>
      </c>
      <c r="B160" s="12"/>
      <c r="C160" s="12" t="s">
        <v>112</v>
      </c>
      <c r="D160" s="12"/>
      <c r="E160" s="12">
        <v>43927</v>
      </c>
      <c r="G160" s="7">
        <f>1323112+254931</f>
        <v>1578043</v>
      </c>
      <c r="I160" s="7">
        <v>321239</v>
      </c>
      <c r="K160" s="2">
        <f t="shared" si="32"/>
        <v>3714395</v>
      </c>
      <c r="M160" s="7">
        <v>5613677</v>
      </c>
      <c r="O160" s="2">
        <f t="shared" si="33"/>
        <v>1301606</v>
      </c>
      <c r="Q160" s="7">
        <v>3499240</v>
      </c>
      <c r="S160" s="7">
        <v>4800846</v>
      </c>
      <c r="U160" s="7">
        <v>0</v>
      </c>
      <c r="W160" s="7">
        <v>1221346</v>
      </c>
      <c r="Y160" s="7">
        <v>0</v>
      </c>
      <c r="AA160" s="7">
        <v>0</v>
      </c>
      <c r="AC160" s="7">
        <v>-408515</v>
      </c>
      <c r="AE160" s="13">
        <f t="shared" si="26"/>
        <v>812831</v>
      </c>
      <c r="AG160" s="7">
        <f t="shared" si="27"/>
        <v>0</v>
      </c>
      <c r="AK160" s="7" t="str">
        <f t="shared" si="28"/>
        <v>East Palestine City SD</v>
      </c>
      <c r="AL160" s="7" t="str">
        <f>GenExp!A160</f>
        <v>East Palestine City SD</v>
      </c>
      <c r="AM160" s="7" t="b">
        <f t="shared" si="29"/>
        <v>1</v>
      </c>
      <c r="AN160" s="7" t="str">
        <f t="shared" si="25"/>
        <v>Columbiana</v>
      </c>
      <c r="AO160" s="7" t="b">
        <f>C160=GenExp!C160</f>
        <v>1</v>
      </c>
    </row>
    <row r="161" spans="1:41">
      <c r="A161" s="12" t="s">
        <v>220</v>
      </c>
      <c r="B161" s="12"/>
      <c r="C161" s="12" t="s">
        <v>77</v>
      </c>
      <c r="D161" s="12"/>
      <c r="E161" s="12">
        <v>46037</v>
      </c>
      <c r="G161" s="7">
        <v>6586406</v>
      </c>
      <c r="I161" s="7">
        <v>266394</v>
      </c>
      <c r="K161" s="2">
        <f t="shared" si="32"/>
        <v>5174426</v>
      </c>
      <c r="M161" s="7">
        <v>12027226</v>
      </c>
      <c r="O161" s="2">
        <f t="shared" si="33"/>
        <v>1664313</v>
      </c>
      <c r="Q161" s="7">
        <v>4441793</v>
      </c>
      <c r="S161" s="7">
        <v>6106106</v>
      </c>
      <c r="U161" s="7">
        <v>0</v>
      </c>
      <c r="W161" s="7">
        <v>5026155</v>
      </c>
      <c r="Y161" s="7">
        <v>0</v>
      </c>
      <c r="AA161" s="7">
        <v>65812</v>
      </c>
      <c r="AC161" s="7">
        <v>829153</v>
      </c>
      <c r="AE161" s="13">
        <f t="shared" si="26"/>
        <v>5921120</v>
      </c>
      <c r="AG161" s="7">
        <f t="shared" si="27"/>
        <v>0</v>
      </c>
      <c r="AK161" s="7" t="str">
        <f t="shared" si="28"/>
        <v>Eastern Local SD</v>
      </c>
      <c r="AL161" s="7" t="str">
        <f>GenExp!A161</f>
        <v>Eastern Local SD</v>
      </c>
      <c r="AM161" s="7" t="b">
        <f t="shared" si="29"/>
        <v>1</v>
      </c>
      <c r="AN161" s="7" t="str">
        <f t="shared" si="25"/>
        <v>Brown</v>
      </c>
      <c r="AO161" s="7" t="b">
        <f>C161=GenExp!C161</f>
        <v>1</v>
      </c>
    </row>
    <row r="162" spans="1:41">
      <c r="A162" s="12" t="s">
        <v>220</v>
      </c>
      <c r="B162" s="12"/>
      <c r="C162" s="12" t="s">
        <v>433</v>
      </c>
      <c r="D162" s="12"/>
      <c r="E162" s="12">
        <v>48512</v>
      </c>
      <c r="G162" s="7">
        <v>1699528</v>
      </c>
      <c r="I162" s="7">
        <v>52866</v>
      </c>
      <c r="K162" s="2">
        <f t="shared" si="32"/>
        <v>1882092</v>
      </c>
      <c r="M162" s="7">
        <v>3634486</v>
      </c>
      <c r="O162" s="2">
        <f t="shared" si="33"/>
        <v>1133991</v>
      </c>
      <c r="Q162" s="7">
        <v>1276515</v>
      </c>
      <c r="S162" s="7">
        <v>2410506</v>
      </c>
      <c r="U162" s="7">
        <v>22412</v>
      </c>
      <c r="W162" s="7">
        <v>654326</v>
      </c>
      <c r="Y162" s="7">
        <v>278764</v>
      </c>
      <c r="AA162" s="7">
        <v>118650</v>
      </c>
      <c r="AC162" s="7">
        <v>149828</v>
      </c>
      <c r="AE162" s="13">
        <f t="shared" si="26"/>
        <v>1223980</v>
      </c>
      <c r="AG162" s="7">
        <f t="shared" si="27"/>
        <v>0</v>
      </c>
      <c r="AK162" s="7" t="str">
        <f t="shared" si="28"/>
        <v>Eastern Local SD</v>
      </c>
      <c r="AL162" s="7" t="str">
        <f>GenExp!A162</f>
        <v>Eastern Local SD</v>
      </c>
      <c r="AM162" s="7" t="b">
        <f t="shared" si="29"/>
        <v>1</v>
      </c>
      <c r="AN162" s="7" t="str">
        <f t="shared" si="25"/>
        <v>Meigs</v>
      </c>
      <c r="AO162" s="7" t="b">
        <f>C162=GenExp!C162</f>
        <v>1</v>
      </c>
    </row>
    <row r="163" spans="1:41" hidden="1">
      <c r="A163" s="12" t="s">
        <v>692</v>
      </c>
      <c r="B163" s="12"/>
      <c r="C163" s="12" t="s">
        <v>55</v>
      </c>
      <c r="D163" s="12"/>
      <c r="E163" s="12">
        <v>49122</v>
      </c>
      <c r="K163" s="2">
        <f t="shared" si="32"/>
        <v>0</v>
      </c>
      <c r="O163" s="2">
        <f t="shared" si="33"/>
        <v>0</v>
      </c>
      <c r="AE163" s="13">
        <f t="shared" si="26"/>
        <v>0</v>
      </c>
      <c r="AG163" s="7">
        <f t="shared" si="27"/>
        <v>0</v>
      </c>
      <c r="AI163" s="7" t="s">
        <v>839</v>
      </c>
      <c r="AK163" s="7" t="str">
        <f t="shared" si="28"/>
        <v>Eastern Local SD (CASH)</v>
      </c>
      <c r="AL163" s="7" t="str">
        <f>GenExp!A163</f>
        <v>Eastern Local SD (CASH)</v>
      </c>
      <c r="AM163" s="7" t="b">
        <f t="shared" si="29"/>
        <v>1</v>
      </c>
      <c r="AN163" s="7" t="str">
        <f t="shared" si="25"/>
        <v>Pike</v>
      </c>
      <c r="AO163" s="7" t="b">
        <f>C163=GenExp!C163</f>
        <v>1</v>
      </c>
    </row>
    <row r="164" spans="1:41">
      <c r="A164" s="12" t="s">
        <v>573</v>
      </c>
      <c r="B164" s="12"/>
      <c r="C164" s="12" t="s">
        <v>72</v>
      </c>
      <c r="D164" s="12"/>
      <c r="E164" s="12">
        <v>50674</v>
      </c>
      <c r="G164" s="7">
        <v>8532440</v>
      </c>
      <c r="I164" s="7">
        <v>0</v>
      </c>
      <c r="K164" s="2">
        <f t="shared" si="32"/>
        <v>6273116</v>
      </c>
      <c r="M164" s="7">
        <v>14805556</v>
      </c>
      <c r="O164" s="2">
        <f t="shared" si="33"/>
        <v>1764211</v>
      </c>
      <c r="Q164" s="7">
        <v>4399561</v>
      </c>
      <c r="S164" s="7">
        <v>6163772</v>
      </c>
      <c r="U164" s="7">
        <v>158662</v>
      </c>
      <c r="W164" s="7">
        <v>1348116</v>
      </c>
      <c r="Y164" s="7">
        <v>0</v>
      </c>
      <c r="AA164" s="7">
        <v>1015274</v>
      </c>
      <c r="AC164" s="7">
        <v>6119732</v>
      </c>
      <c r="AE164" s="13">
        <f t="shared" si="26"/>
        <v>8641784</v>
      </c>
      <c r="AG164" s="7">
        <f t="shared" si="27"/>
        <v>0</v>
      </c>
      <c r="AI164" s="7" t="s">
        <v>845</v>
      </c>
      <c r="AK164" s="7" t="str">
        <f t="shared" si="28"/>
        <v>Eastwood Local SD</v>
      </c>
      <c r="AL164" s="7" t="str">
        <f>GenExp!A164</f>
        <v>Eastwood Local SD</v>
      </c>
      <c r="AM164" s="7" t="b">
        <f t="shared" si="29"/>
        <v>1</v>
      </c>
      <c r="AN164" s="7" t="str">
        <f t="shared" si="25"/>
        <v>Wood</v>
      </c>
      <c r="AO164" s="7" t="b">
        <f>C164=GenExp!C164</f>
        <v>1</v>
      </c>
    </row>
    <row r="165" spans="1:41">
      <c r="A165" s="12" t="s">
        <v>712</v>
      </c>
      <c r="B165" s="12"/>
      <c r="C165" s="12" t="s">
        <v>57</v>
      </c>
      <c r="D165" s="12"/>
      <c r="E165" s="12">
        <v>43935</v>
      </c>
      <c r="G165" s="7">
        <f>10463177+13970106</f>
        <v>24433283</v>
      </c>
      <c r="I165" s="7">
        <v>1256104</v>
      </c>
      <c r="K165" s="2">
        <f t="shared" si="32"/>
        <v>26511000</v>
      </c>
      <c r="M165" s="7">
        <v>52200387</v>
      </c>
      <c r="O165" s="2">
        <f t="shared" si="33"/>
        <v>1977507</v>
      </c>
      <c r="Q165" s="7">
        <f>6473865+17553206</f>
        <v>24027071</v>
      </c>
      <c r="S165" s="7">
        <v>26004578</v>
      </c>
      <c r="U165" s="7">
        <v>158341</v>
      </c>
      <c r="W165" s="7">
        <v>15039426</v>
      </c>
      <c r="Y165" s="7">
        <v>0</v>
      </c>
      <c r="AA165" s="7">
        <v>1952610</v>
      </c>
      <c r="AC165" s="7">
        <v>9045432</v>
      </c>
      <c r="AE165" s="13">
        <f t="shared" si="26"/>
        <v>26195809</v>
      </c>
      <c r="AG165" s="7">
        <f t="shared" si="27"/>
        <v>0</v>
      </c>
      <c r="AI165" s="7" t="s">
        <v>846</v>
      </c>
      <c r="AK165" s="7" t="str">
        <f t="shared" si="28"/>
        <v>Eaton Community SD</v>
      </c>
      <c r="AL165" s="7" t="str">
        <f>GenExp!A165</f>
        <v>Eaton Community SD</v>
      </c>
      <c r="AM165" s="7" t="b">
        <f t="shared" si="29"/>
        <v>1</v>
      </c>
      <c r="AN165" s="7" t="str">
        <f t="shared" si="25"/>
        <v>Preble</v>
      </c>
      <c r="AO165" s="7" t="b">
        <f>C165=GenExp!C165</f>
        <v>1</v>
      </c>
    </row>
    <row r="166" spans="1:41" hidden="1">
      <c r="A166" s="12" t="s">
        <v>693</v>
      </c>
      <c r="B166" s="12"/>
      <c r="C166" s="12" t="s">
        <v>570</v>
      </c>
      <c r="D166" s="12"/>
      <c r="E166" s="12">
        <v>50617</v>
      </c>
      <c r="K166" s="2">
        <f t="shared" si="32"/>
        <v>0</v>
      </c>
      <c r="O166" s="2">
        <f t="shared" si="33"/>
        <v>0</v>
      </c>
      <c r="AE166" s="13">
        <f t="shared" si="26"/>
        <v>0</v>
      </c>
      <c r="AG166" s="7">
        <f t="shared" si="27"/>
        <v>0</v>
      </c>
      <c r="AI166" s="7" t="s">
        <v>839</v>
      </c>
      <c r="AK166" s="7" t="str">
        <f t="shared" si="28"/>
        <v>Edgerton Local SD (CASH)</v>
      </c>
      <c r="AL166" s="7" t="str">
        <f>GenExp!A166</f>
        <v>Edgerton Local SD (CASH)</v>
      </c>
      <c r="AM166" s="7" t="b">
        <f t="shared" si="29"/>
        <v>1</v>
      </c>
      <c r="AN166" s="7" t="str">
        <f t="shared" si="25"/>
        <v>Williams</v>
      </c>
      <c r="AO166" s="7" t="b">
        <f>C166=GenExp!C166</f>
        <v>1</v>
      </c>
    </row>
    <row r="167" spans="1:41">
      <c r="A167" s="12" t="s">
        <v>694</v>
      </c>
      <c r="B167" s="12"/>
      <c r="C167" s="12" t="s">
        <v>223</v>
      </c>
      <c r="D167" s="12"/>
      <c r="E167" s="12">
        <v>46094</v>
      </c>
      <c r="G167" s="7">
        <f>18216150+14246735</f>
        <v>32462885</v>
      </c>
      <c r="I167" s="7">
        <v>0</v>
      </c>
      <c r="K167" s="2">
        <f t="shared" si="32"/>
        <v>18249033</v>
      </c>
      <c r="M167" s="7">
        <v>50711918</v>
      </c>
      <c r="O167" s="2">
        <f t="shared" si="33"/>
        <v>6853287</v>
      </c>
      <c r="Q167" s="7">
        <f>3565138+13688750</f>
        <v>17253888</v>
      </c>
      <c r="S167" s="7">
        <v>24107175</v>
      </c>
      <c r="U167" s="7">
        <f>24194+674</f>
        <v>24868</v>
      </c>
      <c r="W167" s="7">
        <f>3744230+21370533+49482+93210+88384</f>
        <v>25345839</v>
      </c>
      <c r="Y167" s="7">
        <v>1271213</v>
      </c>
      <c r="AA167" s="7">
        <f>517+85082+13597+3830</f>
        <v>103026</v>
      </c>
      <c r="AC167" s="7">
        <v>-140203</v>
      </c>
      <c r="AE167" s="13">
        <f t="shared" si="26"/>
        <v>26604743</v>
      </c>
      <c r="AG167" s="7">
        <f t="shared" si="27"/>
        <v>0</v>
      </c>
      <c r="AK167" s="7" t="str">
        <f t="shared" si="28"/>
        <v xml:space="preserve">Edgewood City SD </v>
      </c>
      <c r="AL167" s="7" t="str">
        <f>GenExp!A167</f>
        <v xml:space="preserve">Edgewood City SD </v>
      </c>
      <c r="AM167" s="7" t="b">
        <f t="shared" si="29"/>
        <v>1</v>
      </c>
      <c r="AN167" s="7" t="str">
        <f t="shared" si="25"/>
        <v>Butler</v>
      </c>
      <c r="AO167" s="7" t="b">
        <f>C167=GenExp!C167</f>
        <v>1</v>
      </c>
    </row>
    <row r="168" spans="1:41">
      <c r="A168" s="12" t="s">
        <v>372</v>
      </c>
      <c r="B168" s="12"/>
      <c r="C168" s="12" t="s">
        <v>39</v>
      </c>
      <c r="D168" s="12"/>
      <c r="E168" s="12">
        <v>47795</v>
      </c>
      <c r="G168" s="7">
        <v>1663885</v>
      </c>
      <c r="I168" s="7">
        <v>15362</v>
      </c>
      <c r="K168" s="2">
        <f t="shared" si="32"/>
        <v>8486219</v>
      </c>
      <c r="M168" s="7">
        <v>10165466</v>
      </c>
      <c r="O168" s="2">
        <f t="shared" si="33"/>
        <v>2253800</v>
      </c>
      <c r="Q168" s="7">
        <f>7003693+636524</f>
        <v>7640217</v>
      </c>
      <c r="S168" s="7">
        <v>9894017</v>
      </c>
      <c r="U168" s="7">
        <f>20066+97686</f>
        <v>117752</v>
      </c>
      <c r="W168" s="7">
        <f>229+4989+12250+22653+49776+15362</f>
        <v>105259</v>
      </c>
      <c r="Y168" s="7">
        <v>76825</v>
      </c>
      <c r="AA168" s="7">
        <f>15397+191474+5740+935</f>
        <v>213546</v>
      </c>
      <c r="AC168" s="7">
        <v>-241933</v>
      </c>
      <c r="AE168" s="13">
        <f t="shared" si="26"/>
        <v>271449</v>
      </c>
      <c r="AG168" s="7">
        <f t="shared" si="27"/>
        <v>0</v>
      </c>
      <c r="AK168" s="7" t="str">
        <f t="shared" si="28"/>
        <v>Edison Local SD</v>
      </c>
      <c r="AL168" s="7" t="str">
        <f>GenExp!A168</f>
        <v>Edison Local SD</v>
      </c>
      <c r="AM168" s="7" t="b">
        <f t="shared" si="29"/>
        <v>1</v>
      </c>
      <c r="AN168" s="7" t="str">
        <f t="shared" si="25"/>
        <v>Jefferson</v>
      </c>
      <c r="AO168" s="7" t="b">
        <f>C168=GenExp!C168</f>
        <v>1</v>
      </c>
    </row>
    <row r="169" spans="1:41" hidden="1">
      <c r="A169" s="12" t="s">
        <v>847</v>
      </c>
      <c r="B169" s="12"/>
      <c r="C169" s="12" t="s">
        <v>570</v>
      </c>
      <c r="D169" s="12"/>
      <c r="E169" s="12">
        <v>50625</v>
      </c>
      <c r="K169" s="2">
        <f t="shared" si="32"/>
        <v>0</v>
      </c>
      <c r="O169" s="2">
        <f t="shared" si="33"/>
        <v>0</v>
      </c>
      <c r="AE169" s="13">
        <f t="shared" si="26"/>
        <v>0</v>
      </c>
      <c r="AG169" s="7">
        <f t="shared" si="27"/>
        <v>0</v>
      </c>
      <c r="AI169" s="7" t="s">
        <v>837</v>
      </c>
      <c r="AK169" s="7" t="str">
        <f t="shared" si="28"/>
        <v>Edon-Northwest Local SD (CASH)</v>
      </c>
      <c r="AL169" s="7" t="str">
        <f>GenExp!A169</f>
        <v>Edon-Northwest Local SD (CASH)</v>
      </c>
      <c r="AM169" s="7" t="b">
        <f t="shared" si="29"/>
        <v>1</v>
      </c>
      <c r="AN169" s="7" t="str">
        <f t="shared" si="25"/>
        <v>Williams</v>
      </c>
      <c r="AO169" s="7" t="b">
        <f>C169=GenExp!C169</f>
        <v>1</v>
      </c>
    </row>
    <row r="170" spans="1:41" hidden="1">
      <c r="A170" s="12" t="s">
        <v>695</v>
      </c>
      <c r="B170" s="12"/>
      <c r="C170" s="12" t="s">
        <v>10</v>
      </c>
      <c r="D170" s="12"/>
      <c r="E170" s="12"/>
      <c r="K170" s="2">
        <f t="shared" si="32"/>
        <v>0</v>
      </c>
      <c r="O170" s="2">
        <f t="shared" si="33"/>
        <v>0</v>
      </c>
      <c r="AE170" s="13">
        <f t="shared" si="26"/>
        <v>0</v>
      </c>
      <c r="AG170" s="7">
        <f t="shared" si="27"/>
        <v>0</v>
      </c>
      <c r="AI170" s="7" t="s">
        <v>839</v>
      </c>
      <c r="AK170" s="7" t="str">
        <f t="shared" si="28"/>
        <v>Elida Local SD (CASH)</v>
      </c>
      <c r="AL170" s="7" t="str">
        <f>GenExp!A170</f>
        <v>Elida Local SD (CASH)</v>
      </c>
      <c r="AM170" s="7" t="b">
        <f t="shared" si="29"/>
        <v>1</v>
      </c>
      <c r="AN170" s="7" t="str">
        <f t="shared" si="25"/>
        <v>Allen</v>
      </c>
      <c r="AO170" s="7" t="b">
        <f>C170=GenExp!C170</f>
        <v>1</v>
      </c>
    </row>
    <row r="171" spans="1:41">
      <c r="A171" s="12" t="s">
        <v>713</v>
      </c>
      <c r="B171" s="12"/>
      <c r="C171" s="12" t="s">
        <v>46</v>
      </c>
      <c r="D171" s="12"/>
      <c r="E171" s="12">
        <v>48413</v>
      </c>
      <c r="G171" s="7">
        <f>23123436+260</f>
        <v>23123696</v>
      </c>
      <c r="I171" s="7">
        <v>212044</v>
      </c>
      <c r="K171" s="2">
        <f t="shared" ref="K171" si="34">M171-G171-I171</f>
        <v>20916662</v>
      </c>
      <c r="M171" s="7">
        <v>44252402</v>
      </c>
      <c r="O171" s="2">
        <f t="shared" ref="O171" si="35">S171-Q171</f>
        <v>1487114</v>
      </c>
      <c r="Q171" s="7">
        <v>18941757</v>
      </c>
      <c r="S171" s="7">
        <v>20428871</v>
      </c>
      <c r="U171" s="7">
        <v>78637</v>
      </c>
      <c r="W171" s="7">
        <v>20621146</v>
      </c>
      <c r="Y171" s="7">
        <v>76925</v>
      </c>
      <c r="AA171" s="7">
        <v>154963</v>
      </c>
      <c r="AC171" s="7">
        <v>2891860</v>
      </c>
      <c r="AE171" s="13">
        <f t="shared" si="26"/>
        <v>23823531</v>
      </c>
      <c r="AG171" s="7">
        <f t="shared" si="27"/>
        <v>0</v>
      </c>
      <c r="AK171" s="7" t="str">
        <f t="shared" ref="AK171" si="36">A171</f>
        <v xml:space="preserve">Elgin Local SD </v>
      </c>
      <c r="AL171" s="7" t="str">
        <f>GenExp!A171</f>
        <v xml:space="preserve">Elgin Local SD </v>
      </c>
      <c r="AM171" s="7" t="b">
        <f t="shared" ref="AM171" si="37">AK171=AL171</f>
        <v>1</v>
      </c>
      <c r="AN171" s="7" t="str">
        <f t="shared" si="25"/>
        <v>Marion</v>
      </c>
      <c r="AO171" s="7" t="b">
        <f>C171=GenExp!C171</f>
        <v>1</v>
      </c>
    </row>
    <row r="172" spans="1:41" hidden="1">
      <c r="A172" s="12" t="s">
        <v>728</v>
      </c>
      <c r="B172" s="12"/>
      <c r="C172" s="12" t="s">
        <v>72</v>
      </c>
      <c r="D172" s="12"/>
      <c r="E172" s="12"/>
      <c r="K172" s="2">
        <f t="shared" ref="K172" si="38">M172-G172-I172</f>
        <v>0</v>
      </c>
      <c r="O172" s="2">
        <f t="shared" ref="O172" si="39">S172-Q172</f>
        <v>0</v>
      </c>
      <c r="AE172" s="13">
        <f t="shared" si="26"/>
        <v>0</v>
      </c>
      <c r="AG172" s="7">
        <f t="shared" si="27"/>
        <v>0</v>
      </c>
      <c r="AI172" s="7" t="s">
        <v>839</v>
      </c>
      <c r="AK172" s="7" t="str">
        <f t="shared" si="28"/>
        <v>Elmwood Local SD (CASH)</v>
      </c>
      <c r="AL172" s="7" t="str">
        <f>GenExp!A172</f>
        <v>Elmwood Local SD (CASH)</v>
      </c>
      <c r="AM172" s="7" t="b">
        <f t="shared" si="29"/>
        <v>1</v>
      </c>
      <c r="AN172" s="7" t="str">
        <f t="shared" si="25"/>
        <v>Wood</v>
      </c>
      <c r="AO172" s="7" t="b">
        <f>C172=GenExp!C172</f>
        <v>1</v>
      </c>
    </row>
    <row r="173" spans="1:41">
      <c r="A173" s="12" t="s">
        <v>396</v>
      </c>
      <c r="B173" s="12"/>
      <c r="C173" s="12" t="s">
        <v>44</v>
      </c>
      <c r="D173" s="12"/>
      <c r="E173" s="12">
        <v>43943</v>
      </c>
      <c r="G173" s="7">
        <v>21666850</v>
      </c>
      <c r="I173" s="7">
        <v>687692</v>
      </c>
      <c r="K173" s="2">
        <f t="shared" si="32"/>
        <v>42034083</v>
      </c>
      <c r="M173" s="7">
        <v>64388625</v>
      </c>
      <c r="O173" s="2">
        <f t="shared" si="33"/>
        <v>16571750</v>
      </c>
      <c r="Q173" s="7">
        <v>33669381</v>
      </c>
      <c r="S173" s="7">
        <v>50241131</v>
      </c>
      <c r="U173" s="7">
        <v>5391</v>
      </c>
      <c r="W173" s="7">
        <v>11299931</v>
      </c>
      <c r="Y173" s="7">
        <v>0</v>
      </c>
      <c r="AA173" s="7">
        <v>1651309</v>
      </c>
      <c r="AC173" s="7">
        <v>1190863</v>
      </c>
      <c r="AE173" s="13">
        <f t="shared" si="26"/>
        <v>14147494</v>
      </c>
      <c r="AG173" s="7">
        <f t="shared" si="27"/>
        <v>0</v>
      </c>
      <c r="AK173" s="7" t="str">
        <f t="shared" si="28"/>
        <v>Elyria City SD</v>
      </c>
      <c r="AL173" s="7" t="str">
        <f>GenExp!A173</f>
        <v>Elyria City SD</v>
      </c>
      <c r="AM173" s="7" t="b">
        <f t="shared" si="29"/>
        <v>1</v>
      </c>
      <c r="AN173" s="7" t="str">
        <f t="shared" si="25"/>
        <v>Lorain</v>
      </c>
      <c r="AO173" s="7" t="b">
        <f>C173=GenExp!C173</f>
        <v>1</v>
      </c>
    </row>
    <row r="174" spans="1:41">
      <c r="A174" s="12" t="s">
        <v>273</v>
      </c>
      <c r="B174" s="12"/>
      <c r="C174" s="12" t="s">
        <v>20</v>
      </c>
      <c r="D174" s="12"/>
      <c r="E174" s="12">
        <v>43950</v>
      </c>
      <c r="G174" s="7">
        <f>24555816+27824161</f>
        <v>52379977</v>
      </c>
      <c r="I174" s="7">
        <v>1276135</v>
      </c>
      <c r="K174" s="2">
        <f t="shared" si="32"/>
        <v>67765032</v>
      </c>
      <c r="M174" s="7">
        <v>121421144</v>
      </c>
      <c r="O174" s="2">
        <f t="shared" si="33"/>
        <v>10971654</v>
      </c>
      <c r="Q174" s="7">
        <v>59539700</v>
      </c>
      <c r="S174" s="7">
        <v>70511354</v>
      </c>
      <c r="U174" s="7">
        <v>207933</v>
      </c>
      <c r="W174" s="7">
        <v>46655335</v>
      </c>
      <c r="Y174" s="7">
        <v>251227</v>
      </c>
      <c r="AA174" s="7">
        <v>1711906</v>
      </c>
      <c r="AC174" s="7">
        <v>2083389</v>
      </c>
      <c r="AE174" s="13">
        <f t="shared" si="26"/>
        <v>50909790</v>
      </c>
      <c r="AG174" s="7">
        <f t="shared" si="27"/>
        <v>0</v>
      </c>
      <c r="AK174" s="7" t="str">
        <f t="shared" si="28"/>
        <v>Euclid City SD</v>
      </c>
      <c r="AL174" s="7" t="str">
        <f>GenExp!A174</f>
        <v>Euclid City SD</v>
      </c>
      <c r="AM174" s="7" t="b">
        <f t="shared" si="29"/>
        <v>1</v>
      </c>
      <c r="AN174" s="7" t="str">
        <f t="shared" si="25"/>
        <v>Cuyahoga</v>
      </c>
      <c r="AO174" s="7" t="b">
        <f>C174=GenExp!C174</f>
        <v>1</v>
      </c>
    </row>
    <row r="175" spans="1:41" hidden="1">
      <c r="A175" s="12" t="s">
        <v>646</v>
      </c>
      <c r="B175" s="12"/>
      <c r="C175" s="12" t="s">
        <v>28</v>
      </c>
      <c r="D175" s="12"/>
      <c r="E175" s="12">
        <v>47050</v>
      </c>
      <c r="K175" s="2">
        <f t="shared" si="32"/>
        <v>0</v>
      </c>
      <c r="O175" s="2">
        <f t="shared" si="33"/>
        <v>0</v>
      </c>
      <c r="AE175" s="13">
        <f t="shared" si="26"/>
        <v>0</v>
      </c>
      <c r="AG175" s="7">
        <f t="shared" si="27"/>
        <v>0</v>
      </c>
      <c r="AI175" s="7" t="s">
        <v>839</v>
      </c>
      <c r="AK175" s="7" t="str">
        <f t="shared" si="28"/>
        <v>Evergreen Local SD (CASH)</v>
      </c>
      <c r="AL175" s="7" t="str">
        <f>GenExp!A175</f>
        <v>Evergreen Local SD (CASH)</v>
      </c>
      <c r="AM175" s="7" t="b">
        <f t="shared" si="29"/>
        <v>1</v>
      </c>
      <c r="AN175" s="7" t="str">
        <f t="shared" si="25"/>
        <v>Fulton</v>
      </c>
      <c r="AO175" s="7" t="b">
        <f>C175=GenExp!C175</f>
        <v>1</v>
      </c>
    </row>
    <row r="176" spans="1:41">
      <c r="A176" s="12" t="s">
        <v>555</v>
      </c>
      <c r="B176" s="12"/>
      <c r="C176" s="12" t="s">
        <v>66</v>
      </c>
      <c r="D176" s="12"/>
      <c r="E176" s="12">
        <v>50328</v>
      </c>
      <c r="G176" s="7">
        <v>2681887</v>
      </c>
      <c r="I176" s="7">
        <v>0</v>
      </c>
      <c r="K176" s="2">
        <f t="shared" si="32"/>
        <v>6504447</v>
      </c>
      <c r="M176" s="7">
        <v>9186334</v>
      </c>
      <c r="O176" s="2">
        <f t="shared" si="33"/>
        <v>1191059</v>
      </c>
      <c r="Q176" s="7">
        <f>411885+4627978</f>
        <v>5039863</v>
      </c>
      <c r="S176" s="7">
        <v>6230922</v>
      </c>
      <c r="U176" s="7">
        <f>4053+18672</f>
        <v>22725</v>
      </c>
      <c r="W176" s="7">
        <f>711870+253093+50505+25917+1861+24163</f>
        <v>1067409</v>
      </c>
      <c r="Y176" s="7">
        <v>0</v>
      </c>
      <c r="AA176" s="7">
        <f>8332+41746+18515</f>
        <v>68593</v>
      </c>
      <c r="AC176" s="7">
        <v>1796685</v>
      </c>
      <c r="AE176" s="13">
        <f t="shared" si="26"/>
        <v>2955412</v>
      </c>
      <c r="AG176" s="7">
        <f t="shared" si="27"/>
        <v>0</v>
      </c>
      <c r="AK176" s="7" t="str">
        <f t="shared" si="28"/>
        <v>Fairbanks Local SD</v>
      </c>
      <c r="AL176" s="7" t="str">
        <f>GenExp!A176</f>
        <v>Fairbanks Local SD</v>
      </c>
      <c r="AM176" s="7" t="b">
        <f t="shared" si="29"/>
        <v>1</v>
      </c>
      <c r="AN176" s="7" t="str">
        <f t="shared" si="25"/>
        <v>Union</v>
      </c>
      <c r="AO176" s="7" t="b">
        <f>C176=GenExp!C176</f>
        <v>1</v>
      </c>
    </row>
    <row r="177" spans="1:41">
      <c r="A177" s="12" t="s">
        <v>653</v>
      </c>
      <c r="B177" s="12"/>
      <c r="C177" s="12" t="s">
        <v>114</v>
      </c>
      <c r="D177" s="12"/>
      <c r="E177" s="12">
        <v>50328</v>
      </c>
      <c r="G177" s="7">
        <v>6476092</v>
      </c>
      <c r="I177" s="7">
        <v>1109875</v>
      </c>
      <c r="K177" s="2">
        <f t="shared" si="32"/>
        <v>20951622</v>
      </c>
      <c r="M177" s="7">
        <v>28537589</v>
      </c>
      <c r="O177" s="2">
        <f t="shared" si="33"/>
        <v>5965002</v>
      </c>
      <c r="Q177" s="7">
        <v>17237830</v>
      </c>
      <c r="S177" s="7">
        <v>23202832</v>
      </c>
      <c r="U177" s="7">
        <v>223676</v>
      </c>
      <c r="W177" s="7">
        <v>3816513</v>
      </c>
      <c r="Y177" s="7">
        <v>0</v>
      </c>
      <c r="AA177" s="7">
        <v>208250</v>
      </c>
      <c r="AC177" s="7">
        <v>1086318</v>
      </c>
      <c r="AE177" s="13">
        <f t="shared" si="26"/>
        <v>5334757</v>
      </c>
      <c r="AG177" s="7">
        <f t="shared" si="27"/>
        <v>0</v>
      </c>
      <c r="AK177" s="7" t="str">
        <f t="shared" si="28"/>
        <v>Fairborn City SD</v>
      </c>
      <c r="AL177" s="7" t="str">
        <f>GenExp!A177</f>
        <v>Fairborn City SD</v>
      </c>
      <c r="AM177" s="7" t="b">
        <f t="shared" si="29"/>
        <v>1</v>
      </c>
      <c r="AN177" s="7" t="str">
        <f t="shared" si="25"/>
        <v>Greene</v>
      </c>
      <c r="AO177" s="7" t="b">
        <f>C177=GenExp!C177</f>
        <v>1</v>
      </c>
    </row>
    <row r="178" spans="1:41">
      <c r="A178" s="12" t="s">
        <v>224</v>
      </c>
      <c r="B178" s="12"/>
      <c r="C178" s="12" t="s">
        <v>223</v>
      </c>
      <c r="D178" s="12"/>
      <c r="E178" s="12">
        <v>46102</v>
      </c>
      <c r="G178" s="7">
        <v>17441026</v>
      </c>
      <c r="I178" s="7">
        <v>203843</v>
      </c>
      <c r="K178" s="2">
        <f t="shared" si="32"/>
        <v>51244249</v>
      </c>
      <c r="M178" s="7">
        <v>68889118</v>
      </c>
      <c r="O178" s="2">
        <f t="shared" si="33"/>
        <v>12447342</v>
      </c>
      <c r="Q178" s="7">
        <v>49104132</v>
      </c>
      <c r="S178" s="7">
        <v>61551474</v>
      </c>
      <c r="U178" s="7">
        <v>0</v>
      </c>
      <c r="W178" s="7">
        <v>4990715</v>
      </c>
      <c r="Y178" s="7">
        <v>0</v>
      </c>
      <c r="AA178" s="7">
        <v>629719</v>
      </c>
      <c r="AC178" s="7">
        <v>1717210</v>
      </c>
      <c r="AE178" s="13">
        <f t="shared" si="26"/>
        <v>7337644</v>
      </c>
      <c r="AG178" s="7">
        <f t="shared" si="27"/>
        <v>0</v>
      </c>
      <c r="AK178" s="7" t="str">
        <f t="shared" si="28"/>
        <v>Fairfield City SD</v>
      </c>
      <c r="AL178" s="7" t="str">
        <f>GenExp!A178</f>
        <v>Fairfield City SD</v>
      </c>
      <c r="AM178" s="7" t="b">
        <f t="shared" si="29"/>
        <v>1</v>
      </c>
      <c r="AN178" s="7" t="str">
        <f t="shared" si="25"/>
        <v>Butler</v>
      </c>
      <c r="AO178" s="7" t="b">
        <f>C178=GenExp!C178</f>
        <v>1</v>
      </c>
    </row>
    <row r="179" spans="1:41">
      <c r="A179" s="12" t="s">
        <v>359</v>
      </c>
      <c r="B179" s="12"/>
      <c r="C179" s="12" t="s">
        <v>358</v>
      </c>
      <c r="D179" s="12"/>
      <c r="E179" s="12">
        <v>47621</v>
      </c>
      <c r="G179" s="7">
        <f>2951157+10000</f>
        <v>2961157</v>
      </c>
      <c r="I179" s="7">
        <v>0</v>
      </c>
      <c r="K179" s="2">
        <f t="shared" si="32"/>
        <v>1576394</v>
      </c>
      <c r="M179" s="7">
        <v>4537551</v>
      </c>
      <c r="O179" s="2">
        <f t="shared" si="33"/>
        <v>859296</v>
      </c>
      <c r="Q179" s="7">
        <v>1450845</v>
      </c>
      <c r="S179" s="7">
        <v>2310141</v>
      </c>
      <c r="U179" s="7">
        <v>25013</v>
      </c>
      <c r="W179" s="7">
        <v>998187</v>
      </c>
      <c r="Y179" s="7">
        <v>0</v>
      </c>
      <c r="AA179" s="7">
        <v>54591</v>
      </c>
      <c r="AC179" s="7">
        <v>1149619</v>
      </c>
      <c r="AE179" s="13">
        <f t="shared" si="26"/>
        <v>2227410</v>
      </c>
      <c r="AG179" s="7">
        <f t="shared" si="27"/>
        <v>0</v>
      </c>
      <c r="AK179" s="7" t="str">
        <f t="shared" si="28"/>
        <v>Fairfield Local SD</v>
      </c>
      <c r="AL179" s="7" t="str">
        <f>GenExp!A179</f>
        <v>Fairfield Local SD</v>
      </c>
      <c r="AM179" s="7" t="b">
        <f t="shared" si="29"/>
        <v>1</v>
      </c>
      <c r="AN179" s="7" t="str">
        <f t="shared" si="25"/>
        <v>Highland</v>
      </c>
      <c r="AO179" s="7" t="b">
        <f>C179=GenExp!C179</f>
        <v>1</v>
      </c>
    </row>
    <row r="180" spans="1:41">
      <c r="A180" s="12" t="s">
        <v>300</v>
      </c>
      <c r="B180" s="12"/>
      <c r="C180" s="12" t="s">
        <v>25</v>
      </c>
      <c r="D180" s="12"/>
      <c r="E180" s="12">
        <v>46870</v>
      </c>
      <c r="G180" s="7">
        <f>20108800+147206</f>
        <v>20256006</v>
      </c>
      <c r="I180" s="7">
        <v>0</v>
      </c>
      <c r="K180" s="2">
        <f t="shared" si="32"/>
        <v>7666398</v>
      </c>
      <c r="M180" s="7">
        <v>27922404</v>
      </c>
      <c r="O180" s="2">
        <f t="shared" si="33"/>
        <v>3163377</v>
      </c>
      <c r="Q180" s="7">
        <f>4120715+1138558</f>
        <v>5259273</v>
      </c>
      <c r="S180" s="7">
        <v>8422650</v>
      </c>
      <c r="U180" s="7">
        <v>99623</v>
      </c>
      <c r="W180" s="7">
        <f>2300504+6780888+673551+436686+282+209827+8402</f>
        <v>10410140</v>
      </c>
      <c r="Y180" s="7">
        <f>4434646+14981</f>
        <v>4449627</v>
      </c>
      <c r="AA180" s="7">
        <f>22935+162473+1010</f>
        <v>186418</v>
      </c>
      <c r="AC180" s="7">
        <v>4353946</v>
      </c>
      <c r="AE180" s="13">
        <f t="shared" si="26"/>
        <v>19499754</v>
      </c>
      <c r="AG180" s="7">
        <f t="shared" si="27"/>
        <v>0</v>
      </c>
      <c r="AK180" s="7" t="str">
        <f t="shared" si="28"/>
        <v>Fairfield Union Local SD</v>
      </c>
      <c r="AL180" s="7" t="str">
        <f>GenExp!A180</f>
        <v>Fairfield Union Local SD</v>
      </c>
      <c r="AM180" s="7" t="b">
        <f t="shared" si="29"/>
        <v>1</v>
      </c>
      <c r="AN180" s="7" t="str">
        <f t="shared" si="25"/>
        <v>Fairfield</v>
      </c>
      <c r="AO180" s="7" t="b">
        <f>C180=GenExp!C180</f>
        <v>1</v>
      </c>
    </row>
    <row r="181" spans="1:41" s="32" customFormat="1">
      <c r="A181" s="31" t="s">
        <v>379</v>
      </c>
      <c r="B181" s="31"/>
      <c r="C181" s="31" t="s">
        <v>377</v>
      </c>
      <c r="D181" s="31"/>
      <c r="E181" s="31">
        <v>47936</v>
      </c>
      <c r="G181" s="32">
        <v>6688904</v>
      </c>
      <c r="I181" s="32">
        <v>320775</v>
      </c>
      <c r="K181" s="34">
        <f t="shared" si="32"/>
        <v>4185657</v>
      </c>
      <c r="M181" s="32">
        <v>11195336</v>
      </c>
      <c r="O181" s="34">
        <f t="shared" si="33"/>
        <v>2104571</v>
      </c>
      <c r="Q181" s="32">
        <v>3554585</v>
      </c>
      <c r="S181" s="32">
        <v>5659156</v>
      </c>
      <c r="U181" s="32">
        <v>0</v>
      </c>
      <c r="W181" s="32">
        <f>632337+5544+277315+79259+1205933+56369</f>
        <v>2256757</v>
      </c>
      <c r="Y181" s="32">
        <v>49341</v>
      </c>
      <c r="AA181" s="32">
        <f>28497+115017</f>
        <v>143514</v>
      </c>
      <c r="AC181" s="32">
        <v>3086568</v>
      </c>
      <c r="AE181" s="45">
        <f t="shared" si="26"/>
        <v>5536180</v>
      </c>
      <c r="AG181" s="32">
        <f t="shared" si="27"/>
        <v>0</v>
      </c>
      <c r="AK181" s="32" t="str">
        <f t="shared" si="28"/>
        <v>Fairland Local SD</v>
      </c>
      <c r="AL181" s="32" t="str">
        <f>GenExp!A181</f>
        <v>Fairland Local SD</v>
      </c>
      <c r="AM181" s="32" t="b">
        <f t="shared" si="29"/>
        <v>1</v>
      </c>
      <c r="AN181" s="32" t="str">
        <f t="shared" si="25"/>
        <v>Lawrence</v>
      </c>
      <c r="AO181" s="32" t="b">
        <f>C181=GenExp!C181</f>
        <v>1</v>
      </c>
    </row>
    <row r="182" spans="1:41" hidden="1">
      <c r="A182" s="12" t="s">
        <v>647</v>
      </c>
      <c r="B182" s="12"/>
      <c r="C182" s="12" t="s">
        <v>61</v>
      </c>
      <c r="D182" s="12"/>
      <c r="E182" s="12">
        <v>49775</v>
      </c>
      <c r="K182" s="2">
        <f t="shared" si="32"/>
        <v>0</v>
      </c>
      <c r="O182" s="2">
        <f t="shared" si="33"/>
        <v>0</v>
      </c>
      <c r="AE182" s="13">
        <f t="shared" si="26"/>
        <v>0</v>
      </c>
      <c r="AG182" s="7">
        <f t="shared" si="27"/>
        <v>0</v>
      </c>
      <c r="AI182" s="7" t="s">
        <v>839</v>
      </c>
      <c r="AK182" s="7" t="str">
        <f t="shared" si="28"/>
        <v>Fairlawn Local SD (CASH)</v>
      </c>
      <c r="AL182" s="7" t="str">
        <f>GenExp!A182</f>
        <v>Fairlawn Local SD (CASH)</v>
      </c>
      <c r="AM182" s="7" t="b">
        <f t="shared" si="29"/>
        <v>1</v>
      </c>
      <c r="AN182" s="7" t="str">
        <f t="shared" si="25"/>
        <v>Shelby</v>
      </c>
      <c r="AO182" s="7" t="b">
        <f>C182=GenExp!C182</f>
        <v>1</v>
      </c>
    </row>
    <row r="183" spans="1:41">
      <c r="A183" s="12" t="s">
        <v>511</v>
      </c>
      <c r="B183" s="12"/>
      <c r="C183" s="12" t="s">
        <v>62</v>
      </c>
      <c r="D183" s="12"/>
      <c r="E183" s="12">
        <v>49841</v>
      </c>
      <c r="G183" s="7">
        <v>5150977</v>
      </c>
      <c r="I183" s="7">
        <v>120642</v>
      </c>
      <c r="K183" s="2">
        <f t="shared" si="32"/>
        <v>6316804</v>
      </c>
      <c r="M183" s="7">
        <v>11588423</v>
      </c>
      <c r="O183" s="2">
        <f t="shared" si="33"/>
        <v>2056360</v>
      </c>
      <c r="Q183" s="7">
        <f>4810168+417309</f>
        <v>5227477</v>
      </c>
      <c r="S183" s="7">
        <v>7283837</v>
      </c>
      <c r="U183" s="7">
        <f>40946+8438</f>
        <v>49384</v>
      </c>
      <c r="W183" s="7">
        <f>744078+185890+615956+2195+27392+120642+3834</f>
        <v>1699987</v>
      </c>
      <c r="Y183" s="7">
        <v>0</v>
      </c>
      <c r="AA183" s="7">
        <f>173568+82813</f>
        <v>256381</v>
      </c>
      <c r="AC183" s="7">
        <v>2298834</v>
      </c>
      <c r="AE183" s="13">
        <f t="shared" si="26"/>
        <v>4304586</v>
      </c>
      <c r="AG183" s="7">
        <f t="shared" si="27"/>
        <v>0</v>
      </c>
      <c r="AK183" s="7" t="str">
        <f t="shared" si="28"/>
        <v>Fairless Local SD</v>
      </c>
      <c r="AL183" s="7" t="str">
        <f>GenExp!A183</f>
        <v>Fairless Local SD</v>
      </c>
      <c r="AM183" s="7" t="b">
        <f t="shared" si="29"/>
        <v>1</v>
      </c>
      <c r="AN183" s="7" t="str">
        <f t="shared" si="25"/>
        <v>Stark</v>
      </c>
      <c r="AO183" s="7" t="b">
        <f>C183=GenExp!C183</f>
        <v>1</v>
      </c>
    </row>
    <row r="184" spans="1:41" hidden="1">
      <c r="A184" s="12" t="s">
        <v>711</v>
      </c>
      <c r="B184" s="12"/>
      <c r="C184" s="12" t="s">
        <v>41</v>
      </c>
      <c r="D184" s="12"/>
      <c r="E184" s="12">
        <v>45369</v>
      </c>
      <c r="K184" s="2">
        <f t="shared" si="32"/>
        <v>0</v>
      </c>
      <c r="O184" s="2">
        <f t="shared" si="33"/>
        <v>0</v>
      </c>
      <c r="AE184" s="13">
        <f t="shared" si="26"/>
        <v>0</v>
      </c>
      <c r="AG184" s="7">
        <f t="shared" si="27"/>
        <v>0</v>
      </c>
      <c r="AI184" s="7" t="s">
        <v>848</v>
      </c>
      <c r="AK184" s="7" t="str">
        <f t="shared" si="28"/>
        <v>Fairport Harbor Ex Vill SD - Two Year Audit</v>
      </c>
      <c r="AL184" s="7" t="str">
        <f>GenExp!A184</f>
        <v>Fairport Harbor Ex Vill SD - Two Year Audit</v>
      </c>
      <c r="AM184" s="7" t="b">
        <f t="shared" si="29"/>
        <v>1</v>
      </c>
      <c r="AN184" s="7" t="str">
        <f t="shared" si="25"/>
        <v>Lake</v>
      </c>
      <c r="AO184" s="7" t="b">
        <f>C184=GenExp!C184</f>
        <v>1</v>
      </c>
    </row>
    <row r="185" spans="1:41">
      <c r="A185" s="12" t="s">
        <v>274</v>
      </c>
      <c r="B185" s="12"/>
      <c r="C185" s="12" t="s">
        <v>20</v>
      </c>
      <c r="D185" s="12"/>
      <c r="E185" s="12">
        <v>43976</v>
      </c>
      <c r="G185" s="7">
        <v>15339096</v>
      </c>
      <c r="I185" s="7">
        <v>0</v>
      </c>
      <c r="K185" s="2">
        <f t="shared" si="32"/>
        <v>18984421</v>
      </c>
      <c r="M185" s="7">
        <v>34323517</v>
      </c>
      <c r="O185" s="2">
        <f t="shared" si="33"/>
        <v>2384336</v>
      </c>
      <c r="Q185" s="7">
        <f>15598352+371182</f>
        <v>15969534</v>
      </c>
      <c r="S185" s="7">
        <v>18353870</v>
      </c>
      <c r="U185" s="7">
        <v>0</v>
      </c>
      <c r="W185" s="7">
        <f>2457586+95693+36714+2924+1475+19542+38907</f>
        <v>2652841</v>
      </c>
      <c r="Y185" s="7">
        <f>299333+178302</f>
        <v>477635</v>
      </c>
      <c r="AA185" s="7">
        <f>107162+117030+47120+47149+7989</f>
        <v>326450</v>
      </c>
      <c r="AC185" s="7">
        <v>12512721</v>
      </c>
      <c r="AE185" s="13">
        <f t="shared" si="26"/>
        <v>15969647</v>
      </c>
      <c r="AG185" s="7">
        <f t="shared" si="27"/>
        <v>0</v>
      </c>
      <c r="AK185" s="7" t="str">
        <f t="shared" si="28"/>
        <v>Fairview Park City SD</v>
      </c>
      <c r="AL185" s="7" t="str">
        <f>GenExp!A185</f>
        <v>Fairview Park City SD</v>
      </c>
      <c r="AM185" s="7" t="b">
        <f t="shared" si="29"/>
        <v>1</v>
      </c>
      <c r="AN185" s="7" t="str">
        <f t="shared" si="25"/>
        <v>Cuyahoga</v>
      </c>
      <c r="AO185" s="7" t="b">
        <f>C185=GenExp!C185</f>
        <v>1</v>
      </c>
    </row>
    <row r="186" spans="1:41" hidden="1">
      <c r="A186" s="12" t="s">
        <v>849</v>
      </c>
      <c r="B186" s="12"/>
      <c r="C186" s="12" t="s">
        <v>28</v>
      </c>
      <c r="D186" s="12"/>
      <c r="E186" s="12">
        <v>47068</v>
      </c>
      <c r="K186" s="2">
        <f t="shared" si="32"/>
        <v>0</v>
      </c>
      <c r="O186" s="2">
        <f t="shared" si="33"/>
        <v>0</v>
      </c>
      <c r="AE186" s="13">
        <f t="shared" si="26"/>
        <v>0</v>
      </c>
      <c r="AG186" s="7">
        <f t="shared" si="27"/>
        <v>0</v>
      </c>
      <c r="AI186" s="7" t="s">
        <v>837</v>
      </c>
      <c r="AK186" s="7" t="str">
        <f t="shared" si="28"/>
        <v>Fayette Local SD (CASH)</v>
      </c>
      <c r="AL186" s="7" t="str">
        <f>GenExp!A186</f>
        <v>Fayette Local SD (CASH)</v>
      </c>
      <c r="AM186" s="7" t="b">
        <f t="shared" si="29"/>
        <v>1</v>
      </c>
      <c r="AN186" s="7" t="str">
        <f t="shared" si="25"/>
        <v>Fulton</v>
      </c>
      <c r="AO186" s="7" t="b">
        <f>C186=GenExp!C186</f>
        <v>1</v>
      </c>
    </row>
    <row r="187" spans="1:41">
      <c r="A187" s="12" t="s">
        <v>221</v>
      </c>
      <c r="B187" s="12"/>
      <c r="C187" s="12" t="s">
        <v>77</v>
      </c>
      <c r="D187" s="12"/>
      <c r="E187" s="12">
        <v>46045</v>
      </c>
      <c r="G187" s="7">
        <v>3548078</v>
      </c>
      <c r="I187" s="7">
        <v>0</v>
      </c>
      <c r="K187" s="2">
        <f t="shared" si="32"/>
        <v>2790041</v>
      </c>
      <c r="M187" s="7">
        <v>6338119</v>
      </c>
      <c r="O187" s="2">
        <f t="shared" si="33"/>
        <v>890251</v>
      </c>
      <c r="Q187" s="7">
        <v>1983458</v>
      </c>
      <c r="S187" s="7">
        <v>2873709</v>
      </c>
      <c r="U187" s="7">
        <v>13995</v>
      </c>
      <c r="W187" s="7">
        <v>2654385</v>
      </c>
      <c r="Y187" s="7">
        <v>0</v>
      </c>
      <c r="AA187" s="7">
        <v>149963</v>
      </c>
      <c r="AC187" s="7">
        <v>646067</v>
      </c>
      <c r="AE187" s="13">
        <f t="shared" si="26"/>
        <v>3464410</v>
      </c>
      <c r="AG187" s="7">
        <f t="shared" si="27"/>
        <v>0</v>
      </c>
      <c r="AI187" s="7" t="s">
        <v>850</v>
      </c>
      <c r="AK187" s="7" t="str">
        <f t="shared" si="28"/>
        <v>Fayetteville-Perry Local SD</v>
      </c>
      <c r="AL187" s="7" t="str">
        <f>GenExp!A187</f>
        <v>Fayetteville-Perry Local SD</v>
      </c>
      <c r="AM187" s="7" t="b">
        <f t="shared" si="29"/>
        <v>1</v>
      </c>
      <c r="AN187" s="7" t="str">
        <f t="shared" si="25"/>
        <v>Brown</v>
      </c>
      <c r="AO187" s="7" t="b">
        <f>C187=GenExp!C187</f>
        <v>1</v>
      </c>
    </row>
    <row r="188" spans="1:41">
      <c r="A188" s="12" t="s">
        <v>841</v>
      </c>
      <c r="B188" s="12"/>
      <c r="C188" s="12" t="s">
        <v>13</v>
      </c>
      <c r="D188" s="12"/>
      <c r="E188" s="12"/>
      <c r="G188" s="7">
        <f>3947090+207</f>
        <v>3947297</v>
      </c>
      <c r="I188" s="7">
        <v>923</v>
      </c>
      <c r="K188" s="2">
        <f t="shared" si="32"/>
        <v>3963211</v>
      </c>
      <c r="M188" s="7">
        <v>7911431</v>
      </c>
      <c r="O188" s="2">
        <f t="shared" si="33"/>
        <v>1686928</v>
      </c>
      <c r="Q188" s="7">
        <v>3369237</v>
      </c>
      <c r="S188" s="7">
        <v>5056165</v>
      </c>
      <c r="U188" s="7">
        <v>45036</v>
      </c>
      <c r="W188" s="7">
        <v>1080990</v>
      </c>
      <c r="Y188" s="7">
        <v>42350</v>
      </c>
      <c r="AA188" s="7">
        <v>165679</v>
      </c>
      <c r="AC188" s="7">
        <v>1521211</v>
      </c>
      <c r="AE188" s="13">
        <f t="shared" si="26"/>
        <v>2855266</v>
      </c>
      <c r="AG188" s="7">
        <f t="shared" si="27"/>
        <v>0</v>
      </c>
      <c r="AK188" s="7" t="str">
        <f t="shared" si="28"/>
        <v>Federal Hocking Local SD</v>
      </c>
      <c r="AL188" s="7" t="str">
        <f>GenExp!A188</f>
        <v>Federal Hocking Local SD</v>
      </c>
      <c r="AM188" s="7" t="b">
        <f t="shared" si="29"/>
        <v>1</v>
      </c>
      <c r="AN188" s="7" t="str">
        <f t="shared" si="25"/>
        <v>Athens</v>
      </c>
      <c r="AO188" s="7" t="b">
        <f>C188=GenExp!C188</f>
        <v>1</v>
      </c>
    </row>
    <row r="189" spans="1:41">
      <c r="A189" s="12" t="s">
        <v>244</v>
      </c>
      <c r="B189" s="12"/>
      <c r="C189" s="12" t="s">
        <v>113</v>
      </c>
      <c r="D189" s="12"/>
      <c r="E189" s="12">
        <v>46334</v>
      </c>
      <c r="G189" s="7">
        <v>2455383</v>
      </c>
      <c r="I189" s="7">
        <v>356754</v>
      </c>
      <c r="K189" s="2">
        <f t="shared" si="32"/>
        <v>2091730</v>
      </c>
      <c r="M189" s="7">
        <v>4903867</v>
      </c>
      <c r="O189" s="2">
        <f t="shared" si="33"/>
        <v>984169</v>
      </c>
      <c r="Q189" s="7">
        <v>1715831</v>
      </c>
      <c r="S189" s="7">
        <v>2700000</v>
      </c>
      <c r="U189" s="7">
        <v>40585</v>
      </c>
      <c r="W189" s="7">
        <v>1451293</v>
      </c>
      <c r="Y189" s="7">
        <v>0</v>
      </c>
      <c r="AA189" s="7">
        <v>786135</v>
      </c>
      <c r="AC189" s="7">
        <v>-74146</v>
      </c>
      <c r="AE189" s="13">
        <f t="shared" si="26"/>
        <v>2203867</v>
      </c>
      <c r="AG189" s="7">
        <f t="shared" si="27"/>
        <v>0</v>
      </c>
      <c r="AK189" s="7" t="str">
        <f t="shared" si="28"/>
        <v>Felicity-Franklin Local SD</v>
      </c>
      <c r="AL189" s="7" t="str">
        <f>GenExp!A189</f>
        <v>Felicity-Franklin Local SD</v>
      </c>
      <c r="AM189" s="7" t="b">
        <f t="shared" si="29"/>
        <v>1</v>
      </c>
      <c r="AN189" s="7" t="str">
        <f t="shared" si="25"/>
        <v>Clermont</v>
      </c>
      <c r="AO189" s="7" t="b">
        <f>C189=GenExp!C189</f>
        <v>1</v>
      </c>
    </row>
    <row r="190" spans="1:41">
      <c r="A190" s="12" t="s">
        <v>760</v>
      </c>
      <c r="B190" s="12"/>
      <c r="C190" s="12" t="s">
        <v>56</v>
      </c>
      <c r="D190" s="12"/>
      <c r="E190" s="12">
        <v>49197</v>
      </c>
      <c r="G190" s="7">
        <f>1644523+11715</f>
        <v>1656238</v>
      </c>
      <c r="I190" s="7">
        <v>538018</v>
      </c>
      <c r="K190" s="2">
        <f t="shared" si="32"/>
        <v>10734119</v>
      </c>
      <c r="M190" s="7">
        <v>12928375</v>
      </c>
      <c r="O190" s="2">
        <f t="shared" si="33"/>
        <v>2036794</v>
      </c>
      <c r="Q190" s="7">
        <v>9527412</v>
      </c>
      <c r="S190" s="7">
        <v>11564206</v>
      </c>
      <c r="U190" s="7">
        <v>0</v>
      </c>
      <c r="W190" s="7">
        <v>1717355</v>
      </c>
      <c r="Y190" s="7">
        <v>11000</v>
      </c>
      <c r="AA190" s="7">
        <v>0</v>
      </c>
      <c r="AC190" s="7">
        <v>-364186</v>
      </c>
      <c r="AE190" s="13">
        <f t="shared" si="26"/>
        <v>1364169</v>
      </c>
      <c r="AG190" s="7">
        <f t="shared" si="27"/>
        <v>0</v>
      </c>
      <c r="AI190" s="7" t="s">
        <v>850</v>
      </c>
      <c r="AK190" s="7" t="str">
        <f t="shared" si="28"/>
        <v xml:space="preserve">Field Local SD </v>
      </c>
      <c r="AL190" s="7" t="str">
        <f>GenExp!A190</f>
        <v xml:space="preserve">Field Local SD </v>
      </c>
      <c r="AM190" s="7" t="b">
        <f t="shared" si="29"/>
        <v>1</v>
      </c>
      <c r="AN190" s="7" t="str">
        <f t="shared" si="25"/>
        <v>Portage</v>
      </c>
      <c r="AO190" s="7" t="b">
        <f>C190=GenExp!C190</f>
        <v>1</v>
      </c>
    </row>
    <row r="191" spans="1:41">
      <c r="A191" s="12" t="s">
        <v>346</v>
      </c>
      <c r="B191" s="12"/>
      <c r="C191" s="12" t="s">
        <v>33</v>
      </c>
      <c r="D191" s="12"/>
      <c r="E191" s="12">
        <v>43984</v>
      </c>
      <c r="G191" s="7">
        <v>82983484</v>
      </c>
      <c r="I191" s="7">
        <v>64060</v>
      </c>
      <c r="K191" s="2">
        <f t="shared" si="32"/>
        <v>35685376</v>
      </c>
      <c r="M191" s="7">
        <v>118732920</v>
      </c>
      <c r="O191" s="2">
        <f t="shared" si="33"/>
        <v>7147392</v>
      </c>
      <c r="Q191" s="7">
        <f>6233630+26733564</f>
        <v>32967194</v>
      </c>
      <c r="S191" s="7">
        <v>40114586</v>
      </c>
      <c r="U191" s="7">
        <f>64060+112946+618000</f>
        <v>795006</v>
      </c>
      <c r="W191" s="7">
        <f>1246050+66927599+845443+296165+11755+71006+23225+720295+365239+90525</f>
        <v>70597302</v>
      </c>
      <c r="Y191" s="7">
        <v>200000</v>
      </c>
      <c r="AA191" s="7">
        <f>559853+776472+1313+17406+266459+343226</f>
        <v>1964729</v>
      </c>
      <c r="AC191" s="7">
        <v>5061297</v>
      </c>
      <c r="AE191" s="13">
        <f t="shared" si="26"/>
        <v>78618334</v>
      </c>
      <c r="AG191" s="7">
        <f t="shared" si="27"/>
        <v>0</v>
      </c>
      <c r="AK191" s="7" t="str">
        <f t="shared" si="28"/>
        <v>Findlay City SD</v>
      </c>
      <c r="AL191" s="7" t="str">
        <f>GenExp!A191</f>
        <v>Findlay City SD</v>
      </c>
      <c r="AM191" s="7" t="b">
        <f t="shared" si="29"/>
        <v>1</v>
      </c>
      <c r="AN191" s="7" t="str">
        <f t="shared" si="25"/>
        <v>Hancock</v>
      </c>
      <c r="AO191" s="7" t="b">
        <f>C191=GenExp!C191</f>
        <v>1</v>
      </c>
    </row>
    <row r="192" spans="1:41">
      <c r="A192" s="12" t="s">
        <v>330</v>
      </c>
      <c r="B192" s="12"/>
      <c r="C192" s="12" t="s">
        <v>32</v>
      </c>
      <c r="D192" s="12"/>
      <c r="E192" s="12">
        <v>47332</v>
      </c>
      <c r="G192" s="7">
        <v>3411851</v>
      </c>
      <c r="I192" s="7">
        <v>0</v>
      </c>
      <c r="K192" s="2">
        <f t="shared" si="32"/>
        <v>11957365</v>
      </c>
      <c r="M192" s="7">
        <v>15369216</v>
      </c>
      <c r="O192" s="2">
        <f t="shared" si="33"/>
        <v>3077105</v>
      </c>
      <c r="Q192" s="7">
        <v>7491903</v>
      </c>
      <c r="S192" s="7">
        <v>10569008</v>
      </c>
      <c r="U192" s="7">
        <v>0</v>
      </c>
      <c r="W192" s="7">
        <v>1587017</v>
      </c>
      <c r="Y192" s="7">
        <v>0</v>
      </c>
      <c r="AA192" s="7">
        <v>0</v>
      </c>
      <c r="AC192" s="7">
        <v>3213191</v>
      </c>
      <c r="AE192" s="13">
        <f t="shared" si="26"/>
        <v>4800208</v>
      </c>
      <c r="AG192" s="7">
        <f t="shared" si="27"/>
        <v>0</v>
      </c>
      <c r="AI192" s="7" t="s">
        <v>850</v>
      </c>
      <c r="AK192" s="7" t="str">
        <f t="shared" si="28"/>
        <v>Finneytown Local SD</v>
      </c>
      <c r="AL192" s="7" t="str">
        <f>GenExp!A192</f>
        <v>Finneytown Local SD</v>
      </c>
      <c r="AM192" s="7" t="b">
        <f t="shared" si="29"/>
        <v>1</v>
      </c>
      <c r="AN192" s="7" t="str">
        <f t="shared" si="25"/>
        <v>Hamilton</v>
      </c>
      <c r="AO192" s="7" t="b">
        <f>C192=GenExp!C192</f>
        <v>1</v>
      </c>
    </row>
    <row r="193" spans="1:41">
      <c r="A193" s="12" t="s">
        <v>397</v>
      </c>
      <c r="B193" s="12"/>
      <c r="C193" s="12" t="s">
        <v>44</v>
      </c>
      <c r="D193" s="12"/>
      <c r="E193" s="12">
        <v>48157</v>
      </c>
      <c r="G193" s="7">
        <v>3187833</v>
      </c>
      <c r="I193" s="7">
        <v>0</v>
      </c>
      <c r="K193" s="2">
        <f t="shared" si="32"/>
        <v>8186864</v>
      </c>
      <c r="M193" s="7">
        <v>11374697</v>
      </c>
      <c r="O193" s="2">
        <f t="shared" si="33"/>
        <v>2553536</v>
      </c>
      <c r="Q193" s="7">
        <f>560847+6742310</f>
        <v>7303157</v>
      </c>
      <c r="S193" s="7">
        <v>9856693</v>
      </c>
      <c r="U193" s="7">
        <f>23300+9939</f>
        <v>33239</v>
      </c>
      <c r="W193" s="7">
        <f>7386+34089+1887+879+18997+983</f>
        <v>64221</v>
      </c>
      <c r="Y193" s="7">
        <f>815740+119205+8386+28624</f>
        <v>971955</v>
      </c>
      <c r="AA193" s="7">
        <f>32602+75890+29</f>
        <v>108521</v>
      </c>
      <c r="AC193" s="7">
        <v>340068</v>
      </c>
      <c r="AE193" s="13">
        <f t="shared" si="26"/>
        <v>1518004</v>
      </c>
      <c r="AG193" s="7">
        <f t="shared" si="27"/>
        <v>0</v>
      </c>
      <c r="AK193" s="7" t="str">
        <f t="shared" si="28"/>
        <v>Firelands Local SD</v>
      </c>
      <c r="AL193" s="7" t="str">
        <f>GenExp!A193</f>
        <v>Firelands Local SD</v>
      </c>
      <c r="AM193" s="7" t="b">
        <f t="shared" si="29"/>
        <v>1</v>
      </c>
      <c r="AN193" s="7" t="str">
        <f t="shared" si="25"/>
        <v>Lorain</v>
      </c>
      <c r="AO193" s="7" t="b">
        <f>C193=GenExp!C193</f>
        <v>1</v>
      </c>
    </row>
    <row r="194" spans="1:41">
      <c r="A194" s="12" t="s">
        <v>331</v>
      </c>
      <c r="B194" s="12"/>
      <c r="C194" s="12" t="s">
        <v>32</v>
      </c>
      <c r="D194" s="12"/>
      <c r="E194" s="12">
        <v>47340</v>
      </c>
      <c r="G194" s="7">
        <v>18977118</v>
      </c>
      <c r="I194" s="7">
        <v>250638</v>
      </c>
      <c r="K194" s="2">
        <f t="shared" si="32"/>
        <v>47923133</v>
      </c>
      <c r="M194" s="7">
        <v>67150889</v>
      </c>
      <c r="O194" s="2">
        <f t="shared" si="33"/>
        <v>10028964</v>
      </c>
      <c r="Q194" s="7">
        <v>31258580</v>
      </c>
      <c r="S194" s="7">
        <v>41287544</v>
      </c>
      <c r="U194" s="7">
        <v>1033992</v>
      </c>
      <c r="W194" s="7">
        <v>5106176</v>
      </c>
      <c r="Y194" s="7">
        <v>1602093</v>
      </c>
      <c r="AA194" s="7">
        <v>445650</v>
      </c>
      <c r="AC194" s="7">
        <v>17675434</v>
      </c>
      <c r="AE194" s="13">
        <f t="shared" si="26"/>
        <v>25863345</v>
      </c>
      <c r="AG194" s="7">
        <f t="shared" si="27"/>
        <v>0</v>
      </c>
      <c r="AI194" s="7" t="s">
        <v>852</v>
      </c>
      <c r="AK194" s="7" t="str">
        <f t="shared" si="28"/>
        <v>Forest Hills Local SD</v>
      </c>
      <c r="AL194" s="7" t="str">
        <f>GenExp!A194</f>
        <v>Forest Hills Local SD</v>
      </c>
      <c r="AM194" s="7" t="b">
        <f t="shared" si="29"/>
        <v>1</v>
      </c>
      <c r="AN194" s="7" t="str">
        <f t="shared" si="25"/>
        <v>Hamilton</v>
      </c>
      <c r="AO194" s="7" t="b">
        <f>C194=GenExp!C194</f>
        <v>1</v>
      </c>
    </row>
    <row r="195" spans="1:41" hidden="1">
      <c r="A195" s="12" t="s">
        <v>642</v>
      </c>
      <c r="B195" s="12"/>
      <c r="C195" s="12" t="s">
        <v>70</v>
      </c>
      <c r="D195" s="12"/>
      <c r="E195" s="12">
        <v>50484</v>
      </c>
      <c r="K195" s="2">
        <f t="shared" si="32"/>
        <v>0</v>
      </c>
      <c r="O195" s="2">
        <f t="shared" si="33"/>
        <v>0</v>
      </c>
      <c r="AE195" s="13">
        <f t="shared" si="26"/>
        <v>0</v>
      </c>
      <c r="AG195" s="7">
        <f t="shared" si="27"/>
        <v>0</v>
      </c>
      <c r="AI195" s="7" t="s">
        <v>839</v>
      </c>
      <c r="AK195" s="7" t="str">
        <f t="shared" si="28"/>
        <v>Fort Frye Local SD (CASH)</v>
      </c>
      <c r="AL195" s="7" t="str">
        <f>GenExp!A195</f>
        <v>Fort Frye Local SD (CASH)</v>
      </c>
      <c r="AM195" s="7" t="b">
        <f t="shared" si="29"/>
        <v>1</v>
      </c>
      <c r="AN195" s="7" t="str">
        <f t="shared" si="25"/>
        <v>Washington</v>
      </c>
      <c r="AO195" s="7" t="b">
        <f>C195=GenExp!C195</f>
        <v>1</v>
      </c>
    </row>
    <row r="196" spans="1:41">
      <c r="A196" s="12" t="s">
        <v>505</v>
      </c>
      <c r="B196" s="12"/>
      <c r="C196" s="12" t="s">
        <v>61</v>
      </c>
      <c r="D196" s="12"/>
      <c r="E196" s="12">
        <v>49783</v>
      </c>
      <c r="G196" s="7">
        <v>4141216</v>
      </c>
      <c r="I196" s="7">
        <v>0</v>
      </c>
      <c r="K196" s="2">
        <f t="shared" si="32"/>
        <v>3235154</v>
      </c>
      <c r="M196" s="7">
        <v>7376370</v>
      </c>
      <c r="O196" s="2">
        <f t="shared" si="33"/>
        <v>1014515</v>
      </c>
      <c r="Q196" s="7">
        <v>2439050</v>
      </c>
      <c r="S196" s="7">
        <v>3453565</v>
      </c>
      <c r="U196" s="7">
        <v>55013</v>
      </c>
      <c r="W196" s="7">
        <v>1354240</v>
      </c>
      <c r="Y196" s="7">
        <v>0</v>
      </c>
      <c r="AA196" s="7">
        <v>58278</v>
      </c>
      <c r="AC196" s="7">
        <v>2455274</v>
      </c>
      <c r="AE196" s="13">
        <f t="shared" si="26"/>
        <v>3922805</v>
      </c>
      <c r="AG196" s="7">
        <f t="shared" si="27"/>
        <v>0</v>
      </c>
      <c r="AI196" s="7" t="s">
        <v>853</v>
      </c>
      <c r="AK196" s="7" t="str">
        <f t="shared" si="28"/>
        <v>Fort Loramie Local SD</v>
      </c>
      <c r="AL196" s="7" t="str">
        <f>GenExp!A196</f>
        <v>Fort Loramie Local SD</v>
      </c>
      <c r="AM196" s="7" t="b">
        <f t="shared" si="29"/>
        <v>1</v>
      </c>
      <c r="AN196" s="7" t="str">
        <f t="shared" si="25"/>
        <v>Shelby</v>
      </c>
      <c r="AO196" s="7" t="b">
        <f>C196=GenExp!C196</f>
        <v>1</v>
      </c>
    </row>
    <row r="197" spans="1:41" hidden="1">
      <c r="A197" s="12" t="s">
        <v>873</v>
      </c>
      <c r="B197" s="12"/>
      <c r="C197" s="12" t="s">
        <v>435</v>
      </c>
      <c r="D197" s="12"/>
      <c r="E197" s="12"/>
      <c r="K197" s="2">
        <f t="shared" si="32"/>
        <v>0</v>
      </c>
      <c r="O197" s="2">
        <f t="shared" si="33"/>
        <v>0</v>
      </c>
      <c r="AE197" s="13">
        <f t="shared" si="26"/>
        <v>0</v>
      </c>
      <c r="AG197" s="7">
        <f t="shared" si="27"/>
        <v>0</v>
      </c>
      <c r="AI197" s="7" t="s">
        <v>839</v>
      </c>
      <c r="AK197" s="7" t="str">
        <f t="shared" si="28"/>
        <v>Fort Recovery Local SD (CASH)</v>
      </c>
      <c r="AL197" s="7" t="str">
        <f>GenExp!A197</f>
        <v>Fort Recovery Local SD (CASH)</v>
      </c>
      <c r="AM197" s="7" t="b">
        <f t="shared" si="29"/>
        <v>1</v>
      </c>
      <c r="AN197" s="7" t="str">
        <f t="shared" si="25"/>
        <v>Mercer</v>
      </c>
      <c r="AO197" s="7" t="b">
        <f>C197=GenExp!C197</f>
        <v>1</v>
      </c>
    </row>
    <row r="198" spans="1:41" hidden="1">
      <c r="A198" s="12" t="s">
        <v>854</v>
      </c>
      <c r="B198" s="12"/>
      <c r="C198" s="12" t="s">
        <v>60</v>
      </c>
      <c r="D198" s="12"/>
      <c r="E198" s="12">
        <v>43992</v>
      </c>
      <c r="K198" s="2">
        <f t="shared" si="32"/>
        <v>0</v>
      </c>
      <c r="O198" s="2">
        <f t="shared" si="33"/>
        <v>0</v>
      </c>
      <c r="AE198" s="13">
        <f t="shared" si="26"/>
        <v>0</v>
      </c>
      <c r="AG198" s="7">
        <f t="shared" si="27"/>
        <v>0</v>
      </c>
      <c r="AI198" s="7" t="s">
        <v>855</v>
      </c>
      <c r="AK198" s="7" t="str">
        <f t="shared" si="28"/>
        <v>Fostoria City SD (CASH)</v>
      </c>
      <c r="AL198" s="7" t="str">
        <f>GenExp!A198</f>
        <v>Fostoria City SD (CASH)</v>
      </c>
      <c r="AM198" s="7" t="b">
        <f t="shared" si="29"/>
        <v>1</v>
      </c>
      <c r="AN198" s="7" t="str">
        <f t="shared" si="25"/>
        <v>Seneca</v>
      </c>
      <c r="AO198" s="7" t="b">
        <f>C198=GenExp!C198</f>
        <v>1</v>
      </c>
    </row>
    <row r="199" spans="1:41">
      <c r="A199" s="12" t="s">
        <v>561</v>
      </c>
      <c r="B199" s="12"/>
      <c r="C199" s="12" t="s">
        <v>69</v>
      </c>
      <c r="D199" s="12"/>
      <c r="E199" s="12">
        <v>44008</v>
      </c>
      <c r="G199" s="7">
        <v>8093537</v>
      </c>
      <c r="I199" s="7">
        <v>0</v>
      </c>
      <c r="K199" s="2">
        <f t="shared" si="32"/>
        <v>17518247</v>
      </c>
      <c r="M199" s="7">
        <v>25611784</v>
      </c>
      <c r="O199" s="2">
        <f t="shared" si="33"/>
        <v>3738149</v>
      </c>
      <c r="Q199" s="7">
        <v>16071988</v>
      </c>
      <c r="S199" s="7">
        <v>19810137</v>
      </c>
      <c r="U199" s="7">
        <v>18906</v>
      </c>
      <c r="W199" s="7">
        <v>1596686</v>
      </c>
      <c r="Y199" s="7">
        <v>837918</v>
      </c>
      <c r="AA199" s="7">
        <v>2566523</v>
      </c>
      <c r="AC199" s="7">
        <v>781614</v>
      </c>
      <c r="AE199" s="13">
        <f t="shared" si="26"/>
        <v>5801647</v>
      </c>
      <c r="AG199" s="7">
        <f t="shared" si="27"/>
        <v>0</v>
      </c>
      <c r="AK199" s="7" t="str">
        <f t="shared" si="28"/>
        <v>Franklin City SD</v>
      </c>
      <c r="AL199" s="7" t="str">
        <f>GenExp!A199</f>
        <v>Franklin City SD</v>
      </c>
      <c r="AM199" s="7" t="b">
        <f t="shared" si="29"/>
        <v>1</v>
      </c>
      <c r="AN199" s="7" t="str">
        <f t="shared" si="25"/>
        <v>Warren</v>
      </c>
      <c r="AO199" s="7" t="b">
        <f>C199=GenExp!C199</f>
        <v>1</v>
      </c>
    </row>
    <row r="200" spans="1:41">
      <c r="A200" s="12" t="s">
        <v>457</v>
      </c>
      <c r="B200" s="12"/>
      <c r="C200" s="12" t="s">
        <v>51</v>
      </c>
      <c r="D200" s="12"/>
      <c r="E200" s="12">
        <v>48843</v>
      </c>
      <c r="G200" s="7">
        <f>8732189+265</f>
        <v>8732454</v>
      </c>
      <c r="I200" s="7">
        <v>1143</v>
      </c>
      <c r="K200" s="2">
        <f t="shared" si="32"/>
        <v>7986227</v>
      </c>
      <c r="M200" s="7">
        <v>16719824</v>
      </c>
      <c r="O200" s="2">
        <f t="shared" si="33"/>
        <v>3704773</v>
      </c>
      <c r="Q200" s="7">
        <v>6851203</v>
      </c>
      <c r="S200" s="7">
        <v>10555976</v>
      </c>
      <c r="U200" s="7">
        <v>104607</v>
      </c>
      <c r="W200" s="7">
        <v>2058551</v>
      </c>
      <c r="Y200" s="7">
        <v>413167</v>
      </c>
      <c r="AA200" s="7">
        <v>843660</v>
      </c>
      <c r="AC200" s="7">
        <v>2743863</v>
      </c>
      <c r="AE200" s="13">
        <f t="shared" si="26"/>
        <v>6163848</v>
      </c>
      <c r="AG200" s="7">
        <f t="shared" si="27"/>
        <v>0</v>
      </c>
      <c r="AK200" s="7" t="str">
        <f t="shared" si="28"/>
        <v>Franklin Local SD</v>
      </c>
      <c r="AL200" s="7" t="str">
        <f>GenExp!A200</f>
        <v>Franklin Local SD</v>
      </c>
      <c r="AM200" s="7" t="b">
        <f t="shared" si="29"/>
        <v>1</v>
      </c>
      <c r="AN200" s="7" t="str">
        <f t="shared" si="25"/>
        <v>Muskingum</v>
      </c>
      <c r="AO200" s="7" t="b">
        <f>C200=GenExp!C200</f>
        <v>1</v>
      </c>
    </row>
    <row r="201" spans="1:41" hidden="1">
      <c r="A201" s="12" t="s">
        <v>641</v>
      </c>
      <c r="B201" s="12"/>
      <c r="C201" s="12" t="s">
        <v>21</v>
      </c>
      <c r="D201" s="12"/>
      <c r="E201" s="12">
        <v>46649</v>
      </c>
      <c r="K201" s="2">
        <f t="shared" si="32"/>
        <v>0</v>
      </c>
      <c r="O201" s="2">
        <f t="shared" si="33"/>
        <v>0</v>
      </c>
      <c r="AE201" s="13">
        <f t="shared" si="26"/>
        <v>0</v>
      </c>
      <c r="AG201" s="7">
        <f t="shared" si="27"/>
        <v>0</v>
      </c>
      <c r="AI201" s="7" t="s">
        <v>839</v>
      </c>
      <c r="AK201" s="7" t="str">
        <f t="shared" si="28"/>
        <v>Franklin Monroe Local SD (CASH)</v>
      </c>
      <c r="AL201" s="7" t="str">
        <f>GenExp!A201</f>
        <v>Franklin Monroe Local SD (CASH)</v>
      </c>
      <c r="AM201" s="7" t="b">
        <f t="shared" si="29"/>
        <v>1</v>
      </c>
      <c r="AN201" s="7" t="str">
        <f t="shared" si="25"/>
        <v>Darke</v>
      </c>
      <c r="AO201" s="7" t="b">
        <f>C201=GenExp!C201</f>
        <v>1</v>
      </c>
    </row>
    <row r="202" spans="1:41" hidden="1">
      <c r="A202" s="12" t="s">
        <v>696</v>
      </c>
      <c r="B202" s="12"/>
      <c r="C202" s="12" t="s">
        <v>40</v>
      </c>
      <c r="D202" s="12"/>
      <c r="E202" s="12">
        <v>47852</v>
      </c>
      <c r="K202" s="2">
        <f t="shared" si="32"/>
        <v>0</v>
      </c>
      <c r="O202" s="2">
        <f t="shared" si="33"/>
        <v>0</v>
      </c>
      <c r="AE202" s="13">
        <f t="shared" si="26"/>
        <v>0</v>
      </c>
      <c r="AG202" s="7">
        <f t="shared" si="27"/>
        <v>0</v>
      </c>
      <c r="AI202" s="7" t="s">
        <v>839</v>
      </c>
      <c r="AK202" s="7" t="str">
        <f t="shared" si="28"/>
        <v>Fredericktown Local SD (CASH)</v>
      </c>
      <c r="AL202" s="7" t="str">
        <f>GenExp!A202</f>
        <v>Fredericktown Local SD (CASH)</v>
      </c>
      <c r="AM202" s="7" t="b">
        <f t="shared" si="29"/>
        <v>1</v>
      </c>
      <c r="AN202" s="7" t="str">
        <f t="shared" si="25"/>
        <v>Knox</v>
      </c>
      <c r="AO202" s="7" t="b">
        <f>C202=GenExp!C202</f>
        <v>1</v>
      </c>
    </row>
    <row r="203" spans="1:41">
      <c r="A203" s="12" t="s">
        <v>673</v>
      </c>
      <c r="B203" s="12"/>
      <c r="C203" s="12" t="s">
        <v>79</v>
      </c>
      <c r="D203" s="12"/>
      <c r="E203" s="12">
        <v>44016</v>
      </c>
      <c r="G203" s="7">
        <f>20741119+17645833</f>
        <v>38386952</v>
      </c>
      <c r="I203" s="7">
        <v>0</v>
      </c>
      <c r="K203" s="2">
        <f t="shared" si="32"/>
        <v>16357755</v>
      </c>
      <c r="M203" s="7">
        <v>54744707</v>
      </c>
      <c r="O203" s="2">
        <f t="shared" si="33"/>
        <v>3862401</v>
      </c>
      <c r="Q203" s="7">
        <v>11479268</v>
      </c>
      <c r="S203" s="7">
        <v>15341669</v>
      </c>
      <c r="U203" s="7">
        <v>46206</v>
      </c>
      <c r="W203" s="7">
        <v>32481968</v>
      </c>
      <c r="Y203" s="7">
        <v>0</v>
      </c>
      <c r="AA203" s="7">
        <v>2874588</v>
      </c>
      <c r="AC203" s="7">
        <v>4000276</v>
      </c>
      <c r="AE203" s="13">
        <f t="shared" si="26"/>
        <v>39403038</v>
      </c>
      <c r="AG203" s="7">
        <f t="shared" si="27"/>
        <v>0</v>
      </c>
      <c r="AK203" s="7" t="str">
        <f t="shared" si="28"/>
        <v xml:space="preserve">Fremont City SD </v>
      </c>
      <c r="AL203" s="7" t="str">
        <f>GenExp!A203</f>
        <v xml:space="preserve">Fremont City SD </v>
      </c>
      <c r="AM203" s="7" t="b">
        <f t="shared" si="29"/>
        <v>1</v>
      </c>
      <c r="AN203" s="7" t="str">
        <f t="shared" si="25"/>
        <v>Sandusky</v>
      </c>
      <c r="AO203" s="7" t="b">
        <f>C203=GenExp!C203</f>
        <v>1</v>
      </c>
    </row>
    <row r="204" spans="1:41">
      <c r="A204" s="12" t="s">
        <v>565</v>
      </c>
      <c r="B204" s="12"/>
      <c r="C204" s="12" t="s">
        <v>70</v>
      </c>
      <c r="D204" s="12"/>
      <c r="E204" s="12">
        <v>50492</v>
      </c>
      <c r="G204" s="7">
        <f>3055186+212</f>
        <v>3055398</v>
      </c>
      <c r="I204" s="7">
        <v>139293</v>
      </c>
      <c r="K204" s="2">
        <f t="shared" si="32"/>
        <v>1987179</v>
      </c>
      <c r="M204" s="7">
        <v>5181870</v>
      </c>
      <c r="O204" s="2">
        <f t="shared" si="33"/>
        <v>935154</v>
      </c>
      <c r="Q204" s="7">
        <f>357323+1474121</f>
        <v>1831444</v>
      </c>
      <c r="S204" s="7">
        <v>2766598</v>
      </c>
      <c r="U204" s="7">
        <v>9503</v>
      </c>
      <c r="W204" s="7">
        <f>240374+1007143+43166+15662+139293</f>
        <v>1445638</v>
      </c>
      <c r="Y204" s="7">
        <v>0</v>
      </c>
      <c r="AA204" s="7">
        <f>403+73445+4335+7</f>
        <v>78190</v>
      </c>
      <c r="AC204" s="7">
        <v>881941</v>
      </c>
      <c r="AE204" s="13">
        <f t="shared" si="26"/>
        <v>2415272</v>
      </c>
      <c r="AG204" s="7">
        <f t="shared" si="27"/>
        <v>0</v>
      </c>
      <c r="AK204" s="7" t="str">
        <f t="shared" si="28"/>
        <v>Frontier Local SD</v>
      </c>
      <c r="AL204" s="7" t="str">
        <f>GenExp!A204</f>
        <v>Frontier Local SD</v>
      </c>
      <c r="AM204" s="7" t="b">
        <f t="shared" si="29"/>
        <v>1</v>
      </c>
      <c r="AN204" s="7" t="str">
        <f t="shared" ref="AN204:AN267" si="40">C204</f>
        <v>Washington</v>
      </c>
      <c r="AO204" s="7" t="b">
        <f>C204=GenExp!C204</f>
        <v>1</v>
      </c>
    </row>
    <row r="205" spans="1:41">
      <c r="A205" s="12" t="s">
        <v>670</v>
      </c>
      <c r="B205" s="12"/>
      <c r="C205" s="12" t="s">
        <v>27</v>
      </c>
      <c r="D205" s="12"/>
      <c r="E205" s="12">
        <v>46961</v>
      </c>
      <c r="G205" s="7">
        <v>16829653</v>
      </c>
      <c r="I205" s="7">
        <v>1021342</v>
      </c>
      <c r="K205" s="2">
        <f t="shared" si="32"/>
        <v>88680097</v>
      </c>
      <c r="M205" s="7">
        <v>106531092</v>
      </c>
      <c r="O205" s="2">
        <f t="shared" si="33"/>
        <v>12400780</v>
      </c>
      <c r="Q205" s="7">
        <v>67636447</v>
      </c>
      <c r="S205" s="7">
        <v>80037227</v>
      </c>
      <c r="U205" s="7">
        <v>80294</v>
      </c>
      <c r="W205" s="7">
        <f>3374340+4223780+126662+86832+129532+12131</f>
        <v>7953277</v>
      </c>
      <c r="Y205" s="7">
        <v>0</v>
      </c>
      <c r="AA205" s="7">
        <f>117355+2660032+14543679</f>
        <v>17321066</v>
      </c>
      <c r="AC205" s="7">
        <v>1139228</v>
      </c>
      <c r="AE205" s="13">
        <f t="shared" ref="AE205:AE268" si="41">U205+W205+Y205+AA205+AC205</f>
        <v>26493865</v>
      </c>
      <c r="AG205" s="7">
        <f t="shared" ref="AG205:AG268" si="42">+G205+I205+K205-O205-Q205-Y205-W205-U205-AA205-AC205</f>
        <v>0</v>
      </c>
      <c r="AK205" s="7" t="str">
        <f t="shared" ref="AK205:AK268" si="43">A205</f>
        <v xml:space="preserve">Gahanna-Jefferson City SD </v>
      </c>
      <c r="AL205" s="7" t="str">
        <f>GenExp!A205</f>
        <v xml:space="preserve">Gahanna-Jefferson City SD </v>
      </c>
      <c r="AM205" s="7" t="b">
        <f t="shared" ref="AM205:AM268" si="44">AK205=AL205</f>
        <v>1</v>
      </c>
      <c r="AN205" s="7" t="str">
        <f t="shared" si="40"/>
        <v>Franklin</v>
      </c>
      <c r="AO205" s="7" t="b">
        <f>C205=GenExp!C205</f>
        <v>1</v>
      </c>
    </row>
    <row r="206" spans="1:41">
      <c r="A206" s="12" t="s">
        <v>265</v>
      </c>
      <c r="B206" s="12"/>
      <c r="C206" s="12" t="s">
        <v>111</v>
      </c>
      <c r="D206" s="12"/>
      <c r="E206" s="12">
        <v>44024</v>
      </c>
      <c r="G206" s="7">
        <v>4726549</v>
      </c>
      <c r="I206" s="7">
        <v>22977</v>
      </c>
      <c r="K206" s="2">
        <f t="shared" si="32"/>
        <v>6890413</v>
      </c>
      <c r="M206" s="7">
        <v>11639939</v>
      </c>
      <c r="O206" s="2">
        <f t="shared" si="33"/>
        <v>2638199</v>
      </c>
      <c r="Q206" s="7">
        <v>4330136</v>
      </c>
      <c r="S206" s="7">
        <v>6968335</v>
      </c>
      <c r="U206" s="7">
        <v>45392</v>
      </c>
      <c r="W206" s="7">
        <v>3135140</v>
      </c>
      <c r="Y206" s="7">
        <v>0</v>
      </c>
      <c r="AA206" s="7">
        <v>143779</v>
      </c>
      <c r="AC206" s="7">
        <v>1347293</v>
      </c>
      <c r="AE206" s="13">
        <f t="shared" si="41"/>
        <v>4671604</v>
      </c>
      <c r="AG206" s="7">
        <f t="shared" si="42"/>
        <v>0</v>
      </c>
      <c r="AK206" s="7" t="str">
        <f t="shared" si="43"/>
        <v>Galion City SD</v>
      </c>
      <c r="AL206" s="7" t="str">
        <f>GenExp!A206</f>
        <v>Galion City SD</v>
      </c>
      <c r="AM206" s="7" t="b">
        <f t="shared" si="44"/>
        <v>1</v>
      </c>
      <c r="AN206" s="7" t="str">
        <f t="shared" si="40"/>
        <v>Crawford</v>
      </c>
      <c r="AO206" s="7" t="b">
        <f>C206=GenExp!C206</f>
        <v>1</v>
      </c>
    </row>
    <row r="207" spans="1:41" hidden="1">
      <c r="A207" s="12" t="s">
        <v>671</v>
      </c>
      <c r="B207" s="12"/>
      <c r="C207" s="12" t="s">
        <v>29</v>
      </c>
      <c r="D207" s="12"/>
      <c r="E207" s="12">
        <v>65680</v>
      </c>
      <c r="K207" s="2">
        <f t="shared" si="32"/>
        <v>0</v>
      </c>
      <c r="O207" s="2">
        <f t="shared" si="33"/>
        <v>0</v>
      </c>
      <c r="Y207" s="7">
        <v>0</v>
      </c>
      <c r="AE207" s="13">
        <f t="shared" si="41"/>
        <v>0</v>
      </c>
      <c r="AG207" s="7">
        <f t="shared" si="42"/>
        <v>0</v>
      </c>
      <c r="AI207" s="7" t="s">
        <v>856</v>
      </c>
      <c r="AK207" s="7" t="str">
        <f t="shared" si="43"/>
        <v xml:space="preserve">Gallia County Local SD </v>
      </c>
      <c r="AL207" s="7" t="str">
        <f>GenExp!A207</f>
        <v xml:space="preserve">Gallia County Local SD </v>
      </c>
      <c r="AM207" s="7" t="b">
        <f t="shared" si="44"/>
        <v>1</v>
      </c>
      <c r="AN207" s="7" t="str">
        <f t="shared" si="40"/>
        <v>Gallia</v>
      </c>
      <c r="AO207" s="7" t="b">
        <f>C207=GenExp!C207</f>
        <v>1</v>
      </c>
    </row>
    <row r="208" spans="1:41">
      <c r="A208" s="12" t="s">
        <v>320</v>
      </c>
      <c r="B208" s="12"/>
      <c r="C208" s="12" t="s">
        <v>29</v>
      </c>
      <c r="D208" s="12"/>
      <c r="E208" s="12">
        <v>44032</v>
      </c>
      <c r="G208" s="7">
        <v>9669259</v>
      </c>
      <c r="I208" s="7">
        <v>650262</v>
      </c>
      <c r="K208" s="2">
        <f t="shared" si="32"/>
        <v>10006624</v>
      </c>
      <c r="M208" s="7">
        <v>20326145</v>
      </c>
      <c r="O208" s="2">
        <f t="shared" si="33"/>
        <v>2854515</v>
      </c>
      <c r="Q208" s="7">
        <f>1601362+7232609</f>
        <v>8833971</v>
      </c>
      <c r="S208" s="7">
        <v>11688486</v>
      </c>
      <c r="U208" s="7">
        <f>121128+74094</f>
        <v>195222</v>
      </c>
      <c r="W208" s="7">
        <f>879756+7119562+472416+119955+18909+918+49736+120947+18022+35707+246688</f>
        <v>9082616</v>
      </c>
      <c r="Y208" s="7">
        <f>174170+50932</f>
        <v>225102</v>
      </c>
      <c r="AA208" s="7">
        <f>36697+105477+15959+20057</f>
        <v>178190</v>
      </c>
      <c r="AC208" s="7">
        <v>-1043471</v>
      </c>
      <c r="AE208" s="13">
        <f t="shared" si="41"/>
        <v>8637659</v>
      </c>
      <c r="AG208" s="7">
        <f t="shared" si="42"/>
        <v>0</v>
      </c>
      <c r="AK208" s="7" t="str">
        <f t="shared" si="43"/>
        <v>Gallipolis City SD</v>
      </c>
      <c r="AL208" s="7" t="str">
        <f>GenExp!A208</f>
        <v>Gallipolis City SD</v>
      </c>
      <c r="AM208" s="7" t="b">
        <f t="shared" si="44"/>
        <v>1</v>
      </c>
      <c r="AN208" s="7" t="str">
        <f t="shared" si="40"/>
        <v>Gallia</v>
      </c>
      <c r="AO208" s="7" t="b">
        <f>C208=GenExp!C208</f>
        <v>1</v>
      </c>
    </row>
    <row r="209" spans="1:41">
      <c r="A209" s="12" t="s">
        <v>551</v>
      </c>
      <c r="B209" s="12"/>
      <c r="C209" s="12" t="s">
        <v>65</v>
      </c>
      <c r="D209" s="12"/>
      <c r="E209" s="12">
        <v>50278</v>
      </c>
      <c r="G209" s="7">
        <v>4157957</v>
      </c>
      <c r="I209" s="7">
        <v>0</v>
      </c>
      <c r="K209" s="2">
        <f t="shared" si="32"/>
        <v>5929998</v>
      </c>
      <c r="M209" s="7">
        <v>10087955</v>
      </c>
      <c r="O209" s="2">
        <f t="shared" si="33"/>
        <v>1725860</v>
      </c>
      <c r="Q209" s="7">
        <f>4830969+500154</f>
        <v>5331123</v>
      </c>
      <c r="S209" s="7">
        <v>7056983</v>
      </c>
      <c r="U209" s="7">
        <f>2945+1461</f>
        <v>4406</v>
      </c>
      <c r="W209" s="7">
        <f>487335+219766+4282+31861</f>
        <v>743244</v>
      </c>
      <c r="Y209" s="7">
        <v>0</v>
      </c>
      <c r="AA209" s="7">
        <f>35000+29662</f>
        <v>64662</v>
      </c>
      <c r="AC209" s="7">
        <v>2218660</v>
      </c>
      <c r="AE209" s="13">
        <f t="shared" si="41"/>
        <v>3030972</v>
      </c>
      <c r="AG209" s="7">
        <f t="shared" si="42"/>
        <v>0</v>
      </c>
      <c r="AK209" s="7" t="str">
        <f t="shared" si="43"/>
        <v>Garaway Local SD</v>
      </c>
      <c r="AL209" s="7" t="str">
        <f>GenExp!A209</f>
        <v>Garaway Local SD</v>
      </c>
      <c r="AM209" s="7" t="b">
        <f t="shared" si="44"/>
        <v>1</v>
      </c>
      <c r="AN209" s="7" t="str">
        <f t="shared" si="40"/>
        <v>Tuscarawas</v>
      </c>
      <c r="AO209" s="7" t="b">
        <f>C209=GenExp!C209</f>
        <v>1</v>
      </c>
    </row>
    <row r="210" spans="1:41">
      <c r="A210" s="12" t="s">
        <v>714</v>
      </c>
      <c r="B210" s="12"/>
      <c r="C210" s="12" t="s">
        <v>20</v>
      </c>
      <c r="D210" s="12"/>
      <c r="E210" s="12">
        <v>44040</v>
      </c>
      <c r="G210" s="7">
        <f>13939584+767298</f>
        <v>14706882</v>
      </c>
      <c r="I210" s="7">
        <v>0</v>
      </c>
      <c r="K210" s="2">
        <f t="shared" si="32"/>
        <v>25713744</v>
      </c>
      <c r="M210" s="7">
        <v>40420626</v>
      </c>
      <c r="O210" s="2">
        <f t="shared" si="33"/>
        <v>7269412</v>
      </c>
      <c r="Q210" s="7">
        <v>21648205</v>
      </c>
      <c r="S210" s="7">
        <v>28917617</v>
      </c>
      <c r="U210" s="7">
        <v>0</v>
      </c>
      <c r="W210" s="7">
        <v>10439894</v>
      </c>
      <c r="Y210" s="7">
        <v>0</v>
      </c>
      <c r="AA210" s="7">
        <v>544787</v>
      </c>
      <c r="AC210" s="7">
        <v>518328</v>
      </c>
      <c r="AE210" s="13">
        <f t="shared" si="41"/>
        <v>11503009</v>
      </c>
      <c r="AG210" s="7">
        <f t="shared" si="42"/>
        <v>0</v>
      </c>
      <c r="AI210" s="7" t="s">
        <v>850</v>
      </c>
      <c r="AK210" s="7" t="str">
        <f t="shared" si="43"/>
        <v xml:space="preserve">Garfield Heights City SD </v>
      </c>
      <c r="AL210" s="7" t="str">
        <f>GenExp!A210</f>
        <v xml:space="preserve">Garfield Heights City SD </v>
      </c>
      <c r="AM210" s="7" t="b">
        <f t="shared" si="44"/>
        <v>1</v>
      </c>
      <c r="AN210" s="7" t="str">
        <f t="shared" si="40"/>
        <v>Cuyahoga</v>
      </c>
      <c r="AO210" s="7" t="b">
        <f>C210=GenExp!C210</f>
        <v>1</v>
      </c>
    </row>
    <row r="211" spans="1:41">
      <c r="A211" s="12" t="s">
        <v>672</v>
      </c>
      <c r="B211" s="12"/>
      <c r="C211" s="12" t="s">
        <v>12</v>
      </c>
      <c r="D211" s="12"/>
      <c r="E211" s="12">
        <v>44057</v>
      </c>
      <c r="G211" s="7">
        <f>7738112+15000+8606847+4643810</f>
        <v>21003769</v>
      </c>
      <c r="I211" s="7">
        <v>358077</v>
      </c>
      <c r="K211" s="2">
        <f t="shared" si="32"/>
        <v>9696463</v>
      </c>
      <c r="M211" s="7">
        <v>31058309</v>
      </c>
      <c r="O211" s="2">
        <f t="shared" si="33"/>
        <v>6559039</v>
      </c>
      <c r="Q211" s="7">
        <v>5538501</v>
      </c>
      <c r="S211" s="7">
        <v>12097540</v>
      </c>
      <c r="U211" s="7">
        <v>99246</v>
      </c>
      <c r="W211" s="7">
        <v>17228301</v>
      </c>
      <c r="Y211" s="7">
        <v>0</v>
      </c>
      <c r="AA211" s="7">
        <v>65130</v>
      </c>
      <c r="AC211" s="7">
        <v>1568092</v>
      </c>
      <c r="AE211" s="13">
        <f t="shared" si="41"/>
        <v>18960769</v>
      </c>
      <c r="AG211" s="7">
        <f t="shared" si="42"/>
        <v>0</v>
      </c>
      <c r="AK211" s="7" t="str">
        <f t="shared" si="43"/>
        <v>Geneva Area City SD</v>
      </c>
      <c r="AL211" s="7" t="str">
        <f>GenExp!A211</f>
        <v>Geneva Area City SD</v>
      </c>
      <c r="AM211" s="7" t="b">
        <f t="shared" si="44"/>
        <v>1</v>
      </c>
      <c r="AN211" s="7" t="str">
        <f t="shared" si="40"/>
        <v>Ashtabula</v>
      </c>
      <c r="AO211" s="7" t="b">
        <f>C211=GenExp!C211</f>
        <v>1</v>
      </c>
    </row>
    <row r="212" spans="1:41" hidden="1">
      <c r="A212" s="12" t="s">
        <v>983</v>
      </c>
      <c r="B212" s="12"/>
      <c r="C212" s="12" t="s">
        <v>53</v>
      </c>
      <c r="D212" s="12"/>
      <c r="E212" s="12">
        <v>48942</v>
      </c>
      <c r="K212" s="2">
        <f t="shared" si="32"/>
        <v>0</v>
      </c>
      <c r="O212" s="2">
        <f t="shared" si="33"/>
        <v>0</v>
      </c>
      <c r="AE212" s="13">
        <f t="shared" si="41"/>
        <v>0</v>
      </c>
      <c r="AG212" s="7">
        <f t="shared" si="42"/>
        <v>0</v>
      </c>
      <c r="AI212" s="7" t="s">
        <v>984</v>
      </c>
      <c r="AK212" s="7" t="str">
        <f t="shared" si="43"/>
        <v>Genoa Area Local SD (CASH)</v>
      </c>
      <c r="AL212" s="7" t="str">
        <f>GenExp!A212</f>
        <v>Genoa Area Local SD (CASH)</v>
      </c>
      <c r="AM212" s="7" t="b">
        <f t="shared" si="44"/>
        <v>1</v>
      </c>
      <c r="AN212" s="7" t="str">
        <f t="shared" si="40"/>
        <v>Ottawa</v>
      </c>
      <c r="AO212" s="7" t="b">
        <f>C212=GenExp!C212</f>
        <v>1</v>
      </c>
    </row>
    <row r="213" spans="1:41" hidden="1">
      <c r="A213" s="12" t="s">
        <v>697</v>
      </c>
      <c r="B213" s="12"/>
      <c r="C213" s="12" t="s">
        <v>77</v>
      </c>
      <c r="D213" s="12"/>
      <c r="E213" s="12">
        <v>45377</v>
      </c>
      <c r="K213" s="2">
        <f t="shared" si="32"/>
        <v>0</v>
      </c>
      <c r="O213" s="2">
        <f t="shared" si="33"/>
        <v>0</v>
      </c>
      <c r="AE213" s="13">
        <f t="shared" si="41"/>
        <v>0</v>
      </c>
      <c r="AG213" s="7">
        <f t="shared" si="42"/>
        <v>0</v>
      </c>
      <c r="AI213" s="7" t="s">
        <v>839</v>
      </c>
      <c r="AK213" s="7" t="str">
        <f t="shared" si="43"/>
        <v>Georgetown Exempted Village SD (CASH)</v>
      </c>
      <c r="AL213" s="7" t="str">
        <f>GenExp!A213</f>
        <v>Georgetown Exempted Village SD (CASH)</v>
      </c>
      <c r="AM213" s="7" t="b">
        <f t="shared" si="44"/>
        <v>1</v>
      </c>
      <c r="AN213" s="7" t="str">
        <f t="shared" si="40"/>
        <v>Brown</v>
      </c>
      <c r="AO213" s="7" t="b">
        <f>C213=GenExp!C213</f>
        <v>1</v>
      </c>
    </row>
    <row r="214" spans="1:41">
      <c r="A214" s="12" t="s">
        <v>857</v>
      </c>
      <c r="B214" s="12"/>
      <c r="C214" s="12" t="s">
        <v>79</v>
      </c>
      <c r="D214" s="12"/>
      <c r="E214" s="12">
        <v>45385</v>
      </c>
      <c r="G214" s="7">
        <v>4211987</v>
      </c>
      <c r="I214" s="7">
        <v>52124</v>
      </c>
      <c r="K214" s="2">
        <f t="shared" si="32"/>
        <v>2935532</v>
      </c>
      <c r="M214" s="7">
        <v>7199643</v>
      </c>
      <c r="O214" s="2">
        <f t="shared" si="33"/>
        <v>1280905</v>
      </c>
      <c r="Q214" s="7">
        <f>197032+2197995</f>
        <v>2395027</v>
      </c>
      <c r="S214" s="7">
        <v>3675932</v>
      </c>
      <c r="U214" s="7">
        <f>10884+14314</f>
        <v>25198</v>
      </c>
      <c r="W214" s="7">
        <f>1397686+225732+16411+5893+560+52124</f>
        <v>1698406</v>
      </c>
      <c r="Y214" s="7">
        <v>0</v>
      </c>
      <c r="AA214" s="7">
        <f>2506+64091+302+165</f>
        <v>67064</v>
      </c>
      <c r="AC214" s="7">
        <v>1733043</v>
      </c>
      <c r="AE214" s="13">
        <f t="shared" si="41"/>
        <v>3523711</v>
      </c>
      <c r="AG214" s="7">
        <f t="shared" si="42"/>
        <v>0</v>
      </c>
      <c r="AK214" s="7" t="str">
        <f t="shared" si="43"/>
        <v>Gibsonburg Exempted Village SD</v>
      </c>
      <c r="AL214" s="7" t="str">
        <f>GenExp!A214</f>
        <v>Gibsonburg Exempted Village SD</v>
      </c>
      <c r="AM214" s="7" t="b">
        <f t="shared" si="44"/>
        <v>1</v>
      </c>
      <c r="AN214" s="7" t="str">
        <f t="shared" si="40"/>
        <v>Sandusky</v>
      </c>
      <c r="AO214" s="7" t="b">
        <f>C214=GenExp!C214</f>
        <v>1</v>
      </c>
    </row>
    <row r="215" spans="1:41">
      <c r="A215" s="12" t="s">
        <v>537</v>
      </c>
      <c r="B215" s="12"/>
      <c r="C215" s="12" t="s">
        <v>64</v>
      </c>
      <c r="D215" s="12"/>
      <c r="E215" s="12">
        <v>44065</v>
      </c>
      <c r="G215" s="7">
        <v>12208656</v>
      </c>
      <c r="I215" s="7">
        <v>0</v>
      </c>
      <c r="K215" s="2">
        <f t="shared" si="32"/>
        <v>7512688</v>
      </c>
      <c r="M215" s="7">
        <v>19721344</v>
      </c>
      <c r="O215" s="2">
        <f t="shared" si="33"/>
        <v>1477179</v>
      </c>
      <c r="Q215" s="7">
        <f>2395756+4993971</f>
        <v>7389727</v>
      </c>
      <c r="S215" s="7">
        <v>8866906</v>
      </c>
      <c r="U215" s="7">
        <f>10017+19162</f>
        <v>29179</v>
      </c>
      <c r="W215" s="7">
        <f>264815+4251578+274754+41242+48620+3710+82147+130930</f>
        <v>5097796</v>
      </c>
      <c r="Y215" s="7">
        <v>0</v>
      </c>
      <c r="AA215" s="7">
        <f>30433+141400+2890</f>
        <v>174723</v>
      </c>
      <c r="AC215" s="7">
        <v>5552740</v>
      </c>
      <c r="AE215" s="13">
        <f t="shared" si="41"/>
        <v>10854438</v>
      </c>
      <c r="AG215" s="7">
        <f t="shared" si="42"/>
        <v>0</v>
      </c>
      <c r="AK215" s="7" t="str">
        <f t="shared" si="43"/>
        <v>Girard City SD</v>
      </c>
      <c r="AL215" s="7" t="str">
        <f>GenExp!A215</f>
        <v>Girard City SD</v>
      </c>
      <c r="AM215" s="7" t="b">
        <f t="shared" si="44"/>
        <v>1</v>
      </c>
      <c r="AN215" s="7" t="str">
        <f t="shared" si="40"/>
        <v>Trumbull</v>
      </c>
      <c r="AO215" s="7" t="b">
        <f>C215=GenExp!C215</f>
        <v>1</v>
      </c>
    </row>
    <row r="216" spans="1:41" hidden="1">
      <c r="A216" s="12" t="s">
        <v>735</v>
      </c>
      <c r="B216" s="12"/>
      <c r="C216" s="12" t="s">
        <v>28</v>
      </c>
      <c r="D216" s="12"/>
      <c r="E216" s="12">
        <v>47068</v>
      </c>
      <c r="K216" s="2">
        <f t="shared" si="32"/>
        <v>0</v>
      </c>
      <c r="O216" s="2">
        <f t="shared" si="33"/>
        <v>0</v>
      </c>
      <c r="AE216" s="13">
        <f t="shared" si="41"/>
        <v>0</v>
      </c>
      <c r="AG216" s="7">
        <f t="shared" si="42"/>
        <v>0</v>
      </c>
      <c r="AI216" s="7" t="s">
        <v>787</v>
      </c>
      <c r="AK216" s="7" t="str">
        <f t="shared" si="43"/>
        <v>Gorham Fayette Local SD - name changed to Fayette Local.  See below</v>
      </c>
      <c r="AL216" s="7" t="str">
        <f>GenExp!A216</f>
        <v>Gorham Fayette Local SD - name changed to Fayette Local.  See below</v>
      </c>
      <c r="AM216" s="7" t="b">
        <f t="shared" si="44"/>
        <v>1</v>
      </c>
      <c r="AN216" s="7" t="str">
        <f t="shared" si="40"/>
        <v>Fulton</v>
      </c>
      <c r="AO216" s="7" t="b">
        <f>C216=GenExp!C216</f>
        <v>1</v>
      </c>
    </row>
    <row r="217" spans="1:41">
      <c r="A217" s="12" t="s">
        <v>245</v>
      </c>
      <c r="B217" s="12"/>
      <c r="C217" s="12" t="s">
        <v>113</v>
      </c>
      <c r="D217" s="12"/>
      <c r="E217" s="12">
        <v>46342</v>
      </c>
      <c r="G217" s="7">
        <f>5167423+465375</f>
        <v>5632798</v>
      </c>
      <c r="I217" s="7">
        <v>2132</v>
      </c>
      <c r="K217" s="2">
        <f t="shared" si="32"/>
        <v>8276852</v>
      </c>
      <c r="M217" s="7">
        <v>13911782</v>
      </c>
      <c r="O217" s="2">
        <f t="shared" si="33"/>
        <v>3281575</v>
      </c>
      <c r="Q217" s="7">
        <v>5480458</v>
      </c>
      <c r="S217" s="7">
        <v>8762033</v>
      </c>
      <c r="U217" s="7">
        <v>8020</v>
      </c>
      <c r="W217" s="7">
        <v>2561853</v>
      </c>
      <c r="Y217" s="7">
        <v>11000</v>
      </c>
      <c r="AA217" s="7">
        <v>128051</v>
      </c>
      <c r="AC217" s="7">
        <v>2440825</v>
      </c>
      <c r="AE217" s="13">
        <f t="shared" si="41"/>
        <v>5149749</v>
      </c>
      <c r="AG217" s="7">
        <f t="shared" si="42"/>
        <v>0</v>
      </c>
      <c r="AK217" s="7" t="str">
        <f t="shared" si="43"/>
        <v>Goshen Local SD</v>
      </c>
      <c r="AL217" s="7" t="str">
        <f>GenExp!A217</f>
        <v>Goshen Local SD</v>
      </c>
      <c r="AM217" s="7" t="b">
        <f t="shared" si="44"/>
        <v>1</v>
      </c>
      <c r="AN217" s="7" t="str">
        <f t="shared" si="40"/>
        <v>Clermont</v>
      </c>
      <c r="AO217" s="7" t="b">
        <f>C217=GenExp!C217</f>
        <v>1</v>
      </c>
    </row>
    <row r="218" spans="1:41" hidden="1">
      <c r="A218" s="12" t="s">
        <v>902</v>
      </c>
      <c r="B218" s="12"/>
      <c r="C218" s="12" t="s">
        <v>232</v>
      </c>
      <c r="D218" s="12"/>
      <c r="E218" s="12">
        <v>46193</v>
      </c>
      <c r="K218" s="2">
        <f t="shared" si="32"/>
        <v>0</v>
      </c>
      <c r="O218" s="2">
        <f t="shared" si="33"/>
        <v>0</v>
      </c>
      <c r="AE218" s="13">
        <f t="shared" si="41"/>
        <v>0</v>
      </c>
      <c r="AG218" s="7">
        <f t="shared" si="42"/>
        <v>0</v>
      </c>
      <c r="AI218" s="7" t="s">
        <v>901</v>
      </c>
      <c r="AK218" s="7" t="str">
        <f t="shared" si="43"/>
        <v>Graham Local SD (CASH)</v>
      </c>
      <c r="AL218" s="7" t="str">
        <f>GenExp!A218</f>
        <v>Graham Local SD (CASH)</v>
      </c>
      <c r="AM218" s="7" t="b">
        <f t="shared" si="44"/>
        <v>1</v>
      </c>
      <c r="AN218" s="7" t="str">
        <f t="shared" si="40"/>
        <v>Champaign</v>
      </c>
      <c r="AO218" s="7" t="b">
        <f>C218=GenExp!C218</f>
        <v>1</v>
      </c>
    </row>
    <row r="219" spans="1:41">
      <c r="A219" s="12" t="s">
        <v>209</v>
      </c>
      <c r="B219" s="12"/>
      <c r="C219" s="12" t="s">
        <v>12</v>
      </c>
      <c r="D219" s="12"/>
      <c r="E219" s="12">
        <v>45864</v>
      </c>
      <c r="G219" s="7">
        <v>9753308</v>
      </c>
      <c r="I219" s="7">
        <v>0</v>
      </c>
      <c r="K219" s="2">
        <f t="shared" si="32"/>
        <v>5382678</v>
      </c>
      <c r="M219" s="7">
        <v>15135986</v>
      </c>
      <c r="O219" s="2">
        <f t="shared" si="33"/>
        <v>1482790</v>
      </c>
      <c r="Q219" s="7">
        <v>3367175</v>
      </c>
      <c r="S219" s="7">
        <v>4849965</v>
      </c>
      <c r="U219" s="7">
        <v>86231</v>
      </c>
      <c r="W219" s="7">
        <v>8910743</v>
      </c>
      <c r="Y219" s="7">
        <v>37074</v>
      </c>
      <c r="AA219" s="7">
        <v>121499</v>
      </c>
      <c r="AC219" s="7">
        <v>1130474</v>
      </c>
      <c r="AE219" s="13">
        <f t="shared" si="41"/>
        <v>10286021</v>
      </c>
      <c r="AG219" s="7">
        <f t="shared" si="42"/>
        <v>0</v>
      </c>
      <c r="AK219" s="7" t="str">
        <f t="shared" si="43"/>
        <v>Grand Valley Local SD</v>
      </c>
      <c r="AL219" s="7" t="str">
        <f>GenExp!A219</f>
        <v>Grand Valley Local SD</v>
      </c>
      <c r="AM219" s="7" t="b">
        <f t="shared" si="44"/>
        <v>1</v>
      </c>
      <c r="AN219" s="7" t="str">
        <f t="shared" si="40"/>
        <v>Ashtabula</v>
      </c>
      <c r="AO219" s="7" t="b">
        <f>C219=GenExp!C219</f>
        <v>1</v>
      </c>
    </row>
    <row r="220" spans="1:41">
      <c r="A220" s="12" t="s">
        <v>309</v>
      </c>
      <c r="B220" s="12"/>
      <c r="C220" s="12" t="s">
        <v>27</v>
      </c>
      <c r="D220" s="12"/>
      <c r="E220" s="12">
        <v>44073</v>
      </c>
      <c r="G220" s="7">
        <v>9369698</v>
      </c>
      <c r="I220" s="7">
        <v>68902</v>
      </c>
      <c r="K220" s="2">
        <f t="shared" ref="K220:K285" si="45">M220-G220-I220</f>
        <v>11290451</v>
      </c>
      <c r="M220" s="7">
        <v>20729051</v>
      </c>
      <c r="O220" s="2">
        <f t="shared" ref="O220:O285" si="46">S220-Q220</f>
        <v>2313940</v>
      </c>
      <c r="Q220" s="7">
        <f>8439807+345459</f>
        <v>8785266</v>
      </c>
      <c r="S220" s="7">
        <v>11099206</v>
      </c>
      <c r="U220" s="7">
        <v>80982</v>
      </c>
      <c r="W220" s="7">
        <f>1339963+453967+68902+5443+14927+45115+18811</f>
        <v>1947128</v>
      </c>
      <c r="Y220" s="7">
        <f>750000</f>
        <v>750000</v>
      </c>
      <c r="AA220" s="7">
        <v>1022311</v>
      </c>
      <c r="AC220" s="7">
        <v>5829424</v>
      </c>
      <c r="AE220" s="13">
        <f t="shared" si="41"/>
        <v>9629845</v>
      </c>
      <c r="AG220" s="7">
        <f t="shared" si="42"/>
        <v>0</v>
      </c>
      <c r="AK220" s="7" t="str">
        <f t="shared" si="43"/>
        <v>Grandview Heights City SD</v>
      </c>
      <c r="AL220" s="7" t="str">
        <f>GenExp!A220</f>
        <v>Grandview Heights City SD</v>
      </c>
      <c r="AM220" s="7" t="b">
        <f t="shared" si="44"/>
        <v>1</v>
      </c>
      <c r="AN220" s="7" t="str">
        <f t="shared" si="40"/>
        <v>Franklin</v>
      </c>
      <c r="AO220" s="7" t="b">
        <f>C220=GenExp!C220</f>
        <v>1</v>
      </c>
    </row>
    <row r="221" spans="1:41">
      <c r="A221" s="12" t="s">
        <v>698</v>
      </c>
      <c r="B221" s="12"/>
      <c r="C221" s="12" t="s">
        <v>42</v>
      </c>
      <c r="D221" s="12"/>
      <c r="E221" s="12">
        <v>45393</v>
      </c>
      <c r="G221" s="7">
        <f>6468833+5000+17016</f>
        <v>6490849</v>
      </c>
      <c r="I221" s="7">
        <v>0</v>
      </c>
      <c r="K221" s="2">
        <f t="shared" si="45"/>
        <v>20597749</v>
      </c>
      <c r="M221" s="7">
        <v>27088598</v>
      </c>
      <c r="O221" s="2">
        <f t="shared" si="46"/>
        <v>4546892</v>
      </c>
      <c r="Q221" s="7">
        <v>17142663</v>
      </c>
      <c r="S221" s="7">
        <v>21689555</v>
      </c>
      <c r="U221" s="7">
        <f>8838+1375000</f>
        <v>1383838</v>
      </c>
      <c r="W221" s="7">
        <f>105431+2206591+75371+61702+55954</f>
        <v>2505049</v>
      </c>
      <c r="Y221" s="7">
        <v>0</v>
      </c>
      <c r="AA221" s="7">
        <f>71953+133601</f>
        <v>205554</v>
      </c>
      <c r="AC221" s="7">
        <v>1304602</v>
      </c>
      <c r="AE221" s="13">
        <f t="shared" si="41"/>
        <v>5399043</v>
      </c>
      <c r="AG221" s="7">
        <f t="shared" si="42"/>
        <v>0</v>
      </c>
      <c r="AK221" s="7" t="str">
        <f t="shared" si="43"/>
        <v>Granville Exempted Village SD</v>
      </c>
      <c r="AL221" s="7" t="str">
        <f>GenExp!A221</f>
        <v>Granville Exempted Village SD</v>
      </c>
      <c r="AM221" s="7" t="b">
        <f t="shared" si="44"/>
        <v>1</v>
      </c>
      <c r="AN221" s="7" t="str">
        <f t="shared" si="40"/>
        <v>Licking</v>
      </c>
      <c r="AO221" s="7" t="b">
        <f>C221=GenExp!C221</f>
        <v>1</v>
      </c>
    </row>
    <row r="222" spans="1:41">
      <c r="A222" s="12" t="s">
        <v>496</v>
      </c>
      <c r="B222" s="12"/>
      <c r="C222" s="12" t="s">
        <v>59</v>
      </c>
      <c r="D222" s="12"/>
      <c r="E222" s="12">
        <v>49619</v>
      </c>
      <c r="G222" s="7">
        <v>912989</v>
      </c>
      <c r="I222" s="7">
        <v>251637</v>
      </c>
      <c r="K222" s="2">
        <f t="shared" si="45"/>
        <v>1609339</v>
      </c>
      <c r="M222" s="7">
        <v>2773965</v>
      </c>
      <c r="O222" s="2">
        <f t="shared" si="46"/>
        <v>626887</v>
      </c>
      <c r="Q222" s="7">
        <v>1420134</v>
      </c>
      <c r="S222" s="7">
        <v>2047021</v>
      </c>
      <c r="U222" s="7">
        <v>0</v>
      </c>
      <c r="W222" s="7">
        <v>328046</v>
      </c>
      <c r="Y222" s="7">
        <v>137960</v>
      </c>
      <c r="AA222" s="7">
        <v>7838</v>
      </c>
      <c r="AC222" s="7">
        <v>253100</v>
      </c>
      <c r="AE222" s="13">
        <f t="shared" si="41"/>
        <v>726944</v>
      </c>
      <c r="AG222" s="7">
        <f t="shared" si="42"/>
        <v>0</v>
      </c>
      <c r="AK222" s="7" t="str">
        <f t="shared" si="43"/>
        <v>Green Local SD</v>
      </c>
      <c r="AL222" s="7" t="str">
        <f>GenExp!A222</f>
        <v>Green Local SD</v>
      </c>
      <c r="AM222" s="7" t="b">
        <f t="shared" si="44"/>
        <v>1</v>
      </c>
      <c r="AN222" s="7" t="str">
        <f t="shared" si="40"/>
        <v>Scioto</v>
      </c>
      <c r="AO222" s="7" t="b">
        <f>C222=GenExp!C222</f>
        <v>1</v>
      </c>
    </row>
    <row r="223" spans="1:41">
      <c r="A223" s="12" t="s">
        <v>496</v>
      </c>
      <c r="B223" s="12"/>
      <c r="C223" s="12" t="s">
        <v>63</v>
      </c>
      <c r="D223" s="12"/>
      <c r="E223" s="12">
        <v>50013</v>
      </c>
      <c r="G223" s="7">
        <v>4970568</v>
      </c>
      <c r="I223" s="7">
        <v>0</v>
      </c>
      <c r="K223" s="2">
        <f t="shared" si="45"/>
        <v>24618102</v>
      </c>
      <c r="M223" s="7">
        <v>29588670</v>
      </c>
      <c r="O223" s="2">
        <f t="shared" si="46"/>
        <v>10243175</v>
      </c>
      <c r="Q223" s="7">
        <v>21299599</v>
      </c>
      <c r="S223" s="7">
        <v>31542774</v>
      </c>
      <c r="U223" s="7">
        <v>0</v>
      </c>
      <c r="W223" s="7">
        <v>1493436</v>
      </c>
      <c r="Y223" s="7">
        <v>0</v>
      </c>
      <c r="AA223" s="7">
        <v>0</v>
      </c>
      <c r="AC223" s="7">
        <v>-3447540</v>
      </c>
      <c r="AE223" s="13">
        <f t="shared" si="41"/>
        <v>-1954104</v>
      </c>
      <c r="AG223" s="7">
        <f t="shared" si="42"/>
        <v>0</v>
      </c>
      <c r="AK223" s="7" t="str">
        <f t="shared" si="43"/>
        <v>Green Local SD</v>
      </c>
      <c r="AL223" s="7" t="str">
        <f>GenExp!A223</f>
        <v>Green Local SD</v>
      </c>
      <c r="AM223" s="7" t="b">
        <f t="shared" si="44"/>
        <v>1</v>
      </c>
      <c r="AN223" s="7" t="str">
        <f t="shared" si="40"/>
        <v>Summit</v>
      </c>
      <c r="AO223" s="7" t="b">
        <f>C223=GenExp!C223</f>
        <v>1</v>
      </c>
    </row>
    <row r="224" spans="1:41" hidden="1">
      <c r="A224" s="12" t="s">
        <v>496</v>
      </c>
      <c r="B224" s="12"/>
      <c r="C224" s="12" t="s">
        <v>71</v>
      </c>
      <c r="D224" s="12"/>
      <c r="E224" s="12">
        <v>50559</v>
      </c>
      <c r="K224" s="2">
        <f t="shared" si="45"/>
        <v>0</v>
      </c>
      <c r="O224" s="2">
        <f t="shared" si="46"/>
        <v>0</v>
      </c>
      <c r="AE224" s="13">
        <f t="shared" si="41"/>
        <v>0</v>
      </c>
      <c r="AG224" s="7">
        <f t="shared" si="42"/>
        <v>0</v>
      </c>
      <c r="AI224" s="7" t="s">
        <v>839</v>
      </c>
      <c r="AK224" s="7" t="str">
        <f t="shared" si="43"/>
        <v>Green Local SD</v>
      </c>
      <c r="AL224" s="7" t="str">
        <f>GenExp!A224</f>
        <v>Green Local SD</v>
      </c>
      <c r="AM224" s="7" t="b">
        <f t="shared" si="44"/>
        <v>1</v>
      </c>
      <c r="AN224" s="7" t="str">
        <f t="shared" si="40"/>
        <v>Wayne</v>
      </c>
      <c r="AO224" s="7" t="b">
        <f>C224=GenExp!C224</f>
        <v>1</v>
      </c>
    </row>
    <row r="225" spans="1:41">
      <c r="A225" s="12" t="s">
        <v>326</v>
      </c>
      <c r="B225" s="12"/>
      <c r="C225" s="12" t="s">
        <v>114</v>
      </c>
      <c r="D225" s="12"/>
      <c r="E225" s="12">
        <v>47266</v>
      </c>
      <c r="G225" s="7">
        <f>17704455+800</f>
        <v>17705255</v>
      </c>
      <c r="I225" s="7">
        <v>76238</v>
      </c>
      <c r="K225" s="2">
        <f t="shared" si="45"/>
        <v>4619964</v>
      </c>
      <c r="M225" s="7">
        <v>22401457</v>
      </c>
      <c r="O225" s="2">
        <f t="shared" si="46"/>
        <v>1347810</v>
      </c>
      <c r="Q225" s="7">
        <v>3456736</v>
      </c>
      <c r="S225" s="7">
        <v>4804546</v>
      </c>
      <c r="U225" s="7">
        <v>5809</v>
      </c>
      <c r="W225" s="7">
        <v>11565136</v>
      </c>
      <c r="Y225" s="7">
        <v>0</v>
      </c>
      <c r="AA225" s="7">
        <v>157939</v>
      </c>
      <c r="AC225" s="7">
        <v>5868027</v>
      </c>
      <c r="AE225" s="13">
        <f t="shared" si="41"/>
        <v>17596911</v>
      </c>
      <c r="AG225" s="7">
        <f t="shared" si="42"/>
        <v>0</v>
      </c>
      <c r="AK225" s="7" t="str">
        <f t="shared" si="43"/>
        <v>Greeneview Local SD</v>
      </c>
      <c r="AL225" s="7" t="str">
        <f>GenExp!A225</f>
        <v>Greeneview Local SD</v>
      </c>
      <c r="AM225" s="7" t="b">
        <f t="shared" si="44"/>
        <v>1</v>
      </c>
      <c r="AN225" s="7" t="str">
        <f t="shared" si="40"/>
        <v>Greene</v>
      </c>
      <c r="AO225" s="7" t="b">
        <f>C225=GenExp!C225</f>
        <v>1</v>
      </c>
    </row>
    <row r="226" spans="1:41">
      <c r="A226" s="12" t="s">
        <v>869</v>
      </c>
      <c r="B226" s="12"/>
      <c r="C226" s="12" t="s">
        <v>358</v>
      </c>
      <c r="D226" s="12"/>
      <c r="E226" s="12">
        <v>45401</v>
      </c>
      <c r="G226" s="7">
        <v>9618172</v>
      </c>
      <c r="I226" s="7">
        <v>0</v>
      </c>
      <c r="K226" s="2">
        <f t="shared" si="45"/>
        <v>9011584</v>
      </c>
      <c r="M226" s="7">
        <v>18629756</v>
      </c>
      <c r="O226" s="2">
        <f t="shared" si="46"/>
        <v>5541312</v>
      </c>
      <c r="Q226" s="7">
        <v>3333617</v>
      </c>
      <c r="S226" s="7">
        <v>8874929</v>
      </c>
      <c r="U226" s="7">
        <v>0</v>
      </c>
      <c r="W226" s="7">
        <v>2766968</v>
      </c>
      <c r="Y226" s="7">
        <v>259378</v>
      </c>
      <c r="AA226" s="7">
        <v>697684</v>
      </c>
      <c r="AC226" s="7">
        <v>6030797</v>
      </c>
      <c r="AE226" s="13">
        <f t="shared" si="41"/>
        <v>9754827</v>
      </c>
      <c r="AG226" s="7">
        <f t="shared" si="42"/>
        <v>0</v>
      </c>
      <c r="AK226" s="7" t="str">
        <f t="shared" si="43"/>
        <v>Greenfield Exempted Village SD</v>
      </c>
      <c r="AL226" s="7" t="str">
        <f>GenExp!A226</f>
        <v>Greenfield Exempted Village SD</v>
      </c>
      <c r="AM226" s="7" t="b">
        <f t="shared" si="44"/>
        <v>1</v>
      </c>
      <c r="AN226" s="7" t="str">
        <f t="shared" si="40"/>
        <v>Highland</v>
      </c>
      <c r="AO226" s="7" t="b">
        <f>C226=GenExp!C226</f>
        <v>1</v>
      </c>
    </row>
    <row r="227" spans="1:41">
      <c r="A227" s="12" t="s">
        <v>237</v>
      </c>
      <c r="B227" s="12"/>
      <c r="C227" s="12" t="s">
        <v>17</v>
      </c>
      <c r="D227" s="12"/>
      <c r="E227" s="12">
        <v>46235</v>
      </c>
      <c r="G227" s="7">
        <v>5037543</v>
      </c>
      <c r="I227" s="7">
        <v>32397</v>
      </c>
      <c r="K227" s="2">
        <f t="shared" si="45"/>
        <v>6958269</v>
      </c>
      <c r="M227" s="7">
        <v>12028209</v>
      </c>
      <c r="O227" s="2">
        <f t="shared" si="46"/>
        <v>1950561</v>
      </c>
      <c r="Q227" s="7">
        <v>6318514</v>
      </c>
      <c r="S227" s="7">
        <v>8269075</v>
      </c>
      <c r="U227" s="7">
        <v>5968</v>
      </c>
      <c r="W227" s="7">
        <v>1609229</v>
      </c>
      <c r="Y227" s="7">
        <v>11000</v>
      </c>
      <c r="AA227" s="7">
        <v>55651</v>
      </c>
      <c r="AC227" s="7">
        <v>2077286</v>
      </c>
      <c r="AE227" s="13">
        <f t="shared" si="41"/>
        <v>3759134</v>
      </c>
      <c r="AG227" s="7">
        <f t="shared" si="42"/>
        <v>0</v>
      </c>
      <c r="AK227" s="7" t="str">
        <f t="shared" si="43"/>
        <v>Greenon Local SD</v>
      </c>
      <c r="AL227" s="7" t="str">
        <f>GenExp!A227</f>
        <v>Greenon Local SD</v>
      </c>
      <c r="AM227" s="7" t="b">
        <f t="shared" si="44"/>
        <v>1</v>
      </c>
      <c r="AN227" s="7" t="str">
        <f t="shared" si="40"/>
        <v>Clark</v>
      </c>
      <c r="AO227" s="7" t="b">
        <f>C227=GenExp!C227</f>
        <v>1</v>
      </c>
    </row>
    <row r="228" spans="1:41">
      <c r="A228" s="12" t="s">
        <v>288</v>
      </c>
      <c r="B228" s="12"/>
      <c r="C228" s="12" t="s">
        <v>21</v>
      </c>
      <c r="D228" s="12"/>
      <c r="E228" s="12">
        <v>44099</v>
      </c>
      <c r="G228" s="7">
        <f>12087435+1548+3329</f>
        <v>12092312</v>
      </c>
      <c r="I228" s="7">
        <v>8607</v>
      </c>
      <c r="K228" s="2">
        <f t="shared" si="45"/>
        <v>12977003</v>
      </c>
      <c r="M228" s="7">
        <v>25077922</v>
      </c>
      <c r="O228" s="2">
        <f t="shared" si="46"/>
        <v>3885156</v>
      </c>
      <c r="Q228" s="7">
        <v>9930371</v>
      </c>
      <c r="S228" s="7">
        <v>13815527</v>
      </c>
      <c r="U228" s="7">
        <v>97026</v>
      </c>
      <c r="W228" s="7">
        <v>3243119</v>
      </c>
      <c r="Y228" s="7">
        <v>407469</v>
      </c>
      <c r="AA228" s="7">
        <v>2540058</v>
      </c>
      <c r="AC228" s="7">
        <v>4974723</v>
      </c>
      <c r="AE228" s="13">
        <f t="shared" si="41"/>
        <v>11262395</v>
      </c>
      <c r="AG228" s="7">
        <f t="shared" si="42"/>
        <v>0</v>
      </c>
      <c r="AK228" s="7" t="str">
        <f t="shared" si="43"/>
        <v>Greenville City SD</v>
      </c>
      <c r="AL228" s="7" t="str">
        <f>GenExp!A228</f>
        <v>Greenville City SD</v>
      </c>
      <c r="AM228" s="7" t="b">
        <f t="shared" si="44"/>
        <v>1</v>
      </c>
      <c r="AN228" s="7" t="str">
        <f t="shared" si="40"/>
        <v>Darke</v>
      </c>
      <c r="AO228" s="7" t="b">
        <f>C228=GenExp!C228</f>
        <v>1</v>
      </c>
    </row>
    <row r="229" spans="1:41">
      <c r="A229" s="12" t="s">
        <v>310</v>
      </c>
      <c r="B229" s="12"/>
      <c r="C229" s="12" t="s">
        <v>27</v>
      </c>
      <c r="D229" s="12"/>
      <c r="E229" s="12">
        <v>46979</v>
      </c>
      <c r="G229" s="7">
        <v>5966278</v>
      </c>
      <c r="I229" s="7">
        <v>2383889</v>
      </c>
      <c r="K229" s="2">
        <f t="shared" si="45"/>
        <v>25179318</v>
      </c>
      <c r="M229" s="7">
        <v>33529485</v>
      </c>
      <c r="O229" s="2">
        <f t="shared" si="46"/>
        <v>8275086</v>
      </c>
      <c r="Q229" s="7">
        <v>17610757</v>
      </c>
      <c r="S229" s="7">
        <v>25885843</v>
      </c>
      <c r="U229" s="7">
        <v>0</v>
      </c>
      <c r="W229" s="7">
        <f>108002+2263374+116539+87409+2425240+68245</f>
        <v>5068809</v>
      </c>
      <c r="Y229" s="7">
        <v>0</v>
      </c>
      <c r="AA229" s="7">
        <f>74949+26860</f>
        <v>101809</v>
      </c>
      <c r="AC229" s="7">
        <v>2473024</v>
      </c>
      <c r="AE229" s="13">
        <f t="shared" si="41"/>
        <v>7643642</v>
      </c>
      <c r="AG229" s="7">
        <f t="shared" si="42"/>
        <v>0</v>
      </c>
      <c r="AK229" s="7" t="str">
        <f t="shared" si="43"/>
        <v>Groveport Madison Local SD</v>
      </c>
      <c r="AL229" s="7" t="str">
        <f>GenExp!A229</f>
        <v>Groveport Madison Local SD</v>
      </c>
      <c r="AM229" s="7" t="b">
        <f t="shared" si="44"/>
        <v>1</v>
      </c>
      <c r="AN229" s="7" t="str">
        <f t="shared" si="40"/>
        <v>Franklin</v>
      </c>
      <c r="AO229" s="7" t="b">
        <f>C229=GenExp!C229</f>
        <v>1</v>
      </c>
    </row>
    <row r="230" spans="1:41" hidden="1">
      <c r="A230" s="12" t="s">
        <v>225</v>
      </c>
      <c r="B230" s="12"/>
      <c r="C230" s="12" t="s">
        <v>223</v>
      </c>
      <c r="D230" s="12"/>
      <c r="E230" s="12">
        <v>44107</v>
      </c>
      <c r="K230" s="2">
        <f t="shared" si="45"/>
        <v>0</v>
      </c>
      <c r="O230" s="2">
        <f t="shared" si="46"/>
        <v>0</v>
      </c>
      <c r="AE230" s="13">
        <f t="shared" si="41"/>
        <v>0</v>
      </c>
      <c r="AG230" s="7">
        <f t="shared" si="42"/>
        <v>0</v>
      </c>
      <c r="AI230" s="7" t="s">
        <v>903</v>
      </c>
      <c r="AK230" s="7" t="str">
        <f t="shared" si="43"/>
        <v>Hamilton City SD</v>
      </c>
      <c r="AL230" s="7" t="str">
        <f>GenExp!A230</f>
        <v>Hamilton City SD</v>
      </c>
      <c r="AM230" s="7" t="b">
        <f t="shared" si="44"/>
        <v>1</v>
      </c>
      <c r="AN230" s="7" t="str">
        <f t="shared" si="40"/>
        <v>Butler</v>
      </c>
      <c r="AO230" s="7" t="b">
        <f>C230=GenExp!C230</f>
        <v>1</v>
      </c>
    </row>
    <row r="231" spans="1:41">
      <c r="A231" s="12" t="s">
        <v>925</v>
      </c>
      <c r="B231" s="12"/>
      <c r="C231" s="12" t="s">
        <v>27</v>
      </c>
      <c r="D231" s="12"/>
      <c r="E231" s="12">
        <v>46953</v>
      </c>
      <c r="G231" s="7">
        <v>10855992</v>
      </c>
      <c r="I231" s="7">
        <v>647977</v>
      </c>
      <c r="K231" s="2">
        <f t="shared" si="45"/>
        <v>8236105</v>
      </c>
      <c r="M231" s="7">
        <v>19740074</v>
      </c>
      <c r="O231" s="2">
        <f t="shared" si="46"/>
        <v>3499137</v>
      </c>
      <c r="Q231" s="7">
        <v>5508216</v>
      </c>
      <c r="S231" s="7">
        <v>9007353</v>
      </c>
      <c r="U231" s="7">
        <v>8965</v>
      </c>
      <c r="W231" s="7">
        <f>1465607+1595240+602125+48966+55831+18169+1063+647977+540572</f>
        <v>4975550</v>
      </c>
      <c r="Y231" s="7">
        <v>0</v>
      </c>
      <c r="AA231" s="7">
        <f>34992+14776</f>
        <v>49768</v>
      </c>
      <c r="AC231" s="7">
        <v>5698438</v>
      </c>
      <c r="AE231" s="13">
        <f t="shared" si="41"/>
        <v>10732721</v>
      </c>
      <c r="AG231" s="7">
        <f t="shared" si="42"/>
        <v>0</v>
      </c>
      <c r="AK231" s="7" t="str">
        <f t="shared" si="43"/>
        <v>Hamilton Local SD</v>
      </c>
      <c r="AL231" s="7" t="str">
        <f>GenExp!A231</f>
        <v>Hamilton Local SD</v>
      </c>
      <c r="AM231" s="7" t="b">
        <f t="shared" si="44"/>
        <v>1</v>
      </c>
      <c r="AN231" s="7" t="str">
        <f t="shared" si="40"/>
        <v>Franklin</v>
      </c>
      <c r="AO231" s="7" t="b">
        <f>C231=GenExp!C231</f>
        <v>1</v>
      </c>
    </row>
    <row r="232" spans="1:41">
      <c r="A232" s="12" t="s">
        <v>349</v>
      </c>
      <c r="B232" s="12"/>
      <c r="C232" s="12" t="s">
        <v>348</v>
      </c>
      <c r="D232" s="12"/>
      <c r="E232" s="12">
        <v>47498</v>
      </c>
      <c r="G232" s="7">
        <v>2978722</v>
      </c>
      <c r="I232" s="7">
        <v>174589</v>
      </c>
      <c r="K232" s="2">
        <f t="shared" si="45"/>
        <v>1853574</v>
      </c>
      <c r="M232" s="7">
        <v>5006885</v>
      </c>
      <c r="O232" s="2">
        <f t="shared" si="46"/>
        <v>465964</v>
      </c>
      <c r="Q232" s="7">
        <v>1315604</v>
      </c>
      <c r="S232" s="7">
        <v>1781568</v>
      </c>
      <c r="U232" s="7">
        <v>52577</v>
      </c>
      <c r="W232" s="7">
        <v>1115286</v>
      </c>
      <c r="Y232" s="7">
        <v>0</v>
      </c>
      <c r="AA232" s="7">
        <v>51576</v>
      </c>
      <c r="AC232" s="7">
        <v>2005878</v>
      </c>
      <c r="AE232" s="13">
        <f t="shared" si="41"/>
        <v>3225317</v>
      </c>
      <c r="AG232" s="7">
        <f t="shared" si="42"/>
        <v>0</v>
      </c>
      <c r="AK232" s="7" t="str">
        <f t="shared" si="43"/>
        <v>Hardin Northern Local SD</v>
      </c>
      <c r="AL232" s="7" t="str">
        <f>GenExp!A232</f>
        <v>Hardin Northern Local SD</v>
      </c>
      <c r="AM232" s="7" t="b">
        <f t="shared" si="44"/>
        <v>1</v>
      </c>
      <c r="AN232" s="7" t="str">
        <f t="shared" si="40"/>
        <v>Hardin</v>
      </c>
      <c r="AO232" s="7" t="b">
        <f>C232=GenExp!C232</f>
        <v>1</v>
      </c>
    </row>
    <row r="233" spans="1:41">
      <c r="A233" s="12" t="s">
        <v>506</v>
      </c>
      <c r="B233" s="12"/>
      <c r="C233" s="12" t="s">
        <v>61</v>
      </c>
      <c r="D233" s="12"/>
      <c r="E233" s="12">
        <v>49791</v>
      </c>
      <c r="G233" s="7">
        <v>7686264</v>
      </c>
      <c r="I233" s="7">
        <v>64358</v>
      </c>
      <c r="K233" s="2">
        <f t="shared" si="45"/>
        <v>2609131</v>
      </c>
      <c r="M233" s="7">
        <v>10359753</v>
      </c>
      <c r="O233" s="2">
        <f t="shared" si="46"/>
        <v>1882610</v>
      </c>
      <c r="Q233" s="7">
        <v>2055217</v>
      </c>
      <c r="S233" s="7">
        <v>3937827</v>
      </c>
      <c r="U233" s="7">
        <v>6074</v>
      </c>
      <c r="W233" s="7">
        <v>5429505</v>
      </c>
      <c r="Y233" s="7">
        <v>0</v>
      </c>
      <c r="AA233" s="7">
        <v>280605</v>
      </c>
      <c r="AC233" s="7">
        <v>705742</v>
      </c>
      <c r="AE233" s="13">
        <f t="shared" si="41"/>
        <v>6421926</v>
      </c>
      <c r="AG233" s="7">
        <f t="shared" si="42"/>
        <v>0</v>
      </c>
      <c r="AK233" s="7" t="str">
        <f t="shared" si="43"/>
        <v>Hardin-Houston Local SD</v>
      </c>
      <c r="AL233" s="7" t="str">
        <f>GenExp!A233</f>
        <v>Hardin-Houston Local SD</v>
      </c>
      <c r="AM233" s="7" t="b">
        <f t="shared" si="44"/>
        <v>1</v>
      </c>
      <c r="AN233" s="7" t="str">
        <f t="shared" si="40"/>
        <v>Shelby</v>
      </c>
      <c r="AO233" s="7" t="b">
        <f>C233=GenExp!C233</f>
        <v>1</v>
      </c>
    </row>
    <row r="234" spans="1:41" hidden="1">
      <c r="A234" s="12" t="s">
        <v>353</v>
      </c>
      <c r="B234" s="12"/>
      <c r="C234" s="12" t="s">
        <v>352</v>
      </c>
      <c r="D234" s="12"/>
      <c r="E234" s="12">
        <v>45245</v>
      </c>
      <c r="K234" s="2">
        <f t="shared" si="45"/>
        <v>0</v>
      </c>
      <c r="O234" s="2">
        <f t="shared" si="46"/>
        <v>0</v>
      </c>
      <c r="AE234" s="13">
        <f t="shared" si="41"/>
        <v>0</v>
      </c>
      <c r="AG234" s="7">
        <f t="shared" si="42"/>
        <v>0</v>
      </c>
      <c r="AI234" s="7" t="s">
        <v>903</v>
      </c>
      <c r="AK234" s="7" t="str">
        <f t="shared" si="43"/>
        <v>Harrison Hills City SD</v>
      </c>
      <c r="AL234" s="7" t="str">
        <f>GenExp!A234</f>
        <v>Harrison Hills City SD</v>
      </c>
      <c r="AM234" s="7" t="b">
        <f t="shared" si="44"/>
        <v>1</v>
      </c>
      <c r="AN234" s="7" t="str">
        <f t="shared" si="40"/>
        <v>Harrison</v>
      </c>
      <c r="AO234" s="7" t="b">
        <f>C234=GenExp!C234</f>
        <v>1</v>
      </c>
    </row>
    <row r="235" spans="1:41">
      <c r="A235" s="12" t="s">
        <v>384</v>
      </c>
      <c r="B235" s="12"/>
      <c r="C235" s="12" t="s">
        <v>42</v>
      </c>
      <c r="D235" s="12"/>
      <c r="E235" s="12">
        <v>44115</v>
      </c>
      <c r="G235" s="7">
        <f>3142390+1292668</f>
        <v>4435058</v>
      </c>
      <c r="I235" s="7">
        <v>1053151</v>
      </c>
      <c r="K235" s="2">
        <f t="shared" si="45"/>
        <v>9755243</v>
      </c>
      <c r="M235" s="7">
        <v>15243452</v>
      </c>
      <c r="O235" s="2">
        <f t="shared" si="46"/>
        <v>1893438</v>
      </c>
      <c r="Q235" s="7">
        <f>8750119+64081</f>
        <v>8814200</v>
      </c>
      <c r="S235" s="7">
        <v>10707638</v>
      </c>
      <c r="U235" s="7">
        <v>213228</v>
      </c>
      <c r="W235" s="7">
        <v>2905198</v>
      </c>
      <c r="Y235" s="7">
        <v>0</v>
      </c>
      <c r="AA235" s="7">
        <v>240210</v>
      </c>
      <c r="AC235" s="7">
        <v>1177178</v>
      </c>
      <c r="AE235" s="13">
        <f t="shared" si="41"/>
        <v>4535814</v>
      </c>
      <c r="AG235" s="7">
        <f t="shared" si="42"/>
        <v>0</v>
      </c>
      <c r="AK235" s="7" t="str">
        <f t="shared" si="43"/>
        <v>Heath City SD</v>
      </c>
      <c r="AL235" s="7" t="str">
        <f>GenExp!A235</f>
        <v>Heath City SD</v>
      </c>
      <c r="AM235" s="7" t="b">
        <f t="shared" si="44"/>
        <v>1</v>
      </c>
      <c r="AN235" s="7" t="str">
        <f t="shared" si="40"/>
        <v>Licking</v>
      </c>
      <c r="AO235" s="7" t="b">
        <f>C235=GenExp!C235</f>
        <v>1</v>
      </c>
    </row>
    <row r="236" spans="1:41" hidden="1">
      <c r="A236" s="12" t="s">
        <v>699</v>
      </c>
      <c r="B236" s="12"/>
      <c r="C236" s="12" t="s">
        <v>22</v>
      </c>
      <c r="D236" s="12"/>
      <c r="E236" s="12">
        <v>45419</v>
      </c>
      <c r="K236" s="2">
        <f t="shared" si="45"/>
        <v>0</v>
      </c>
      <c r="O236" s="2">
        <f t="shared" si="46"/>
        <v>0</v>
      </c>
      <c r="AE236" s="13">
        <f t="shared" si="41"/>
        <v>0</v>
      </c>
      <c r="AG236" s="7">
        <f t="shared" si="42"/>
        <v>0</v>
      </c>
      <c r="AI236" s="7" t="s">
        <v>904</v>
      </c>
      <c r="AK236" s="7" t="str">
        <f t="shared" si="43"/>
        <v>Hicksville Ex Vill SD  (CASH)</v>
      </c>
      <c r="AL236" s="7" t="str">
        <f>GenExp!A236</f>
        <v>Hicksville Ex Vill SD  (CASH)</v>
      </c>
      <c r="AM236" s="7" t="b">
        <f t="shared" si="44"/>
        <v>1</v>
      </c>
      <c r="AN236" s="7" t="str">
        <f t="shared" si="40"/>
        <v>Defiance</v>
      </c>
      <c r="AO236" s="7" t="b">
        <f>C236=GenExp!C236</f>
        <v>1</v>
      </c>
    </row>
    <row r="237" spans="1:41">
      <c r="A237" s="12" t="s">
        <v>430</v>
      </c>
      <c r="B237" s="12"/>
      <c r="C237" s="12" t="s">
        <v>47</v>
      </c>
      <c r="D237" s="12"/>
      <c r="E237" s="12">
        <v>48496</v>
      </c>
      <c r="G237" s="7">
        <f>11186282+412</f>
        <v>11186694</v>
      </c>
      <c r="I237" s="7">
        <v>83514</v>
      </c>
      <c r="K237" s="2">
        <f t="shared" si="45"/>
        <v>19455573</v>
      </c>
      <c r="M237" s="7">
        <v>30725781</v>
      </c>
      <c r="O237" s="2">
        <f t="shared" si="46"/>
        <v>3541726</v>
      </c>
      <c r="Q237" s="7">
        <v>17518500</v>
      </c>
      <c r="S237" s="7">
        <v>21060226</v>
      </c>
      <c r="U237" s="7">
        <v>68224</v>
      </c>
      <c r="W237" s="7">
        <v>5147580</v>
      </c>
      <c r="Y237" s="7">
        <v>11000</v>
      </c>
      <c r="AA237" s="7">
        <v>3822326</v>
      </c>
      <c r="AC237" s="7">
        <v>616425</v>
      </c>
      <c r="AE237" s="13">
        <f t="shared" si="41"/>
        <v>9665555</v>
      </c>
      <c r="AG237" s="7">
        <f t="shared" si="42"/>
        <v>0</v>
      </c>
      <c r="AK237" s="7" t="str">
        <f t="shared" si="43"/>
        <v>Highland Local SD</v>
      </c>
      <c r="AL237" s="7" t="str">
        <f>GenExp!A237</f>
        <v>Highland Local SD</v>
      </c>
      <c r="AM237" s="7" t="b">
        <f t="shared" si="44"/>
        <v>1</v>
      </c>
      <c r="AN237" s="7" t="str">
        <f t="shared" si="40"/>
        <v>Medina</v>
      </c>
      <c r="AO237" s="7" t="b">
        <f>C237=GenExp!C237</f>
        <v>1</v>
      </c>
    </row>
    <row r="238" spans="1:41">
      <c r="A238" s="12" t="s">
        <v>430</v>
      </c>
      <c r="B238" s="12"/>
      <c r="C238" s="12" t="s">
        <v>78</v>
      </c>
      <c r="D238" s="12"/>
      <c r="E238" s="12">
        <v>48801</v>
      </c>
      <c r="G238" s="7">
        <v>15784208</v>
      </c>
      <c r="I238" s="7">
        <f>1044607+103501</f>
        <v>1148108</v>
      </c>
      <c r="K238" s="2">
        <f t="shared" si="45"/>
        <v>6565239</v>
      </c>
      <c r="M238" s="7">
        <v>23497555</v>
      </c>
      <c r="O238" s="2">
        <f t="shared" si="46"/>
        <v>6325092</v>
      </c>
      <c r="Q238" s="7">
        <v>4784994</v>
      </c>
      <c r="S238" s="7">
        <v>11110086</v>
      </c>
      <c r="U238" s="7">
        <v>104739</v>
      </c>
      <c r="W238" s="7">
        <v>11062683</v>
      </c>
      <c r="Y238" s="7">
        <v>0</v>
      </c>
      <c r="AA238" s="7">
        <v>53633</v>
      </c>
      <c r="AC238" s="7">
        <v>1166414</v>
      </c>
      <c r="AE238" s="13">
        <f t="shared" si="41"/>
        <v>12387469</v>
      </c>
      <c r="AG238" s="7">
        <f t="shared" si="42"/>
        <v>0</v>
      </c>
      <c r="AK238" s="7" t="str">
        <f t="shared" si="43"/>
        <v>Highland Local SD</v>
      </c>
      <c r="AL238" s="7" t="str">
        <f>GenExp!A238</f>
        <v>Highland Local SD</v>
      </c>
      <c r="AM238" s="7" t="b">
        <f t="shared" si="44"/>
        <v>1</v>
      </c>
      <c r="AN238" s="7" t="str">
        <f t="shared" si="40"/>
        <v>Morrow</v>
      </c>
      <c r="AO238" s="7" t="b">
        <f>C238=GenExp!C238</f>
        <v>1</v>
      </c>
    </row>
    <row r="239" spans="1:41">
      <c r="A239" s="12" t="s">
        <v>311</v>
      </c>
      <c r="B239" s="12"/>
      <c r="C239" s="12" t="s">
        <v>27</v>
      </c>
      <c r="D239" s="12"/>
      <c r="E239" s="12">
        <v>47019</v>
      </c>
      <c r="G239" s="7">
        <f>30539577+9510555</f>
        <v>40050132</v>
      </c>
      <c r="I239" s="7">
        <v>0</v>
      </c>
      <c r="K239" s="2">
        <f t="shared" si="45"/>
        <v>122387178</v>
      </c>
      <c r="M239" s="7">
        <v>162437310</v>
      </c>
      <c r="O239" s="2">
        <f t="shared" si="46"/>
        <v>22838964</v>
      </c>
      <c r="Q239" s="7">
        <v>75258562</v>
      </c>
      <c r="S239" s="7">
        <v>98097526</v>
      </c>
      <c r="U239" s="7">
        <v>71297</v>
      </c>
      <c r="W239" s="7">
        <v>26675323</v>
      </c>
      <c r="Y239" s="7">
        <v>2419864</v>
      </c>
      <c r="AA239" s="7">
        <v>1036373</v>
      </c>
      <c r="AC239" s="7">
        <v>34136927</v>
      </c>
      <c r="AE239" s="13">
        <f t="shared" si="41"/>
        <v>64339784</v>
      </c>
      <c r="AG239" s="7">
        <f t="shared" si="42"/>
        <v>0</v>
      </c>
      <c r="AK239" s="7" t="str">
        <f t="shared" si="43"/>
        <v>Hilliard City SD</v>
      </c>
      <c r="AL239" s="7" t="str">
        <f>GenExp!A239</f>
        <v>Hilliard City SD</v>
      </c>
      <c r="AM239" s="7" t="b">
        <f t="shared" si="44"/>
        <v>1</v>
      </c>
      <c r="AN239" s="7" t="str">
        <f t="shared" si="40"/>
        <v>Franklin</v>
      </c>
      <c r="AO239" s="7" t="b">
        <f>C239=GenExp!C239</f>
        <v>1</v>
      </c>
    </row>
    <row r="240" spans="1:41">
      <c r="A240" s="12" t="s">
        <v>360</v>
      </c>
      <c r="B240" s="12"/>
      <c r="C240" s="12" t="s">
        <v>358</v>
      </c>
      <c r="D240" s="12"/>
      <c r="E240" s="12">
        <v>44123</v>
      </c>
      <c r="G240" s="7">
        <v>9671916</v>
      </c>
      <c r="I240" s="7">
        <v>75952</v>
      </c>
      <c r="K240" s="2">
        <f t="shared" si="45"/>
        <v>7899930</v>
      </c>
      <c r="M240" s="7">
        <v>17647798</v>
      </c>
      <c r="O240" s="2">
        <f t="shared" si="46"/>
        <v>2442812</v>
      </c>
      <c r="Q240" s="7">
        <v>6634314</v>
      </c>
      <c r="S240" s="7">
        <v>9077126</v>
      </c>
      <c r="U240" s="7">
        <v>20968</v>
      </c>
      <c r="W240" s="7">
        <v>4682810</v>
      </c>
      <c r="Y240" s="7">
        <v>464505</v>
      </c>
      <c r="AA240" s="7">
        <v>145054</v>
      </c>
      <c r="AC240" s="7">
        <v>3257335</v>
      </c>
      <c r="AE240" s="13">
        <f t="shared" si="41"/>
        <v>8570672</v>
      </c>
      <c r="AG240" s="7">
        <f t="shared" si="42"/>
        <v>0</v>
      </c>
      <c r="AK240" s="7" t="str">
        <f t="shared" si="43"/>
        <v>Hillsboro City SD</v>
      </c>
      <c r="AL240" s="7" t="str">
        <f>GenExp!A240</f>
        <v>Hillsboro City SD</v>
      </c>
      <c r="AM240" s="7" t="b">
        <f t="shared" si="44"/>
        <v>1</v>
      </c>
      <c r="AN240" s="7" t="str">
        <f t="shared" si="40"/>
        <v>Highland</v>
      </c>
      <c r="AO240" s="7" t="b">
        <f>C240=GenExp!C240</f>
        <v>1</v>
      </c>
    </row>
    <row r="241" spans="1:41">
      <c r="A241" s="12" t="s">
        <v>205</v>
      </c>
      <c r="B241" s="12"/>
      <c r="C241" s="12" t="s">
        <v>11</v>
      </c>
      <c r="D241" s="12"/>
      <c r="E241" s="12">
        <v>45823</v>
      </c>
      <c r="G241" s="7">
        <v>2148291</v>
      </c>
      <c r="I241" s="7">
        <v>0</v>
      </c>
      <c r="K241" s="2">
        <f t="shared" si="45"/>
        <v>4142050</v>
      </c>
      <c r="M241" s="7">
        <v>6290341</v>
      </c>
      <c r="O241" s="2">
        <f t="shared" si="46"/>
        <v>1457078</v>
      </c>
      <c r="Q241" s="7">
        <f>250118+2465106</f>
        <v>2715224</v>
      </c>
      <c r="S241" s="7">
        <v>4172302</v>
      </c>
      <c r="U241" s="7">
        <f>33572+120410</f>
        <v>153982</v>
      </c>
      <c r="W241" s="7">
        <f>266141+32359+2222+545+37081</f>
        <v>338348</v>
      </c>
      <c r="Y241" s="7">
        <v>229600</v>
      </c>
      <c r="AA241" s="7">
        <f>9553+37042+14</f>
        <v>46609</v>
      </c>
      <c r="AC241" s="7">
        <v>1349500</v>
      </c>
      <c r="AE241" s="13">
        <f t="shared" si="41"/>
        <v>2118039</v>
      </c>
      <c r="AG241" s="7">
        <f t="shared" si="42"/>
        <v>0</v>
      </c>
      <c r="AK241" s="7" t="str">
        <f t="shared" si="43"/>
        <v>Hillsdale Local SD</v>
      </c>
      <c r="AL241" s="7" t="str">
        <f>GenExp!A241</f>
        <v>Hillsdale Local SD</v>
      </c>
      <c r="AM241" s="7" t="b">
        <f t="shared" si="44"/>
        <v>1</v>
      </c>
      <c r="AN241" s="7" t="str">
        <f t="shared" si="40"/>
        <v>Ashland</v>
      </c>
      <c r="AO241" s="7" t="b">
        <f>C241=GenExp!C241</f>
        <v>1</v>
      </c>
    </row>
    <row r="242" spans="1:41">
      <c r="A242" s="12" t="s">
        <v>354</v>
      </c>
      <c r="B242" s="12"/>
      <c r="C242" s="12" t="s">
        <v>34</v>
      </c>
      <c r="D242" s="12"/>
      <c r="E242" s="12">
        <v>47571</v>
      </c>
      <c r="G242" s="7">
        <v>3283688</v>
      </c>
      <c r="I242" s="7">
        <v>33532</v>
      </c>
      <c r="K242" s="2">
        <f t="shared" si="45"/>
        <v>1679599</v>
      </c>
      <c r="M242" s="7">
        <v>4996819</v>
      </c>
      <c r="O242" s="2">
        <f t="shared" si="46"/>
        <v>673838</v>
      </c>
      <c r="Q242" s="7">
        <v>1309846</v>
      </c>
      <c r="S242" s="7">
        <v>1983684</v>
      </c>
      <c r="U242" s="7">
        <v>15762</v>
      </c>
      <c r="W242" s="7">
        <v>1141522</v>
      </c>
      <c r="Y242" s="7">
        <v>0</v>
      </c>
      <c r="AA242" s="7">
        <v>23915</v>
      </c>
      <c r="AC242" s="7">
        <v>1831936</v>
      </c>
      <c r="AE242" s="13">
        <f t="shared" si="41"/>
        <v>3013135</v>
      </c>
      <c r="AG242" s="7">
        <f t="shared" si="42"/>
        <v>0</v>
      </c>
      <c r="AK242" s="7" t="str">
        <f t="shared" si="43"/>
        <v>Holgate Local SD</v>
      </c>
      <c r="AL242" s="7" t="str">
        <f>GenExp!A242</f>
        <v>Holgate Local SD</v>
      </c>
      <c r="AM242" s="7" t="b">
        <f t="shared" si="44"/>
        <v>1</v>
      </c>
      <c r="AN242" s="7" t="str">
        <f t="shared" si="40"/>
        <v>Henry</v>
      </c>
      <c r="AO242" s="7" t="b">
        <f>C242=GenExp!C242</f>
        <v>1</v>
      </c>
    </row>
    <row r="243" spans="1:41">
      <c r="A243" s="12" t="s">
        <v>538</v>
      </c>
      <c r="B243" s="12"/>
      <c r="C243" s="12" t="s">
        <v>64</v>
      </c>
      <c r="D243" s="12"/>
      <c r="E243" s="12">
        <v>50161</v>
      </c>
      <c r="G243" s="7">
        <v>2377536</v>
      </c>
      <c r="I243" s="7">
        <v>0</v>
      </c>
      <c r="K243" s="2">
        <f t="shared" si="45"/>
        <v>20136300</v>
      </c>
      <c r="M243" s="7">
        <v>22513836</v>
      </c>
      <c r="O243" s="2">
        <f t="shared" si="46"/>
        <v>4197989</v>
      </c>
      <c r="Q243" s="7">
        <f>2496230+17165585</f>
        <v>19661815</v>
      </c>
      <c r="S243" s="7">
        <v>23859804</v>
      </c>
      <c r="U243" s="7">
        <f>118096+33896</f>
        <v>151992</v>
      </c>
      <c r="W243" s="7">
        <f>1133+468455+64105+46757+8568+262+65014</f>
        <v>654294</v>
      </c>
      <c r="Y243" s="7">
        <f>206943+17489</f>
        <v>224432</v>
      </c>
      <c r="AA243" s="7">
        <f>4173+7733+52080+1099741+14172</f>
        <v>1177899</v>
      </c>
      <c r="AC243" s="7">
        <v>-3554585</v>
      </c>
      <c r="AE243" s="13">
        <f t="shared" si="41"/>
        <v>-1345968</v>
      </c>
      <c r="AG243" s="7">
        <f t="shared" si="42"/>
        <v>0</v>
      </c>
      <c r="AK243" s="7" t="str">
        <f t="shared" si="43"/>
        <v>Howland Local SD</v>
      </c>
      <c r="AL243" s="7" t="str">
        <f>GenExp!A243</f>
        <v>Howland Local SD</v>
      </c>
      <c r="AM243" s="7" t="b">
        <f t="shared" si="44"/>
        <v>1</v>
      </c>
      <c r="AN243" s="7" t="str">
        <f t="shared" si="40"/>
        <v>Trumbull</v>
      </c>
      <c r="AO243" s="7" t="b">
        <f>C243=GenExp!C243</f>
        <v>1</v>
      </c>
    </row>
    <row r="244" spans="1:41">
      <c r="A244" s="12" t="s">
        <v>870</v>
      </c>
      <c r="B244" s="12"/>
      <c r="C244" s="12" t="s">
        <v>64</v>
      </c>
      <c r="D244" s="12"/>
      <c r="E244" s="12">
        <v>45427</v>
      </c>
      <c r="G244" s="7">
        <v>23188712</v>
      </c>
      <c r="I244" s="7">
        <v>742490</v>
      </c>
      <c r="K244" s="2">
        <f t="shared" si="45"/>
        <v>9932956</v>
      </c>
      <c r="M244" s="7">
        <v>33864158</v>
      </c>
      <c r="O244" s="2">
        <f t="shared" si="46"/>
        <v>3415764</v>
      </c>
      <c r="Q244" s="7">
        <v>9510625</v>
      </c>
      <c r="S244" s="7">
        <v>12926389</v>
      </c>
      <c r="U244" s="7">
        <v>41735</v>
      </c>
      <c r="W244" s="7">
        <v>18741311</v>
      </c>
      <c r="Y244" s="7">
        <v>131258</v>
      </c>
      <c r="AA244" s="7">
        <v>106270</v>
      </c>
      <c r="AC244" s="7">
        <v>1917195</v>
      </c>
      <c r="AE244" s="13">
        <f t="shared" si="41"/>
        <v>20937769</v>
      </c>
      <c r="AG244" s="7">
        <f t="shared" si="42"/>
        <v>0</v>
      </c>
      <c r="AK244" s="7" t="str">
        <f t="shared" si="43"/>
        <v>Hubbard Exempted Village SD</v>
      </c>
      <c r="AL244" s="7" t="str">
        <f>GenExp!A244</f>
        <v>Hubbard Exempted Village SD</v>
      </c>
      <c r="AM244" s="7" t="b">
        <f t="shared" si="44"/>
        <v>1</v>
      </c>
      <c r="AN244" s="7" t="str">
        <f t="shared" si="40"/>
        <v>Trumbull</v>
      </c>
      <c r="AO244" s="7" t="b">
        <f>C244=GenExp!C244</f>
        <v>1</v>
      </c>
    </row>
    <row r="245" spans="1:41">
      <c r="A245" s="12" t="s">
        <v>443</v>
      </c>
      <c r="B245" s="12"/>
      <c r="C245" s="12" t="s">
        <v>50</v>
      </c>
      <c r="D245" s="12"/>
      <c r="E245" s="12">
        <v>48751</v>
      </c>
      <c r="G245" s="7">
        <f>24178508+91483079</f>
        <v>115661587</v>
      </c>
      <c r="I245" s="7">
        <f>900371+1140840</f>
        <v>2041211</v>
      </c>
      <c r="K245" s="2">
        <f t="shared" si="45"/>
        <v>34406971</v>
      </c>
      <c r="M245" s="7">
        <v>152109769</v>
      </c>
      <c r="O245" s="2">
        <f t="shared" si="46"/>
        <v>15135799</v>
      </c>
      <c r="Q245" s="7">
        <f>29024304+2815471</f>
        <v>31839775</v>
      </c>
      <c r="S245" s="7">
        <v>46975574</v>
      </c>
      <c r="U245" s="7">
        <v>414765</v>
      </c>
      <c r="W245" s="7">
        <v>94249810</v>
      </c>
      <c r="Y245" s="7">
        <v>11000</v>
      </c>
      <c r="AA245" s="7">
        <v>4104021</v>
      </c>
      <c r="AC245" s="7">
        <v>6354599</v>
      </c>
      <c r="AE245" s="13">
        <f t="shared" si="41"/>
        <v>105134195</v>
      </c>
      <c r="AG245" s="7">
        <f t="shared" si="42"/>
        <v>0</v>
      </c>
      <c r="AK245" s="7" t="str">
        <f t="shared" si="43"/>
        <v>Huber Heights City SD</v>
      </c>
      <c r="AL245" s="7" t="str">
        <f>GenExp!A245</f>
        <v>Huber Heights City SD</v>
      </c>
      <c r="AM245" s="7" t="b">
        <f t="shared" si="44"/>
        <v>1</v>
      </c>
      <c r="AN245" s="7" t="str">
        <f t="shared" si="40"/>
        <v>Montgomery</v>
      </c>
      <c r="AO245" s="7" t="b">
        <f>C245=GenExp!C245</f>
        <v>1</v>
      </c>
    </row>
    <row r="246" spans="1:41">
      <c r="A246" s="12" t="s">
        <v>525</v>
      </c>
      <c r="B246" s="12"/>
      <c r="C246" s="12" t="s">
        <v>63</v>
      </c>
      <c r="D246" s="12"/>
      <c r="E246" s="12">
        <v>50021</v>
      </c>
      <c r="G246" s="7">
        <f>15521636+2391319</f>
        <v>17912955</v>
      </c>
      <c r="I246" s="7">
        <v>0</v>
      </c>
      <c r="K246" s="2">
        <f t="shared" si="45"/>
        <v>46256665</v>
      </c>
      <c r="M246" s="7">
        <v>64169620</v>
      </c>
      <c r="O246" s="2">
        <f t="shared" si="46"/>
        <v>8446676</v>
      </c>
      <c r="Q246" s="7">
        <f>37657769+3639410</f>
        <v>41297179</v>
      </c>
      <c r="S246" s="7">
        <v>49743855</v>
      </c>
      <c r="U246" s="7">
        <v>57559</v>
      </c>
      <c r="W246" s="7">
        <f>3828701+2877286+144157+39158+60514+4083+131939+45777</f>
        <v>7131615</v>
      </c>
      <c r="Y246" s="7">
        <v>0</v>
      </c>
      <c r="AA246" s="7">
        <f>207052+660467+5490+326718+20677</f>
        <v>1220404</v>
      </c>
      <c r="AC246" s="7">
        <v>6016187</v>
      </c>
      <c r="AE246" s="13">
        <f t="shared" si="41"/>
        <v>14425765</v>
      </c>
      <c r="AG246" s="7">
        <f t="shared" si="42"/>
        <v>0</v>
      </c>
      <c r="AK246" s="7" t="str">
        <f t="shared" si="43"/>
        <v>Hudson City SD</v>
      </c>
      <c r="AL246" s="7" t="str">
        <f>GenExp!A246</f>
        <v>Hudson City SD</v>
      </c>
      <c r="AM246" s="7" t="b">
        <f t="shared" si="44"/>
        <v>1</v>
      </c>
      <c r="AN246" s="7" t="str">
        <f t="shared" si="40"/>
        <v>Summit</v>
      </c>
      <c r="AO246" s="7" t="b">
        <f>C246=GenExp!C246</f>
        <v>1</v>
      </c>
    </row>
    <row r="247" spans="1:41">
      <c r="A247" s="12" t="s">
        <v>489</v>
      </c>
      <c r="B247" s="12"/>
      <c r="C247" s="12" t="s">
        <v>58</v>
      </c>
      <c r="D247" s="12"/>
      <c r="E247" s="12">
        <v>49502</v>
      </c>
      <c r="G247" s="7">
        <v>4992823</v>
      </c>
      <c r="I247" s="7">
        <v>793908</v>
      </c>
      <c r="K247" s="2">
        <f t="shared" si="45"/>
        <v>1626452</v>
      </c>
      <c r="M247" s="7">
        <v>7413183</v>
      </c>
      <c r="O247" s="2">
        <f t="shared" si="46"/>
        <v>1750532</v>
      </c>
      <c r="Q247" s="7">
        <v>1160093</v>
      </c>
      <c r="S247" s="7">
        <v>2910625</v>
      </c>
      <c r="U247" s="7">
        <v>68592</v>
      </c>
      <c r="W247" s="7">
        <v>1564838</v>
      </c>
      <c r="Y247" s="7">
        <v>0</v>
      </c>
      <c r="AA247" s="7">
        <v>32990</v>
      </c>
      <c r="AC247" s="7">
        <v>2836138</v>
      </c>
      <c r="AE247" s="13">
        <f t="shared" si="41"/>
        <v>4502558</v>
      </c>
      <c r="AG247" s="7">
        <f t="shared" si="42"/>
        <v>0</v>
      </c>
      <c r="AK247" s="7" t="str">
        <f t="shared" si="43"/>
        <v>Huntington Local SD</v>
      </c>
      <c r="AL247" s="7" t="str">
        <f>GenExp!A247</f>
        <v>Huntington Local SD</v>
      </c>
      <c r="AM247" s="7" t="b">
        <f t="shared" si="44"/>
        <v>1</v>
      </c>
      <c r="AN247" s="7" t="str">
        <f t="shared" si="40"/>
        <v>Ross</v>
      </c>
      <c r="AO247" s="7" t="b">
        <f>C247=GenExp!C247</f>
        <v>1</v>
      </c>
    </row>
    <row r="248" spans="1:41">
      <c r="A248" s="12" t="s">
        <v>292</v>
      </c>
      <c r="B248" s="12"/>
      <c r="C248" s="12" t="s">
        <v>24</v>
      </c>
      <c r="D248" s="12"/>
      <c r="E248" s="12">
        <v>44131</v>
      </c>
      <c r="G248" s="7">
        <f>8598796+17028</f>
        <v>8615824</v>
      </c>
      <c r="I248" s="7">
        <v>26629</v>
      </c>
      <c r="K248" s="2">
        <f t="shared" si="45"/>
        <v>11296678</v>
      </c>
      <c r="M248" s="7">
        <v>19939131</v>
      </c>
      <c r="O248" s="2">
        <f t="shared" si="46"/>
        <v>2095572</v>
      </c>
      <c r="Q248" s="7">
        <f>8362076+928408</f>
        <v>9290484</v>
      </c>
      <c r="S248" s="7">
        <v>11386056</v>
      </c>
      <c r="U248" s="7">
        <f>18657+10792</f>
        <v>29449</v>
      </c>
      <c r="W248" s="7">
        <f>443771+288243+5821+27742+4446+17063+79645+26629</f>
        <v>893360</v>
      </c>
      <c r="Y248" s="7">
        <v>0</v>
      </c>
      <c r="AA248" s="7">
        <f>229659+99087+2865+33515+72365</f>
        <v>437491</v>
      </c>
      <c r="AC248" s="7">
        <v>7192775</v>
      </c>
      <c r="AE248" s="13">
        <f t="shared" si="41"/>
        <v>8553075</v>
      </c>
      <c r="AG248" s="7">
        <f t="shared" si="42"/>
        <v>0</v>
      </c>
      <c r="AK248" s="7" t="str">
        <f t="shared" si="43"/>
        <v>Huron City SD</v>
      </c>
      <c r="AL248" s="7" t="str">
        <f>GenExp!A248</f>
        <v>Huron City SD</v>
      </c>
      <c r="AM248" s="7" t="b">
        <f t="shared" si="44"/>
        <v>1</v>
      </c>
      <c r="AN248" s="7" t="str">
        <f t="shared" si="40"/>
        <v>Erie</v>
      </c>
      <c r="AO248" s="7" t="b">
        <f>C248=GenExp!C248</f>
        <v>1</v>
      </c>
    </row>
    <row r="249" spans="1:41">
      <c r="A249" s="12" t="s">
        <v>275</v>
      </c>
      <c r="B249" s="12"/>
      <c r="C249" s="12" t="s">
        <v>20</v>
      </c>
      <c r="D249" s="12"/>
      <c r="E249" s="12">
        <v>46565</v>
      </c>
      <c r="G249" s="7">
        <v>4406749</v>
      </c>
      <c r="I249" s="7">
        <v>0</v>
      </c>
      <c r="K249" s="2">
        <f t="shared" si="45"/>
        <v>18179964</v>
      </c>
      <c r="M249" s="7">
        <v>22586713</v>
      </c>
      <c r="O249" s="2">
        <f t="shared" si="46"/>
        <v>2105688</v>
      </c>
      <c r="Q249" s="7">
        <v>16119340</v>
      </c>
      <c r="S249" s="7">
        <v>18225028</v>
      </c>
      <c r="U249" s="7">
        <v>0</v>
      </c>
      <c r="W249" s="7">
        <v>2814074</v>
      </c>
      <c r="Y249" s="7">
        <v>0</v>
      </c>
      <c r="AA249" s="7">
        <v>38237</v>
      </c>
      <c r="AC249" s="7">
        <v>1509374</v>
      </c>
      <c r="AE249" s="13">
        <f t="shared" si="41"/>
        <v>4361685</v>
      </c>
      <c r="AG249" s="7">
        <f t="shared" si="42"/>
        <v>0</v>
      </c>
      <c r="AK249" s="7" t="str">
        <f t="shared" si="43"/>
        <v>Independence Local SD</v>
      </c>
      <c r="AL249" s="7" t="str">
        <f>GenExp!A249</f>
        <v>Independence Local SD</v>
      </c>
      <c r="AM249" s="7" t="b">
        <f t="shared" si="44"/>
        <v>1</v>
      </c>
      <c r="AN249" s="7" t="str">
        <f t="shared" si="40"/>
        <v>Cuyahoga</v>
      </c>
      <c r="AO249" s="7" t="b">
        <f>C249=GenExp!C249</f>
        <v>1</v>
      </c>
    </row>
    <row r="250" spans="1:41">
      <c r="A250" s="12" t="s">
        <v>373</v>
      </c>
      <c r="B250" s="12"/>
      <c r="C250" s="12" t="s">
        <v>39</v>
      </c>
      <c r="D250" s="12"/>
      <c r="E250" s="12">
        <v>47803</v>
      </c>
      <c r="G250" s="7">
        <v>16208612</v>
      </c>
      <c r="I250" s="7">
        <v>0</v>
      </c>
      <c r="K250" s="2">
        <f t="shared" si="45"/>
        <v>10361320</v>
      </c>
      <c r="M250" s="7">
        <v>26569932</v>
      </c>
      <c r="O250" s="2">
        <f t="shared" si="46"/>
        <v>4373093</v>
      </c>
      <c r="Q250" s="7">
        <v>9212720</v>
      </c>
      <c r="S250" s="7">
        <v>13585813</v>
      </c>
      <c r="U250" s="7">
        <v>91248</v>
      </c>
      <c r="W250" s="7">
        <v>15295645</v>
      </c>
      <c r="Y250" s="7">
        <v>25000</v>
      </c>
      <c r="AA250" s="7">
        <v>291164</v>
      </c>
      <c r="AC250" s="7">
        <v>-2718938</v>
      </c>
      <c r="AE250" s="13">
        <f t="shared" si="41"/>
        <v>12984119</v>
      </c>
      <c r="AG250" s="7">
        <f t="shared" si="42"/>
        <v>0</v>
      </c>
      <c r="AK250" s="7" t="str">
        <f t="shared" si="43"/>
        <v>Indian Creek Local SD</v>
      </c>
      <c r="AL250" s="7" t="str">
        <f>GenExp!A250</f>
        <v>Indian Creek Local SD</v>
      </c>
      <c r="AM250" s="7" t="b">
        <f t="shared" si="44"/>
        <v>1</v>
      </c>
      <c r="AN250" s="7" t="str">
        <f t="shared" si="40"/>
        <v>Jefferson</v>
      </c>
      <c r="AO250" s="7" t="b">
        <f>C250=GenExp!C250</f>
        <v>1</v>
      </c>
    </row>
    <row r="251" spans="1:41">
      <c r="A251" s="12" t="s">
        <v>871</v>
      </c>
      <c r="B251" s="12"/>
      <c r="C251" s="12" t="s">
        <v>32</v>
      </c>
      <c r="D251" s="12"/>
      <c r="E251" s="12">
        <v>45435</v>
      </c>
      <c r="G251" s="7">
        <v>31697696</v>
      </c>
      <c r="I251" s="7">
        <v>0</v>
      </c>
      <c r="K251" s="2">
        <f t="shared" si="45"/>
        <v>32359936</v>
      </c>
      <c r="M251" s="7">
        <v>64057632</v>
      </c>
      <c r="O251" s="2">
        <f t="shared" si="46"/>
        <v>3611521</v>
      </c>
      <c r="Q251" s="7">
        <f>1207420+19410531</f>
        <v>20617951</v>
      </c>
      <c r="S251" s="7">
        <v>24229472</v>
      </c>
      <c r="U251" s="7">
        <v>16136</v>
      </c>
      <c r="W251" s="7">
        <f>3596271+222544+306447+279+6008+102543</f>
        <v>4234092</v>
      </c>
      <c r="Y251" s="7">
        <v>1188530</v>
      </c>
      <c r="AA251" s="7">
        <f>10422+33842+737</f>
        <v>45001</v>
      </c>
      <c r="AC251" s="7">
        <v>34344401</v>
      </c>
      <c r="AE251" s="13">
        <f t="shared" si="41"/>
        <v>39828160</v>
      </c>
      <c r="AG251" s="7">
        <f t="shared" si="42"/>
        <v>0</v>
      </c>
      <c r="AK251" s="7" t="str">
        <f t="shared" si="43"/>
        <v>Indian Hill Exempted Village SD</v>
      </c>
      <c r="AL251" s="7" t="str">
        <f>GenExp!A251</f>
        <v>Indian Hill Exempted Village SD</v>
      </c>
      <c r="AM251" s="7" t="b">
        <f t="shared" si="44"/>
        <v>1</v>
      </c>
      <c r="AN251" s="7" t="str">
        <f t="shared" si="40"/>
        <v>Hamilton</v>
      </c>
      <c r="AO251" s="7" t="b">
        <f>C251=GenExp!C251</f>
        <v>1</v>
      </c>
    </row>
    <row r="252" spans="1:41" hidden="1">
      <c r="A252" s="12" t="s">
        <v>909</v>
      </c>
      <c r="B252" s="12"/>
      <c r="C252" s="12" t="s">
        <v>43</v>
      </c>
      <c r="D252" s="12"/>
      <c r="E252" s="12"/>
      <c r="K252" s="2">
        <f t="shared" si="45"/>
        <v>0</v>
      </c>
      <c r="O252" s="2">
        <f t="shared" si="46"/>
        <v>0</v>
      </c>
      <c r="AE252" s="13">
        <f t="shared" si="41"/>
        <v>0</v>
      </c>
      <c r="AG252" s="7">
        <f t="shared" si="42"/>
        <v>0</v>
      </c>
      <c r="AI252" s="7" t="s">
        <v>904</v>
      </c>
      <c r="AK252" s="7" t="str">
        <f t="shared" si="43"/>
        <v>Indian Lake Local SD (CASH)</v>
      </c>
      <c r="AL252" s="7" t="str">
        <f>GenExp!A252</f>
        <v>Indian Lake Local SD (CASH)</v>
      </c>
      <c r="AM252" s="7" t="b">
        <f t="shared" si="44"/>
        <v>1</v>
      </c>
      <c r="AN252" s="7" t="str">
        <f t="shared" si="40"/>
        <v>Logan</v>
      </c>
      <c r="AO252" s="7" t="b">
        <f>C252=GenExp!C252</f>
        <v>1</v>
      </c>
    </row>
    <row r="253" spans="1:41">
      <c r="A253" s="12" t="s">
        <v>552</v>
      </c>
      <c r="B253" s="12"/>
      <c r="C253" s="12" t="s">
        <v>65</v>
      </c>
      <c r="D253" s="12"/>
      <c r="E253" s="12">
        <v>50286</v>
      </c>
      <c r="G253" s="7">
        <v>5467012</v>
      </c>
      <c r="I253" s="7">
        <v>0</v>
      </c>
      <c r="K253" s="2">
        <f t="shared" si="45"/>
        <v>6055777</v>
      </c>
      <c r="M253" s="7">
        <v>11522789</v>
      </c>
      <c r="O253" s="2">
        <f t="shared" si="46"/>
        <v>2372194</v>
      </c>
      <c r="Q253" s="7">
        <v>5437235</v>
      </c>
      <c r="S253" s="7">
        <v>7809429</v>
      </c>
      <c r="U253" s="7">
        <v>13017</v>
      </c>
      <c r="W253" s="7">
        <v>1877206</v>
      </c>
      <c r="Y253" s="7">
        <v>0</v>
      </c>
      <c r="AA253" s="7">
        <v>48321</v>
      </c>
      <c r="AC253" s="7">
        <v>1774816</v>
      </c>
      <c r="AE253" s="13">
        <f t="shared" si="41"/>
        <v>3713360</v>
      </c>
      <c r="AG253" s="7">
        <f t="shared" si="42"/>
        <v>0</v>
      </c>
      <c r="AK253" s="7" t="str">
        <f t="shared" si="43"/>
        <v>Indian Valley Local SD</v>
      </c>
      <c r="AL253" s="7" t="str">
        <f>GenExp!A253</f>
        <v>Indian Valley Local SD</v>
      </c>
      <c r="AM253" s="7" t="b">
        <f t="shared" si="44"/>
        <v>1</v>
      </c>
      <c r="AN253" s="7" t="str">
        <f t="shared" si="40"/>
        <v>Tuscarawas</v>
      </c>
      <c r="AO253" s="7" t="b">
        <f>C253=GenExp!C253</f>
        <v>1</v>
      </c>
    </row>
    <row r="254" spans="1:41">
      <c r="A254" s="12" t="s">
        <v>380</v>
      </c>
      <c r="B254" s="12"/>
      <c r="C254" s="12" t="s">
        <v>377</v>
      </c>
      <c r="D254" s="12"/>
      <c r="E254" s="12">
        <v>44149</v>
      </c>
      <c r="G254" s="7">
        <v>3119972</v>
      </c>
      <c r="I254" s="7">
        <f>690250+388918+541672</f>
        <v>1620840</v>
      </c>
      <c r="K254" s="2">
        <f t="shared" si="45"/>
        <v>7387472</v>
      </c>
      <c r="M254" s="7">
        <v>12128284</v>
      </c>
      <c r="O254" s="2">
        <f t="shared" si="46"/>
        <v>2292542</v>
      </c>
      <c r="Q254" s="7">
        <v>6761319</v>
      </c>
      <c r="S254" s="7">
        <v>9053861</v>
      </c>
      <c r="U254" s="7">
        <v>26383</v>
      </c>
      <c r="W254" s="7">
        <v>2683843</v>
      </c>
      <c r="Y254" s="7">
        <v>99969</v>
      </c>
      <c r="AA254" s="7">
        <v>777560</v>
      </c>
      <c r="AC254" s="7">
        <v>-513332</v>
      </c>
      <c r="AE254" s="13">
        <f t="shared" si="41"/>
        <v>3074423</v>
      </c>
      <c r="AG254" s="7">
        <f t="shared" si="42"/>
        <v>0</v>
      </c>
      <c r="AK254" s="7" t="str">
        <f t="shared" si="43"/>
        <v>Ironton City SD</v>
      </c>
      <c r="AL254" s="7" t="str">
        <f>GenExp!A254</f>
        <v>Ironton City SD</v>
      </c>
      <c r="AM254" s="7" t="b">
        <f t="shared" si="44"/>
        <v>1</v>
      </c>
      <c r="AN254" s="7" t="str">
        <f t="shared" si="40"/>
        <v>Lawrence</v>
      </c>
      <c r="AO254" s="7" t="b">
        <f>C254=GenExp!C254</f>
        <v>1</v>
      </c>
    </row>
    <row r="255" spans="1:41" hidden="1">
      <c r="A255" s="12" t="s">
        <v>700</v>
      </c>
      <c r="B255" s="12"/>
      <c r="C255" s="12" t="s">
        <v>61</v>
      </c>
      <c r="D255" s="12"/>
      <c r="E255" s="12">
        <v>49809</v>
      </c>
      <c r="K255" s="2">
        <f t="shared" si="45"/>
        <v>0</v>
      </c>
      <c r="O255" s="2">
        <f t="shared" si="46"/>
        <v>0</v>
      </c>
      <c r="AE255" s="13">
        <f t="shared" si="41"/>
        <v>0</v>
      </c>
      <c r="AG255" s="7">
        <f t="shared" si="42"/>
        <v>0</v>
      </c>
      <c r="AI255" s="7" t="s">
        <v>904</v>
      </c>
      <c r="AK255" s="7" t="str">
        <f t="shared" si="43"/>
        <v>Jackson Center Local SD (CASH)</v>
      </c>
      <c r="AL255" s="7" t="str">
        <f>GenExp!A255</f>
        <v>Jackson Center Local SD (CASH)</v>
      </c>
      <c r="AM255" s="7" t="b">
        <f t="shared" si="44"/>
        <v>1</v>
      </c>
      <c r="AN255" s="7" t="str">
        <f t="shared" si="40"/>
        <v>Shelby</v>
      </c>
      <c r="AO255" s="7" t="b">
        <f>C255=GenExp!C255</f>
        <v>1</v>
      </c>
    </row>
    <row r="256" spans="1:41" hidden="1">
      <c r="A256" s="12" t="s">
        <v>715</v>
      </c>
      <c r="B256" s="12"/>
      <c r="C256" s="12" t="s">
        <v>38</v>
      </c>
      <c r="D256" s="12"/>
      <c r="E256" s="12"/>
      <c r="K256" s="2">
        <f t="shared" si="45"/>
        <v>0</v>
      </c>
      <c r="O256" s="2">
        <f t="shared" si="46"/>
        <v>0</v>
      </c>
      <c r="AE256" s="13">
        <f t="shared" si="41"/>
        <v>0</v>
      </c>
      <c r="AG256" s="7">
        <f t="shared" si="42"/>
        <v>0</v>
      </c>
      <c r="AI256" s="7" t="s">
        <v>904</v>
      </c>
      <c r="AK256" s="7" t="str">
        <f t="shared" si="43"/>
        <v>Jackson City SD (CASH)</v>
      </c>
      <c r="AL256" s="7" t="str">
        <f>GenExp!A256</f>
        <v>Jackson City SD (CASH)</v>
      </c>
      <c r="AM256" s="7" t="b">
        <f t="shared" si="44"/>
        <v>1</v>
      </c>
      <c r="AN256" s="7" t="str">
        <f t="shared" si="40"/>
        <v>Jackson</v>
      </c>
      <c r="AO256" s="7" t="b">
        <f>C256=GenExp!C256</f>
        <v>1</v>
      </c>
    </row>
    <row r="257" spans="1:41">
      <c r="A257" s="12" t="s">
        <v>512</v>
      </c>
      <c r="B257" s="12"/>
      <c r="C257" s="12" t="s">
        <v>62</v>
      </c>
      <c r="D257" s="12"/>
      <c r="E257" s="12">
        <v>49858</v>
      </c>
      <c r="G257" s="7">
        <v>22170751</v>
      </c>
      <c r="I257" s="7">
        <v>0</v>
      </c>
      <c r="K257" s="2">
        <f t="shared" si="45"/>
        <v>49545669</v>
      </c>
      <c r="M257" s="7">
        <v>71716420</v>
      </c>
      <c r="O257" s="2">
        <f t="shared" si="46"/>
        <v>6986490</v>
      </c>
      <c r="Q257" s="7">
        <f>42262948+1482000</f>
        <v>43744948</v>
      </c>
      <c r="S257" s="7">
        <v>50731438</v>
      </c>
      <c r="U257" s="7">
        <f>208542+34068+16366</f>
        <v>258976</v>
      </c>
      <c r="W257" s="7">
        <f>5164862+1263952+108316+2658+324484</f>
        <v>6864272</v>
      </c>
      <c r="Y257" s="7">
        <v>0</v>
      </c>
      <c r="AA257" s="7">
        <f>76067+389477+3939+3552+1156+46705+65872</f>
        <v>586768</v>
      </c>
      <c r="AC257" s="7">
        <v>13274966</v>
      </c>
      <c r="AE257" s="13">
        <f t="shared" si="41"/>
        <v>20984982</v>
      </c>
      <c r="AG257" s="7">
        <f t="shared" si="42"/>
        <v>0</v>
      </c>
      <c r="AK257" s="7" t="str">
        <f t="shared" si="43"/>
        <v>Jackson Local SD</v>
      </c>
      <c r="AL257" s="7" t="str">
        <f>GenExp!A257</f>
        <v>Jackson Local SD</v>
      </c>
      <c r="AM257" s="7" t="b">
        <f t="shared" si="44"/>
        <v>1</v>
      </c>
      <c r="AN257" s="7" t="str">
        <f t="shared" si="40"/>
        <v>Stark</v>
      </c>
      <c r="AO257" s="7" t="b">
        <f>C257=GenExp!C257</f>
        <v>1</v>
      </c>
    </row>
    <row r="258" spans="1:41">
      <c r="A258" s="12" t="s">
        <v>417</v>
      </c>
      <c r="B258" s="12"/>
      <c r="C258" s="12" t="s">
        <v>45</v>
      </c>
      <c r="D258" s="12"/>
      <c r="E258" s="12">
        <v>48322</v>
      </c>
      <c r="G258" s="7">
        <v>4109774</v>
      </c>
      <c r="I258" s="7">
        <v>0</v>
      </c>
      <c r="K258" s="2">
        <f t="shared" si="45"/>
        <v>6144254</v>
      </c>
      <c r="M258" s="7">
        <v>10254028</v>
      </c>
      <c r="O258" s="2">
        <f t="shared" si="46"/>
        <v>1282170</v>
      </c>
      <c r="Q258" s="7">
        <f>523296+5482447</f>
        <v>6005743</v>
      </c>
      <c r="S258" s="7">
        <v>7287913</v>
      </c>
      <c r="U258" s="7">
        <f>5669+13425</f>
        <v>19094</v>
      </c>
      <c r="W258" s="7">
        <f>59675+847961+151957+6520+28051+44889</f>
        <v>1139053</v>
      </c>
      <c r="Y258" s="7">
        <v>374892</v>
      </c>
      <c r="AA258" s="7">
        <f>829+23925+22035</f>
        <v>46789</v>
      </c>
      <c r="AC258" s="7">
        <v>1386287</v>
      </c>
      <c r="AE258" s="13">
        <f t="shared" si="41"/>
        <v>2966115</v>
      </c>
      <c r="AG258" s="7">
        <f t="shared" si="42"/>
        <v>0</v>
      </c>
      <c r="AK258" s="7" t="str">
        <f t="shared" si="43"/>
        <v>Jackson-Milton Local SD</v>
      </c>
      <c r="AL258" s="7" t="str">
        <f>GenExp!A258</f>
        <v>Jackson-Milton Local SD</v>
      </c>
      <c r="AM258" s="7" t="b">
        <f t="shared" si="44"/>
        <v>1</v>
      </c>
      <c r="AN258" s="7" t="str">
        <f t="shared" si="40"/>
        <v>Mahoning</v>
      </c>
      <c r="AO258" s="7" t="b">
        <f>C258=GenExp!C258</f>
        <v>1</v>
      </c>
    </row>
    <row r="259" spans="1:41">
      <c r="A259" s="12" t="s">
        <v>475</v>
      </c>
      <c r="B259" s="12"/>
      <c r="C259" s="12" t="s">
        <v>56</v>
      </c>
      <c r="D259" s="12"/>
      <c r="E259" s="12">
        <v>49205</v>
      </c>
      <c r="G259" s="7">
        <v>3539354</v>
      </c>
      <c r="I259" s="7">
        <v>50662</v>
      </c>
      <c r="K259" s="2">
        <f t="shared" si="45"/>
        <v>5538516</v>
      </c>
      <c r="M259" s="7">
        <v>9128532</v>
      </c>
      <c r="O259" s="2">
        <f t="shared" si="46"/>
        <v>1877299</v>
      </c>
      <c r="Q259" s="7">
        <f>858577+3993798</f>
        <v>4852375</v>
      </c>
      <c r="S259" s="7">
        <v>6729674</v>
      </c>
      <c r="U259" s="7">
        <f>36847+22666</f>
        <v>59513</v>
      </c>
      <c r="W259" s="7">
        <f>250873+50662+23334+21557</f>
        <v>346426</v>
      </c>
      <c r="Y259" s="7">
        <f>6633+44054</f>
        <v>50687</v>
      </c>
      <c r="AA259" s="7">
        <f>9988+64803+19374+11000+102316</f>
        <v>207481</v>
      </c>
      <c r="AC259" s="7">
        <v>1734751</v>
      </c>
      <c r="AE259" s="13">
        <f t="shared" si="41"/>
        <v>2398858</v>
      </c>
      <c r="AG259" s="7">
        <f t="shared" si="42"/>
        <v>0</v>
      </c>
      <c r="AK259" s="7" t="str">
        <f t="shared" si="43"/>
        <v>James A Garfield Local SD</v>
      </c>
      <c r="AL259" s="7" t="str">
        <f>GenExp!A259</f>
        <v>James A Garfield Local SD</v>
      </c>
      <c r="AM259" s="7" t="b">
        <f t="shared" si="44"/>
        <v>1</v>
      </c>
      <c r="AN259" s="7" t="str">
        <f t="shared" si="40"/>
        <v>Portage</v>
      </c>
      <c r="AO259" s="7" t="b">
        <f>C259=GenExp!C259</f>
        <v>1</v>
      </c>
    </row>
    <row r="260" spans="1:41">
      <c r="A260" s="12" t="s">
        <v>210</v>
      </c>
      <c r="B260" s="12"/>
      <c r="C260" s="12" t="s">
        <v>12</v>
      </c>
      <c r="D260" s="12"/>
      <c r="E260" s="12">
        <v>45872</v>
      </c>
      <c r="G260" s="7">
        <v>6442618</v>
      </c>
      <c r="I260" s="7">
        <v>1661406</v>
      </c>
      <c r="K260" s="2">
        <f t="shared" si="45"/>
        <v>8285964</v>
      </c>
      <c r="M260" s="7">
        <v>16389988</v>
      </c>
      <c r="O260" s="2">
        <f t="shared" si="46"/>
        <v>3109076</v>
      </c>
      <c r="Q260" s="7">
        <v>4763537</v>
      </c>
      <c r="S260" s="7">
        <v>7872613</v>
      </c>
      <c r="U260" s="7">
        <v>62724</v>
      </c>
      <c r="W260" s="7">
        <v>5160409</v>
      </c>
      <c r="Y260" s="7">
        <v>2161029</v>
      </c>
      <c r="AA260" s="7">
        <v>254998</v>
      </c>
      <c r="AC260" s="7">
        <v>878215</v>
      </c>
      <c r="AE260" s="13">
        <f t="shared" si="41"/>
        <v>8517375</v>
      </c>
      <c r="AG260" s="7">
        <f t="shared" si="42"/>
        <v>0</v>
      </c>
      <c r="AK260" s="7" t="str">
        <f t="shared" si="43"/>
        <v>Jefferson Area Local SD</v>
      </c>
      <c r="AL260" s="7" t="str">
        <f>GenExp!A260</f>
        <v>Jefferson Area Local SD</v>
      </c>
      <c r="AM260" s="7" t="b">
        <f t="shared" si="44"/>
        <v>1</v>
      </c>
      <c r="AN260" s="7" t="str">
        <f t="shared" si="40"/>
        <v>Ashtabula</v>
      </c>
      <c r="AO260" s="7" t="b">
        <f>C260=GenExp!C260</f>
        <v>1</v>
      </c>
    </row>
    <row r="261" spans="1:41">
      <c r="A261" s="12" t="s">
        <v>410</v>
      </c>
      <c r="B261" s="12"/>
      <c r="C261" s="12" t="s">
        <v>411</v>
      </c>
      <c r="D261" s="12"/>
      <c r="E261" s="12">
        <v>48256</v>
      </c>
      <c r="G261" s="7">
        <f>6735213+12666</f>
        <v>6747879</v>
      </c>
      <c r="I261" s="7">
        <v>3882</v>
      </c>
      <c r="K261" s="2">
        <f t="shared" si="45"/>
        <v>6424989</v>
      </c>
      <c r="M261" s="7">
        <v>13176750</v>
      </c>
      <c r="O261" s="2">
        <f t="shared" si="46"/>
        <v>1425765</v>
      </c>
      <c r="Q261" s="7">
        <f>484329+3141595</f>
        <v>3625924</v>
      </c>
      <c r="S261" s="7">
        <v>5051689</v>
      </c>
      <c r="U261" s="7">
        <f>12979+50986</f>
        <v>63965</v>
      </c>
      <c r="W261" s="7">
        <f>1522750+76305+232448+103+33950+3882+51747</f>
        <v>1921185</v>
      </c>
      <c r="Y261" s="7">
        <v>2436</v>
      </c>
      <c r="AA261" s="7">
        <f>7950+103712+5255+34464</f>
        <v>151381</v>
      </c>
      <c r="AC261" s="7">
        <v>5986094</v>
      </c>
      <c r="AE261" s="13">
        <f t="shared" si="41"/>
        <v>8125061</v>
      </c>
      <c r="AG261" s="7">
        <f t="shared" si="42"/>
        <v>0</v>
      </c>
      <c r="AK261" s="7" t="str">
        <f t="shared" si="43"/>
        <v>Jefferson Local SD</v>
      </c>
      <c r="AL261" s="7" t="str">
        <f>GenExp!A261</f>
        <v>Jefferson Local SD</v>
      </c>
      <c r="AM261" s="7" t="b">
        <f t="shared" si="44"/>
        <v>1</v>
      </c>
      <c r="AN261" s="7" t="str">
        <f t="shared" si="40"/>
        <v>Madison</v>
      </c>
      <c r="AO261" s="7" t="b">
        <f>C261=GenExp!C261</f>
        <v>1</v>
      </c>
    </row>
    <row r="262" spans="1:41">
      <c r="A262" s="12" t="s">
        <v>716</v>
      </c>
      <c r="B262" s="12"/>
      <c r="C262" s="12" t="s">
        <v>50</v>
      </c>
      <c r="D262" s="12"/>
      <c r="E262" s="12">
        <v>48686</v>
      </c>
      <c r="G262" s="7">
        <v>2156971</v>
      </c>
      <c r="I262" s="7">
        <v>5450</v>
      </c>
      <c r="K262" s="2">
        <f t="shared" si="45"/>
        <v>3841480</v>
      </c>
      <c r="M262" s="7">
        <v>6003901</v>
      </c>
      <c r="O262" s="2">
        <f t="shared" si="46"/>
        <v>723755</v>
      </c>
      <c r="Q262" s="7">
        <f>903482+2471042</f>
        <v>3374524</v>
      </c>
      <c r="S262" s="7">
        <v>4098279</v>
      </c>
      <c r="U262" s="7">
        <f>43290+9792+36854</f>
        <v>89936</v>
      </c>
      <c r="W262" s="7">
        <f>56891+106516+3763+1553+5450+3312</f>
        <v>177485</v>
      </c>
      <c r="Y262" s="7">
        <f>1605+11000</f>
        <v>12605</v>
      </c>
      <c r="AA262" s="7">
        <f>32744+27238+1250+21942+3053</f>
        <v>86227</v>
      </c>
      <c r="AC262" s="7">
        <v>1539369</v>
      </c>
      <c r="AE262" s="13">
        <f t="shared" si="41"/>
        <v>1905622</v>
      </c>
      <c r="AG262" s="7">
        <f t="shared" si="42"/>
        <v>0</v>
      </c>
      <c r="AK262" s="7" t="str">
        <f t="shared" si="43"/>
        <v xml:space="preserve">Jefferson Township Local SD </v>
      </c>
      <c r="AL262" s="7" t="str">
        <f>GenExp!A262</f>
        <v xml:space="preserve">Jefferson Township Local SD </v>
      </c>
      <c r="AM262" s="7" t="b">
        <f t="shared" si="44"/>
        <v>1</v>
      </c>
      <c r="AN262" s="7" t="str">
        <f t="shared" si="40"/>
        <v>Montgomery</v>
      </c>
      <c r="AO262" s="7" t="b">
        <f>C262=GenExp!C262</f>
        <v>1</v>
      </c>
    </row>
    <row r="263" spans="1:41" hidden="1">
      <c r="A263" s="12" t="s">
        <v>910</v>
      </c>
      <c r="B263" s="12"/>
      <c r="C263" s="12" t="s">
        <v>482</v>
      </c>
      <c r="D263" s="12"/>
      <c r="E263" s="12"/>
      <c r="K263" s="2">
        <f t="shared" si="45"/>
        <v>0</v>
      </c>
      <c r="O263" s="2">
        <f t="shared" si="46"/>
        <v>0</v>
      </c>
      <c r="AE263" s="13">
        <f t="shared" si="41"/>
        <v>0</v>
      </c>
      <c r="AG263" s="7">
        <f t="shared" si="42"/>
        <v>0</v>
      </c>
      <c r="AI263" s="7" t="s">
        <v>904</v>
      </c>
      <c r="AK263" s="7" t="str">
        <f t="shared" si="43"/>
        <v xml:space="preserve">Jennings Local SD (CASH) </v>
      </c>
      <c r="AL263" s="7" t="str">
        <f>GenExp!A263</f>
        <v xml:space="preserve">Jennings Local SD (CASH) </v>
      </c>
      <c r="AM263" s="7" t="b">
        <f t="shared" si="44"/>
        <v>1</v>
      </c>
      <c r="AN263" s="7" t="str">
        <f t="shared" si="40"/>
        <v>Putnam</v>
      </c>
      <c r="AO263" s="7" t="b">
        <f>C263=GenExp!C263</f>
        <v>1</v>
      </c>
    </row>
    <row r="264" spans="1:41">
      <c r="A264" s="12" t="s">
        <v>385</v>
      </c>
      <c r="B264" s="12"/>
      <c r="C264" s="12" t="s">
        <v>42</v>
      </c>
      <c r="D264" s="12"/>
      <c r="E264" s="12">
        <v>47985</v>
      </c>
      <c r="G264" s="7">
        <v>9370373</v>
      </c>
      <c r="I264" s="7">
        <v>87453</v>
      </c>
      <c r="K264" s="2">
        <f t="shared" si="45"/>
        <v>7929445</v>
      </c>
      <c r="M264" s="7">
        <v>17387271</v>
      </c>
      <c r="O264" s="2">
        <f t="shared" si="46"/>
        <v>1309782</v>
      </c>
      <c r="Q264" s="7">
        <f>701404+5879538</f>
        <v>6580942</v>
      </c>
      <c r="S264" s="7">
        <v>7890724</v>
      </c>
      <c r="U264" s="7">
        <f>11695+8997+35300</f>
        <v>55992</v>
      </c>
      <c r="W264" s="7">
        <f>3162+68373+1394+6073+72462+87453</f>
        <v>238917</v>
      </c>
      <c r="Y264" s="7">
        <v>0</v>
      </c>
      <c r="AA264" s="7">
        <f>53083+286490+5356+345</f>
        <v>345274</v>
      </c>
      <c r="AC264" s="7">
        <v>8856364</v>
      </c>
      <c r="AE264" s="13">
        <f t="shared" si="41"/>
        <v>9496547</v>
      </c>
      <c r="AG264" s="7">
        <f t="shared" si="42"/>
        <v>0</v>
      </c>
      <c r="AK264" s="7" t="str">
        <f t="shared" si="43"/>
        <v>Johnstown-Monroe Local SD</v>
      </c>
      <c r="AL264" s="7" t="str">
        <f>GenExp!A264</f>
        <v>Johnstown-Monroe Local SD</v>
      </c>
      <c r="AM264" s="7" t="b">
        <f t="shared" si="44"/>
        <v>1</v>
      </c>
      <c r="AN264" s="7" t="str">
        <f t="shared" si="40"/>
        <v>Licking</v>
      </c>
      <c r="AO264" s="7" t="b">
        <f>C264=GenExp!C264</f>
        <v>1</v>
      </c>
    </row>
    <row r="265" spans="1:41">
      <c r="A265" s="12" t="s">
        <v>412</v>
      </c>
      <c r="B265" s="12"/>
      <c r="C265" s="12" t="s">
        <v>411</v>
      </c>
      <c r="D265" s="12"/>
      <c r="E265" s="12">
        <v>48264</v>
      </c>
      <c r="G265" s="7">
        <v>12292273</v>
      </c>
      <c r="I265" s="7">
        <v>44888</v>
      </c>
      <c r="K265" s="2">
        <f t="shared" si="45"/>
        <v>9766453</v>
      </c>
      <c r="M265" s="7">
        <v>22103614</v>
      </c>
      <c r="O265" s="2">
        <f t="shared" si="46"/>
        <v>3422081</v>
      </c>
      <c r="Q265" s="7">
        <f>2452565+4684716</f>
        <v>7137281</v>
      </c>
      <c r="S265" s="7">
        <v>10559362</v>
      </c>
      <c r="U265" s="7">
        <v>23008</v>
      </c>
      <c r="W265" s="7">
        <f>2101897+7411236+210428+176661+2821+116118+44888</f>
        <v>10064049</v>
      </c>
      <c r="Y265" s="7">
        <v>11000</v>
      </c>
      <c r="AA265" s="7">
        <f>29787+53902+82526</f>
        <v>166215</v>
      </c>
      <c r="AC265" s="7">
        <v>1279980</v>
      </c>
      <c r="AE265" s="13">
        <f t="shared" si="41"/>
        <v>11544252</v>
      </c>
      <c r="AG265" s="7">
        <f t="shared" si="42"/>
        <v>0</v>
      </c>
      <c r="AK265" s="7" t="str">
        <f t="shared" si="43"/>
        <v>Jonathan Alder Local SD</v>
      </c>
      <c r="AL265" s="7" t="str">
        <f>GenExp!A265</f>
        <v>Jonathan Alder Local SD</v>
      </c>
      <c r="AM265" s="7" t="b">
        <f t="shared" si="44"/>
        <v>1</v>
      </c>
      <c r="AN265" s="7" t="str">
        <f t="shared" si="40"/>
        <v>Madison</v>
      </c>
      <c r="AO265" s="7" t="b">
        <f>C265=GenExp!C265</f>
        <v>1</v>
      </c>
    </row>
    <row r="266" spans="1:41">
      <c r="A266" s="12" t="s">
        <v>539</v>
      </c>
      <c r="B266" s="12"/>
      <c r="C266" s="12" t="s">
        <v>64</v>
      </c>
      <c r="D266" s="12"/>
      <c r="E266" s="12">
        <v>50179</v>
      </c>
      <c r="G266" s="7">
        <v>3024849</v>
      </c>
      <c r="I266" s="7">
        <v>222404</v>
      </c>
      <c r="K266" s="2">
        <f t="shared" si="45"/>
        <v>4215416</v>
      </c>
      <c r="M266" s="7">
        <v>7462669</v>
      </c>
      <c r="O266" s="2">
        <f t="shared" si="46"/>
        <v>938247</v>
      </c>
      <c r="Q266" s="7">
        <v>4026828</v>
      </c>
      <c r="S266" s="7">
        <v>4965075</v>
      </c>
      <c r="U266" s="7">
        <v>0</v>
      </c>
      <c r="W266" s="7">
        <v>1076113</v>
      </c>
      <c r="Y266" s="7">
        <v>0</v>
      </c>
      <c r="AA266" s="7">
        <v>22463</v>
      </c>
      <c r="AC266" s="7">
        <v>1399018</v>
      </c>
      <c r="AE266" s="13">
        <f t="shared" si="41"/>
        <v>2497594</v>
      </c>
      <c r="AG266" s="7">
        <f t="shared" si="42"/>
        <v>0</v>
      </c>
      <c r="AK266" s="7" t="str">
        <f t="shared" si="43"/>
        <v>Joseph Badger Local SD</v>
      </c>
      <c r="AL266" s="7" t="str">
        <f>GenExp!A266</f>
        <v>Joseph Badger Local SD</v>
      </c>
      <c r="AM266" s="7" t="b">
        <f t="shared" si="44"/>
        <v>1</v>
      </c>
      <c r="AN266" s="7" t="str">
        <f t="shared" si="40"/>
        <v>Trumbull</v>
      </c>
      <c r="AO266" s="7" t="b">
        <f>C266=GenExp!C266</f>
        <v>1</v>
      </c>
    </row>
    <row r="267" spans="1:41">
      <c r="A267" s="12" t="s">
        <v>293</v>
      </c>
      <c r="B267" s="12"/>
      <c r="C267" s="12" t="s">
        <v>24</v>
      </c>
      <c r="D267" s="12"/>
      <c r="E267" s="12">
        <v>46797</v>
      </c>
      <c r="G267" s="7">
        <f>988717+45</f>
        <v>988762</v>
      </c>
      <c r="I267" s="7">
        <v>0</v>
      </c>
      <c r="K267" s="2">
        <f t="shared" si="45"/>
        <v>899036</v>
      </c>
      <c r="M267" s="7">
        <v>1887798</v>
      </c>
      <c r="O267" s="2">
        <f t="shared" si="46"/>
        <v>80973</v>
      </c>
      <c r="Q267" s="7">
        <f>63087+683231</f>
        <v>746318</v>
      </c>
      <c r="S267" s="7">
        <v>827291</v>
      </c>
      <c r="U267" s="7">
        <v>0</v>
      </c>
      <c r="W267" s="7">
        <f>45+9824</f>
        <v>9869</v>
      </c>
      <c r="Y267" s="7">
        <v>100147</v>
      </c>
      <c r="AA267" s="7">
        <f>3623+5630</f>
        <v>9253</v>
      </c>
      <c r="AC267" s="7">
        <v>941238</v>
      </c>
      <c r="AE267" s="13">
        <f t="shared" si="41"/>
        <v>1060507</v>
      </c>
      <c r="AG267" s="7">
        <f t="shared" si="42"/>
        <v>0</v>
      </c>
      <c r="AK267" s="7" t="str">
        <f t="shared" si="43"/>
        <v>Kelleys Island Local SD</v>
      </c>
      <c r="AL267" s="7" t="str">
        <f>GenExp!A267</f>
        <v>Kelleys Island Local SD</v>
      </c>
      <c r="AM267" s="7" t="b">
        <f t="shared" si="44"/>
        <v>1</v>
      </c>
      <c r="AN267" s="7" t="str">
        <f t="shared" si="40"/>
        <v>Erie</v>
      </c>
      <c r="AO267" s="7" t="b">
        <f>C267=GenExp!C267</f>
        <v>1</v>
      </c>
    </row>
    <row r="268" spans="1:41">
      <c r="A268" s="12" t="s">
        <v>321</v>
      </c>
      <c r="B268" s="12"/>
      <c r="C268" s="12" t="s">
        <v>30</v>
      </c>
      <c r="D268" s="12"/>
      <c r="E268" s="12">
        <v>47191</v>
      </c>
      <c r="G268" s="7">
        <f>15878705+367883</f>
        <v>16246588</v>
      </c>
      <c r="I268" s="7">
        <v>0</v>
      </c>
      <c r="K268" s="2">
        <f t="shared" si="45"/>
        <v>29106148</v>
      </c>
      <c r="M268" s="7">
        <v>45352736</v>
      </c>
      <c r="O268" s="2">
        <f t="shared" si="46"/>
        <v>5281333</v>
      </c>
      <c r="Q268" s="7">
        <v>25103331</v>
      </c>
      <c r="S268" s="7">
        <v>30384664</v>
      </c>
      <c r="U268" s="7">
        <v>81761</v>
      </c>
      <c r="W268" s="7">
        <v>5332388</v>
      </c>
      <c r="Y268" s="7">
        <v>0</v>
      </c>
      <c r="AA268" s="7">
        <v>3679132</v>
      </c>
      <c r="AC268" s="7">
        <v>5874791</v>
      </c>
      <c r="AE268" s="13">
        <f t="shared" si="41"/>
        <v>14968072</v>
      </c>
      <c r="AG268" s="7">
        <f t="shared" si="42"/>
        <v>0</v>
      </c>
      <c r="AK268" s="7" t="str">
        <f t="shared" si="43"/>
        <v>Kenston Local SD</v>
      </c>
      <c r="AL268" s="7" t="str">
        <f>GenExp!A268</f>
        <v>Kenston Local SD</v>
      </c>
      <c r="AM268" s="7" t="b">
        <f t="shared" si="44"/>
        <v>1</v>
      </c>
      <c r="AN268" s="7" t="str">
        <f t="shared" ref="AN268:AN332" si="47">C268</f>
        <v>Geauga</v>
      </c>
      <c r="AO268" s="7" t="b">
        <f>C268=GenExp!C268</f>
        <v>1</v>
      </c>
    </row>
    <row r="269" spans="1:41">
      <c r="A269" s="12" t="s">
        <v>476</v>
      </c>
      <c r="B269" s="12"/>
      <c r="C269" s="12" t="s">
        <v>56</v>
      </c>
      <c r="D269" s="12"/>
      <c r="E269" s="12">
        <v>44164</v>
      </c>
      <c r="G269" s="7">
        <f>21026600+7500</f>
        <v>21034100</v>
      </c>
      <c r="I269" s="7">
        <v>0</v>
      </c>
      <c r="K269" s="2">
        <f t="shared" si="45"/>
        <v>24683840</v>
      </c>
      <c r="M269" s="7">
        <v>45717940</v>
      </c>
      <c r="O269" s="2">
        <f t="shared" si="46"/>
        <v>5511690</v>
      </c>
      <c r="Q269" s="7">
        <v>22492355</v>
      </c>
      <c r="S269" s="7">
        <v>28004045</v>
      </c>
      <c r="U269" s="7">
        <v>142699</v>
      </c>
      <c r="W269" s="7">
        <v>1242636</v>
      </c>
      <c r="Y269" s="7">
        <v>0</v>
      </c>
      <c r="AA269" s="7">
        <v>5223501</v>
      </c>
      <c r="AC269" s="7">
        <v>11105059</v>
      </c>
      <c r="AE269" s="13">
        <f t="shared" ref="AE269:AE334" si="48">U269+W269+Y269+AA269+AC269</f>
        <v>17713895</v>
      </c>
      <c r="AG269" s="7">
        <f t="shared" ref="AG269:AG334" si="49">+G269+I269+K269-O269-Q269-Y269-W269-U269-AA269-AC269</f>
        <v>0</v>
      </c>
      <c r="AK269" s="7" t="str">
        <f t="shared" ref="AK269:AK334" si="50">A269</f>
        <v>Kent City SD</v>
      </c>
      <c r="AL269" s="7" t="str">
        <f>GenExp!A269</f>
        <v>Kent City SD</v>
      </c>
      <c r="AM269" s="7" t="b">
        <f t="shared" ref="AM269:AM334" si="51">AK269=AL269</f>
        <v>1</v>
      </c>
      <c r="AN269" s="7" t="str">
        <f t="shared" si="47"/>
        <v>Portage</v>
      </c>
      <c r="AO269" s="7" t="b">
        <f>C269=GenExp!C269</f>
        <v>1</v>
      </c>
    </row>
    <row r="270" spans="1:41">
      <c r="A270" s="12" t="s">
        <v>350</v>
      </c>
      <c r="B270" s="12"/>
      <c r="C270" s="12" t="s">
        <v>348</v>
      </c>
      <c r="D270" s="12"/>
      <c r="E270" s="12">
        <v>44172</v>
      </c>
      <c r="G270" s="7">
        <v>2727073</v>
      </c>
      <c r="I270" s="7">
        <v>15038</v>
      </c>
      <c r="K270" s="2">
        <f t="shared" si="45"/>
        <v>5727748</v>
      </c>
      <c r="M270" s="7">
        <v>8469859</v>
      </c>
      <c r="O270" s="2">
        <f t="shared" si="46"/>
        <v>2323579</v>
      </c>
      <c r="Q270" s="7">
        <v>4351312</v>
      </c>
      <c r="S270" s="7">
        <v>6674891</v>
      </c>
      <c r="U270" s="7">
        <v>66419</v>
      </c>
      <c r="W270" s="7">
        <v>370814</v>
      </c>
      <c r="Y270" s="7">
        <v>0</v>
      </c>
      <c r="AA270" s="7">
        <v>110847</v>
      </c>
      <c r="AC270" s="7">
        <v>1246888</v>
      </c>
      <c r="AE270" s="13">
        <f t="shared" si="48"/>
        <v>1794968</v>
      </c>
      <c r="AG270" s="7">
        <f t="shared" si="49"/>
        <v>0</v>
      </c>
      <c r="AK270" s="7" t="str">
        <f t="shared" si="50"/>
        <v>Kenton City SD</v>
      </c>
      <c r="AL270" s="7" t="str">
        <f>GenExp!A270</f>
        <v>Kenton City SD</v>
      </c>
      <c r="AM270" s="7" t="b">
        <f t="shared" si="51"/>
        <v>1</v>
      </c>
      <c r="AN270" s="7" t="str">
        <f t="shared" si="47"/>
        <v>Hardin</v>
      </c>
      <c r="AO270" s="7" t="b">
        <f>C270=GenExp!C270</f>
        <v>1</v>
      </c>
    </row>
    <row r="271" spans="1:41" s="32" customFormat="1">
      <c r="A271" s="31" t="s">
        <v>444</v>
      </c>
      <c r="B271" s="31"/>
      <c r="C271" s="31" t="s">
        <v>50</v>
      </c>
      <c r="D271" s="31"/>
      <c r="E271" s="31">
        <v>44180</v>
      </c>
      <c r="G271" s="32">
        <f>7136917+11443087</f>
        <v>18580004</v>
      </c>
      <c r="I271" s="32">
        <v>12801</v>
      </c>
      <c r="K271" s="34">
        <f t="shared" si="45"/>
        <v>62728589</v>
      </c>
      <c r="M271" s="32">
        <v>81321394</v>
      </c>
      <c r="O271" s="34">
        <f t="shared" si="46"/>
        <v>12058851</v>
      </c>
      <c r="Q271" s="32">
        <v>57616546</v>
      </c>
      <c r="S271" s="32">
        <v>69675397</v>
      </c>
      <c r="U271" s="32">
        <v>320065</v>
      </c>
      <c r="W271" s="32">
        <v>5489607</v>
      </c>
      <c r="Y271" s="32">
        <v>0</v>
      </c>
      <c r="AA271" s="32">
        <v>655959</v>
      </c>
      <c r="AC271" s="32">
        <v>5180366</v>
      </c>
      <c r="AE271" s="45">
        <f t="shared" si="48"/>
        <v>11645997</v>
      </c>
      <c r="AG271" s="32">
        <f t="shared" si="49"/>
        <v>0</v>
      </c>
      <c r="AK271" s="32" t="str">
        <f t="shared" si="50"/>
        <v>Kettering City SD</v>
      </c>
      <c r="AL271" s="32" t="str">
        <f>GenExp!A271</f>
        <v>Kettering City SD</v>
      </c>
      <c r="AM271" s="32" t="b">
        <f t="shared" si="51"/>
        <v>1</v>
      </c>
      <c r="AN271" s="32" t="str">
        <f t="shared" si="47"/>
        <v>Montgomery</v>
      </c>
      <c r="AO271" s="32" t="b">
        <f>C271=GenExp!C271</f>
        <v>1</v>
      </c>
    </row>
    <row r="272" spans="1:41">
      <c r="A272" s="12" t="s">
        <v>666</v>
      </c>
      <c r="B272" s="12"/>
      <c r="C272" s="12" t="s">
        <v>44</v>
      </c>
      <c r="D272" s="12"/>
      <c r="E272" s="12">
        <v>48165</v>
      </c>
      <c r="G272" s="7">
        <f>18658685+5000</f>
        <v>18663685</v>
      </c>
      <c r="I272" s="7">
        <v>0</v>
      </c>
      <c r="K272" s="2">
        <f t="shared" si="45"/>
        <v>7133317</v>
      </c>
      <c r="M272" s="7">
        <v>25797002</v>
      </c>
      <c r="O272" s="2">
        <f t="shared" si="46"/>
        <v>1752005</v>
      </c>
      <c r="Q272" s="7">
        <f>524121+5837376</f>
        <v>6361497</v>
      </c>
      <c r="S272" s="7">
        <v>8113502</v>
      </c>
      <c r="U272" s="7">
        <f>14186+11084</f>
        <v>25270</v>
      </c>
      <c r="W272" s="7">
        <f>964028+11898258+212133+17912+13608+18146+100872</f>
        <v>13224957</v>
      </c>
      <c r="Y272" s="7">
        <f>5000+20000</f>
        <v>25000</v>
      </c>
      <c r="AA272" s="7">
        <f>2050+33186+13816+24472+782129</f>
        <v>855653</v>
      </c>
      <c r="AC272" s="7">
        <v>3552620</v>
      </c>
      <c r="AE272" s="13">
        <f t="shared" si="48"/>
        <v>17683500</v>
      </c>
      <c r="AG272" s="7">
        <f t="shared" si="49"/>
        <v>0</v>
      </c>
      <c r="AK272" s="7" t="str">
        <f t="shared" si="50"/>
        <v xml:space="preserve">Keystone Local SD </v>
      </c>
      <c r="AL272" s="7" t="str">
        <f>GenExp!A272</f>
        <v xml:space="preserve">Keystone Local SD </v>
      </c>
      <c r="AM272" s="7" t="b">
        <f t="shared" si="51"/>
        <v>1</v>
      </c>
      <c r="AN272" s="7" t="str">
        <f t="shared" si="47"/>
        <v>Lorain</v>
      </c>
      <c r="AO272" s="7" t="b">
        <f>C272=GenExp!C272</f>
        <v>1</v>
      </c>
    </row>
    <row r="273" spans="1:41">
      <c r="A273" s="12" t="s">
        <v>761</v>
      </c>
      <c r="B273" s="12"/>
      <c r="C273" s="12" t="s">
        <v>69</v>
      </c>
      <c r="D273" s="12"/>
      <c r="E273" s="12">
        <v>50435</v>
      </c>
      <c r="G273" s="7">
        <v>13176132</v>
      </c>
      <c r="I273" s="7">
        <v>0</v>
      </c>
      <c r="K273" s="2">
        <f t="shared" si="45"/>
        <v>30411697</v>
      </c>
      <c r="M273" s="7">
        <v>43587829</v>
      </c>
      <c r="O273" s="2">
        <f t="shared" si="46"/>
        <v>4389186</v>
      </c>
      <c r="Q273" s="7">
        <v>27211489</v>
      </c>
      <c r="S273" s="7">
        <v>31600675</v>
      </c>
      <c r="U273" s="7">
        <v>0</v>
      </c>
      <c r="W273" s="7">
        <v>4794189</v>
      </c>
      <c r="Y273" s="7">
        <v>11000</v>
      </c>
      <c r="AA273" s="7">
        <v>543070</v>
      </c>
      <c r="AC273" s="7">
        <v>6638895</v>
      </c>
      <c r="AE273" s="13">
        <f t="shared" si="48"/>
        <v>11987154</v>
      </c>
      <c r="AG273" s="7">
        <f t="shared" si="49"/>
        <v>0</v>
      </c>
      <c r="AK273" s="7" t="str">
        <f t="shared" si="50"/>
        <v xml:space="preserve">Kings Local SD  </v>
      </c>
      <c r="AL273" s="7" t="str">
        <f>GenExp!A273</f>
        <v xml:space="preserve">Kings Local SD  </v>
      </c>
      <c r="AM273" s="7" t="b">
        <f t="shared" si="51"/>
        <v>1</v>
      </c>
      <c r="AN273" s="7" t="str">
        <f t="shared" si="47"/>
        <v>Warren</v>
      </c>
      <c r="AO273" s="7" t="b">
        <f>C273=GenExp!C273</f>
        <v>1</v>
      </c>
    </row>
    <row r="274" spans="1:41" hidden="1">
      <c r="A274" s="12" t="s">
        <v>729</v>
      </c>
      <c r="B274" s="12"/>
      <c r="C274" s="12" t="s">
        <v>41</v>
      </c>
      <c r="D274" s="12"/>
      <c r="E274" s="12">
        <v>47878</v>
      </c>
      <c r="K274" s="2">
        <f t="shared" si="45"/>
        <v>0</v>
      </c>
      <c r="O274" s="2">
        <f t="shared" si="46"/>
        <v>0</v>
      </c>
      <c r="AE274" s="13">
        <f t="shared" si="48"/>
        <v>0</v>
      </c>
      <c r="AG274" s="7">
        <f t="shared" si="49"/>
        <v>0</v>
      </c>
      <c r="AI274" s="7" t="s">
        <v>911</v>
      </c>
      <c r="AK274" s="7" t="str">
        <f t="shared" si="50"/>
        <v>Kirtland Local SD (CASH)</v>
      </c>
      <c r="AL274" s="7" t="str">
        <f>GenExp!A274</f>
        <v>Kirtland Local SD (CASH)</v>
      </c>
      <c r="AM274" s="7" t="b">
        <f t="shared" si="51"/>
        <v>1</v>
      </c>
      <c r="AN274" s="7" t="str">
        <f t="shared" si="47"/>
        <v>Lake</v>
      </c>
      <c r="AO274" s="7" t="b">
        <f>C274=GenExp!C274</f>
        <v>1</v>
      </c>
    </row>
    <row r="275" spans="1:41">
      <c r="A275" s="12" t="s">
        <v>540</v>
      </c>
      <c r="B275" s="12"/>
      <c r="C275" s="12" t="s">
        <v>64</v>
      </c>
      <c r="D275" s="12"/>
      <c r="E275" s="12">
        <v>50245</v>
      </c>
      <c r="G275" s="7">
        <f>4943972+2639937</f>
        <v>7583909</v>
      </c>
      <c r="I275" s="7">
        <v>46436</v>
      </c>
      <c r="K275" s="2">
        <f t="shared" si="45"/>
        <v>5170976</v>
      </c>
      <c r="M275" s="7">
        <v>12801321</v>
      </c>
      <c r="O275" s="2">
        <f t="shared" si="46"/>
        <v>1678271</v>
      </c>
      <c r="Q275" s="7">
        <f>717709+4217036</f>
        <v>4934745</v>
      </c>
      <c r="S275" s="7">
        <v>6613016</v>
      </c>
      <c r="U275" s="7">
        <f>28802+34839</f>
        <v>63641</v>
      </c>
      <c r="W275" s="7">
        <f>177915+3367379+143819+222011+13841+46436+20737</f>
        <v>3992138</v>
      </c>
      <c r="Y275" s="7">
        <v>0</v>
      </c>
      <c r="AA275" s="7">
        <f>6513+45177+1974+185440</f>
        <v>239104</v>
      </c>
      <c r="AC275" s="7">
        <v>1893422</v>
      </c>
      <c r="AE275" s="13">
        <f t="shared" si="48"/>
        <v>6188305</v>
      </c>
      <c r="AG275" s="7">
        <f t="shared" si="49"/>
        <v>0</v>
      </c>
      <c r="AK275" s="7" t="str">
        <f t="shared" si="50"/>
        <v>LaBrae Local SD</v>
      </c>
      <c r="AL275" s="7" t="str">
        <f>GenExp!A275</f>
        <v>LaBrae Local SD</v>
      </c>
      <c r="AM275" s="7" t="b">
        <f t="shared" si="51"/>
        <v>1</v>
      </c>
      <c r="AN275" s="7" t="str">
        <f t="shared" si="47"/>
        <v>Trumbull</v>
      </c>
      <c r="AO275" s="7" t="b">
        <f>C275=GenExp!C275</f>
        <v>1</v>
      </c>
    </row>
    <row r="276" spans="1:41">
      <c r="A276" s="12" t="s">
        <v>513</v>
      </c>
      <c r="B276" s="12"/>
      <c r="C276" s="12" t="s">
        <v>62</v>
      </c>
      <c r="D276" s="12"/>
      <c r="E276" s="12">
        <v>49866</v>
      </c>
      <c r="G276" s="7">
        <v>7879886</v>
      </c>
      <c r="I276" s="7">
        <v>95898</v>
      </c>
      <c r="K276" s="2">
        <f t="shared" si="45"/>
        <v>15869721</v>
      </c>
      <c r="M276" s="7">
        <v>23845505</v>
      </c>
      <c r="O276" s="2">
        <f t="shared" si="46"/>
        <v>4674035</v>
      </c>
      <c r="Q276" s="7">
        <v>13617842</v>
      </c>
      <c r="S276" s="7">
        <v>18291877</v>
      </c>
      <c r="U276" s="7">
        <v>0</v>
      </c>
      <c r="W276" s="7">
        <v>1683946</v>
      </c>
      <c r="Y276" s="7">
        <v>0</v>
      </c>
      <c r="AA276" s="7">
        <v>409036</v>
      </c>
      <c r="AC276" s="7">
        <v>3460646</v>
      </c>
      <c r="AE276" s="13">
        <f t="shared" si="48"/>
        <v>5553628</v>
      </c>
      <c r="AG276" s="7">
        <f t="shared" si="49"/>
        <v>0</v>
      </c>
      <c r="AK276" s="7" t="str">
        <f t="shared" si="50"/>
        <v>Lake Local SD</v>
      </c>
      <c r="AL276" s="7" t="str">
        <f>GenExp!A276</f>
        <v>Lake Local SD</v>
      </c>
      <c r="AM276" s="7" t="b">
        <f t="shared" si="51"/>
        <v>1</v>
      </c>
      <c r="AN276" s="7" t="str">
        <f t="shared" si="47"/>
        <v>Stark</v>
      </c>
      <c r="AO276" s="7" t="b">
        <f>C276=GenExp!C276</f>
        <v>1</v>
      </c>
    </row>
    <row r="277" spans="1:41" hidden="1">
      <c r="A277" s="12" t="s">
        <v>913</v>
      </c>
      <c r="B277" s="12"/>
      <c r="C277" s="12" t="s">
        <v>72</v>
      </c>
      <c r="D277" s="12"/>
      <c r="E277" s="12">
        <v>50690</v>
      </c>
      <c r="K277" s="2">
        <f t="shared" si="45"/>
        <v>0</v>
      </c>
      <c r="O277" s="2">
        <f t="shared" si="46"/>
        <v>0</v>
      </c>
      <c r="AE277" s="13">
        <f t="shared" si="48"/>
        <v>0</v>
      </c>
      <c r="AG277" s="7">
        <f t="shared" si="49"/>
        <v>0</v>
      </c>
      <c r="AI277" s="7" t="s">
        <v>912</v>
      </c>
      <c r="AK277" s="7" t="str">
        <f t="shared" si="50"/>
        <v>Lake Local SD (CASH)</v>
      </c>
      <c r="AL277" s="7" t="str">
        <f>GenExp!A277</f>
        <v>Lake Local SD (CASH)</v>
      </c>
      <c r="AM277" s="7" t="b">
        <f t="shared" si="51"/>
        <v>1</v>
      </c>
      <c r="AN277" s="7" t="str">
        <f t="shared" si="47"/>
        <v>Wood</v>
      </c>
      <c r="AO277" s="7" t="b">
        <f>C277=GenExp!C277</f>
        <v>1</v>
      </c>
    </row>
    <row r="278" spans="1:41">
      <c r="A278" s="12" t="s">
        <v>541</v>
      </c>
      <c r="B278" s="12"/>
      <c r="C278" s="12" t="s">
        <v>64</v>
      </c>
      <c r="D278" s="12"/>
      <c r="E278" s="12">
        <v>50187</v>
      </c>
      <c r="G278" s="7">
        <f>1778815+422</f>
        <v>1779237</v>
      </c>
      <c r="I278" s="7">
        <v>298392</v>
      </c>
      <c r="K278" s="2">
        <f t="shared" si="45"/>
        <v>9464240</v>
      </c>
      <c r="M278" s="7">
        <v>11541869</v>
      </c>
      <c r="O278" s="2">
        <f t="shared" si="46"/>
        <v>1764725</v>
      </c>
      <c r="Q278" s="7">
        <v>9292237</v>
      </c>
      <c r="S278" s="7">
        <v>11056962</v>
      </c>
      <c r="U278" s="7">
        <v>107984</v>
      </c>
      <c r="W278" s="7">
        <v>704205</v>
      </c>
      <c r="Y278" s="7">
        <v>0</v>
      </c>
      <c r="AA278" s="7">
        <v>204156</v>
      </c>
      <c r="AC278" s="7">
        <v>-531438</v>
      </c>
      <c r="AE278" s="13">
        <f t="shared" si="48"/>
        <v>484907</v>
      </c>
      <c r="AG278" s="7">
        <f t="shared" si="49"/>
        <v>0</v>
      </c>
      <c r="AK278" s="7" t="str">
        <f t="shared" si="50"/>
        <v>Lakeview Local SD</v>
      </c>
      <c r="AL278" s="7" t="str">
        <f>GenExp!A278</f>
        <v>Lakeview Local SD</v>
      </c>
      <c r="AM278" s="7" t="b">
        <f t="shared" si="51"/>
        <v>1</v>
      </c>
      <c r="AN278" s="7" t="str">
        <f t="shared" si="47"/>
        <v>Trumbull</v>
      </c>
      <c r="AO278" s="7" t="b">
        <f>C278=GenExp!C278</f>
        <v>1</v>
      </c>
    </row>
    <row r="279" spans="1:41">
      <c r="A279" s="12" t="s">
        <v>276</v>
      </c>
      <c r="B279" s="12"/>
      <c r="C279" s="12" t="s">
        <v>20</v>
      </c>
      <c r="D279" s="12"/>
      <c r="E279" s="12">
        <v>44198</v>
      </c>
      <c r="G279" s="7">
        <v>24756806</v>
      </c>
      <c r="I279" s="7">
        <v>0</v>
      </c>
      <c r="K279" s="2">
        <f t="shared" si="45"/>
        <v>53223947</v>
      </c>
      <c r="M279" s="7">
        <v>77980753</v>
      </c>
      <c r="O279" s="2">
        <f t="shared" si="46"/>
        <v>12035362</v>
      </c>
      <c r="Q279" s="7">
        <f>38709253+5014719</f>
        <v>43723972</v>
      </c>
      <c r="S279" s="7">
        <v>55759334</v>
      </c>
      <c r="U279" s="7">
        <v>0</v>
      </c>
      <c r="W279" s="7">
        <f>5955725+1449303+161749+5684+82021+299479</f>
        <v>7953961</v>
      </c>
      <c r="Y279" s="7">
        <f>608706+98252</f>
        <v>706958</v>
      </c>
      <c r="AA279" s="7">
        <f>197380+474872+11039+69871</f>
        <v>753162</v>
      </c>
      <c r="AC279" s="7">
        <v>12807338</v>
      </c>
      <c r="AE279" s="13">
        <f t="shared" si="48"/>
        <v>22221419</v>
      </c>
      <c r="AG279" s="7">
        <f t="shared" si="49"/>
        <v>0</v>
      </c>
      <c r="AI279" s="7" t="s">
        <v>914</v>
      </c>
      <c r="AK279" s="7" t="str">
        <f t="shared" si="50"/>
        <v>Lakewood City SD</v>
      </c>
      <c r="AL279" s="7" t="str">
        <f>GenExp!A279</f>
        <v>Lakewood City SD</v>
      </c>
      <c r="AM279" s="7" t="b">
        <f t="shared" si="51"/>
        <v>1</v>
      </c>
      <c r="AN279" s="7" t="str">
        <f t="shared" si="47"/>
        <v>Cuyahoga</v>
      </c>
      <c r="AO279" s="7" t="b">
        <f>C279=GenExp!C279</f>
        <v>1</v>
      </c>
    </row>
    <row r="280" spans="1:41">
      <c r="A280" s="12" t="s">
        <v>657</v>
      </c>
      <c r="B280" s="12"/>
      <c r="C280" s="12" t="s">
        <v>42</v>
      </c>
      <c r="D280" s="12"/>
      <c r="E280" s="12">
        <v>47993</v>
      </c>
      <c r="G280" s="7">
        <f>1961412+4651023</f>
        <v>6612435</v>
      </c>
      <c r="I280" s="7">
        <v>0</v>
      </c>
      <c r="K280" s="2">
        <f t="shared" si="45"/>
        <v>15430659</v>
      </c>
      <c r="M280" s="7">
        <v>22043094</v>
      </c>
      <c r="O280" s="2">
        <f t="shared" si="46"/>
        <v>2241657</v>
      </c>
      <c r="Q280" s="7">
        <f>14041216+84532</f>
        <v>14125748</v>
      </c>
      <c r="S280" s="7">
        <v>16367405</v>
      </c>
      <c r="U280" s="7">
        <v>267261</v>
      </c>
      <c r="W280" s="7">
        <v>1126945</v>
      </c>
      <c r="Y280" s="7">
        <v>244158</v>
      </c>
      <c r="AA280" s="7">
        <v>198049</v>
      </c>
      <c r="AC280" s="7">
        <v>3839276</v>
      </c>
      <c r="AE280" s="13">
        <f t="shared" si="48"/>
        <v>5675689</v>
      </c>
      <c r="AG280" s="7">
        <f t="shared" si="49"/>
        <v>0</v>
      </c>
      <c r="AK280" s="7" t="str">
        <f t="shared" si="50"/>
        <v>Lakewood Local  SD</v>
      </c>
      <c r="AL280" s="7" t="str">
        <f>GenExp!A280</f>
        <v>Lakewood Local  SD</v>
      </c>
      <c r="AM280" s="7" t="b">
        <f t="shared" si="51"/>
        <v>1</v>
      </c>
      <c r="AN280" s="7" t="str">
        <f t="shared" si="47"/>
        <v>Licking</v>
      </c>
      <c r="AO280" s="7" t="b">
        <f>C280=GenExp!C280</f>
        <v>1</v>
      </c>
    </row>
    <row r="281" spans="1:41">
      <c r="A281" s="12" t="s">
        <v>226</v>
      </c>
      <c r="B281" s="12"/>
      <c r="C281" s="12" t="s">
        <v>223</v>
      </c>
      <c r="D281" s="12"/>
      <c r="E281" s="12">
        <v>46110</v>
      </c>
      <c r="G281" s="7">
        <v>41124629</v>
      </c>
      <c r="I281" s="7">
        <v>1976054</v>
      </c>
      <c r="K281" s="2">
        <f t="shared" si="45"/>
        <v>102489369</v>
      </c>
      <c r="M281" s="7">
        <v>145590052</v>
      </c>
      <c r="O281" s="2">
        <f t="shared" si="46"/>
        <v>23343960</v>
      </c>
      <c r="Q281" s="7">
        <v>99222700</v>
      </c>
      <c r="S281" s="7">
        <v>122566660</v>
      </c>
      <c r="U281" s="7">
        <v>63434</v>
      </c>
      <c r="W281" s="7">
        <v>12214013</v>
      </c>
      <c r="Y281" s="7">
        <v>0</v>
      </c>
      <c r="AA281" s="7">
        <v>1340988</v>
      </c>
      <c r="AC281" s="7">
        <v>9404957</v>
      </c>
      <c r="AE281" s="13">
        <f t="shared" si="48"/>
        <v>23023392</v>
      </c>
      <c r="AG281" s="7">
        <f t="shared" si="49"/>
        <v>0</v>
      </c>
      <c r="AK281" s="7" t="str">
        <f t="shared" si="50"/>
        <v>Lakota Local SD</v>
      </c>
      <c r="AL281" s="7" t="str">
        <f>GenExp!A281</f>
        <v>Lakota Local SD</v>
      </c>
      <c r="AM281" s="7" t="b">
        <f t="shared" si="51"/>
        <v>1</v>
      </c>
      <c r="AN281" s="7" t="str">
        <f t="shared" si="47"/>
        <v>Butler</v>
      </c>
      <c r="AO281" s="7" t="b">
        <f>C281=GenExp!C281</f>
        <v>1</v>
      </c>
    </row>
    <row r="282" spans="1:41" hidden="1">
      <c r="A282" s="12" t="s">
        <v>915</v>
      </c>
      <c r="B282" s="12"/>
      <c r="C282" s="12" t="s">
        <v>79</v>
      </c>
      <c r="D282" s="12"/>
      <c r="E282" s="12">
        <v>49569</v>
      </c>
      <c r="K282" s="2">
        <f t="shared" si="45"/>
        <v>0</v>
      </c>
      <c r="O282" s="2">
        <f t="shared" si="46"/>
        <v>0</v>
      </c>
      <c r="AE282" s="13">
        <f t="shared" si="48"/>
        <v>0</v>
      </c>
      <c r="AG282" s="7">
        <f t="shared" si="49"/>
        <v>0</v>
      </c>
      <c r="AI282" s="7" t="s">
        <v>903</v>
      </c>
      <c r="AK282" s="7" t="str">
        <f t="shared" si="50"/>
        <v>Lakota Local SD (CASH)</v>
      </c>
      <c r="AL282" s="7" t="str">
        <f>GenExp!A282</f>
        <v>Lakota Local SD (CASH)</v>
      </c>
      <c r="AM282" s="7" t="b">
        <f t="shared" si="51"/>
        <v>1</v>
      </c>
      <c r="AN282" s="7" t="str">
        <f t="shared" si="47"/>
        <v>Sandusky</v>
      </c>
      <c r="AO282" s="7" t="b">
        <f>C282=GenExp!C282</f>
        <v>1</v>
      </c>
    </row>
    <row r="283" spans="1:41">
      <c r="A283" s="12" t="s">
        <v>301</v>
      </c>
      <c r="B283" s="12"/>
      <c r="C283" s="12" t="s">
        <v>25</v>
      </c>
      <c r="D283" s="12"/>
      <c r="E283" s="12">
        <v>44206</v>
      </c>
      <c r="G283" s="7">
        <v>36751856</v>
      </c>
      <c r="I283" s="7">
        <v>0</v>
      </c>
      <c r="K283" s="2">
        <f t="shared" si="45"/>
        <v>28663178</v>
      </c>
      <c r="M283" s="7">
        <v>65415034</v>
      </c>
      <c r="O283" s="2">
        <f t="shared" si="46"/>
        <v>8459658</v>
      </c>
      <c r="Q283" s="7">
        <v>22306832</v>
      </c>
      <c r="S283" s="7">
        <v>30766490</v>
      </c>
      <c r="U283" s="7">
        <v>275010</v>
      </c>
      <c r="W283" s="7">
        <v>904870</v>
      </c>
      <c r="Y283" s="7">
        <v>1218016</v>
      </c>
      <c r="AA283" s="7">
        <v>10027786</v>
      </c>
      <c r="AC283" s="7">
        <v>22222862</v>
      </c>
      <c r="AE283" s="13">
        <f t="shared" si="48"/>
        <v>34648544</v>
      </c>
      <c r="AG283" s="7">
        <f t="shared" si="49"/>
        <v>0</v>
      </c>
      <c r="AK283" s="7" t="str">
        <f t="shared" si="50"/>
        <v>Lancaster City SD</v>
      </c>
      <c r="AL283" s="7" t="str">
        <f>GenExp!A283</f>
        <v>Lancaster City SD</v>
      </c>
      <c r="AM283" s="7" t="b">
        <f t="shared" si="51"/>
        <v>1</v>
      </c>
      <c r="AN283" s="7" t="str">
        <f t="shared" si="47"/>
        <v>Fairfield</v>
      </c>
      <c r="AO283" s="7" t="b">
        <f>C283=GenExp!C283</f>
        <v>1</v>
      </c>
    </row>
    <row r="284" spans="1:41" hidden="1">
      <c r="A284" s="12" t="s">
        <v>771</v>
      </c>
      <c r="B284" s="12"/>
      <c r="C284" s="12" t="s">
        <v>69</v>
      </c>
      <c r="D284" s="12"/>
      <c r="E284" s="12">
        <v>44214</v>
      </c>
      <c r="K284" s="2">
        <f t="shared" si="45"/>
        <v>0</v>
      </c>
      <c r="O284" s="2">
        <f t="shared" si="46"/>
        <v>0</v>
      </c>
      <c r="AE284" s="13">
        <f t="shared" si="48"/>
        <v>0</v>
      </c>
      <c r="AG284" s="7">
        <f t="shared" si="49"/>
        <v>0</v>
      </c>
      <c r="AI284" s="7" t="s">
        <v>839</v>
      </c>
      <c r="AK284" s="7" t="str">
        <f t="shared" si="50"/>
        <v xml:space="preserve">Lebanon City SD (CASH) </v>
      </c>
      <c r="AL284" s="7" t="str">
        <f>GenExp!A284</f>
        <v xml:space="preserve">Lebanon City SD (CASH) </v>
      </c>
      <c r="AM284" s="7" t="b">
        <f t="shared" si="51"/>
        <v>1</v>
      </c>
      <c r="AN284" s="7" t="str">
        <f t="shared" si="47"/>
        <v>Warren</v>
      </c>
      <c r="AO284" s="7" t="b">
        <f>C284=GenExp!C284</f>
        <v>1</v>
      </c>
    </row>
    <row r="285" spans="1:41">
      <c r="A285" s="12" t="s">
        <v>322</v>
      </c>
      <c r="B285" s="12"/>
      <c r="C285" s="12" t="s">
        <v>30</v>
      </c>
      <c r="D285" s="12"/>
      <c r="E285" s="12">
        <v>47209</v>
      </c>
      <c r="G285" s="7">
        <v>456297</v>
      </c>
      <c r="I285" s="7">
        <v>519033</v>
      </c>
      <c r="K285" s="2">
        <f t="shared" si="45"/>
        <v>2284826</v>
      </c>
      <c r="M285" s="7">
        <v>3260156</v>
      </c>
      <c r="O285" s="2">
        <f t="shared" si="46"/>
        <v>3107146</v>
      </c>
      <c r="Q285" s="7">
        <v>1889212</v>
      </c>
      <c r="S285" s="7">
        <v>4996358</v>
      </c>
      <c r="U285" s="7">
        <v>29842</v>
      </c>
      <c r="W285" s="7">
        <v>757256</v>
      </c>
      <c r="Y285" s="7">
        <v>10741</v>
      </c>
      <c r="AA285" s="7">
        <v>287864</v>
      </c>
      <c r="AC285" s="7">
        <v>-2821905</v>
      </c>
      <c r="AE285" s="13">
        <f t="shared" si="48"/>
        <v>-1736202</v>
      </c>
      <c r="AG285" s="7">
        <f t="shared" si="49"/>
        <v>0</v>
      </c>
      <c r="AK285" s="7" t="str">
        <f t="shared" si="50"/>
        <v>Ledgemont Local SD</v>
      </c>
      <c r="AL285" s="7" t="str">
        <f>GenExp!A285</f>
        <v>Ledgemont Local SD</v>
      </c>
      <c r="AM285" s="7" t="b">
        <f t="shared" si="51"/>
        <v>1</v>
      </c>
      <c r="AN285" s="7" t="str">
        <f t="shared" si="47"/>
        <v>Geauga</v>
      </c>
      <c r="AO285" s="7" t="b">
        <f>C285=GenExp!C285</f>
        <v>1</v>
      </c>
    </row>
    <row r="286" spans="1:41" hidden="1">
      <c r="A286" s="12" t="s">
        <v>872</v>
      </c>
      <c r="B286" s="12"/>
      <c r="C286" s="12" t="s">
        <v>112</v>
      </c>
      <c r="D286" s="12"/>
      <c r="E286" s="12"/>
      <c r="K286" s="2"/>
      <c r="O286" s="2"/>
      <c r="AE286" s="13"/>
      <c r="AI286" s="7" t="s">
        <v>917</v>
      </c>
      <c r="AK286" s="7" t="str">
        <f t="shared" ref="AK286" si="52">A286</f>
        <v>Leetonia Exempted Village SD (CASH)</v>
      </c>
      <c r="AL286" s="7" t="str">
        <f>GenExp!A286</f>
        <v>Leetonia Exempted Village SD (CASH)</v>
      </c>
      <c r="AM286" s="7" t="b">
        <f t="shared" ref="AM286" si="53">AK286=AL286</f>
        <v>1</v>
      </c>
      <c r="AN286" s="7" t="str">
        <f t="shared" si="47"/>
        <v>Columbiana</v>
      </c>
      <c r="AO286" s="7" t="b">
        <f>C286=GenExp!C286</f>
        <v>1</v>
      </c>
    </row>
    <row r="287" spans="1:41" hidden="1">
      <c r="A287" s="12" t="s">
        <v>717</v>
      </c>
      <c r="B287" s="12"/>
      <c r="C287" s="12" t="s">
        <v>482</v>
      </c>
      <c r="D287" s="12"/>
      <c r="E287" s="12">
        <v>49353</v>
      </c>
      <c r="K287" s="2">
        <f t="shared" ref="K287:K356" si="54">M287-G287-I287</f>
        <v>0</v>
      </c>
      <c r="O287" s="2">
        <f t="shared" ref="O287:O356" si="55">S287-Q287</f>
        <v>0</v>
      </c>
      <c r="AE287" s="13">
        <f t="shared" si="48"/>
        <v>0</v>
      </c>
      <c r="AG287" s="7">
        <f t="shared" si="49"/>
        <v>0</v>
      </c>
      <c r="AI287" s="7" t="s">
        <v>839</v>
      </c>
      <c r="AK287" s="7" t="str">
        <f t="shared" si="50"/>
        <v>Leipsic Local SD (CASH)</v>
      </c>
      <c r="AL287" s="7" t="str">
        <f>GenExp!A287</f>
        <v>Leipsic Local SD (CASH)</v>
      </c>
      <c r="AM287" s="7" t="b">
        <f t="shared" si="51"/>
        <v>1</v>
      </c>
      <c r="AN287" s="7" t="str">
        <f t="shared" si="47"/>
        <v>Putnam</v>
      </c>
      <c r="AO287" s="7" t="b">
        <f>C287=GenExp!C287</f>
        <v>1</v>
      </c>
    </row>
    <row r="288" spans="1:41" hidden="1">
      <c r="A288" s="12" t="s">
        <v>918</v>
      </c>
      <c r="B288" s="12"/>
      <c r="C288" s="12" t="s">
        <v>110</v>
      </c>
      <c r="D288" s="12"/>
      <c r="E288" s="12">
        <v>49437</v>
      </c>
      <c r="K288" s="2">
        <f t="shared" si="54"/>
        <v>0</v>
      </c>
      <c r="O288" s="2">
        <f t="shared" si="55"/>
        <v>0</v>
      </c>
      <c r="AE288" s="13">
        <f t="shared" si="48"/>
        <v>0</v>
      </c>
      <c r="AG288" s="7">
        <f t="shared" si="49"/>
        <v>0</v>
      </c>
      <c r="AI288" s="7" t="s">
        <v>912</v>
      </c>
      <c r="AK288" s="7" t="str">
        <f t="shared" si="50"/>
        <v>Lexington Local SD (CASH)</v>
      </c>
      <c r="AL288" s="7" t="str">
        <f>GenExp!A288</f>
        <v>Lexington Local SD (CASH)</v>
      </c>
      <c r="AM288" s="7" t="b">
        <f t="shared" si="51"/>
        <v>1</v>
      </c>
      <c r="AN288" s="7" t="str">
        <f t="shared" si="47"/>
        <v>Richland</v>
      </c>
      <c r="AO288" s="7" t="b">
        <f>C288=GenExp!C288</f>
        <v>1</v>
      </c>
    </row>
    <row r="289" spans="1:41">
      <c r="A289" s="12" t="s">
        <v>920</v>
      </c>
      <c r="B289" s="12"/>
      <c r="C289" s="12" t="s">
        <v>33</v>
      </c>
      <c r="D289" s="12"/>
      <c r="E289" s="12">
        <v>47449</v>
      </c>
      <c r="G289" s="7">
        <v>6106975</v>
      </c>
      <c r="I289" s="7">
        <v>44256</v>
      </c>
      <c r="K289" s="2">
        <f>M289-G289-I289</f>
        <v>5720498</v>
      </c>
      <c r="M289" s="7">
        <v>11871729</v>
      </c>
      <c r="O289" s="2">
        <f>S289-Q289</f>
        <v>1350993</v>
      </c>
      <c r="Q289" s="7">
        <v>4901683</v>
      </c>
      <c r="S289" s="7">
        <v>6252676</v>
      </c>
      <c r="U289" s="7">
        <v>15263</v>
      </c>
      <c r="W289" s="7">
        <v>686078</v>
      </c>
      <c r="Y289" s="7">
        <v>191985</v>
      </c>
      <c r="AA289" s="7">
        <v>447573</v>
      </c>
      <c r="AC289" s="7">
        <v>4278154</v>
      </c>
      <c r="AE289" s="13">
        <f>U289+W289+Y289+AA289+AC289</f>
        <v>5619053</v>
      </c>
      <c r="AG289" s="7">
        <f>+G289+I289+K289-O289-Q289-Y289-W289-U289-AA289-AC289</f>
        <v>0</v>
      </c>
      <c r="AK289" s="7" t="str">
        <f>A289</f>
        <v>Liberty Benton Local SD</v>
      </c>
      <c r="AL289" s="7" t="str">
        <f>GenExp!A289</f>
        <v>Liberty Benton Local SD</v>
      </c>
      <c r="AM289" s="7" t="b">
        <f>AK289=AL289</f>
        <v>1</v>
      </c>
      <c r="AN289" s="7" t="str">
        <f>C289</f>
        <v>Hancock</v>
      </c>
      <c r="AO289" s="7" t="b">
        <f>C289=GenExp!C289</f>
        <v>1</v>
      </c>
    </row>
    <row r="290" spans="1:41">
      <c r="A290" s="12" t="s">
        <v>355</v>
      </c>
      <c r="B290" s="12"/>
      <c r="C290" s="12" t="s">
        <v>34</v>
      </c>
      <c r="D290" s="12"/>
      <c r="E290" s="12">
        <v>47589</v>
      </c>
      <c r="G290" s="7">
        <v>5457391</v>
      </c>
      <c r="I290" s="7">
        <v>0</v>
      </c>
      <c r="K290" s="2">
        <f t="shared" si="54"/>
        <v>5703286</v>
      </c>
      <c r="M290" s="7">
        <v>11160677</v>
      </c>
      <c r="O290" s="2">
        <f t="shared" si="55"/>
        <v>1304514</v>
      </c>
      <c r="Q290" s="7">
        <v>4489190</v>
      </c>
      <c r="S290" s="7">
        <v>5793704</v>
      </c>
      <c r="U290" s="7">
        <f>407286+357631</f>
        <v>764917</v>
      </c>
      <c r="W290" s="7">
        <v>0</v>
      </c>
      <c r="Y290" s="7">
        <v>0</v>
      </c>
      <c r="AA290" s="7">
        <v>0</v>
      </c>
      <c r="AC290" s="7">
        <f>4122828+3613+322562+153053</f>
        <v>4602056</v>
      </c>
      <c r="AE290" s="13">
        <f t="shared" si="48"/>
        <v>5366973</v>
      </c>
      <c r="AG290" s="7">
        <f t="shared" si="49"/>
        <v>0</v>
      </c>
      <c r="AI290" s="7" t="s">
        <v>919</v>
      </c>
      <c r="AK290" s="7" t="str">
        <f t="shared" si="50"/>
        <v>Liberty Center Local SD</v>
      </c>
      <c r="AL290" s="7" t="str">
        <f>GenExp!A290</f>
        <v>Liberty Center Local SD</v>
      </c>
      <c r="AM290" s="7" t="b">
        <f t="shared" si="51"/>
        <v>1</v>
      </c>
      <c r="AN290" s="7" t="str">
        <f t="shared" si="47"/>
        <v>Henry</v>
      </c>
      <c r="AO290" s="7" t="b">
        <f>C290=GenExp!C290</f>
        <v>1</v>
      </c>
    </row>
    <row r="291" spans="1:41">
      <c r="A291" s="12" t="s">
        <v>542</v>
      </c>
      <c r="B291" s="12"/>
      <c r="C291" s="12" t="s">
        <v>64</v>
      </c>
      <c r="D291" s="12"/>
      <c r="E291" s="12">
        <v>50195</v>
      </c>
      <c r="G291" s="7">
        <v>2393389</v>
      </c>
      <c r="I291" s="7">
        <v>5177</v>
      </c>
      <c r="K291" s="2">
        <f t="shared" si="54"/>
        <v>11704239</v>
      </c>
      <c r="M291" s="7">
        <v>14102805</v>
      </c>
      <c r="O291" s="2">
        <f t="shared" si="55"/>
        <v>14471118</v>
      </c>
      <c r="Q291" s="7">
        <v>1647145</v>
      </c>
      <c r="S291" s="7">
        <v>16118263</v>
      </c>
      <c r="U291" s="7">
        <f>15932+4269</f>
        <v>20201</v>
      </c>
      <c r="W291" s="7">
        <f>1098672+492552+40580+45606+99924+86694+7670+95869+639056+39581</f>
        <v>2646204</v>
      </c>
      <c r="Y291" s="7">
        <v>0</v>
      </c>
      <c r="AA291" s="7">
        <f>4366+33137+15762</f>
        <v>53265</v>
      </c>
      <c r="AC291" s="7">
        <v>-4735128</v>
      </c>
      <c r="AE291" s="13">
        <f t="shared" si="48"/>
        <v>-2015458</v>
      </c>
      <c r="AG291" s="7">
        <f t="shared" si="49"/>
        <v>0</v>
      </c>
      <c r="AK291" s="7" t="str">
        <f t="shared" si="50"/>
        <v>Liberty Local SD</v>
      </c>
      <c r="AL291" s="7" t="str">
        <f>GenExp!A291</f>
        <v>Liberty Local SD</v>
      </c>
      <c r="AM291" s="7" t="b">
        <f t="shared" si="51"/>
        <v>1</v>
      </c>
      <c r="AN291" s="7" t="str">
        <f t="shared" si="47"/>
        <v>Trumbull</v>
      </c>
      <c r="AO291" s="7" t="b">
        <f>C291=GenExp!C291</f>
        <v>1</v>
      </c>
    </row>
    <row r="292" spans="1:41">
      <c r="A292" s="12" t="s">
        <v>842</v>
      </c>
      <c r="B292" s="12"/>
      <c r="C292" s="12" t="s">
        <v>25</v>
      </c>
      <c r="D292" s="12"/>
      <c r="E292" s="12">
        <v>46888</v>
      </c>
      <c r="G292" s="7">
        <v>17430667</v>
      </c>
      <c r="I292" s="7">
        <v>0</v>
      </c>
      <c r="K292" s="2">
        <f t="shared" si="54"/>
        <v>5983195</v>
      </c>
      <c r="M292" s="7">
        <v>23413862</v>
      </c>
      <c r="O292" s="2">
        <f t="shared" si="55"/>
        <v>2851922</v>
      </c>
      <c r="Q292" s="7">
        <v>4518823</v>
      </c>
      <c r="S292" s="7">
        <v>7370745</v>
      </c>
      <c r="U292" s="7">
        <v>0</v>
      </c>
      <c r="W292" s="7">
        <v>11523504</v>
      </c>
      <c r="Y292" s="7">
        <v>0</v>
      </c>
      <c r="AA292" s="7">
        <v>107696</v>
      </c>
      <c r="AC292" s="7">
        <v>4411917</v>
      </c>
      <c r="AE292" s="13">
        <f t="shared" si="48"/>
        <v>16043117</v>
      </c>
      <c r="AG292" s="7">
        <f t="shared" si="49"/>
        <v>0</v>
      </c>
      <c r="AK292" s="7" t="str">
        <f t="shared" si="50"/>
        <v>Liberty Union-Thurston Local SD</v>
      </c>
      <c r="AL292" s="7" t="str">
        <f>GenExp!A292</f>
        <v>Liberty Union-Thurston Local SD</v>
      </c>
      <c r="AM292" s="7" t="b">
        <f t="shared" si="51"/>
        <v>1</v>
      </c>
      <c r="AN292" s="7" t="str">
        <f t="shared" si="47"/>
        <v>Fairfield</v>
      </c>
      <c r="AO292" s="7" t="b">
        <f>C292=GenExp!C292</f>
        <v>1</v>
      </c>
    </row>
    <row r="293" spans="1:41">
      <c r="A293" s="12" t="s">
        <v>386</v>
      </c>
      <c r="B293" s="12"/>
      <c r="C293" s="12" t="s">
        <v>42</v>
      </c>
      <c r="D293" s="12"/>
      <c r="E293" s="12">
        <v>48009</v>
      </c>
      <c r="G293" s="7">
        <v>9721775</v>
      </c>
      <c r="I293" s="7">
        <v>0</v>
      </c>
      <c r="K293" s="2">
        <f t="shared" si="54"/>
        <v>26577152</v>
      </c>
      <c r="M293" s="7">
        <v>36298927</v>
      </c>
      <c r="O293" s="2">
        <f t="shared" si="55"/>
        <v>3806553</v>
      </c>
      <c r="Q293" s="7">
        <v>15816109</v>
      </c>
      <c r="S293" s="7">
        <v>19622662</v>
      </c>
      <c r="U293" s="7">
        <v>0</v>
      </c>
      <c r="W293" s="7">
        <f>2441310+587046+11686597+6279+36551+912</f>
        <v>14758695</v>
      </c>
      <c r="Y293" s="7">
        <v>0</v>
      </c>
      <c r="AA293" s="7">
        <f>79803+1879442+11872</f>
        <v>1971117</v>
      </c>
      <c r="AC293" s="7">
        <v>-53547</v>
      </c>
      <c r="AE293" s="13">
        <f t="shared" si="48"/>
        <v>16676265</v>
      </c>
      <c r="AG293" s="7">
        <f t="shared" si="49"/>
        <v>0</v>
      </c>
      <c r="AK293" s="7" t="str">
        <f t="shared" si="50"/>
        <v>Licking Heights Local SD</v>
      </c>
      <c r="AL293" s="7" t="str">
        <f>GenExp!A293</f>
        <v>Licking Heights Local SD</v>
      </c>
      <c r="AM293" s="7" t="b">
        <f t="shared" si="51"/>
        <v>1</v>
      </c>
      <c r="AN293" s="7" t="str">
        <f t="shared" si="47"/>
        <v>Licking</v>
      </c>
      <c r="AO293" s="7" t="b">
        <f>C293=GenExp!C293</f>
        <v>1</v>
      </c>
    </row>
    <row r="294" spans="1:41">
      <c r="A294" s="12" t="s">
        <v>387</v>
      </c>
      <c r="B294" s="12"/>
      <c r="C294" s="12" t="s">
        <v>42</v>
      </c>
      <c r="D294" s="12"/>
      <c r="E294" s="12">
        <v>48017</v>
      </c>
      <c r="G294" s="7">
        <v>8159298</v>
      </c>
      <c r="I294" s="7">
        <v>8694</v>
      </c>
      <c r="K294" s="2">
        <f t="shared" si="54"/>
        <v>6090390</v>
      </c>
      <c r="M294" s="7">
        <v>14258382</v>
      </c>
      <c r="O294" s="2">
        <f t="shared" si="55"/>
        <v>1992208</v>
      </c>
      <c r="Q294" s="7">
        <v>4879976</v>
      </c>
      <c r="S294" s="7">
        <v>6872184</v>
      </c>
      <c r="U294" s="7">
        <v>274670</v>
      </c>
      <c r="W294" s="7">
        <f>838919+264193+192702+48125+2236+16047</f>
        <v>1362222</v>
      </c>
      <c r="Y294" s="7">
        <v>0</v>
      </c>
      <c r="AA294" s="7">
        <f>33013+132578+100723</f>
        <v>266314</v>
      </c>
      <c r="AC294" s="7">
        <v>5482992</v>
      </c>
      <c r="AE294" s="13">
        <f t="shared" si="48"/>
        <v>7386198</v>
      </c>
      <c r="AG294" s="7">
        <f t="shared" si="49"/>
        <v>0</v>
      </c>
      <c r="AI294" s="97"/>
      <c r="AK294" s="7" t="str">
        <f t="shared" si="50"/>
        <v>Licking Valley Local SD</v>
      </c>
      <c r="AL294" s="7" t="str">
        <f>GenExp!A294</f>
        <v>Licking Valley Local SD</v>
      </c>
      <c r="AM294" s="7" t="b">
        <f t="shared" si="51"/>
        <v>1</v>
      </c>
      <c r="AN294" s="7" t="str">
        <f t="shared" si="47"/>
        <v>Licking</v>
      </c>
      <c r="AO294" s="7" t="b">
        <f>C294=GenExp!C294</f>
        <v>1</v>
      </c>
    </row>
    <row r="295" spans="1:41" hidden="1">
      <c r="A295" s="12" t="s">
        <v>718</v>
      </c>
      <c r="B295" s="12"/>
      <c r="C295" s="12" t="s">
        <v>10</v>
      </c>
      <c r="D295" s="12"/>
      <c r="E295" s="12"/>
      <c r="K295" s="2">
        <f t="shared" si="54"/>
        <v>0</v>
      </c>
      <c r="O295" s="2">
        <f t="shared" si="55"/>
        <v>0</v>
      </c>
      <c r="AE295" s="13">
        <f t="shared" si="48"/>
        <v>0</v>
      </c>
      <c r="AG295" s="7">
        <f t="shared" si="49"/>
        <v>0</v>
      </c>
      <c r="AI295" s="7" t="s">
        <v>921</v>
      </c>
      <c r="AK295" s="7" t="str">
        <f t="shared" si="50"/>
        <v>Lima City School District (CASH)</v>
      </c>
      <c r="AL295" s="7" t="str">
        <f>GenExp!A295</f>
        <v>Lima City School District (CASH)</v>
      </c>
      <c r="AM295" s="7" t="b">
        <f t="shared" si="51"/>
        <v>1</v>
      </c>
      <c r="AN295" s="7" t="str">
        <f t="shared" si="47"/>
        <v>Allen</v>
      </c>
      <c r="AO295" s="7" t="b">
        <f>C295=GenExp!C295</f>
        <v>1</v>
      </c>
    </row>
    <row r="296" spans="1:41">
      <c r="A296" s="12" t="s">
        <v>557</v>
      </c>
      <c r="B296" s="12"/>
      <c r="C296" s="12" t="s">
        <v>67</v>
      </c>
      <c r="D296" s="12"/>
      <c r="E296" s="12">
        <v>50369</v>
      </c>
      <c r="G296" s="7">
        <f>11886722+31593+317</f>
        <v>11918632</v>
      </c>
      <c r="I296" s="7">
        <v>0</v>
      </c>
      <c r="K296" s="2">
        <f t="shared" si="54"/>
        <v>3317978</v>
      </c>
      <c r="M296" s="7">
        <v>15236610</v>
      </c>
      <c r="O296" s="2">
        <f t="shared" si="55"/>
        <v>887466</v>
      </c>
      <c r="Q296" s="7">
        <f>311657+2678139</f>
        <v>2989796</v>
      </c>
      <c r="S296" s="7">
        <v>3877262</v>
      </c>
      <c r="U296" s="7">
        <f>12556+8241</f>
        <v>20797</v>
      </c>
      <c r="W296" s="7">
        <f>322517+954999+224133+178725+5007+3378+24759</f>
        <v>1713518</v>
      </c>
      <c r="Y296" s="7">
        <v>0</v>
      </c>
      <c r="AA296" s="7">
        <f>34941+288</f>
        <v>35229</v>
      </c>
      <c r="AC296" s="7">
        <v>9589804</v>
      </c>
      <c r="AE296" s="13">
        <f t="shared" si="48"/>
        <v>11359348</v>
      </c>
      <c r="AG296" s="7">
        <f t="shared" si="49"/>
        <v>0</v>
      </c>
      <c r="AK296" s="7" t="str">
        <f t="shared" si="50"/>
        <v>Lincolnview Local SD</v>
      </c>
      <c r="AL296" s="7" t="str">
        <f>GenExp!A296</f>
        <v>Lincolnview Local SD</v>
      </c>
      <c r="AM296" s="7" t="b">
        <f t="shared" si="51"/>
        <v>1</v>
      </c>
      <c r="AN296" s="7" t="str">
        <f t="shared" si="47"/>
        <v>Van Wert</v>
      </c>
      <c r="AO296" s="7" t="b">
        <f>C296=GenExp!C296</f>
        <v>1</v>
      </c>
    </row>
    <row r="297" spans="1:41">
      <c r="A297" s="12" t="s">
        <v>875</v>
      </c>
      <c r="B297" s="12"/>
      <c r="C297" s="12" t="s">
        <v>112</v>
      </c>
      <c r="D297" s="12"/>
      <c r="E297" s="12">
        <v>45450</v>
      </c>
      <c r="G297" s="7">
        <f>5225305+16194</f>
        <v>5241499</v>
      </c>
      <c r="I297" s="7">
        <v>0</v>
      </c>
      <c r="K297" s="2">
        <f t="shared" si="54"/>
        <v>2359107</v>
      </c>
      <c r="M297" s="7">
        <v>7600606</v>
      </c>
      <c r="O297" s="2">
        <f t="shared" si="55"/>
        <v>898975</v>
      </c>
      <c r="Q297" s="7">
        <v>2180731</v>
      </c>
      <c r="S297" s="7">
        <v>3079706</v>
      </c>
      <c r="U297" s="7">
        <v>21015</v>
      </c>
      <c r="W297" s="7">
        <v>1253965</v>
      </c>
      <c r="Y297" s="7">
        <v>47615</v>
      </c>
      <c r="AA297" s="7">
        <v>83751</v>
      </c>
      <c r="AC297" s="7">
        <v>3114554</v>
      </c>
      <c r="AE297" s="13">
        <f t="shared" si="48"/>
        <v>4520900</v>
      </c>
      <c r="AG297" s="7">
        <f t="shared" si="49"/>
        <v>0</v>
      </c>
      <c r="AK297" s="7" t="str">
        <f t="shared" si="50"/>
        <v>Lisbon Exempted Village SD</v>
      </c>
      <c r="AL297" s="7" t="str">
        <f>GenExp!A297</f>
        <v>Lisbon Exempted Village SD</v>
      </c>
      <c r="AM297" s="7" t="b">
        <f t="shared" si="51"/>
        <v>1</v>
      </c>
      <c r="AN297" s="7" t="str">
        <f t="shared" si="47"/>
        <v>Columbiana</v>
      </c>
      <c r="AO297" s="7" t="b">
        <f>C297=GenExp!C297</f>
        <v>1</v>
      </c>
    </row>
    <row r="298" spans="1:41">
      <c r="A298" s="12" t="s">
        <v>562</v>
      </c>
      <c r="B298" s="12"/>
      <c r="C298" s="12" t="s">
        <v>69</v>
      </c>
      <c r="D298" s="12"/>
      <c r="E298" s="12">
        <v>50443</v>
      </c>
      <c r="G298" s="7">
        <v>7353587</v>
      </c>
      <c r="I298" s="7">
        <v>53000</v>
      </c>
      <c r="K298" s="2">
        <f t="shared" si="54"/>
        <v>25629744</v>
      </c>
      <c r="M298" s="7">
        <v>33036331</v>
      </c>
      <c r="O298" s="2">
        <f t="shared" si="55"/>
        <v>9126298</v>
      </c>
      <c r="Q298" s="7">
        <v>23285594</v>
      </c>
      <c r="S298" s="7">
        <v>32411892</v>
      </c>
      <c r="U298" s="7">
        <v>18000</v>
      </c>
      <c r="W298" s="7">
        <v>6229992</v>
      </c>
      <c r="Y298" s="7">
        <v>0</v>
      </c>
      <c r="AA298" s="7">
        <v>477807</v>
      </c>
      <c r="AC298" s="7">
        <v>-6101360</v>
      </c>
      <c r="AE298" s="13">
        <f t="shared" si="48"/>
        <v>624439</v>
      </c>
      <c r="AG298" s="7">
        <f t="shared" si="49"/>
        <v>0</v>
      </c>
      <c r="AI298" s="97"/>
      <c r="AK298" s="7" t="str">
        <f t="shared" si="50"/>
        <v>Little Miami Local SD</v>
      </c>
      <c r="AL298" s="7" t="str">
        <f>GenExp!A298</f>
        <v>Little Miami Local SD</v>
      </c>
      <c r="AM298" s="7" t="b">
        <f t="shared" si="51"/>
        <v>1</v>
      </c>
      <c r="AN298" s="7" t="str">
        <f t="shared" si="47"/>
        <v>Warren</v>
      </c>
      <c r="AO298" s="7" t="b">
        <f>C298=GenExp!C298</f>
        <v>1</v>
      </c>
    </row>
    <row r="299" spans="1:41" hidden="1">
      <c r="A299" s="12" t="s">
        <v>922</v>
      </c>
      <c r="B299" s="12"/>
      <c r="C299" s="12" t="s">
        <v>32</v>
      </c>
      <c r="D299" s="12"/>
      <c r="E299" s="12">
        <v>44230</v>
      </c>
      <c r="K299" s="2">
        <f t="shared" si="54"/>
        <v>0</v>
      </c>
      <c r="O299" s="2">
        <f t="shared" si="55"/>
        <v>0</v>
      </c>
      <c r="AE299" s="13">
        <f t="shared" si="48"/>
        <v>0</v>
      </c>
      <c r="AG299" s="7">
        <f t="shared" si="49"/>
        <v>0</v>
      </c>
      <c r="AI299" s="7" t="s">
        <v>839</v>
      </c>
      <c r="AK299" s="7" t="str">
        <f t="shared" si="50"/>
        <v>Lockland Local SD (CASH)</v>
      </c>
      <c r="AL299" s="7" t="str">
        <f>GenExp!A299</f>
        <v>Lockland Local SD (CASH)</v>
      </c>
      <c r="AM299" s="7" t="b">
        <f t="shared" si="51"/>
        <v>1</v>
      </c>
      <c r="AN299" s="7" t="str">
        <f t="shared" si="47"/>
        <v>Hamilton</v>
      </c>
      <c r="AO299" s="7" t="b">
        <f>C299=GenExp!C299</f>
        <v>1</v>
      </c>
    </row>
    <row r="300" spans="1:41">
      <c r="A300" s="12" t="s">
        <v>468</v>
      </c>
      <c r="B300" s="12"/>
      <c r="C300" s="12" t="s">
        <v>54</v>
      </c>
      <c r="D300" s="12"/>
      <c r="E300" s="12">
        <v>49080</v>
      </c>
      <c r="G300" s="7">
        <f>8470676+104300</f>
        <v>8574976</v>
      </c>
      <c r="I300" s="7">
        <v>0</v>
      </c>
      <c r="K300" s="2">
        <f t="shared" si="54"/>
        <v>8304377</v>
      </c>
      <c r="M300" s="7">
        <v>16879353</v>
      </c>
      <c r="O300" s="2">
        <f t="shared" si="55"/>
        <v>2754607</v>
      </c>
      <c r="Q300" s="7">
        <f>887083+4631993</f>
        <v>5519076</v>
      </c>
      <c r="S300" s="7">
        <v>8273683</v>
      </c>
      <c r="U300" s="7">
        <f>27690+104300</f>
        <v>131990</v>
      </c>
      <c r="W300" s="7">
        <f>2704+73+9611+142970+8421+29749</f>
        <v>193528</v>
      </c>
      <c r="Y300" s="7">
        <v>2403532</v>
      </c>
      <c r="AA300" s="7">
        <f>16616+24474</f>
        <v>41090</v>
      </c>
      <c r="AC300" s="7">
        <v>5835530</v>
      </c>
      <c r="AE300" s="13">
        <f t="shared" si="48"/>
        <v>8605670</v>
      </c>
      <c r="AG300" s="7">
        <f t="shared" si="49"/>
        <v>0</v>
      </c>
      <c r="AK300" s="7" t="str">
        <f t="shared" si="50"/>
        <v>Logan Elm Local SD</v>
      </c>
      <c r="AL300" s="7" t="str">
        <f>GenExp!A300</f>
        <v>Logan Elm Local SD</v>
      </c>
      <c r="AM300" s="7" t="b">
        <f t="shared" si="51"/>
        <v>1</v>
      </c>
      <c r="AN300" s="7" t="str">
        <f t="shared" si="47"/>
        <v>Pickaway</v>
      </c>
      <c r="AO300" s="7" t="b">
        <f>C300=GenExp!C300</f>
        <v>1</v>
      </c>
    </row>
    <row r="301" spans="1:41">
      <c r="A301" s="12" t="s">
        <v>362</v>
      </c>
      <c r="B301" s="12"/>
      <c r="C301" s="12" t="s">
        <v>35</v>
      </c>
      <c r="D301" s="12"/>
      <c r="E301" s="12">
        <v>44248</v>
      </c>
      <c r="G301" s="7">
        <v>17280138</v>
      </c>
      <c r="I301" s="7">
        <v>748936</v>
      </c>
      <c r="K301" s="2">
        <f t="shared" si="54"/>
        <v>15304440</v>
      </c>
      <c r="M301" s="7">
        <v>33333514</v>
      </c>
      <c r="O301" s="2">
        <f t="shared" si="55"/>
        <v>5093662</v>
      </c>
      <c r="Q301" s="7">
        <f>11042786+823552</f>
        <v>11866338</v>
      </c>
      <c r="S301" s="7">
        <v>16960000</v>
      </c>
      <c r="U301" s="7">
        <v>180327</v>
      </c>
      <c r="W301" s="7">
        <v>10523618</v>
      </c>
      <c r="Y301" s="7">
        <v>0</v>
      </c>
      <c r="AA301" s="7">
        <v>326047</v>
      </c>
      <c r="AC301" s="7">
        <v>5343522</v>
      </c>
      <c r="AE301" s="13">
        <f t="shared" si="48"/>
        <v>16373514</v>
      </c>
      <c r="AG301" s="7">
        <f t="shared" si="49"/>
        <v>0</v>
      </c>
      <c r="AK301" s="7" t="str">
        <f t="shared" si="50"/>
        <v>Logan-Hocking Local SD</v>
      </c>
      <c r="AL301" s="7" t="str">
        <f>GenExp!A301</f>
        <v>Logan-Hocking Local SD</v>
      </c>
      <c r="AM301" s="7" t="b">
        <f t="shared" si="51"/>
        <v>1</v>
      </c>
      <c r="AN301" s="7" t="str">
        <f t="shared" si="47"/>
        <v>Hocking</v>
      </c>
      <c r="AO301" s="7" t="b">
        <f>C301=GenExp!C301</f>
        <v>1</v>
      </c>
    </row>
    <row r="302" spans="1:41">
      <c r="A302" s="12" t="s">
        <v>413</v>
      </c>
      <c r="B302" s="12"/>
      <c r="C302" s="12" t="s">
        <v>411</v>
      </c>
      <c r="D302" s="12"/>
      <c r="E302" s="12">
        <v>44255</v>
      </c>
      <c r="G302" s="7">
        <v>11364979</v>
      </c>
      <c r="I302" s="7">
        <v>0</v>
      </c>
      <c r="K302" s="2">
        <f t="shared" si="54"/>
        <v>10176338</v>
      </c>
      <c r="M302" s="7">
        <v>21541317</v>
      </c>
      <c r="O302" s="2">
        <f t="shared" si="55"/>
        <v>5072845</v>
      </c>
      <c r="Q302" s="7">
        <v>7088091</v>
      </c>
      <c r="S302" s="7">
        <v>12160936</v>
      </c>
      <c r="U302" s="7">
        <v>15417</v>
      </c>
      <c r="W302" s="7">
        <v>6891572</v>
      </c>
      <c r="Y302" s="7">
        <v>79944</v>
      </c>
      <c r="AA302" s="7">
        <v>2556759</v>
      </c>
      <c r="AC302" s="7">
        <v>-163311</v>
      </c>
      <c r="AE302" s="13">
        <f t="shared" si="48"/>
        <v>9380381</v>
      </c>
      <c r="AG302" s="7">
        <f t="shared" si="49"/>
        <v>0</v>
      </c>
      <c r="AK302" s="7" t="str">
        <f t="shared" si="50"/>
        <v>London City SD</v>
      </c>
      <c r="AL302" s="7" t="str">
        <f>GenExp!A302</f>
        <v>London City SD</v>
      </c>
      <c r="AM302" s="7" t="b">
        <f t="shared" si="51"/>
        <v>1</v>
      </c>
      <c r="AN302" s="7" t="str">
        <f t="shared" si="47"/>
        <v>Madison</v>
      </c>
      <c r="AO302" s="7" t="b">
        <f>C302=GenExp!C302</f>
        <v>1</v>
      </c>
    </row>
    <row r="303" spans="1:41">
      <c r="A303" s="12" t="s">
        <v>398</v>
      </c>
      <c r="B303" s="12"/>
      <c r="C303" s="12" t="s">
        <v>44</v>
      </c>
      <c r="D303" s="12"/>
      <c r="E303" s="12">
        <v>44263</v>
      </c>
      <c r="G303" s="7">
        <f>16351064+48450514+7087908</f>
        <v>71889486</v>
      </c>
      <c r="I303" s="7">
        <v>0</v>
      </c>
      <c r="K303" s="2">
        <f t="shared" si="54"/>
        <v>75920492</v>
      </c>
      <c r="M303" s="7">
        <v>147809978</v>
      </c>
      <c r="O303" s="2">
        <f t="shared" si="55"/>
        <v>22299587</v>
      </c>
      <c r="Q303" s="7">
        <v>69622067</v>
      </c>
      <c r="S303" s="7">
        <v>91921654</v>
      </c>
      <c r="U303" s="7">
        <v>0</v>
      </c>
      <c r="W303" s="7">
        <v>57786626</v>
      </c>
      <c r="Y303" s="7">
        <v>0</v>
      </c>
      <c r="AA303" s="7">
        <v>0</v>
      </c>
      <c r="AC303" s="7">
        <v>-1898302</v>
      </c>
      <c r="AE303" s="13">
        <f t="shared" si="48"/>
        <v>55888324</v>
      </c>
      <c r="AG303" s="7">
        <f t="shared" si="49"/>
        <v>0</v>
      </c>
      <c r="AI303" s="97"/>
      <c r="AK303" s="7" t="str">
        <f t="shared" si="50"/>
        <v>Lorain City SD</v>
      </c>
      <c r="AL303" s="7" t="str">
        <f>GenExp!A303</f>
        <v>Lorain City SD</v>
      </c>
      <c r="AM303" s="7" t="b">
        <f t="shared" si="51"/>
        <v>1</v>
      </c>
      <c r="AN303" s="7" t="str">
        <f t="shared" si="47"/>
        <v>Lorain</v>
      </c>
      <c r="AO303" s="7" t="b">
        <f>C303=GenExp!C303</f>
        <v>1</v>
      </c>
    </row>
    <row r="304" spans="1:41">
      <c r="A304" s="12" t="s">
        <v>543</v>
      </c>
      <c r="B304" s="12"/>
      <c r="C304" s="12" t="s">
        <v>64</v>
      </c>
      <c r="D304" s="12"/>
      <c r="E304" s="12">
        <v>50203</v>
      </c>
      <c r="G304" s="7">
        <v>883680</v>
      </c>
      <c r="I304" s="7">
        <v>50873</v>
      </c>
      <c r="K304" s="2">
        <f t="shared" si="54"/>
        <v>4939192</v>
      </c>
      <c r="M304" s="7">
        <v>5873745</v>
      </c>
      <c r="O304" s="2">
        <f t="shared" si="55"/>
        <v>1735526</v>
      </c>
      <c r="Q304" s="7">
        <f>3767681+116918</f>
        <v>3884599</v>
      </c>
      <c r="S304" s="7">
        <v>5620125</v>
      </c>
      <c r="U304" s="7">
        <f>1832+30254+2221</f>
        <v>34307</v>
      </c>
      <c r="W304" s="7">
        <f>111796+47590+89513+6150+8355+50873</f>
        <v>314277</v>
      </c>
      <c r="Y304" s="7">
        <v>6160</v>
      </c>
      <c r="AA304" s="7">
        <f>8892+56735+21308+27497+9959+682</f>
        <v>125073</v>
      </c>
      <c r="AC304" s="7">
        <v>-226197</v>
      </c>
      <c r="AE304" s="13">
        <f t="shared" si="48"/>
        <v>253620</v>
      </c>
      <c r="AG304" s="7">
        <f t="shared" si="49"/>
        <v>0</v>
      </c>
      <c r="AK304" s="7" t="str">
        <f t="shared" si="50"/>
        <v>Lordstown Local SD</v>
      </c>
      <c r="AL304" s="7" t="str">
        <f>GenExp!A304</f>
        <v>Lordstown Local SD</v>
      </c>
      <c r="AM304" s="7" t="b">
        <f t="shared" si="51"/>
        <v>1</v>
      </c>
      <c r="AN304" s="7" t="str">
        <f t="shared" si="47"/>
        <v>Trumbull</v>
      </c>
      <c r="AO304" s="7" t="b">
        <f>C304=GenExp!C304</f>
        <v>1</v>
      </c>
    </row>
    <row r="305" spans="1:41">
      <c r="A305" s="12" t="s">
        <v>719</v>
      </c>
      <c r="B305" s="12"/>
      <c r="C305" s="12" t="s">
        <v>11</v>
      </c>
      <c r="D305" s="12"/>
      <c r="E305" s="12">
        <v>45468</v>
      </c>
      <c r="G305" s="7">
        <v>3610882</v>
      </c>
      <c r="I305" s="7">
        <v>0</v>
      </c>
      <c r="K305" s="2">
        <f t="shared" si="54"/>
        <v>5457086</v>
      </c>
      <c r="M305" s="7">
        <v>9067968</v>
      </c>
      <c r="O305" s="2">
        <f t="shared" si="55"/>
        <v>1727463</v>
      </c>
      <c r="Q305" s="7">
        <f>446160+3036058</f>
        <v>3482218</v>
      </c>
      <c r="S305" s="7">
        <v>5209681</v>
      </c>
      <c r="U305" s="7">
        <f>32244+40050+897</f>
        <v>73191</v>
      </c>
      <c r="W305" s="7">
        <f>67319+11319+19616+45692</f>
        <v>143946</v>
      </c>
      <c r="Y305" s="7">
        <f>20820+2684+11000</f>
        <v>34504</v>
      </c>
      <c r="AA305" s="7">
        <f>35914+13319</f>
        <v>49233</v>
      </c>
      <c r="AC305" s="7">
        <v>3557413</v>
      </c>
      <c r="AE305" s="13">
        <f t="shared" si="48"/>
        <v>3858287</v>
      </c>
      <c r="AG305" s="7">
        <f t="shared" si="49"/>
        <v>0</v>
      </c>
      <c r="AI305" s="7" t="s">
        <v>914</v>
      </c>
      <c r="AK305" s="7" t="str">
        <f t="shared" si="50"/>
        <v>Loudonville-Perrysville Exempted Village SD</v>
      </c>
      <c r="AL305" s="7" t="str">
        <f>GenExp!A305</f>
        <v>Loudonville-Perrysville Exempted Village SD</v>
      </c>
      <c r="AM305" s="7" t="b">
        <f t="shared" si="51"/>
        <v>1</v>
      </c>
      <c r="AN305" s="7" t="str">
        <f t="shared" si="47"/>
        <v>Ashland</v>
      </c>
      <c r="AO305" s="7" t="b">
        <f>C305=GenExp!C305</f>
        <v>1</v>
      </c>
    </row>
    <row r="306" spans="1:41">
      <c r="A306" s="12" t="s">
        <v>514</v>
      </c>
      <c r="B306" s="12"/>
      <c r="C306" s="12" t="s">
        <v>62</v>
      </c>
      <c r="D306" s="12"/>
      <c r="E306" s="12">
        <v>49874</v>
      </c>
      <c r="G306" s="7">
        <f>29040068+460465</f>
        <v>29500533</v>
      </c>
      <c r="I306" s="7">
        <v>172004</v>
      </c>
      <c r="K306" s="2">
        <f t="shared" si="54"/>
        <v>11353356</v>
      </c>
      <c r="M306" s="7">
        <v>41025893</v>
      </c>
      <c r="O306" s="2">
        <f t="shared" si="55"/>
        <v>6969057</v>
      </c>
      <c r="Q306" s="7">
        <v>9710829</v>
      </c>
      <c r="S306" s="7">
        <v>16679886</v>
      </c>
      <c r="U306" s="7">
        <v>69898</v>
      </c>
      <c r="W306" s="7">
        <v>22318423</v>
      </c>
      <c r="Y306" s="7">
        <v>0</v>
      </c>
      <c r="AA306" s="7">
        <v>1957686</v>
      </c>
      <c r="AC306" s="7">
        <v>0</v>
      </c>
      <c r="AE306" s="13">
        <f t="shared" si="48"/>
        <v>24346007</v>
      </c>
      <c r="AG306" s="7">
        <f t="shared" si="49"/>
        <v>0</v>
      </c>
      <c r="AI306" s="7" t="s">
        <v>923</v>
      </c>
      <c r="AK306" s="7" t="str">
        <f t="shared" si="50"/>
        <v>Louisville City SD</v>
      </c>
      <c r="AL306" s="7" t="str">
        <f>GenExp!A306</f>
        <v>Louisville City SD</v>
      </c>
      <c r="AM306" s="7" t="b">
        <f t="shared" si="51"/>
        <v>1</v>
      </c>
      <c r="AN306" s="7" t="str">
        <f t="shared" si="47"/>
        <v>Stark</v>
      </c>
      <c r="AO306" s="7" t="b">
        <f>C306=GenExp!C306</f>
        <v>1</v>
      </c>
    </row>
    <row r="307" spans="1:41">
      <c r="A307" s="12" t="s">
        <v>332</v>
      </c>
      <c r="B307" s="12"/>
      <c r="C307" s="12" t="s">
        <v>32</v>
      </c>
      <c r="D307" s="12"/>
      <c r="E307" s="12">
        <v>44271</v>
      </c>
      <c r="G307" s="7">
        <v>13525727</v>
      </c>
      <c r="I307" s="7">
        <v>23692</v>
      </c>
      <c r="K307" s="2">
        <f t="shared" si="54"/>
        <v>29328797</v>
      </c>
      <c r="M307" s="7">
        <v>42878216</v>
      </c>
      <c r="O307" s="2">
        <f t="shared" si="55"/>
        <v>11871788</v>
      </c>
      <c r="Q307" s="7">
        <v>19690531</v>
      </c>
      <c r="S307" s="7">
        <v>31562319</v>
      </c>
      <c r="U307" s="7">
        <v>31524</v>
      </c>
      <c r="W307" s="7">
        <v>4668789</v>
      </c>
      <c r="Y307" s="7">
        <v>0</v>
      </c>
      <c r="AA307" s="7">
        <v>77364</v>
      </c>
      <c r="AC307" s="7">
        <v>6538220</v>
      </c>
      <c r="AE307" s="13">
        <f t="shared" si="48"/>
        <v>11315897</v>
      </c>
      <c r="AG307" s="7">
        <f t="shared" si="49"/>
        <v>0</v>
      </c>
      <c r="AK307" s="7" t="str">
        <f t="shared" si="50"/>
        <v>Loveland City SD</v>
      </c>
      <c r="AL307" s="7" t="str">
        <f>GenExp!A307</f>
        <v>Loveland City SD</v>
      </c>
      <c r="AM307" s="7" t="b">
        <f t="shared" si="51"/>
        <v>1</v>
      </c>
      <c r="AN307" s="7" t="str">
        <f t="shared" si="47"/>
        <v>Hamilton</v>
      </c>
      <c r="AO307" s="7" t="b">
        <f>C307=GenExp!C307</f>
        <v>1</v>
      </c>
    </row>
    <row r="308" spans="1:41">
      <c r="A308" s="12" t="s">
        <v>720</v>
      </c>
      <c r="B308" s="12"/>
      <c r="C308" s="12" t="s">
        <v>45</v>
      </c>
      <c r="D308" s="12"/>
      <c r="E308" s="12">
        <v>48330</v>
      </c>
      <c r="G308" s="7">
        <f>4134036+197773</f>
        <v>4331809</v>
      </c>
      <c r="I308" s="7">
        <v>157777</v>
      </c>
      <c r="K308" s="2">
        <f t="shared" si="54"/>
        <v>1994987</v>
      </c>
      <c r="M308" s="7">
        <v>6484573</v>
      </c>
      <c r="O308" s="2">
        <f t="shared" si="55"/>
        <v>1314635</v>
      </c>
      <c r="Q308" s="7">
        <f>249231+1014580</f>
        <v>1263811</v>
      </c>
      <c r="S308" s="7">
        <v>2578446</v>
      </c>
      <c r="U308" s="7">
        <f>5786+1993+716957</f>
        <v>724736</v>
      </c>
      <c r="W308" s="7">
        <f>138481+99687+422635+247624+9653+3146+51454+106323+9559</f>
        <v>1088562</v>
      </c>
      <c r="Y308" s="7">
        <f>419398+167336+196724</f>
        <v>783458</v>
      </c>
      <c r="AA308" s="7">
        <f>5553+381+112395</f>
        <v>118329</v>
      </c>
      <c r="AC308" s="7">
        <v>1191042</v>
      </c>
      <c r="AE308" s="13">
        <f t="shared" si="48"/>
        <v>3906127</v>
      </c>
      <c r="AG308" s="7">
        <f t="shared" si="49"/>
        <v>0</v>
      </c>
      <c r="AK308" s="7" t="str">
        <f t="shared" si="50"/>
        <v xml:space="preserve">Lowellville Local SD </v>
      </c>
      <c r="AL308" s="7" t="str">
        <f>GenExp!A308</f>
        <v xml:space="preserve">Lowellville Local SD </v>
      </c>
      <c r="AM308" s="7" t="b">
        <f t="shared" si="51"/>
        <v>1</v>
      </c>
      <c r="AN308" s="7" t="str">
        <f t="shared" si="47"/>
        <v>Mahoning</v>
      </c>
      <c r="AO308" s="7" t="b">
        <f>C308=GenExp!C308</f>
        <v>1</v>
      </c>
    </row>
    <row r="309" spans="1:41">
      <c r="A309" s="12" t="s">
        <v>924</v>
      </c>
      <c r="B309" s="12"/>
      <c r="C309" s="12" t="s">
        <v>110</v>
      </c>
      <c r="D309" s="12"/>
      <c r="E309" s="12">
        <v>49445</v>
      </c>
      <c r="G309" s="7">
        <v>3418937</v>
      </c>
      <c r="I309" s="7">
        <v>386921</v>
      </c>
      <c r="K309" s="2">
        <f t="shared" si="54"/>
        <v>2637116</v>
      </c>
      <c r="M309" s="7">
        <v>6442974</v>
      </c>
      <c r="O309" s="2">
        <f t="shared" si="55"/>
        <v>576304</v>
      </c>
      <c r="Q309" s="7">
        <f>263459+1693362</f>
        <v>1956821</v>
      </c>
      <c r="S309" s="7">
        <v>2533125</v>
      </c>
      <c r="U309" s="7">
        <f>11182+1741</f>
        <v>12923</v>
      </c>
      <c r="W309" s="7">
        <f>86091+12886+17141+113504+39857+386921</f>
        <v>656400</v>
      </c>
      <c r="Y309" s="7">
        <v>36027</v>
      </c>
      <c r="AA309" s="7">
        <f>43801+210205+218+34</f>
        <v>254258</v>
      </c>
      <c r="AC309" s="7">
        <v>2950241</v>
      </c>
      <c r="AE309" s="13">
        <f t="shared" si="48"/>
        <v>3909849</v>
      </c>
      <c r="AG309" s="7">
        <f t="shared" si="49"/>
        <v>0</v>
      </c>
      <c r="AK309" s="7" t="str">
        <f t="shared" si="50"/>
        <v>Lucas Local SD</v>
      </c>
      <c r="AL309" s="7" t="str">
        <f>GenExp!A309</f>
        <v>Lucas Local SD</v>
      </c>
      <c r="AM309" s="7" t="b">
        <f t="shared" si="51"/>
        <v>1</v>
      </c>
      <c r="AN309" s="7" t="str">
        <f t="shared" si="47"/>
        <v>Richland</v>
      </c>
      <c r="AO309" s="7" t="b">
        <f>C309=GenExp!C309</f>
        <v>1</v>
      </c>
    </row>
    <row r="310" spans="1:41">
      <c r="A310" s="12" t="s">
        <v>361</v>
      </c>
      <c r="B310" s="12"/>
      <c r="C310" s="12" t="s">
        <v>358</v>
      </c>
      <c r="D310" s="12"/>
      <c r="E310" s="12">
        <v>47639</v>
      </c>
      <c r="G310" s="7">
        <v>9070563</v>
      </c>
      <c r="I310" s="7">
        <v>30409</v>
      </c>
      <c r="K310" s="2">
        <f t="shared" si="54"/>
        <v>2634079</v>
      </c>
      <c r="M310" s="7">
        <v>11735051</v>
      </c>
      <c r="O310" s="2">
        <f t="shared" si="55"/>
        <v>1406989</v>
      </c>
      <c r="Q310" s="7">
        <v>2329761</v>
      </c>
      <c r="S310" s="7">
        <v>3736750</v>
      </c>
      <c r="U310" s="7">
        <v>545</v>
      </c>
      <c r="W310" s="7">
        <v>1627285</v>
      </c>
      <c r="Y310" s="7">
        <v>11000</v>
      </c>
      <c r="AA310" s="7">
        <v>209334</v>
      </c>
      <c r="AC310" s="7">
        <v>6150137</v>
      </c>
      <c r="AE310" s="13">
        <f t="shared" si="48"/>
        <v>7998301</v>
      </c>
      <c r="AG310" s="7">
        <f t="shared" si="49"/>
        <v>0</v>
      </c>
      <c r="AI310" s="7" t="s">
        <v>927</v>
      </c>
      <c r="AK310" s="7" t="str">
        <f t="shared" si="50"/>
        <v>Lynchburg-Clay Local SD</v>
      </c>
      <c r="AL310" s="7" t="str">
        <f>GenExp!A310</f>
        <v>Lynchburg-Clay Local SD</v>
      </c>
      <c r="AM310" s="7" t="b">
        <f t="shared" si="51"/>
        <v>1</v>
      </c>
      <c r="AN310" s="7" t="str">
        <f t="shared" si="47"/>
        <v>Highland</v>
      </c>
      <c r="AO310" s="7" t="b">
        <f>C310=GenExp!C310</f>
        <v>1</v>
      </c>
    </row>
    <row r="311" spans="1:41">
      <c r="A311" s="12" t="s">
        <v>750</v>
      </c>
      <c r="B311" s="12"/>
      <c r="C311" s="12" t="s">
        <v>50</v>
      </c>
      <c r="D311" s="12"/>
      <c r="E311" s="12">
        <v>48702</v>
      </c>
      <c r="G311" s="7">
        <v>15884190</v>
      </c>
      <c r="I311" s="7">
        <v>0</v>
      </c>
      <c r="K311" s="2">
        <f t="shared" si="54"/>
        <v>11950370</v>
      </c>
      <c r="M311" s="7">
        <v>27834560</v>
      </c>
      <c r="O311" s="2">
        <f t="shared" si="55"/>
        <v>5581019</v>
      </c>
      <c r="Q311" s="7">
        <v>10530616</v>
      </c>
      <c r="S311" s="7">
        <v>16111635</v>
      </c>
      <c r="U311" s="7">
        <v>16138</v>
      </c>
      <c r="W311" s="7">
        <v>4253411</v>
      </c>
      <c r="Y311" s="7">
        <v>0</v>
      </c>
      <c r="AA311" s="7">
        <v>460256</v>
      </c>
      <c r="AC311" s="7">
        <v>6993120</v>
      </c>
      <c r="AE311" s="13">
        <f t="shared" si="48"/>
        <v>11722925</v>
      </c>
      <c r="AG311" s="7">
        <f t="shared" si="49"/>
        <v>0</v>
      </c>
      <c r="AK311" s="7" t="str">
        <f t="shared" si="50"/>
        <v xml:space="preserve">Mad River Local SD </v>
      </c>
      <c r="AL311" s="7" t="str">
        <f>GenExp!A311</f>
        <v xml:space="preserve">Mad River Local SD </v>
      </c>
      <c r="AM311" s="7" t="b">
        <f t="shared" si="51"/>
        <v>1</v>
      </c>
      <c r="AN311" s="7" t="str">
        <f t="shared" si="47"/>
        <v>Montgomery</v>
      </c>
      <c r="AO311" s="7" t="b">
        <f>C311=GenExp!C311</f>
        <v>1</v>
      </c>
    </row>
    <row r="312" spans="1:41">
      <c r="A312" s="12" t="s">
        <v>333</v>
      </c>
      <c r="B312" s="12"/>
      <c r="C312" s="12" t="s">
        <v>32</v>
      </c>
      <c r="D312" s="12"/>
      <c r="E312" s="12">
        <v>44289</v>
      </c>
      <c r="G312" s="7">
        <v>8004712</v>
      </c>
      <c r="I312" s="7">
        <v>340527</v>
      </c>
      <c r="K312" s="2">
        <f t="shared" si="54"/>
        <v>14268143</v>
      </c>
      <c r="M312" s="7">
        <v>22613382</v>
      </c>
      <c r="O312" s="2">
        <f t="shared" si="55"/>
        <v>3123278</v>
      </c>
      <c r="Q312" s="7">
        <v>9044295</v>
      </c>
      <c r="S312" s="7">
        <v>12167573</v>
      </c>
      <c r="U312" s="7">
        <v>0</v>
      </c>
      <c r="W312" s="7">
        <v>2444861</v>
      </c>
      <c r="Y312" s="7">
        <v>476805</v>
      </c>
      <c r="AA312" s="7">
        <v>0</v>
      </c>
      <c r="AC312" s="7">
        <v>7524143</v>
      </c>
      <c r="AE312" s="13">
        <f t="shared" si="48"/>
        <v>10445809</v>
      </c>
      <c r="AG312" s="7">
        <f t="shared" si="49"/>
        <v>0</v>
      </c>
      <c r="AK312" s="7" t="str">
        <f t="shared" si="50"/>
        <v>Madeira City SD</v>
      </c>
      <c r="AL312" s="7" t="str">
        <f>GenExp!A312</f>
        <v>Madeira City SD</v>
      </c>
      <c r="AM312" s="7" t="b">
        <f t="shared" si="51"/>
        <v>1</v>
      </c>
      <c r="AN312" s="7" t="str">
        <f t="shared" si="47"/>
        <v>Hamilton</v>
      </c>
      <c r="AO312" s="7" t="b">
        <f>C312=GenExp!C312</f>
        <v>1</v>
      </c>
    </row>
    <row r="313" spans="1:41">
      <c r="A313" s="12" t="s">
        <v>227</v>
      </c>
      <c r="B313" s="12"/>
      <c r="C313" s="12" t="s">
        <v>223</v>
      </c>
      <c r="D313" s="12"/>
      <c r="E313" s="12">
        <v>46128</v>
      </c>
      <c r="G313" s="7">
        <v>3511178</v>
      </c>
      <c r="I313" s="7">
        <v>0</v>
      </c>
      <c r="K313" s="2">
        <f t="shared" si="54"/>
        <v>6856830</v>
      </c>
      <c r="M313" s="7">
        <v>10368008</v>
      </c>
      <c r="O313" s="2">
        <f t="shared" si="55"/>
        <v>1415690</v>
      </c>
      <c r="Q313" s="7">
        <v>6268799</v>
      </c>
      <c r="S313" s="7">
        <v>7684489</v>
      </c>
      <c r="U313" s="7">
        <v>15305</v>
      </c>
      <c r="W313" s="7">
        <v>1179016</v>
      </c>
      <c r="Y313" s="7">
        <v>0</v>
      </c>
      <c r="AA313" s="7">
        <v>209270</v>
      </c>
      <c r="AC313" s="7">
        <v>1279928</v>
      </c>
      <c r="AE313" s="13">
        <f t="shared" si="48"/>
        <v>2683519</v>
      </c>
      <c r="AG313" s="7">
        <f t="shared" si="49"/>
        <v>0</v>
      </c>
      <c r="AK313" s="7" t="str">
        <f t="shared" si="50"/>
        <v>Madison Local SD</v>
      </c>
      <c r="AL313" s="7" t="str">
        <f>GenExp!A313</f>
        <v>Madison Local SD</v>
      </c>
      <c r="AM313" s="7" t="b">
        <f t="shared" si="51"/>
        <v>1</v>
      </c>
      <c r="AN313" s="7" t="str">
        <f t="shared" si="47"/>
        <v>Butler</v>
      </c>
      <c r="AO313" s="7" t="b">
        <f>C313=GenExp!C313</f>
        <v>1</v>
      </c>
    </row>
    <row r="314" spans="1:41" hidden="1">
      <c r="A314" s="12" t="s">
        <v>772</v>
      </c>
      <c r="B314" s="12"/>
      <c r="C314" s="12" t="s">
        <v>41</v>
      </c>
      <c r="D314" s="12"/>
      <c r="E314" s="12"/>
      <c r="K314" s="2">
        <f t="shared" si="54"/>
        <v>0</v>
      </c>
      <c r="O314" s="2">
        <f t="shared" si="55"/>
        <v>0</v>
      </c>
      <c r="AE314" s="13">
        <f t="shared" si="48"/>
        <v>0</v>
      </c>
      <c r="AG314" s="7">
        <f t="shared" si="49"/>
        <v>0</v>
      </c>
      <c r="AI314" s="7" t="s">
        <v>839</v>
      </c>
      <c r="AK314" s="7" t="str">
        <f t="shared" si="50"/>
        <v xml:space="preserve">Madison Local SD (CASH)  </v>
      </c>
      <c r="AL314" s="7" t="str">
        <f>GenExp!A314</f>
        <v xml:space="preserve">Madison Local SD (CASH)  </v>
      </c>
      <c r="AM314" s="7" t="b">
        <f t="shared" si="51"/>
        <v>1</v>
      </c>
      <c r="AN314" s="7" t="str">
        <f t="shared" si="47"/>
        <v>Lake</v>
      </c>
      <c r="AO314" s="7" t="b">
        <f>C314=GenExp!C314</f>
        <v>1</v>
      </c>
    </row>
    <row r="315" spans="1:41">
      <c r="A315" s="12" t="s">
        <v>227</v>
      </c>
      <c r="B315" s="12"/>
      <c r="C315" s="12" t="s">
        <v>110</v>
      </c>
      <c r="D315" s="12"/>
      <c r="E315" s="12">
        <v>49452</v>
      </c>
      <c r="G315" s="7">
        <v>36246184</v>
      </c>
      <c r="I315" s="7">
        <v>0</v>
      </c>
      <c r="K315" s="2">
        <f t="shared" si="54"/>
        <v>20207754</v>
      </c>
      <c r="M315" s="7">
        <v>56453938</v>
      </c>
      <c r="O315" s="2">
        <f t="shared" si="55"/>
        <v>4118390</v>
      </c>
      <c r="Q315" s="7">
        <f>11066341+7112729</f>
        <v>18179070</v>
      </c>
      <c r="S315" s="7">
        <v>22297460</v>
      </c>
      <c r="U315" s="7">
        <v>13375</v>
      </c>
      <c r="W315" s="7">
        <f>1373591+27193806+177361+207032+3229+264+377+38435+14710</f>
        <v>29008805</v>
      </c>
      <c r="Y315" s="7">
        <v>0</v>
      </c>
      <c r="AA315" s="7">
        <f>70497+3000+50271+68209</f>
        <v>191977</v>
      </c>
      <c r="AC315" s="7">
        <v>4942321</v>
      </c>
      <c r="AE315" s="13">
        <f t="shared" si="48"/>
        <v>34156478</v>
      </c>
      <c r="AG315" s="7">
        <f t="shared" si="49"/>
        <v>0</v>
      </c>
      <c r="AK315" s="7" t="str">
        <f t="shared" si="50"/>
        <v>Madison Local SD</v>
      </c>
      <c r="AL315" s="7" t="str">
        <f>GenExp!A315</f>
        <v>Madison Local SD</v>
      </c>
      <c r="AM315" s="7" t="b">
        <f t="shared" si="51"/>
        <v>1</v>
      </c>
      <c r="AN315" s="7" t="str">
        <f t="shared" si="47"/>
        <v>Richland</v>
      </c>
      <c r="AO315" s="7" t="b">
        <f>C315=GenExp!C315</f>
        <v>1</v>
      </c>
    </row>
    <row r="316" spans="1:41">
      <c r="A316" s="12" t="s">
        <v>730</v>
      </c>
      <c r="B316" s="12"/>
      <c r="C316" s="12" t="s">
        <v>411</v>
      </c>
      <c r="D316" s="12"/>
      <c r="E316" s="12"/>
      <c r="G316" s="7">
        <v>10135045</v>
      </c>
      <c r="I316" s="7">
        <v>283251</v>
      </c>
      <c r="K316" s="2">
        <f t="shared" si="54"/>
        <v>6675409</v>
      </c>
      <c r="M316" s="7">
        <v>17093705</v>
      </c>
      <c r="O316" s="2">
        <f t="shared" si="55"/>
        <v>1716845</v>
      </c>
      <c r="Q316" s="7">
        <v>3954460</v>
      </c>
      <c r="S316" s="7">
        <v>5671305</v>
      </c>
      <c r="U316" s="7">
        <v>0</v>
      </c>
      <c r="W316" s="7">
        <v>1067107</v>
      </c>
      <c r="Y316" s="7">
        <v>970</v>
      </c>
      <c r="AA316" s="7">
        <v>164054</v>
      </c>
      <c r="AC316" s="7">
        <v>10190269</v>
      </c>
      <c r="AE316" s="13">
        <f t="shared" si="48"/>
        <v>11422400</v>
      </c>
      <c r="AG316" s="7">
        <f t="shared" si="49"/>
        <v>0</v>
      </c>
      <c r="AK316" s="7" t="str">
        <f t="shared" si="50"/>
        <v xml:space="preserve">Madison Plains Local SD </v>
      </c>
      <c r="AL316" s="7" t="str">
        <f>GenExp!A316</f>
        <v xml:space="preserve">Madison Plains Local SD </v>
      </c>
      <c r="AM316" s="7" t="b">
        <f t="shared" si="51"/>
        <v>1</v>
      </c>
      <c r="AN316" s="7" t="str">
        <f t="shared" si="47"/>
        <v>Madison</v>
      </c>
      <c r="AO316" s="7" t="b">
        <f>C316=GenExp!C316</f>
        <v>1</v>
      </c>
    </row>
    <row r="317" spans="1:41">
      <c r="A317" s="12" t="s">
        <v>630</v>
      </c>
      <c r="B317" s="12"/>
      <c r="C317" s="12" t="s">
        <v>201</v>
      </c>
      <c r="D317" s="12"/>
      <c r="E317" s="12"/>
      <c r="G317" s="7">
        <v>7430656</v>
      </c>
      <c r="I317" s="7">
        <v>20005</v>
      </c>
      <c r="K317" s="2">
        <f t="shared" si="54"/>
        <v>7574086</v>
      </c>
      <c r="M317" s="7">
        <v>15024747</v>
      </c>
      <c r="O317" s="2">
        <f t="shared" si="55"/>
        <v>1086112</v>
      </c>
      <c r="Q317" s="7">
        <v>7172678</v>
      </c>
      <c r="S317" s="7">
        <v>8258790</v>
      </c>
      <c r="U317" s="7">
        <v>71457</v>
      </c>
      <c r="W317" s="7">
        <v>2568857</v>
      </c>
      <c r="Y317" s="7">
        <v>235614</v>
      </c>
      <c r="AA317" s="7">
        <v>1094610</v>
      </c>
      <c r="AC317" s="7">
        <v>2795419</v>
      </c>
      <c r="AE317" s="13">
        <f t="shared" si="48"/>
        <v>6765957</v>
      </c>
      <c r="AG317" s="7">
        <f t="shared" si="49"/>
        <v>0</v>
      </c>
      <c r="AK317" s="7" t="str">
        <f t="shared" si="50"/>
        <v>Manchester Local SD</v>
      </c>
      <c r="AL317" s="7" t="str">
        <f>GenExp!A317</f>
        <v>Manchester Local SD</v>
      </c>
      <c r="AM317" s="7" t="b">
        <f t="shared" si="51"/>
        <v>1</v>
      </c>
      <c r="AN317" s="7" t="str">
        <f t="shared" si="47"/>
        <v>Adams</v>
      </c>
      <c r="AO317" s="7" t="b">
        <f>C317=GenExp!C317</f>
        <v>1</v>
      </c>
    </row>
    <row r="318" spans="1:41" hidden="1">
      <c r="A318" s="12" t="s">
        <v>930</v>
      </c>
      <c r="B318" s="12"/>
      <c r="C318" s="12" t="s">
        <v>63</v>
      </c>
      <c r="D318" s="12"/>
      <c r="E318" s="12"/>
      <c r="K318" s="2">
        <f t="shared" ref="K318" si="56">M318-G318-I318</f>
        <v>0</v>
      </c>
      <c r="O318" s="2">
        <f t="shared" ref="O318" si="57">S318-Q318</f>
        <v>0</v>
      </c>
      <c r="AE318" s="13">
        <f t="shared" ref="AE318" si="58">U318+W318+Y318+AA318+AC318</f>
        <v>0</v>
      </c>
      <c r="AG318" s="7">
        <f t="shared" ref="AG318" si="59">+G318+I318+K318-O318-Q318-Y318-W318-U318-AA318-AC318</f>
        <v>0</v>
      </c>
      <c r="AI318" s="7" t="s">
        <v>931</v>
      </c>
      <c r="AK318" s="7" t="str">
        <f t="shared" ref="AK318" si="60">A318</f>
        <v>Manchester Local SD (CASH)</v>
      </c>
      <c r="AL318" s="7" t="str">
        <f>GenExp!A318</f>
        <v>Manchester Local SD (CASH)</v>
      </c>
      <c r="AM318" s="7" t="b">
        <f t="shared" ref="AM318" si="61">AK318=AL318</f>
        <v>1</v>
      </c>
      <c r="AN318" s="7" t="str">
        <f t="shared" ref="AN318" si="62">C318</f>
        <v>Summit</v>
      </c>
      <c r="AO318" s="7" t="b">
        <f>C318=GenExp!C318</f>
        <v>1</v>
      </c>
    </row>
    <row r="319" spans="1:41">
      <c r="A319" s="12" t="s">
        <v>484</v>
      </c>
      <c r="B319" s="12"/>
      <c r="C319" s="12" t="s">
        <v>110</v>
      </c>
      <c r="D319" s="12"/>
      <c r="E319" s="12">
        <v>44297</v>
      </c>
      <c r="G319" s="7">
        <v>19614422</v>
      </c>
      <c r="I319" s="7">
        <v>4982</v>
      </c>
      <c r="K319" s="2">
        <f t="shared" si="54"/>
        <v>25093322</v>
      </c>
      <c r="M319" s="7">
        <v>44712726</v>
      </c>
      <c r="O319" s="2">
        <f t="shared" si="55"/>
        <v>6960525</v>
      </c>
      <c r="Q319" s="7">
        <f>14460427+6444685</f>
        <v>20905112</v>
      </c>
      <c r="S319" s="7">
        <v>27865637</v>
      </c>
      <c r="U319" s="7">
        <f>236266+22873</f>
        <v>259139</v>
      </c>
      <c r="W319" s="7">
        <f>8955151+5856883+6543+1045169+193550+55277+50703+54704+265+4982+20004+122305</f>
        <v>16365536</v>
      </c>
      <c r="Y319" s="7">
        <v>0</v>
      </c>
      <c r="AA319" s="7">
        <f>94197+293122+111348+332370+106058</f>
        <v>937095</v>
      </c>
      <c r="AC319" s="7">
        <v>-714681</v>
      </c>
      <c r="AE319" s="13">
        <f t="shared" si="48"/>
        <v>16847089</v>
      </c>
      <c r="AG319" s="7">
        <f t="shared" si="49"/>
        <v>0</v>
      </c>
      <c r="AK319" s="7" t="str">
        <f t="shared" si="50"/>
        <v>Mansfield City SD</v>
      </c>
      <c r="AL319" s="7" t="str">
        <f>GenExp!A319</f>
        <v>Mansfield City SD</v>
      </c>
      <c r="AM319" s="7" t="b">
        <f t="shared" si="51"/>
        <v>1</v>
      </c>
      <c r="AN319" s="7" t="str">
        <f t="shared" si="47"/>
        <v>Richland</v>
      </c>
      <c r="AO319" s="7" t="b">
        <f>C319=GenExp!C319</f>
        <v>1</v>
      </c>
    </row>
    <row r="320" spans="1:41">
      <c r="A320" s="12" t="s">
        <v>762</v>
      </c>
      <c r="B320" s="12"/>
      <c r="C320" s="12" t="s">
        <v>20</v>
      </c>
      <c r="D320" s="12"/>
      <c r="E320" s="12">
        <v>44305</v>
      </c>
      <c r="G320" s="7">
        <v>67973187</v>
      </c>
      <c r="I320" s="7">
        <v>338718</v>
      </c>
      <c r="K320" s="2">
        <f t="shared" si="54"/>
        <v>23727921</v>
      </c>
      <c r="M320" s="7">
        <v>92039826</v>
      </c>
      <c r="O320" s="2">
        <f t="shared" si="55"/>
        <v>7957031</v>
      </c>
      <c r="Q320" s="7">
        <v>19660463</v>
      </c>
      <c r="S320" s="7">
        <v>27617494</v>
      </c>
      <c r="U320" s="7">
        <v>12344</v>
      </c>
      <c r="W320" s="7">
        <v>65812402</v>
      </c>
      <c r="Y320" s="7">
        <v>0</v>
      </c>
      <c r="AA320" s="7">
        <v>724316</v>
      </c>
      <c r="AC320" s="7">
        <v>-2126730</v>
      </c>
      <c r="AE320" s="13">
        <f t="shared" si="48"/>
        <v>64422332</v>
      </c>
      <c r="AG320" s="7">
        <f t="shared" si="49"/>
        <v>0</v>
      </c>
      <c r="AK320" s="7" t="str">
        <f t="shared" si="50"/>
        <v xml:space="preserve">Maple Heights City SD </v>
      </c>
      <c r="AL320" s="7" t="str">
        <f>GenExp!A320</f>
        <v xml:space="preserve">Maple Heights City SD </v>
      </c>
      <c r="AM320" s="7" t="b">
        <f t="shared" si="51"/>
        <v>1</v>
      </c>
      <c r="AN320" s="7" t="str">
        <f t="shared" si="47"/>
        <v>Cuyahoga</v>
      </c>
      <c r="AO320" s="7" t="b">
        <f>C320=GenExp!C320</f>
        <v>1</v>
      </c>
    </row>
    <row r="321" spans="1:41">
      <c r="A321" s="12" t="s">
        <v>206</v>
      </c>
      <c r="B321" s="12"/>
      <c r="C321" s="12" t="s">
        <v>11</v>
      </c>
      <c r="D321" s="12"/>
      <c r="E321" s="12">
        <v>45831</v>
      </c>
      <c r="G321" s="7">
        <f>2964309+5149</f>
        <v>2969458</v>
      </c>
      <c r="I321" s="7">
        <v>0</v>
      </c>
      <c r="K321" s="2">
        <f t="shared" si="54"/>
        <v>3260630</v>
      </c>
      <c r="M321" s="7">
        <v>6230088</v>
      </c>
      <c r="O321" s="2">
        <f t="shared" si="55"/>
        <v>983156</v>
      </c>
      <c r="Q321" s="7">
        <f>1867178+472962</f>
        <v>2340140</v>
      </c>
      <c r="S321" s="7">
        <v>3323296</v>
      </c>
      <c r="U321" s="7">
        <f>13209+78721</f>
        <v>91930</v>
      </c>
      <c r="W321" s="7">
        <f>526486+635790+99470+9568+27555</f>
        <v>1298869</v>
      </c>
      <c r="Y321" s="7">
        <v>25604</v>
      </c>
      <c r="AA321" s="7">
        <f>850+5303+6633+8890</f>
        <v>21676</v>
      </c>
      <c r="AC321" s="7">
        <v>1468713</v>
      </c>
      <c r="AE321" s="13">
        <f t="shared" si="48"/>
        <v>2906792</v>
      </c>
      <c r="AG321" s="7">
        <f t="shared" si="49"/>
        <v>0</v>
      </c>
      <c r="AK321" s="7" t="str">
        <f t="shared" si="50"/>
        <v>Mapleton Local SD</v>
      </c>
      <c r="AL321" s="7" t="str">
        <f>GenExp!A321</f>
        <v>Mapleton Local SD</v>
      </c>
      <c r="AM321" s="7" t="b">
        <f t="shared" si="51"/>
        <v>1</v>
      </c>
      <c r="AN321" s="7" t="str">
        <f t="shared" si="47"/>
        <v>Ashland</v>
      </c>
      <c r="AO321" s="7" t="b">
        <f>C321=GenExp!C321</f>
        <v>1</v>
      </c>
    </row>
    <row r="322" spans="1:41">
      <c r="A322" s="12" t="s">
        <v>544</v>
      </c>
      <c r="B322" s="12"/>
      <c r="C322" s="12" t="s">
        <v>64</v>
      </c>
      <c r="D322" s="12"/>
      <c r="E322" s="12">
        <v>50211</v>
      </c>
      <c r="G322" s="7">
        <v>3381251</v>
      </c>
      <c r="I322" s="7">
        <v>553461</v>
      </c>
      <c r="K322" s="2">
        <f t="shared" si="54"/>
        <v>2961817</v>
      </c>
      <c r="M322" s="7">
        <v>6896529</v>
      </c>
      <c r="O322" s="2">
        <f t="shared" si="55"/>
        <v>1090702</v>
      </c>
      <c r="Q322" s="7">
        <v>2854509</v>
      </c>
      <c r="S322" s="7">
        <v>3945211</v>
      </c>
      <c r="U322" s="7">
        <v>13914</v>
      </c>
      <c r="W322" s="7">
        <v>1151152</v>
      </c>
      <c r="Y322" s="7">
        <v>1300</v>
      </c>
      <c r="AA322" s="7">
        <v>61829</v>
      </c>
      <c r="AC322" s="7">
        <v>1723123</v>
      </c>
      <c r="AE322" s="13">
        <f t="shared" si="48"/>
        <v>2951318</v>
      </c>
      <c r="AG322" s="7">
        <f t="shared" si="49"/>
        <v>0</v>
      </c>
      <c r="AK322" s="7" t="str">
        <f t="shared" si="50"/>
        <v>Maplewood Local SD</v>
      </c>
      <c r="AL322" s="7" t="str">
        <f>GenExp!A322</f>
        <v>Maplewood Local SD</v>
      </c>
      <c r="AM322" s="7" t="b">
        <f t="shared" si="51"/>
        <v>1</v>
      </c>
      <c r="AN322" s="7" t="str">
        <f t="shared" si="47"/>
        <v>Trumbull</v>
      </c>
      <c r="AO322" s="7" t="b">
        <f>C322=GenExp!C322</f>
        <v>1</v>
      </c>
    </row>
    <row r="323" spans="1:41">
      <c r="A323" s="12" t="s">
        <v>294</v>
      </c>
      <c r="B323" s="12"/>
      <c r="C323" s="12" t="s">
        <v>24</v>
      </c>
      <c r="D323" s="12"/>
      <c r="E323" s="12">
        <v>46805</v>
      </c>
      <c r="G323" s="7">
        <v>844979</v>
      </c>
      <c r="I323" s="7">
        <v>0</v>
      </c>
      <c r="K323" s="2">
        <f t="shared" si="54"/>
        <v>6402902</v>
      </c>
      <c r="M323" s="7">
        <v>7247881</v>
      </c>
      <c r="O323" s="2">
        <f t="shared" si="55"/>
        <v>1893855</v>
      </c>
      <c r="Q323" s="7">
        <f>4432081+746871</f>
        <v>5178952</v>
      </c>
      <c r="S323" s="7">
        <v>7072807</v>
      </c>
      <c r="U323" s="7">
        <f>6825+50000</f>
        <v>56825</v>
      </c>
      <c r="W323" s="7">
        <f>71053+2876+84442+66071</f>
        <v>224442</v>
      </c>
      <c r="Y323" s="7">
        <v>39115</v>
      </c>
      <c r="AA323" s="7">
        <f>12761+66647</f>
        <v>79408</v>
      </c>
      <c r="AC323" s="7">
        <v>-224716</v>
      </c>
      <c r="AE323" s="13">
        <f t="shared" si="48"/>
        <v>175074</v>
      </c>
      <c r="AG323" s="7">
        <f t="shared" si="49"/>
        <v>0</v>
      </c>
      <c r="AK323" s="7" t="str">
        <f t="shared" si="50"/>
        <v>Margaretta Local SD</v>
      </c>
      <c r="AL323" s="7" t="str">
        <f>GenExp!A323</f>
        <v>Margaretta Local SD</v>
      </c>
      <c r="AM323" s="7" t="b">
        <f t="shared" si="51"/>
        <v>1</v>
      </c>
      <c r="AN323" s="7" t="str">
        <f t="shared" si="47"/>
        <v>Erie</v>
      </c>
      <c r="AO323" s="7" t="b">
        <f>C323=GenExp!C323</f>
        <v>1</v>
      </c>
    </row>
    <row r="324" spans="1:41">
      <c r="A324" s="12" t="s">
        <v>334</v>
      </c>
      <c r="B324" s="12"/>
      <c r="C324" s="12" t="s">
        <v>32</v>
      </c>
      <c r="D324" s="12"/>
      <c r="E324" s="12">
        <v>44313</v>
      </c>
      <c r="G324" s="7">
        <v>41348516</v>
      </c>
      <c r="I324" s="7">
        <v>140000</v>
      </c>
      <c r="K324" s="2">
        <f t="shared" si="54"/>
        <v>16728868</v>
      </c>
      <c r="M324" s="7">
        <v>58217384</v>
      </c>
      <c r="O324" s="2">
        <f t="shared" si="55"/>
        <v>2412847</v>
      </c>
      <c r="Q324" s="7">
        <v>9634277</v>
      </c>
      <c r="S324" s="7">
        <v>12047124</v>
      </c>
      <c r="U324" s="7">
        <v>6233</v>
      </c>
      <c r="W324" s="7">
        <v>32092863</v>
      </c>
      <c r="Y324" s="7">
        <v>3533754</v>
      </c>
      <c r="AA324" s="7">
        <v>0</v>
      </c>
      <c r="AC324" s="7">
        <v>10537410</v>
      </c>
      <c r="AE324" s="13">
        <f t="shared" si="48"/>
        <v>46170260</v>
      </c>
      <c r="AG324" s="7">
        <f t="shared" si="49"/>
        <v>0</v>
      </c>
      <c r="AI324" s="7" t="s">
        <v>914</v>
      </c>
      <c r="AK324" s="7" t="str">
        <f t="shared" si="50"/>
        <v>Mariemont City SD</v>
      </c>
      <c r="AL324" s="7" t="str">
        <f>GenExp!A324</f>
        <v>Mariemont City SD</v>
      </c>
      <c r="AM324" s="7" t="b">
        <f t="shared" si="51"/>
        <v>1</v>
      </c>
      <c r="AN324" s="7" t="str">
        <f t="shared" si="47"/>
        <v>Hamilton</v>
      </c>
      <c r="AO324" s="7" t="b">
        <f>C324=GenExp!C324</f>
        <v>1</v>
      </c>
    </row>
    <row r="325" spans="1:41" hidden="1">
      <c r="A325" s="12" t="s">
        <v>638</v>
      </c>
      <c r="B325" s="12"/>
      <c r="C325" s="12" t="s">
        <v>70</v>
      </c>
      <c r="D325" s="12"/>
      <c r="E325" s="12">
        <v>44321</v>
      </c>
      <c r="K325" s="2">
        <f t="shared" si="54"/>
        <v>0</v>
      </c>
      <c r="O325" s="2">
        <f t="shared" si="55"/>
        <v>0</v>
      </c>
      <c r="AE325" s="13">
        <f t="shared" si="48"/>
        <v>0</v>
      </c>
      <c r="AG325" s="7">
        <f t="shared" si="49"/>
        <v>0</v>
      </c>
      <c r="AI325" s="7" t="s">
        <v>839</v>
      </c>
      <c r="AK325" s="7" t="str">
        <f t="shared" si="50"/>
        <v>Marietta City SD (CASH)</v>
      </c>
      <c r="AL325" s="7" t="str">
        <f>GenExp!A325</f>
        <v>Marietta City SD (CASH)</v>
      </c>
      <c r="AM325" s="7" t="b">
        <f t="shared" si="51"/>
        <v>1</v>
      </c>
      <c r="AN325" s="7" t="str">
        <f t="shared" si="47"/>
        <v>Washington</v>
      </c>
      <c r="AO325" s="7" t="b">
        <f>C325=GenExp!C325</f>
        <v>1</v>
      </c>
    </row>
    <row r="326" spans="1:41">
      <c r="A326" s="12" t="s">
        <v>423</v>
      </c>
      <c r="B326" s="12"/>
      <c r="C326" s="12" t="s">
        <v>46</v>
      </c>
      <c r="D326" s="12"/>
      <c r="E326" s="12">
        <v>44339</v>
      </c>
      <c r="G326" s="7">
        <v>16315740</v>
      </c>
      <c r="I326" s="7">
        <v>1443411</v>
      </c>
      <c r="K326" s="2">
        <f t="shared" si="54"/>
        <v>15242264</v>
      </c>
      <c r="M326" s="7">
        <v>33001415</v>
      </c>
      <c r="O326" s="2">
        <f t="shared" si="55"/>
        <v>6070078</v>
      </c>
      <c r="Q326" s="7">
        <v>11589774</v>
      </c>
      <c r="S326" s="7">
        <v>17659852</v>
      </c>
      <c r="U326" s="7">
        <v>158800</v>
      </c>
      <c r="W326" s="7">
        <v>3681163</v>
      </c>
      <c r="Y326" s="7">
        <v>0</v>
      </c>
      <c r="AA326" s="7">
        <v>512343</v>
      </c>
      <c r="AC326" s="7">
        <v>10989257</v>
      </c>
      <c r="AE326" s="13">
        <f t="shared" si="48"/>
        <v>15341563</v>
      </c>
      <c r="AG326" s="7">
        <f t="shared" si="49"/>
        <v>0</v>
      </c>
      <c r="AK326" s="7" t="str">
        <f t="shared" si="50"/>
        <v>Marion City SD</v>
      </c>
      <c r="AL326" s="7" t="str">
        <f>GenExp!A326</f>
        <v>Marion City SD</v>
      </c>
      <c r="AM326" s="7" t="b">
        <f t="shared" si="51"/>
        <v>1</v>
      </c>
      <c r="AN326" s="7" t="str">
        <f t="shared" si="47"/>
        <v>Marion</v>
      </c>
      <c r="AO326" s="7" t="b">
        <f>C326=GenExp!C326</f>
        <v>1</v>
      </c>
    </row>
    <row r="327" spans="1:41" hidden="1">
      <c r="A327" s="12" t="s">
        <v>721</v>
      </c>
      <c r="B327" s="12"/>
      <c r="C327" s="12" t="s">
        <v>435</v>
      </c>
      <c r="D327" s="12"/>
      <c r="E327" s="12"/>
      <c r="K327" s="2">
        <f t="shared" si="54"/>
        <v>0</v>
      </c>
      <c r="O327" s="2">
        <f t="shared" si="55"/>
        <v>0</v>
      </c>
      <c r="AE327" s="13">
        <f t="shared" si="48"/>
        <v>0</v>
      </c>
      <c r="AG327" s="7">
        <f t="shared" si="49"/>
        <v>0</v>
      </c>
      <c r="AI327" s="7" t="s">
        <v>839</v>
      </c>
      <c r="AK327" s="7" t="str">
        <f t="shared" si="50"/>
        <v>Marion Local SD (CASH)</v>
      </c>
      <c r="AL327" s="7" t="str">
        <f>GenExp!A327</f>
        <v>Marion Local SD (CASH)</v>
      </c>
      <c r="AM327" s="7" t="b">
        <f t="shared" si="51"/>
        <v>1</v>
      </c>
      <c r="AN327" s="7" t="str">
        <f t="shared" si="47"/>
        <v>Mercer</v>
      </c>
      <c r="AO327" s="7" t="b">
        <f>C327=GenExp!C327</f>
        <v>1</v>
      </c>
    </row>
    <row r="328" spans="1:41">
      <c r="A328" s="12" t="s">
        <v>515</v>
      </c>
      <c r="B328" s="12"/>
      <c r="C328" s="12" t="s">
        <v>62</v>
      </c>
      <c r="D328" s="12"/>
      <c r="E328" s="12">
        <v>49882</v>
      </c>
      <c r="G328" s="7">
        <v>10929725</v>
      </c>
      <c r="I328" s="7">
        <v>293485</v>
      </c>
      <c r="K328" s="2">
        <f t="shared" si="54"/>
        <v>9935464</v>
      </c>
      <c r="M328" s="7">
        <v>21158674</v>
      </c>
      <c r="O328" s="2">
        <f t="shared" si="55"/>
        <v>3557596</v>
      </c>
      <c r="Q328" s="7">
        <f>7128022+1036331</f>
        <v>8164353</v>
      </c>
      <c r="S328" s="7">
        <v>11721949</v>
      </c>
      <c r="U328" s="7">
        <f>167684+20263</f>
        <v>187947</v>
      </c>
      <c r="W328" s="7">
        <f>802233+305896+45544+105215+37622+115444+293485+206787</f>
        <v>1912226</v>
      </c>
      <c r="Y328" s="7">
        <f>336127+10000+476349</f>
        <v>822476</v>
      </c>
      <c r="AA328" s="7">
        <f>376654+389027+172+4439</f>
        <v>770292</v>
      </c>
      <c r="AC328" s="7">
        <v>5743784</v>
      </c>
      <c r="AE328" s="13">
        <f t="shared" si="48"/>
        <v>9436725</v>
      </c>
      <c r="AG328" s="7">
        <f t="shared" si="49"/>
        <v>0</v>
      </c>
      <c r="AK328" s="7" t="str">
        <f t="shared" si="50"/>
        <v>Marlington Local SD</v>
      </c>
      <c r="AL328" s="7" t="str">
        <f>GenExp!A328</f>
        <v>Marlington Local SD</v>
      </c>
      <c r="AM328" s="7" t="b">
        <f t="shared" si="51"/>
        <v>1</v>
      </c>
      <c r="AN328" s="7" t="str">
        <f t="shared" si="47"/>
        <v>Stark</v>
      </c>
      <c r="AO328" s="7" t="b">
        <f>C328=GenExp!C328</f>
        <v>1</v>
      </c>
    </row>
    <row r="329" spans="1:41">
      <c r="A329" s="12" t="s">
        <v>217</v>
      </c>
      <c r="B329" s="12"/>
      <c r="C329" s="12" t="s">
        <v>15</v>
      </c>
      <c r="D329" s="12"/>
      <c r="E329" s="12">
        <v>44347</v>
      </c>
      <c r="G329" s="7">
        <v>765413</v>
      </c>
      <c r="I329" s="7">
        <f>11000+28237</f>
        <v>39237</v>
      </c>
      <c r="K329" s="2">
        <f t="shared" si="54"/>
        <v>3869558</v>
      </c>
      <c r="M329" s="7">
        <v>4674208</v>
      </c>
      <c r="O329" s="2">
        <f t="shared" si="55"/>
        <v>2408680</v>
      </c>
      <c r="Q329" s="7">
        <v>2909666</v>
      </c>
      <c r="S329" s="7">
        <v>5318346</v>
      </c>
      <c r="U329" s="7">
        <f>18240+6857</f>
        <v>25097</v>
      </c>
      <c r="W329" s="7">
        <f>755988+275656+2048+111535+25864+13776+171743+11000</f>
        <v>1367610</v>
      </c>
      <c r="Y329" s="7">
        <v>0</v>
      </c>
      <c r="AA329" s="7">
        <v>0</v>
      </c>
      <c r="AC329" s="7">
        <v>-2036845</v>
      </c>
      <c r="AE329" s="13">
        <f t="shared" si="48"/>
        <v>-644138</v>
      </c>
      <c r="AG329" s="7">
        <f t="shared" si="49"/>
        <v>0</v>
      </c>
      <c r="AK329" s="7" t="str">
        <f t="shared" si="50"/>
        <v>Martins Ferry City SD</v>
      </c>
      <c r="AL329" s="7" t="str">
        <f>GenExp!A329</f>
        <v>Martins Ferry City SD</v>
      </c>
      <c r="AM329" s="7" t="b">
        <f t="shared" si="51"/>
        <v>1</v>
      </c>
      <c r="AN329" s="7" t="str">
        <f t="shared" si="47"/>
        <v>Belmont</v>
      </c>
      <c r="AO329" s="7" t="b">
        <f>C329=GenExp!C329</f>
        <v>1</v>
      </c>
    </row>
    <row r="330" spans="1:41">
      <c r="A330" s="12" t="s">
        <v>876</v>
      </c>
      <c r="B330" s="12"/>
      <c r="C330" s="12" t="s">
        <v>66</v>
      </c>
      <c r="D330" s="12"/>
      <c r="E330" s="12">
        <v>45476</v>
      </c>
      <c r="G330" s="7">
        <f>9778940+498195</f>
        <v>10277135</v>
      </c>
      <c r="I330" s="7">
        <v>0</v>
      </c>
      <c r="K330" s="2">
        <f t="shared" si="54"/>
        <v>29591680</v>
      </c>
      <c r="M330" s="7">
        <v>39868815</v>
      </c>
      <c r="O330" s="2">
        <f t="shared" si="55"/>
        <v>9006326</v>
      </c>
      <c r="Q330" s="7">
        <f>2047597+24064630</f>
        <v>26112227</v>
      </c>
      <c r="S330" s="7">
        <v>35118553</v>
      </c>
      <c r="U330" s="7">
        <f>18420+124900</f>
        <v>143320</v>
      </c>
      <c r="W330" s="7">
        <f>642691+4749138+214600+32548+801+153031+55602</f>
        <v>5848411</v>
      </c>
      <c r="Y330" s="7">
        <v>0</v>
      </c>
      <c r="AA330" s="7">
        <f>14437+304156</f>
        <v>318593</v>
      </c>
      <c r="AC330" s="7">
        <v>-1560062</v>
      </c>
      <c r="AE330" s="13">
        <f t="shared" si="48"/>
        <v>4750262</v>
      </c>
      <c r="AG330" s="7">
        <f t="shared" si="49"/>
        <v>0</v>
      </c>
      <c r="AK330" s="7" t="str">
        <f t="shared" si="50"/>
        <v>Marysville Exempted Village SD</v>
      </c>
      <c r="AL330" s="7" t="str">
        <f>GenExp!A330</f>
        <v>Marysville Exempted Village SD</v>
      </c>
      <c r="AM330" s="7" t="b">
        <f t="shared" si="51"/>
        <v>1</v>
      </c>
      <c r="AN330" s="7" t="str">
        <f t="shared" si="47"/>
        <v>Union</v>
      </c>
      <c r="AO330" s="7" t="b">
        <f>C330=GenExp!C330</f>
        <v>1</v>
      </c>
    </row>
    <row r="331" spans="1:41">
      <c r="A331" s="12" t="s">
        <v>563</v>
      </c>
      <c r="B331" s="12"/>
      <c r="C331" s="12" t="s">
        <v>69</v>
      </c>
      <c r="D331" s="12"/>
      <c r="E331" s="12">
        <v>50450</v>
      </c>
      <c r="G331" s="7">
        <f>147387+73825782</f>
        <v>73973169</v>
      </c>
      <c r="I331" s="7">
        <v>85593</v>
      </c>
      <c r="K331" s="2">
        <f t="shared" si="54"/>
        <v>76805672</v>
      </c>
      <c r="M331" s="7">
        <v>150864434</v>
      </c>
      <c r="O331" s="2">
        <f t="shared" si="55"/>
        <v>26845488</v>
      </c>
      <c r="Q331" s="7">
        <v>70859248</v>
      </c>
      <c r="S331" s="7">
        <v>97704736</v>
      </c>
      <c r="U331" s="7">
        <v>98674</v>
      </c>
      <c r="W331" s="7">
        <v>20685463</v>
      </c>
      <c r="Y331" s="7">
        <v>10811</v>
      </c>
      <c r="AA331" s="7">
        <v>915078</v>
      </c>
      <c r="AC331" s="7">
        <v>31449672</v>
      </c>
      <c r="AE331" s="13">
        <f t="shared" si="48"/>
        <v>53159698</v>
      </c>
      <c r="AG331" s="7">
        <f t="shared" si="49"/>
        <v>0</v>
      </c>
      <c r="AK331" s="7" t="str">
        <f t="shared" si="50"/>
        <v>Mason City SD</v>
      </c>
      <c r="AL331" s="7" t="str">
        <f>GenExp!A331</f>
        <v>Mason City SD</v>
      </c>
      <c r="AM331" s="7" t="b">
        <f t="shared" si="51"/>
        <v>1</v>
      </c>
      <c r="AN331" s="7" t="str">
        <f t="shared" si="47"/>
        <v>Warren</v>
      </c>
      <c r="AO331" s="7" t="b">
        <f>C331=GenExp!C331</f>
        <v>1</v>
      </c>
    </row>
    <row r="332" spans="1:41">
      <c r="A332" s="12" t="s">
        <v>516</v>
      </c>
      <c r="B332" s="12"/>
      <c r="C332" s="12" t="s">
        <v>62</v>
      </c>
      <c r="D332" s="12"/>
      <c r="E332" s="12">
        <v>44354</v>
      </c>
      <c r="G332" s="7">
        <f>9821041+94227</f>
        <v>9915268</v>
      </c>
      <c r="I332" s="7">
        <v>0</v>
      </c>
      <c r="K332" s="2">
        <f t="shared" si="54"/>
        <v>20072278</v>
      </c>
      <c r="M332" s="7">
        <v>29987546</v>
      </c>
      <c r="O332" s="2">
        <f t="shared" si="55"/>
        <v>4966350</v>
      </c>
      <c r="Q332" s="7">
        <v>14664859</v>
      </c>
      <c r="S332" s="7">
        <v>19631209</v>
      </c>
      <c r="U332" s="7">
        <v>0</v>
      </c>
      <c r="W332" s="7">
        <v>7777952</v>
      </c>
      <c r="Y332" s="7">
        <v>0</v>
      </c>
      <c r="AA332" s="7">
        <v>1117577</v>
      </c>
      <c r="AC332" s="7">
        <v>1460808</v>
      </c>
      <c r="AE332" s="13">
        <f t="shared" si="48"/>
        <v>10356337</v>
      </c>
      <c r="AG332" s="7">
        <f t="shared" si="49"/>
        <v>0</v>
      </c>
      <c r="AK332" s="7" t="str">
        <f t="shared" si="50"/>
        <v>Massillon City SD</v>
      </c>
      <c r="AL332" s="7" t="str">
        <f>GenExp!A332</f>
        <v>Massillon City SD</v>
      </c>
      <c r="AM332" s="7" t="b">
        <f t="shared" si="51"/>
        <v>1</v>
      </c>
      <c r="AN332" s="7" t="str">
        <f t="shared" si="47"/>
        <v>Stark</v>
      </c>
      <c r="AO332" s="7" t="b">
        <f>C332=GenExp!C332</f>
        <v>1</v>
      </c>
    </row>
    <row r="333" spans="1:41">
      <c r="A333" s="12" t="s">
        <v>545</v>
      </c>
      <c r="B333" s="12"/>
      <c r="C333" s="12" t="s">
        <v>64</v>
      </c>
      <c r="D333" s="12"/>
      <c r="E333" s="12">
        <v>50153</v>
      </c>
      <c r="G333" s="7">
        <v>1611698</v>
      </c>
      <c r="I333" s="7">
        <v>8740</v>
      </c>
      <c r="K333" s="2">
        <f t="shared" si="54"/>
        <v>4969995</v>
      </c>
      <c r="M333" s="7">
        <v>6590433</v>
      </c>
      <c r="O333" s="2">
        <f t="shared" si="55"/>
        <v>1239405</v>
      </c>
      <c r="Q333" s="7">
        <f>708389+4128707</f>
        <v>4837096</v>
      </c>
      <c r="S333" s="7">
        <v>6076501</v>
      </c>
      <c r="U333" s="7">
        <f>51730+28598</f>
        <v>80328</v>
      </c>
      <c r="W333" s="7">
        <f>64747+3235+8740</f>
        <v>76722</v>
      </c>
      <c r="Y333" s="7">
        <v>109831</v>
      </c>
      <c r="AA333" s="7">
        <f>14813+56717</f>
        <v>71530</v>
      </c>
      <c r="AC333" s="7">
        <v>175521</v>
      </c>
      <c r="AE333" s="13">
        <f t="shared" si="48"/>
        <v>513932</v>
      </c>
      <c r="AG333" s="7">
        <f t="shared" si="49"/>
        <v>0</v>
      </c>
      <c r="AK333" s="7" t="str">
        <f t="shared" si="50"/>
        <v>Mathews Local SD</v>
      </c>
      <c r="AL333" s="7" t="str">
        <f>GenExp!A333</f>
        <v>Mathews Local SD</v>
      </c>
      <c r="AM333" s="7" t="b">
        <f t="shared" si="51"/>
        <v>1</v>
      </c>
      <c r="AN333" s="7" t="str">
        <f t="shared" ref="AN333:AN397" si="63">C333</f>
        <v>Trumbull</v>
      </c>
      <c r="AO333" s="7" t="b">
        <f>C333=GenExp!C333</f>
        <v>1</v>
      </c>
    </row>
    <row r="334" spans="1:41">
      <c r="A334" s="12" t="s">
        <v>403</v>
      </c>
      <c r="B334" s="12"/>
      <c r="C334" s="12" t="s">
        <v>115</v>
      </c>
      <c r="D334" s="12"/>
      <c r="E334" s="12">
        <v>44362</v>
      </c>
      <c r="G334" s="7">
        <v>4615871</v>
      </c>
      <c r="I334" s="7">
        <v>0</v>
      </c>
      <c r="K334" s="2">
        <f t="shared" si="54"/>
        <v>20681769</v>
      </c>
      <c r="M334" s="7">
        <v>25297640</v>
      </c>
      <c r="O334" s="2">
        <f t="shared" si="55"/>
        <v>4572809</v>
      </c>
      <c r="Q334" s="7">
        <f>1612111+17661280</f>
        <v>19273391</v>
      </c>
      <c r="S334" s="7">
        <v>23846200</v>
      </c>
      <c r="U334" s="7">
        <v>33754</v>
      </c>
      <c r="W334" s="7">
        <f>1030002+296563+187223+3912+17584+128920+213834</f>
        <v>1878038</v>
      </c>
      <c r="Y334" s="7">
        <f>3383+11000</f>
        <v>14383</v>
      </c>
      <c r="AA334" s="7">
        <f>9201+264879+19205+32430+23156</f>
        <v>348871</v>
      </c>
      <c r="AC334" s="7">
        <v>-823606</v>
      </c>
      <c r="AE334" s="13">
        <f t="shared" si="48"/>
        <v>1451440</v>
      </c>
      <c r="AG334" s="7">
        <f t="shared" si="49"/>
        <v>0</v>
      </c>
      <c r="AK334" s="7" t="str">
        <f t="shared" si="50"/>
        <v>Maumee City SD</v>
      </c>
      <c r="AL334" s="7" t="str">
        <f>GenExp!A334</f>
        <v>Maumee City SD</v>
      </c>
      <c r="AM334" s="7" t="b">
        <f t="shared" si="51"/>
        <v>1</v>
      </c>
      <c r="AN334" s="7" t="str">
        <f t="shared" si="63"/>
        <v>Lucas</v>
      </c>
      <c r="AO334" s="7" t="b">
        <f>C334=GenExp!C334</f>
        <v>1</v>
      </c>
    </row>
    <row r="335" spans="1:41">
      <c r="A335" s="12" t="s">
        <v>763</v>
      </c>
      <c r="B335" s="12"/>
      <c r="C335" s="12" t="s">
        <v>20</v>
      </c>
      <c r="D335" s="12"/>
      <c r="E335" s="12">
        <v>44370</v>
      </c>
      <c r="G335" s="7">
        <v>62449109</v>
      </c>
      <c r="I335" s="7">
        <v>0</v>
      </c>
      <c r="K335" s="2">
        <f t="shared" si="54"/>
        <v>51335768</v>
      </c>
      <c r="M335" s="7">
        <v>113784877</v>
      </c>
      <c r="O335" s="2">
        <f t="shared" si="55"/>
        <v>11843645</v>
      </c>
      <c r="Q335" s="7">
        <v>43333733</v>
      </c>
      <c r="S335" s="7">
        <v>55177378</v>
      </c>
      <c r="U335" s="7">
        <v>186817</v>
      </c>
      <c r="W335" s="7">
        <v>32721012</v>
      </c>
      <c r="Y335" s="7">
        <v>1012936</v>
      </c>
      <c r="AA335" s="7">
        <v>3868949</v>
      </c>
      <c r="AC335" s="7">
        <v>20817785</v>
      </c>
      <c r="AE335" s="13">
        <f t="shared" ref="AE335:AE401" si="64">U335+W335+Y335+AA335+AC335</f>
        <v>58607499</v>
      </c>
      <c r="AG335" s="7">
        <f t="shared" ref="AG335:AG401" si="65">+G335+I335+K335-O335-Q335-Y335-W335-U335-AA335-AC335</f>
        <v>0</v>
      </c>
      <c r="AK335" s="7" t="str">
        <f t="shared" ref="AK335:AK401" si="66">A335</f>
        <v xml:space="preserve">Mayfield City SD </v>
      </c>
      <c r="AL335" s="7" t="str">
        <f>GenExp!A335</f>
        <v xml:space="preserve">Mayfield City SD </v>
      </c>
      <c r="AM335" s="7" t="b">
        <f t="shared" ref="AM335:AM401" si="67">AK335=AL335</f>
        <v>1</v>
      </c>
      <c r="AN335" s="7" t="str">
        <f t="shared" si="63"/>
        <v>Cuyahoga</v>
      </c>
      <c r="AO335" s="7" t="b">
        <f>C335=GenExp!C335</f>
        <v>1</v>
      </c>
    </row>
    <row r="336" spans="1:41">
      <c r="A336" s="12" t="s">
        <v>458</v>
      </c>
      <c r="B336" s="12"/>
      <c r="C336" s="12" t="s">
        <v>51</v>
      </c>
      <c r="D336" s="12"/>
      <c r="E336" s="12">
        <v>48850</v>
      </c>
      <c r="G336" s="7">
        <f>5862327+1967</f>
        <v>5864294</v>
      </c>
      <c r="I336" s="7">
        <v>0</v>
      </c>
      <c r="K336" s="2">
        <f t="shared" si="54"/>
        <v>4974725</v>
      </c>
      <c r="M336" s="7">
        <v>10839019</v>
      </c>
      <c r="O336" s="2">
        <f t="shared" si="55"/>
        <v>3260891</v>
      </c>
      <c r="Q336" s="7">
        <v>4271444</v>
      </c>
      <c r="S336" s="7">
        <v>7532335</v>
      </c>
      <c r="U336" s="7">
        <v>11848</v>
      </c>
      <c r="W336" s="7">
        <v>1557649</v>
      </c>
      <c r="Y336" s="7">
        <v>365722</v>
      </c>
      <c r="AA336" s="7">
        <v>1547774</v>
      </c>
      <c r="AC336" s="7">
        <v>-176309</v>
      </c>
      <c r="AE336" s="13">
        <f t="shared" si="64"/>
        <v>3306684</v>
      </c>
      <c r="AG336" s="7">
        <f t="shared" si="65"/>
        <v>0</v>
      </c>
      <c r="AK336" s="7" t="str">
        <f t="shared" si="66"/>
        <v>Maysville Local SD</v>
      </c>
      <c r="AL336" s="7" t="str">
        <f>GenExp!A336</f>
        <v>Maysville Local SD</v>
      </c>
      <c r="AM336" s="7" t="b">
        <f t="shared" si="67"/>
        <v>1</v>
      </c>
      <c r="AN336" s="7" t="str">
        <f t="shared" si="63"/>
        <v>Muskingum</v>
      </c>
      <c r="AO336" s="7" t="b">
        <f>C336=GenExp!C336</f>
        <v>1</v>
      </c>
    </row>
    <row r="337" spans="1:41" hidden="1">
      <c r="A337" s="12" t="s">
        <v>932</v>
      </c>
      <c r="B337" s="12"/>
      <c r="C337" s="12" t="s">
        <v>33</v>
      </c>
      <c r="D337" s="12"/>
      <c r="E337" s="12">
        <v>47456</v>
      </c>
      <c r="K337" s="2">
        <f t="shared" si="54"/>
        <v>0</v>
      </c>
      <c r="O337" s="2">
        <f t="shared" si="55"/>
        <v>0</v>
      </c>
      <c r="AE337" s="13">
        <f t="shared" si="64"/>
        <v>0</v>
      </c>
      <c r="AG337" s="7">
        <f t="shared" si="65"/>
        <v>0</v>
      </c>
      <c r="AI337" s="7" t="s">
        <v>839</v>
      </c>
      <c r="AK337" s="7" t="str">
        <f t="shared" si="66"/>
        <v>McComb Local SD (CASH)</v>
      </c>
      <c r="AL337" s="7" t="str">
        <f>GenExp!A337</f>
        <v>McComb Local SD (CASH)</v>
      </c>
      <c r="AM337" s="7" t="b">
        <f t="shared" si="67"/>
        <v>1</v>
      </c>
      <c r="AN337" s="7" t="str">
        <f t="shared" si="63"/>
        <v>Hancock</v>
      </c>
      <c r="AO337" s="7" t="b">
        <f>C337=GenExp!C337</f>
        <v>1</v>
      </c>
    </row>
    <row r="338" spans="1:41">
      <c r="A338" s="12" t="s">
        <v>667</v>
      </c>
      <c r="B338" s="12"/>
      <c r="C338" s="12" t="s">
        <v>64</v>
      </c>
      <c r="D338" s="12"/>
      <c r="E338" s="12">
        <v>50229</v>
      </c>
      <c r="G338" s="7">
        <v>931182</v>
      </c>
      <c r="I338" s="7">
        <v>0</v>
      </c>
      <c r="K338" s="2">
        <f t="shared" si="54"/>
        <v>2112090</v>
      </c>
      <c r="M338" s="7">
        <v>3043272</v>
      </c>
      <c r="O338" s="2">
        <f t="shared" si="55"/>
        <v>1696285</v>
      </c>
      <c r="Q338" s="7">
        <v>2066698</v>
      </c>
      <c r="S338" s="7">
        <v>3762983</v>
      </c>
      <c r="U338" s="7">
        <v>2359</v>
      </c>
      <c r="W338" s="7">
        <v>233116</v>
      </c>
      <c r="Y338" s="7">
        <v>4201</v>
      </c>
      <c r="AA338" s="7">
        <v>4905</v>
      </c>
      <c r="AC338" s="7">
        <v>-964292</v>
      </c>
      <c r="AE338" s="13">
        <f t="shared" si="64"/>
        <v>-719711</v>
      </c>
      <c r="AG338" s="7">
        <f t="shared" si="65"/>
        <v>0</v>
      </c>
      <c r="AK338" s="7" t="str">
        <f t="shared" si="66"/>
        <v>McDonald Local SD</v>
      </c>
      <c r="AL338" s="7" t="str">
        <f>GenExp!A338</f>
        <v>McDonald Local SD</v>
      </c>
      <c r="AM338" s="7" t="b">
        <f t="shared" si="67"/>
        <v>1</v>
      </c>
      <c r="AN338" s="7" t="str">
        <f t="shared" si="63"/>
        <v>Trumbull</v>
      </c>
      <c r="AO338" s="7" t="b">
        <f>C338=GenExp!C338</f>
        <v>1</v>
      </c>
    </row>
    <row r="339" spans="1:41">
      <c r="A339" s="12" t="s">
        <v>877</v>
      </c>
      <c r="B339" s="12"/>
      <c r="C339" s="12" t="s">
        <v>232</v>
      </c>
      <c r="D339" s="12"/>
      <c r="E339" s="12">
        <v>45484</v>
      </c>
      <c r="G339" s="7">
        <f>2146013+150659</f>
        <v>2296672</v>
      </c>
      <c r="I339" s="7">
        <v>0</v>
      </c>
      <c r="K339" s="2">
        <f t="shared" si="54"/>
        <v>3476433</v>
      </c>
      <c r="M339" s="7">
        <v>5773105</v>
      </c>
      <c r="O339" s="2">
        <f t="shared" si="55"/>
        <v>1536687</v>
      </c>
      <c r="Q339" s="7">
        <f>444503+2145019</f>
        <v>2589522</v>
      </c>
      <c r="S339" s="7">
        <v>4126209</v>
      </c>
      <c r="U339" s="7">
        <f>2759+2484+37000</f>
        <v>42243</v>
      </c>
      <c r="W339" s="7">
        <f>197366+455345+81058+8409+2612</f>
        <v>744790</v>
      </c>
      <c r="Y339" s="7">
        <v>20854</v>
      </c>
      <c r="AA339" s="7">
        <f>2716+65915+784773+26709+27870+14118</f>
        <v>922101</v>
      </c>
      <c r="AC339" s="7">
        <v>-83092</v>
      </c>
      <c r="AE339" s="13">
        <f t="shared" si="64"/>
        <v>1646896</v>
      </c>
      <c r="AG339" s="7">
        <f t="shared" si="65"/>
        <v>0</v>
      </c>
      <c r="AK339" s="7" t="str">
        <f t="shared" si="66"/>
        <v>Mechanicsburg Exempted Village SD</v>
      </c>
      <c r="AL339" s="7" t="str">
        <f>GenExp!A339</f>
        <v>Mechanicsburg Exempted Village SD</v>
      </c>
      <c r="AM339" s="7" t="b">
        <f t="shared" si="67"/>
        <v>1</v>
      </c>
      <c r="AN339" s="7" t="str">
        <f t="shared" si="63"/>
        <v>Champaign</v>
      </c>
      <c r="AO339" s="7" t="b">
        <f>C339=GenExp!C339</f>
        <v>1</v>
      </c>
    </row>
    <row r="340" spans="1:41">
      <c r="A340" s="12" t="s">
        <v>431</v>
      </c>
      <c r="B340" s="12"/>
      <c r="C340" s="12" t="s">
        <v>47</v>
      </c>
      <c r="D340" s="12"/>
      <c r="E340" s="12">
        <v>44388</v>
      </c>
      <c r="G340" s="7">
        <v>25532094</v>
      </c>
      <c r="I340" s="7">
        <v>0</v>
      </c>
      <c r="K340" s="2">
        <f t="shared" si="54"/>
        <v>52361983</v>
      </c>
      <c r="M340" s="7">
        <v>77894077</v>
      </c>
      <c r="O340" s="2">
        <f t="shared" si="55"/>
        <v>9684563</v>
      </c>
      <c r="Q340" s="7">
        <v>47486900</v>
      </c>
      <c r="S340" s="7">
        <v>57171463</v>
      </c>
      <c r="U340" s="7">
        <v>145562</v>
      </c>
      <c r="W340" s="7">
        <v>10143667</v>
      </c>
      <c r="Y340" s="7">
        <v>766980</v>
      </c>
      <c r="AA340" s="7">
        <v>2311673</v>
      </c>
      <c r="AC340" s="7">
        <v>7354732</v>
      </c>
      <c r="AE340" s="13">
        <f t="shared" si="64"/>
        <v>20722614</v>
      </c>
      <c r="AG340" s="7">
        <f t="shared" si="65"/>
        <v>0</v>
      </c>
      <c r="AK340" s="7" t="str">
        <f t="shared" si="66"/>
        <v>Medina City SD</v>
      </c>
      <c r="AL340" s="7" t="str">
        <f>GenExp!A340</f>
        <v>Medina City SD</v>
      </c>
      <c r="AM340" s="7" t="b">
        <f t="shared" si="67"/>
        <v>1</v>
      </c>
      <c r="AN340" s="7" t="str">
        <f t="shared" si="63"/>
        <v>Medina</v>
      </c>
      <c r="AO340" s="7" t="b">
        <f>C340=GenExp!C340</f>
        <v>1</v>
      </c>
    </row>
    <row r="341" spans="1:41">
      <c r="A341" s="12" t="s">
        <v>434</v>
      </c>
      <c r="B341" s="12"/>
      <c r="C341" s="12" t="s">
        <v>433</v>
      </c>
      <c r="D341" s="12"/>
      <c r="E341" s="12">
        <v>48520</v>
      </c>
      <c r="G341" s="7">
        <v>1801042</v>
      </c>
      <c r="I341" s="7">
        <v>65154</v>
      </c>
      <c r="K341" s="2">
        <f t="shared" si="54"/>
        <v>6003897</v>
      </c>
      <c r="M341" s="7">
        <v>7870093</v>
      </c>
      <c r="O341" s="2">
        <f t="shared" si="55"/>
        <v>2439326</v>
      </c>
      <c r="Q341" s="7">
        <v>5145558</v>
      </c>
      <c r="S341" s="7">
        <v>7584884</v>
      </c>
      <c r="U341" s="7">
        <v>67299</v>
      </c>
      <c r="W341" s="7">
        <v>1216217</v>
      </c>
      <c r="Y341" s="7">
        <v>0</v>
      </c>
      <c r="AA341" s="7">
        <v>200009</v>
      </c>
      <c r="AC341" s="7">
        <v>-1198316</v>
      </c>
      <c r="AE341" s="13">
        <f t="shared" si="64"/>
        <v>285209</v>
      </c>
      <c r="AG341" s="7">
        <f t="shared" si="65"/>
        <v>0</v>
      </c>
      <c r="AI341" s="7" t="s">
        <v>933</v>
      </c>
      <c r="AK341" s="7" t="str">
        <f t="shared" si="66"/>
        <v>Meigs Local SD</v>
      </c>
      <c r="AL341" s="7" t="str">
        <f>GenExp!A341</f>
        <v>Meigs Local SD</v>
      </c>
      <c r="AM341" s="7" t="b">
        <f t="shared" si="67"/>
        <v>1</v>
      </c>
      <c r="AN341" s="7" t="str">
        <f t="shared" si="63"/>
        <v>Meigs</v>
      </c>
      <c r="AO341" s="7" t="b">
        <f>C341=GenExp!C341</f>
        <v>1</v>
      </c>
    </row>
    <row r="342" spans="1:41">
      <c r="A342" s="12" t="s">
        <v>878</v>
      </c>
      <c r="B342" s="12"/>
      <c r="C342" s="12" t="s">
        <v>41</v>
      </c>
      <c r="D342" s="12"/>
      <c r="E342" s="12">
        <v>45492</v>
      </c>
      <c r="G342" s="7">
        <v>61507382</v>
      </c>
      <c r="I342" s="7">
        <v>0</v>
      </c>
      <c r="K342" s="2">
        <f t="shared" si="54"/>
        <v>67894750</v>
      </c>
      <c r="M342" s="7">
        <v>129402132</v>
      </c>
      <c r="O342" s="2">
        <f t="shared" si="55"/>
        <v>15199690</v>
      </c>
      <c r="Q342" s="7">
        <v>58675559</v>
      </c>
      <c r="S342" s="7">
        <v>73875249</v>
      </c>
      <c r="U342" s="7">
        <v>151750</v>
      </c>
      <c r="W342" s="7">
        <v>1958438</v>
      </c>
      <c r="Y342" s="7">
        <v>184790</v>
      </c>
      <c r="AA342" s="7">
        <v>6443876</v>
      </c>
      <c r="AC342" s="7">
        <v>46788029</v>
      </c>
      <c r="AE342" s="13">
        <f t="shared" si="64"/>
        <v>55526883</v>
      </c>
      <c r="AG342" s="7">
        <f t="shared" si="65"/>
        <v>0</v>
      </c>
      <c r="AK342" s="7" t="str">
        <f t="shared" si="66"/>
        <v>Mentor Exempted Village SD</v>
      </c>
      <c r="AL342" s="7" t="str">
        <f>GenExp!A342</f>
        <v>Mentor Exempted Village SD</v>
      </c>
      <c r="AM342" s="7" t="b">
        <f t="shared" si="67"/>
        <v>1</v>
      </c>
      <c r="AN342" s="7" t="str">
        <f t="shared" si="63"/>
        <v>Lake</v>
      </c>
      <c r="AO342" s="7" t="b">
        <f>C342=GenExp!C342</f>
        <v>1</v>
      </c>
    </row>
    <row r="343" spans="1:41">
      <c r="A343" s="12" t="s">
        <v>437</v>
      </c>
      <c r="B343" s="12"/>
      <c r="C343" s="12" t="s">
        <v>48</v>
      </c>
      <c r="D343" s="12"/>
      <c r="E343" s="12">
        <v>48629</v>
      </c>
      <c r="G343" s="7">
        <f>6506609+68849</f>
        <v>6575458</v>
      </c>
      <c r="I343" s="7">
        <f>146842+238036</f>
        <v>384878</v>
      </c>
      <c r="K343" s="2">
        <f t="shared" si="54"/>
        <v>6694198</v>
      </c>
      <c r="M343" s="7">
        <v>13654534</v>
      </c>
      <c r="O343" s="2">
        <f t="shared" si="55"/>
        <v>3555774</v>
      </c>
      <c r="Q343" s="7">
        <v>4757290</v>
      </c>
      <c r="S343" s="7">
        <v>8313064</v>
      </c>
      <c r="U343" s="7">
        <v>56475</v>
      </c>
      <c r="W343" s="7">
        <v>5232097</v>
      </c>
      <c r="Y343" s="7">
        <v>1746</v>
      </c>
      <c r="AA343" s="7">
        <v>76048</v>
      </c>
      <c r="AC343" s="7">
        <v>-24896</v>
      </c>
      <c r="AE343" s="13">
        <f t="shared" si="64"/>
        <v>5341470</v>
      </c>
      <c r="AG343" s="7">
        <f t="shared" si="65"/>
        <v>0</v>
      </c>
      <c r="AK343" s="7" t="str">
        <f t="shared" si="66"/>
        <v>Miami East Local SD</v>
      </c>
      <c r="AL343" s="7" t="str">
        <f>GenExp!A343</f>
        <v>Miami East Local SD</v>
      </c>
      <c r="AM343" s="7" t="b">
        <f t="shared" si="67"/>
        <v>1</v>
      </c>
      <c r="AN343" s="7" t="str">
        <f t="shared" si="63"/>
        <v>Miami</v>
      </c>
      <c r="AO343" s="7" t="b">
        <f>C343=GenExp!C343</f>
        <v>1</v>
      </c>
    </row>
    <row r="344" spans="1:41">
      <c r="A344" s="12" t="s">
        <v>303</v>
      </c>
      <c r="B344" s="12"/>
      <c r="C344" s="12" t="s">
        <v>26</v>
      </c>
      <c r="D344" s="12"/>
      <c r="E344" s="12">
        <v>46920</v>
      </c>
      <c r="G344" s="7">
        <v>11169122</v>
      </c>
      <c r="I344" s="7">
        <v>735757</v>
      </c>
      <c r="K344" s="2">
        <f t="shared" si="54"/>
        <v>16965211</v>
      </c>
      <c r="M344" s="7">
        <v>28870090</v>
      </c>
      <c r="O344" s="2">
        <f t="shared" si="55"/>
        <v>3513366</v>
      </c>
      <c r="Q344" s="7">
        <v>7714143</v>
      </c>
      <c r="S344" s="7">
        <v>11227509</v>
      </c>
      <c r="U344" s="7">
        <v>8634</v>
      </c>
      <c r="W344" s="7">
        <v>11366945</v>
      </c>
      <c r="Y344" s="7">
        <v>435341</v>
      </c>
      <c r="AA344" s="7">
        <v>612540</v>
      </c>
      <c r="AC344" s="7">
        <v>5219121</v>
      </c>
      <c r="AE344" s="13">
        <f t="shared" si="64"/>
        <v>17642581</v>
      </c>
      <c r="AG344" s="7">
        <f t="shared" si="65"/>
        <v>0</v>
      </c>
      <c r="AK344" s="7" t="str">
        <f t="shared" si="66"/>
        <v>Miami Trace Local SD</v>
      </c>
      <c r="AL344" s="7" t="str">
        <f>GenExp!A344</f>
        <v>Miami Trace Local SD</v>
      </c>
      <c r="AM344" s="7" t="b">
        <f t="shared" si="67"/>
        <v>1</v>
      </c>
      <c r="AN344" s="7" t="str">
        <f t="shared" si="63"/>
        <v>Fayette</v>
      </c>
      <c r="AO344" s="7" t="b">
        <f>C344=GenExp!C344</f>
        <v>1</v>
      </c>
    </row>
    <row r="345" spans="1:41">
      <c r="A345" s="12" t="s">
        <v>445</v>
      </c>
      <c r="B345" s="12"/>
      <c r="C345" s="12" t="s">
        <v>50</v>
      </c>
      <c r="D345" s="12"/>
      <c r="E345" s="12">
        <v>44396</v>
      </c>
      <c r="G345" s="7">
        <f>45404442+39694</f>
        <v>45444136</v>
      </c>
      <c r="I345" s="7">
        <v>0</v>
      </c>
      <c r="K345" s="2">
        <f t="shared" si="54"/>
        <v>38492736</v>
      </c>
      <c r="M345" s="7">
        <v>83936872</v>
      </c>
      <c r="O345" s="2">
        <f t="shared" si="55"/>
        <v>12075214</v>
      </c>
      <c r="Q345" s="7">
        <v>33163844</v>
      </c>
      <c r="S345" s="7">
        <v>45239058</v>
      </c>
      <c r="U345" s="7">
        <v>29884</v>
      </c>
      <c r="W345" s="7">
        <v>39269890</v>
      </c>
      <c r="Y345" s="7">
        <v>11000</v>
      </c>
      <c r="AA345" s="7">
        <v>176756</v>
      </c>
      <c r="AC345" s="7">
        <v>-789716</v>
      </c>
      <c r="AE345" s="13">
        <f t="shared" si="64"/>
        <v>38697814</v>
      </c>
      <c r="AG345" s="7">
        <f t="shared" si="65"/>
        <v>0</v>
      </c>
      <c r="AK345" s="7" t="str">
        <f t="shared" si="66"/>
        <v>Miamisburg City SD</v>
      </c>
      <c r="AL345" s="7" t="str">
        <f>GenExp!A345</f>
        <v>Miamisburg City SD</v>
      </c>
      <c r="AM345" s="7" t="b">
        <f t="shared" si="67"/>
        <v>1</v>
      </c>
      <c r="AN345" s="7" t="str">
        <f t="shared" si="63"/>
        <v>Montgomery</v>
      </c>
      <c r="AO345" s="7" t="b">
        <f>C345=GenExp!C345</f>
        <v>1</v>
      </c>
    </row>
    <row r="346" spans="1:41" hidden="1">
      <c r="A346" s="12" t="s">
        <v>942</v>
      </c>
      <c r="B346" s="12"/>
      <c r="C346" s="12" t="s">
        <v>53</v>
      </c>
      <c r="D346" s="12"/>
      <c r="E346" s="12"/>
      <c r="K346" s="2">
        <f t="shared" si="54"/>
        <v>0</v>
      </c>
      <c r="O346" s="2">
        <f t="shared" si="55"/>
        <v>0</v>
      </c>
      <c r="AE346" s="13">
        <f t="shared" si="64"/>
        <v>0</v>
      </c>
      <c r="AG346" s="7">
        <f t="shared" si="65"/>
        <v>0</v>
      </c>
      <c r="AI346" s="7" t="s">
        <v>931</v>
      </c>
      <c r="AK346" s="7" t="str">
        <f t="shared" ref="AK346" si="68">A346</f>
        <v>Middle Bass Local SD (Two year Audit - CASH)</v>
      </c>
      <c r="AL346" s="7" t="str">
        <f>GenExp!A346</f>
        <v>Middle Bass Local SD (Two year Audit - CASH)</v>
      </c>
      <c r="AM346" s="7" t="b">
        <f t="shared" ref="AM346" si="69">AK346=AL346</f>
        <v>1</v>
      </c>
      <c r="AN346" s="7" t="str">
        <f t="shared" ref="AN346" si="70">C346</f>
        <v>Ottawa</v>
      </c>
      <c r="AO346" s="7" t="b">
        <f>C346=GenExp!C346</f>
        <v>1</v>
      </c>
    </row>
    <row r="347" spans="1:41">
      <c r="A347" s="12" t="s">
        <v>228</v>
      </c>
      <c r="B347" s="12"/>
      <c r="C347" s="12" t="s">
        <v>223</v>
      </c>
      <c r="D347" s="12"/>
      <c r="E347" s="12">
        <v>44404</v>
      </c>
      <c r="G347" s="7">
        <v>10126539</v>
      </c>
      <c r="I347" s="7">
        <v>186444</v>
      </c>
      <c r="K347" s="2">
        <f t="shared" si="54"/>
        <v>37180033</v>
      </c>
      <c r="M347" s="7">
        <v>47493016</v>
      </c>
      <c r="O347" s="2">
        <f t="shared" si="55"/>
        <v>11381640</v>
      </c>
      <c r="Q347" s="7">
        <f>29119769+5079692</f>
        <v>34199461</v>
      </c>
      <c r="S347" s="7">
        <v>45581101</v>
      </c>
      <c r="U347" s="7">
        <v>41988</v>
      </c>
      <c r="W347" s="7">
        <f>725144+1664043+33754+826497+78627+3321+260858+486918+487887+64197+161534+24910</f>
        <v>4817690</v>
      </c>
      <c r="Y347" s="7">
        <v>51081</v>
      </c>
      <c r="AA347" s="7">
        <f>285513+347614+108+49740+33469+17836+5358</f>
        <v>739638</v>
      </c>
      <c r="AC347" s="7">
        <v>-3738482</v>
      </c>
      <c r="AE347" s="13">
        <f t="shared" si="64"/>
        <v>1911915</v>
      </c>
      <c r="AG347" s="7">
        <f t="shared" si="65"/>
        <v>0</v>
      </c>
      <c r="AK347" s="7" t="str">
        <f t="shared" si="66"/>
        <v>Middletown City SD</v>
      </c>
      <c r="AL347" s="7" t="str">
        <f>GenExp!A347</f>
        <v>Middletown City SD</v>
      </c>
      <c r="AM347" s="7" t="b">
        <f t="shared" si="67"/>
        <v>1</v>
      </c>
      <c r="AN347" s="7" t="str">
        <f t="shared" si="63"/>
        <v>Butler</v>
      </c>
      <c r="AO347" s="7" t="b">
        <f>C347=GenExp!C347</f>
        <v>1</v>
      </c>
    </row>
    <row r="348" spans="1:41">
      <c r="A348" s="12" t="s">
        <v>399</v>
      </c>
      <c r="B348" s="12"/>
      <c r="C348" s="12" t="s">
        <v>44</v>
      </c>
      <c r="D348" s="12"/>
      <c r="E348" s="12">
        <v>48173</v>
      </c>
      <c r="G348" s="7">
        <f>10682924+2835</f>
        <v>10685759</v>
      </c>
      <c r="I348" s="7">
        <v>7084714</v>
      </c>
      <c r="K348" s="2">
        <f t="shared" si="54"/>
        <v>13206666</v>
      </c>
      <c r="M348" s="7">
        <v>30977139</v>
      </c>
      <c r="O348" s="2">
        <f t="shared" si="55"/>
        <v>5056813</v>
      </c>
      <c r="Q348" s="7">
        <v>11975715</v>
      </c>
      <c r="S348" s="7">
        <v>17032528</v>
      </c>
      <c r="U348" s="7">
        <v>170335</v>
      </c>
      <c r="W348" s="7">
        <v>10719032</v>
      </c>
      <c r="Y348" s="7">
        <v>44472</v>
      </c>
      <c r="AA348" s="7">
        <v>408046</v>
      </c>
      <c r="AC348" s="7">
        <v>2602726</v>
      </c>
      <c r="AE348" s="13">
        <f t="shared" si="64"/>
        <v>13944611</v>
      </c>
      <c r="AG348" s="7">
        <f t="shared" si="65"/>
        <v>0</v>
      </c>
      <c r="AI348" s="7" t="s">
        <v>933</v>
      </c>
      <c r="AK348" s="7" t="str">
        <f t="shared" si="66"/>
        <v>Midview Local SD</v>
      </c>
      <c r="AL348" s="7" t="str">
        <f>GenExp!A348</f>
        <v>Midview Local SD</v>
      </c>
      <c r="AM348" s="7" t="b">
        <f t="shared" si="67"/>
        <v>1</v>
      </c>
      <c r="AN348" s="7" t="str">
        <f t="shared" si="63"/>
        <v>Lorain</v>
      </c>
      <c r="AO348" s="7" t="b">
        <f>C348=GenExp!C348</f>
        <v>1</v>
      </c>
    </row>
    <row r="349" spans="1:41">
      <c r="A349" s="12" t="s">
        <v>879</v>
      </c>
      <c r="B349" s="12"/>
      <c r="C349" s="12" t="s">
        <v>113</v>
      </c>
      <c r="D349" s="12"/>
      <c r="E349" s="12">
        <v>45500</v>
      </c>
      <c r="G349" s="7">
        <v>17948082</v>
      </c>
      <c r="I349" s="7">
        <v>10051</v>
      </c>
      <c r="K349" s="2">
        <f t="shared" si="54"/>
        <v>41694652</v>
      </c>
      <c r="M349" s="7">
        <v>59652785</v>
      </c>
      <c r="O349" s="2">
        <f t="shared" si="55"/>
        <v>6870444</v>
      </c>
      <c r="Q349" s="7">
        <v>36647427</v>
      </c>
      <c r="S349" s="7">
        <v>43517871</v>
      </c>
      <c r="U349" s="7">
        <v>120185</v>
      </c>
      <c r="W349" s="7">
        <v>4759972</v>
      </c>
      <c r="Y349" s="7">
        <v>0</v>
      </c>
      <c r="AA349" s="7">
        <v>486063</v>
      </c>
      <c r="AC349" s="7">
        <v>10768694</v>
      </c>
      <c r="AE349" s="13">
        <f t="shared" si="64"/>
        <v>16134914</v>
      </c>
      <c r="AG349" s="7">
        <f t="shared" si="65"/>
        <v>0</v>
      </c>
      <c r="AK349" s="7" t="str">
        <f t="shared" si="66"/>
        <v>Milford Exempted Village SD</v>
      </c>
      <c r="AL349" s="7" t="str">
        <f>GenExp!A349</f>
        <v>Milford Exempted Village SD</v>
      </c>
      <c r="AM349" s="7" t="b">
        <f t="shared" si="67"/>
        <v>1</v>
      </c>
      <c r="AN349" s="7" t="str">
        <f t="shared" si="63"/>
        <v>Clermont</v>
      </c>
      <c r="AO349" s="7" t="b">
        <f>C349=GenExp!C349</f>
        <v>1</v>
      </c>
    </row>
    <row r="350" spans="1:41" hidden="1">
      <c r="A350" s="12" t="s">
        <v>639</v>
      </c>
      <c r="B350" s="12"/>
      <c r="C350" s="12" t="s">
        <v>570</v>
      </c>
      <c r="D350" s="12"/>
      <c r="E350" s="12">
        <v>50633</v>
      </c>
      <c r="K350" s="2">
        <f t="shared" si="54"/>
        <v>0</v>
      </c>
      <c r="O350" s="2">
        <f t="shared" si="55"/>
        <v>0</v>
      </c>
      <c r="AE350" s="13">
        <f t="shared" si="64"/>
        <v>0</v>
      </c>
      <c r="AG350" s="7">
        <f t="shared" si="65"/>
        <v>0</v>
      </c>
      <c r="AI350" s="7" t="s">
        <v>839</v>
      </c>
      <c r="AK350" s="7" t="str">
        <f t="shared" si="66"/>
        <v>Millcreek-West Unity Local SD (CASH)</v>
      </c>
      <c r="AL350" s="7" t="str">
        <f>GenExp!A350</f>
        <v>Millcreek-West Unity Local SD (CASH)</v>
      </c>
      <c r="AM350" s="7" t="b">
        <f t="shared" si="67"/>
        <v>1</v>
      </c>
      <c r="AN350" s="7" t="str">
        <f t="shared" si="63"/>
        <v>Williams</v>
      </c>
      <c r="AO350" s="7" t="b">
        <f>C350=GenExp!C350</f>
        <v>1</v>
      </c>
    </row>
    <row r="351" spans="1:41" hidden="1">
      <c r="A351" s="12" t="s">
        <v>934</v>
      </c>
      <c r="B351" s="12"/>
      <c r="C351" s="12" t="s">
        <v>482</v>
      </c>
      <c r="D351" s="12"/>
      <c r="E351" s="12">
        <v>49361</v>
      </c>
      <c r="K351" s="2">
        <f t="shared" si="54"/>
        <v>0</v>
      </c>
      <c r="O351" s="2">
        <f t="shared" si="55"/>
        <v>0</v>
      </c>
      <c r="AE351" s="13">
        <f t="shared" si="64"/>
        <v>0</v>
      </c>
      <c r="AG351" s="7">
        <f t="shared" si="65"/>
        <v>0</v>
      </c>
      <c r="AI351" s="7" t="s">
        <v>839</v>
      </c>
      <c r="AK351" s="7" t="str">
        <f t="shared" si="66"/>
        <v>Miller City-New Cleveland Local (Two year Audit - CASH)</v>
      </c>
      <c r="AL351" s="7" t="str">
        <f>GenExp!A351</f>
        <v>Miller City-New Cleveland Local (Two year Audit - CASH)</v>
      </c>
      <c r="AM351" s="7" t="b">
        <f t="shared" si="67"/>
        <v>1</v>
      </c>
      <c r="AN351" s="7" t="str">
        <f t="shared" si="63"/>
        <v>Putnam</v>
      </c>
      <c r="AO351" s="7" t="b">
        <f>C351=GenExp!C351</f>
        <v>1</v>
      </c>
    </row>
    <row r="352" spans="1:41" hidden="1">
      <c r="A352" s="12" t="s">
        <v>935</v>
      </c>
      <c r="B352" s="12"/>
      <c r="C352" s="12" t="s">
        <v>48</v>
      </c>
      <c r="D352" s="12"/>
      <c r="E352" s="12">
        <v>45518</v>
      </c>
      <c r="K352" s="2">
        <f t="shared" si="54"/>
        <v>0</v>
      </c>
      <c r="O352" s="2">
        <f t="shared" si="55"/>
        <v>0</v>
      </c>
      <c r="AE352" s="13">
        <f t="shared" si="64"/>
        <v>0</v>
      </c>
      <c r="AG352" s="7">
        <f t="shared" si="65"/>
        <v>0</v>
      </c>
      <c r="AI352" s="7" t="s">
        <v>903</v>
      </c>
      <c r="AK352" s="7" t="str">
        <f t="shared" si="66"/>
        <v>Milton-Union Exempted Village SD (CASH)</v>
      </c>
      <c r="AL352" s="7" t="str">
        <f>GenExp!A352</f>
        <v>Milton-Union Exempted Village SD (CASH)</v>
      </c>
      <c r="AM352" s="7" t="b">
        <f t="shared" si="67"/>
        <v>1</v>
      </c>
      <c r="AN352" s="7" t="str">
        <f t="shared" si="63"/>
        <v>Miami</v>
      </c>
      <c r="AO352" s="7" t="b">
        <f>C352=GenExp!C352</f>
        <v>1</v>
      </c>
    </row>
    <row r="353" spans="1:41">
      <c r="A353" s="12" t="s">
        <v>517</v>
      </c>
      <c r="B353" s="12"/>
      <c r="C353" s="12" t="s">
        <v>62</v>
      </c>
      <c r="D353" s="12"/>
      <c r="E353" s="12">
        <v>49890</v>
      </c>
      <c r="G353" s="7">
        <v>2197021</v>
      </c>
      <c r="I353" s="7">
        <v>121620</v>
      </c>
      <c r="K353" s="2">
        <f t="shared" si="54"/>
        <v>7548167</v>
      </c>
      <c r="M353" s="7">
        <v>9866808</v>
      </c>
      <c r="O353" s="2">
        <f t="shared" si="55"/>
        <v>2201478</v>
      </c>
      <c r="Q353" s="7">
        <v>6188512</v>
      </c>
      <c r="S353" s="7">
        <v>8389990</v>
      </c>
      <c r="U353" s="7">
        <v>255044</v>
      </c>
      <c r="W353" s="7">
        <v>1323105</v>
      </c>
      <c r="Y353" s="7">
        <v>494801</v>
      </c>
      <c r="AA353" s="7">
        <v>400</v>
      </c>
      <c r="AC353" s="7">
        <v>-596532</v>
      </c>
      <c r="AE353" s="13">
        <f t="shared" si="64"/>
        <v>1476818</v>
      </c>
      <c r="AG353" s="7">
        <f t="shared" si="65"/>
        <v>0</v>
      </c>
      <c r="AK353" s="7" t="str">
        <f t="shared" si="66"/>
        <v>Minerva Local SD</v>
      </c>
      <c r="AL353" s="7" t="str">
        <f>GenExp!A353</f>
        <v>Minerva Local SD</v>
      </c>
      <c r="AM353" s="7" t="b">
        <f t="shared" si="67"/>
        <v>1</v>
      </c>
      <c r="AN353" s="7" t="str">
        <f t="shared" si="63"/>
        <v>Stark</v>
      </c>
      <c r="AO353" s="7" t="b">
        <f>C353=GenExp!C353</f>
        <v>1</v>
      </c>
    </row>
    <row r="354" spans="1:41">
      <c r="A354" s="12" t="s">
        <v>497</v>
      </c>
      <c r="B354" s="12"/>
      <c r="C354" s="12" t="s">
        <v>59</v>
      </c>
      <c r="D354" s="12"/>
      <c r="E354" s="12">
        <v>49627</v>
      </c>
      <c r="G354" s="7">
        <v>2201894</v>
      </c>
      <c r="I354" s="7">
        <v>281145</v>
      </c>
      <c r="K354" s="2">
        <f t="shared" si="54"/>
        <v>2526725</v>
      </c>
      <c r="M354" s="7">
        <v>5009764</v>
      </c>
      <c r="O354" s="2">
        <f t="shared" si="55"/>
        <v>1340748</v>
      </c>
      <c r="Q354" s="7">
        <v>2217178</v>
      </c>
      <c r="S354" s="7">
        <v>3557926</v>
      </c>
      <c r="U354" s="7">
        <v>0</v>
      </c>
      <c r="W354" s="7">
        <v>1735531</v>
      </c>
      <c r="Y354" s="7">
        <v>52155</v>
      </c>
      <c r="AA354" s="7">
        <v>295290</v>
      </c>
      <c r="AC354" s="7">
        <v>-631138</v>
      </c>
      <c r="AE354" s="13">
        <f t="shared" si="64"/>
        <v>1451838</v>
      </c>
      <c r="AG354" s="7">
        <f t="shared" si="65"/>
        <v>0</v>
      </c>
      <c r="AK354" s="7" t="str">
        <f t="shared" si="66"/>
        <v>Minford Local SD</v>
      </c>
      <c r="AL354" s="7" t="str">
        <f>GenExp!A354</f>
        <v>Minford Local SD</v>
      </c>
      <c r="AM354" s="7" t="b">
        <f t="shared" si="67"/>
        <v>1</v>
      </c>
      <c r="AN354" s="7" t="str">
        <f t="shared" si="63"/>
        <v>Scioto</v>
      </c>
      <c r="AO354" s="7" t="b">
        <f>C354=GenExp!C354</f>
        <v>1</v>
      </c>
    </row>
    <row r="355" spans="1:41">
      <c r="A355" s="12" t="s">
        <v>214</v>
      </c>
      <c r="B355" s="12"/>
      <c r="C355" s="12" t="s">
        <v>14</v>
      </c>
      <c r="D355" s="12"/>
      <c r="E355" s="12">
        <v>45948</v>
      </c>
      <c r="G355" s="7">
        <v>1172179</v>
      </c>
      <c r="I355" s="7">
        <v>10076</v>
      </c>
      <c r="K355" s="2">
        <f t="shared" si="54"/>
        <v>4450076</v>
      </c>
      <c r="M355" s="7">
        <v>5632331</v>
      </c>
      <c r="O355" s="2">
        <f t="shared" si="55"/>
        <v>1100389</v>
      </c>
      <c r="Q355" s="7">
        <v>3456882</v>
      </c>
      <c r="S355" s="7">
        <v>4557271</v>
      </c>
      <c r="U355" s="7">
        <v>37500</v>
      </c>
      <c r="W355" s="7">
        <v>848622</v>
      </c>
      <c r="Y355" s="7">
        <v>0</v>
      </c>
      <c r="AA355" s="7">
        <v>14481</v>
      </c>
      <c r="AC355" s="7">
        <v>174457</v>
      </c>
      <c r="AE355" s="13">
        <f t="shared" si="64"/>
        <v>1075060</v>
      </c>
      <c r="AG355" s="7">
        <f t="shared" si="65"/>
        <v>0</v>
      </c>
      <c r="AK355" s="7" t="str">
        <f t="shared" si="66"/>
        <v>Minster Local SD</v>
      </c>
      <c r="AL355" s="7" t="str">
        <f>GenExp!A355</f>
        <v>Minster Local SD</v>
      </c>
      <c r="AM355" s="7" t="b">
        <f t="shared" si="67"/>
        <v>1</v>
      </c>
      <c r="AN355" s="7" t="str">
        <f t="shared" si="63"/>
        <v>Auglaize</v>
      </c>
      <c r="AO355" s="7" t="b">
        <f>C355=GenExp!C355</f>
        <v>1</v>
      </c>
    </row>
    <row r="356" spans="1:41" hidden="1">
      <c r="A356" s="12" t="s">
        <v>669</v>
      </c>
      <c r="B356" s="12"/>
      <c r="C356" s="12" t="s">
        <v>21</v>
      </c>
      <c r="D356" s="12"/>
      <c r="E356" s="12">
        <v>46672</v>
      </c>
      <c r="K356" s="2">
        <f t="shared" si="54"/>
        <v>0</v>
      </c>
      <c r="O356" s="2">
        <f t="shared" si="55"/>
        <v>0</v>
      </c>
      <c r="AE356" s="13">
        <f t="shared" si="64"/>
        <v>0</v>
      </c>
      <c r="AG356" s="7">
        <f t="shared" si="65"/>
        <v>0</v>
      </c>
      <c r="AI356" s="7" t="s">
        <v>839</v>
      </c>
      <c r="AK356" s="7" t="str">
        <f t="shared" si="66"/>
        <v>Mississinawa Valley Local SD  (CASH)</v>
      </c>
      <c r="AL356" s="7" t="str">
        <f>GenExp!A356</f>
        <v>Mississinawa Valley Local SD  (CASH)</v>
      </c>
      <c r="AM356" s="7" t="b">
        <f t="shared" si="67"/>
        <v>1</v>
      </c>
      <c r="AN356" s="7" t="str">
        <f t="shared" si="63"/>
        <v>Darke</v>
      </c>
      <c r="AO356" s="7" t="b">
        <f>C356=GenExp!C356</f>
        <v>1</v>
      </c>
    </row>
    <row r="357" spans="1:41">
      <c r="A357" s="12" t="s">
        <v>526</v>
      </c>
      <c r="B357" s="12"/>
      <c r="C357" s="12" t="s">
        <v>63</v>
      </c>
      <c r="D357" s="12"/>
      <c r="E357" s="12">
        <v>50039</v>
      </c>
      <c r="G357" s="7">
        <f>3844407+1505</f>
        <v>3845912</v>
      </c>
      <c r="I357" s="7">
        <v>156268</v>
      </c>
      <c r="K357" s="2">
        <f t="shared" ref="K357:K425" si="71">M357-G357-I357</f>
        <v>3640257</v>
      </c>
      <c r="M357" s="7">
        <v>7642437</v>
      </c>
      <c r="O357" s="2">
        <f t="shared" ref="O357:O425" si="72">S357-Q357</f>
        <v>1015913</v>
      </c>
      <c r="Q357" s="7">
        <v>3154005</v>
      </c>
      <c r="S357" s="7">
        <v>4169918</v>
      </c>
      <c r="U357" s="7">
        <v>0</v>
      </c>
      <c r="W357" s="7">
        <v>793690</v>
      </c>
      <c r="Y357" s="7">
        <v>0</v>
      </c>
      <c r="AA357" s="7">
        <v>201671</v>
      </c>
      <c r="AC357" s="7">
        <v>2477158</v>
      </c>
      <c r="AE357" s="13">
        <f t="shared" si="64"/>
        <v>3472519</v>
      </c>
      <c r="AG357" s="7">
        <f t="shared" si="65"/>
        <v>0</v>
      </c>
      <c r="AK357" s="7" t="str">
        <f t="shared" si="66"/>
        <v>Mogadore Local SD</v>
      </c>
      <c r="AL357" s="7" t="str">
        <f>GenExp!A357</f>
        <v>Mogadore Local SD</v>
      </c>
      <c r="AM357" s="7" t="b">
        <f t="shared" si="67"/>
        <v>1</v>
      </c>
      <c r="AN357" s="7" t="str">
        <f t="shared" si="63"/>
        <v>Summit</v>
      </c>
      <c r="AO357" s="7" t="b">
        <f>C357=GenExp!C357</f>
        <v>1</v>
      </c>
    </row>
    <row r="358" spans="1:41" hidden="1">
      <c r="A358" s="12" t="s">
        <v>648</v>
      </c>
      <c r="B358" s="12"/>
      <c r="C358" s="12" t="s">
        <v>577</v>
      </c>
      <c r="D358" s="12"/>
      <c r="E358" s="12">
        <v>50740</v>
      </c>
      <c r="K358" s="2">
        <f t="shared" si="71"/>
        <v>0</v>
      </c>
      <c r="O358" s="2">
        <f t="shared" si="72"/>
        <v>0</v>
      </c>
      <c r="AE358" s="13">
        <f t="shared" si="64"/>
        <v>0</v>
      </c>
      <c r="AG358" s="7">
        <f t="shared" si="65"/>
        <v>0</v>
      </c>
      <c r="AI358" s="7" t="s">
        <v>839</v>
      </c>
      <c r="AK358" s="7" t="str">
        <f t="shared" si="66"/>
        <v>Mohawk Local SD (CASH)</v>
      </c>
      <c r="AL358" s="7" t="str">
        <f>GenExp!A358</f>
        <v>Mohawk Local SD (CASH)</v>
      </c>
      <c r="AM358" s="7" t="b">
        <f t="shared" si="67"/>
        <v>1</v>
      </c>
      <c r="AN358" s="7" t="str">
        <f t="shared" si="63"/>
        <v>Wyandot</v>
      </c>
      <c r="AO358" s="7" t="b">
        <f>C358=GenExp!C358</f>
        <v>1</v>
      </c>
    </row>
    <row r="359" spans="1:41">
      <c r="A359" s="12" t="s">
        <v>229</v>
      </c>
      <c r="B359" s="12"/>
      <c r="C359" s="12" t="s">
        <v>223</v>
      </c>
      <c r="D359" s="12"/>
      <c r="E359" s="12">
        <v>139303</v>
      </c>
      <c r="G359" s="7">
        <v>255457</v>
      </c>
      <c r="I359" s="7">
        <v>292237</v>
      </c>
      <c r="K359" s="2">
        <f t="shared" si="71"/>
        <v>17845413</v>
      </c>
      <c r="M359" s="7">
        <v>18393107</v>
      </c>
      <c r="O359" s="2">
        <f t="shared" si="72"/>
        <v>6611879</v>
      </c>
      <c r="Q359" s="7">
        <v>13429341</v>
      </c>
      <c r="S359" s="7">
        <v>20041220</v>
      </c>
      <c r="U359" s="7">
        <v>1909967</v>
      </c>
      <c r="W359" s="7">
        <v>2398389</v>
      </c>
      <c r="Y359" s="7">
        <v>24651</v>
      </c>
      <c r="AA359" s="7">
        <v>482407</v>
      </c>
      <c r="AC359" s="7">
        <v>-6463527</v>
      </c>
      <c r="AE359" s="13">
        <f t="shared" si="64"/>
        <v>-1648113</v>
      </c>
      <c r="AG359" s="7">
        <f t="shared" si="65"/>
        <v>0</v>
      </c>
      <c r="AI359" s="7" t="s">
        <v>936</v>
      </c>
      <c r="AK359" s="7" t="str">
        <f t="shared" si="66"/>
        <v>Monroe Local SD</v>
      </c>
      <c r="AL359" s="7" t="str">
        <f>GenExp!A359</f>
        <v>Monroe Local SD</v>
      </c>
      <c r="AM359" s="7" t="b">
        <f t="shared" si="67"/>
        <v>1</v>
      </c>
      <c r="AN359" s="7" t="str">
        <f t="shared" si="63"/>
        <v>Butler</v>
      </c>
      <c r="AO359" s="7" t="b">
        <f>C359=GenExp!C359</f>
        <v>1</v>
      </c>
    </row>
    <row r="360" spans="1:41" s="32" customFormat="1">
      <c r="A360" s="31" t="s">
        <v>366</v>
      </c>
      <c r="B360" s="31"/>
      <c r="C360" s="31" t="s">
        <v>37</v>
      </c>
      <c r="D360" s="31"/>
      <c r="E360" s="31">
        <v>47712</v>
      </c>
      <c r="G360" s="32">
        <v>1135958</v>
      </c>
      <c r="I360" s="32">
        <v>122118</v>
      </c>
      <c r="K360" s="34">
        <f t="shared" si="71"/>
        <v>2700143</v>
      </c>
      <c r="M360" s="32">
        <v>3958219</v>
      </c>
      <c r="O360" s="34">
        <f t="shared" si="72"/>
        <v>987991</v>
      </c>
      <c r="Q360" s="32">
        <f>128272+1863698</f>
        <v>1991970</v>
      </c>
      <c r="S360" s="32">
        <v>2979961</v>
      </c>
      <c r="U360" s="32">
        <v>6961</v>
      </c>
      <c r="W360" s="32">
        <v>363795</v>
      </c>
      <c r="Y360" s="32">
        <v>0</v>
      </c>
      <c r="AA360" s="32">
        <v>23074</v>
      </c>
      <c r="AC360" s="32">
        <v>584428</v>
      </c>
      <c r="AE360" s="45">
        <f t="shared" si="64"/>
        <v>978258</v>
      </c>
      <c r="AG360" s="32">
        <f t="shared" si="65"/>
        <v>0</v>
      </c>
      <c r="AK360" s="32" t="str">
        <f t="shared" si="66"/>
        <v>Monroeville Local SD</v>
      </c>
      <c r="AL360" s="32" t="str">
        <f>GenExp!A360</f>
        <v>Monroeville Local SD</v>
      </c>
      <c r="AM360" s="32" t="b">
        <f t="shared" si="67"/>
        <v>1</v>
      </c>
      <c r="AN360" s="32" t="str">
        <f t="shared" si="63"/>
        <v>Huron</v>
      </c>
      <c r="AO360" s="32" t="b">
        <f>C360=GenExp!C360</f>
        <v>1</v>
      </c>
    </row>
    <row r="361" spans="1:41" hidden="1">
      <c r="A361" s="12" t="s">
        <v>937</v>
      </c>
      <c r="B361" s="12"/>
      <c r="C361" s="12" t="s">
        <v>570</v>
      </c>
      <c r="D361" s="12"/>
      <c r="E361" s="12">
        <v>45526</v>
      </c>
      <c r="K361" s="2">
        <f t="shared" si="71"/>
        <v>0</v>
      </c>
      <c r="O361" s="2">
        <f t="shared" si="72"/>
        <v>0</v>
      </c>
      <c r="AE361" s="13">
        <f t="shared" si="64"/>
        <v>0</v>
      </c>
      <c r="AG361" s="7">
        <f t="shared" si="65"/>
        <v>0</v>
      </c>
      <c r="AI361" s="7" t="s">
        <v>912</v>
      </c>
      <c r="AK361" s="7" t="str">
        <f t="shared" si="66"/>
        <v>Montpelier Exempted Village SD (CASH)</v>
      </c>
      <c r="AL361" s="7" t="str">
        <f>GenExp!A361</f>
        <v>Montpelier Exempted Village SD (CASH)</v>
      </c>
      <c r="AM361" s="7" t="b">
        <f t="shared" si="67"/>
        <v>1</v>
      </c>
      <c r="AN361" s="7" t="str">
        <f t="shared" si="63"/>
        <v>Williams</v>
      </c>
      <c r="AO361" s="7" t="b">
        <f>C361=GenExp!C361</f>
        <v>1</v>
      </c>
    </row>
    <row r="362" spans="1:41">
      <c r="A362" s="12" t="s">
        <v>452</v>
      </c>
      <c r="B362" s="12"/>
      <c r="C362" s="12" t="s">
        <v>453</v>
      </c>
      <c r="D362" s="12"/>
      <c r="E362" s="12">
        <v>48777</v>
      </c>
      <c r="G362" s="7">
        <f>12313964+55+117407</f>
        <v>12431426</v>
      </c>
      <c r="I362" s="7">
        <v>253075</v>
      </c>
      <c r="K362" s="2">
        <f t="shared" si="71"/>
        <v>6427311</v>
      </c>
      <c r="M362" s="7">
        <v>19111812</v>
      </c>
      <c r="O362" s="2">
        <f t="shared" si="72"/>
        <v>2486713</v>
      </c>
      <c r="Q362" s="7">
        <v>5607608</v>
      </c>
      <c r="S362" s="7">
        <v>8094321</v>
      </c>
      <c r="U362" s="7">
        <v>56942</v>
      </c>
      <c r="W362" s="7">
        <v>5919052</v>
      </c>
      <c r="Y362" s="7">
        <v>0</v>
      </c>
      <c r="AA362" s="7">
        <v>966367</v>
      </c>
      <c r="AC362" s="7">
        <v>4075130</v>
      </c>
      <c r="AE362" s="13">
        <f t="shared" si="64"/>
        <v>11017491</v>
      </c>
      <c r="AG362" s="7">
        <f t="shared" si="65"/>
        <v>0</v>
      </c>
      <c r="AK362" s="7" t="str">
        <f t="shared" si="66"/>
        <v>Morgan Local SD</v>
      </c>
      <c r="AL362" s="7" t="str">
        <f>GenExp!A362</f>
        <v>Morgan Local SD</v>
      </c>
      <c r="AM362" s="7" t="b">
        <f t="shared" si="67"/>
        <v>1</v>
      </c>
      <c r="AN362" s="7" t="str">
        <f t="shared" si="63"/>
        <v>Morgan</v>
      </c>
      <c r="AO362" s="7" t="b">
        <f>C362=GenExp!C362</f>
        <v>1</v>
      </c>
    </row>
    <row r="363" spans="1:41">
      <c r="A363" s="12" t="s">
        <v>880</v>
      </c>
      <c r="B363" s="12"/>
      <c r="C363" s="12" t="s">
        <v>78</v>
      </c>
      <c r="D363" s="12"/>
      <c r="E363" s="12">
        <v>45534</v>
      </c>
      <c r="G363" s="7">
        <v>5511739</v>
      </c>
      <c r="I363" s="7">
        <v>30182</v>
      </c>
      <c r="K363" s="2">
        <f t="shared" si="71"/>
        <v>6189252</v>
      </c>
      <c r="M363" s="7">
        <v>11731173</v>
      </c>
      <c r="O363" s="2">
        <f t="shared" si="72"/>
        <v>1444779</v>
      </c>
      <c r="Q363" s="7">
        <v>4896343</v>
      </c>
      <c r="S363" s="7">
        <v>6341122</v>
      </c>
      <c r="U363" s="7">
        <v>0</v>
      </c>
      <c r="W363" s="7">
        <v>2648422</v>
      </c>
      <c r="Y363" s="7">
        <v>0</v>
      </c>
      <c r="AA363" s="7">
        <v>58012</v>
      </c>
      <c r="AC363" s="7">
        <v>2683617</v>
      </c>
      <c r="AE363" s="13">
        <f t="shared" si="64"/>
        <v>5390051</v>
      </c>
      <c r="AG363" s="7">
        <f t="shared" si="65"/>
        <v>0</v>
      </c>
      <c r="AK363" s="7" t="str">
        <f t="shared" si="66"/>
        <v>Mount Gilead Exempted Village SD</v>
      </c>
      <c r="AL363" s="7" t="str">
        <f>GenExp!A363</f>
        <v>Mount Gilead Exempted Village SD</v>
      </c>
      <c r="AM363" s="7" t="b">
        <f t="shared" si="67"/>
        <v>1</v>
      </c>
      <c r="AN363" s="7" t="str">
        <f t="shared" si="63"/>
        <v>Morrow</v>
      </c>
      <c r="AO363" s="7" t="b">
        <f>C363=GenExp!C363</f>
        <v>1</v>
      </c>
    </row>
    <row r="364" spans="1:41">
      <c r="A364" s="12" t="s">
        <v>375</v>
      </c>
      <c r="B364" s="12"/>
      <c r="C364" s="12" t="s">
        <v>40</v>
      </c>
      <c r="D364" s="12"/>
      <c r="E364" s="12">
        <v>44420</v>
      </c>
      <c r="G364" s="7">
        <v>5947322</v>
      </c>
      <c r="I364" s="7">
        <v>879471</v>
      </c>
      <c r="K364" s="2">
        <f t="shared" si="71"/>
        <v>14687582</v>
      </c>
      <c r="M364" s="7">
        <v>21514375</v>
      </c>
      <c r="O364" s="2">
        <f t="shared" si="72"/>
        <v>4971186</v>
      </c>
      <c r="Q364" s="7">
        <f>257010+8243347</f>
        <v>8500357</v>
      </c>
      <c r="S364" s="7">
        <v>13471543</v>
      </c>
      <c r="U364" s="7">
        <f>1279+2252+18584</f>
        <v>22115</v>
      </c>
      <c r="W364" s="7">
        <f>2170969+1607705+47539+20287+54412+879471+6235</f>
        <v>4786618</v>
      </c>
      <c r="Y364" s="7">
        <f>134744+6147</f>
        <v>140891</v>
      </c>
      <c r="AA364" s="7">
        <f>28192+218508+59311+4583</f>
        <v>310594</v>
      </c>
      <c r="AC364" s="7">
        <v>2782614</v>
      </c>
      <c r="AE364" s="13">
        <f t="shared" si="64"/>
        <v>8042832</v>
      </c>
      <c r="AG364" s="7">
        <f t="shared" si="65"/>
        <v>0</v>
      </c>
      <c r="AK364" s="7" t="str">
        <f t="shared" si="66"/>
        <v>Mount Vernon City SD</v>
      </c>
      <c r="AL364" s="7" t="str">
        <f>GenExp!A364</f>
        <v>Mount Vernon City SD</v>
      </c>
      <c r="AM364" s="7" t="b">
        <f t="shared" si="67"/>
        <v>1</v>
      </c>
      <c r="AN364" s="7" t="str">
        <f t="shared" si="63"/>
        <v>Knox</v>
      </c>
      <c r="AO364" s="7" t="b">
        <f>C364=GenExp!C364</f>
        <v>1</v>
      </c>
    </row>
    <row r="365" spans="1:41">
      <c r="A365" s="12" t="s">
        <v>751</v>
      </c>
      <c r="B365" s="12"/>
      <c r="C365" s="12" t="s">
        <v>32</v>
      </c>
      <c r="D365" s="12"/>
      <c r="E365" s="12">
        <v>44412</v>
      </c>
      <c r="G365" s="7">
        <v>4719908</v>
      </c>
      <c r="I365" s="7">
        <v>1204458</v>
      </c>
      <c r="K365" s="2">
        <f t="shared" si="71"/>
        <v>17845005</v>
      </c>
      <c r="M365" s="7">
        <v>23769371</v>
      </c>
      <c r="O365" s="2">
        <f t="shared" si="72"/>
        <v>6287384</v>
      </c>
      <c r="Q365" s="7">
        <v>11109136</v>
      </c>
      <c r="S365" s="7">
        <v>17396520</v>
      </c>
      <c r="U365" s="7">
        <v>18404</v>
      </c>
      <c r="W365" s="7">
        <v>4699233</v>
      </c>
      <c r="Y365" s="7">
        <v>0</v>
      </c>
      <c r="AA365" s="7">
        <v>606106</v>
      </c>
      <c r="AC365" s="7">
        <v>1049108</v>
      </c>
      <c r="AE365" s="13">
        <f t="shared" si="64"/>
        <v>6372851</v>
      </c>
      <c r="AG365" s="7">
        <f t="shared" si="65"/>
        <v>0</v>
      </c>
      <c r="AK365" s="7" t="str">
        <f t="shared" si="66"/>
        <v xml:space="preserve">Mt. Healthy City SD </v>
      </c>
      <c r="AL365" s="7" t="str">
        <f>GenExp!A365</f>
        <v xml:space="preserve">Mt. Healthy City SD </v>
      </c>
      <c r="AM365" s="7" t="b">
        <f t="shared" si="67"/>
        <v>1</v>
      </c>
      <c r="AN365" s="7" t="str">
        <f t="shared" si="63"/>
        <v>Hamilton</v>
      </c>
      <c r="AO365" s="7" t="b">
        <f>C365=GenExp!C365</f>
        <v>1</v>
      </c>
    </row>
    <row r="366" spans="1:41">
      <c r="A366" s="12" t="s">
        <v>356</v>
      </c>
      <c r="B366" s="12"/>
      <c r="C366" s="12" t="s">
        <v>34</v>
      </c>
      <c r="D366" s="12"/>
      <c r="E366" s="12">
        <v>44438</v>
      </c>
      <c r="G366" s="7">
        <v>12175630</v>
      </c>
      <c r="I366" s="7">
        <v>51337</v>
      </c>
      <c r="K366" s="2">
        <f t="shared" si="71"/>
        <v>12117696</v>
      </c>
      <c r="M366" s="7">
        <v>24344663</v>
      </c>
      <c r="O366" s="2">
        <f t="shared" si="72"/>
        <v>3175626</v>
      </c>
      <c r="Q366" s="7">
        <v>10832639</v>
      </c>
      <c r="S366" s="7">
        <v>14008265</v>
      </c>
      <c r="U366" s="7">
        <v>169314</v>
      </c>
      <c r="W366" s="7">
        <v>2288879</v>
      </c>
      <c r="Y366" s="7">
        <v>0</v>
      </c>
      <c r="AA366" s="7">
        <v>534131</v>
      </c>
      <c r="AC366" s="7">
        <v>7344074</v>
      </c>
      <c r="AE366" s="13">
        <f t="shared" si="64"/>
        <v>10336398</v>
      </c>
      <c r="AG366" s="7">
        <f t="shared" si="65"/>
        <v>0</v>
      </c>
      <c r="AK366" s="7" t="str">
        <f t="shared" si="66"/>
        <v>Napoleon Area City SD</v>
      </c>
      <c r="AL366" s="7" t="str">
        <f>GenExp!A366</f>
        <v>Napoleon Area City SD</v>
      </c>
      <c r="AM366" s="7" t="b">
        <f t="shared" si="67"/>
        <v>1</v>
      </c>
      <c r="AN366" s="7" t="str">
        <f t="shared" si="63"/>
        <v>Henry</v>
      </c>
      <c r="AO366" s="7" t="b">
        <f>C366=GenExp!C366</f>
        <v>1</v>
      </c>
    </row>
    <row r="367" spans="1:41" hidden="1">
      <c r="A367" s="12" t="s">
        <v>874</v>
      </c>
      <c r="B367" s="12"/>
      <c r="C367" s="12" t="s">
        <v>57</v>
      </c>
      <c r="D367" s="12"/>
      <c r="E367" s="12"/>
      <c r="K367" s="2"/>
      <c r="O367" s="2"/>
      <c r="AE367" s="13"/>
      <c r="AI367" s="7" t="s">
        <v>938</v>
      </c>
      <c r="AK367" s="7" t="str">
        <f t="shared" ref="AK367" si="73">A367</f>
        <v>National Trail Local SD (CASH)</v>
      </c>
      <c r="AL367" s="7" t="str">
        <f>GenExp!A367</f>
        <v>National Trail Local SD (CASH)</v>
      </c>
      <c r="AM367" s="7" t="b">
        <f t="shared" ref="AM367" si="74">AK367=AL367</f>
        <v>1</v>
      </c>
      <c r="AN367" s="7" t="str">
        <f t="shared" si="63"/>
        <v>Preble</v>
      </c>
      <c r="AO367" s="7" t="b">
        <f>C367=GenExp!C367</f>
        <v>1</v>
      </c>
    </row>
    <row r="368" spans="1:41">
      <c r="A368" s="12" t="s">
        <v>212</v>
      </c>
      <c r="B368" s="12"/>
      <c r="C368" s="12" t="s">
        <v>13</v>
      </c>
      <c r="D368" s="12"/>
      <c r="E368" s="12">
        <v>44446</v>
      </c>
      <c r="G368" s="7">
        <f>5300038+234585+179518</f>
        <v>5714141</v>
      </c>
      <c r="I368" s="7">
        <v>165990</v>
      </c>
      <c r="K368" s="2">
        <f t="shared" si="71"/>
        <v>3102015</v>
      </c>
      <c r="M368" s="7">
        <v>8982146</v>
      </c>
      <c r="O368" s="2">
        <f t="shared" si="72"/>
        <v>2245788</v>
      </c>
      <c r="Q368" s="7">
        <v>2549841</v>
      </c>
      <c r="S368" s="7">
        <v>4795629</v>
      </c>
      <c r="U368" s="7">
        <v>2355</v>
      </c>
      <c r="W368" s="7">
        <v>2797744</v>
      </c>
      <c r="Y368" s="7">
        <v>721</v>
      </c>
      <c r="AA368" s="7">
        <v>72466</v>
      </c>
      <c r="AC368" s="7">
        <v>1313231</v>
      </c>
      <c r="AE368" s="13">
        <f t="shared" si="64"/>
        <v>4186517</v>
      </c>
      <c r="AG368" s="7">
        <f t="shared" si="65"/>
        <v>0</v>
      </c>
      <c r="AK368" s="7" t="str">
        <f t="shared" si="66"/>
        <v>Nelsonville-York City SD</v>
      </c>
      <c r="AL368" s="7" t="str">
        <f>GenExp!A368</f>
        <v>Nelsonville-York City SD</v>
      </c>
      <c r="AM368" s="7" t="b">
        <f t="shared" si="67"/>
        <v>1</v>
      </c>
      <c r="AN368" s="7" t="str">
        <f t="shared" si="63"/>
        <v>Athens</v>
      </c>
      <c r="AO368" s="7" t="b">
        <f>C368=GenExp!C368</f>
        <v>1</v>
      </c>
    </row>
    <row r="369" spans="1:41">
      <c r="A369" s="12" t="s">
        <v>633</v>
      </c>
      <c r="B369" s="12"/>
      <c r="C369" s="12" t="s">
        <v>27</v>
      </c>
      <c r="D369" s="12"/>
      <c r="E369" s="12">
        <v>44461</v>
      </c>
      <c r="G369" s="7">
        <v>26592063</v>
      </c>
      <c r="I369" s="7">
        <v>0</v>
      </c>
      <c r="K369" s="2">
        <f t="shared" si="71"/>
        <v>47697116</v>
      </c>
      <c r="M369" s="7">
        <v>74289179</v>
      </c>
      <c r="O369" s="2">
        <f t="shared" si="72"/>
        <v>7006976</v>
      </c>
      <c r="Q369" s="7">
        <v>30051800</v>
      </c>
      <c r="S369" s="7">
        <v>37058776</v>
      </c>
      <c r="U369" s="7">
        <v>21461</v>
      </c>
      <c r="W369" s="7">
        <f>6677500+1974790+60730+876557+97553+93452+56024+1397</f>
        <v>9838003</v>
      </c>
      <c r="Y369" s="7">
        <v>0</v>
      </c>
      <c r="AA369" s="7">
        <v>664139</v>
      </c>
      <c r="AC369" s="7">
        <v>26706800</v>
      </c>
      <c r="AE369" s="13">
        <f t="shared" si="64"/>
        <v>37230403</v>
      </c>
      <c r="AG369" s="7">
        <f t="shared" si="65"/>
        <v>0</v>
      </c>
      <c r="AK369" s="7" t="str">
        <f t="shared" si="66"/>
        <v>New Albany-Plain Local SD</v>
      </c>
      <c r="AL369" s="7" t="str">
        <f>GenExp!A369</f>
        <v>New Albany-Plain Local SD</v>
      </c>
      <c r="AM369" s="7" t="b">
        <f t="shared" si="67"/>
        <v>1</v>
      </c>
      <c r="AN369" s="7" t="str">
        <f t="shared" si="63"/>
        <v>Franklin</v>
      </c>
      <c r="AO369" s="7" t="b">
        <f>C369=GenExp!C369</f>
        <v>1</v>
      </c>
    </row>
    <row r="370" spans="1:41">
      <c r="A370" s="12" t="s">
        <v>498</v>
      </c>
      <c r="B370" s="12"/>
      <c r="C370" s="12" t="s">
        <v>59</v>
      </c>
      <c r="D370" s="12"/>
      <c r="E370" s="12">
        <v>44461</v>
      </c>
      <c r="G370" s="7">
        <v>12820013</v>
      </c>
      <c r="I370" s="7">
        <v>0</v>
      </c>
      <c r="K370" s="2">
        <f t="shared" si="71"/>
        <v>10567849</v>
      </c>
      <c r="M370" s="7">
        <v>23387862</v>
      </c>
      <c r="O370" s="2">
        <f t="shared" si="72"/>
        <v>1781423</v>
      </c>
      <c r="Q370" s="7">
        <v>10164273</v>
      </c>
      <c r="S370" s="7">
        <v>11945696</v>
      </c>
      <c r="U370" s="7">
        <v>48271</v>
      </c>
      <c r="W370" s="7">
        <v>9976651</v>
      </c>
      <c r="Y370" s="7">
        <v>0</v>
      </c>
      <c r="AA370" s="7">
        <v>19914</v>
      </c>
      <c r="AC370" s="7">
        <v>1397330</v>
      </c>
      <c r="AE370" s="13">
        <f t="shared" si="64"/>
        <v>11442166</v>
      </c>
      <c r="AG370" s="7">
        <f t="shared" si="65"/>
        <v>0</v>
      </c>
      <c r="AK370" s="7" t="str">
        <f t="shared" si="66"/>
        <v>New Boston Local SD</v>
      </c>
      <c r="AL370" s="7" t="str">
        <f>GenExp!A370</f>
        <v>New Boston Local SD</v>
      </c>
      <c r="AM370" s="7" t="b">
        <f t="shared" si="67"/>
        <v>1</v>
      </c>
      <c r="AN370" s="7" t="str">
        <f t="shared" si="63"/>
        <v>Scioto</v>
      </c>
      <c r="AO370" s="7" t="b">
        <f>C370=GenExp!C370</f>
        <v>1</v>
      </c>
    </row>
    <row r="371" spans="1:41">
      <c r="A371" s="12" t="s">
        <v>215</v>
      </c>
      <c r="B371" s="12"/>
      <c r="C371" s="12" t="s">
        <v>14</v>
      </c>
      <c r="D371" s="12"/>
      <c r="E371" s="12">
        <v>45955</v>
      </c>
      <c r="G371" s="7">
        <v>7207862</v>
      </c>
      <c r="I371" s="7">
        <v>24206</v>
      </c>
      <c r="K371" s="2">
        <f t="shared" si="71"/>
        <v>3816915</v>
      </c>
      <c r="M371" s="7">
        <v>11048983</v>
      </c>
      <c r="O371" s="2">
        <f t="shared" si="72"/>
        <v>1130272</v>
      </c>
      <c r="Q371" s="7">
        <v>2768393</v>
      </c>
      <c r="S371" s="7">
        <v>3898665</v>
      </c>
      <c r="U371" s="7">
        <v>16752</v>
      </c>
      <c r="W371" s="7">
        <v>1432902</v>
      </c>
      <c r="Y371" s="7">
        <v>0</v>
      </c>
      <c r="AA371" s="7">
        <v>13879</v>
      </c>
      <c r="AC371" s="7">
        <v>5686785</v>
      </c>
      <c r="AE371" s="13">
        <f t="shared" si="64"/>
        <v>7150318</v>
      </c>
      <c r="AG371" s="7">
        <f t="shared" si="65"/>
        <v>0</v>
      </c>
      <c r="AK371" s="7" t="str">
        <f t="shared" si="66"/>
        <v>New Bremen Local SD</v>
      </c>
      <c r="AL371" s="7" t="str">
        <f>GenExp!A371</f>
        <v>New Bremen Local SD</v>
      </c>
      <c r="AM371" s="7" t="b">
        <f t="shared" si="67"/>
        <v>1</v>
      </c>
      <c r="AN371" s="7" t="str">
        <f t="shared" si="63"/>
        <v>Auglaize</v>
      </c>
      <c r="AO371" s="7" t="b">
        <f>C371=GenExp!C371</f>
        <v>1</v>
      </c>
    </row>
    <row r="372" spans="1:41" hidden="1">
      <c r="A372" s="12" t="s">
        <v>745</v>
      </c>
      <c r="B372" s="12"/>
      <c r="C372" s="12" t="s">
        <v>14</v>
      </c>
      <c r="D372" s="12"/>
      <c r="E372" s="12">
        <v>45963</v>
      </c>
      <c r="K372" s="2">
        <f t="shared" si="71"/>
        <v>0</v>
      </c>
      <c r="O372" s="2">
        <f t="shared" si="72"/>
        <v>0</v>
      </c>
      <c r="AE372" s="13">
        <f t="shared" si="64"/>
        <v>0</v>
      </c>
      <c r="AG372" s="7">
        <f t="shared" si="65"/>
        <v>0</v>
      </c>
      <c r="AI372" s="7" t="s">
        <v>839</v>
      </c>
      <c r="AK372" s="7" t="str">
        <f t="shared" si="66"/>
        <v>New Knoxville Local SD (CASH)</v>
      </c>
      <c r="AL372" s="7" t="str">
        <f>GenExp!A372</f>
        <v>New Knoxville Local SD (CASH)</v>
      </c>
      <c r="AM372" s="7" t="b">
        <f t="shared" si="67"/>
        <v>1</v>
      </c>
      <c r="AN372" s="7" t="str">
        <f t="shared" si="63"/>
        <v>Auglaize</v>
      </c>
      <c r="AO372" s="7" t="b">
        <f>C372=GenExp!C372</f>
        <v>1</v>
      </c>
    </row>
    <row r="373" spans="1:41">
      <c r="A373" s="12" t="s">
        <v>446</v>
      </c>
      <c r="B373" s="12"/>
      <c r="C373" s="12" t="s">
        <v>50</v>
      </c>
      <c r="D373" s="12"/>
      <c r="E373" s="12">
        <v>48710</v>
      </c>
      <c r="G373" s="7">
        <v>6146628</v>
      </c>
      <c r="I373" s="7">
        <v>113154</v>
      </c>
      <c r="K373" s="2">
        <f t="shared" si="71"/>
        <v>3800239</v>
      </c>
      <c r="M373" s="7">
        <v>10060021</v>
      </c>
      <c r="O373" s="2">
        <f t="shared" si="72"/>
        <v>1656586</v>
      </c>
      <c r="Q373" s="7">
        <f>392573+2543106</f>
        <v>2935679</v>
      </c>
      <c r="S373" s="7">
        <v>4592265</v>
      </c>
      <c r="U373" s="7">
        <f>11944+10204</f>
        <v>22148</v>
      </c>
      <c r="W373" s="7">
        <f>385928+379999+116597+178914+9325+6625+19662+4436+113154</f>
        <v>1214640</v>
      </c>
      <c r="Y373" s="7">
        <v>97035</v>
      </c>
      <c r="AA373" s="7">
        <f>6526+167342</f>
        <v>173868</v>
      </c>
      <c r="AC373" s="7">
        <v>3960065</v>
      </c>
      <c r="AE373" s="13">
        <f t="shared" si="64"/>
        <v>5467756</v>
      </c>
      <c r="AG373" s="7">
        <f t="shared" si="65"/>
        <v>0</v>
      </c>
      <c r="AK373" s="7" t="str">
        <f t="shared" si="66"/>
        <v>New Lebanon Local SD</v>
      </c>
      <c r="AL373" s="7" t="str">
        <f>GenExp!A373</f>
        <v>New Lebanon Local SD</v>
      </c>
      <c r="AM373" s="7" t="b">
        <f t="shared" si="67"/>
        <v>1</v>
      </c>
      <c r="AN373" s="7" t="str">
        <f t="shared" si="63"/>
        <v>Montgomery</v>
      </c>
      <c r="AO373" s="7" t="b">
        <f>C373=GenExp!C373</f>
        <v>1</v>
      </c>
    </row>
    <row r="374" spans="1:41" hidden="1">
      <c r="A374" s="12" t="s">
        <v>939</v>
      </c>
      <c r="B374" s="12"/>
      <c r="C374" s="12" t="s">
        <v>466</v>
      </c>
      <c r="D374" s="12"/>
      <c r="E374" s="12">
        <v>44479</v>
      </c>
      <c r="K374" s="2">
        <f t="shared" si="71"/>
        <v>0</v>
      </c>
      <c r="O374" s="2">
        <f t="shared" si="72"/>
        <v>0</v>
      </c>
      <c r="AE374" s="13">
        <f t="shared" si="64"/>
        <v>0</v>
      </c>
      <c r="AG374" s="7">
        <f t="shared" si="65"/>
        <v>0</v>
      </c>
      <c r="AI374" s="7" t="s">
        <v>839</v>
      </c>
      <c r="AK374" s="7" t="str">
        <f t="shared" si="66"/>
        <v>New Lexington City SD (CASH)</v>
      </c>
      <c r="AL374" s="7" t="str">
        <f>GenExp!A374</f>
        <v>New Lexington City SD (CASH)</v>
      </c>
      <c r="AM374" s="7" t="b">
        <f t="shared" si="67"/>
        <v>1</v>
      </c>
      <c r="AN374" s="7" t="str">
        <f t="shared" si="63"/>
        <v>Perry</v>
      </c>
      <c r="AO374" s="7" t="b">
        <f>C374=GenExp!C374</f>
        <v>1</v>
      </c>
    </row>
    <row r="375" spans="1:41">
      <c r="A375" s="12" t="s">
        <v>367</v>
      </c>
      <c r="B375" s="12"/>
      <c r="C375" s="12" t="s">
        <v>37</v>
      </c>
      <c r="D375" s="12"/>
      <c r="E375" s="12">
        <v>47720</v>
      </c>
      <c r="G375" s="7">
        <f>3519417+8029</f>
        <v>3527446</v>
      </c>
      <c r="I375" s="7">
        <v>0</v>
      </c>
      <c r="K375" s="2">
        <f t="shared" si="71"/>
        <v>3213120</v>
      </c>
      <c r="M375" s="7">
        <v>6740566</v>
      </c>
      <c r="O375" s="2">
        <f t="shared" si="72"/>
        <v>1305537</v>
      </c>
      <c r="Q375" s="7">
        <f>1817093+616210</f>
        <v>2433303</v>
      </c>
      <c r="S375" s="7">
        <v>3738840</v>
      </c>
      <c r="U375" s="7">
        <v>23923</v>
      </c>
      <c r="W375" s="7">
        <f>392049+543169+135473+8029+4648+17526+109466</f>
        <v>1210360</v>
      </c>
      <c r="Y375" s="7">
        <v>0</v>
      </c>
      <c r="AA375" s="7">
        <f>24512+88240+133+311</f>
        <v>113196</v>
      </c>
      <c r="AC375" s="7">
        <v>1654247</v>
      </c>
      <c r="AE375" s="13">
        <f t="shared" si="64"/>
        <v>3001726</v>
      </c>
      <c r="AG375" s="7">
        <f t="shared" si="65"/>
        <v>0</v>
      </c>
      <c r="AK375" s="7" t="str">
        <f t="shared" si="66"/>
        <v>New London Local SD</v>
      </c>
      <c r="AL375" s="7" t="str">
        <f>GenExp!A375</f>
        <v>New London Local SD</v>
      </c>
      <c r="AM375" s="7" t="b">
        <f t="shared" si="67"/>
        <v>1</v>
      </c>
      <c r="AN375" s="7" t="str">
        <f t="shared" si="63"/>
        <v>Huron</v>
      </c>
      <c r="AO375" s="7" t="b">
        <f>C375=GenExp!C375</f>
        <v>1</v>
      </c>
    </row>
    <row r="376" spans="1:41">
      <c r="A376" s="12" t="s">
        <v>230</v>
      </c>
      <c r="B376" s="12"/>
      <c r="C376" s="12" t="s">
        <v>223</v>
      </c>
      <c r="D376" s="12"/>
      <c r="E376" s="12">
        <v>46136</v>
      </c>
      <c r="G376" s="7">
        <v>3866913</v>
      </c>
      <c r="I376" s="7">
        <v>0</v>
      </c>
      <c r="K376" s="2">
        <f t="shared" si="71"/>
        <v>1682620</v>
      </c>
      <c r="M376" s="7">
        <v>5549533</v>
      </c>
      <c r="O376" s="2">
        <f t="shared" si="72"/>
        <v>827639</v>
      </c>
      <c r="Q376" s="7">
        <v>1348012</v>
      </c>
      <c r="S376" s="7">
        <v>2175651</v>
      </c>
      <c r="U376" s="7">
        <v>10693</v>
      </c>
      <c r="W376" s="7">
        <v>530760</v>
      </c>
      <c r="Y376" s="7">
        <v>0</v>
      </c>
      <c r="AA376" s="7">
        <v>2873877</v>
      </c>
      <c r="AC376" s="7">
        <v>-41448</v>
      </c>
      <c r="AE376" s="13">
        <f t="shared" si="64"/>
        <v>3373882</v>
      </c>
      <c r="AG376" s="7">
        <f t="shared" si="65"/>
        <v>0</v>
      </c>
      <c r="AK376" s="7" t="str">
        <f t="shared" si="66"/>
        <v>New Miami Local SD</v>
      </c>
      <c r="AL376" s="7" t="str">
        <f>GenExp!A376</f>
        <v>New Miami Local SD</v>
      </c>
      <c r="AM376" s="7" t="b">
        <f t="shared" si="67"/>
        <v>1</v>
      </c>
      <c r="AN376" s="7" t="str">
        <f t="shared" si="63"/>
        <v>Butler</v>
      </c>
      <c r="AO376" s="7" t="b">
        <f>C376=GenExp!C376</f>
        <v>1</v>
      </c>
    </row>
    <row r="377" spans="1:41">
      <c r="A377" s="12" t="s">
        <v>553</v>
      </c>
      <c r="B377" s="12"/>
      <c r="C377" s="12" t="s">
        <v>65</v>
      </c>
      <c r="D377" s="12"/>
      <c r="E377" s="12">
        <v>44487</v>
      </c>
      <c r="G377" s="7">
        <v>11085448</v>
      </c>
      <c r="I377" s="7">
        <v>0</v>
      </c>
      <c r="K377" s="2">
        <f t="shared" si="71"/>
        <v>13207866</v>
      </c>
      <c r="M377" s="7">
        <v>24293314</v>
      </c>
      <c r="O377" s="2">
        <f t="shared" si="72"/>
        <v>3837847</v>
      </c>
      <c r="Q377" s="7">
        <v>11515241</v>
      </c>
      <c r="S377" s="7">
        <v>15353088</v>
      </c>
      <c r="U377" s="7">
        <f>41774+19279</f>
        <v>61053</v>
      </c>
      <c r="W377" s="7">
        <f>687997+811557+366928</f>
        <v>1866482</v>
      </c>
      <c r="Y377" s="7">
        <v>0</v>
      </c>
      <c r="AA377" s="7">
        <v>221976</v>
      </c>
      <c r="AC377" s="7">
        <v>6790715</v>
      </c>
      <c r="AE377" s="13">
        <f t="shared" si="64"/>
        <v>8940226</v>
      </c>
      <c r="AG377" s="7">
        <f t="shared" si="65"/>
        <v>0</v>
      </c>
      <c r="AK377" s="7" t="str">
        <f t="shared" si="66"/>
        <v>New Philadelphia City SD</v>
      </c>
      <c r="AL377" s="7" t="str">
        <f>GenExp!A377</f>
        <v>New Philadelphia City SD</v>
      </c>
      <c r="AM377" s="7" t="b">
        <f t="shared" si="67"/>
        <v>1</v>
      </c>
      <c r="AN377" s="7" t="str">
        <f t="shared" si="63"/>
        <v>Tuscarawas</v>
      </c>
      <c r="AO377" s="7" t="b">
        <f>C377=GenExp!C377</f>
        <v>1</v>
      </c>
    </row>
    <row r="378" spans="1:41">
      <c r="A378" s="12" t="s">
        <v>881</v>
      </c>
      <c r="B378" s="12"/>
      <c r="C378" s="12" t="s">
        <v>113</v>
      </c>
      <c r="D378" s="12"/>
      <c r="E378" s="12">
        <v>45559</v>
      </c>
      <c r="G378" s="7">
        <v>19679077</v>
      </c>
      <c r="I378" s="7">
        <v>102255</v>
      </c>
      <c r="K378" s="2">
        <f t="shared" si="71"/>
        <v>14998178</v>
      </c>
      <c r="M378" s="7">
        <v>34779510</v>
      </c>
      <c r="O378" s="2">
        <f t="shared" si="72"/>
        <v>2988583</v>
      </c>
      <c r="Q378" s="7">
        <v>11740809</v>
      </c>
      <c r="S378" s="7">
        <v>14729392</v>
      </c>
      <c r="U378" s="7">
        <v>0</v>
      </c>
      <c r="W378" s="7">
        <v>179968</v>
      </c>
      <c r="Y378" s="7">
        <v>11505</v>
      </c>
      <c r="AA378" s="7">
        <v>1796930</v>
      </c>
      <c r="AC378" s="7">
        <v>18061715</v>
      </c>
      <c r="AE378" s="13">
        <f t="shared" si="64"/>
        <v>20050118</v>
      </c>
      <c r="AG378" s="7">
        <f t="shared" si="65"/>
        <v>0</v>
      </c>
      <c r="AK378" s="7" t="str">
        <f t="shared" si="66"/>
        <v>New Richmond Exempted Village SD</v>
      </c>
      <c r="AL378" s="7" t="str">
        <f>GenExp!A378</f>
        <v>New Richmond Exempted Village SD</v>
      </c>
      <c r="AM378" s="7" t="b">
        <f t="shared" si="67"/>
        <v>1</v>
      </c>
      <c r="AN378" s="7" t="str">
        <f t="shared" si="63"/>
        <v>Clermont</v>
      </c>
      <c r="AO378" s="7" t="b">
        <f>C378=GenExp!C378</f>
        <v>1</v>
      </c>
    </row>
    <row r="379" spans="1:41" hidden="1">
      <c r="A379" s="12" t="s">
        <v>940</v>
      </c>
      <c r="B379" s="12"/>
      <c r="C379" s="12" t="s">
        <v>60</v>
      </c>
      <c r="D379" s="12"/>
      <c r="E379" s="12">
        <v>49718</v>
      </c>
      <c r="K379" s="2">
        <f t="shared" si="71"/>
        <v>0</v>
      </c>
      <c r="O379" s="2">
        <f t="shared" si="72"/>
        <v>0</v>
      </c>
      <c r="AE379" s="13">
        <f t="shared" si="64"/>
        <v>0</v>
      </c>
      <c r="AG379" s="7">
        <f t="shared" si="65"/>
        <v>0</v>
      </c>
      <c r="AI379" s="7" t="s">
        <v>839</v>
      </c>
      <c r="AK379" s="7" t="str">
        <f t="shared" si="66"/>
        <v>New Riegel Local SD (CASH)</v>
      </c>
      <c r="AL379" s="7" t="str">
        <f>GenExp!A379</f>
        <v>New Riegel Local SD (CASH)</v>
      </c>
      <c r="AM379" s="7" t="b">
        <f t="shared" si="67"/>
        <v>1</v>
      </c>
      <c r="AN379" s="7" t="str">
        <f t="shared" si="63"/>
        <v>Seneca</v>
      </c>
      <c r="AO379" s="7" t="b">
        <f>C379=GenExp!C379</f>
        <v>1</v>
      </c>
    </row>
    <row r="380" spans="1:41">
      <c r="A380" s="12" t="s">
        <v>388</v>
      </c>
      <c r="B380" s="12"/>
      <c r="C380" s="12" t="s">
        <v>42</v>
      </c>
      <c r="D380" s="12"/>
      <c r="E380" s="12">
        <v>44453</v>
      </c>
      <c r="G380" s="7">
        <v>49169539</v>
      </c>
      <c r="K380" s="2">
        <f t="shared" si="71"/>
        <v>48953348</v>
      </c>
      <c r="M380" s="7">
        <v>98122887</v>
      </c>
      <c r="O380" s="2">
        <f t="shared" si="72"/>
        <v>12632669</v>
      </c>
      <c r="Q380" s="7">
        <f>19815914+23377266</f>
        <v>43193180</v>
      </c>
      <c r="S380" s="7">
        <v>55825849</v>
      </c>
      <c r="U380" s="7">
        <f>25436+57461</f>
        <v>82897</v>
      </c>
      <c r="W380" s="7">
        <f>3460064+25786111+1448436+715721+49935+223188+85990</f>
        <v>31769445</v>
      </c>
      <c r="Y380" s="7">
        <f>189878+763383</f>
        <v>953261</v>
      </c>
      <c r="AA380" s="7">
        <f>99155+1881082+712+16844</f>
        <v>1997793</v>
      </c>
      <c r="AC380" s="7">
        <v>7493642</v>
      </c>
      <c r="AE380" s="13">
        <f t="shared" si="64"/>
        <v>42297038</v>
      </c>
      <c r="AG380" s="7">
        <f t="shared" si="65"/>
        <v>0</v>
      </c>
      <c r="AK380" s="7" t="str">
        <f t="shared" si="66"/>
        <v>Newark City SD</v>
      </c>
      <c r="AL380" s="7" t="str">
        <f>GenExp!A380</f>
        <v>Newark City SD</v>
      </c>
      <c r="AM380" s="7" t="b">
        <f t="shared" si="67"/>
        <v>1</v>
      </c>
      <c r="AN380" s="7" t="str">
        <f t="shared" si="63"/>
        <v>Licking</v>
      </c>
      <c r="AO380" s="7" t="b">
        <f>C380=GenExp!C380</f>
        <v>1</v>
      </c>
    </row>
    <row r="381" spans="1:41">
      <c r="A381" s="12" t="s">
        <v>323</v>
      </c>
      <c r="B381" s="12"/>
      <c r="C381" s="12" t="s">
        <v>30</v>
      </c>
      <c r="D381" s="12"/>
      <c r="E381" s="12">
        <v>47217</v>
      </c>
      <c r="G381" s="7">
        <v>1216483</v>
      </c>
      <c r="I381" s="7">
        <v>31149</v>
      </c>
      <c r="K381" s="2">
        <f t="shared" si="71"/>
        <v>5880021</v>
      </c>
      <c r="M381" s="7">
        <v>7127653</v>
      </c>
      <c r="O381" s="2">
        <f t="shared" si="72"/>
        <v>884958</v>
      </c>
      <c r="Q381" s="7">
        <f>5250247+2050</f>
        <v>5252297</v>
      </c>
      <c r="S381" s="7">
        <v>6137255</v>
      </c>
      <c r="U381" s="7">
        <v>30004</v>
      </c>
      <c r="W381" s="7">
        <v>87820</v>
      </c>
      <c r="Y381" s="7">
        <v>0</v>
      </c>
      <c r="AA381" s="7">
        <v>0</v>
      </c>
      <c r="AC381" s="7">
        <v>872574</v>
      </c>
      <c r="AE381" s="13">
        <f t="shared" si="64"/>
        <v>990398</v>
      </c>
      <c r="AG381" s="7">
        <f t="shared" si="65"/>
        <v>0</v>
      </c>
      <c r="AI381" s="97"/>
      <c r="AK381" s="7" t="str">
        <f t="shared" si="66"/>
        <v>Newbury Local SD</v>
      </c>
      <c r="AL381" s="7" t="str">
        <f>GenExp!A381</f>
        <v>Newbury Local SD</v>
      </c>
      <c r="AM381" s="7" t="b">
        <f t="shared" si="67"/>
        <v>1</v>
      </c>
      <c r="AN381" s="7" t="str">
        <f t="shared" si="63"/>
        <v>Geauga</v>
      </c>
      <c r="AO381" s="7" t="b">
        <f>C381=GenExp!C381</f>
        <v>1</v>
      </c>
    </row>
    <row r="382" spans="1:41">
      <c r="A382" s="12" t="s">
        <v>882</v>
      </c>
      <c r="B382" s="12"/>
      <c r="C382" s="12" t="s">
        <v>65</v>
      </c>
      <c r="D382" s="12"/>
      <c r="E382" s="12">
        <v>45542</v>
      </c>
      <c r="G382" s="7">
        <v>1451057</v>
      </c>
      <c r="I382" s="7">
        <v>93679</v>
      </c>
      <c r="K382" s="2">
        <f t="shared" si="71"/>
        <v>3834242</v>
      </c>
      <c r="M382" s="7">
        <v>5378978</v>
      </c>
      <c r="O382" s="2">
        <f t="shared" si="72"/>
        <v>1745818</v>
      </c>
      <c r="Q382" s="7">
        <f>645915+2446803</f>
        <v>3092718</v>
      </c>
      <c r="S382" s="7">
        <v>4838536</v>
      </c>
      <c r="U382" s="7">
        <v>16595</v>
      </c>
      <c r="W382" s="7">
        <f>339350+92691+177206+36868+264772+13124+93679</f>
        <v>1017690</v>
      </c>
      <c r="Y382" s="7">
        <f>4186+65000</f>
        <v>69186</v>
      </c>
      <c r="AA382" s="7">
        <f>72414+58806+862+11962+5250+20744</f>
        <v>170038</v>
      </c>
      <c r="AC382" s="7">
        <v>-733067</v>
      </c>
      <c r="AE382" s="13">
        <f t="shared" si="64"/>
        <v>540442</v>
      </c>
      <c r="AG382" s="7">
        <f t="shared" si="65"/>
        <v>0</v>
      </c>
      <c r="AK382" s="7" t="str">
        <f t="shared" si="66"/>
        <v>Newcomerstown Exempted Village SD</v>
      </c>
      <c r="AL382" s="7" t="str">
        <f>GenExp!A382</f>
        <v>Newcomerstown Exempted Village SD</v>
      </c>
      <c r="AM382" s="7" t="b">
        <f t="shared" si="67"/>
        <v>1</v>
      </c>
      <c r="AN382" s="7" t="str">
        <f t="shared" si="63"/>
        <v>Tuscarawas</v>
      </c>
      <c r="AO382" s="7" t="b">
        <f>C382=GenExp!C382</f>
        <v>1</v>
      </c>
    </row>
    <row r="383" spans="1:41">
      <c r="A383" s="12" t="s">
        <v>883</v>
      </c>
      <c r="B383" s="12"/>
      <c r="C383" s="12" t="s">
        <v>64</v>
      </c>
      <c r="D383" s="12"/>
      <c r="E383" s="12">
        <v>45567</v>
      </c>
      <c r="G383" s="7">
        <v>2914042</v>
      </c>
      <c r="I383" s="7">
        <v>357625</v>
      </c>
      <c r="K383" s="2">
        <f t="shared" si="71"/>
        <v>4406742</v>
      </c>
      <c r="M383" s="7">
        <v>7678409</v>
      </c>
      <c r="O383" s="2">
        <f t="shared" si="72"/>
        <v>1460225</v>
      </c>
      <c r="Q383" s="7">
        <v>4302898</v>
      </c>
      <c r="S383" s="7">
        <v>5763123</v>
      </c>
      <c r="U383" s="7">
        <v>13006</v>
      </c>
      <c r="W383" s="7">
        <v>1905303</v>
      </c>
      <c r="Y383" s="7">
        <v>24230</v>
      </c>
      <c r="AA383" s="7">
        <v>332158</v>
      </c>
      <c r="AC383" s="7">
        <v>-359411</v>
      </c>
      <c r="AE383" s="13">
        <f t="shared" si="64"/>
        <v>1915286</v>
      </c>
      <c r="AG383" s="7">
        <f t="shared" si="65"/>
        <v>0</v>
      </c>
      <c r="AK383" s="7" t="str">
        <f t="shared" si="66"/>
        <v>Newton Falls Exempted Village SD</v>
      </c>
      <c r="AL383" s="7" t="str">
        <f>GenExp!A383</f>
        <v>Newton Falls Exempted Village SD</v>
      </c>
      <c r="AM383" s="7" t="b">
        <f t="shared" si="67"/>
        <v>1</v>
      </c>
      <c r="AN383" s="7" t="str">
        <f t="shared" si="63"/>
        <v>Trumbull</v>
      </c>
      <c r="AO383" s="7" t="b">
        <f>C383=GenExp!C383</f>
        <v>1</v>
      </c>
    </row>
    <row r="384" spans="1:41" hidden="1">
      <c r="A384" s="12" t="s">
        <v>941</v>
      </c>
      <c r="B384" s="12"/>
      <c r="C384" s="12" t="s">
        <v>48</v>
      </c>
      <c r="D384" s="12"/>
      <c r="E384" s="12">
        <v>48637</v>
      </c>
      <c r="K384" s="2">
        <f t="shared" si="71"/>
        <v>0</v>
      </c>
      <c r="O384" s="2">
        <f t="shared" si="72"/>
        <v>0</v>
      </c>
      <c r="AE384" s="13">
        <f t="shared" si="64"/>
        <v>0</v>
      </c>
      <c r="AG384" s="7">
        <f t="shared" si="65"/>
        <v>0</v>
      </c>
      <c r="AI384" s="7" t="s">
        <v>912</v>
      </c>
      <c r="AK384" s="7" t="str">
        <f t="shared" si="66"/>
        <v>Newton Local SD (CASH)</v>
      </c>
      <c r="AL384" s="7" t="str">
        <f>GenExp!A384</f>
        <v>Newton Local SD (CASH)</v>
      </c>
      <c r="AM384" s="7" t="b">
        <f t="shared" si="67"/>
        <v>1</v>
      </c>
      <c r="AN384" s="7" t="str">
        <f t="shared" si="63"/>
        <v>Miami</v>
      </c>
      <c r="AO384" s="7" t="b">
        <f>C384=GenExp!C384</f>
        <v>1</v>
      </c>
    </row>
    <row r="385" spans="1:41">
      <c r="A385" s="12" t="s">
        <v>631</v>
      </c>
      <c r="B385" s="12"/>
      <c r="C385" s="12" t="s">
        <v>64</v>
      </c>
      <c r="D385" s="12"/>
      <c r="E385" s="12"/>
      <c r="G385" s="7">
        <v>31570601</v>
      </c>
      <c r="I385" s="7">
        <v>135352</v>
      </c>
      <c r="K385" s="2">
        <f t="shared" si="71"/>
        <v>37108840</v>
      </c>
      <c r="M385" s="7">
        <v>68814793</v>
      </c>
      <c r="O385" s="2">
        <f t="shared" si="72"/>
        <v>3885495</v>
      </c>
      <c r="Q385" s="7">
        <f>9389130+27131201</f>
        <v>36520331</v>
      </c>
      <c r="S385" s="7">
        <v>40405826</v>
      </c>
      <c r="U385" s="7">
        <v>4207</v>
      </c>
      <c r="W385" s="7">
        <f>1447354+26172464+1077977+41085+10216+19+136120+165470+1449794</f>
        <v>30500499</v>
      </c>
      <c r="Y385" s="7">
        <f>2016140+68771</f>
        <v>2084911</v>
      </c>
      <c r="AA385" s="7">
        <v>23675</v>
      </c>
      <c r="AC385" s="7">
        <v>-4204325</v>
      </c>
      <c r="AE385" s="13">
        <f t="shared" si="64"/>
        <v>28408967</v>
      </c>
      <c r="AG385" s="7">
        <f t="shared" si="65"/>
        <v>0</v>
      </c>
      <c r="AK385" s="7" t="str">
        <f t="shared" si="66"/>
        <v>Niles City SD</v>
      </c>
      <c r="AL385" s="7" t="str">
        <f>GenExp!A385</f>
        <v>Niles City SD</v>
      </c>
      <c r="AM385" s="7" t="b">
        <f t="shared" si="67"/>
        <v>1</v>
      </c>
      <c r="AN385" s="7" t="str">
        <f t="shared" si="63"/>
        <v>Trumbull</v>
      </c>
      <c r="AO385" s="7" t="b">
        <f>C385=GenExp!C385</f>
        <v>1</v>
      </c>
    </row>
    <row r="386" spans="1:41">
      <c r="A386" s="12" t="s">
        <v>462</v>
      </c>
      <c r="B386" s="12"/>
      <c r="C386" s="12" t="s">
        <v>52</v>
      </c>
      <c r="D386" s="12"/>
      <c r="E386" s="12">
        <v>48900</v>
      </c>
      <c r="G386" s="7">
        <v>2105321</v>
      </c>
      <c r="I386" s="7">
        <v>67963</v>
      </c>
      <c r="K386" s="2">
        <f t="shared" si="71"/>
        <v>3791496</v>
      </c>
      <c r="M386" s="7">
        <v>5964780</v>
      </c>
      <c r="O386" s="2">
        <f t="shared" si="72"/>
        <v>1438552</v>
      </c>
      <c r="Q386" s="7">
        <v>3138727</v>
      </c>
      <c r="S386" s="7">
        <v>4577279</v>
      </c>
      <c r="U386" s="7">
        <v>132564</v>
      </c>
      <c r="W386" s="7">
        <v>54125</v>
      </c>
      <c r="Y386" s="7">
        <v>0</v>
      </c>
      <c r="AA386" s="7">
        <v>76525</v>
      </c>
      <c r="AC386" s="7">
        <v>1124287</v>
      </c>
      <c r="AE386" s="13">
        <f t="shared" si="64"/>
        <v>1387501</v>
      </c>
      <c r="AG386" s="7">
        <f t="shared" si="65"/>
        <v>0</v>
      </c>
      <c r="AK386" s="7" t="str">
        <f t="shared" si="66"/>
        <v>Noble Local SD</v>
      </c>
      <c r="AL386" s="7" t="str">
        <f>GenExp!A386</f>
        <v>Noble Local SD</v>
      </c>
      <c r="AM386" s="7" t="b">
        <f t="shared" si="67"/>
        <v>1</v>
      </c>
      <c r="AN386" s="7" t="str">
        <f t="shared" si="63"/>
        <v>Noble</v>
      </c>
      <c r="AO386" s="7" t="b">
        <f>C386=GenExp!C386</f>
        <v>1</v>
      </c>
    </row>
    <row r="387" spans="1:41">
      <c r="A387" s="12" t="s">
        <v>527</v>
      </c>
      <c r="B387" s="12"/>
      <c r="C387" s="12" t="s">
        <v>63</v>
      </c>
      <c r="D387" s="12"/>
      <c r="E387" s="12">
        <v>50047</v>
      </c>
      <c r="G387" s="7">
        <v>8757671</v>
      </c>
      <c r="I387" s="7">
        <v>269950</v>
      </c>
      <c r="K387" s="2">
        <f t="shared" si="71"/>
        <v>31093790</v>
      </c>
      <c r="M387" s="7">
        <v>40121411</v>
      </c>
      <c r="O387" s="2">
        <f t="shared" si="72"/>
        <v>5902149</v>
      </c>
      <c r="Q387" s="7">
        <v>26099781</v>
      </c>
      <c r="S387" s="7">
        <v>32001930</v>
      </c>
      <c r="U387" s="7">
        <v>130208</v>
      </c>
      <c r="W387" s="7">
        <v>3412453</v>
      </c>
      <c r="Y387" s="7">
        <v>0</v>
      </c>
      <c r="AA387" s="7">
        <v>1344008</v>
      </c>
      <c r="AC387" s="7">
        <v>3232812</v>
      </c>
      <c r="AE387" s="13">
        <f t="shared" si="64"/>
        <v>8119481</v>
      </c>
      <c r="AG387" s="7">
        <f t="shared" si="65"/>
        <v>0</v>
      </c>
      <c r="AK387" s="7" t="str">
        <f t="shared" si="66"/>
        <v>Nordonia Hills City SD</v>
      </c>
      <c r="AL387" s="7" t="str">
        <f>GenExp!A387</f>
        <v>Nordonia Hills City SD</v>
      </c>
      <c r="AM387" s="7" t="b">
        <f t="shared" si="67"/>
        <v>1</v>
      </c>
      <c r="AN387" s="7" t="str">
        <f t="shared" si="63"/>
        <v>Summit</v>
      </c>
      <c r="AO387" s="7" t="b">
        <f>C387=GenExp!C387</f>
        <v>1</v>
      </c>
    </row>
    <row r="388" spans="1:41">
      <c r="A388" s="12" t="s">
        <v>574</v>
      </c>
      <c r="B388" s="12"/>
      <c r="C388" s="12" t="s">
        <v>72</v>
      </c>
      <c r="D388" s="12"/>
      <c r="E388" s="12">
        <v>50708</v>
      </c>
      <c r="G388" s="7">
        <v>18455391</v>
      </c>
      <c r="I388" s="7">
        <v>0</v>
      </c>
      <c r="K388" s="2">
        <f t="shared" si="71"/>
        <v>5682054</v>
      </c>
      <c r="M388" s="7">
        <v>24137445</v>
      </c>
      <c r="O388" s="2">
        <f t="shared" si="72"/>
        <v>1594962</v>
      </c>
      <c r="Q388" s="7">
        <v>4728241</v>
      </c>
      <c r="S388" s="7">
        <v>6323203</v>
      </c>
      <c r="U388" s="7">
        <v>9009</v>
      </c>
      <c r="W388" s="7">
        <v>15625756</v>
      </c>
      <c r="Y388" s="7">
        <v>0</v>
      </c>
      <c r="AA388" s="7">
        <v>93738</v>
      </c>
      <c r="AC388" s="7">
        <v>2085739</v>
      </c>
      <c r="AE388" s="13">
        <f t="shared" si="64"/>
        <v>17814242</v>
      </c>
      <c r="AG388" s="7">
        <f t="shared" si="65"/>
        <v>0</v>
      </c>
      <c r="AK388" s="7" t="str">
        <f t="shared" si="66"/>
        <v>North Baltimore Local SD</v>
      </c>
      <c r="AL388" s="7" t="str">
        <f>GenExp!A388</f>
        <v>North Baltimore Local SD</v>
      </c>
      <c r="AM388" s="7" t="b">
        <f t="shared" si="67"/>
        <v>1</v>
      </c>
      <c r="AN388" s="7" t="str">
        <f t="shared" si="63"/>
        <v>Wood</v>
      </c>
      <c r="AO388" s="7" t="b">
        <f>C388=GenExp!C388</f>
        <v>1</v>
      </c>
    </row>
    <row r="389" spans="1:41" hidden="1">
      <c r="A389" s="12" t="s">
        <v>943</v>
      </c>
      <c r="B389" s="12"/>
      <c r="C389" s="12" t="s">
        <v>53</v>
      </c>
      <c r="D389" s="12"/>
      <c r="E389" s="12">
        <v>48967</v>
      </c>
      <c r="K389" s="2">
        <f t="shared" si="71"/>
        <v>0</v>
      </c>
      <c r="O389" s="2">
        <f t="shared" si="72"/>
        <v>0</v>
      </c>
      <c r="AE389" s="13">
        <f t="shared" si="64"/>
        <v>0</v>
      </c>
      <c r="AG389" s="7">
        <f t="shared" si="65"/>
        <v>0</v>
      </c>
      <c r="AI389" s="7" t="s">
        <v>839</v>
      </c>
      <c r="AK389" s="7" t="str">
        <f t="shared" si="66"/>
        <v>North Bass Local SD (Two year Audit - CASH)</v>
      </c>
      <c r="AL389" s="7" t="str">
        <f>GenExp!A389</f>
        <v>North Bass Local SD (Two year Audit - CASH)</v>
      </c>
      <c r="AM389" s="7" t="b">
        <f t="shared" si="67"/>
        <v>1</v>
      </c>
      <c r="AN389" s="7" t="str">
        <f t="shared" si="63"/>
        <v>Ottawa</v>
      </c>
      <c r="AO389" s="7" t="b">
        <f>C389=GenExp!C389</f>
        <v>1</v>
      </c>
    </row>
    <row r="390" spans="1:41">
      <c r="A390" s="12" t="s">
        <v>518</v>
      </c>
      <c r="B390" s="12"/>
      <c r="C390" s="12" t="s">
        <v>62</v>
      </c>
      <c r="D390" s="12"/>
      <c r="E390" s="12">
        <v>44503</v>
      </c>
      <c r="G390" s="7">
        <v>6426501</v>
      </c>
      <c r="I390" s="7">
        <v>522056</v>
      </c>
      <c r="K390" s="2">
        <f t="shared" si="71"/>
        <v>24690538</v>
      </c>
      <c r="M390" s="7">
        <v>31639095</v>
      </c>
      <c r="O390" s="2">
        <f t="shared" si="72"/>
        <v>5917769</v>
      </c>
      <c r="Q390" s="7">
        <f>20698086+421308</f>
        <v>21119394</v>
      </c>
      <c r="S390" s="7">
        <v>27037163</v>
      </c>
      <c r="U390" s="7">
        <v>127610</v>
      </c>
      <c r="W390" s="7">
        <f>2074621+101426+172458+32153+33278+15613+519514+2542</f>
        <v>2951605</v>
      </c>
      <c r="Y390" s="7">
        <f>87+147660+90705</f>
        <v>238452</v>
      </c>
      <c r="AA390" s="7">
        <f>15410+604978+280+47265+25716</f>
        <v>693649</v>
      </c>
      <c r="AC390" s="7">
        <v>590616</v>
      </c>
      <c r="AE390" s="13">
        <f t="shared" si="64"/>
        <v>4601932</v>
      </c>
      <c r="AG390" s="7">
        <f t="shared" si="65"/>
        <v>0</v>
      </c>
      <c r="AK390" s="7" t="str">
        <f t="shared" si="66"/>
        <v>North Canton City SD</v>
      </c>
      <c r="AL390" s="7" t="str">
        <f>GenExp!A390</f>
        <v>North Canton City SD</v>
      </c>
      <c r="AM390" s="7" t="b">
        <f t="shared" si="67"/>
        <v>1</v>
      </c>
      <c r="AN390" s="7" t="str">
        <f t="shared" si="63"/>
        <v>Stark</v>
      </c>
      <c r="AO390" s="7" t="b">
        <f>C390=GenExp!C390</f>
        <v>1</v>
      </c>
    </row>
    <row r="391" spans="1:41" hidden="1">
      <c r="A391" s="12" t="s">
        <v>944</v>
      </c>
      <c r="B391" s="12"/>
      <c r="C391" s="12" t="s">
        <v>570</v>
      </c>
      <c r="D391" s="12"/>
      <c r="E391" s="12">
        <v>50641</v>
      </c>
      <c r="K391" s="2">
        <f t="shared" si="71"/>
        <v>0</v>
      </c>
      <c r="O391" s="2">
        <f t="shared" si="72"/>
        <v>0</v>
      </c>
      <c r="AE391" s="13">
        <f t="shared" si="64"/>
        <v>0</v>
      </c>
      <c r="AG391" s="7">
        <f t="shared" si="65"/>
        <v>0</v>
      </c>
      <c r="AI391" s="7" t="s">
        <v>839</v>
      </c>
      <c r="AK391" s="7" t="str">
        <f t="shared" si="66"/>
        <v>North Central Local SD (CASH)</v>
      </c>
      <c r="AL391" s="7" t="str">
        <f>GenExp!A391</f>
        <v>North Central Local SD (CASH)</v>
      </c>
      <c r="AM391" s="7" t="b">
        <f t="shared" si="67"/>
        <v>1</v>
      </c>
      <c r="AN391" s="7" t="str">
        <f t="shared" si="63"/>
        <v>Williams</v>
      </c>
      <c r="AO391" s="7" t="b">
        <f>C391=GenExp!C391</f>
        <v>1</v>
      </c>
    </row>
    <row r="392" spans="1:41">
      <c r="A392" s="12" t="s">
        <v>748</v>
      </c>
      <c r="B392" s="12"/>
      <c r="C392" s="12" t="s">
        <v>32</v>
      </c>
      <c r="D392" s="12"/>
      <c r="E392" s="12">
        <v>44511</v>
      </c>
      <c r="G392" s="7">
        <v>4283172</v>
      </c>
      <c r="I392" s="7">
        <v>48428</v>
      </c>
      <c r="K392" s="2">
        <f t="shared" si="71"/>
        <v>5553294</v>
      </c>
      <c r="M392" s="7">
        <v>9884894</v>
      </c>
      <c r="O392" s="2">
        <f t="shared" si="72"/>
        <v>2490678</v>
      </c>
      <c r="Q392" s="7">
        <v>3374355</v>
      </c>
      <c r="S392" s="7">
        <v>5865033</v>
      </c>
      <c r="U392" s="7">
        <v>13863</v>
      </c>
      <c r="W392" s="7">
        <v>4866342</v>
      </c>
      <c r="Y392" s="7">
        <v>22270</v>
      </c>
      <c r="AA392" s="7">
        <v>4956</v>
      </c>
      <c r="AC392" s="7">
        <v>-887570</v>
      </c>
      <c r="AE392" s="13">
        <f t="shared" si="64"/>
        <v>4019861</v>
      </c>
      <c r="AG392" s="7">
        <f t="shared" si="65"/>
        <v>0</v>
      </c>
      <c r="AI392" s="7" t="s">
        <v>945</v>
      </c>
      <c r="AK392" s="7" t="str">
        <f t="shared" si="66"/>
        <v xml:space="preserve">North College Hill City SD </v>
      </c>
      <c r="AL392" s="7" t="str">
        <f>GenExp!A392</f>
        <v xml:space="preserve">North College Hill City SD </v>
      </c>
      <c r="AM392" s="7" t="b">
        <f t="shared" si="67"/>
        <v>1</v>
      </c>
      <c r="AN392" s="7" t="str">
        <f t="shared" si="63"/>
        <v>Hamilton</v>
      </c>
      <c r="AO392" s="7" t="b">
        <f>C392=GenExp!C392</f>
        <v>1</v>
      </c>
    </row>
    <row r="393" spans="1:41">
      <c r="A393" s="12" t="s">
        <v>389</v>
      </c>
      <c r="B393" s="12"/>
      <c r="C393" s="12" t="s">
        <v>42</v>
      </c>
      <c r="D393" s="12"/>
      <c r="E393" s="12">
        <v>48025</v>
      </c>
      <c r="G393" s="7">
        <v>3151612</v>
      </c>
      <c r="I393" s="7">
        <v>321995</v>
      </c>
      <c r="K393" s="2">
        <f t="shared" si="71"/>
        <v>6057160</v>
      </c>
      <c r="M393" s="7">
        <v>9530767</v>
      </c>
      <c r="O393" s="2">
        <f t="shared" si="72"/>
        <v>2134057</v>
      </c>
      <c r="Q393" s="7">
        <f>505339+4775988</f>
        <v>5281327</v>
      </c>
      <c r="S393" s="7">
        <v>7415384</v>
      </c>
      <c r="U393" s="7">
        <v>5249</v>
      </c>
      <c r="W393" s="7">
        <f>313323+1746760+353061+80654+15713+294237+27758</f>
        <v>2831506</v>
      </c>
      <c r="Y393" s="7">
        <v>11000</v>
      </c>
      <c r="AA393" s="7">
        <f>1309+31510+1460+4355</f>
        <v>38634</v>
      </c>
      <c r="AC393" s="7">
        <v>-771006</v>
      </c>
      <c r="AE393" s="13">
        <f t="shared" si="64"/>
        <v>2115383</v>
      </c>
      <c r="AG393" s="7">
        <f t="shared" si="65"/>
        <v>0</v>
      </c>
      <c r="AK393" s="7" t="str">
        <f t="shared" si="66"/>
        <v>North Fork Local SD</v>
      </c>
      <c r="AL393" s="7" t="str">
        <f>GenExp!A393</f>
        <v>North Fork Local SD</v>
      </c>
      <c r="AM393" s="7" t="b">
        <f t="shared" si="67"/>
        <v>1</v>
      </c>
      <c r="AN393" s="7" t="str">
        <f t="shared" si="63"/>
        <v>Licking</v>
      </c>
      <c r="AO393" s="7" t="b">
        <f>C393=GenExp!C393</f>
        <v>1</v>
      </c>
    </row>
    <row r="394" spans="1:41">
      <c r="A394" s="12" t="s">
        <v>277</v>
      </c>
      <c r="B394" s="12"/>
      <c r="C394" s="12" t="s">
        <v>20</v>
      </c>
      <c r="D394" s="12"/>
      <c r="E394" s="12">
        <v>44529</v>
      </c>
      <c r="G394" s="7">
        <v>17356453</v>
      </c>
      <c r="I394" s="7">
        <v>223073</v>
      </c>
      <c r="K394" s="2">
        <f t="shared" si="71"/>
        <v>42219545</v>
      </c>
      <c r="M394" s="7">
        <v>59799071</v>
      </c>
      <c r="O394" s="2">
        <f t="shared" si="72"/>
        <v>9967784</v>
      </c>
      <c r="Q394" s="7">
        <f>34418828+55927</f>
        <v>34474755</v>
      </c>
      <c r="S394" s="7">
        <v>44442539</v>
      </c>
      <c r="U394" s="7">
        <v>46105</v>
      </c>
      <c r="W394" s="7">
        <v>2679354</v>
      </c>
      <c r="Y394" s="7">
        <v>1923073</v>
      </c>
      <c r="AA394" s="7">
        <v>1432293</v>
      </c>
      <c r="AC394" s="7">
        <v>9275707</v>
      </c>
      <c r="AE394" s="13">
        <f t="shared" si="64"/>
        <v>15356532</v>
      </c>
      <c r="AG394" s="7">
        <f t="shared" si="65"/>
        <v>0</v>
      </c>
      <c r="AK394" s="7" t="str">
        <f t="shared" si="66"/>
        <v>North Olmsted City SD</v>
      </c>
      <c r="AL394" s="7" t="str">
        <f>GenExp!A394</f>
        <v>North Olmsted City SD</v>
      </c>
      <c r="AM394" s="7" t="b">
        <f t="shared" si="67"/>
        <v>1</v>
      </c>
      <c r="AN394" s="7" t="str">
        <f t="shared" si="63"/>
        <v>Cuyahoga</v>
      </c>
      <c r="AO394" s="7" t="b">
        <f>C394=GenExp!C394</f>
        <v>1</v>
      </c>
    </row>
    <row r="395" spans="1:41">
      <c r="A395" s="12" t="s">
        <v>400</v>
      </c>
      <c r="B395" s="12"/>
      <c r="C395" s="12" t="s">
        <v>44</v>
      </c>
      <c r="D395" s="12"/>
      <c r="E395" s="12">
        <v>44537</v>
      </c>
      <c r="G395" s="7">
        <v>2793322</v>
      </c>
      <c r="I395" s="7">
        <v>0</v>
      </c>
      <c r="K395" s="2">
        <f t="shared" si="71"/>
        <v>25131853</v>
      </c>
      <c r="M395" s="7">
        <v>27925175</v>
      </c>
      <c r="O395" s="2">
        <f t="shared" si="72"/>
        <v>6094786</v>
      </c>
      <c r="Q395" s="7">
        <v>21390838</v>
      </c>
      <c r="S395" s="7">
        <v>27485624</v>
      </c>
      <c r="U395" s="7">
        <v>0</v>
      </c>
      <c r="W395" s="7">
        <v>772193</v>
      </c>
      <c r="Y395" s="7">
        <v>0</v>
      </c>
      <c r="AA395" s="7">
        <v>382694</v>
      </c>
      <c r="AC395" s="7">
        <v>-715336</v>
      </c>
      <c r="AE395" s="13">
        <f t="shared" si="64"/>
        <v>439551</v>
      </c>
      <c r="AG395" s="7">
        <f t="shared" si="65"/>
        <v>0</v>
      </c>
      <c r="AK395" s="7" t="str">
        <f t="shared" si="66"/>
        <v>North Ridgeville City SD</v>
      </c>
      <c r="AL395" s="7" t="str">
        <f>GenExp!A395</f>
        <v>North Ridgeville City SD</v>
      </c>
      <c r="AM395" s="7" t="b">
        <f t="shared" si="67"/>
        <v>1</v>
      </c>
      <c r="AN395" s="7" t="str">
        <f t="shared" si="63"/>
        <v>Lorain</v>
      </c>
      <c r="AO395" s="7" t="b">
        <f>C395=GenExp!C395</f>
        <v>1</v>
      </c>
    </row>
    <row r="396" spans="1:41">
      <c r="A396" s="12" t="s">
        <v>278</v>
      </c>
      <c r="B396" s="12"/>
      <c r="C396" s="12" t="s">
        <v>20</v>
      </c>
      <c r="D396" s="12"/>
      <c r="E396" s="12">
        <v>44545</v>
      </c>
      <c r="G396" s="7">
        <v>18835380</v>
      </c>
      <c r="I396" s="7">
        <v>0</v>
      </c>
      <c r="K396" s="2">
        <f t="shared" si="71"/>
        <v>38183342</v>
      </c>
      <c r="M396" s="7">
        <v>57018722</v>
      </c>
      <c r="O396" s="2">
        <f t="shared" si="72"/>
        <v>7076437</v>
      </c>
      <c r="Q396" s="7">
        <v>32306225</v>
      </c>
      <c r="S396" s="7">
        <v>39382662</v>
      </c>
      <c r="U396" s="7">
        <v>110350</v>
      </c>
      <c r="W396" s="7">
        <v>7494051</v>
      </c>
      <c r="Y396" s="7">
        <v>1200</v>
      </c>
      <c r="AA396" s="7">
        <v>256044</v>
      </c>
      <c r="AC396" s="7">
        <v>9774415</v>
      </c>
      <c r="AE396" s="13">
        <f t="shared" si="64"/>
        <v>17636060</v>
      </c>
      <c r="AG396" s="7">
        <f t="shared" si="65"/>
        <v>0</v>
      </c>
      <c r="AK396" s="7" t="str">
        <f t="shared" si="66"/>
        <v>North Royalton City SD</v>
      </c>
      <c r="AL396" s="7" t="str">
        <f>GenExp!A396</f>
        <v>North Royalton City SD</v>
      </c>
      <c r="AM396" s="7" t="b">
        <f t="shared" si="67"/>
        <v>1</v>
      </c>
      <c r="AN396" s="7" t="str">
        <f t="shared" si="63"/>
        <v>Cuyahoga</v>
      </c>
      <c r="AO396" s="7" t="b">
        <f>C396=GenExp!C396</f>
        <v>1</v>
      </c>
    </row>
    <row r="397" spans="1:41">
      <c r="A397" s="12" t="s">
        <v>556</v>
      </c>
      <c r="B397" s="12"/>
      <c r="C397" s="12" t="s">
        <v>66</v>
      </c>
      <c r="D397" s="12"/>
      <c r="E397" s="12">
        <v>50336</v>
      </c>
      <c r="G397" s="7">
        <f>14760132+16484</f>
        <v>14776616</v>
      </c>
      <c r="I397" s="7">
        <v>0</v>
      </c>
      <c r="K397" s="2">
        <f t="shared" si="71"/>
        <v>5745042</v>
      </c>
      <c r="M397" s="7">
        <v>20521658</v>
      </c>
      <c r="O397" s="2">
        <f t="shared" si="72"/>
        <v>1752172</v>
      </c>
      <c r="Q397" s="7">
        <v>4655481</v>
      </c>
      <c r="S397" s="7">
        <v>6407653</v>
      </c>
      <c r="U397" s="7">
        <v>673</v>
      </c>
      <c r="W397" s="7">
        <v>3911175</v>
      </c>
      <c r="Y397" s="7">
        <v>0</v>
      </c>
      <c r="AA397" s="7">
        <v>748970</v>
      </c>
      <c r="AC397" s="7">
        <v>9453187</v>
      </c>
      <c r="AE397" s="13">
        <f t="shared" si="64"/>
        <v>14114005</v>
      </c>
      <c r="AG397" s="7">
        <f t="shared" si="65"/>
        <v>0</v>
      </c>
      <c r="AK397" s="7" t="str">
        <f t="shared" si="66"/>
        <v>North Union Local SD</v>
      </c>
      <c r="AL397" s="7" t="str">
        <f>GenExp!A397</f>
        <v>North Union Local SD</v>
      </c>
      <c r="AM397" s="7" t="b">
        <f t="shared" si="67"/>
        <v>1</v>
      </c>
      <c r="AN397" s="7" t="str">
        <f t="shared" si="63"/>
        <v>Union</v>
      </c>
      <c r="AO397" s="7" t="b">
        <f>C397=GenExp!C397</f>
        <v>1</v>
      </c>
    </row>
    <row r="398" spans="1:41">
      <c r="A398" s="12" t="s">
        <v>238</v>
      </c>
      <c r="B398" s="12"/>
      <c r="C398" s="12" t="s">
        <v>17</v>
      </c>
      <c r="D398" s="12"/>
      <c r="E398" s="12">
        <v>46250</v>
      </c>
      <c r="G398" s="7">
        <f>8012233+13582+11763</f>
        <v>8037578</v>
      </c>
      <c r="I398" s="7">
        <v>0</v>
      </c>
      <c r="K398" s="2">
        <f t="shared" si="71"/>
        <v>12101492</v>
      </c>
      <c r="M398" s="7">
        <v>20139070</v>
      </c>
      <c r="O398" s="2">
        <f t="shared" si="72"/>
        <v>4003242</v>
      </c>
      <c r="Q398" s="7">
        <v>7637488</v>
      </c>
      <c r="S398" s="7">
        <v>11640730</v>
      </c>
      <c r="U398" s="7">
        <v>86718</v>
      </c>
      <c r="W398" s="7">
        <v>1996502</v>
      </c>
      <c r="Y398" s="7">
        <v>0</v>
      </c>
      <c r="AA398" s="7">
        <v>259273</v>
      </c>
      <c r="AC398" s="7">
        <v>6155847</v>
      </c>
      <c r="AE398" s="13">
        <f t="shared" si="64"/>
        <v>8498340</v>
      </c>
      <c r="AG398" s="7">
        <f t="shared" si="65"/>
        <v>0</v>
      </c>
      <c r="AK398" s="7" t="str">
        <f t="shared" si="66"/>
        <v>Northeastern Local SD</v>
      </c>
      <c r="AL398" s="7" t="str">
        <f>GenExp!A398</f>
        <v>Northeastern Local SD</v>
      </c>
      <c r="AM398" s="7" t="b">
        <f t="shared" si="67"/>
        <v>1</v>
      </c>
      <c r="AN398" s="7" t="str">
        <f t="shared" ref="AN398:AN463" si="75">C398</f>
        <v>Clark</v>
      </c>
      <c r="AO398" s="7" t="b">
        <f>C398=GenExp!C398</f>
        <v>1</v>
      </c>
    </row>
    <row r="399" spans="1:41" hidden="1">
      <c r="A399" s="12" t="s">
        <v>946</v>
      </c>
      <c r="B399" s="12"/>
      <c r="C399" s="12" t="s">
        <v>22</v>
      </c>
      <c r="D399" s="12"/>
      <c r="E399" s="12">
        <v>46722</v>
      </c>
      <c r="K399" s="2">
        <f t="shared" si="71"/>
        <v>0</v>
      </c>
      <c r="O399" s="2">
        <f t="shared" si="72"/>
        <v>0</v>
      </c>
      <c r="AE399" s="13">
        <f t="shared" si="64"/>
        <v>0</v>
      </c>
      <c r="AG399" s="7">
        <f t="shared" si="65"/>
        <v>0</v>
      </c>
      <c r="AI399" s="7" t="s">
        <v>839</v>
      </c>
      <c r="AK399" s="7" t="str">
        <f t="shared" si="66"/>
        <v>Northeastern Local SD (CASH)</v>
      </c>
      <c r="AL399" s="7" t="str">
        <f>GenExp!A399</f>
        <v>Northeastern Local SD (CASH)</v>
      </c>
      <c r="AM399" s="7" t="b">
        <f t="shared" si="67"/>
        <v>1</v>
      </c>
      <c r="AN399" s="7" t="str">
        <f t="shared" si="75"/>
        <v>Defiance</v>
      </c>
      <c r="AO399" s="7" t="b">
        <f>C399=GenExp!C399</f>
        <v>1</v>
      </c>
    </row>
    <row r="400" spans="1:41" hidden="1">
      <c r="A400" s="12" t="s">
        <v>947</v>
      </c>
      <c r="B400" s="12"/>
      <c r="C400" s="12" t="s">
        <v>466</v>
      </c>
      <c r="D400" s="12"/>
      <c r="E400" s="12"/>
      <c r="K400" s="2">
        <f t="shared" si="71"/>
        <v>0</v>
      </c>
      <c r="O400" s="2">
        <f t="shared" si="72"/>
        <v>0</v>
      </c>
      <c r="AE400" s="13">
        <f t="shared" si="64"/>
        <v>0</v>
      </c>
      <c r="AG400" s="7">
        <f t="shared" si="65"/>
        <v>0</v>
      </c>
      <c r="AI400" s="7" t="s">
        <v>931</v>
      </c>
      <c r="AK400" s="7" t="str">
        <f t="shared" ref="AK400" si="76">A400</f>
        <v>Northern Local SD (CASH)</v>
      </c>
      <c r="AL400" s="7" t="str">
        <f>GenExp!A400</f>
        <v>Northern Local SD (CASH)</v>
      </c>
      <c r="AM400" s="7" t="b">
        <f t="shared" ref="AM400" si="77">AK400=AL400</f>
        <v>1</v>
      </c>
      <c r="AN400" s="7" t="str">
        <f t="shared" ref="AN400" si="78">C400</f>
        <v>Perry</v>
      </c>
      <c r="AO400" s="7" t="b">
        <f>C400=GenExp!C400</f>
        <v>1</v>
      </c>
    </row>
    <row r="401" spans="1:41">
      <c r="A401" s="12" t="s">
        <v>447</v>
      </c>
      <c r="B401" s="12"/>
      <c r="C401" s="12" t="s">
        <v>50</v>
      </c>
      <c r="D401" s="12"/>
      <c r="E401" s="12">
        <v>48728</v>
      </c>
      <c r="G401" s="7">
        <v>12181266</v>
      </c>
      <c r="I401" s="7">
        <v>0</v>
      </c>
      <c r="K401" s="2">
        <f t="shared" si="71"/>
        <v>25766094</v>
      </c>
      <c r="M401" s="7">
        <v>37947360</v>
      </c>
      <c r="O401" s="2">
        <f t="shared" si="72"/>
        <v>7593307</v>
      </c>
      <c r="Q401" s="7">
        <v>23621726</v>
      </c>
      <c r="S401" s="7">
        <v>31215033</v>
      </c>
      <c r="U401" s="7">
        <v>0</v>
      </c>
      <c r="W401" s="7">
        <v>1927488</v>
      </c>
      <c r="Y401" s="7">
        <v>0</v>
      </c>
      <c r="AA401" s="7">
        <v>0</v>
      </c>
      <c r="AC401" s="7">
        <v>4804839</v>
      </c>
      <c r="AE401" s="13">
        <f t="shared" si="64"/>
        <v>6732327</v>
      </c>
      <c r="AG401" s="7">
        <f t="shared" si="65"/>
        <v>0</v>
      </c>
      <c r="AK401" s="7" t="str">
        <f t="shared" si="66"/>
        <v>Northmont City SD</v>
      </c>
      <c r="AL401" s="7" t="str">
        <f>GenExp!A401</f>
        <v>Northmont City SD</v>
      </c>
      <c r="AM401" s="7" t="b">
        <f t="shared" si="67"/>
        <v>1</v>
      </c>
      <c r="AN401" s="7" t="str">
        <f t="shared" si="75"/>
        <v>Montgomery</v>
      </c>
      <c r="AO401" s="7" t="b">
        <f>C401=GenExp!C401</f>
        <v>1</v>
      </c>
    </row>
    <row r="402" spans="1:41">
      <c r="A402" s="12" t="s">
        <v>455</v>
      </c>
      <c r="B402" s="12"/>
      <c r="C402" s="12" t="s">
        <v>78</v>
      </c>
      <c r="D402" s="12"/>
      <c r="E402" s="12">
        <v>48819</v>
      </c>
      <c r="G402" s="7">
        <f>1928118+140270+7377770</f>
        <v>9446158</v>
      </c>
      <c r="I402" s="7">
        <v>75567</v>
      </c>
      <c r="K402" s="2">
        <f t="shared" si="71"/>
        <v>5830364</v>
      </c>
      <c r="M402" s="7">
        <v>15352089</v>
      </c>
      <c r="O402" s="2">
        <f t="shared" si="72"/>
        <v>2124585</v>
      </c>
      <c r="Q402" s="7">
        <f>2969309+1021673</f>
        <v>3990982</v>
      </c>
      <c r="S402" s="7">
        <v>6115567</v>
      </c>
      <c r="U402" s="7">
        <f>16195+52017</f>
        <v>68212</v>
      </c>
      <c r="W402" s="7">
        <f>330494+8387197+166541+27392+16256+226+240370+284337+40268+24989</f>
        <v>9518070</v>
      </c>
      <c r="Y402" s="7">
        <v>43112</v>
      </c>
      <c r="AA402" s="7">
        <f>4699+3875+26364</f>
        <v>34938</v>
      </c>
      <c r="AC402" s="7">
        <v>-427810</v>
      </c>
      <c r="AE402" s="13">
        <f t="shared" ref="AE402:AE468" si="79">U402+W402+Y402+AA402+AC402</f>
        <v>9236522</v>
      </c>
      <c r="AG402" s="7">
        <f t="shared" ref="AG402:AG468" si="80">+G402+I402+K402-O402-Q402-Y402-W402-U402-AA402-AC402</f>
        <v>0</v>
      </c>
      <c r="AK402" s="7" t="str">
        <f t="shared" ref="AK402:AK468" si="81">A402</f>
        <v>Northmor Local SD</v>
      </c>
      <c r="AL402" s="7" t="str">
        <f>GenExp!A402</f>
        <v>Northmor Local SD</v>
      </c>
      <c r="AM402" s="7" t="b">
        <f t="shared" ref="AM402:AM468" si="82">AK402=AL402</f>
        <v>1</v>
      </c>
      <c r="AN402" s="7" t="str">
        <f t="shared" si="75"/>
        <v>Morrow</v>
      </c>
      <c r="AO402" s="7" t="b">
        <f>C402=GenExp!C402</f>
        <v>1</v>
      </c>
    </row>
    <row r="403" spans="1:41">
      <c r="A403" s="12" t="s">
        <v>390</v>
      </c>
      <c r="B403" s="12"/>
      <c r="C403" s="12" t="s">
        <v>42</v>
      </c>
      <c r="D403" s="12"/>
      <c r="E403" s="12">
        <v>48033</v>
      </c>
      <c r="G403" s="7">
        <f>6204100+2425</f>
        <v>6206525</v>
      </c>
      <c r="I403" s="7">
        <v>0</v>
      </c>
      <c r="K403" s="2">
        <f t="shared" si="71"/>
        <v>7728334</v>
      </c>
      <c r="M403" s="7">
        <v>13934859</v>
      </c>
      <c r="O403" s="2">
        <f t="shared" si="72"/>
        <v>1347878</v>
      </c>
      <c r="Q403" s="7">
        <v>6780656</v>
      </c>
      <c r="S403" s="7">
        <v>8128534</v>
      </c>
      <c r="U403" s="7">
        <v>32326</v>
      </c>
      <c r="W403" s="7">
        <v>1002521</v>
      </c>
      <c r="Y403" s="7">
        <v>2885</v>
      </c>
      <c r="AA403" s="7">
        <v>339837</v>
      </c>
      <c r="AC403" s="7">
        <v>4428756</v>
      </c>
      <c r="AE403" s="13">
        <f t="shared" si="79"/>
        <v>5806325</v>
      </c>
      <c r="AG403" s="7">
        <f t="shared" si="80"/>
        <v>0</v>
      </c>
      <c r="AI403" s="7" t="s">
        <v>948</v>
      </c>
      <c r="AK403" s="7" t="str">
        <f t="shared" si="81"/>
        <v>Northridge Local SD</v>
      </c>
      <c r="AL403" s="7" t="str">
        <f>GenExp!A403</f>
        <v>Northridge Local SD</v>
      </c>
      <c r="AM403" s="7" t="b">
        <f t="shared" si="82"/>
        <v>1</v>
      </c>
      <c r="AN403" s="7" t="str">
        <f t="shared" si="75"/>
        <v>Licking</v>
      </c>
      <c r="AO403" s="7" t="b">
        <f>C403=GenExp!C403</f>
        <v>1</v>
      </c>
    </row>
    <row r="404" spans="1:41">
      <c r="A404" s="12" t="s">
        <v>390</v>
      </c>
      <c r="B404" s="12"/>
      <c r="C404" s="12" t="s">
        <v>50</v>
      </c>
      <c r="D404" s="12"/>
      <c r="E404" s="12">
        <v>48736</v>
      </c>
      <c r="G404" s="7">
        <f>6971905+2000+54472</f>
        <v>7028377</v>
      </c>
      <c r="I404" s="7">
        <f>1866689+52637</f>
        <v>1919326</v>
      </c>
      <c r="K404" s="2">
        <f t="shared" si="71"/>
        <v>8685855</v>
      </c>
      <c r="M404" s="7">
        <v>17633558</v>
      </c>
      <c r="O404" s="2">
        <f t="shared" si="72"/>
        <v>2131228</v>
      </c>
      <c r="Q404" s="7">
        <v>7842121</v>
      </c>
      <c r="S404" s="7">
        <v>9973349</v>
      </c>
      <c r="U404" s="7">
        <v>13847</v>
      </c>
      <c r="W404" s="7">
        <v>2786064</v>
      </c>
      <c r="Y404" s="7">
        <v>0</v>
      </c>
      <c r="AA404" s="7">
        <v>394999</v>
      </c>
      <c r="AC404" s="7">
        <v>4465299</v>
      </c>
      <c r="AE404" s="13">
        <f t="shared" si="79"/>
        <v>7660209</v>
      </c>
      <c r="AG404" s="7">
        <f t="shared" si="80"/>
        <v>0</v>
      </c>
      <c r="AK404" s="7" t="str">
        <f t="shared" si="81"/>
        <v>Northridge Local SD</v>
      </c>
      <c r="AL404" s="7" t="str">
        <f>GenExp!A404</f>
        <v>Northridge Local SD</v>
      </c>
      <c r="AM404" s="7" t="b">
        <f t="shared" si="82"/>
        <v>1</v>
      </c>
      <c r="AN404" s="7" t="str">
        <f t="shared" si="75"/>
        <v>Montgomery</v>
      </c>
      <c r="AO404" s="7" t="b">
        <f>C404=GenExp!C404</f>
        <v>1</v>
      </c>
    </row>
    <row r="405" spans="1:41">
      <c r="A405" s="12" t="s">
        <v>335</v>
      </c>
      <c r="B405" s="12"/>
      <c r="C405" s="12" t="s">
        <v>32</v>
      </c>
      <c r="D405" s="12"/>
      <c r="E405" s="12">
        <v>47365</v>
      </c>
      <c r="G405" s="7">
        <v>23220399</v>
      </c>
      <c r="I405" s="7">
        <v>0</v>
      </c>
      <c r="K405" s="2">
        <f t="shared" si="71"/>
        <v>53079494</v>
      </c>
      <c r="M405" s="7">
        <v>76299893</v>
      </c>
      <c r="O405" s="2">
        <f t="shared" si="72"/>
        <v>12306549</v>
      </c>
      <c r="Q405" s="7">
        <v>30965718</v>
      </c>
      <c r="S405" s="7">
        <v>43272267</v>
      </c>
      <c r="U405" s="7">
        <v>79000</v>
      </c>
      <c r="W405" s="7">
        <v>7492992</v>
      </c>
      <c r="Y405" s="7">
        <v>71046</v>
      </c>
      <c r="AA405" s="7">
        <v>737234</v>
      </c>
      <c r="AC405" s="7">
        <v>24647354</v>
      </c>
      <c r="AE405" s="13">
        <f t="shared" si="79"/>
        <v>33027626</v>
      </c>
      <c r="AG405" s="7">
        <f t="shared" si="80"/>
        <v>0</v>
      </c>
      <c r="AK405" s="7" t="str">
        <f t="shared" si="81"/>
        <v>Northwest Local SD</v>
      </c>
      <c r="AL405" s="7" t="str">
        <f>GenExp!A405</f>
        <v>Northwest Local SD</v>
      </c>
      <c r="AM405" s="7" t="b">
        <f t="shared" si="82"/>
        <v>1</v>
      </c>
      <c r="AN405" s="7" t="str">
        <f t="shared" si="75"/>
        <v>Hamilton</v>
      </c>
      <c r="AO405" s="7" t="b">
        <f>C405=GenExp!C405</f>
        <v>1</v>
      </c>
    </row>
    <row r="406" spans="1:41">
      <c r="A406" s="12" t="s">
        <v>621</v>
      </c>
      <c r="B406" s="12"/>
      <c r="C406" s="12" t="s">
        <v>59</v>
      </c>
      <c r="D406" s="12"/>
      <c r="E406" s="12">
        <v>49635</v>
      </c>
      <c r="G406" s="7">
        <v>2678224</v>
      </c>
      <c r="I406" s="7">
        <v>87229</v>
      </c>
      <c r="K406" s="2">
        <f t="shared" si="71"/>
        <v>2621464</v>
      </c>
      <c r="M406" s="7">
        <v>5386917</v>
      </c>
      <c r="O406" s="2">
        <f t="shared" si="72"/>
        <v>2401732</v>
      </c>
      <c r="Q406" s="7">
        <v>2330900</v>
      </c>
      <c r="S406" s="7">
        <v>4732632</v>
      </c>
      <c r="U406" s="7">
        <v>0</v>
      </c>
      <c r="W406" s="7">
        <f>226543+1271+1023173+21876</f>
        <v>1272863</v>
      </c>
      <c r="Y406" s="7">
        <f>10636+80244</f>
        <v>90880</v>
      </c>
      <c r="AA406" s="7">
        <v>0</v>
      </c>
      <c r="AC406" s="7">
        <v>-709458</v>
      </c>
      <c r="AE406" s="13">
        <f t="shared" si="79"/>
        <v>654285</v>
      </c>
      <c r="AG406" s="7">
        <f t="shared" si="80"/>
        <v>0</v>
      </c>
      <c r="AK406" s="7" t="str">
        <f t="shared" si="81"/>
        <v xml:space="preserve">Northwest Local SD    </v>
      </c>
      <c r="AL406" s="7" t="str">
        <f>GenExp!A406</f>
        <v xml:space="preserve">Northwest Local SD    </v>
      </c>
      <c r="AM406" s="7" t="b">
        <f t="shared" si="82"/>
        <v>1</v>
      </c>
      <c r="AN406" s="7" t="str">
        <f t="shared" si="75"/>
        <v>Scioto</v>
      </c>
      <c r="AO406" s="7" t="b">
        <f>C406=GenExp!C406</f>
        <v>1</v>
      </c>
    </row>
    <row r="407" spans="1:41">
      <c r="A407" s="12" t="s">
        <v>335</v>
      </c>
      <c r="B407" s="12"/>
      <c r="C407" s="12" t="s">
        <v>62</v>
      </c>
      <c r="D407" s="12"/>
      <c r="E407" s="12">
        <v>49908</v>
      </c>
      <c r="G407" s="7">
        <f>19369936+152</f>
        <v>19370088</v>
      </c>
      <c r="I407" s="7">
        <v>0</v>
      </c>
      <c r="K407" s="2">
        <f t="shared" si="71"/>
        <v>20585217</v>
      </c>
      <c r="M407" s="7">
        <v>39955305</v>
      </c>
      <c r="O407" s="2">
        <f t="shared" si="72"/>
        <v>5440315</v>
      </c>
      <c r="Q407" s="7">
        <f>12089813+6607718</f>
        <v>18697531</v>
      </c>
      <c r="S407" s="7">
        <v>24137846</v>
      </c>
      <c r="U407" s="7">
        <f>72215+12594</f>
        <v>84809</v>
      </c>
      <c r="W407" s="7">
        <f>1198232+15061446+211532+10745+25195+27774+188440</f>
        <v>16723364</v>
      </c>
      <c r="Y407" s="7">
        <v>496899</v>
      </c>
      <c r="AA407" s="7">
        <f>41158+129176+162</f>
        <v>170496</v>
      </c>
      <c r="AC407" s="7">
        <v>-1658109</v>
      </c>
      <c r="AE407" s="13">
        <f t="shared" si="79"/>
        <v>15817459</v>
      </c>
      <c r="AG407" s="7">
        <f t="shared" si="80"/>
        <v>0</v>
      </c>
      <c r="AK407" s="7" t="str">
        <f t="shared" si="81"/>
        <v>Northwest Local SD</v>
      </c>
      <c r="AL407" s="7" t="str">
        <f>GenExp!A407</f>
        <v>Northwest Local SD</v>
      </c>
      <c r="AM407" s="7" t="b">
        <f t="shared" si="82"/>
        <v>1</v>
      </c>
      <c r="AN407" s="7" t="str">
        <f t="shared" si="75"/>
        <v>Stark</v>
      </c>
      <c r="AO407" s="7" t="b">
        <f>C407=GenExp!C407</f>
        <v>1</v>
      </c>
    </row>
    <row r="408" spans="1:41">
      <c r="A408" s="12" t="s">
        <v>239</v>
      </c>
      <c r="B408" s="12"/>
      <c r="C408" s="12" t="s">
        <v>17</v>
      </c>
      <c r="D408" s="12"/>
      <c r="E408" s="12">
        <v>46268</v>
      </c>
      <c r="G408" s="7">
        <v>6732163</v>
      </c>
      <c r="I408" s="7">
        <v>30051582</v>
      </c>
      <c r="K408" s="2">
        <f t="shared" si="71"/>
        <v>7544225</v>
      </c>
      <c r="M408" s="7">
        <v>44327970</v>
      </c>
      <c r="O408" s="2">
        <f t="shared" si="72"/>
        <v>2013005</v>
      </c>
      <c r="Q408" s="7">
        <v>6246259</v>
      </c>
      <c r="S408" s="7">
        <v>8259264</v>
      </c>
      <c r="U408" s="7">
        <v>42119</v>
      </c>
      <c r="W408" s="7">
        <v>32776922</v>
      </c>
      <c r="Y408" s="7">
        <v>0</v>
      </c>
      <c r="AA408" s="7">
        <v>194988</v>
      </c>
      <c r="AC408" s="7">
        <v>3054677</v>
      </c>
      <c r="AE408" s="13">
        <f t="shared" si="79"/>
        <v>36068706</v>
      </c>
      <c r="AG408" s="7">
        <f t="shared" si="80"/>
        <v>0</v>
      </c>
      <c r="AK408" s="7" t="str">
        <f t="shared" si="81"/>
        <v>Northwestern Local SD</v>
      </c>
      <c r="AL408" s="7" t="str">
        <f>GenExp!A408</f>
        <v>Northwestern Local SD</v>
      </c>
      <c r="AM408" s="7" t="b">
        <f t="shared" si="82"/>
        <v>1</v>
      </c>
      <c r="AN408" s="7" t="str">
        <f t="shared" si="75"/>
        <v>Clark</v>
      </c>
      <c r="AO408" s="7" t="b">
        <f>C408=GenExp!C408</f>
        <v>1</v>
      </c>
    </row>
    <row r="409" spans="1:41" hidden="1">
      <c r="A409" s="12" t="s">
        <v>801</v>
      </c>
      <c r="B409" s="12"/>
      <c r="C409" s="12" t="s">
        <v>71</v>
      </c>
      <c r="D409" s="12"/>
      <c r="E409" s="12"/>
      <c r="K409" s="2"/>
      <c r="O409" s="2"/>
      <c r="AE409" s="13"/>
      <c r="AI409" s="7" t="s">
        <v>938</v>
      </c>
      <c r="AK409" s="7" t="str">
        <f t="shared" ref="AK409" si="83">A409</f>
        <v>Northwestern Local SD (CASH)</v>
      </c>
      <c r="AL409" s="7" t="str">
        <f>GenExp!A409</f>
        <v>Northwestern Local SD (CASH)</v>
      </c>
      <c r="AM409" s="7" t="b">
        <f t="shared" ref="AM409" si="84">AK409=AL409</f>
        <v>1</v>
      </c>
      <c r="AN409" s="7" t="str">
        <f t="shared" si="75"/>
        <v>Wayne</v>
      </c>
      <c r="AO409" s="7" t="b">
        <f>C409=GenExp!C409</f>
        <v>1</v>
      </c>
    </row>
    <row r="410" spans="1:41">
      <c r="A410" s="12" t="s">
        <v>575</v>
      </c>
      <c r="B410" s="12"/>
      <c r="C410" s="12" t="s">
        <v>72</v>
      </c>
      <c r="D410" s="12"/>
      <c r="E410" s="12">
        <v>50716</v>
      </c>
      <c r="G410" s="7">
        <v>3922436</v>
      </c>
      <c r="I410" s="7">
        <v>1291</v>
      </c>
      <c r="K410" s="2">
        <f t="shared" si="71"/>
        <v>6576064</v>
      </c>
      <c r="M410" s="7">
        <v>10499791</v>
      </c>
      <c r="O410" s="2">
        <f t="shared" si="72"/>
        <v>1077868</v>
      </c>
      <c r="Q410" s="7">
        <v>5039316</v>
      </c>
      <c r="S410" s="7">
        <v>6117184</v>
      </c>
      <c r="U410" s="7">
        <v>2648</v>
      </c>
      <c r="W410" s="7">
        <v>962349</v>
      </c>
      <c r="Y410" s="7">
        <v>350000</v>
      </c>
      <c r="AA410" s="7">
        <v>177267</v>
      </c>
      <c r="AC410" s="7">
        <v>2890343</v>
      </c>
      <c r="AE410" s="13">
        <f t="shared" si="79"/>
        <v>4382607</v>
      </c>
      <c r="AG410" s="7">
        <f t="shared" si="80"/>
        <v>0</v>
      </c>
      <c r="AK410" s="7" t="str">
        <f t="shared" si="81"/>
        <v>Northwood Local SD</v>
      </c>
      <c r="AL410" s="7" t="str">
        <f>GenExp!A410</f>
        <v>Northwood Local SD</v>
      </c>
      <c r="AM410" s="7" t="b">
        <f t="shared" si="82"/>
        <v>1</v>
      </c>
      <c r="AN410" s="7" t="str">
        <f t="shared" si="75"/>
        <v>Wood</v>
      </c>
      <c r="AO410" s="7" t="b">
        <f>C410=GenExp!C410</f>
        <v>1</v>
      </c>
    </row>
    <row r="411" spans="1:41">
      <c r="A411" s="12" t="s">
        <v>528</v>
      </c>
      <c r="B411" s="12"/>
      <c r="C411" s="12" t="s">
        <v>63</v>
      </c>
      <c r="D411" s="12"/>
      <c r="E411" s="12">
        <v>44552</v>
      </c>
      <c r="G411" s="7">
        <v>7610702</v>
      </c>
      <c r="I411" s="7">
        <v>15427</v>
      </c>
      <c r="K411" s="2">
        <f t="shared" si="71"/>
        <v>9348026</v>
      </c>
      <c r="M411" s="7">
        <v>16974155</v>
      </c>
      <c r="O411" s="2">
        <f t="shared" si="72"/>
        <v>2414952</v>
      </c>
      <c r="Q411" s="7">
        <v>7963244</v>
      </c>
      <c r="S411" s="7">
        <v>10378196</v>
      </c>
      <c r="U411" s="7">
        <v>58417</v>
      </c>
      <c r="W411" s="7">
        <v>3193471</v>
      </c>
      <c r="Y411" s="7">
        <v>11000</v>
      </c>
      <c r="AA411" s="7">
        <v>3447747</v>
      </c>
      <c r="AC411" s="7">
        <v>-114676</v>
      </c>
      <c r="AE411" s="13">
        <f t="shared" si="79"/>
        <v>6595959</v>
      </c>
      <c r="AG411" s="7">
        <f t="shared" si="80"/>
        <v>0</v>
      </c>
      <c r="AI411" s="7" t="s">
        <v>949</v>
      </c>
      <c r="AK411" s="7" t="str">
        <f t="shared" si="81"/>
        <v>Norton City SD</v>
      </c>
      <c r="AL411" s="7" t="str">
        <f>GenExp!A411</f>
        <v>Norton City SD</v>
      </c>
      <c r="AM411" s="7" t="b">
        <f t="shared" si="82"/>
        <v>1</v>
      </c>
      <c r="AN411" s="7" t="str">
        <f t="shared" si="75"/>
        <v>Summit</v>
      </c>
      <c r="AO411" s="7" t="b">
        <f>C411=GenExp!C411</f>
        <v>1</v>
      </c>
    </row>
    <row r="412" spans="1:41">
      <c r="A412" s="12" t="s">
        <v>368</v>
      </c>
      <c r="B412" s="12"/>
      <c r="C412" s="12" t="s">
        <v>37</v>
      </c>
      <c r="D412" s="12"/>
      <c r="E412" s="12">
        <v>44560</v>
      </c>
      <c r="G412" s="7">
        <v>10959029</v>
      </c>
      <c r="I412" s="7">
        <v>2285419</v>
      </c>
      <c r="K412" s="2">
        <f t="shared" si="71"/>
        <v>9706238</v>
      </c>
      <c r="M412" s="7">
        <v>22950686</v>
      </c>
      <c r="O412" s="2">
        <f t="shared" si="72"/>
        <v>3481650</v>
      </c>
      <c r="Q412" s="7">
        <v>7596098</v>
      </c>
      <c r="S412" s="7">
        <v>11077748</v>
      </c>
      <c r="U412" s="7">
        <v>0</v>
      </c>
      <c r="W412" s="7">
        <v>5329026</v>
      </c>
      <c r="Y412" s="7">
        <v>0</v>
      </c>
      <c r="AA412" s="7">
        <v>230015</v>
      </c>
      <c r="AC412" s="7">
        <v>6313897</v>
      </c>
      <c r="AE412" s="13">
        <f t="shared" si="79"/>
        <v>11872938</v>
      </c>
      <c r="AG412" s="7">
        <f t="shared" si="80"/>
        <v>0</v>
      </c>
      <c r="AK412" s="7" t="str">
        <f t="shared" si="81"/>
        <v>Norwalk City SD</v>
      </c>
      <c r="AL412" s="7" t="str">
        <f>GenExp!A412</f>
        <v>Norwalk City SD</v>
      </c>
      <c r="AM412" s="7" t="b">
        <f t="shared" si="82"/>
        <v>1</v>
      </c>
      <c r="AN412" s="7" t="str">
        <f t="shared" si="75"/>
        <v>Huron</v>
      </c>
      <c r="AO412" s="7" t="b">
        <f>C412=GenExp!C412</f>
        <v>1</v>
      </c>
    </row>
    <row r="413" spans="1:41" hidden="1">
      <c r="A413" s="12" t="s">
        <v>950</v>
      </c>
      <c r="B413" s="12"/>
      <c r="C413" s="12" t="s">
        <v>71</v>
      </c>
      <c r="D413" s="12"/>
      <c r="E413" s="12"/>
      <c r="K413" s="2">
        <f t="shared" ref="K413" si="85">M413-G413-I413</f>
        <v>0</v>
      </c>
      <c r="O413" s="2">
        <f t="shared" ref="O413" si="86">S413-Q413</f>
        <v>0</v>
      </c>
      <c r="AE413" s="13">
        <f t="shared" ref="AE413" si="87">U413+W413+Y413+AA413+AC413</f>
        <v>0</v>
      </c>
      <c r="AG413" s="7">
        <f t="shared" ref="AG413" si="88">+G413+I413+K413-O413-Q413-Y413-W413-U413-AA413-AC413</f>
        <v>0</v>
      </c>
      <c r="AI413" s="7" t="s">
        <v>931</v>
      </c>
      <c r="AK413" s="7" t="str">
        <f t="shared" ref="AK413" si="89">A413</f>
        <v>Norwayne Local SD (CASH)</v>
      </c>
      <c r="AL413" s="7" t="str">
        <f>GenExp!A413</f>
        <v>Norwayne Local SD (CASH)</v>
      </c>
      <c r="AM413" s="7" t="b">
        <f t="shared" ref="AM413" si="90">AK413=AL413</f>
        <v>1</v>
      </c>
      <c r="AN413" s="7" t="str">
        <f t="shared" ref="AN413" si="91">C413</f>
        <v>Wayne</v>
      </c>
      <c r="AO413" s="7" t="b">
        <f>C413=GenExp!C413</f>
        <v>1</v>
      </c>
    </row>
    <row r="414" spans="1:41">
      <c r="A414" s="12" t="s">
        <v>658</v>
      </c>
      <c r="B414" s="12"/>
      <c r="C414" s="12" t="s">
        <v>32</v>
      </c>
      <c r="D414" s="12"/>
      <c r="E414" s="12">
        <v>44578</v>
      </c>
      <c r="G414" s="7">
        <v>3793166</v>
      </c>
      <c r="I414" s="7">
        <v>40592</v>
      </c>
      <c r="K414" s="2">
        <f t="shared" si="71"/>
        <v>15603675</v>
      </c>
      <c r="M414" s="7">
        <v>19437433</v>
      </c>
      <c r="O414" s="2">
        <f t="shared" si="72"/>
        <v>3867315</v>
      </c>
      <c r="Q414" s="7">
        <v>9175372</v>
      </c>
      <c r="S414" s="7">
        <v>13042687</v>
      </c>
      <c r="U414" s="7">
        <v>32313</v>
      </c>
      <c r="W414" s="7">
        <v>150531</v>
      </c>
      <c r="Y414" s="7">
        <v>0</v>
      </c>
      <c r="AA414" s="7">
        <v>3661954</v>
      </c>
      <c r="AC414" s="7">
        <v>2549948</v>
      </c>
      <c r="AE414" s="13">
        <f t="shared" si="79"/>
        <v>6394746</v>
      </c>
      <c r="AG414" s="7">
        <f t="shared" si="80"/>
        <v>0</v>
      </c>
      <c r="AK414" s="7" t="str">
        <f t="shared" si="81"/>
        <v>Norwood City SD</v>
      </c>
      <c r="AL414" s="7" t="str">
        <f>GenExp!A414</f>
        <v>Norwood City SD</v>
      </c>
      <c r="AM414" s="7" t="b">
        <f t="shared" si="82"/>
        <v>1</v>
      </c>
      <c r="AN414" s="7" t="str">
        <f t="shared" si="75"/>
        <v>Hamilton</v>
      </c>
      <c r="AO414" s="7" t="b">
        <f>C414=GenExp!C414</f>
        <v>1</v>
      </c>
    </row>
    <row r="415" spans="1:41" hidden="1">
      <c r="A415" s="12" t="s">
        <v>799</v>
      </c>
      <c r="B415" s="12"/>
      <c r="C415" s="12" t="s">
        <v>38</v>
      </c>
      <c r="D415" s="12"/>
      <c r="E415" s="12"/>
      <c r="K415" s="2"/>
      <c r="O415" s="2"/>
      <c r="AE415" s="13"/>
      <c r="AI415" s="7" t="s">
        <v>938</v>
      </c>
      <c r="AK415" s="7" t="str">
        <f t="shared" ref="AK415" si="92">A415</f>
        <v>Oak Hill Union Local SD (CASH)</v>
      </c>
      <c r="AL415" s="7" t="str">
        <f>GenExp!A415</f>
        <v>Oak Hill Union Local SD (CASH)</v>
      </c>
      <c r="AM415" s="7" t="b">
        <f t="shared" ref="AM415" si="93">AK415=AL415</f>
        <v>1</v>
      </c>
      <c r="AN415" s="7" t="str">
        <f t="shared" si="75"/>
        <v>Jackson</v>
      </c>
      <c r="AO415" s="7" t="b">
        <f>C415=GenExp!C415</f>
        <v>1</v>
      </c>
    </row>
    <row r="416" spans="1:41">
      <c r="A416" s="12" t="s">
        <v>336</v>
      </c>
      <c r="B416" s="12"/>
      <c r="C416" s="12" t="s">
        <v>32</v>
      </c>
      <c r="D416" s="12"/>
      <c r="E416" s="12">
        <v>47373</v>
      </c>
      <c r="G416" s="7">
        <v>25721232</v>
      </c>
      <c r="I416" s="7">
        <v>380716</v>
      </c>
      <c r="K416" s="2">
        <f t="shared" si="71"/>
        <v>39220457</v>
      </c>
      <c r="M416" s="7">
        <v>65322405</v>
      </c>
      <c r="O416" s="2">
        <f t="shared" si="72"/>
        <v>9264164</v>
      </c>
      <c r="Q416" s="7">
        <v>27182281</v>
      </c>
      <c r="S416" s="7">
        <v>36446445</v>
      </c>
      <c r="U416" s="7">
        <v>0</v>
      </c>
      <c r="W416" s="7">
        <v>3835321</v>
      </c>
      <c r="Y416" s="7">
        <v>4598621</v>
      </c>
      <c r="AA416" s="7">
        <v>99794</v>
      </c>
      <c r="AC416" s="7">
        <v>20342224</v>
      </c>
      <c r="AE416" s="13">
        <f t="shared" si="79"/>
        <v>28875960</v>
      </c>
      <c r="AG416" s="7">
        <f t="shared" si="80"/>
        <v>0</v>
      </c>
      <c r="AK416" s="7" t="str">
        <f t="shared" si="81"/>
        <v>Oak Hills Local SD</v>
      </c>
      <c r="AL416" s="7" t="str">
        <f>GenExp!A416</f>
        <v>Oak Hills Local SD</v>
      </c>
      <c r="AM416" s="7" t="b">
        <f t="shared" si="82"/>
        <v>1</v>
      </c>
      <c r="AN416" s="7" t="str">
        <f t="shared" si="75"/>
        <v>Hamilton</v>
      </c>
      <c r="AO416" s="7" t="b">
        <f>C416=GenExp!C416</f>
        <v>1</v>
      </c>
    </row>
    <row r="417" spans="1:41">
      <c r="A417" s="12" t="s">
        <v>448</v>
      </c>
      <c r="B417" s="12"/>
      <c r="C417" s="12" t="s">
        <v>50</v>
      </c>
      <c r="D417" s="12"/>
      <c r="E417" s="12">
        <v>44586</v>
      </c>
      <c r="G417" s="7">
        <f>3083815+2468</f>
        <v>3086283</v>
      </c>
      <c r="I417" s="7">
        <v>0</v>
      </c>
      <c r="K417" s="2">
        <f t="shared" si="71"/>
        <v>16792139</v>
      </c>
      <c r="M417" s="7">
        <v>19878422</v>
      </c>
      <c r="O417" s="2">
        <f t="shared" si="72"/>
        <v>3744942</v>
      </c>
      <c r="Q417" s="7">
        <v>14887605</v>
      </c>
      <c r="S417" s="7">
        <v>18632547</v>
      </c>
      <c r="U417" s="7">
        <v>26140</v>
      </c>
      <c r="W417" s="7">
        <v>384011</v>
      </c>
      <c r="Y417" s="7">
        <v>177651</v>
      </c>
      <c r="AA417" s="7">
        <v>1199080</v>
      </c>
      <c r="AC417" s="7">
        <v>-541007</v>
      </c>
      <c r="AE417" s="13">
        <f t="shared" si="79"/>
        <v>1245875</v>
      </c>
      <c r="AG417" s="7">
        <f t="shared" si="80"/>
        <v>0</v>
      </c>
      <c r="AK417" s="7" t="str">
        <f t="shared" si="81"/>
        <v>Oakwood City SD</v>
      </c>
      <c r="AL417" s="7" t="str">
        <f>GenExp!A417</f>
        <v>Oakwood City SD</v>
      </c>
      <c r="AM417" s="7" t="b">
        <f t="shared" si="82"/>
        <v>1</v>
      </c>
      <c r="AN417" s="7" t="str">
        <f t="shared" si="75"/>
        <v>Montgomery</v>
      </c>
      <c r="AO417" s="7" t="b">
        <f>C417=GenExp!C417</f>
        <v>1</v>
      </c>
    </row>
    <row r="418" spans="1:41">
      <c r="A418" s="12" t="s">
        <v>401</v>
      </c>
      <c r="B418" s="12"/>
      <c r="C418" s="12" t="s">
        <v>44</v>
      </c>
      <c r="D418" s="12"/>
      <c r="E418" s="12">
        <v>44594</v>
      </c>
      <c r="G418" s="7">
        <v>473786</v>
      </c>
      <c r="I418" s="7">
        <v>0</v>
      </c>
      <c r="K418" s="2">
        <f t="shared" si="71"/>
        <v>5766316</v>
      </c>
      <c r="M418" s="7">
        <v>6240102</v>
      </c>
      <c r="O418" s="2">
        <f t="shared" si="72"/>
        <v>1773149</v>
      </c>
      <c r="Q418" s="7">
        <v>3784560</v>
      </c>
      <c r="S418" s="7">
        <v>5557709</v>
      </c>
      <c r="U418" s="7">
        <v>5873</v>
      </c>
      <c r="W418" s="7">
        <v>387091</v>
      </c>
      <c r="Y418" s="7">
        <v>0</v>
      </c>
      <c r="AA418" s="7">
        <v>79278</v>
      </c>
      <c r="AC418" s="7">
        <v>210151</v>
      </c>
      <c r="AE418" s="13">
        <f t="shared" si="79"/>
        <v>682393</v>
      </c>
      <c r="AG418" s="7">
        <f t="shared" si="80"/>
        <v>0</v>
      </c>
      <c r="AK418" s="7" t="str">
        <f t="shared" si="81"/>
        <v>Oberlin City SD</v>
      </c>
      <c r="AL418" s="7" t="str">
        <f>GenExp!A418</f>
        <v>Oberlin City SD</v>
      </c>
      <c r="AM418" s="7" t="b">
        <f t="shared" si="82"/>
        <v>1</v>
      </c>
      <c r="AN418" s="7" t="str">
        <f t="shared" si="75"/>
        <v>Lorain</v>
      </c>
      <c r="AO418" s="7" t="b">
        <f>C418=GenExp!C418</f>
        <v>1</v>
      </c>
    </row>
    <row r="419" spans="1:41" hidden="1">
      <c r="A419" s="12" t="s">
        <v>640</v>
      </c>
      <c r="B419" s="12"/>
      <c r="C419" s="12" t="s">
        <v>60</v>
      </c>
      <c r="D419" s="12"/>
      <c r="E419" s="12">
        <v>49726</v>
      </c>
      <c r="K419" s="2">
        <f t="shared" si="71"/>
        <v>0</v>
      </c>
      <c r="O419" s="2">
        <f t="shared" si="72"/>
        <v>0</v>
      </c>
      <c r="AE419" s="13">
        <f t="shared" si="79"/>
        <v>0</v>
      </c>
      <c r="AG419" s="7">
        <f t="shared" si="80"/>
        <v>0</v>
      </c>
      <c r="AI419" s="7" t="s">
        <v>839</v>
      </c>
      <c r="AK419" s="7" t="str">
        <f t="shared" si="81"/>
        <v>Old Fort Local SD (CASH)</v>
      </c>
      <c r="AL419" s="7" t="str">
        <f>GenExp!A419</f>
        <v>Old Fort Local SD (CASH)</v>
      </c>
      <c r="AM419" s="7" t="b">
        <f t="shared" si="82"/>
        <v>1</v>
      </c>
      <c r="AN419" s="7" t="str">
        <f t="shared" si="75"/>
        <v>Seneca</v>
      </c>
      <c r="AO419" s="7" t="b">
        <f>C419=GenExp!C419</f>
        <v>1</v>
      </c>
    </row>
    <row r="420" spans="1:41">
      <c r="A420" s="12" t="s">
        <v>290</v>
      </c>
      <c r="B420" s="12"/>
      <c r="C420" s="12" t="s">
        <v>23</v>
      </c>
      <c r="D420" s="12"/>
      <c r="E420" s="12">
        <v>46763</v>
      </c>
      <c r="G420" s="7">
        <v>86989427</v>
      </c>
      <c r="I420" s="7">
        <v>0</v>
      </c>
      <c r="K420" s="2">
        <f t="shared" si="71"/>
        <v>157712029</v>
      </c>
      <c r="M420" s="7">
        <v>244701456</v>
      </c>
      <c r="O420" s="2">
        <f t="shared" si="72"/>
        <v>23252733</v>
      </c>
      <c r="Q420" s="7">
        <v>130579128</v>
      </c>
      <c r="S420" s="7">
        <v>153831861</v>
      </c>
      <c r="U420" s="7">
        <v>520587</v>
      </c>
      <c r="W420" s="7">
        <f>18453865+40504865+344071+2167712+12002+193513+83772</f>
        <v>61759800</v>
      </c>
      <c r="Y420" s="7">
        <v>0</v>
      </c>
      <c r="AA420" s="7">
        <v>16244978</v>
      </c>
      <c r="AC420" s="7">
        <v>12344230</v>
      </c>
      <c r="AE420" s="13">
        <f t="shared" si="79"/>
        <v>90869595</v>
      </c>
      <c r="AG420" s="7">
        <f t="shared" si="80"/>
        <v>0</v>
      </c>
      <c r="AK420" s="7" t="str">
        <f t="shared" si="81"/>
        <v>Olentangy Local SD</v>
      </c>
      <c r="AL420" s="7" t="str">
        <f>GenExp!A420</f>
        <v>Olentangy Local SD</v>
      </c>
      <c r="AM420" s="7" t="b">
        <f t="shared" si="82"/>
        <v>1</v>
      </c>
      <c r="AN420" s="7" t="str">
        <f t="shared" si="75"/>
        <v>Delaware</v>
      </c>
      <c r="AO420" s="7" t="b">
        <f>C420=GenExp!C420</f>
        <v>1</v>
      </c>
    </row>
    <row r="421" spans="1:41">
      <c r="A421" s="12" t="s">
        <v>279</v>
      </c>
      <c r="B421" s="12"/>
      <c r="C421" s="12" t="s">
        <v>20</v>
      </c>
      <c r="D421" s="12"/>
      <c r="E421" s="12">
        <v>46573</v>
      </c>
      <c r="G421" s="7">
        <v>11521111</v>
      </c>
      <c r="I421" s="7">
        <v>0</v>
      </c>
      <c r="K421" s="2">
        <f t="shared" si="71"/>
        <v>28045559</v>
      </c>
      <c r="M421" s="7">
        <v>39566670</v>
      </c>
      <c r="O421" s="2">
        <f t="shared" si="72"/>
        <v>6823875</v>
      </c>
      <c r="Q421" s="7">
        <v>24240543</v>
      </c>
      <c r="S421" s="7">
        <v>31064418</v>
      </c>
      <c r="U421" s="7">
        <v>266590</v>
      </c>
      <c r="W421" s="7">
        <v>4616882</v>
      </c>
      <c r="Y421" s="7">
        <v>211158</v>
      </c>
      <c r="AA421" s="7">
        <v>1094243</v>
      </c>
      <c r="AC421" s="7">
        <v>2313379</v>
      </c>
      <c r="AE421" s="13">
        <f t="shared" si="79"/>
        <v>8502252</v>
      </c>
      <c r="AG421" s="7">
        <f t="shared" si="80"/>
        <v>0</v>
      </c>
      <c r="AK421" s="7" t="str">
        <f t="shared" si="81"/>
        <v>Olmsted Falls City SD</v>
      </c>
      <c r="AL421" s="7" t="str">
        <f>GenExp!A421</f>
        <v>Olmsted Falls City SD</v>
      </c>
      <c r="AM421" s="7" t="b">
        <f t="shared" si="82"/>
        <v>1</v>
      </c>
      <c r="AN421" s="7" t="str">
        <f t="shared" si="75"/>
        <v>Cuyahoga</v>
      </c>
      <c r="AO421" s="7" t="b">
        <f>C421=GenExp!C421</f>
        <v>1</v>
      </c>
    </row>
    <row r="422" spans="1:41">
      <c r="A422" s="12" t="s">
        <v>485</v>
      </c>
      <c r="B422" s="12"/>
      <c r="C422" s="12" t="s">
        <v>110</v>
      </c>
      <c r="D422" s="12"/>
      <c r="E422" s="12">
        <v>49478</v>
      </c>
      <c r="G422" s="7">
        <v>7822877</v>
      </c>
      <c r="I422" s="7">
        <v>0</v>
      </c>
      <c r="K422" s="2">
        <f t="shared" si="71"/>
        <v>10523512</v>
      </c>
      <c r="M422" s="7">
        <v>18346389</v>
      </c>
      <c r="O422" s="2">
        <f t="shared" si="72"/>
        <v>2229245</v>
      </c>
      <c r="Q422" s="7">
        <f>7409172+578124</f>
        <v>7987296</v>
      </c>
      <c r="S422" s="7">
        <v>10216541</v>
      </c>
      <c r="U422" s="7">
        <f>246700+2563</f>
        <v>249263</v>
      </c>
      <c r="W422" s="7">
        <f>2544790+68572+1711+3197+4029</f>
        <v>2622299</v>
      </c>
      <c r="Y422" s="7">
        <v>63200</v>
      </c>
      <c r="AA422" s="7">
        <v>76819</v>
      </c>
      <c r="AC422" s="7">
        <v>5118267</v>
      </c>
      <c r="AE422" s="13">
        <f t="shared" si="79"/>
        <v>8129848</v>
      </c>
      <c r="AG422" s="7">
        <f t="shared" si="80"/>
        <v>0</v>
      </c>
      <c r="AK422" s="7" t="str">
        <f t="shared" si="81"/>
        <v>Ontario Local SD</v>
      </c>
      <c r="AL422" s="7" t="str">
        <f>GenExp!A422</f>
        <v>Ontario Local SD</v>
      </c>
      <c r="AM422" s="7" t="b">
        <f t="shared" si="82"/>
        <v>1</v>
      </c>
      <c r="AN422" s="7" t="str">
        <f t="shared" si="75"/>
        <v>Richland</v>
      </c>
      <c r="AO422" s="7" t="b">
        <f>C422=GenExp!C422</f>
        <v>1</v>
      </c>
    </row>
    <row r="423" spans="1:41">
      <c r="A423" s="12" t="s">
        <v>280</v>
      </c>
      <c r="B423" s="12"/>
      <c r="C423" s="12" t="s">
        <v>20</v>
      </c>
      <c r="D423" s="12"/>
      <c r="E423" s="12">
        <v>46581</v>
      </c>
      <c r="G423" s="7">
        <f>40039341+267000</f>
        <v>40306341</v>
      </c>
      <c r="I423" s="7">
        <v>0</v>
      </c>
      <c r="K423" s="2">
        <f t="shared" si="71"/>
        <v>41040232</v>
      </c>
      <c r="M423" s="7">
        <v>81346573</v>
      </c>
      <c r="O423" s="2">
        <f t="shared" si="72"/>
        <v>7143382</v>
      </c>
      <c r="Q423" s="7">
        <f>31621763+3887064</f>
        <v>35508827</v>
      </c>
      <c r="S423" s="7">
        <v>42652209</v>
      </c>
      <c r="U423" s="7">
        <f>183975+27684+21440</f>
        <v>233099</v>
      </c>
      <c r="W423" s="7">
        <f>3287546+7256962+178996+22290+36184+137+53812+87637</f>
        <v>10923564</v>
      </c>
      <c r="Y423" s="7">
        <v>61668</v>
      </c>
      <c r="AA423" s="7">
        <f>3434+74438+74620</f>
        <v>152492</v>
      </c>
      <c r="AC423" s="7">
        <v>27323541</v>
      </c>
      <c r="AE423" s="13">
        <f t="shared" si="79"/>
        <v>38694364</v>
      </c>
      <c r="AG423" s="7">
        <f t="shared" si="80"/>
        <v>0</v>
      </c>
      <c r="AK423" s="7" t="str">
        <f t="shared" si="81"/>
        <v>Orange City SD</v>
      </c>
      <c r="AL423" s="7" t="str">
        <f>GenExp!A423</f>
        <v>Orange City SD</v>
      </c>
      <c r="AM423" s="7" t="b">
        <f t="shared" si="82"/>
        <v>1</v>
      </c>
      <c r="AN423" s="7" t="str">
        <f t="shared" si="75"/>
        <v>Cuyahoga</v>
      </c>
      <c r="AO423" s="7" t="b">
        <f>C423=GenExp!C423</f>
        <v>1</v>
      </c>
    </row>
    <row r="424" spans="1:41">
      <c r="A424" s="12" t="s">
        <v>404</v>
      </c>
      <c r="B424" s="12"/>
      <c r="C424" s="12" t="s">
        <v>115</v>
      </c>
      <c r="D424" s="12"/>
      <c r="E424" s="12">
        <v>44602</v>
      </c>
      <c r="G424" s="7">
        <f>14629721+8506</f>
        <v>14638227</v>
      </c>
      <c r="I424" s="7">
        <v>0</v>
      </c>
      <c r="K424" s="2">
        <f t="shared" si="71"/>
        <v>29200429</v>
      </c>
      <c r="M424" s="7">
        <v>43838656</v>
      </c>
      <c r="O424" s="2">
        <f t="shared" si="72"/>
        <v>7074897</v>
      </c>
      <c r="Q424" s="7">
        <f>4055351+21648521</f>
        <v>25703872</v>
      </c>
      <c r="S424" s="7">
        <v>32778769</v>
      </c>
      <c r="U424" s="7">
        <f>36150+140682</f>
        <v>176832</v>
      </c>
      <c r="W424" s="7">
        <f>1304278+3863347+297400+8780+45879+16404+1384+87397+96088</f>
        <v>5720957</v>
      </c>
      <c r="Y424" s="7">
        <v>731414</v>
      </c>
      <c r="AA424" s="7">
        <f>85055+299887+342761+17962</f>
        <v>745665</v>
      </c>
      <c r="AC424" s="7">
        <v>3685019</v>
      </c>
      <c r="AE424" s="13">
        <f t="shared" si="79"/>
        <v>11059887</v>
      </c>
      <c r="AG424" s="7">
        <f t="shared" si="80"/>
        <v>0</v>
      </c>
      <c r="AI424" s="7" t="s">
        <v>951</v>
      </c>
      <c r="AK424" s="7" t="str">
        <f t="shared" si="81"/>
        <v>Oregon City SD</v>
      </c>
      <c r="AL424" s="7" t="str">
        <f>GenExp!A424</f>
        <v>Oregon City SD</v>
      </c>
      <c r="AM424" s="7" t="b">
        <f t="shared" si="82"/>
        <v>1</v>
      </c>
      <c r="AN424" s="7" t="str">
        <f t="shared" si="75"/>
        <v>Lucas</v>
      </c>
      <c r="AO424" s="7" t="b">
        <f>C424=GenExp!C424</f>
        <v>1</v>
      </c>
    </row>
    <row r="425" spans="1:41" hidden="1">
      <c r="A425" s="12" t="s">
        <v>952</v>
      </c>
      <c r="B425" s="12"/>
      <c r="C425" s="12" t="s">
        <v>71</v>
      </c>
      <c r="D425" s="12"/>
      <c r="E425" s="12">
        <v>44610</v>
      </c>
      <c r="K425" s="2">
        <f t="shared" si="71"/>
        <v>0</v>
      </c>
      <c r="O425" s="2">
        <f t="shared" si="72"/>
        <v>0</v>
      </c>
      <c r="AE425" s="13">
        <f t="shared" si="79"/>
        <v>0</v>
      </c>
      <c r="AG425" s="7">
        <f t="shared" si="80"/>
        <v>0</v>
      </c>
      <c r="AI425" s="7" t="s">
        <v>903</v>
      </c>
      <c r="AK425" s="7" t="str">
        <f t="shared" si="81"/>
        <v>Orrville City SD (CASH)</v>
      </c>
      <c r="AL425" s="7" t="str">
        <f>GenExp!A425</f>
        <v>Orrville City SD (CASH)</v>
      </c>
      <c r="AM425" s="7" t="b">
        <f t="shared" si="82"/>
        <v>1</v>
      </c>
      <c r="AN425" s="7" t="str">
        <f t="shared" si="75"/>
        <v>Wayne</v>
      </c>
      <c r="AO425" s="7" t="b">
        <f>C425=GenExp!C425</f>
        <v>1</v>
      </c>
    </row>
    <row r="426" spans="1:41">
      <c r="A426" s="12" t="s">
        <v>519</v>
      </c>
      <c r="B426" s="12"/>
      <c r="C426" s="12" t="s">
        <v>62</v>
      </c>
      <c r="D426" s="12"/>
      <c r="E426" s="12">
        <v>49916</v>
      </c>
      <c r="G426" s="7">
        <f>6015601+228658</f>
        <v>6244259</v>
      </c>
      <c r="I426" s="7">
        <v>1153</v>
      </c>
      <c r="K426" s="2">
        <f>M426-G426-I426</f>
        <v>4337595</v>
      </c>
      <c r="M426" s="7">
        <v>10583007</v>
      </c>
      <c r="O426" s="2">
        <f>S426-Q426</f>
        <v>1372468</v>
      </c>
      <c r="Q426" s="7">
        <f>1055954+2742882</f>
        <v>3798836</v>
      </c>
      <c r="S426" s="7">
        <v>5171304</v>
      </c>
      <c r="U426" s="7">
        <f>17992+7509</f>
        <v>25501</v>
      </c>
      <c r="W426" s="7">
        <f>373703+2933498+175526+75754+3978+443+5435+54251+1153</f>
        <v>3623741</v>
      </c>
      <c r="Y426" s="7">
        <v>0</v>
      </c>
      <c r="AA426" s="7">
        <f>58744+66278+1+1983</f>
        <v>127006</v>
      </c>
      <c r="AC426" s="7">
        <v>1635455</v>
      </c>
      <c r="AE426" s="13">
        <f t="shared" si="79"/>
        <v>5411703</v>
      </c>
      <c r="AG426" s="7">
        <f t="shared" si="80"/>
        <v>0</v>
      </c>
      <c r="AK426" s="7" t="str">
        <f t="shared" si="81"/>
        <v>Osnaburg Local SD</v>
      </c>
      <c r="AL426" s="7" t="str">
        <f>GenExp!A426</f>
        <v>Osnaburg Local SD</v>
      </c>
      <c r="AM426" s="7" t="b">
        <f t="shared" si="82"/>
        <v>1</v>
      </c>
      <c r="AN426" s="7" t="str">
        <f t="shared" si="75"/>
        <v>Stark</v>
      </c>
      <c r="AO426" s="7" t="b">
        <f>C426=GenExp!C426</f>
        <v>1</v>
      </c>
    </row>
    <row r="427" spans="1:41">
      <c r="A427" s="12" t="s">
        <v>576</v>
      </c>
      <c r="B427" s="12"/>
      <c r="C427" s="12" t="s">
        <v>72</v>
      </c>
      <c r="D427" s="12"/>
      <c r="E427" s="12">
        <v>50724</v>
      </c>
      <c r="G427" s="7">
        <v>11431439</v>
      </c>
      <c r="I427" s="7">
        <f>73905+5003</f>
        <v>78908</v>
      </c>
      <c r="K427" s="2">
        <f>M427-G427-I427</f>
        <v>20937262</v>
      </c>
      <c r="M427" s="7">
        <v>32447609</v>
      </c>
      <c r="O427" s="2">
        <f>S427-Q427</f>
        <v>2258050</v>
      </c>
      <c r="Q427" s="7">
        <v>18930281</v>
      </c>
      <c r="S427" s="7">
        <v>21188331</v>
      </c>
      <c r="U427" s="7">
        <v>39280</v>
      </c>
      <c r="W427" s="7">
        <v>9389093</v>
      </c>
      <c r="Y427" s="7">
        <v>217994</v>
      </c>
      <c r="AA427" s="7">
        <v>155157</v>
      </c>
      <c r="AC427" s="7">
        <v>1457754</v>
      </c>
      <c r="AE427" s="13">
        <f t="shared" si="79"/>
        <v>11259278</v>
      </c>
      <c r="AG427" s="7">
        <f t="shared" si="80"/>
        <v>0</v>
      </c>
      <c r="AK427" s="7" t="str">
        <f t="shared" si="81"/>
        <v>Otsego Local SD</v>
      </c>
      <c r="AL427" s="7" t="str">
        <f>GenExp!A427</f>
        <v>Otsego Local SD</v>
      </c>
      <c r="AM427" s="7" t="b">
        <f t="shared" si="82"/>
        <v>1</v>
      </c>
      <c r="AN427" s="7" t="str">
        <f t="shared" si="75"/>
        <v>Wood</v>
      </c>
      <c r="AO427" s="7" t="b">
        <f>C427=GenExp!C427</f>
        <v>1</v>
      </c>
    </row>
    <row r="428" spans="1:41">
      <c r="A428" s="12" t="s">
        <v>405</v>
      </c>
      <c r="B428" s="12"/>
      <c r="C428" s="12" t="s">
        <v>115</v>
      </c>
      <c r="D428" s="12"/>
      <c r="E428" s="12">
        <v>48215</v>
      </c>
      <c r="G428" s="7">
        <f>1363745+3135185</f>
        <v>4498930</v>
      </c>
      <c r="I428" s="7">
        <v>218413</v>
      </c>
      <c r="K428" s="2">
        <f>M428-G428-I428</f>
        <v>11101136</v>
      </c>
      <c r="M428" s="7">
        <v>15818479</v>
      </c>
      <c r="O428" s="2">
        <f>S428-Q428</f>
        <v>1210963</v>
      </c>
      <c r="Q428" s="7">
        <f>10538671+2469</f>
        <v>10541140</v>
      </c>
      <c r="S428" s="7">
        <v>11752103</v>
      </c>
      <c r="U428" s="7">
        <v>97736</v>
      </c>
      <c r="W428" s="7">
        <v>755958</v>
      </c>
      <c r="Y428" s="7">
        <v>0</v>
      </c>
      <c r="AA428" s="7">
        <v>119088</v>
      </c>
      <c r="AC428" s="7">
        <v>3093594</v>
      </c>
      <c r="AE428" s="13">
        <f t="shared" si="79"/>
        <v>4066376</v>
      </c>
      <c r="AG428" s="7">
        <f t="shared" si="80"/>
        <v>0</v>
      </c>
      <c r="AK428" s="7" t="str">
        <f t="shared" si="81"/>
        <v>Ottawa Hills Local SD</v>
      </c>
      <c r="AL428" s="7" t="str">
        <f>GenExp!A428</f>
        <v>Ottawa Hills Local SD</v>
      </c>
      <c r="AM428" s="7" t="b">
        <f t="shared" si="82"/>
        <v>1</v>
      </c>
      <c r="AN428" s="7" t="str">
        <f t="shared" si="75"/>
        <v>Lucas</v>
      </c>
      <c r="AO428" s="7" t="b">
        <f>C428=GenExp!C428</f>
        <v>1</v>
      </c>
    </row>
    <row r="429" spans="1:41" hidden="1">
      <c r="A429" s="12" t="s">
        <v>749</v>
      </c>
      <c r="B429" s="12"/>
      <c r="C429" s="12" t="s">
        <v>482</v>
      </c>
      <c r="D429" s="12"/>
      <c r="E429" s="12">
        <v>49379</v>
      </c>
      <c r="K429" s="2">
        <f t="shared" ref="K429:K479" si="94">M429-G429-I429</f>
        <v>0</v>
      </c>
      <c r="O429" s="2">
        <f t="shared" ref="O429:O479" si="95">S429-Q429</f>
        <v>0</v>
      </c>
      <c r="AE429" s="13">
        <f t="shared" si="79"/>
        <v>0</v>
      </c>
      <c r="AG429" s="7">
        <f t="shared" si="80"/>
        <v>0</v>
      </c>
      <c r="AI429" s="7" t="s">
        <v>953</v>
      </c>
      <c r="AK429" s="7" t="str">
        <f t="shared" si="81"/>
        <v>Ottawa-Glandorf Local SD (CASH)</v>
      </c>
      <c r="AL429" s="7" t="str">
        <f>GenExp!A429</f>
        <v>Ottawa-Glandorf Local SD (CASH)</v>
      </c>
      <c r="AM429" s="7" t="b">
        <f t="shared" si="82"/>
        <v>1</v>
      </c>
      <c r="AN429" s="7" t="str">
        <f t="shared" si="75"/>
        <v>Putnam</v>
      </c>
      <c r="AO429" s="7" t="b">
        <f>C429=GenExp!C429</f>
        <v>1</v>
      </c>
    </row>
    <row r="430" spans="1:41" hidden="1">
      <c r="A430" s="12" t="s">
        <v>955</v>
      </c>
      <c r="B430" s="12"/>
      <c r="C430" s="12" t="s">
        <v>482</v>
      </c>
      <c r="D430" s="12"/>
      <c r="E430" s="12">
        <v>49387</v>
      </c>
      <c r="K430" s="2">
        <f t="shared" si="94"/>
        <v>0</v>
      </c>
      <c r="O430" s="2">
        <f t="shared" si="95"/>
        <v>0</v>
      </c>
      <c r="AE430" s="13">
        <f t="shared" si="79"/>
        <v>0</v>
      </c>
      <c r="AG430" s="7">
        <f t="shared" si="80"/>
        <v>0</v>
      </c>
      <c r="AI430" s="7" t="s">
        <v>954</v>
      </c>
      <c r="AK430" s="7" t="str">
        <f t="shared" si="81"/>
        <v>Ottoville Local SD (NO REPORT) (Two year Audit)</v>
      </c>
      <c r="AL430" s="7" t="str">
        <f>GenExp!A430</f>
        <v>Ottoville Local SD (NO REPORT) (Two year Audit)</v>
      </c>
      <c r="AM430" s="7" t="b">
        <f t="shared" si="82"/>
        <v>1</v>
      </c>
      <c r="AN430" s="7" t="str">
        <f t="shared" si="75"/>
        <v>Putnam</v>
      </c>
      <c r="AO430" s="7" t="b">
        <f>C430=GenExp!C430</f>
        <v>1</v>
      </c>
    </row>
    <row r="431" spans="1:41" hidden="1">
      <c r="A431" s="12" t="s">
        <v>956</v>
      </c>
      <c r="B431" s="12"/>
      <c r="C431" s="12" t="s">
        <v>41</v>
      </c>
      <c r="D431" s="12"/>
      <c r="E431" s="12">
        <v>44628</v>
      </c>
      <c r="K431" s="2">
        <f t="shared" si="94"/>
        <v>0</v>
      </c>
      <c r="O431" s="2">
        <f t="shared" si="95"/>
        <v>0</v>
      </c>
      <c r="AE431" s="13">
        <f t="shared" si="79"/>
        <v>0</v>
      </c>
      <c r="AG431" s="7">
        <f t="shared" si="80"/>
        <v>0</v>
      </c>
      <c r="AI431" s="7" t="s">
        <v>903</v>
      </c>
      <c r="AK431" s="7" t="str">
        <f t="shared" si="81"/>
        <v>Painesville City Local SD (CASH)</v>
      </c>
      <c r="AL431" s="7" t="str">
        <f>GenExp!A431</f>
        <v>Painesville City Local SD (CASH)</v>
      </c>
      <c r="AM431" s="7" t="b">
        <f t="shared" si="82"/>
        <v>1</v>
      </c>
      <c r="AN431" s="7" t="str">
        <f t="shared" si="75"/>
        <v>Lake</v>
      </c>
      <c r="AO431" s="7" t="b">
        <f>C431=GenExp!C431</f>
        <v>1</v>
      </c>
    </row>
    <row r="432" spans="1:41" hidden="1">
      <c r="A432" s="12" t="s">
        <v>893</v>
      </c>
      <c r="B432" s="12"/>
      <c r="C432" s="12" t="s">
        <v>41</v>
      </c>
      <c r="D432" s="12"/>
      <c r="E432" s="12">
        <v>47894</v>
      </c>
      <c r="K432" s="2">
        <f t="shared" si="94"/>
        <v>0</v>
      </c>
      <c r="O432" s="2">
        <f t="shared" si="95"/>
        <v>0</v>
      </c>
      <c r="AE432" s="13">
        <f t="shared" si="79"/>
        <v>0</v>
      </c>
      <c r="AG432" s="7">
        <f t="shared" si="80"/>
        <v>0</v>
      </c>
      <c r="AI432" s="7" t="s">
        <v>790</v>
      </c>
      <c r="AK432" s="7" t="str">
        <f t="shared" si="81"/>
        <v>Painesville Township Local SD - now RIVERSIDE LOCAL SCHOOL DISTRICT since 2007</v>
      </c>
      <c r="AL432" s="7" t="str">
        <f>GenExp!A432</f>
        <v>Painesville Township Local SD - now RIVERSIDE LOCAL SCHOOL DISTRICT since 2007</v>
      </c>
      <c r="AM432" s="7" t="b">
        <f t="shared" si="82"/>
        <v>1</v>
      </c>
      <c r="AN432" s="7" t="str">
        <f t="shared" si="75"/>
        <v>Lake</v>
      </c>
      <c r="AO432" s="7" t="b">
        <f>C432=GenExp!C432</f>
        <v>1</v>
      </c>
    </row>
    <row r="433" spans="1:41">
      <c r="A433" s="12" t="s">
        <v>490</v>
      </c>
      <c r="B433" s="12"/>
      <c r="C433" s="12" t="s">
        <v>58</v>
      </c>
      <c r="D433" s="12"/>
      <c r="E433" s="12">
        <v>49510</v>
      </c>
      <c r="G433" s="7">
        <v>4234313</v>
      </c>
      <c r="I433" s="7">
        <v>167492</v>
      </c>
      <c r="K433" s="2">
        <f t="shared" si="94"/>
        <v>1944778</v>
      </c>
      <c r="M433" s="7">
        <v>6346583</v>
      </c>
      <c r="O433" s="2">
        <f t="shared" si="95"/>
        <v>1187675</v>
      </c>
      <c r="Q433" s="7">
        <v>1449947</v>
      </c>
      <c r="S433" s="7">
        <v>2637622</v>
      </c>
      <c r="U433" s="7">
        <v>3000</v>
      </c>
      <c r="W433" s="7">
        <v>1329142</v>
      </c>
      <c r="Y433" s="7">
        <v>0</v>
      </c>
      <c r="AA433" s="7">
        <v>106481</v>
      </c>
      <c r="AC433" s="7">
        <v>2270338</v>
      </c>
      <c r="AE433" s="13">
        <f t="shared" si="79"/>
        <v>3708961</v>
      </c>
      <c r="AG433" s="7">
        <f t="shared" si="80"/>
        <v>0</v>
      </c>
      <c r="AK433" s="7" t="str">
        <f t="shared" si="81"/>
        <v>Paint Valley Local SD</v>
      </c>
      <c r="AL433" s="7" t="str">
        <f>GenExp!A433</f>
        <v>Paint Valley Local SD</v>
      </c>
      <c r="AM433" s="7" t="b">
        <f t="shared" si="82"/>
        <v>1</v>
      </c>
      <c r="AN433" s="7" t="str">
        <f t="shared" si="75"/>
        <v>Ross</v>
      </c>
      <c r="AO433" s="7" t="b">
        <f>C433=GenExp!C433</f>
        <v>1</v>
      </c>
    </row>
    <row r="434" spans="1:41" hidden="1">
      <c r="A434" s="12" t="s">
        <v>722</v>
      </c>
      <c r="B434" s="12"/>
      <c r="C434" s="12" t="s">
        <v>482</v>
      </c>
      <c r="D434" s="12"/>
      <c r="E434" s="12">
        <v>49395</v>
      </c>
      <c r="K434" s="2">
        <f t="shared" si="94"/>
        <v>0</v>
      </c>
      <c r="O434" s="2">
        <f t="shared" si="95"/>
        <v>0</v>
      </c>
      <c r="AE434" s="13">
        <f t="shared" si="79"/>
        <v>0</v>
      </c>
      <c r="AG434" s="7">
        <f t="shared" si="80"/>
        <v>0</v>
      </c>
      <c r="AI434" s="7" t="s">
        <v>958</v>
      </c>
      <c r="AK434" s="7" t="str">
        <f t="shared" si="81"/>
        <v>Pandora-Gilboa Local SD (CASH)  (Two year Audit)</v>
      </c>
      <c r="AL434" s="7" t="str">
        <f>GenExp!A434</f>
        <v>Pandora-Gilboa Local SD (CASH)  (Two year Audit)</v>
      </c>
      <c r="AM434" s="7" t="b">
        <f t="shared" si="82"/>
        <v>1</v>
      </c>
      <c r="AN434" s="7" t="str">
        <f t="shared" si="75"/>
        <v>Putnam</v>
      </c>
      <c r="AO434" s="7" t="b">
        <f>C434=GenExp!C434</f>
        <v>1</v>
      </c>
    </row>
    <row r="435" spans="1:41" hidden="1">
      <c r="A435" s="12" t="s">
        <v>723</v>
      </c>
      <c r="B435" s="12"/>
      <c r="C435" s="12" t="s">
        <v>435</v>
      </c>
      <c r="D435" s="12"/>
      <c r="E435" s="12">
        <v>48579</v>
      </c>
      <c r="K435" s="2">
        <f t="shared" si="94"/>
        <v>0</v>
      </c>
      <c r="O435" s="2">
        <f t="shared" si="95"/>
        <v>0</v>
      </c>
      <c r="AE435" s="13">
        <f t="shared" si="79"/>
        <v>0</v>
      </c>
      <c r="AG435" s="7">
        <f t="shared" si="80"/>
        <v>0</v>
      </c>
      <c r="AI435" s="7" t="s">
        <v>839</v>
      </c>
      <c r="AK435" s="7" t="str">
        <f t="shared" si="81"/>
        <v>Parkway Local SD (CASH) (Two year Audit)</v>
      </c>
      <c r="AL435" s="7" t="str">
        <f>GenExp!A435</f>
        <v>Parkway Local SD (CASH) (Two year Audit)</v>
      </c>
      <c r="AM435" s="7" t="b">
        <f t="shared" si="82"/>
        <v>1</v>
      </c>
      <c r="AN435" s="7" t="str">
        <f t="shared" si="75"/>
        <v>Mercer</v>
      </c>
      <c r="AO435" s="7" t="b">
        <f>C435=GenExp!C435</f>
        <v>1</v>
      </c>
    </row>
    <row r="436" spans="1:41">
      <c r="A436" s="12" t="s">
        <v>281</v>
      </c>
      <c r="B436" s="12"/>
      <c r="C436" s="12" t="s">
        <v>20</v>
      </c>
      <c r="D436" s="12"/>
      <c r="E436" s="12">
        <v>44636</v>
      </c>
      <c r="G436" s="7">
        <v>15912422</v>
      </c>
      <c r="I436" s="7">
        <v>11751</v>
      </c>
      <c r="K436" s="2">
        <f t="shared" si="94"/>
        <v>101863449</v>
      </c>
      <c r="M436" s="7">
        <v>117787622</v>
      </c>
      <c r="O436" s="2">
        <f t="shared" si="95"/>
        <v>17106647</v>
      </c>
      <c r="Q436" s="7">
        <v>84913179</v>
      </c>
      <c r="S436" s="7">
        <v>102019826</v>
      </c>
      <c r="U436" s="7">
        <v>333354</v>
      </c>
      <c r="W436" s="7">
        <v>4123660</v>
      </c>
      <c r="Y436" s="7">
        <v>0</v>
      </c>
      <c r="AA436" s="7">
        <v>1915819</v>
      </c>
      <c r="AC436" s="7">
        <v>9394963</v>
      </c>
      <c r="AE436" s="13">
        <f t="shared" si="79"/>
        <v>15767796</v>
      </c>
      <c r="AG436" s="7">
        <f t="shared" si="80"/>
        <v>0</v>
      </c>
      <c r="AI436" s="7" t="s">
        <v>951</v>
      </c>
      <c r="AK436" s="7" t="str">
        <f t="shared" si="81"/>
        <v>Parma City SD</v>
      </c>
      <c r="AL436" s="7" t="str">
        <f>GenExp!A436</f>
        <v>Parma City SD</v>
      </c>
      <c r="AM436" s="7" t="b">
        <f t="shared" si="82"/>
        <v>1</v>
      </c>
      <c r="AN436" s="7" t="str">
        <f t="shared" si="75"/>
        <v>Cuyahoga</v>
      </c>
      <c r="AO436" s="7" t="b">
        <f>C436=GenExp!C436</f>
        <v>1</v>
      </c>
    </row>
    <row r="437" spans="1:41">
      <c r="A437" s="12" t="s">
        <v>357</v>
      </c>
      <c r="B437" s="12"/>
      <c r="C437" s="12" t="s">
        <v>34</v>
      </c>
      <c r="D437" s="12"/>
      <c r="E437" s="12">
        <v>47597</v>
      </c>
      <c r="G437" s="7">
        <v>2522139</v>
      </c>
      <c r="I437" s="7">
        <v>23745</v>
      </c>
      <c r="K437" s="2">
        <f t="shared" si="94"/>
        <v>5596994</v>
      </c>
      <c r="M437" s="7">
        <v>8142878</v>
      </c>
      <c r="O437" s="2">
        <f t="shared" si="95"/>
        <v>1344394</v>
      </c>
      <c r="Q437" s="7">
        <v>4672671</v>
      </c>
      <c r="S437" s="7">
        <v>6017065</v>
      </c>
      <c r="U437" s="7">
        <v>6434</v>
      </c>
      <c r="W437" s="7">
        <v>1421066</v>
      </c>
      <c r="Y437" s="7">
        <v>0</v>
      </c>
      <c r="AA437" s="7">
        <v>279304</v>
      </c>
      <c r="AC437" s="7">
        <v>419009</v>
      </c>
      <c r="AE437" s="13">
        <f t="shared" si="79"/>
        <v>2125813</v>
      </c>
      <c r="AG437" s="7">
        <f t="shared" si="80"/>
        <v>0</v>
      </c>
      <c r="AI437" s="7" t="s">
        <v>957</v>
      </c>
      <c r="AK437" s="7" t="str">
        <f t="shared" si="81"/>
        <v>Patrick Henry Local SD</v>
      </c>
      <c r="AL437" s="7" t="str">
        <f>GenExp!A437</f>
        <v>Patrick Henry Local SD</v>
      </c>
      <c r="AM437" s="7" t="b">
        <f t="shared" si="82"/>
        <v>1</v>
      </c>
      <c r="AN437" s="7" t="str">
        <f t="shared" si="75"/>
        <v>Henry</v>
      </c>
      <c r="AO437" s="7" t="b">
        <f>C437=GenExp!C437</f>
        <v>1</v>
      </c>
    </row>
    <row r="438" spans="1:41" hidden="1">
      <c r="A438" s="12" t="s">
        <v>884</v>
      </c>
      <c r="B438" s="12"/>
      <c r="C438" s="12" t="s">
        <v>465</v>
      </c>
      <c r="D438" s="12"/>
      <c r="E438" s="12">
        <v>45575</v>
      </c>
      <c r="K438" s="2">
        <f t="shared" si="94"/>
        <v>0</v>
      </c>
      <c r="O438" s="2">
        <f t="shared" si="95"/>
        <v>0</v>
      </c>
      <c r="AE438" s="13">
        <f t="shared" si="79"/>
        <v>0</v>
      </c>
      <c r="AG438" s="7">
        <f t="shared" si="80"/>
        <v>0</v>
      </c>
      <c r="AI438" s="7" t="s">
        <v>839</v>
      </c>
      <c r="AK438" s="7" t="str">
        <f t="shared" si="81"/>
        <v>Paulding Exempted Village SD (CASH)</v>
      </c>
      <c r="AL438" s="7" t="str">
        <f>GenExp!A438</f>
        <v>Paulding Exempted Village SD (CASH)</v>
      </c>
      <c r="AM438" s="7" t="b">
        <f t="shared" si="82"/>
        <v>1</v>
      </c>
      <c r="AN438" s="7" t="str">
        <f t="shared" si="75"/>
        <v>Paulding</v>
      </c>
      <c r="AO438" s="7" t="b">
        <f>C438=GenExp!C438</f>
        <v>1</v>
      </c>
    </row>
    <row r="439" spans="1:41">
      <c r="A439" s="12" t="s">
        <v>295</v>
      </c>
      <c r="B439" s="12"/>
      <c r="C439" s="12" t="s">
        <v>24</v>
      </c>
      <c r="D439" s="12"/>
      <c r="E439" s="12">
        <v>46813</v>
      </c>
      <c r="G439" s="7">
        <f>7279506+77898</f>
        <v>7357404</v>
      </c>
      <c r="I439" s="7">
        <v>0</v>
      </c>
      <c r="K439" s="2">
        <f t="shared" si="94"/>
        <v>15305900</v>
      </c>
      <c r="M439" s="7">
        <v>22663304</v>
      </c>
      <c r="O439" s="2">
        <f t="shared" si="95"/>
        <v>3390133</v>
      </c>
      <c r="Q439" s="7">
        <f>3085746+10131873</f>
        <v>13217619</v>
      </c>
      <c r="S439" s="7">
        <v>16607752</v>
      </c>
      <c r="U439" s="7">
        <f>122943+64820</f>
        <v>187763</v>
      </c>
      <c r="W439" s="7">
        <f>268479+277924+57715+327440</f>
        <v>931558</v>
      </c>
      <c r="Y439" s="7">
        <v>0</v>
      </c>
      <c r="AA439" s="7">
        <f>8794+220716+50+241442+91156</f>
        <v>562158</v>
      </c>
      <c r="AC439" s="7">
        <v>4374073</v>
      </c>
      <c r="AE439" s="13">
        <f t="shared" si="79"/>
        <v>6055552</v>
      </c>
      <c r="AG439" s="7">
        <f t="shared" si="80"/>
        <v>0</v>
      </c>
      <c r="AK439" s="7" t="str">
        <f t="shared" si="81"/>
        <v>Perkins Local SD</v>
      </c>
      <c r="AL439" s="7" t="str">
        <f>GenExp!A439</f>
        <v>Perkins Local SD</v>
      </c>
      <c r="AM439" s="7" t="b">
        <f t="shared" si="82"/>
        <v>1</v>
      </c>
      <c r="AN439" s="7" t="str">
        <f t="shared" si="75"/>
        <v>Erie</v>
      </c>
      <c r="AO439" s="7" t="b">
        <f>C439=GenExp!C439</f>
        <v>1</v>
      </c>
    </row>
    <row r="440" spans="1:41" hidden="1">
      <c r="A440" s="12" t="s">
        <v>724</v>
      </c>
      <c r="B440" s="12"/>
      <c r="C440" s="12" t="s">
        <v>10</v>
      </c>
      <c r="D440" s="12"/>
      <c r="E440" s="12"/>
      <c r="K440" s="2">
        <f t="shared" si="94"/>
        <v>0</v>
      </c>
      <c r="O440" s="2">
        <f t="shared" si="95"/>
        <v>0</v>
      </c>
      <c r="AE440" s="13">
        <f t="shared" si="79"/>
        <v>0</v>
      </c>
      <c r="AG440" s="7">
        <f t="shared" si="80"/>
        <v>0</v>
      </c>
      <c r="AI440" s="7" t="s">
        <v>959</v>
      </c>
      <c r="AK440" s="7" t="str">
        <f t="shared" si="81"/>
        <v>Perry Local SD (CASH)</v>
      </c>
      <c r="AL440" s="7" t="str">
        <f>GenExp!A440</f>
        <v>Perry Local SD (CASH)</v>
      </c>
      <c r="AM440" s="7" t="b">
        <f t="shared" si="82"/>
        <v>1</v>
      </c>
      <c r="AN440" s="7" t="str">
        <f t="shared" si="75"/>
        <v>Allen</v>
      </c>
      <c r="AO440" s="7" t="b">
        <f>C440=GenExp!C440</f>
        <v>1</v>
      </c>
    </row>
    <row r="441" spans="1:41">
      <c r="A441" s="12" t="s">
        <v>203</v>
      </c>
      <c r="B441" s="12"/>
      <c r="C441" s="12" t="s">
        <v>41</v>
      </c>
      <c r="D441" s="12"/>
      <c r="E441" s="12">
        <v>47902</v>
      </c>
      <c r="G441" s="7">
        <v>36161462</v>
      </c>
      <c r="I441" s="7">
        <v>58165</v>
      </c>
      <c r="K441" s="2">
        <f t="shared" si="94"/>
        <v>27638866</v>
      </c>
      <c r="M441" s="7">
        <v>63858493</v>
      </c>
      <c r="O441" s="2">
        <f t="shared" si="95"/>
        <v>2780383</v>
      </c>
      <c r="Q441" s="7">
        <v>26615463</v>
      </c>
      <c r="S441" s="7">
        <v>29395846</v>
      </c>
      <c r="U441" s="7">
        <v>0</v>
      </c>
      <c r="W441" s="7">
        <v>1090750</v>
      </c>
      <c r="Y441" s="7">
        <v>502909</v>
      </c>
      <c r="AA441" s="7">
        <v>13237062</v>
      </c>
      <c r="AC441" s="7">
        <v>19631926</v>
      </c>
      <c r="AE441" s="13">
        <f t="shared" si="79"/>
        <v>34462647</v>
      </c>
      <c r="AG441" s="7">
        <f t="shared" si="80"/>
        <v>0</v>
      </c>
      <c r="AK441" s="7" t="str">
        <f t="shared" si="81"/>
        <v>Perry Local SD</v>
      </c>
      <c r="AL441" s="7" t="str">
        <f>GenExp!A441</f>
        <v>Perry Local SD</v>
      </c>
      <c r="AM441" s="7" t="b">
        <f t="shared" si="82"/>
        <v>1</v>
      </c>
      <c r="AN441" s="7" t="str">
        <f t="shared" si="75"/>
        <v>Lake</v>
      </c>
      <c r="AO441" s="7" t="b">
        <f>C441=GenExp!C441</f>
        <v>1</v>
      </c>
    </row>
    <row r="442" spans="1:41">
      <c r="A442" s="12" t="s">
        <v>203</v>
      </c>
      <c r="B442" s="12"/>
      <c r="C442" s="12" t="s">
        <v>62</v>
      </c>
      <c r="D442" s="12"/>
      <c r="E442" s="12">
        <v>49924</v>
      </c>
      <c r="G442" s="7">
        <v>30521423</v>
      </c>
      <c r="I442" s="7">
        <v>0</v>
      </c>
      <c r="K442" s="2">
        <f t="shared" si="94"/>
        <v>20804852</v>
      </c>
      <c r="M442" s="7">
        <v>51326275</v>
      </c>
      <c r="O442" s="2">
        <f t="shared" si="95"/>
        <v>8229150</v>
      </c>
      <c r="Q442" s="7">
        <v>17278551</v>
      </c>
      <c r="S442" s="7">
        <v>25507701</v>
      </c>
      <c r="U442" s="7">
        <v>192100</v>
      </c>
      <c r="W442" s="7">
        <v>4069818</v>
      </c>
      <c r="Y442" s="7">
        <v>0</v>
      </c>
      <c r="AA442" s="7">
        <v>1005235</v>
      </c>
      <c r="AC442" s="7">
        <v>20551421</v>
      </c>
      <c r="AE442" s="13">
        <f t="shared" si="79"/>
        <v>25818574</v>
      </c>
      <c r="AG442" s="7">
        <f t="shared" si="80"/>
        <v>0</v>
      </c>
      <c r="AI442" s="7" t="s">
        <v>951</v>
      </c>
      <c r="AK442" s="7" t="str">
        <f t="shared" si="81"/>
        <v>Perry Local SD</v>
      </c>
      <c r="AL442" s="7" t="str">
        <f>GenExp!A442</f>
        <v>Perry Local SD</v>
      </c>
      <c r="AM442" s="7" t="b">
        <f t="shared" si="82"/>
        <v>1</v>
      </c>
      <c r="AN442" s="7" t="str">
        <f t="shared" si="75"/>
        <v>Stark</v>
      </c>
      <c r="AO442" s="7" t="b">
        <f>C442=GenExp!C442</f>
        <v>1</v>
      </c>
    </row>
    <row r="443" spans="1:41">
      <c r="A443" s="12" t="s">
        <v>885</v>
      </c>
      <c r="B443" s="12"/>
      <c r="C443" s="12" t="s">
        <v>72</v>
      </c>
      <c r="D443" s="12"/>
      <c r="E443" s="12">
        <v>45583</v>
      </c>
      <c r="G443" s="7">
        <v>4707182</v>
      </c>
      <c r="I443" s="7">
        <v>321917</v>
      </c>
      <c r="K443" s="2">
        <f t="shared" si="94"/>
        <v>29564133</v>
      </c>
      <c r="M443" s="7">
        <v>34593232</v>
      </c>
      <c r="O443" s="2">
        <f t="shared" si="95"/>
        <v>6504363</v>
      </c>
      <c r="Q443" s="7">
        <f>1482035+18588756</f>
        <v>20070791</v>
      </c>
      <c r="S443" s="7">
        <v>26575154</v>
      </c>
      <c r="U443" s="7">
        <f>18271+24146</f>
        <v>42417</v>
      </c>
      <c r="W443" s="7">
        <f>2428502+1413710+429334+13910+145358+3632+320647+1270+37584</f>
        <v>4793947</v>
      </c>
      <c r="Y443" s="7">
        <f>647196+11000</f>
        <v>658196</v>
      </c>
      <c r="AA443" s="7">
        <f>56248+156413+106277+45270</f>
        <v>364208</v>
      </c>
      <c r="AC443" s="7">
        <v>2159310</v>
      </c>
      <c r="AE443" s="13">
        <f t="shared" si="79"/>
        <v>8018078</v>
      </c>
      <c r="AG443" s="7">
        <f t="shared" si="80"/>
        <v>0</v>
      </c>
      <c r="AK443" s="7" t="str">
        <f t="shared" si="81"/>
        <v>Perrysburg Exempted Village SD</v>
      </c>
      <c r="AL443" s="7" t="str">
        <f>GenExp!A443</f>
        <v>Perrysburg Exempted Village SD</v>
      </c>
      <c r="AM443" s="7" t="b">
        <f t="shared" si="82"/>
        <v>1</v>
      </c>
      <c r="AN443" s="7" t="str">
        <f t="shared" si="75"/>
        <v>Wood</v>
      </c>
      <c r="AO443" s="7" t="b">
        <f>C443=GenExp!C443</f>
        <v>1</v>
      </c>
    </row>
    <row r="444" spans="1:41" hidden="1">
      <c r="A444" s="12" t="s">
        <v>894</v>
      </c>
      <c r="B444" s="12"/>
      <c r="C444" s="12" t="s">
        <v>28</v>
      </c>
      <c r="D444" s="12"/>
      <c r="E444" s="12">
        <v>47076</v>
      </c>
      <c r="K444" s="2">
        <f t="shared" si="94"/>
        <v>0</v>
      </c>
      <c r="O444" s="2">
        <f t="shared" si="95"/>
        <v>0</v>
      </c>
      <c r="AE444" s="13">
        <f t="shared" si="79"/>
        <v>0</v>
      </c>
      <c r="AG444" s="7">
        <f t="shared" si="80"/>
        <v>0</v>
      </c>
      <c r="AI444" s="7" t="s">
        <v>966</v>
      </c>
      <c r="AK444" s="7" t="str">
        <f t="shared" si="81"/>
        <v>Pettisville Local SD</v>
      </c>
      <c r="AL444" s="7" t="str">
        <f>GenExp!A444</f>
        <v>Pettisville Local SD</v>
      </c>
      <c r="AM444" s="7" t="b">
        <f t="shared" si="82"/>
        <v>1</v>
      </c>
      <c r="AN444" s="7" t="str">
        <f t="shared" si="75"/>
        <v>Fulton</v>
      </c>
      <c r="AO444" s="7" t="b">
        <f>C444=GenExp!C444</f>
        <v>1</v>
      </c>
    </row>
    <row r="445" spans="1:41">
      <c r="A445" s="12" t="s">
        <v>302</v>
      </c>
      <c r="B445" s="12"/>
      <c r="C445" s="12" t="s">
        <v>25</v>
      </c>
      <c r="D445" s="12"/>
      <c r="E445" s="12">
        <v>46896</v>
      </c>
      <c r="G445" s="7">
        <f>50162547+206800</f>
        <v>50369347</v>
      </c>
      <c r="I445" s="7">
        <v>22684</v>
      </c>
      <c r="K445" s="2">
        <f t="shared" si="94"/>
        <v>71503001</v>
      </c>
      <c r="M445" s="7">
        <v>121895032</v>
      </c>
      <c r="O445" s="2">
        <f t="shared" si="95"/>
        <v>15154126</v>
      </c>
      <c r="Q445" s="7">
        <f>38073340+24823181</f>
        <v>62896521</v>
      </c>
      <c r="S445" s="7">
        <v>78050647</v>
      </c>
      <c r="U445" s="7">
        <f>35548+111487</f>
        <v>147035</v>
      </c>
      <c r="W445" s="7">
        <f>16812713+18942042+3798117+695028+156280+3369+511241+22684+953037</f>
        <v>41894511</v>
      </c>
      <c r="Y445" s="7">
        <f>125073+364419+300000+100000</f>
        <v>889492</v>
      </c>
      <c r="AA445" s="7">
        <f>701842+2846+110073+13196</f>
        <v>827957</v>
      </c>
      <c r="AC445" s="7">
        <v>85390</v>
      </c>
      <c r="AE445" s="13">
        <f t="shared" si="79"/>
        <v>43844385</v>
      </c>
      <c r="AG445" s="7">
        <f t="shared" si="80"/>
        <v>0</v>
      </c>
      <c r="AK445" s="7" t="str">
        <f t="shared" si="81"/>
        <v>Pickerington Local SD</v>
      </c>
      <c r="AL445" s="7" t="str">
        <f>GenExp!A445</f>
        <v>Pickerington Local SD</v>
      </c>
      <c r="AM445" s="7" t="b">
        <f t="shared" si="82"/>
        <v>1</v>
      </c>
      <c r="AN445" s="7" t="str">
        <f t="shared" si="75"/>
        <v>Fairfield</v>
      </c>
      <c r="AO445" s="7" t="b">
        <f>C445=GenExp!C445</f>
        <v>1</v>
      </c>
    </row>
    <row r="446" spans="1:41" hidden="1">
      <c r="A446" s="12" t="s">
        <v>961</v>
      </c>
      <c r="B446" s="12"/>
      <c r="C446" s="12" t="s">
        <v>28</v>
      </c>
      <c r="D446" s="12"/>
      <c r="E446" s="12">
        <v>47084</v>
      </c>
      <c r="K446" s="2">
        <f t="shared" si="94"/>
        <v>0</v>
      </c>
      <c r="O446" s="2">
        <f t="shared" si="95"/>
        <v>0</v>
      </c>
      <c r="AE446" s="13">
        <f t="shared" si="79"/>
        <v>0</v>
      </c>
      <c r="AG446" s="7">
        <f t="shared" si="80"/>
        <v>0</v>
      </c>
      <c r="AI446" s="7" t="s">
        <v>960</v>
      </c>
      <c r="AK446" s="7" t="str">
        <f t="shared" si="81"/>
        <v>Pike-Delta-York Local SD (CASH)</v>
      </c>
      <c r="AL446" s="7" t="str">
        <f>GenExp!A446</f>
        <v>Pike-Delta-York Local SD (CASH)</v>
      </c>
      <c r="AM446" s="7" t="b">
        <f t="shared" si="82"/>
        <v>1</v>
      </c>
      <c r="AN446" s="7" t="str">
        <f t="shared" si="75"/>
        <v>Fulton</v>
      </c>
      <c r="AO446" s="7" t="b">
        <f>C446=GenExp!C446</f>
        <v>1</v>
      </c>
    </row>
    <row r="447" spans="1:41">
      <c r="A447" s="12" t="s">
        <v>438</v>
      </c>
      <c r="B447" s="12"/>
      <c r="C447" s="12" t="s">
        <v>48</v>
      </c>
      <c r="D447" s="12"/>
      <c r="E447" s="12">
        <v>44644</v>
      </c>
      <c r="G447" s="7">
        <v>13106722</v>
      </c>
      <c r="I447" s="7">
        <f>834143+762</f>
        <v>834905</v>
      </c>
      <c r="K447" s="2">
        <f t="shared" si="94"/>
        <v>17050010</v>
      </c>
      <c r="M447" s="7">
        <v>30991637</v>
      </c>
      <c r="O447" s="2">
        <f t="shared" si="95"/>
        <v>4122669</v>
      </c>
      <c r="Q447" s="7">
        <f>12889793+53136</f>
        <v>12942929</v>
      </c>
      <c r="S447" s="7">
        <v>17065598</v>
      </c>
      <c r="U447" s="7">
        <v>60395</v>
      </c>
      <c r="W447" s="7">
        <v>7906631</v>
      </c>
      <c r="Y447" s="7">
        <v>0</v>
      </c>
      <c r="AA447" s="7">
        <v>690265</v>
      </c>
      <c r="AC447" s="7">
        <v>5268748</v>
      </c>
      <c r="AE447" s="13">
        <f t="shared" si="79"/>
        <v>13926039</v>
      </c>
      <c r="AG447" s="7">
        <f t="shared" si="80"/>
        <v>0</v>
      </c>
      <c r="AK447" s="7" t="str">
        <f t="shared" si="81"/>
        <v>Piqua City SD</v>
      </c>
      <c r="AL447" s="7" t="str">
        <f>GenExp!A447</f>
        <v>Piqua City SD</v>
      </c>
      <c r="AM447" s="7" t="b">
        <f t="shared" si="82"/>
        <v>1</v>
      </c>
      <c r="AN447" s="7" t="str">
        <f t="shared" si="75"/>
        <v>Miami</v>
      </c>
      <c r="AO447" s="7" t="b">
        <f>C447=GenExp!C447</f>
        <v>1</v>
      </c>
    </row>
    <row r="448" spans="1:41">
      <c r="A448" s="12" t="s">
        <v>312</v>
      </c>
      <c r="B448" s="12"/>
      <c r="C448" s="12" t="s">
        <v>62</v>
      </c>
      <c r="D448" s="12"/>
      <c r="E448" s="12">
        <v>49932</v>
      </c>
      <c r="G448" s="7">
        <v>16000776</v>
      </c>
      <c r="I448" s="7">
        <v>21387</v>
      </c>
      <c r="K448" s="2">
        <f t="shared" si="94"/>
        <v>32556267</v>
      </c>
      <c r="M448" s="7">
        <v>48578430</v>
      </c>
      <c r="O448" s="2">
        <f t="shared" si="95"/>
        <v>7839178</v>
      </c>
      <c r="Q448" s="7">
        <f>1629415+26590025</f>
        <v>28219440</v>
      </c>
      <c r="S448" s="7">
        <v>36058618</v>
      </c>
      <c r="U448" s="7">
        <f>114037+30256+355</f>
        <v>144648</v>
      </c>
      <c r="W448" s="7">
        <f>2374471+935498+788708+57409+68179+4417+3051+21387</f>
        <v>4253120</v>
      </c>
      <c r="Y448" s="7">
        <v>0</v>
      </c>
      <c r="AA448" s="7">
        <f>1169397+802119</f>
        <v>1971516</v>
      </c>
      <c r="AC448" s="7">
        <v>6150528</v>
      </c>
      <c r="AE448" s="13">
        <f t="shared" si="79"/>
        <v>12519812</v>
      </c>
      <c r="AG448" s="7">
        <f t="shared" si="80"/>
        <v>0</v>
      </c>
      <c r="AK448" s="7" t="str">
        <f t="shared" si="81"/>
        <v>Plain Local SD</v>
      </c>
      <c r="AL448" s="7" t="str">
        <f>GenExp!A448</f>
        <v>Plain Local SD</v>
      </c>
      <c r="AM448" s="7" t="b">
        <f t="shared" si="82"/>
        <v>1</v>
      </c>
      <c r="AN448" s="7" t="str">
        <f t="shared" si="75"/>
        <v>Stark</v>
      </c>
      <c r="AO448" s="7" t="b">
        <f>C448=GenExp!C448</f>
        <v>1</v>
      </c>
    </row>
    <row r="449" spans="1:41">
      <c r="A449" s="12" t="s">
        <v>424</v>
      </c>
      <c r="B449" s="12"/>
      <c r="C449" s="12" t="s">
        <v>46</v>
      </c>
      <c r="D449" s="12"/>
      <c r="E449" s="12">
        <v>48421</v>
      </c>
      <c r="G449" s="7">
        <v>3908624</v>
      </c>
      <c r="I449" s="7">
        <v>223753</v>
      </c>
      <c r="K449" s="2">
        <f t="shared" si="94"/>
        <v>5034799</v>
      </c>
      <c r="M449" s="7">
        <v>9167176</v>
      </c>
      <c r="O449" s="2">
        <f t="shared" si="95"/>
        <v>1375321</v>
      </c>
      <c r="Q449" s="7">
        <v>2710548</v>
      </c>
      <c r="S449" s="7">
        <v>4085869</v>
      </c>
      <c r="U449" s="7">
        <v>0</v>
      </c>
      <c r="W449" s="7">
        <v>793187</v>
      </c>
      <c r="Y449" s="7">
        <v>11000</v>
      </c>
      <c r="AA449" s="7">
        <v>1387490</v>
      </c>
      <c r="AC449" s="7">
        <v>2889630</v>
      </c>
      <c r="AE449" s="13">
        <f t="shared" si="79"/>
        <v>5081307</v>
      </c>
      <c r="AG449" s="7">
        <f t="shared" si="80"/>
        <v>0</v>
      </c>
      <c r="AK449" s="7" t="str">
        <f t="shared" si="81"/>
        <v>Pleasant Local SD</v>
      </c>
      <c r="AL449" s="7" t="str">
        <f>GenExp!A449</f>
        <v>Pleasant Local SD</v>
      </c>
      <c r="AM449" s="7" t="b">
        <f t="shared" si="82"/>
        <v>1</v>
      </c>
      <c r="AN449" s="7" t="str">
        <f t="shared" si="75"/>
        <v>Marion</v>
      </c>
      <c r="AO449" s="7" t="b">
        <f>C449=GenExp!C449</f>
        <v>1</v>
      </c>
    </row>
    <row r="450" spans="1:41">
      <c r="A450" s="12" t="s">
        <v>486</v>
      </c>
      <c r="B450" s="12"/>
      <c r="C450" s="12" t="s">
        <v>110</v>
      </c>
      <c r="D450" s="12"/>
      <c r="E450" s="12">
        <v>49460</v>
      </c>
      <c r="G450" s="7">
        <f>3782990+312992</f>
        <v>4095982</v>
      </c>
      <c r="I450" s="7">
        <v>25818</v>
      </c>
      <c r="K450" s="2">
        <f t="shared" si="94"/>
        <v>2557072</v>
      </c>
      <c r="M450" s="7">
        <v>6678872</v>
      </c>
      <c r="O450" s="2">
        <f t="shared" si="95"/>
        <v>1113370</v>
      </c>
      <c r="Q450" s="7">
        <f>901207+855512</f>
        <v>1756719</v>
      </c>
      <c r="S450" s="7">
        <v>2870089</v>
      </c>
      <c r="U450" s="7">
        <f>44725+24066</f>
        <v>68791</v>
      </c>
      <c r="W450" s="7">
        <f>219990+584168+177059+21954+2211+58553+25818+83525</f>
        <v>1173278</v>
      </c>
      <c r="Y450" s="7">
        <f>102874+83411+187610+5000</f>
        <v>378895</v>
      </c>
      <c r="AA450" s="7">
        <f>1807+33658+939+44775+2715</f>
        <v>83894</v>
      </c>
      <c r="AC450" s="7">
        <v>2103925</v>
      </c>
      <c r="AE450" s="13">
        <f t="shared" si="79"/>
        <v>3808783</v>
      </c>
      <c r="AG450" s="7">
        <f t="shared" si="80"/>
        <v>0</v>
      </c>
      <c r="AK450" s="7" t="str">
        <f t="shared" si="81"/>
        <v>Plymouth-Shiloh Local SD</v>
      </c>
      <c r="AL450" s="7" t="str">
        <f>GenExp!A450</f>
        <v>Plymouth-Shiloh Local SD</v>
      </c>
      <c r="AM450" s="7" t="b">
        <f t="shared" si="82"/>
        <v>1</v>
      </c>
      <c r="AN450" s="7" t="str">
        <f t="shared" si="75"/>
        <v>Richland</v>
      </c>
      <c r="AO450" s="7" t="b">
        <f>C450=GenExp!C450</f>
        <v>1</v>
      </c>
    </row>
    <row r="451" spans="1:41">
      <c r="A451" s="12" t="s">
        <v>764</v>
      </c>
      <c r="B451" s="12"/>
      <c r="C451" s="12" t="s">
        <v>45</v>
      </c>
      <c r="D451" s="12"/>
      <c r="E451" s="12">
        <v>48348</v>
      </c>
      <c r="G451" s="7">
        <v>4900170</v>
      </c>
      <c r="I451" s="7">
        <v>77235</v>
      </c>
      <c r="K451" s="2">
        <f t="shared" si="94"/>
        <v>12472815</v>
      </c>
      <c r="M451" s="7">
        <v>17450220</v>
      </c>
      <c r="O451" s="2">
        <f t="shared" si="95"/>
        <v>3728472</v>
      </c>
      <c r="Q451" s="7">
        <v>12325636</v>
      </c>
      <c r="S451" s="7">
        <v>16054108</v>
      </c>
      <c r="U451" s="7">
        <v>20329</v>
      </c>
      <c r="W451" s="7">
        <v>1916661</v>
      </c>
      <c r="Y451" s="7">
        <v>247765</v>
      </c>
      <c r="AA451" s="7">
        <v>172584</v>
      </c>
      <c r="AC451" s="7">
        <v>-961227</v>
      </c>
      <c r="AE451" s="13">
        <f t="shared" si="79"/>
        <v>1396112</v>
      </c>
      <c r="AG451" s="7">
        <f t="shared" si="80"/>
        <v>0</v>
      </c>
      <c r="AK451" s="7" t="str">
        <f t="shared" si="81"/>
        <v xml:space="preserve">Poland Local SD </v>
      </c>
      <c r="AL451" s="7" t="str">
        <f>GenExp!A451</f>
        <v xml:space="preserve">Poland Local SD </v>
      </c>
      <c r="AM451" s="7" t="b">
        <f t="shared" si="82"/>
        <v>1</v>
      </c>
      <c r="AN451" s="7" t="str">
        <f t="shared" si="75"/>
        <v>Mahoning</v>
      </c>
      <c r="AO451" s="7" t="b">
        <f>C451=GenExp!C451</f>
        <v>1</v>
      </c>
    </row>
    <row r="452" spans="1:41" hidden="1">
      <c r="A452" s="12" t="s">
        <v>962</v>
      </c>
      <c r="B452" s="12"/>
      <c r="C452" s="12" t="s">
        <v>53</v>
      </c>
      <c r="D452" s="12"/>
      <c r="E452" s="12">
        <v>44651</v>
      </c>
      <c r="K452" s="2">
        <f t="shared" si="94"/>
        <v>0</v>
      </c>
      <c r="O452" s="2">
        <f t="shared" si="95"/>
        <v>0</v>
      </c>
      <c r="AE452" s="13">
        <f t="shared" si="79"/>
        <v>0</v>
      </c>
      <c r="AG452" s="7">
        <f t="shared" si="80"/>
        <v>0</v>
      </c>
      <c r="AI452" s="7" t="s">
        <v>903</v>
      </c>
      <c r="AK452" s="7" t="str">
        <f t="shared" si="81"/>
        <v>Port Clinton City SD (CASH)</v>
      </c>
      <c r="AL452" s="7" t="str">
        <f>GenExp!A452</f>
        <v>Port Clinton City SD (CASH)</v>
      </c>
      <c r="AM452" s="7" t="b">
        <f t="shared" si="82"/>
        <v>1</v>
      </c>
      <c r="AN452" s="7" t="str">
        <f t="shared" si="75"/>
        <v>Ottawa</v>
      </c>
      <c r="AO452" s="7" t="b">
        <f>C452=GenExp!C452</f>
        <v>1</v>
      </c>
    </row>
    <row r="453" spans="1:41">
      <c r="A453" s="12" t="s">
        <v>499</v>
      </c>
      <c r="B453" s="12"/>
      <c r="C453" s="12" t="s">
        <v>59</v>
      </c>
      <c r="D453" s="12"/>
      <c r="E453" s="12">
        <v>44669</v>
      </c>
      <c r="G453" s="7">
        <v>7555812</v>
      </c>
      <c r="I453" s="7">
        <v>129059</v>
      </c>
      <c r="K453" s="2">
        <f t="shared" si="94"/>
        <v>7447085</v>
      </c>
      <c r="M453" s="7">
        <v>15131956</v>
      </c>
      <c r="O453" s="2">
        <f t="shared" si="95"/>
        <v>2524100</v>
      </c>
      <c r="Q453" s="7">
        <v>6922160</v>
      </c>
      <c r="S453" s="7">
        <v>9446260</v>
      </c>
      <c r="U453" s="7">
        <v>91574</v>
      </c>
      <c r="W453" s="7">
        <v>4156850</v>
      </c>
      <c r="Y453" s="7">
        <v>913137</v>
      </c>
      <c r="AA453" s="7">
        <v>96410</v>
      </c>
      <c r="AC453" s="7">
        <v>427725</v>
      </c>
      <c r="AE453" s="13">
        <f t="shared" si="79"/>
        <v>5685696</v>
      </c>
      <c r="AG453" s="7">
        <f t="shared" si="80"/>
        <v>0</v>
      </c>
      <c r="AK453" s="7" t="str">
        <f t="shared" si="81"/>
        <v>Portsmouth City SD</v>
      </c>
      <c r="AL453" s="7" t="str">
        <f>GenExp!A453</f>
        <v>Portsmouth City SD</v>
      </c>
      <c r="AM453" s="7" t="b">
        <f t="shared" si="82"/>
        <v>1</v>
      </c>
      <c r="AN453" s="7" t="str">
        <f t="shared" si="75"/>
        <v>Scioto</v>
      </c>
      <c r="AO453" s="7" t="b">
        <f>C453=GenExp!C453</f>
        <v>1</v>
      </c>
    </row>
    <row r="454" spans="1:41" hidden="1">
      <c r="A454" s="12" t="s">
        <v>725</v>
      </c>
      <c r="B454" s="12"/>
      <c r="C454" s="12" t="s">
        <v>57</v>
      </c>
      <c r="D454" s="12"/>
      <c r="E454" s="12">
        <v>49288</v>
      </c>
      <c r="K454" s="2">
        <f t="shared" si="94"/>
        <v>0</v>
      </c>
      <c r="O454" s="2">
        <f t="shared" si="95"/>
        <v>0</v>
      </c>
      <c r="AE454" s="13">
        <f t="shared" si="79"/>
        <v>0</v>
      </c>
      <c r="AG454" s="7">
        <f t="shared" si="80"/>
        <v>0</v>
      </c>
      <c r="AI454" s="7" t="s">
        <v>959</v>
      </c>
      <c r="AK454" s="7" t="str">
        <f t="shared" si="81"/>
        <v>Preble Shawnee Local SD (CASH)</v>
      </c>
      <c r="AL454" s="7" t="str">
        <f>GenExp!A454</f>
        <v>Preble Shawnee Local SD (CASH)</v>
      </c>
      <c r="AM454" s="7" t="b">
        <f t="shared" si="82"/>
        <v>1</v>
      </c>
      <c r="AN454" s="7" t="str">
        <f t="shared" si="75"/>
        <v>Preble</v>
      </c>
      <c r="AO454" s="7" t="b">
        <f>C454=GenExp!C454</f>
        <v>1</v>
      </c>
    </row>
    <row r="455" spans="1:41">
      <c r="A455" s="12" t="s">
        <v>337</v>
      </c>
      <c r="B455" s="12"/>
      <c r="C455" s="12" t="s">
        <v>32</v>
      </c>
      <c r="D455" s="12"/>
      <c r="E455" s="12">
        <v>44677</v>
      </c>
      <c r="G455" s="7">
        <v>136403054</v>
      </c>
      <c r="I455" s="7">
        <v>212907</v>
      </c>
      <c r="K455" s="2">
        <f t="shared" si="94"/>
        <v>56313218</v>
      </c>
      <c r="M455" s="7">
        <v>192929179</v>
      </c>
      <c r="O455" s="2">
        <f t="shared" si="95"/>
        <v>12139683</v>
      </c>
      <c r="Q455" s="7">
        <v>36070493</v>
      </c>
      <c r="S455" s="7">
        <v>48210176</v>
      </c>
      <c r="U455" s="7">
        <v>375185</v>
      </c>
      <c r="W455" s="7">
        <v>126136729</v>
      </c>
      <c r="Y455" s="7">
        <v>11000</v>
      </c>
      <c r="AA455" s="7">
        <v>1762134</v>
      </c>
      <c r="AC455" s="7">
        <v>16433955</v>
      </c>
      <c r="AE455" s="13">
        <f t="shared" si="79"/>
        <v>144719003</v>
      </c>
      <c r="AG455" s="7">
        <f t="shared" si="80"/>
        <v>0</v>
      </c>
      <c r="AK455" s="7" t="str">
        <f t="shared" si="81"/>
        <v>Princeton City SD</v>
      </c>
      <c r="AL455" s="7" t="str">
        <f>GenExp!A455</f>
        <v>Princeton City SD</v>
      </c>
      <c r="AM455" s="7" t="b">
        <f t="shared" si="82"/>
        <v>1</v>
      </c>
      <c r="AN455" s="7" t="str">
        <f t="shared" si="75"/>
        <v>Hamilton</v>
      </c>
      <c r="AO455" s="7" t="b">
        <f>C455=GenExp!C455</f>
        <v>1</v>
      </c>
    </row>
    <row r="456" spans="1:41" hidden="1">
      <c r="A456" s="12" t="s">
        <v>963</v>
      </c>
      <c r="B456" s="12"/>
      <c r="C456" s="12" t="s">
        <v>53</v>
      </c>
      <c r="D456" s="12"/>
      <c r="E456" s="12"/>
      <c r="K456" s="2">
        <f t="shared" ref="K456" si="96">M456-G456-I456</f>
        <v>0</v>
      </c>
      <c r="O456" s="2">
        <f t="shared" ref="O456" si="97">S456-Q456</f>
        <v>0</v>
      </c>
      <c r="AE456" s="13">
        <f t="shared" ref="AE456" si="98">U456+W456+Y456+AA456+AC456</f>
        <v>0</v>
      </c>
      <c r="AG456" s="7">
        <f t="shared" ref="AG456" si="99">+G456+I456+K456-O456-Q456-Y456-W456-U456-AA456-AC456</f>
        <v>0</v>
      </c>
      <c r="AI456" s="7" t="s">
        <v>964</v>
      </c>
      <c r="AK456" s="7" t="str">
        <f t="shared" ref="AK456" si="100">A456</f>
        <v>Put-in-Bay Local SD (CASH) (Two year Audit)</v>
      </c>
      <c r="AL456" s="7" t="str">
        <f>GenExp!A456</f>
        <v>Put-in-Bay Local SD (CASH) (Two year Audit)</v>
      </c>
      <c r="AM456" s="7" t="b">
        <f t="shared" ref="AM456" si="101">AK456=AL456</f>
        <v>1</v>
      </c>
      <c r="AN456" s="7" t="str">
        <f t="shared" ref="AN456" si="102">C456</f>
        <v>Ottawa</v>
      </c>
      <c r="AO456" s="7" t="b">
        <f>C456=GenExp!C456</f>
        <v>1</v>
      </c>
    </row>
    <row r="457" spans="1:41" hidden="1">
      <c r="A457" s="12" t="s">
        <v>965</v>
      </c>
      <c r="B457" s="12"/>
      <c r="C457" s="12" t="s">
        <v>12</v>
      </c>
      <c r="D457" s="12"/>
      <c r="E457" s="12">
        <v>45880</v>
      </c>
      <c r="K457" s="2">
        <f t="shared" si="94"/>
        <v>0</v>
      </c>
      <c r="O457" s="2">
        <f t="shared" si="95"/>
        <v>0</v>
      </c>
      <c r="AE457" s="13">
        <f t="shared" si="79"/>
        <v>0</v>
      </c>
      <c r="AG457" s="7">
        <f t="shared" si="80"/>
        <v>0</v>
      </c>
      <c r="AI457" s="7" t="s">
        <v>903</v>
      </c>
      <c r="AK457" s="7" t="str">
        <f t="shared" si="81"/>
        <v>Pymatuning Valley Local SD (CASH)</v>
      </c>
      <c r="AL457" s="7" t="str">
        <f>GenExp!A457</f>
        <v>Pymatuning Valley Local SD (CASH)</v>
      </c>
      <c r="AM457" s="7" t="b">
        <f t="shared" si="82"/>
        <v>1</v>
      </c>
      <c r="AN457" s="7" t="str">
        <f t="shared" si="75"/>
        <v>Ashtabula</v>
      </c>
      <c r="AO457" s="7" t="b">
        <f>C457=GenExp!C457</f>
        <v>1</v>
      </c>
    </row>
    <row r="458" spans="1:41" s="32" customFormat="1">
      <c r="A458" s="31" t="s">
        <v>659</v>
      </c>
      <c r="B458" s="31"/>
      <c r="C458" s="31" t="s">
        <v>56</v>
      </c>
      <c r="D458" s="31"/>
      <c r="E458" s="31"/>
      <c r="G458" s="32">
        <v>6732786</v>
      </c>
      <c r="I458" s="32">
        <v>180940</v>
      </c>
      <c r="K458" s="34">
        <f t="shared" si="94"/>
        <v>13808779</v>
      </c>
      <c r="M458" s="32">
        <v>20722505</v>
      </c>
      <c r="O458" s="34">
        <f t="shared" si="95"/>
        <v>3512946</v>
      </c>
      <c r="Q458" s="32">
        <v>12555132</v>
      </c>
      <c r="S458" s="32">
        <v>16068078</v>
      </c>
      <c r="U458" s="32">
        <v>0</v>
      </c>
      <c r="W458" s="32">
        <v>3301157</v>
      </c>
      <c r="Y458" s="32">
        <v>0</v>
      </c>
      <c r="AA458" s="32">
        <v>154990</v>
      </c>
      <c r="AC458" s="32">
        <v>1198280</v>
      </c>
      <c r="AE458" s="45">
        <f t="shared" si="79"/>
        <v>4654427</v>
      </c>
      <c r="AG458" s="32">
        <f t="shared" si="80"/>
        <v>0</v>
      </c>
      <c r="AK458" s="32" t="str">
        <f t="shared" si="81"/>
        <v>Ravenna City SD</v>
      </c>
      <c r="AL458" s="32" t="str">
        <f>GenExp!A458</f>
        <v>Ravenna City SD</v>
      </c>
      <c r="AM458" s="32" t="b">
        <f t="shared" si="82"/>
        <v>1</v>
      </c>
      <c r="AN458" s="32" t="str">
        <f t="shared" si="75"/>
        <v>Portage</v>
      </c>
      <c r="AO458" s="32" t="b">
        <f>C458=GenExp!C458</f>
        <v>1</v>
      </c>
    </row>
    <row r="459" spans="1:41">
      <c r="A459" s="12" t="s">
        <v>338</v>
      </c>
      <c r="B459" s="12"/>
      <c r="C459" s="12" t="s">
        <v>32</v>
      </c>
      <c r="D459" s="12"/>
      <c r="E459" s="12">
        <v>44693</v>
      </c>
      <c r="G459" s="7">
        <v>2789621</v>
      </c>
      <c r="I459" s="7">
        <v>0</v>
      </c>
      <c r="K459" s="2">
        <f t="shared" si="94"/>
        <v>8155430</v>
      </c>
      <c r="M459" s="7">
        <v>10945051</v>
      </c>
      <c r="O459" s="2">
        <f t="shared" si="95"/>
        <v>1403115</v>
      </c>
      <c r="Q459" s="7">
        <v>5144905</v>
      </c>
      <c r="S459" s="7">
        <v>6548020</v>
      </c>
      <c r="U459" s="7">
        <v>116652</v>
      </c>
      <c r="W459" s="7">
        <f>200000+48168+11354+76639+28516+49425+48926</f>
        <v>463028</v>
      </c>
      <c r="Y459" s="7">
        <f>79050+27820+163590</f>
        <v>270460</v>
      </c>
      <c r="AA459" s="7">
        <f>34149+56677</f>
        <v>90826</v>
      </c>
      <c r="AC459" s="7">
        <v>3456065</v>
      </c>
      <c r="AE459" s="13">
        <f t="shared" si="79"/>
        <v>4397031</v>
      </c>
      <c r="AG459" s="7">
        <f t="shared" si="80"/>
        <v>0</v>
      </c>
      <c r="AI459" s="7" t="s">
        <v>967</v>
      </c>
      <c r="AK459" s="7" t="str">
        <f t="shared" si="81"/>
        <v>Reading Community City SD</v>
      </c>
      <c r="AL459" s="7" t="str">
        <f>GenExp!A459</f>
        <v>Reading Community City SD</v>
      </c>
      <c r="AM459" s="7" t="b">
        <f t="shared" si="82"/>
        <v>1</v>
      </c>
      <c r="AN459" s="7" t="str">
        <f t="shared" si="75"/>
        <v>Hamilton</v>
      </c>
      <c r="AO459" s="7" t="b">
        <f>C459=GenExp!C459</f>
        <v>1</v>
      </c>
    </row>
    <row r="460" spans="1:41">
      <c r="A460" s="12" t="s">
        <v>529</v>
      </c>
      <c r="B460" s="12"/>
      <c r="C460" s="12" t="s">
        <v>63</v>
      </c>
      <c r="D460" s="12"/>
      <c r="E460" s="12">
        <v>50054</v>
      </c>
      <c r="G460" s="7">
        <v>18543784</v>
      </c>
      <c r="I460" s="7">
        <v>11761</v>
      </c>
      <c r="K460" s="2">
        <f t="shared" si="94"/>
        <v>28904218</v>
      </c>
      <c r="M460" s="7">
        <v>47459763</v>
      </c>
      <c r="O460" s="2">
        <f t="shared" si="95"/>
        <v>4368997</v>
      </c>
      <c r="Q460" s="7">
        <v>25690310</v>
      </c>
      <c r="S460" s="7">
        <v>30059307</v>
      </c>
      <c r="U460" s="7">
        <v>0</v>
      </c>
      <c r="W460" s="7">
        <v>3954236</v>
      </c>
      <c r="Y460" s="7">
        <v>90686</v>
      </c>
      <c r="AA460" s="7">
        <v>925609</v>
      </c>
      <c r="AC460" s="7">
        <v>12429925</v>
      </c>
      <c r="AE460" s="13">
        <f t="shared" si="79"/>
        <v>17400456</v>
      </c>
      <c r="AG460" s="7">
        <f t="shared" si="80"/>
        <v>0</v>
      </c>
      <c r="AK460" s="7" t="str">
        <f t="shared" si="81"/>
        <v>Revere Local SD</v>
      </c>
      <c r="AL460" s="7" t="str">
        <f>GenExp!A460</f>
        <v>Revere Local SD</v>
      </c>
      <c r="AM460" s="7" t="b">
        <f t="shared" si="82"/>
        <v>1</v>
      </c>
      <c r="AN460" s="7" t="str">
        <f t="shared" si="75"/>
        <v>Summit</v>
      </c>
      <c r="AO460" s="7" t="b">
        <f>C460=GenExp!C460</f>
        <v>1</v>
      </c>
    </row>
    <row r="461" spans="1:41" hidden="1">
      <c r="A461" s="12" t="s">
        <v>968</v>
      </c>
      <c r="B461" s="12"/>
      <c r="C461" s="12" t="s">
        <v>27</v>
      </c>
      <c r="D461" s="12"/>
      <c r="E461" s="12">
        <v>47001</v>
      </c>
      <c r="K461" s="2">
        <f t="shared" si="94"/>
        <v>0</v>
      </c>
      <c r="O461" s="2">
        <f t="shared" si="95"/>
        <v>0</v>
      </c>
      <c r="AE461" s="13">
        <f t="shared" si="79"/>
        <v>0</v>
      </c>
      <c r="AG461" s="7">
        <f t="shared" si="80"/>
        <v>0</v>
      </c>
      <c r="AI461" s="7" t="s">
        <v>903</v>
      </c>
      <c r="AK461" s="7" t="str">
        <f t="shared" si="81"/>
        <v>Reynoldsburg City SD (CASH)</v>
      </c>
      <c r="AL461" s="7" t="str">
        <f>GenExp!A461</f>
        <v>Reynoldsburg City SD (CASH)</v>
      </c>
      <c r="AM461" s="7" t="b">
        <f t="shared" si="82"/>
        <v>1</v>
      </c>
      <c r="AN461" s="7" t="str">
        <f t="shared" si="75"/>
        <v>Franklin</v>
      </c>
      <c r="AO461" s="7" t="b">
        <f>C461=GenExp!C461</f>
        <v>1</v>
      </c>
    </row>
    <row r="462" spans="1:41">
      <c r="A462" s="12" t="s">
        <v>282</v>
      </c>
      <c r="B462" s="12"/>
      <c r="C462" s="12" t="s">
        <v>20</v>
      </c>
      <c r="D462" s="12"/>
      <c r="E462" s="12">
        <v>46599</v>
      </c>
      <c r="G462" s="7">
        <v>134245</v>
      </c>
      <c r="I462" s="7">
        <v>188355</v>
      </c>
      <c r="K462" s="2">
        <f t="shared" si="94"/>
        <v>12272011</v>
      </c>
      <c r="M462" s="7">
        <v>12594611</v>
      </c>
      <c r="O462" s="2">
        <f t="shared" si="95"/>
        <v>1876300</v>
      </c>
      <c r="Q462" s="7">
        <v>9038904</v>
      </c>
      <c r="S462" s="7">
        <v>10915204</v>
      </c>
      <c r="U462" s="7">
        <v>0</v>
      </c>
      <c r="W462" s="7">
        <v>188058</v>
      </c>
      <c r="Y462" s="7">
        <v>7435</v>
      </c>
      <c r="AA462" s="7">
        <v>136417</v>
      </c>
      <c r="AC462" s="7">
        <v>1347497</v>
      </c>
      <c r="AE462" s="13">
        <f t="shared" si="79"/>
        <v>1679407</v>
      </c>
      <c r="AG462" s="7">
        <f t="shared" si="80"/>
        <v>0</v>
      </c>
      <c r="AK462" s="7" t="str">
        <f t="shared" si="81"/>
        <v>Richmond Heights Local SD</v>
      </c>
      <c r="AL462" s="7" t="str">
        <f>GenExp!A462</f>
        <v>Richmond Heights Local SD</v>
      </c>
      <c r="AM462" s="7" t="b">
        <f t="shared" si="82"/>
        <v>1</v>
      </c>
      <c r="AN462" s="7" t="str">
        <f t="shared" si="75"/>
        <v>Cuyahoga</v>
      </c>
      <c r="AO462" s="7" t="b">
        <f>C462=GenExp!C462</f>
        <v>1</v>
      </c>
    </row>
    <row r="463" spans="1:41" ht="13.5" customHeight="1">
      <c r="A463" s="12" t="s">
        <v>425</v>
      </c>
      <c r="B463" s="12"/>
      <c r="C463" s="12" t="s">
        <v>46</v>
      </c>
      <c r="D463" s="12"/>
      <c r="E463" s="12">
        <v>48439</v>
      </c>
      <c r="G463" s="7">
        <f>2481234+3728</f>
        <v>2484962</v>
      </c>
      <c r="I463" s="7">
        <v>194730</v>
      </c>
      <c r="K463" s="2">
        <f t="shared" si="94"/>
        <v>3331905</v>
      </c>
      <c r="M463" s="7">
        <v>6011597</v>
      </c>
      <c r="O463" s="2">
        <f t="shared" si="95"/>
        <v>951981</v>
      </c>
      <c r="Q463" s="7">
        <v>2272276</v>
      </c>
      <c r="S463" s="7">
        <v>3224257</v>
      </c>
      <c r="U463" s="7">
        <v>0</v>
      </c>
      <c r="W463" s="7">
        <v>304150</v>
      </c>
      <c r="Y463" s="7">
        <v>0</v>
      </c>
      <c r="AA463" s="7">
        <v>18975</v>
      </c>
      <c r="AC463" s="7">
        <v>2464215</v>
      </c>
      <c r="AE463" s="13">
        <f t="shared" si="79"/>
        <v>2787340</v>
      </c>
      <c r="AG463" s="7">
        <f t="shared" si="80"/>
        <v>0</v>
      </c>
      <c r="AK463" s="7" t="str">
        <f t="shared" si="81"/>
        <v>Ridgedale Local SD</v>
      </c>
      <c r="AL463" s="7" t="str">
        <f>GenExp!A463</f>
        <v>Ridgedale Local SD</v>
      </c>
      <c r="AM463" s="7" t="b">
        <f t="shared" si="82"/>
        <v>1</v>
      </c>
      <c r="AN463" s="7" t="str">
        <f t="shared" si="75"/>
        <v>Marion</v>
      </c>
      <c r="AO463" s="7" t="b">
        <f>C463=GenExp!C463</f>
        <v>1</v>
      </c>
    </row>
    <row r="464" spans="1:41">
      <c r="A464" s="12" t="s">
        <v>752</v>
      </c>
      <c r="B464" s="12"/>
      <c r="C464" s="12" t="s">
        <v>348</v>
      </c>
      <c r="D464" s="12"/>
      <c r="E464" s="12">
        <v>47506</v>
      </c>
      <c r="G464" s="7">
        <v>1157103</v>
      </c>
      <c r="I464" s="7">
        <v>0</v>
      </c>
      <c r="K464" s="2">
        <f t="shared" si="94"/>
        <v>1350371</v>
      </c>
      <c r="M464" s="7">
        <v>2507474</v>
      </c>
      <c r="O464" s="2">
        <f t="shared" si="95"/>
        <v>782651</v>
      </c>
      <c r="Q464" s="7">
        <v>802562</v>
      </c>
      <c r="S464" s="7">
        <v>1585213</v>
      </c>
      <c r="U464" s="7">
        <v>52085</v>
      </c>
      <c r="W464" s="7">
        <v>409995</v>
      </c>
      <c r="Y464" s="7">
        <v>0</v>
      </c>
      <c r="AA464" s="7">
        <v>6121</v>
      </c>
      <c r="AC464" s="7">
        <v>454060</v>
      </c>
      <c r="AE464" s="13">
        <f t="shared" si="79"/>
        <v>922261</v>
      </c>
      <c r="AG464" s="7">
        <f t="shared" si="80"/>
        <v>0</v>
      </c>
      <c r="AK464" s="7" t="str">
        <f t="shared" si="81"/>
        <v xml:space="preserve">Ridgemont Local SD </v>
      </c>
      <c r="AL464" s="7" t="str">
        <f>GenExp!A464</f>
        <v xml:space="preserve">Ridgemont Local SD </v>
      </c>
      <c r="AM464" s="7" t="b">
        <f t="shared" si="82"/>
        <v>1</v>
      </c>
      <c r="AN464" s="7" t="str">
        <f t="shared" ref="AN464:AN527" si="103">C464</f>
        <v>Hardin</v>
      </c>
      <c r="AO464" s="7" t="b">
        <f>C464=GenExp!C464</f>
        <v>1</v>
      </c>
    </row>
    <row r="465" spans="1:41">
      <c r="A465" s="12" t="s">
        <v>260</v>
      </c>
      <c r="B465" s="12"/>
      <c r="C465" s="12" t="s">
        <v>19</v>
      </c>
      <c r="D465" s="12"/>
      <c r="E465" s="12">
        <v>46474</v>
      </c>
      <c r="G465" s="7">
        <v>4604630</v>
      </c>
      <c r="I465" s="7">
        <v>42320</v>
      </c>
      <c r="K465" s="2">
        <f t="shared" si="94"/>
        <v>3358331</v>
      </c>
      <c r="M465" s="7">
        <v>8005281</v>
      </c>
      <c r="O465" s="2">
        <f t="shared" si="95"/>
        <v>1321588</v>
      </c>
      <c r="Q465" s="7">
        <f>878740+2270907</f>
        <v>3149647</v>
      </c>
      <c r="S465" s="7">
        <v>4471235</v>
      </c>
      <c r="U465" s="7">
        <f>14939+20359</f>
        <v>35298</v>
      </c>
      <c r="W465" s="7">
        <f>596638+5599+239476+520002+4557+1973+62026+59585+42320</f>
        <v>1532176</v>
      </c>
      <c r="Y465" s="7">
        <f>35+40607</f>
        <v>40642</v>
      </c>
      <c r="AA465" s="7">
        <f>5621+58615+2+56</f>
        <v>64294</v>
      </c>
      <c r="AC465" s="7">
        <v>1861636</v>
      </c>
      <c r="AE465" s="13">
        <f t="shared" si="79"/>
        <v>3534046</v>
      </c>
      <c r="AG465" s="7">
        <f t="shared" si="80"/>
        <v>0</v>
      </c>
      <c r="AK465" s="7" t="str">
        <f t="shared" si="81"/>
        <v>Ridgewood Local SD</v>
      </c>
      <c r="AL465" s="7" t="str">
        <f>GenExp!A465</f>
        <v>Ridgewood Local SD</v>
      </c>
      <c r="AM465" s="7" t="b">
        <f t="shared" si="82"/>
        <v>1</v>
      </c>
      <c r="AN465" s="7" t="str">
        <f t="shared" si="103"/>
        <v>Coshocton</v>
      </c>
      <c r="AO465" s="7" t="b">
        <f>C465=GenExp!C465</f>
        <v>1</v>
      </c>
    </row>
    <row r="466" spans="1:41" hidden="1">
      <c r="A466" s="12" t="s">
        <v>969</v>
      </c>
      <c r="B466" s="12"/>
      <c r="C466" s="12" t="s">
        <v>77</v>
      </c>
      <c r="D466" s="12"/>
      <c r="E466" s="12">
        <v>46078</v>
      </c>
      <c r="K466" s="2">
        <f t="shared" si="94"/>
        <v>0</v>
      </c>
      <c r="O466" s="2">
        <f t="shared" si="95"/>
        <v>0</v>
      </c>
      <c r="AE466" s="13">
        <f t="shared" si="79"/>
        <v>0</v>
      </c>
      <c r="AG466" s="7">
        <f t="shared" si="80"/>
        <v>0</v>
      </c>
      <c r="AI466" s="7" t="s">
        <v>903</v>
      </c>
      <c r="AK466" s="7" t="str">
        <f t="shared" si="81"/>
        <v>Ripley Union Lewis Huntington Local SD (CASH)</v>
      </c>
      <c r="AL466" s="7" t="str">
        <f>GenExp!A466</f>
        <v>Ripley Union Lewis Huntington Local SD (CASH)</v>
      </c>
      <c r="AM466" s="7" t="b">
        <f t="shared" si="82"/>
        <v>1</v>
      </c>
      <c r="AN466" s="7" t="str">
        <f t="shared" si="103"/>
        <v>Brown</v>
      </c>
      <c r="AO466" s="7" t="b">
        <f>C466=GenExp!C466</f>
        <v>1</v>
      </c>
    </row>
    <row r="467" spans="1:41" hidden="1">
      <c r="A467" s="12" t="s">
        <v>970</v>
      </c>
      <c r="B467" s="12"/>
      <c r="C467" s="12" t="s">
        <v>71</v>
      </c>
      <c r="D467" s="12"/>
      <c r="E467" s="12">
        <v>45591</v>
      </c>
      <c r="K467" s="2">
        <f t="shared" si="94"/>
        <v>0</v>
      </c>
      <c r="O467" s="2">
        <f t="shared" si="95"/>
        <v>0</v>
      </c>
      <c r="AE467" s="13">
        <f t="shared" si="79"/>
        <v>0</v>
      </c>
      <c r="AG467" s="7">
        <f t="shared" si="80"/>
        <v>0</v>
      </c>
      <c r="AI467" s="7" t="s">
        <v>903</v>
      </c>
      <c r="AK467" s="7" t="str">
        <f t="shared" si="81"/>
        <v>Rittman Exempted Village SD (CASH)</v>
      </c>
      <c r="AL467" s="7" t="str">
        <f>GenExp!A467</f>
        <v>Rittman Exempted Village SD (CASH)</v>
      </c>
      <c r="AM467" s="7" t="b">
        <f t="shared" si="82"/>
        <v>1</v>
      </c>
      <c r="AN467" s="7" t="str">
        <f t="shared" si="103"/>
        <v>Wayne</v>
      </c>
      <c r="AO467" s="7" t="b">
        <f>C467=GenExp!C467</f>
        <v>1</v>
      </c>
    </row>
    <row r="468" spans="1:41">
      <c r="A468" s="12" t="s">
        <v>426</v>
      </c>
      <c r="B468" s="12"/>
      <c r="C468" s="12" t="s">
        <v>46</v>
      </c>
      <c r="D468" s="12"/>
      <c r="E468" s="12">
        <v>48447</v>
      </c>
      <c r="G468" s="7">
        <f>4583295+302</f>
        <v>4583597</v>
      </c>
      <c r="I468" s="7">
        <v>33907</v>
      </c>
      <c r="K468" s="2">
        <f t="shared" si="94"/>
        <v>7966063</v>
      </c>
      <c r="M468" s="7">
        <v>12583567</v>
      </c>
      <c r="O468" s="2">
        <f t="shared" si="95"/>
        <v>2270287</v>
      </c>
      <c r="Q468" s="7">
        <v>4956314</v>
      </c>
      <c r="S468" s="7">
        <v>7226601</v>
      </c>
      <c r="U468" s="7">
        <v>371053</v>
      </c>
      <c r="W468" s="7">
        <v>2761063</v>
      </c>
      <c r="Y468" s="7">
        <v>0</v>
      </c>
      <c r="AA468" s="7">
        <v>53283</v>
      </c>
      <c r="AC468" s="7">
        <v>2171567</v>
      </c>
      <c r="AE468" s="13">
        <f t="shared" si="79"/>
        <v>5356966</v>
      </c>
      <c r="AG468" s="7">
        <f t="shared" si="80"/>
        <v>0</v>
      </c>
      <c r="AK468" s="7" t="str">
        <f t="shared" si="81"/>
        <v>River Valley Local SD</v>
      </c>
      <c r="AL468" s="7" t="str">
        <f>GenExp!A468</f>
        <v>River Valley Local SD</v>
      </c>
      <c r="AM468" s="7" t="b">
        <f t="shared" si="82"/>
        <v>1</v>
      </c>
      <c r="AN468" s="7" t="str">
        <f t="shared" si="103"/>
        <v>Marion</v>
      </c>
      <c r="AO468" s="7" t="b">
        <f>C468=GenExp!C468</f>
        <v>1</v>
      </c>
    </row>
    <row r="469" spans="1:41">
      <c r="A469" s="12" t="s">
        <v>261</v>
      </c>
      <c r="B469" s="12"/>
      <c r="C469" s="12" t="s">
        <v>19</v>
      </c>
      <c r="D469" s="12"/>
      <c r="E469" s="12">
        <v>46482</v>
      </c>
      <c r="G469" s="7">
        <v>7744288</v>
      </c>
      <c r="I469" s="7">
        <v>220543</v>
      </c>
      <c r="K469" s="2">
        <f t="shared" si="94"/>
        <v>10212890</v>
      </c>
      <c r="M469" s="7">
        <v>18177721</v>
      </c>
      <c r="O469" s="2">
        <f t="shared" si="95"/>
        <v>3107655</v>
      </c>
      <c r="Q469" s="7">
        <v>9413001</v>
      </c>
      <c r="S469" s="7">
        <v>12520656</v>
      </c>
      <c r="U469" s="7">
        <v>186809</v>
      </c>
      <c r="W469" s="7">
        <v>2192683</v>
      </c>
      <c r="Y469" s="7">
        <v>29206</v>
      </c>
      <c r="AA469" s="7">
        <v>304734</v>
      </c>
      <c r="AC469" s="7">
        <v>2943633</v>
      </c>
      <c r="AE469" s="13">
        <f t="shared" ref="AE469:AE531" si="104">U469+W469+Y469+AA469+AC469</f>
        <v>5657065</v>
      </c>
      <c r="AG469" s="7">
        <f t="shared" ref="AG469:AG531" si="105">+G469+I469+K469-O469-Q469-Y469-W469-U469-AA469-AC469</f>
        <v>0</v>
      </c>
      <c r="AK469" s="7" t="str">
        <f t="shared" ref="AK469:AK531" si="106">A469</f>
        <v>River View Local SD</v>
      </c>
      <c r="AL469" s="7" t="str">
        <f>GenExp!A469</f>
        <v>River View Local SD</v>
      </c>
      <c r="AM469" s="7" t="b">
        <f t="shared" ref="AM469:AM531" si="107">AK469=AL469</f>
        <v>1</v>
      </c>
      <c r="AN469" s="7" t="str">
        <f t="shared" si="103"/>
        <v>Coshocton</v>
      </c>
      <c r="AO469" s="7" t="b">
        <f>C469=GenExp!C469</f>
        <v>1</v>
      </c>
    </row>
    <row r="470" spans="1:41" hidden="1">
      <c r="A470" s="12" t="s">
        <v>971</v>
      </c>
      <c r="B470" s="12"/>
      <c r="C470" s="12" t="s">
        <v>348</v>
      </c>
      <c r="D470" s="12"/>
      <c r="E470" s="12">
        <v>47514</v>
      </c>
      <c r="K470" s="2">
        <f t="shared" si="94"/>
        <v>0</v>
      </c>
      <c r="O470" s="2">
        <f t="shared" si="95"/>
        <v>0</v>
      </c>
      <c r="AE470" s="13">
        <f t="shared" si="104"/>
        <v>0</v>
      </c>
      <c r="AG470" s="7">
        <f t="shared" si="105"/>
        <v>0</v>
      </c>
      <c r="AI470" s="7" t="s">
        <v>912</v>
      </c>
      <c r="AK470" s="7" t="str">
        <f t="shared" si="106"/>
        <v>Riverdale Local SD (CASH)</v>
      </c>
      <c r="AL470" s="7" t="str">
        <f>GenExp!A470</f>
        <v>Riverdale Local SD (CASH)</v>
      </c>
      <c r="AM470" s="7" t="b">
        <f t="shared" si="107"/>
        <v>1</v>
      </c>
      <c r="AN470" s="7" t="str">
        <f t="shared" si="103"/>
        <v>Hardin</v>
      </c>
      <c r="AO470" s="7" t="b">
        <f>C470=GenExp!C470</f>
        <v>1</v>
      </c>
    </row>
    <row r="471" spans="1:41">
      <c r="A471" s="12" t="s">
        <v>391</v>
      </c>
      <c r="B471" s="12"/>
      <c r="C471" s="12" t="s">
        <v>41</v>
      </c>
      <c r="D471" s="12"/>
      <c r="E471" s="12"/>
      <c r="G471" s="7">
        <v>2863398</v>
      </c>
      <c r="I471" s="7">
        <v>0</v>
      </c>
      <c r="K471" s="2">
        <f t="shared" si="94"/>
        <v>29768153</v>
      </c>
      <c r="M471" s="7">
        <v>32631551</v>
      </c>
      <c r="O471" s="2">
        <f t="shared" si="95"/>
        <v>5834405</v>
      </c>
      <c r="Q471" s="7">
        <v>25970152</v>
      </c>
      <c r="S471" s="7">
        <v>31804557</v>
      </c>
      <c r="U471" s="7">
        <v>176220</v>
      </c>
      <c r="W471" s="7">
        <v>2282819</v>
      </c>
      <c r="Y471" s="7">
        <v>0</v>
      </c>
      <c r="AA471" s="7">
        <v>11330</v>
      </c>
      <c r="AC471" s="7">
        <v>-1643375</v>
      </c>
      <c r="AE471" s="13">
        <f t="shared" si="104"/>
        <v>826994</v>
      </c>
      <c r="AG471" s="7">
        <f t="shared" si="105"/>
        <v>0</v>
      </c>
      <c r="AK471" s="7" t="str">
        <f t="shared" si="106"/>
        <v>Riverside Local SD</v>
      </c>
      <c r="AL471" s="7" t="str">
        <f>GenExp!A471</f>
        <v>Riverside Local SD</v>
      </c>
      <c r="AM471" s="7" t="b">
        <f t="shared" si="107"/>
        <v>1</v>
      </c>
      <c r="AN471" s="7" t="str">
        <f t="shared" si="103"/>
        <v>Lake</v>
      </c>
      <c r="AO471" s="7" t="b">
        <f>C471=GenExp!C471</f>
        <v>1</v>
      </c>
    </row>
    <row r="472" spans="1:41">
      <c r="A472" s="12" t="s">
        <v>391</v>
      </c>
      <c r="B472" s="12"/>
      <c r="C472" s="12" t="s">
        <v>43</v>
      </c>
      <c r="D472" s="12"/>
      <c r="E472" s="12">
        <v>48090</v>
      </c>
      <c r="G472" s="7">
        <v>992448</v>
      </c>
      <c r="I472" s="7">
        <v>17111</v>
      </c>
      <c r="K472" s="2">
        <f t="shared" si="94"/>
        <v>2425359</v>
      </c>
      <c r="M472" s="7">
        <v>3434918</v>
      </c>
      <c r="O472" s="2">
        <f t="shared" si="95"/>
        <v>1025191</v>
      </c>
      <c r="Q472" s="7">
        <f>405377+902878</f>
        <v>1308255</v>
      </c>
      <c r="S472" s="7">
        <v>2333446</v>
      </c>
      <c r="U472" s="7">
        <v>9524</v>
      </c>
      <c r="W472" s="7">
        <f>267943+233987+69679+85593+1+15486+17111+189</f>
        <v>689989</v>
      </c>
      <c r="Y472" s="7">
        <v>0</v>
      </c>
      <c r="AA472" s="7">
        <f>639+16344+599+5667</f>
        <v>23249</v>
      </c>
      <c r="AC472" s="7">
        <v>378710</v>
      </c>
      <c r="AE472" s="13">
        <f t="shared" si="104"/>
        <v>1101472</v>
      </c>
      <c r="AG472" s="7">
        <f t="shared" si="105"/>
        <v>0</v>
      </c>
      <c r="AK472" s="7" t="str">
        <f t="shared" si="106"/>
        <v>Riverside Local SD</v>
      </c>
      <c r="AL472" s="7" t="str">
        <f>GenExp!A472</f>
        <v>Riverside Local SD</v>
      </c>
      <c r="AM472" s="7" t="b">
        <f t="shared" si="107"/>
        <v>1</v>
      </c>
      <c r="AN472" s="7" t="str">
        <f t="shared" si="103"/>
        <v>Logan</v>
      </c>
      <c r="AO472" s="7" t="b">
        <f>C472=GenExp!C472</f>
        <v>1</v>
      </c>
    </row>
    <row r="473" spans="1:41">
      <c r="A473" s="12" t="s">
        <v>381</v>
      </c>
      <c r="B473" s="12"/>
      <c r="C473" s="12" t="s">
        <v>377</v>
      </c>
      <c r="D473" s="12"/>
      <c r="E473" s="12">
        <v>47944</v>
      </c>
      <c r="G473" s="7">
        <v>6592657</v>
      </c>
      <c r="I473" s="7">
        <v>279156</v>
      </c>
      <c r="K473" s="2">
        <f t="shared" si="94"/>
        <v>4388341</v>
      </c>
      <c r="M473" s="7">
        <v>11260154</v>
      </c>
      <c r="O473" s="2">
        <f t="shared" si="95"/>
        <v>2701685</v>
      </c>
      <c r="Q473" s="7">
        <v>4154418</v>
      </c>
      <c r="S473" s="7">
        <v>6856103</v>
      </c>
      <c r="U473" s="7">
        <v>0</v>
      </c>
      <c r="W473" s="7">
        <v>4704137</v>
      </c>
      <c r="Y473" s="7">
        <v>7761</v>
      </c>
      <c r="AA473" s="7">
        <v>467478</v>
      </c>
      <c r="AC473" s="7">
        <v>-775325</v>
      </c>
      <c r="AE473" s="13">
        <f t="shared" si="104"/>
        <v>4404051</v>
      </c>
      <c r="AG473" s="7">
        <f t="shared" si="105"/>
        <v>0</v>
      </c>
      <c r="AK473" s="7" t="str">
        <f t="shared" si="106"/>
        <v>Rock Hill Local SD</v>
      </c>
      <c r="AL473" s="7" t="str">
        <f>GenExp!A473</f>
        <v>Rock Hill Local SD</v>
      </c>
      <c r="AM473" s="7" t="b">
        <f t="shared" si="107"/>
        <v>1</v>
      </c>
      <c r="AN473" s="7" t="str">
        <f t="shared" si="103"/>
        <v>Lawrence</v>
      </c>
      <c r="AO473" s="7" t="b">
        <f>C473=GenExp!C473</f>
        <v>1</v>
      </c>
    </row>
    <row r="474" spans="1:41">
      <c r="A474" s="12" t="s">
        <v>753</v>
      </c>
      <c r="B474" s="12"/>
      <c r="C474" s="12" t="s">
        <v>20</v>
      </c>
      <c r="D474" s="12"/>
      <c r="E474" s="12">
        <v>44701</v>
      </c>
      <c r="G474" s="7">
        <v>44231422</v>
      </c>
      <c r="I474" s="7">
        <v>0</v>
      </c>
      <c r="K474" s="2">
        <f t="shared" si="94"/>
        <v>30439843</v>
      </c>
      <c r="M474" s="7">
        <v>74671265</v>
      </c>
      <c r="O474" s="2">
        <f t="shared" si="95"/>
        <v>6293453</v>
      </c>
      <c r="Q474" s="7">
        <f>1629965+23856811</f>
        <v>25486776</v>
      </c>
      <c r="S474" s="7">
        <v>31780229</v>
      </c>
      <c r="U474" s="7">
        <f>49560+18297+12327</f>
        <v>80184</v>
      </c>
      <c r="W474" s="7">
        <f>3825673+37228674+64945+16878+7509+14034+19659</f>
        <v>41177372</v>
      </c>
      <c r="Y474" s="7">
        <f>39164+16915</f>
        <v>56079</v>
      </c>
      <c r="AA474" s="7">
        <f>69569+453281+22881</f>
        <v>545731</v>
      </c>
      <c r="AC474" s="7">
        <v>1031670</v>
      </c>
      <c r="AE474" s="13">
        <f t="shared" si="104"/>
        <v>42891036</v>
      </c>
      <c r="AG474" s="7">
        <f t="shared" si="105"/>
        <v>0</v>
      </c>
      <c r="AK474" s="7" t="str">
        <f t="shared" si="106"/>
        <v xml:space="preserve">Rocky River City SD </v>
      </c>
      <c r="AL474" s="7" t="str">
        <f>GenExp!A474</f>
        <v xml:space="preserve">Rocky River City SD </v>
      </c>
      <c r="AM474" s="7" t="b">
        <f t="shared" si="107"/>
        <v>1</v>
      </c>
      <c r="AN474" s="7" t="str">
        <f t="shared" si="103"/>
        <v>Cuyahoga</v>
      </c>
      <c r="AO474" s="7" t="b">
        <f>C474=GenExp!C474</f>
        <v>1</v>
      </c>
    </row>
    <row r="475" spans="1:41">
      <c r="A475" s="12" t="s">
        <v>329</v>
      </c>
      <c r="B475" s="12"/>
      <c r="C475" s="12" t="s">
        <v>31</v>
      </c>
      <c r="D475" s="12"/>
      <c r="E475" s="12">
        <v>47308</v>
      </c>
      <c r="G475" s="7">
        <v>2740309</v>
      </c>
      <c r="I475" s="7">
        <v>336468</v>
      </c>
      <c r="K475" s="2">
        <f t="shared" si="94"/>
        <v>7983454</v>
      </c>
      <c r="M475" s="7">
        <v>11060231</v>
      </c>
      <c r="O475" s="2">
        <f t="shared" si="95"/>
        <v>2394542</v>
      </c>
      <c r="Q475" s="7">
        <v>5784265</v>
      </c>
      <c r="S475" s="7">
        <v>8178807</v>
      </c>
      <c r="U475" s="7">
        <f>102516+36029+2084</f>
        <v>140629</v>
      </c>
      <c r="W475" s="7">
        <f>35356+296928+37456+21294+50411+63946+218315</f>
        <v>723706</v>
      </c>
      <c r="Y475" s="7">
        <v>0</v>
      </c>
      <c r="AA475" s="7">
        <v>0</v>
      </c>
      <c r="AC475" s="7">
        <v>2017089</v>
      </c>
      <c r="AE475" s="13">
        <f t="shared" si="104"/>
        <v>2881424</v>
      </c>
      <c r="AG475" s="7">
        <f t="shared" si="105"/>
        <v>0</v>
      </c>
      <c r="AK475" s="7" t="str">
        <f t="shared" si="106"/>
        <v>Rolling Hills Local SD</v>
      </c>
      <c r="AL475" s="7" t="str">
        <f>GenExp!A475</f>
        <v>Rolling Hills Local SD</v>
      </c>
      <c r="AM475" s="7" t="b">
        <f t="shared" si="107"/>
        <v>1</v>
      </c>
      <c r="AN475" s="7" t="str">
        <f t="shared" si="103"/>
        <v>Guernsey</v>
      </c>
      <c r="AO475" s="7" t="b">
        <f>C475=GenExp!C475</f>
        <v>1</v>
      </c>
    </row>
    <row r="476" spans="1:41">
      <c r="A476" s="12" t="s">
        <v>477</v>
      </c>
      <c r="B476" s="12"/>
      <c r="C476" s="12" t="s">
        <v>56</v>
      </c>
      <c r="D476" s="12"/>
      <c r="E476" s="12">
        <v>49213</v>
      </c>
      <c r="G476" s="7">
        <v>1437949</v>
      </c>
      <c r="I476" s="7">
        <v>143208</v>
      </c>
      <c r="K476" s="2">
        <f t="shared" si="94"/>
        <v>5587300</v>
      </c>
      <c r="M476" s="7">
        <v>7168457</v>
      </c>
      <c r="O476" s="2">
        <f t="shared" si="95"/>
        <v>1402071</v>
      </c>
      <c r="Q476" s="7">
        <v>5050704</v>
      </c>
      <c r="S476" s="7">
        <v>6452775</v>
      </c>
      <c r="U476" s="7">
        <v>0</v>
      </c>
      <c r="W476" s="7">
        <v>928920</v>
      </c>
      <c r="Y476" s="7">
        <v>0</v>
      </c>
      <c r="AA476" s="7">
        <v>79410</v>
      </c>
      <c r="AC476" s="7">
        <v>-292648</v>
      </c>
      <c r="AE476" s="13">
        <f t="shared" si="104"/>
        <v>715682</v>
      </c>
      <c r="AG476" s="7">
        <f t="shared" si="105"/>
        <v>0</v>
      </c>
      <c r="AI476" s="7" t="s">
        <v>972</v>
      </c>
      <c r="AK476" s="7" t="str">
        <f t="shared" si="106"/>
        <v>Rootstown Local SD</v>
      </c>
      <c r="AL476" s="7" t="str">
        <f>GenExp!A476</f>
        <v>Rootstown Local SD</v>
      </c>
      <c r="AM476" s="7" t="b">
        <f t="shared" si="107"/>
        <v>1</v>
      </c>
      <c r="AN476" s="7" t="str">
        <f t="shared" si="103"/>
        <v>Portage</v>
      </c>
      <c r="AO476" s="7" t="b">
        <f>C476=GenExp!C476</f>
        <v>1</v>
      </c>
    </row>
    <row r="477" spans="1:41">
      <c r="A477" s="12" t="s">
        <v>754</v>
      </c>
      <c r="B477" s="12"/>
      <c r="C477" s="12" t="s">
        <v>223</v>
      </c>
      <c r="D477" s="12"/>
      <c r="E477" s="12">
        <v>46144</v>
      </c>
      <c r="G477" s="7">
        <v>14805581</v>
      </c>
      <c r="I477" s="7">
        <v>392800</v>
      </c>
      <c r="K477" s="2">
        <f t="shared" si="94"/>
        <v>14585106</v>
      </c>
      <c r="M477" s="7">
        <v>29783487</v>
      </c>
      <c r="O477" s="2">
        <f t="shared" si="95"/>
        <v>3912322</v>
      </c>
      <c r="Q477" s="7">
        <v>12797663</v>
      </c>
      <c r="S477" s="7">
        <v>16709985</v>
      </c>
      <c r="U477" s="7">
        <v>40296</v>
      </c>
      <c r="W477" s="7">
        <v>10330608</v>
      </c>
      <c r="Y477" s="7">
        <v>0</v>
      </c>
      <c r="AA477" s="7">
        <v>598604</v>
      </c>
      <c r="AC477" s="7">
        <v>2103994</v>
      </c>
      <c r="AE477" s="13">
        <f t="shared" si="104"/>
        <v>13073502</v>
      </c>
      <c r="AG477" s="7">
        <f t="shared" si="105"/>
        <v>0</v>
      </c>
      <c r="AK477" s="7" t="str">
        <f t="shared" si="106"/>
        <v xml:space="preserve">Ross Local SD </v>
      </c>
      <c r="AL477" s="7" t="str">
        <f>GenExp!A477</f>
        <v xml:space="preserve">Ross Local SD </v>
      </c>
      <c r="AM477" s="7" t="b">
        <f t="shared" si="107"/>
        <v>1</v>
      </c>
      <c r="AN477" s="7" t="str">
        <f t="shared" si="103"/>
        <v>Butler</v>
      </c>
      <c r="AO477" s="7" t="b">
        <f>C477=GenExp!C477</f>
        <v>1</v>
      </c>
    </row>
    <row r="478" spans="1:41">
      <c r="A478" s="12" t="s">
        <v>886</v>
      </c>
      <c r="B478" s="12"/>
      <c r="C478" s="12" t="s">
        <v>72</v>
      </c>
      <c r="D478" s="12"/>
      <c r="E478" s="12">
        <v>45609</v>
      </c>
      <c r="G478" s="7">
        <v>9721885</v>
      </c>
      <c r="I478" s="7">
        <v>1446759</v>
      </c>
      <c r="K478" s="2">
        <f t="shared" si="94"/>
        <v>13661801</v>
      </c>
      <c r="M478" s="7">
        <v>24830445</v>
      </c>
      <c r="O478" s="2">
        <f t="shared" si="95"/>
        <v>3826005</v>
      </c>
      <c r="Q478" s="7">
        <v>10277512</v>
      </c>
      <c r="S478" s="7">
        <v>14103517</v>
      </c>
      <c r="U478" s="7">
        <v>60327</v>
      </c>
      <c r="W478" s="7">
        <v>1723605</v>
      </c>
      <c r="Y478" s="7">
        <v>0</v>
      </c>
      <c r="AA478" s="7">
        <v>1288492</v>
      </c>
      <c r="AC478" s="7">
        <v>7654504</v>
      </c>
      <c r="AE478" s="13">
        <f t="shared" si="104"/>
        <v>10726928</v>
      </c>
      <c r="AG478" s="7">
        <f t="shared" si="105"/>
        <v>0</v>
      </c>
      <c r="AK478" s="7" t="str">
        <f t="shared" si="106"/>
        <v>Rossford Exempted Village SD</v>
      </c>
      <c r="AL478" s="7" t="str">
        <f>GenExp!A478</f>
        <v>Rossford Exempted Village SD</v>
      </c>
      <c r="AM478" s="7" t="b">
        <f t="shared" si="107"/>
        <v>1</v>
      </c>
      <c r="AN478" s="7" t="str">
        <f t="shared" si="103"/>
        <v>Wood</v>
      </c>
      <c r="AO478" s="7" t="b">
        <f>C478=GenExp!C478</f>
        <v>1</v>
      </c>
    </row>
    <row r="479" spans="1:41">
      <c r="A479" s="12" t="s">
        <v>507</v>
      </c>
      <c r="B479" s="12"/>
      <c r="C479" s="12" t="s">
        <v>61</v>
      </c>
      <c r="D479" s="12"/>
      <c r="E479" s="12">
        <v>49817</v>
      </c>
      <c r="G479" s="7">
        <f>4690096+1500</f>
        <v>4691596</v>
      </c>
      <c r="I479" s="7">
        <v>3342</v>
      </c>
      <c r="K479" s="2">
        <f t="shared" si="94"/>
        <v>1660675</v>
      </c>
      <c r="M479" s="7">
        <v>6355613</v>
      </c>
      <c r="O479" s="2">
        <f t="shared" si="95"/>
        <v>1189915</v>
      </c>
      <c r="Q479" s="7">
        <v>1306211</v>
      </c>
      <c r="S479" s="7">
        <v>2496126</v>
      </c>
      <c r="U479" s="7">
        <v>14552</v>
      </c>
      <c r="W479" s="7">
        <v>2959420</v>
      </c>
      <c r="Y479" s="7">
        <v>0</v>
      </c>
      <c r="AA479" s="7">
        <v>885567</v>
      </c>
      <c r="AC479" s="7">
        <v>-52</v>
      </c>
      <c r="AE479" s="13">
        <f t="shared" si="104"/>
        <v>3859487</v>
      </c>
      <c r="AG479" s="7">
        <f t="shared" si="105"/>
        <v>0</v>
      </c>
      <c r="AK479" s="7" t="str">
        <f t="shared" si="106"/>
        <v>Russia Local SD</v>
      </c>
      <c r="AL479" s="7" t="str">
        <f>GenExp!A479</f>
        <v>Russia Local SD</v>
      </c>
      <c r="AM479" s="7" t="b">
        <f t="shared" si="107"/>
        <v>1</v>
      </c>
      <c r="AN479" s="7" t="str">
        <f t="shared" si="103"/>
        <v>Shelby</v>
      </c>
      <c r="AO479" s="7" t="b">
        <f>C479=GenExp!C479</f>
        <v>1</v>
      </c>
    </row>
    <row r="480" spans="1:41">
      <c r="A480" s="12" t="s">
        <v>632</v>
      </c>
      <c r="B480" s="12"/>
      <c r="C480" s="12" t="s">
        <v>112</v>
      </c>
      <c r="D480" s="12"/>
      <c r="E480" s="12"/>
      <c r="G480" s="7">
        <f>4007497+106203</f>
        <v>4113700</v>
      </c>
      <c r="I480" s="7">
        <v>71338</v>
      </c>
      <c r="K480" s="2">
        <f t="shared" ref="K480:K529" si="108">M480-G480-I480</f>
        <v>9665809</v>
      </c>
      <c r="M480" s="7">
        <v>13850847</v>
      </c>
      <c r="O480" s="2">
        <f t="shared" ref="O480:O529" si="109">S480-Q480</f>
        <v>2854026</v>
      </c>
      <c r="Q480" s="7">
        <f>855106+8572591</f>
        <v>9427697</v>
      </c>
      <c r="S480" s="7">
        <v>12281723</v>
      </c>
      <c r="U480" s="7">
        <f>11207+13090+3033</f>
        <v>27330</v>
      </c>
      <c r="W480" s="7">
        <f>585971+73906+20510+22724+5605+71338+141213</f>
        <v>921267</v>
      </c>
      <c r="Y480" s="7">
        <f>292985+11000</f>
        <v>303985</v>
      </c>
      <c r="AA480" s="7">
        <f>32185+73303+379254+15499+534403+11168</f>
        <v>1045812</v>
      </c>
      <c r="AC480" s="7">
        <v>-729270</v>
      </c>
      <c r="AE480" s="13">
        <f t="shared" si="104"/>
        <v>1569124</v>
      </c>
      <c r="AG480" s="7">
        <f t="shared" si="105"/>
        <v>0</v>
      </c>
      <c r="AK480" s="7" t="str">
        <f t="shared" si="106"/>
        <v>Salem City SD</v>
      </c>
      <c r="AL480" s="7" t="str">
        <f>GenExp!A480</f>
        <v>Salem City SD</v>
      </c>
      <c r="AM480" s="7" t="b">
        <f t="shared" si="107"/>
        <v>1</v>
      </c>
      <c r="AN480" s="7" t="str">
        <f t="shared" si="103"/>
        <v>Columbiana</v>
      </c>
      <c r="AO480" s="7" t="b">
        <f>C480=GenExp!C480</f>
        <v>1</v>
      </c>
    </row>
    <row r="481" spans="1:41">
      <c r="A481" s="12" t="s">
        <v>296</v>
      </c>
      <c r="B481" s="12"/>
      <c r="C481" s="12" t="s">
        <v>24</v>
      </c>
      <c r="D481" s="12"/>
      <c r="E481" s="12">
        <v>44743</v>
      </c>
      <c r="G481" s="7">
        <v>5581335</v>
      </c>
      <c r="I481" s="7">
        <v>0</v>
      </c>
      <c r="K481" s="2">
        <f t="shared" si="108"/>
        <v>21496200</v>
      </c>
      <c r="M481" s="7">
        <v>27077535</v>
      </c>
      <c r="O481" s="2">
        <f t="shared" si="109"/>
        <v>6854100</v>
      </c>
      <c r="Q481" s="7">
        <v>18130003</v>
      </c>
      <c r="S481" s="7">
        <v>24984103</v>
      </c>
      <c r="U481" s="7">
        <v>99832</v>
      </c>
      <c r="W481" s="7">
        <v>1713617</v>
      </c>
      <c r="Y481" s="7">
        <v>0</v>
      </c>
      <c r="AA481" s="7">
        <v>106107</v>
      </c>
      <c r="AC481" s="7">
        <v>173876</v>
      </c>
      <c r="AE481" s="13">
        <f t="shared" si="104"/>
        <v>2093432</v>
      </c>
      <c r="AG481" s="7">
        <f t="shared" si="105"/>
        <v>0</v>
      </c>
      <c r="AK481" s="7" t="str">
        <f t="shared" si="106"/>
        <v>Sandusky City SD</v>
      </c>
      <c r="AL481" s="7" t="str">
        <f>GenExp!A481</f>
        <v>Sandusky City SD</v>
      </c>
      <c r="AM481" s="7" t="b">
        <f t="shared" si="107"/>
        <v>1</v>
      </c>
      <c r="AN481" s="7" t="str">
        <f t="shared" si="103"/>
        <v>Erie</v>
      </c>
      <c r="AO481" s="7" t="b">
        <f>C481=GenExp!C481</f>
        <v>1</v>
      </c>
    </row>
    <row r="482" spans="1:41">
      <c r="A482" s="12" t="s">
        <v>520</v>
      </c>
      <c r="B482" s="12"/>
      <c r="C482" s="12" t="s">
        <v>62</v>
      </c>
      <c r="D482" s="12"/>
      <c r="E482" s="12">
        <v>49940</v>
      </c>
      <c r="G482" s="7">
        <f>3863087+32610</f>
        <v>3895697</v>
      </c>
      <c r="I482" s="7">
        <v>0</v>
      </c>
      <c r="K482" s="2">
        <f t="shared" si="108"/>
        <v>4917085</v>
      </c>
      <c r="M482" s="7">
        <v>8812782</v>
      </c>
      <c r="O482" s="2">
        <f t="shared" si="109"/>
        <v>2239514</v>
      </c>
      <c r="Q482" s="7">
        <v>3799227</v>
      </c>
      <c r="S482" s="7">
        <v>6038741</v>
      </c>
      <c r="U482" s="7">
        <v>15202</v>
      </c>
      <c r="W482" s="7">
        <v>1587901</v>
      </c>
      <c r="Y482" s="7">
        <v>10532</v>
      </c>
      <c r="AA482" s="7">
        <v>0</v>
      </c>
      <c r="AC482" s="7">
        <v>1160406</v>
      </c>
      <c r="AE482" s="13">
        <f t="shared" si="104"/>
        <v>2774041</v>
      </c>
      <c r="AG482" s="7">
        <f t="shared" si="105"/>
        <v>0</v>
      </c>
      <c r="AI482" s="7" t="s">
        <v>788</v>
      </c>
      <c r="AK482" s="7" t="str">
        <f t="shared" si="106"/>
        <v>Sandy Valley Local SD</v>
      </c>
      <c r="AL482" s="7" t="str">
        <f>GenExp!A482</f>
        <v>Sandy Valley Local SD</v>
      </c>
      <c r="AM482" s="7" t="b">
        <f t="shared" si="107"/>
        <v>1</v>
      </c>
      <c r="AN482" s="7" t="str">
        <f t="shared" si="103"/>
        <v>Stark</v>
      </c>
      <c r="AO482" s="7" t="b">
        <f>C482=GenExp!C482</f>
        <v>1</v>
      </c>
    </row>
    <row r="483" spans="1:41">
      <c r="A483" s="12" t="s">
        <v>471</v>
      </c>
      <c r="B483" s="12"/>
      <c r="C483" s="12" t="s">
        <v>55</v>
      </c>
      <c r="D483" s="12"/>
      <c r="E483" s="12">
        <v>49130</v>
      </c>
      <c r="G483" s="7">
        <f>8841506+20000</f>
        <v>8861506</v>
      </c>
      <c r="I483" s="7">
        <v>60854</v>
      </c>
      <c r="K483" s="2">
        <f t="shared" si="108"/>
        <v>3142499</v>
      </c>
      <c r="M483" s="7">
        <v>12064859</v>
      </c>
      <c r="O483" s="2">
        <f t="shared" si="109"/>
        <v>2114418</v>
      </c>
      <c r="Q483" s="7">
        <v>2305300</v>
      </c>
      <c r="S483" s="7">
        <v>4419718</v>
      </c>
      <c r="U483" s="7">
        <v>0</v>
      </c>
      <c r="W483" s="7">
        <v>1858309</v>
      </c>
      <c r="Y483" s="7">
        <v>0</v>
      </c>
      <c r="AA483" s="7">
        <v>150377</v>
      </c>
      <c r="AC483" s="7">
        <v>5636455</v>
      </c>
      <c r="AE483" s="13">
        <f t="shared" si="104"/>
        <v>7645141</v>
      </c>
      <c r="AG483" s="7">
        <f t="shared" si="105"/>
        <v>0</v>
      </c>
      <c r="AK483" s="7" t="str">
        <f t="shared" si="106"/>
        <v>Scioto Valley Local SD</v>
      </c>
      <c r="AL483" s="7" t="str">
        <f>GenExp!A483</f>
        <v>Scioto Valley Local SD</v>
      </c>
      <c r="AM483" s="7" t="b">
        <f t="shared" si="107"/>
        <v>1</v>
      </c>
      <c r="AN483" s="7" t="str">
        <f t="shared" si="103"/>
        <v>Pike</v>
      </c>
      <c r="AO483" s="7" t="b">
        <f>C483=GenExp!C483</f>
        <v>1</v>
      </c>
    </row>
    <row r="484" spans="1:41">
      <c r="A484" s="12" t="s">
        <v>418</v>
      </c>
      <c r="B484" s="12"/>
      <c r="C484" s="12" t="s">
        <v>45</v>
      </c>
      <c r="D484" s="12"/>
      <c r="E484" s="12">
        <v>48355</v>
      </c>
      <c r="G484" s="7">
        <v>1299595</v>
      </c>
      <c r="I484" s="7">
        <v>24007</v>
      </c>
      <c r="K484" s="2">
        <f t="shared" si="108"/>
        <v>2126390</v>
      </c>
      <c r="M484" s="7">
        <v>3449992</v>
      </c>
      <c r="O484" s="2">
        <f t="shared" si="109"/>
        <v>752435</v>
      </c>
      <c r="Q484" s="7">
        <v>1895744</v>
      </c>
      <c r="S484" s="7">
        <v>2648179</v>
      </c>
      <c r="U484" s="7">
        <v>25270</v>
      </c>
      <c r="W484" s="7">
        <v>600138</v>
      </c>
      <c r="Y484" s="7">
        <v>70082</v>
      </c>
      <c r="AA484" s="7">
        <v>9199</v>
      </c>
      <c r="AC484" s="7">
        <v>97124</v>
      </c>
      <c r="AE484" s="13">
        <f t="shared" si="104"/>
        <v>801813</v>
      </c>
      <c r="AG484" s="7">
        <f t="shared" si="105"/>
        <v>0</v>
      </c>
      <c r="AK484" s="7" t="str">
        <f t="shared" si="106"/>
        <v>Sebring Local SD</v>
      </c>
      <c r="AL484" s="7" t="str">
        <f>GenExp!A484</f>
        <v>Sebring Local SD</v>
      </c>
      <c r="AM484" s="7" t="b">
        <f t="shared" si="107"/>
        <v>1</v>
      </c>
      <c r="AN484" s="7" t="str">
        <f t="shared" si="103"/>
        <v>Mahoning</v>
      </c>
      <c r="AO484" s="7" t="b">
        <f>C484=GenExp!C484</f>
        <v>1</v>
      </c>
    </row>
    <row r="485" spans="1:41">
      <c r="A485" s="12" t="s">
        <v>502</v>
      </c>
      <c r="B485" s="12"/>
      <c r="C485" s="12" t="s">
        <v>60</v>
      </c>
      <c r="D485" s="12"/>
      <c r="E485" s="12">
        <v>49684</v>
      </c>
      <c r="G485" s="7">
        <f>2521777+137</f>
        <v>2521914</v>
      </c>
      <c r="I485" s="7">
        <v>0</v>
      </c>
      <c r="K485" s="2">
        <f t="shared" si="108"/>
        <v>3246360</v>
      </c>
      <c r="M485" s="7">
        <v>5768274</v>
      </c>
      <c r="O485" s="2">
        <f t="shared" si="109"/>
        <v>972696</v>
      </c>
      <c r="Q485" s="7">
        <f>231351+1388818</f>
        <v>1620169</v>
      </c>
      <c r="S485" s="7">
        <v>2592865</v>
      </c>
      <c r="U485" s="7">
        <f>20319+41961</f>
        <v>62280</v>
      </c>
      <c r="W485" s="7">
        <f>568705+278909+137+4414</f>
        <v>852165</v>
      </c>
      <c r="Y485" s="7">
        <f>322847+41701</f>
        <v>364548</v>
      </c>
      <c r="AA485" s="7">
        <f>17887+13185+4558+43540</f>
        <v>79170</v>
      </c>
      <c r="AC485" s="7">
        <v>1817246</v>
      </c>
      <c r="AE485" s="13">
        <f t="shared" si="104"/>
        <v>3175409</v>
      </c>
      <c r="AG485" s="7">
        <f t="shared" si="105"/>
        <v>0</v>
      </c>
      <c r="AK485" s="7" t="str">
        <f t="shared" si="106"/>
        <v>Seneca East Local SD</v>
      </c>
      <c r="AL485" s="7" t="str">
        <f>GenExp!A485</f>
        <v>Seneca East Local SD</v>
      </c>
      <c r="AM485" s="7" t="b">
        <f t="shared" si="107"/>
        <v>1</v>
      </c>
      <c r="AN485" s="7" t="str">
        <f t="shared" si="103"/>
        <v>Seneca</v>
      </c>
      <c r="AO485" s="7" t="b">
        <f>C485=GenExp!C485</f>
        <v>1</v>
      </c>
    </row>
    <row r="486" spans="1:41">
      <c r="A486" s="12" t="s">
        <v>218</v>
      </c>
      <c r="B486" s="12"/>
      <c r="C486" s="12" t="s">
        <v>15</v>
      </c>
      <c r="D486" s="12"/>
      <c r="E486" s="12">
        <v>46003</v>
      </c>
      <c r="G486" s="7">
        <v>2987542</v>
      </c>
      <c r="I486" s="7">
        <v>2126</v>
      </c>
      <c r="K486" s="2">
        <f t="shared" si="108"/>
        <v>4139948</v>
      </c>
      <c r="M486" s="7">
        <v>7129616</v>
      </c>
      <c r="O486" s="2">
        <f t="shared" si="109"/>
        <v>856630</v>
      </c>
      <c r="Q486" s="7">
        <v>3976108</v>
      </c>
      <c r="S486" s="7">
        <v>4832738</v>
      </c>
      <c r="U486" s="7">
        <f>2880+34256</f>
        <v>37136</v>
      </c>
      <c r="W486" s="7">
        <f>1006943+1250+3043+2126+28128</f>
        <v>1041490</v>
      </c>
      <c r="Y486" s="7">
        <v>0</v>
      </c>
      <c r="AA486" s="7">
        <v>583036</v>
      </c>
      <c r="AC486" s="7">
        <v>635216</v>
      </c>
      <c r="AE486" s="13">
        <f t="shared" si="104"/>
        <v>2296878</v>
      </c>
      <c r="AG486" s="7">
        <f t="shared" si="105"/>
        <v>0</v>
      </c>
      <c r="AK486" s="7" t="str">
        <f t="shared" si="106"/>
        <v>Shadyside Local SD</v>
      </c>
      <c r="AL486" s="7" t="str">
        <f>GenExp!A486</f>
        <v>Shadyside Local SD</v>
      </c>
      <c r="AM486" s="7" t="b">
        <f t="shared" si="107"/>
        <v>1</v>
      </c>
      <c r="AN486" s="7" t="str">
        <f t="shared" si="103"/>
        <v>Belmont</v>
      </c>
      <c r="AO486" s="7" t="b">
        <f>C486=GenExp!C486</f>
        <v>1</v>
      </c>
    </row>
    <row r="487" spans="1:41">
      <c r="A487" s="12" t="s">
        <v>755</v>
      </c>
      <c r="B487" s="12"/>
      <c r="C487" s="12" t="s">
        <v>20</v>
      </c>
      <c r="D487" s="12"/>
      <c r="E487" s="12">
        <v>44750</v>
      </c>
      <c r="G487" s="7">
        <v>29643213</v>
      </c>
      <c r="I487" s="7">
        <v>353070</v>
      </c>
      <c r="K487" s="2">
        <f t="shared" si="108"/>
        <v>75371066</v>
      </c>
      <c r="M487" s="7">
        <v>105367349</v>
      </c>
      <c r="O487" s="2">
        <f t="shared" si="109"/>
        <v>13610683</v>
      </c>
      <c r="Q487" s="7">
        <v>64176064</v>
      </c>
      <c r="S487" s="7">
        <v>77786747</v>
      </c>
      <c r="U487" s="7">
        <v>234085</v>
      </c>
      <c r="W487" s="7">
        <v>5964769</v>
      </c>
      <c r="Y487" s="7">
        <v>0</v>
      </c>
      <c r="AA487" s="7">
        <v>4455388</v>
      </c>
      <c r="AC487" s="7">
        <v>16926360</v>
      </c>
      <c r="AE487" s="13">
        <f t="shared" si="104"/>
        <v>27580602</v>
      </c>
      <c r="AG487" s="7">
        <f t="shared" si="105"/>
        <v>0</v>
      </c>
      <c r="AK487" s="7" t="str">
        <f t="shared" si="106"/>
        <v xml:space="preserve">Shaker Heights City SD </v>
      </c>
      <c r="AL487" s="7" t="str">
        <f>GenExp!A487</f>
        <v xml:space="preserve">Shaker Heights City SD </v>
      </c>
      <c r="AM487" s="7" t="b">
        <f t="shared" si="107"/>
        <v>1</v>
      </c>
      <c r="AN487" s="7" t="str">
        <f t="shared" si="103"/>
        <v>Cuyahoga</v>
      </c>
      <c r="AO487" s="7" t="b">
        <f>C487=GenExp!C487</f>
        <v>1</v>
      </c>
    </row>
    <row r="488" spans="1:41" hidden="1">
      <c r="A488" s="12" t="s">
        <v>738</v>
      </c>
      <c r="B488" s="12"/>
      <c r="C488" s="12" t="s">
        <v>10</v>
      </c>
      <c r="D488" s="12"/>
      <c r="E488" s="12"/>
      <c r="K488" s="2">
        <f t="shared" si="108"/>
        <v>0</v>
      </c>
      <c r="O488" s="2">
        <f t="shared" si="109"/>
        <v>0</v>
      </c>
      <c r="AE488" s="13">
        <f t="shared" si="104"/>
        <v>0</v>
      </c>
      <c r="AG488" s="7">
        <f t="shared" si="105"/>
        <v>0</v>
      </c>
      <c r="AI488" s="7" t="s">
        <v>973</v>
      </c>
      <c r="AK488" s="7" t="str">
        <f t="shared" si="106"/>
        <v>Shawnee Local SD (CASH)</v>
      </c>
      <c r="AL488" s="7" t="str">
        <f>GenExp!A488</f>
        <v>Shawnee Local SD (CASH)</v>
      </c>
      <c r="AM488" s="7" t="b">
        <f t="shared" si="107"/>
        <v>1</v>
      </c>
      <c r="AN488" s="7" t="str">
        <f t="shared" si="103"/>
        <v>Allen</v>
      </c>
      <c r="AO488" s="7" t="b">
        <f>C488=GenExp!C488</f>
        <v>1</v>
      </c>
    </row>
    <row r="489" spans="1:41">
      <c r="A489" s="12" t="s">
        <v>899</v>
      </c>
      <c r="B489" s="12"/>
      <c r="C489" s="12" t="s">
        <v>44</v>
      </c>
      <c r="D489" s="12"/>
      <c r="E489" s="12">
        <v>44768</v>
      </c>
      <c r="G489" s="7">
        <v>12212595</v>
      </c>
      <c r="I489" s="7">
        <v>0</v>
      </c>
      <c r="K489" s="2">
        <f t="shared" si="108"/>
        <v>13039965</v>
      </c>
      <c r="M489" s="7">
        <v>25252560</v>
      </c>
      <c r="O489" s="2">
        <f t="shared" si="109"/>
        <v>3063332</v>
      </c>
      <c r="Q489" s="7">
        <v>11558363</v>
      </c>
      <c r="S489" s="7">
        <v>14621695</v>
      </c>
      <c r="U489" s="7">
        <v>39325</v>
      </c>
      <c r="W489" s="7">
        <v>143592</v>
      </c>
      <c r="Y489" s="7">
        <v>230553</v>
      </c>
      <c r="AA489" s="7">
        <v>87101</v>
      </c>
      <c r="AC489" s="7">
        <v>10130294</v>
      </c>
      <c r="AE489" s="13">
        <f t="shared" si="104"/>
        <v>10630865</v>
      </c>
      <c r="AG489" s="7">
        <f t="shared" si="105"/>
        <v>0</v>
      </c>
      <c r="AK489" s="7" t="str">
        <f t="shared" si="106"/>
        <v>Sheffield-Sheffield Lake City SD</v>
      </c>
      <c r="AL489" s="7" t="str">
        <f>GenExp!A489</f>
        <v>Sheffield-Sheffield Lake City SD</v>
      </c>
      <c r="AM489" s="7" t="b">
        <f t="shared" si="107"/>
        <v>1</v>
      </c>
      <c r="AN489" s="7" t="str">
        <f t="shared" si="103"/>
        <v>Lorain</v>
      </c>
      <c r="AO489" s="7" t="b">
        <f>C489=GenExp!C489</f>
        <v>1</v>
      </c>
    </row>
    <row r="490" spans="1:41">
      <c r="A490" s="12" t="s">
        <v>487</v>
      </c>
      <c r="B490" s="12"/>
      <c r="C490" s="12" t="s">
        <v>110</v>
      </c>
      <c r="D490" s="12"/>
      <c r="E490" s="12">
        <v>44776</v>
      </c>
      <c r="G490" s="7">
        <f>24399161+11278</f>
        <v>24410439</v>
      </c>
      <c r="I490" s="7">
        <v>118855</v>
      </c>
      <c r="K490" s="2">
        <f t="shared" si="108"/>
        <v>17093853</v>
      </c>
      <c r="M490" s="7">
        <v>41623147</v>
      </c>
      <c r="O490" s="2">
        <f t="shared" si="109"/>
        <v>2575120</v>
      </c>
      <c r="Q490" s="7">
        <f>4326676+10440349</f>
        <v>14767025</v>
      </c>
      <c r="S490" s="7">
        <v>17342145</v>
      </c>
      <c r="U490" s="7">
        <f>102421+62582</f>
        <v>165003</v>
      </c>
      <c r="W490" s="7">
        <f>487338+17798228+106869+36121+19073+6588+138735+174058+12351</f>
        <v>18779361</v>
      </c>
      <c r="Y490" s="7">
        <v>2984</v>
      </c>
      <c r="AA490" s="7">
        <f>21887+186604+770485+56352+511</f>
        <v>1035839</v>
      </c>
      <c r="AC490" s="7">
        <v>4297815</v>
      </c>
      <c r="AE490" s="13">
        <f t="shared" si="104"/>
        <v>24281002</v>
      </c>
      <c r="AG490" s="7">
        <f t="shared" si="105"/>
        <v>0</v>
      </c>
      <c r="AK490" s="7" t="str">
        <f t="shared" si="106"/>
        <v>Shelby City SD</v>
      </c>
      <c r="AL490" s="7" t="str">
        <f>GenExp!A490</f>
        <v>Shelby City SD</v>
      </c>
      <c r="AM490" s="7" t="b">
        <f t="shared" si="107"/>
        <v>1</v>
      </c>
      <c r="AN490" s="7" t="str">
        <f t="shared" si="103"/>
        <v>Richland</v>
      </c>
      <c r="AO490" s="7" t="b">
        <f>C490=GenExp!C490</f>
        <v>1</v>
      </c>
    </row>
    <row r="491" spans="1:41" hidden="1">
      <c r="A491" s="12" t="s">
        <v>985</v>
      </c>
      <c r="B491" s="12"/>
      <c r="C491" s="12" t="s">
        <v>61</v>
      </c>
      <c r="D491" s="12"/>
      <c r="E491" s="12">
        <v>44784</v>
      </c>
      <c r="K491" s="2">
        <f t="shared" si="108"/>
        <v>0</v>
      </c>
      <c r="O491" s="2">
        <f t="shared" si="109"/>
        <v>0</v>
      </c>
      <c r="AE491" s="13">
        <f t="shared" si="104"/>
        <v>0</v>
      </c>
      <c r="AG491" s="7">
        <f t="shared" si="105"/>
        <v>0</v>
      </c>
      <c r="AI491" s="7" t="s">
        <v>974</v>
      </c>
      <c r="AK491" s="7" t="str">
        <f t="shared" si="106"/>
        <v>Sidney City SD (CASH)</v>
      </c>
      <c r="AL491" s="7" t="str">
        <f>GenExp!A491</f>
        <v>Sidney City SD (CASH)</v>
      </c>
      <c r="AM491" s="7" t="b">
        <f t="shared" si="107"/>
        <v>1</v>
      </c>
      <c r="AN491" s="7" t="str">
        <f t="shared" si="103"/>
        <v>Shelby</v>
      </c>
      <c r="AO491" s="7" t="b">
        <f>C491=GenExp!C491</f>
        <v>1</v>
      </c>
    </row>
    <row r="492" spans="1:41">
      <c r="A492" s="12" t="s">
        <v>283</v>
      </c>
      <c r="B492" s="12"/>
      <c r="C492" s="12" t="s">
        <v>20</v>
      </c>
      <c r="D492" s="12"/>
      <c r="E492" s="12">
        <v>46607</v>
      </c>
      <c r="G492" s="7">
        <v>24207262</v>
      </c>
      <c r="I492" s="7">
        <v>0</v>
      </c>
      <c r="K492" s="2">
        <f t="shared" si="108"/>
        <v>57699158</v>
      </c>
      <c r="M492" s="7">
        <v>81906420</v>
      </c>
      <c r="O492" s="2">
        <f t="shared" si="109"/>
        <v>9316449</v>
      </c>
      <c r="Q492" s="7">
        <f>3943722+45179992</f>
        <v>49123714</v>
      </c>
      <c r="S492" s="7">
        <v>58440163</v>
      </c>
      <c r="U492" s="7">
        <f>79820+42840+32561</f>
        <v>155221</v>
      </c>
      <c r="W492" s="7">
        <f>2375118+9596949+12087+2998+12667+9853+281760+75303</f>
        <v>12366735</v>
      </c>
      <c r="Y492" s="7">
        <v>0</v>
      </c>
      <c r="AA492" s="7">
        <f>425904+967106+24903+13310+40939+9672</f>
        <v>1481834</v>
      </c>
      <c r="AC492" s="7">
        <v>9462467</v>
      </c>
      <c r="AE492" s="13">
        <f t="shared" si="104"/>
        <v>23466257</v>
      </c>
      <c r="AG492" s="7">
        <f t="shared" si="105"/>
        <v>0</v>
      </c>
      <c r="AK492" s="7" t="str">
        <f t="shared" si="106"/>
        <v>Solon City SD</v>
      </c>
      <c r="AL492" s="7" t="str">
        <f>GenExp!A492</f>
        <v>Solon City SD</v>
      </c>
      <c r="AM492" s="7" t="b">
        <f t="shared" si="107"/>
        <v>1</v>
      </c>
      <c r="AN492" s="7" t="str">
        <f t="shared" si="103"/>
        <v>Cuyahoga</v>
      </c>
      <c r="AO492" s="7" t="b">
        <f>C492=GenExp!C492</f>
        <v>1</v>
      </c>
    </row>
    <row r="493" spans="1:41">
      <c r="A493" s="12" t="s">
        <v>660</v>
      </c>
      <c r="B493" s="12"/>
      <c r="C493" s="12" t="s">
        <v>37</v>
      </c>
      <c r="D493" s="12"/>
      <c r="E493" s="12"/>
      <c r="G493" s="7">
        <f>3334545+1963</f>
        <v>3336508</v>
      </c>
      <c r="I493" s="7">
        <v>5001</v>
      </c>
      <c r="K493" s="2">
        <f t="shared" si="108"/>
        <v>2167499</v>
      </c>
      <c r="M493" s="7">
        <v>5509008</v>
      </c>
      <c r="O493" s="2">
        <f t="shared" si="109"/>
        <v>908075</v>
      </c>
      <c r="Q493" s="7">
        <f>245970+996547</f>
        <v>1242517</v>
      </c>
      <c r="S493" s="7">
        <v>2150592</v>
      </c>
      <c r="U493" s="7">
        <f>25108+25743+110321</f>
        <v>161172</v>
      </c>
      <c r="W493" s="7">
        <f>366213+16210+29283+1963+28617+12132+5001</f>
        <v>459419</v>
      </c>
      <c r="Y493" s="7">
        <v>0</v>
      </c>
      <c r="AA493" s="7">
        <f>25748+87376+12563+15907+385+39235</f>
        <v>181214</v>
      </c>
      <c r="AC493" s="7">
        <v>2556611</v>
      </c>
      <c r="AE493" s="13">
        <f t="shared" si="104"/>
        <v>3358416</v>
      </c>
      <c r="AG493" s="7">
        <f t="shared" si="105"/>
        <v>0</v>
      </c>
      <c r="AK493" s="7" t="str">
        <f t="shared" si="106"/>
        <v>South Central Local SD</v>
      </c>
      <c r="AL493" s="7" t="str">
        <f>GenExp!A493</f>
        <v>South Central Local SD</v>
      </c>
      <c r="AM493" s="7" t="b">
        <f t="shared" si="107"/>
        <v>1</v>
      </c>
      <c r="AN493" s="7" t="str">
        <f t="shared" si="103"/>
        <v>Huron</v>
      </c>
      <c r="AO493" s="7" t="b">
        <f>C493=GenExp!C493</f>
        <v>1</v>
      </c>
    </row>
    <row r="494" spans="1:41">
      <c r="A494" s="12" t="s">
        <v>284</v>
      </c>
      <c r="B494" s="12"/>
      <c r="C494" s="12" t="s">
        <v>20</v>
      </c>
      <c r="D494" s="12"/>
      <c r="E494" s="12">
        <v>44792</v>
      </c>
      <c r="G494" s="7">
        <v>12692077</v>
      </c>
      <c r="I494" s="7">
        <v>42079</v>
      </c>
      <c r="K494" s="2">
        <f t="shared" si="108"/>
        <v>55728263</v>
      </c>
      <c r="M494" s="7">
        <v>68462419</v>
      </c>
      <c r="O494" s="2">
        <f t="shared" si="109"/>
        <v>15957441</v>
      </c>
      <c r="Q494" s="7">
        <v>48636905</v>
      </c>
      <c r="S494" s="7">
        <v>64594346</v>
      </c>
      <c r="U494" s="7">
        <v>614939</v>
      </c>
      <c r="W494" s="7">
        <v>2048878</v>
      </c>
      <c r="Y494" s="7">
        <v>0</v>
      </c>
      <c r="AA494" s="7">
        <v>700920</v>
      </c>
      <c r="AC494" s="7">
        <v>503336</v>
      </c>
      <c r="AE494" s="13">
        <f t="shared" si="104"/>
        <v>3868073</v>
      </c>
      <c r="AG494" s="7">
        <f t="shared" si="105"/>
        <v>0</v>
      </c>
      <c r="AK494" s="7" t="str">
        <f t="shared" si="106"/>
        <v>South Euclid-Lyndhurst City SD</v>
      </c>
      <c r="AL494" s="7" t="str">
        <f>GenExp!A494</f>
        <v>South Euclid-Lyndhurst City SD</v>
      </c>
      <c r="AM494" s="7" t="b">
        <f t="shared" si="107"/>
        <v>1</v>
      </c>
      <c r="AN494" s="7" t="str">
        <f t="shared" si="103"/>
        <v>Cuyahoga</v>
      </c>
      <c r="AO494" s="7" t="b">
        <f>C494=GenExp!C494</f>
        <v>1</v>
      </c>
    </row>
    <row r="495" spans="1:41">
      <c r="A495" s="12" t="s">
        <v>382</v>
      </c>
      <c r="B495" s="12"/>
      <c r="C495" s="12" t="s">
        <v>377</v>
      </c>
      <c r="D495" s="12"/>
      <c r="E495" s="12">
        <v>47951</v>
      </c>
      <c r="G495" s="7">
        <f>8576947+10431</f>
        <v>8587378</v>
      </c>
      <c r="I495" s="7">
        <v>438319</v>
      </c>
      <c r="K495" s="2">
        <f t="shared" si="108"/>
        <v>4755801</v>
      </c>
      <c r="M495" s="7">
        <v>13781498</v>
      </c>
      <c r="O495" s="2">
        <f t="shared" si="109"/>
        <v>2586778</v>
      </c>
      <c r="Q495" s="7">
        <v>3836966</v>
      </c>
      <c r="S495" s="7">
        <v>6423744</v>
      </c>
      <c r="U495" s="7">
        <v>78741</v>
      </c>
      <c r="W495" s="7">
        <v>3452477</v>
      </c>
      <c r="Y495" s="7">
        <v>643351</v>
      </c>
      <c r="AA495" s="7">
        <v>221689</v>
      </c>
      <c r="AC495" s="7">
        <v>2961496</v>
      </c>
      <c r="AE495" s="13">
        <f t="shared" si="104"/>
        <v>7357754</v>
      </c>
      <c r="AG495" s="7">
        <f t="shared" si="105"/>
        <v>0</v>
      </c>
      <c r="AI495" s="7" t="s">
        <v>788</v>
      </c>
      <c r="AK495" s="7" t="str">
        <f t="shared" si="106"/>
        <v>South Point Local SD</v>
      </c>
      <c r="AL495" s="7" t="str">
        <f>GenExp!A495</f>
        <v>South Point Local SD</v>
      </c>
      <c r="AM495" s="7" t="b">
        <f t="shared" si="107"/>
        <v>1</v>
      </c>
      <c r="AN495" s="7" t="str">
        <f t="shared" si="103"/>
        <v>Lawrence</v>
      </c>
      <c r="AO495" s="7" t="b">
        <f>C495=GenExp!C495</f>
        <v>1</v>
      </c>
    </row>
    <row r="496" spans="1:41">
      <c r="A496" s="12" t="s">
        <v>419</v>
      </c>
      <c r="B496" s="12"/>
      <c r="C496" s="12" t="s">
        <v>45</v>
      </c>
      <c r="D496" s="12"/>
      <c r="E496" s="12">
        <v>48363</v>
      </c>
      <c r="G496" s="7">
        <v>7450971</v>
      </c>
      <c r="I496" s="7">
        <v>121038</v>
      </c>
      <c r="K496" s="2">
        <f t="shared" si="108"/>
        <v>7200093</v>
      </c>
      <c r="M496" s="7">
        <v>14772102</v>
      </c>
      <c r="O496" s="2">
        <f t="shared" si="109"/>
        <v>2376439</v>
      </c>
      <c r="Q496" s="7">
        <f>768756+6143366</f>
        <v>6912122</v>
      </c>
      <c r="S496" s="7">
        <v>9288561</v>
      </c>
      <c r="U496" s="7">
        <v>21941</v>
      </c>
      <c r="W496" s="7">
        <f>573111+3295070+221403+65755+121038+2559</f>
        <v>4278936</v>
      </c>
      <c r="Y496" s="7">
        <v>0</v>
      </c>
      <c r="AA496" s="7">
        <f>37959+35248+8879</f>
        <v>82086</v>
      </c>
      <c r="AC496" s="7">
        <v>1100578</v>
      </c>
      <c r="AE496" s="13">
        <f t="shared" si="104"/>
        <v>5483541</v>
      </c>
      <c r="AG496" s="7">
        <f t="shared" si="105"/>
        <v>0</v>
      </c>
      <c r="AK496" s="7" t="str">
        <f t="shared" si="106"/>
        <v>South Range Local SD</v>
      </c>
      <c r="AL496" s="7" t="str">
        <f>GenExp!A496</f>
        <v>South Range Local SD</v>
      </c>
      <c r="AM496" s="7" t="b">
        <f t="shared" si="107"/>
        <v>1</v>
      </c>
      <c r="AN496" s="7" t="str">
        <f t="shared" si="103"/>
        <v>Mahoning</v>
      </c>
      <c r="AO496" s="7" t="b">
        <f>C496=GenExp!C496</f>
        <v>1</v>
      </c>
    </row>
    <row r="497" spans="1:41">
      <c r="A497" s="12" t="s">
        <v>478</v>
      </c>
      <c r="B497" s="12"/>
      <c r="C497" s="12" t="s">
        <v>56</v>
      </c>
      <c r="D497" s="12"/>
      <c r="E497" s="12">
        <v>49221</v>
      </c>
      <c r="G497" s="7">
        <v>10519632</v>
      </c>
      <c r="I497" s="7">
        <v>31016</v>
      </c>
      <c r="K497" s="2">
        <f t="shared" si="108"/>
        <v>12544164</v>
      </c>
      <c r="M497" s="7">
        <v>23094812</v>
      </c>
      <c r="O497" s="2">
        <f t="shared" si="109"/>
        <v>2399877</v>
      </c>
      <c r="Q497" s="7">
        <v>11874113</v>
      </c>
      <c r="S497" s="7">
        <v>14273990</v>
      </c>
      <c r="U497" s="7">
        <v>0</v>
      </c>
      <c r="W497" s="7">
        <v>2360669</v>
      </c>
      <c r="Y497" s="7">
        <v>0</v>
      </c>
      <c r="AA497" s="7">
        <v>68123</v>
      </c>
      <c r="AC497" s="7">
        <v>6392030</v>
      </c>
      <c r="AE497" s="13">
        <f t="shared" si="104"/>
        <v>8820822</v>
      </c>
      <c r="AG497" s="7">
        <f t="shared" si="105"/>
        <v>0</v>
      </c>
      <c r="AK497" s="7" t="str">
        <f t="shared" si="106"/>
        <v>Southeast Local SD</v>
      </c>
      <c r="AL497" s="7" t="str">
        <f>GenExp!A497</f>
        <v>Southeast Local SD</v>
      </c>
      <c r="AM497" s="7" t="b">
        <f t="shared" si="107"/>
        <v>1</v>
      </c>
      <c r="AN497" s="7" t="str">
        <f t="shared" si="103"/>
        <v>Portage</v>
      </c>
      <c r="AO497" s="7" t="b">
        <f>C497=GenExp!C497</f>
        <v>1</v>
      </c>
    </row>
    <row r="498" spans="1:41">
      <c r="A498" s="12" t="s">
        <v>478</v>
      </c>
      <c r="B498" s="12"/>
      <c r="C498" s="12" t="s">
        <v>71</v>
      </c>
      <c r="D498" s="12"/>
      <c r="E498" s="12">
        <v>50583</v>
      </c>
      <c r="G498" s="7">
        <v>2206290</v>
      </c>
      <c r="I498" s="7">
        <v>0</v>
      </c>
      <c r="K498" s="2">
        <f t="shared" si="108"/>
        <v>7953941</v>
      </c>
      <c r="M498" s="7">
        <v>10160231</v>
      </c>
      <c r="O498" s="2">
        <f t="shared" si="109"/>
        <v>2148783</v>
      </c>
      <c r="Q498" s="7">
        <v>7250592</v>
      </c>
      <c r="S498" s="7">
        <v>9399375</v>
      </c>
      <c r="U498" s="7">
        <v>190137</v>
      </c>
      <c r="W498" s="7">
        <v>773290</v>
      </c>
      <c r="Y498" s="7">
        <v>0</v>
      </c>
      <c r="AA498" s="7">
        <v>0</v>
      </c>
      <c r="AC498" s="7">
        <v>-202571</v>
      </c>
      <c r="AE498" s="13">
        <f t="shared" si="104"/>
        <v>760856</v>
      </c>
      <c r="AG498" s="7">
        <f t="shared" si="105"/>
        <v>0</v>
      </c>
      <c r="AI498" s="7" t="s">
        <v>788</v>
      </c>
      <c r="AK498" s="7" t="str">
        <f t="shared" si="106"/>
        <v>Southeast Local SD</v>
      </c>
      <c r="AL498" s="7" t="str">
        <f>GenExp!A498</f>
        <v>Southeast Local SD</v>
      </c>
      <c r="AM498" s="7" t="b">
        <f t="shared" si="107"/>
        <v>1</v>
      </c>
      <c r="AN498" s="7" t="str">
        <f t="shared" si="103"/>
        <v>Wayne</v>
      </c>
      <c r="AO498" s="7" t="b">
        <f>C498=GenExp!C498</f>
        <v>1</v>
      </c>
    </row>
    <row r="499" spans="1:41">
      <c r="A499" s="12" t="s">
        <v>240</v>
      </c>
      <c r="B499" s="12"/>
      <c r="C499" s="12" t="s">
        <v>17</v>
      </c>
      <c r="D499" s="12"/>
      <c r="E499" s="12">
        <v>46276</v>
      </c>
      <c r="G499" s="7">
        <f>6676467+1225</f>
        <v>6677692</v>
      </c>
      <c r="I499" s="7">
        <v>199052</v>
      </c>
      <c r="K499" s="2">
        <f t="shared" si="108"/>
        <v>2844195</v>
      </c>
      <c r="M499" s="7">
        <v>9720939</v>
      </c>
      <c r="O499" s="2">
        <f t="shared" si="109"/>
        <v>1068222</v>
      </c>
      <c r="Q499" s="7">
        <v>1881443</v>
      </c>
      <c r="S499" s="7">
        <v>2949665</v>
      </c>
      <c r="U499" s="7">
        <v>19539</v>
      </c>
      <c r="W499" s="7">
        <v>1343139</v>
      </c>
      <c r="Y499" s="7">
        <v>688</v>
      </c>
      <c r="AA499" s="7">
        <v>118134</v>
      </c>
      <c r="AC499" s="7">
        <v>5289774</v>
      </c>
      <c r="AE499" s="13">
        <f t="shared" si="104"/>
        <v>6771274</v>
      </c>
      <c r="AG499" s="7">
        <f t="shared" si="105"/>
        <v>0</v>
      </c>
      <c r="AK499" s="7" t="str">
        <f t="shared" si="106"/>
        <v>Southeastern Local SD</v>
      </c>
      <c r="AL499" s="7" t="str">
        <f>GenExp!A499</f>
        <v>Southeastern Local SD</v>
      </c>
      <c r="AM499" s="7" t="b">
        <f t="shared" si="107"/>
        <v>1</v>
      </c>
      <c r="AN499" s="7" t="str">
        <f t="shared" si="103"/>
        <v>Clark</v>
      </c>
      <c r="AO499" s="7" t="b">
        <f>C499=GenExp!C499</f>
        <v>1</v>
      </c>
    </row>
    <row r="500" spans="1:41">
      <c r="A500" s="12" t="s">
        <v>240</v>
      </c>
      <c r="B500" s="12"/>
      <c r="C500" s="12" t="s">
        <v>58</v>
      </c>
      <c r="D500" s="12"/>
      <c r="E500" s="12">
        <v>49528</v>
      </c>
      <c r="G500" s="7">
        <v>8334490</v>
      </c>
      <c r="I500" s="7">
        <v>0</v>
      </c>
      <c r="K500" s="2">
        <f t="shared" si="108"/>
        <v>2328173</v>
      </c>
      <c r="M500" s="7">
        <v>10662663</v>
      </c>
      <c r="O500" s="2">
        <f t="shared" si="109"/>
        <v>1356398</v>
      </c>
      <c r="Q500" s="7">
        <v>1543973</v>
      </c>
      <c r="S500" s="7">
        <v>2900371</v>
      </c>
      <c r="U500" s="7">
        <v>0</v>
      </c>
      <c r="W500" s="7">
        <v>1300650</v>
      </c>
      <c r="Y500" s="7">
        <v>0</v>
      </c>
      <c r="AA500" s="7">
        <v>340340</v>
      </c>
      <c r="AC500" s="7">
        <v>6121302</v>
      </c>
      <c r="AE500" s="13">
        <f t="shared" si="104"/>
        <v>7762292</v>
      </c>
      <c r="AG500" s="7">
        <f t="shared" si="105"/>
        <v>0</v>
      </c>
      <c r="AK500" s="7" t="str">
        <f t="shared" si="106"/>
        <v>Southeastern Local SD</v>
      </c>
      <c r="AL500" s="7" t="str">
        <f>GenExp!A500</f>
        <v>Southeastern Local SD</v>
      </c>
      <c r="AM500" s="7" t="b">
        <f t="shared" si="107"/>
        <v>1</v>
      </c>
      <c r="AN500" s="7" t="str">
        <f t="shared" si="103"/>
        <v>Ross</v>
      </c>
      <c r="AO500" s="7" t="b">
        <f>C500=GenExp!C500</f>
        <v>1</v>
      </c>
    </row>
    <row r="501" spans="1:41">
      <c r="A501" s="12" t="s">
        <v>674</v>
      </c>
      <c r="B501" s="12"/>
      <c r="C501" s="12" t="s">
        <v>112</v>
      </c>
      <c r="D501" s="12"/>
      <c r="E501" s="12">
        <v>46441</v>
      </c>
      <c r="G501" s="7">
        <v>1876640</v>
      </c>
      <c r="I501" s="7">
        <v>0</v>
      </c>
      <c r="K501" s="2">
        <f>M501-G501-I501</f>
        <v>2211613</v>
      </c>
      <c r="M501" s="7">
        <v>4088253</v>
      </c>
      <c r="O501" s="2">
        <f>S501-Q501</f>
        <v>1077161</v>
      </c>
      <c r="Q501" s="7">
        <f>484190+1632078</f>
        <v>2116268</v>
      </c>
      <c r="S501" s="7">
        <v>3193429</v>
      </c>
      <c r="U501" s="7">
        <f>14372+201</f>
        <v>14573</v>
      </c>
      <c r="W501" s="7">
        <f>455101+212740+34276+1453+12855+271969+12796</f>
        <v>1001190</v>
      </c>
      <c r="Y501" s="7">
        <v>0</v>
      </c>
      <c r="AA501" s="7">
        <f>10929+742+8779</f>
        <v>20450</v>
      </c>
      <c r="AC501" s="7">
        <v>-141389</v>
      </c>
      <c r="AE501" s="13">
        <f t="shared" si="104"/>
        <v>894824</v>
      </c>
      <c r="AG501" s="7">
        <f t="shared" si="105"/>
        <v>0</v>
      </c>
      <c r="AK501" s="7" t="str">
        <f t="shared" si="106"/>
        <v xml:space="preserve">Southern Local SD </v>
      </c>
      <c r="AL501" s="7" t="str">
        <f>GenExp!A501</f>
        <v xml:space="preserve">Southern Local SD </v>
      </c>
      <c r="AM501" s="7" t="b">
        <f t="shared" si="107"/>
        <v>1</v>
      </c>
      <c r="AN501" s="7" t="str">
        <f t="shared" si="103"/>
        <v>Columbiana</v>
      </c>
      <c r="AO501" s="7" t="b">
        <f>C501=GenExp!C501</f>
        <v>1</v>
      </c>
    </row>
    <row r="502" spans="1:41">
      <c r="A502" s="12" t="s">
        <v>256</v>
      </c>
      <c r="B502" s="12"/>
      <c r="C502" s="12" t="s">
        <v>433</v>
      </c>
      <c r="D502" s="12"/>
      <c r="E502" s="12">
        <v>46441</v>
      </c>
      <c r="G502" s="7">
        <v>6929574</v>
      </c>
      <c r="I502" s="7">
        <v>441</v>
      </c>
      <c r="K502" s="2">
        <f t="shared" si="108"/>
        <v>9940087</v>
      </c>
      <c r="M502" s="7">
        <v>16870102</v>
      </c>
      <c r="O502" s="2">
        <f t="shared" si="109"/>
        <v>1047400</v>
      </c>
      <c r="Q502" s="7">
        <v>8904024</v>
      </c>
      <c r="S502" s="7">
        <v>9951424</v>
      </c>
      <c r="U502" s="7">
        <v>28790</v>
      </c>
      <c r="W502" s="7">
        <v>5349291</v>
      </c>
      <c r="Y502" s="7">
        <v>0</v>
      </c>
      <c r="AA502" s="7">
        <v>21120</v>
      </c>
      <c r="AC502" s="7">
        <v>1519477</v>
      </c>
      <c r="AE502" s="13">
        <f t="shared" si="104"/>
        <v>6918678</v>
      </c>
      <c r="AG502" s="7">
        <f t="shared" si="105"/>
        <v>0</v>
      </c>
      <c r="AK502" s="7" t="str">
        <f t="shared" si="106"/>
        <v>Southern Local SD</v>
      </c>
      <c r="AL502" s="7" t="str">
        <f>GenExp!A502</f>
        <v>Southern Local SD</v>
      </c>
      <c r="AM502" s="7" t="b">
        <f t="shared" si="107"/>
        <v>1</v>
      </c>
      <c r="AN502" s="7" t="str">
        <f t="shared" si="103"/>
        <v>Meigs</v>
      </c>
      <c r="AO502" s="7" t="b">
        <f>C502=GenExp!C502</f>
        <v>1</v>
      </c>
    </row>
    <row r="503" spans="1:41" hidden="1">
      <c r="A503" s="12" t="s">
        <v>739</v>
      </c>
      <c r="B503" s="12"/>
      <c r="C503" s="12" t="s">
        <v>466</v>
      </c>
      <c r="D503" s="12"/>
      <c r="E503" s="12"/>
      <c r="K503" s="2">
        <f t="shared" si="108"/>
        <v>0</v>
      </c>
      <c r="O503" s="2">
        <f t="shared" si="109"/>
        <v>0</v>
      </c>
      <c r="AE503" s="13">
        <f t="shared" si="104"/>
        <v>0</v>
      </c>
      <c r="AG503" s="7">
        <f t="shared" si="105"/>
        <v>0</v>
      </c>
      <c r="AI503" s="7" t="s">
        <v>789</v>
      </c>
      <c r="AK503" s="7" t="str">
        <f t="shared" si="106"/>
        <v>Southern Local SD (CASH)</v>
      </c>
      <c r="AL503" s="7" t="str">
        <f>GenExp!A503</f>
        <v>Southern Local SD (CASH)</v>
      </c>
      <c r="AM503" s="7" t="b">
        <f t="shared" si="107"/>
        <v>1</v>
      </c>
      <c r="AN503" s="7" t="str">
        <f t="shared" si="103"/>
        <v>Perry</v>
      </c>
      <c r="AO503" s="7" t="b">
        <f>C503=GenExp!C503</f>
        <v>1</v>
      </c>
    </row>
    <row r="504" spans="1:41">
      <c r="A504" s="12" t="s">
        <v>546</v>
      </c>
      <c r="B504" s="12"/>
      <c r="C504" s="12" t="s">
        <v>64</v>
      </c>
      <c r="D504" s="12"/>
      <c r="E504" s="12">
        <v>50237</v>
      </c>
      <c r="G504" s="7">
        <v>7735532</v>
      </c>
      <c r="I504" s="7">
        <v>414496</v>
      </c>
      <c r="K504" s="2">
        <f t="shared" si="108"/>
        <v>2385446</v>
      </c>
      <c r="M504" s="7">
        <v>10535474</v>
      </c>
      <c r="O504" s="2">
        <f t="shared" si="109"/>
        <v>606254</v>
      </c>
      <c r="Q504" s="7">
        <v>2352904</v>
      </c>
      <c r="S504" s="7">
        <v>2959158</v>
      </c>
      <c r="U504" s="7">
        <v>59</v>
      </c>
      <c r="W504" s="7">
        <v>6911134</v>
      </c>
      <c r="Y504" s="7">
        <v>368</v>
      </c>
      <c r="AA504" s="7">
        <v>1001867</v>
      </c>
      <c r="AC504" s="7">
        <v>-337112</v>
      </c>
      <c r="AE504" s="13">
        <f t="shared" si="104"/>
        <v>7576316</v>
      </c>
      <c r="AG504" s="7">
        <f t="shared" si="105"/>
        <v>0</v>
      </c>
      <c r="AK504" s="7" t="str">
        <f t="shared" si="106"/>
        <v>Southington Local SD</v>
      </c>
      <c r="AL504" s="7" t="str">
        <f>GenExp!A504</f>
        <v>Southington Local SD</v>
      </c>
      <c r="AM504" s="7" t="b">
        <f t="shared" si="107"/>
        <v>1</v>
      </c>
      <c r="AN504" s="7" t="str">
        <f t="shared" si="103"/>
        <v>Trumbull</v>
      </c>
      <c r="AO504" s="7" t="b">
        <f>C504=GenExp!C504</f>
        <v>1</v>
      </c>
    </row>
    <row r="505" spans="1:41" hidden="1">
      <c r="A505" s="12" t="s">
        <v>976</v>
      </c>
      <c r="B505" s="12"/>
      <c r="C505" s="12" t="s">
        <v>42</v>
      </c>
      <c r="D505" s="12"/>
      <c r="E505" s="12">
        <v>48041</v>
      </c>
      <c r="K505" s="2">
        <f t="shared" si="108"/>
        <v>0</v>
      </c>
      <c r="O505" s="2">
        <f t="shared" si="109"/>
        <v>0</v>
      </c>
      <c r="AE505" s="13">
        <f t="shared" si="104"/>
        <v>0</v>
      </c>
      <c r="AG505" s="7">
        <f t="shared" si="105"/>
        <v>0</v>
      </c>
      <c r="AK505" s="7" t="str">
        <f t="shared" si="106"/>
        <v>Southwest Licking Local SD (CASH)</v>
      </c>
      <c r="AL505" s="7" t="str">
        <f>GenExp!A505</f>
        <v>Southwest Licking Local SD (CASH)</v>
      </c>
      <c r="AM505" s="7" t="b">
        <f t="shared" si="107"/>
        <v>1</v>
      </c>
      <c r="AN505" s="7" t="str">
        <f t="shared" si="103"/>
        <v>Licking</v>
      </c>
      <c r="AO505" s="7" t="b">
        <f>C505=GenExp!C505</f>
        <v>1</v>
      </c>
    </row>
    <row r="506" spans="1:41">
      <c r="A506" s="12" t="s">
        <v>339</v>
      </c>
      <c r="B506" s="12"/>
      <c r="C506" s="12" t="s">
        <v>32</v>
      </c>
      <c r="D506" s="12"/>
      <c r="E506" s="12">
        <v>47381</v>
      </c>
      <c r="G506" s="7">
        <v>5831274</v>
      </c>
      <c r="I506" s="7">
        <v>65015</v>
      </c>
      <c r="K506" s="2">
        <f t="shared" si="108"/>
        <v>14590668</v>
      </c>
      <c r="M506" s="7">
        <v>20486957</v>
      </c>
      <c r="O506" s="2">
        <f t="shared" si="109"/>
        <v>5513726</v>
      </c>
      <c r="Q506" s="7">
        <v>8739038</v>
      </c>
      <c r="S506" s="7">
        <v>14252764</v>
      </c>
      <c r="U506" s="7">
        <v>4560</v>
      </c>
      <c r="W506" s="7">
        <v>3177496</v>
      </c>
      <c r="Y506" s="7">
        <v>2086404</v>
      </c>
      <c r="AA506" s="7">
        <v>60208</v>
      </c>
      <c r="AC506" s="7">
        <v>905525</v>
      </c>
      <c r="AE506" s="13">
        <f t="shared" si="104"/>
        <v>6234193</v>
      </c>
      <c r="AG506" s="7">
        <f t="shared" si="105"/>
        <v>0</v>
      </c>
      <c r="AK506" s="7" t="str">
        <f t="shared" si="106"/>
        <v>Southwest Local SD</v>
      </c>
      <c r="AL506" s="7" t="str">
        <f>GenExp!A506</f>
        <v>Southwest Local SD</v>
      </c>
      <c r="AM506" s="7" t="b">
        <f t="shared" si="107"/>
        <v>1</v>
      </c>
      <c r="AN506" s="7" t="str">
        <f t="shared" si="103"/>
        <v>Hamilton</v>
      </c>
      <c r="AO506" s="7" t="b">
        <f>C506=GenExp!C506</f>
        <v>1</v>
      </c>
    </row>
    <row r="507" spans="1:41">
      <c r="A507" s="12" t="s">
        <v>313</v>
      </c>
      <c r="B507" s="12"/>
      <c r="C507" s="12" t="s">
        <v>27</v>
      </c>
      <c r="D507" s="12"/>
      <c r="E507" s="12">
        <v>44800</v>
      </c>
      <c r="G507" s="7">
        <v>83119091</v>
      </c>
      <c r="I507" s="7">
        <v>0</v>
      </c>
      <c r="K507" s="2">
        <f t="shared" si="108"/>
        <v>135092377</v>
      </c>
      <c r="M507" s="7">
        <v>218211468</v>
      </c>
      <c r="O507" s="2">
        <f t="shared" si="109"/>
        <v>23762948</v>
      </c>
      <c r="Q507" s="7">
        <v>80284620</v>
      </c>
      <c r="S507" s="7">
        <v>104047568</v>
      </c>
      <c r="U507" s="7">
        <v>502801</v>
      </c>
      <c r="W507" s="7">
        <v>32856497</v>
      </c>
      <c r="Y507" s="7">
        <v>1038265</v>
      </c>
      <c r="AA507" s="7">
        <v>1849870</v>
      </c>
      <c r="AC507" s="7">
        <v>77916467</v>
      </c>
      <c r="AE507" s="13">
        <f t="shared" si="104"/>
        <v>114163900</v>
      </c>
      <c r="AG507" s="7">
        <f t="shared" si="105"/>
        <v>0</v>
      </c>
      <c r="AK507" s="7" t="str">
        <f t="shared" si="106"/>
        <v>South-Western City SD</v>
      </c>
      <c r="AL507" s="7" t="str">
        <f>GenExp!A507</f>
        <v>South-Western City SD</v>
      </c>
      <c r="AM507" s="7" t="b">
        <f t="shared" si="107"/>
        <v>1</v>
      </c>
      <c r="AN507" s="7" t="str">
        <f t="shared" si="103"/>
        <v>Franklin</v>
      </c>
      <c r="AO507" s="7" t="b">
        <f>C507=GenExp!C507</f>
        <v>1</v>
      </c>
    </row>
    <row r="508" spans="1:41" hidden="1">
      <c r="A508" s="12" t="s">
        <v>741</v>
      </c>
      <c r="B508" s="12"/>
      <c r="C508" s="12" t="s">
        <v>10</v>
      </c>
      <c r="D508" s="12"/>
      <c r="E508" s="12">
        <v>45807</v>
      </c>
      <c r="K508" s="2">
        <f t="shared" si="108"/>
        <v>0</v>
      </c>
      <c r="O508" s="2">
        <f t="shared" si="109"/>
        <v>0</v>
      </c>
      <c r="AE508" s="13">
        <f t="shared" si="104"/>
        <v>0</v>
      </c>
      <c r="AG508" s="7">
        <f t="shared" si="105"/>
        <v>0</v>
      </c>
      <c r="AI508" s="7" t="s">
        <v>789</v>
      </c>
      <c r="AK508" s="7" t="str">
        <f t="shared" si="106"/>
        <v>Spencerville Local SD (CASH)</v>
      </c>
      <c r="AL508" s="7" t="str">
        <f>GenExp!A508</f>
        <v>Spencerville Local SD (CASH)</v>
      </c>
      <c r="AM508" s="7" t="b">
        <f t="shared" si="107"/>
        <v>1</v>
      </c>
      <c r="AN508" s="7" t="str">
        <f t="shared" si="103"/>
        <v>Allen</v>
      </c>
      <c r="AO508" s="7" t="b">
        <f>C508=GenExp!C508</f>
        <v>1</v>
      </c>
    </row>
    <row r="509" spans="1:41">
      <c r="A509" s="12" t="s">
        <v>977</v>
      </c>
      <c r="B509" s="12"/>
      <c r="C509" s="12" t="s">
        <v>69</v>
      </c>
      <c r="D509" s="12"/>
      <c r="E509" s="12">
        <v>50427</v>
      </c>
      <c r="G509" s="7">
        <v>14024524</v>
      </c>
      <c r="I509" s="7">
        <f>96355+1269960</f>
        <v>1366315</v>
      </c>
      <c r="K509" s="2">
        <f t="shared" si="108"/>
        <v>32561073</v>
      </c>
      <c r="M509" s="7">
        <v>47951912</v>
      </c>
      <c r="O509" s="2">
        <f t="shared" si="109"/>
        <v>6481314</v>
      </c>
      <c r="Q509" s="7">
        <v>29813545</v>
      </c>
      <c r="S509" s="7">
        <v>36294859</v>
      </c>
      <c r="U509" s="7">
        <v>0</v>
      </c>
      <c r="W509" s="7">
        <v>6849542</v>
      </c>
      <c r="Y509" s="7">
        <v>0</v>
      </c>
      <c r="AA509" s="7">
        <v>783734</v>
      </c>
      <c r="AC509" s="7">
        <v>4023777</v>
      </c>
      <c r="AE509" s="13">
        <f t="shared" si="104"/>
        <v>11657053</v>
      </c>
      <c r="AG509" s="7">
        <f t="shared" si="105"/>
        <v>0</v>
      </c>
      <c r="AK509" s="7" t="str">
        <f t="shared" si="106"/>
        <v xml:space="preserve">Springboro Community City SD </v>
      </c>
      <c r="AL509" s="7" t="str">
        <f>GenExp!A509</f>
        <v xml:space="preserve">Springboro Community City SD </v>
      </c>
      <c r="AM509" s="7" t="b">
        <f t="shared" si="107"/>
        <v>1</v>
      </c>
      <c r="AN509" s="7" t="str">
        <f t="shared" si="103"/>
        <v>Warren</v>
      </c>
      <c r="AO509" s="7" t="b">
        <f>C509=GenExp!C509</f>
        <v>1</v>
      </c>
    </row>
    <row r="510" spans="1:41">
      <c r="A510" s="12" t="s">
        <v>656</v>
      </c>
      <c r="B510" s="12"/>
      <c r="C510" s="12" t="s">
        <v>17</v>
      </c>
      <c r="D510" s="12"/>
      <c r="E510" s="12"/>
      <c r="G510" s="7">
        <v>39740277</v>
      </c>
      <c r="I510" s="7">
        <f>1245690+1705580</f>
        <v>2951270</v>
      </c>
      <c r="K510" s="2">
        <f t="shared" si="108"/>
        <v>37544615</v>
      </c>
      <c r="M510" s="7">
        <v>80236162</v>
      </c>
      <c r="O510" s="2">
        <f t="shared" si="109"/>
        <v>13966172</v>
      </c>
      <c r="Q510" s="7">
        <v>30354392</v>
      </c>
      <c r="S510" s="7">
        <v>44320564</v>
      </c>
      <c r="U510" s="7">
        <v>45078</v>
      </c>
      <c r="W510" s="7">
        <v>14925392</v>
      </c>
      <c r="Y510" s="7">
        <v>147326</v>
      </c>
      <c r="AA510" s="7">
        <v>1816872</v>
      </c>
      <c r="AC510" s="7">
        <v>18980930</v>
      </c>
      <c r="AE510" s="13">
        <v>35915598</v>
      </c>
      <c r="AG510" s="7">
        <f t="shared" si="105"/>
        <v>0</v>
      </c>
      <c r="AK510" s="7" t="str">
        <f t="shared" si="106"/>
        <v>Springfield City SD</v>
      </c>
      <c r="AL510" s="7" t="str">
        <f>GenExp!A510</f>
        <v>Springfield City SD</v>
      </c>
      <c r="AM510" s="7" t="b">
        <f t="shared" si="107"/>
        <v>1</v>
      </c>
      <c r="AN510" s="7" t="str">
        <f t="shared" si="103"/>
        <v>Clark</v>
      </c>
      <c r="AO510" s="7" t="b">
        <f>C510=GenExp!C510</f>
        <v>1</v>
      </c>
    </row>
    <row r="511" spans="1:41">
      <c r="A511" s="12" t="s">
        <v>756</v>
      </c>
      <c r="B511" s="12"/>
      <c r="C511" s="12" t="s">
        <v>115</v>
      </c>
      <c r="D511" s="12"/>
      <c r="E511" s="12">
        <v>48223</v>
      </c>
      <c r="G511" s="7">
        <v>4148387</v>
      </c>
      <c r="I511" s="7">
        <v>32581</v>
      </c>
      <c r="K511" s="2">
        <f t="shared" si="108"/>
        <v>30139942</v>
      </c>
      <c r="M511" s="7">
        <v>34320910</v>
      </c>
      <c r="O511" s="2">
        <f t="shared" si="109"/>
        <v>6748538</v>
      </c>
      <c r="Q511" s="7">
        <v>27298003</v>
      </c>
      <c r="S511" s="7">
        <v>34046541</v>
      </c>
      <c r="U511" s="7">
        <v>16596</v>
      </c>
      <c r="W511" s="7">
        <v>1298113</v>
      </c>
      <c r="Y511" s="7">
        <v>0</v>
      </c>
      <c r="AA511" s="7">
        <v>471086</v>
      </c>
      <c r="AC511" s="7">
        <v>-1511426</v>
      </c>
      <c r="AE511" s="13">
        <f t="shared" si="104"/>
        <v>274369</v>
      </c>
      <c r="AG511" s="7">
        <f t="shared" si="105"/>
        <v>0</v>
      </c>
      <c r="AK511" s="7" t="str">
        <f t="shared" si="106"/>
        <v xml:space="preserve">Springfield Local SD </v>
      </c>
      <c r="AL511" s="7" t="str">
        <f>GenExp!A511</f>
        <v xml:space="preserve">Springfield Local SD </v>
      </c>
      <c r="AM511" s="7" t="b">
        <f t="shared" si="107"/>
        <v>1</v>
      </c>
      <c r="AN511" s="7" t="str">
        <f t="shared" si="103"/>
        <v>Lucas</v>
      </c>
      <c r="AO511" s="7" t="b">
        <f>C511=GenExp!C511</f>
        <v>1</v>
      </c>
    </row>
    <row r="512" spans="1:41">
      <c r="A512" s="12" t="s">
        <v>406</v>
      </c>
      <c r="B512" s="12"/>
      <c r="C512" s="12" t="s">
        <v>45</v>
      </c>
      <c r="D512" s="12"/>
      <c r="E512" s="12">
        <v>48371</v>
      </c>
      <c r="G512" s="7">
        <v>2629744</v>
      </c>
      <c r="I512" s="7">
        <v>0</v>
      </c>
      <c r="K512" s="2">
        <f t="shared" si="108"/>
        <v>4275595</v>
      </c>
      <c r="M512" s="7">
        <v>6905339</v>
      </c>
      <c r="O512" s="2">
        <f t="shared" si="109"/>
        <v>1318784</v>
      </c>
      <c r="Q512" s="7">
        <f>359630+2952449</f>
        <v>3312079</v>
      </c>
      <c r="S512" s="7">
        <v>4630863</v>
      </c>
      <c r="U512" s="7">
        <f>352+2362</f>
        <v>2714</v>
      </c>
      <c r="W512" s="7">
        <f>938661+175489+35151+31066+1475</f>
        <v>1181842</v>
      </c>
      <c r="Y512" s="7">
        <v>35981</v>
      </c>
      <c r="AA512" s="7">
        <f>4098+47833+7360+2388</f>
        <v>61679</v>
      </c>
      <c r="AC512" s="7">
        <v>992260</v>
      </c>
      <c r="AE512" s="13">
        <f t="shared" si="104"/>
        <v>2274476</v>
      </c>
      <c r="AG512" s="7">
        <f t="shared" si="105"/>
        <v>0</v>
      </c>
      <c r="AK512" s="7" t="str">
        <f t="shared" si="106"/>
        <v>Springfield Local SD</v>
      </c>
      <c r="AL512" s="7" t="str">
        <f>GenExp!A512</f>
        <v>Springfield Local SD</v>
      </c>
      <c r="AM512" s="7" t="b">
        <f t="shared" si="107"/>
        <v>1</v>
      </c>
      <c r="AN512" s="7" t="str">
        <f t="shared" si="103"/>
        <v>Mahoning</v>
      </c>
      <c r="AO512" s="7" t="b">
        <f>C512=GenExp!C512</f>
        <v>1</v>
      </c>
    </row>
    <row r="513" spans="1:41">
      <c r="A513" s="12" t="s">
        <v>406</v>
      </c>
      <c r="B513" s="12"/>
      <c r="C513" s="12" t="s">
        <v>63</v>
      </c>
      <c r="D513" s="12"/>
      <c r="E513" s="12">
        <v>50062</v>
      </c>
      <c r="G513" s="7">
        <v>40925476</v>
      </c>
      <c r="I513" s="7">
        <v>0</v>
      </c>
      <c r="K513" s="2">
        <f t="shared" si="108"/>
        <v>19453417</v>
      </c>
      <c r="M513" s="7">
        <v>60378893</v>
      </c>
      <c r="O513" s="2">
        <f t="shared" si="109"/>
        <v>3653119</v>
      </c>
      <c r="Q513" s="7">
        <v>17323715</v>
      </c>
      <c r="S513" s="7">
        <v>20976834</v>
      </c>
      <c r="U513" s="7">
        <v>0</v>
      </c>
      <c r="W513" s="7">
        <v>37675555</v>
      </c>
      <c r="Y513" s="7">
        <v>0</v>
      </c>
      <c r="AA513" s="7">
        <v>214413</v>
      </c>
      <c r="AC513" s="7">
        <v>1512091</v>
      </c>
      <c r="AE513" s="13">
        <f t="shared" si="104"/>
        <v>39402059</v>
      </c>
      <c r="AG513" s="7">
        <f t="shared" si="105"/>
        <v>0</v>
      </c>
      <c r="AK513" s="7" t="str">
        <f t="shared" si="106"/>
        <v>Springfield Local SD</v>
      </c>
      <c r="AL513" s="7" t="str">
        <f>GenExp!A513</f>
        <v>Springfield Local SD</v>
      </c>
      <c r="AM513" s="7" t="b">
        <f t="shared" si="107"/>
        <v>1</v>
      </c>
      <c r="AN513" s="7" t="str">
        <f t="shared" si="103"/>
        <v>Summit</v>
      </c>
      <c r="AO513" s="7" t="b">
        <f>C513=GenExp!C513</f>
        <v>1</v>
      </c>
    </row>
    <row r="514" spans="1:41">
      <c r="A514" s="12" t="s">
        <v>896</v>
      </c>
      <c r="B514" s="12"/>
      <c r="C514" s="12" t="s">
        <v>32</v>
      </c>
      <c r="D514" s="12"/>
      <c r="E514" s="12">
        <v>44719</v>
      </c>
      <c r="G514" s="7">
        <v>6425179</v>
      </c>
      <c r="I514" s="7">
        <v>0</v>
      </c>
      <c r="K514" s="2">
        <f t="shared" si="108"/>
        <v>10595045</v>
      </c>
      <c r="M514" s="7">
        <v>17020224</v>
      </c>
      <c r="O514" s="2">
        <f t="shared" si="109"/>
        <v>1914599</v>
      </c>
      <c r="Q514" s="7">
        <v>7915566</v>
      </c>
      <c r="S514" s="7">
        <v>9830165</v>
      </c>
      <c r="U514" s="7">
        <v>13585</v>
      </c>
      <c r="W514" s="7">
        <v>1116094</v>
      </c>
      <c r="Y514" s="7">
        <v>0</v>
      </c>
      <c r="AA514" s="7">
        <v>747222</v>
      </c>
      <c r="AC514" s="7">
        <v>5313158</v>
      </c>
      <c r="AE514" s="13">
        <f t="shared" si="104"/>
        <v>7190059</v>
      </c>
      <c r="AG514" s="7">
        <f t="shared" si="105"/>
        <v>0</v>
      </c>
      <c r="AK514" s="7" t="str">
        <f t="shared" si="106"/>
        <v>St. Bernard-Elmwood Place City SD</v>
      </c>
      <c r="AL514" s="7" t="str">
        <f>GenExp!A514</f>
        <v>St. Bernard-Elmwood Place City SD</v>
      </c>
      <c r="AM514" s="7" t="b">
        <f t="shared" si="107"/>
        <v>1</v>
      </c>
      <c r="AN514" s="7" t="str">
        <f t="shared" si="103"/>
        <v>Hamilton</v>
      </c>
      <c r="AO514" s="7" t="b">
        <f>C514=GenExp!C514</f>
        <v>1</v>
      </c>
    </row>
    <row r="515" spans="1:41">
      <c r="A515" s="12" t="s">
        <v>897</v>
      </c>
      <c r="B515" s="12"/>
      <c r="C515" s="12" t="s">
        <v>15</v>
      </c>
      <c r="D515" s="12"/>
      <c r="E515" s="12">
        <v>45997</v>
      </c>
      <c r="G515" s="7">
        <f>2678506+223105</f>
        <v>2901611</v>
      </c>
      <c r="I515" s="7">
        <v>244066</v>
      </c>
      <c r="K515" s="2">
        <f t="shared" si="108"/>
        <v>8050383</v>
      </c>
      <c r="M515" s="7">
        <v>11196060</v>
      </c>
      <c r="O515" s="2">
        <f t="shared" si="109"/>
        <v>2130206</v>
      </c>
      <c r="Q515" s="7">
        <v>7328779</v>
      </c>
      <c r="S515" s="7">
        <v>9458985</v>
      </c>
      <c r="U515" s="7">
        <f>51014+8246</f>
        <v>59260</v>
      </c>
      <c r="W515" s="7">
        <f>47401+599083+167020+70558+34812+11000+82642</f>
        <v>1012516</v>
      </c>
      <c r="Y515" s="7">
        <v>0</v>
      </c>
      <c r="AA515" s="7">
        <v>764695</v>
      </c>
      <c r="AC515" s="7">
        <v>-99396</v>
      </c>
      <c r="AE515" s="13">
        <f t="shared" si="104"/>
        <v>1737075</v>
      </c>
      <c r="AG515" s="7">
        <f t="shared" si="105"/>
        <v>0</v>
      </c>
      <c r="AK515" s="7" t="str">
        <f t="shared" si="106"/>
        <v>St. Clairsville-Richland City SD</v>
      </c>
      <c r="AL515" s="7" t="str">
        <f>GenExp!A515</f>
        <v>St. Clairsville-Richland City SD</v>
      </c>
      <c r="AM515" s="7" t="b">
        <f t="shared" si="107"/>
        <v>1</v>
      </c>
      <c r="AN515" s="7" t="str">
        <f t="shared" si="103"/>
        <v>Belmont</v>
      </c>
      <c r="AO515" s="7" t="b">
        <f>C515=GenExp!C515</f>
        <v>1</v>
      </c>
    </row>
    <row r="516" spans="1:41" hidden="1">
      <c r="A516" s="12" t="s">
        <v>742</v>
      </c>
      <c r="B516" s="12"/>
      <c r="C516" s="12" t="s">
        <v>435</v>
      </c>
      <c r="D516" s="12"/>
      <c r="E516" s="12">
        <v>48587</v>
      </c>
      <c r="K516" s="2">
        <f t="shared" si="108"/>
        <v>0</v>
      </c>
      <c r="O516" s="2">
        <f t="shared" si="109"/>
        <v>0</v>
      </c>
      <c r="AE516" s="13">
        <f t="shared" si="104"/>
        <v>0</v>
      </c>
      <c r="AG516" s="7">
        <f t="shared" si="105"/>
        <v>0</v>
      </c>
      <c r="AI516" s="7" t="s">
        <v>789</v>
      </c>
      <c r="AK516" s="7" t="str">
        <f t="shared" si="106"/>
        <v>St Henry Consolidated Local SD (CASH)</v>
      </c>
      <c r="AL516" s="7" t="str">
        <f>GenExp!A516</f>
        <v>St Henry Consolidated Local SD (CASH)</v>
      </c>
      <c r="AM516" s="7" t="b">
        <f t="shared" si="107"/>
        <v>1</v>
      </c>
      <c r="AN516" s="7" t="str">
        <f t="shared" si="103"/>
        <v>Mercer</v>
      </c>
      <c r="AO516" s="7" t="b">
        <f>C516=GenExp!C516</f>
        <v>1</v>
      </c>
    </row>
    <row r="517" spans="1:41" hidden="1">
      <c r="A517" s="12" t="s">
        <v>743</v>
      </c>
      <c r="B517" s="12"/>
      <c r="C517" s="12" t="s">
        <v>14</v>
      </c>
      <c r="D517" s="12"/>
      <c r="E517" s="12">
        <v>44727</v>
      </c>
      <c r="K517" s="2">
        <f t="shared" si="108"/>
        <v>0</v>
      </c>
      <c r="O517" s="2">
        <f t="shared" si="109"/>
        <v>0</v>
      </c>
      <c r="AE517" s="13">
        <f t="shared" si="104"/>
        <v>0</v>
      </c>
      <c r="AG517" s="7">
        <f t="shared" si="105"/>
        <v>0</v>
      </c>
      <c r="AI517" s="7" t="s">
        <v>789</v>
      </c>
      <c r="AK517" s="7" t="str">
        <f t="shared" si="106"/>
        <v>St Marys City SD (CASH)</v>
      </c>
      <c r="AL517" s="7" t="str">
        <f>GenExp!A517</f>
        <v>St Marys City SD (CASH)</v>
      </c>
      <c r="AM517" s="7" t="b">
        <f t="shared" si="107"/>
        <v>1</v>
      </c>
      <c r="AN517" s="7" t="str">
        <f t="shared" si="103"/>
        <v>Auglaize</v>
      </c>
      <c r="AO517" s="7" t="b">
        <f>C517=GenExp!C517</f>
        <v>1</v>
      </c>
    </row>
    <row r="518" spans="1:41">
      <c r="A518" s="12" t="s">
        <v>374</v>
      </c>
      <c r="B518" s="12"/>
      <c r="C518" s="12" t="s">
        <v>39</v>
      </c>
      <c r="D518" s="12"/>
      <c r="E518" s="12">
        <v>44826</v>
      </c>
      <c r="G518" s="7">
        <v>11405704</v>
      </c>
      <c r="I518" s="7">
        <f>136871+2128280</f>
        <v>2265151</v>
      </c>
      <c r="K518" s="2">
        <f t="shared" si="108"/>
        <v>6976990</v>
      </c>
      <c r="M518" s="7">
        <v>20647845</v>
      </c>
      <c r="O518" s="2">
        <f t="shared" si="109"/>
        <v>2251002</v>
      </c>
      <c r="Q518" s="7">
        <v>6432546</v>
      </c>
      <c r="S518" s="7">
        <v>8683548</v>
      </c>
      <c r="U518" s="7">
        <f>13115+7777</f>
        <v>20892</v>
      </c>
      <c r="W518" s="7">
        <f>3802868+3112035+85496+2534+40466+348788+388049+1078067+575274</f>
        <v>9433577</v>
      </c>
      <c r="Y518" s="7">
        <v>0</v>
      </c>
      <c r="AA518" s="7">
        <f>259332+470934+1469805</f>
        <v>2200071</v>
      </c>
      <c r="AC518" s="7">
        <v>309757</v>
      </c>
      <c r="AE518" s="13">
        <f t="shared" si="104"/>
        <v>11964297</v>
      </c>
      <c r="AG518" s="7">
        <f t="shared" si="105"/>
        <v>0</v>
      </c>
      <c r="AK518" s="7" t="str">
        <f t="shared" si="106"/>
        <v>Steubenville City SD</v>
      </c>
      <c r="AL518" s="7" t="str">
        <f>GenExp!A518</f>
        <v>Steubenville City SD</v>
      </c>
      <c r="AM518" s="7" t="b">
        <f t="shared" si="107"/>
        <v>1</v>
      </c>
      <c r="AN518" s="7" t="str">
        <f t="shared" si="103"/>
        <v>Jefferson</v>
      </c>
      <c r="AO518" s="7" t="b">
        <f>C518=GenExp!C518</f>
        <v>1</v>
      </c>
    </row>
    <row r="519" spans="1:41">
      <c r="A519" s="12" t="s">
        <v>530</v>
      </c>
      <c r="B519" s="12"/>
      <c r="C519" s="12" t="s">
        <v>63</v>
      </c>
      <c r="D519" s="12"/>
      <c r="E519" s="12">
        <v>44834</v>
      </c>
      <c r="G519" s="7">
        <v>14833148</v>
      </c>
      <c r="I519" s="7">
        <v>248223</v>
      </c>
      <c r="K519" s="2">
        <f t="shared" si="108"/>
        <v>30726232</v>
      </c>
      <c r="M519" s="7">
        <v>45807603</v>
      </c>
      <c r="O519" s="2">
        <f t="shared" si="109"/>
        <v>6729809</v>
      </c>
      <c r="Q519" s="7">
        <f>925842+25311227</f>
        <v>26237069</v>
      </c>
      <c r="S519" s="7">
        <v>32966878</v>
      </c>
      <c r="U519" s="7">
        <f>171577+24486</f>
        <v>196063</v>
      </c>
      <c r="W519" s="7">
        <f>90550+11019+65190+89904+248223+5724</f>
        <v>510610</v>
      </c>
      <c r="Y519" s="7">
        <f>341017+161805</f>
        <v>502822</v>
      </c>
      <c r="AA519" s="7">
        <f>158506+494253+201+19913+95340+41475</f>
        <v>809688</v>
      </c>
      <c r="AC519" s="7">
        <v>10821542</v>
      </c>
      <c r="AE519" s="13">
        <f t="shared" si="104"/>
        <v>12840725</v>
      </c>
      <c r="AG519" s="7">
        <f t="shared" si="105"/>
        <v>0</v>
      </c>
      <c r="AK519" s="7" t="str">
        <f t="shared" si="106"/>
        <v>Stow-Munroe Falls City SD</v>
      </c>
      <c r="AL519" s="7" t="str">
        <f>GenExp!A519</f>
        <v>Stow-Munroe Falls City SD</v>
      </c>
      <c r="AM519" s="7" t="b">
        <f t="shared" si="107"/>
        <v>1</v>
      </c>
      <c r="AN519" s="7" t="str">
        <f t="shared" si="103"/>
        <v>Summit</v>
      </c>
      <c r="AO519" s="7" t="b">
        <f>C519=GenExp!C519</f>
        <v>1</v>
      </c>
    </row>
    <row r="520" spans="1:41" hidden="1">
      <c r="A520" s="12" t="s">
        <v>744</v>
      </c>
      <c r="B520" s="12"/>
      <c r="C520" s="12" t="s">
        <v>65</v>
      </c>
      <c r="D520" s="12"/>
      <c r="E520" s="12">
        <v>50294</v>
      </c>
      <c r="K520" s="2">
        <f t="shared" si="108"/>
        <v>0</v>
      </c>
      <c r="O520" s="2">
        <f t="shared" si="109"/>
        <v>0</v>
      </c>
      <c r="AE520" s="13">
        <f t="shared" si="104"/>
        <v>0</v>
      </c>
      <c r="AG520" s="7">
        <f t="shared" si="105"/>
        <v>0</v>
      </c>
      <c r="AI520" s="7" t="s">
        <v>792</v>
      </c>
      <c r="AK520" s="7" t="str">
        <f t="shared" si="106"/>
        <v>Strasburg-Franklin Local SD (CASH)</v>
      </c>
      <c r="AL520" s="7" t="str">
        <f>GenExp!A520</f>
        <v>Strasburg-Franklin Local SD (CASH)</v>
      </c>
      <c r="AM520" s="7" t="b">
        <f t="shared" si="107"/>
        <v>1</v>
      </c>
      <c r="AN520" s="7" t="str">
        <f t="shared" si="103"/>
        <v>Tuscarawas</v>
      </c>
      <c r="AO520" s="7" t="b">
        <f>C520=GenExp!C520</f>
        <v>1</v>
      </c>
    </row>
    <row r="521" spans="1:41">
      <c r="A521" s="12" t="s">
        <v>479</v>
      </c>
      <c r="B521" s="12"/>
      <c r="C521" s="12" t="s">
        <v>56</v>
      </c>
      <c r="D521" s="12"/>
      <c r="E521" s="12">
        <v>49239</v>
      </c>
      <c r="G521" s="7">
        <v>3762765</v>
      </c>
      <c r="I521" s="7">
        <v>0</v>
      </c>
      <c r="K521" s="2">
        <f t="shared" si="108"/>
        <v>16007201</v>
      </c>
      <c r="M521" s="7">
        <v>19769966</v>
      </c>
      <c r="O521" s="2">
        <f t="shared" si="109"/>
        <v>2651749</v>
      </c>
      <c r="Q521" s="7">
        <v>14358773</v>
      </c>
      <c r="S521" s="7">
        <v>17010522</v>
      </c>
      <c r="U521" s="7">
        <v>0</v>
      </c>
      <c r="W521" s="7">
        <v>1396425</v>
      </c>
      <c r="Y521" s="7">
        <v>20873</v>
      </c>
      <c r="AA521" s="7">
        <v>177735</v>
      </c>
      <c r="AC521" s="7">
        <v>1164411</v>
      </c>
      <c r="AE521" s="13">
        <f t="shared" si="104"/>
        <v>2759444</v>
      </c>
      <c r="AG521" s="7">
        <f t="shared" si="105"/>
        <v>0</v>
      </c>
      <c r="AK521" s="7" t="str">
        <f t="shared" si="106"/>
        <v>Streetsboro City SD</v>
      </c>
      <c r="AL521" s="7" t="str">
        <f>GenExp!A521</f>
        <v>Streetsboro City SD</v>
      </c>
      <c r="AM521" s="7" t="b">
        <f t="shared" si="107"/>
        <v>1</v>
      </c>
      <c r="AN521" s="7" t="str">
        <f t="shared" si="103"/>
        <v>Portage</v>
      </c>
      <c r="AO521" s="7" t="b">
        <f>C521=GenExp!C521</f>
        <v>1</v>
      </c>
    </row>
    <row r="522" spans="1:41">
      <c r="A522" s="12" t="s">
        <v>285</v>
      </c>
      <c r="B522" s="12"/>
      <c r="C522" s="12" t="s">
        <v>20</v>
      </c>
      <c r="D522" s="12"/>
      <c r="E522" s="12">
        <v>44842</v>
      </c>
      <c r="G522" s="7">
        <v>5795804</v>
      </c>
      <c r="I522" s="7">
        <v>541172</v>
      </c>
      <c r="K522" s="2">
        <f t="shared" si="108"/>
        <v>55662268</v>
      </c>
      <c r="M522" s="7">
        <v>61999244</v>
      </c>
      <c r="O522" s="2">
        <f t="shared" si="109"/>
        <v>11424821</v>
      </c>
      <c r="Q522" s="7">
        <v>49166871</v>
      </c>
      <c r="S522" s="7">
        <v>60591692</v>
      </c>
      <c r="U522" s="7">
        <v>0</v>
      </c>
      <c r="W522" s="7">
        <v>5549981</v>
      </c>
      <c r="Y522" s="7">
        <v>0</v>
      </c>
      <c r="AA522" s="7">
        <v>1071167</v>
      </c>
      <c r="AC522" s="7">
        <v>-5213596</v>
      </c>
      <c r="AE522" s="13">
        <f t="shared" si="104"/>
        <v>1407552</v>
      </c>
      <c r="AG522" s="7">
        <f t="shared" si="105"/>
        <v>0</v>
      </c>
      <c r="AK522" s="7" t="str">
        <f t="shared" si="106"/>
        <v>Strongsville City SD</v>
      </c>
      <c r="AL522" s="7" t="str">
        <f>GenExp!A522</f>
        <v>Strongsville City SD</v>
      </c>
      <c r="AM522" s="7" t="b">
        <f t="shared" si="107"/>
        <v>1</v>
      </c>
      <c r="AN522" s="7" t="str">
        <f t="shared" si="103"/>
        <v>Cuyahoga</v>
      </c>
      <c r="AO522" s="7" t="b">
        <f>C522=GenExp!C522</f>
        <v>1</v>
      </c>
    </row>
    <row r="523" spans="1:41">
      <c r="A523" s="12" t="s">
        <v>420</v>
      </c>
      <c r="B523" s="12"/>
      <c r="C523" s="12" t="s">
        <v>45</v>
      </c>
      <c r="D523" s="12"/>
      <c r="E523" s="12">
        <v>44859</v>
      </c>
      <c r="G523" s="7">
        <v>9882036</v>
      </c>
      <c r="I523" s="7">
        <v>22629</v>
      </c>
      <c r="K523" s="2">
        <f t="shared" si="108"/>
        <v>6278189</v>
      </c>
      <c r="M523" s="7">
        <v>16182854</v>
      </c>
      <c r="O523" s="2">
        <f t="shared" si="109"/>
        <v>2888127</v>
      </c>
      <c r="Q523" s="7">
        <v>5645154</v>
      </c>
      <c r="S523" s="7">
        <v>8533281</v>
      </c>
      <c r="U523" s="7">
        <v>18184</v>
      </c>
      <c r="W523" s="7">
        <v>2785337</v>
      </c>
      <c r="Y523" s="7">
        <v>0</v>
      </c>
      <c r="AA523" s="7">
        <v>523420</v>
      </c>
      <c r="AC523" s="7">
        <v>4322632</v>
      </c>
      <c r="AE523" s="13">
        <f t="shared" si="104"/>
        <v>7649573</v>
      </c>
      <c r="AG523" s="7">
        <f t="shared" si="105"/>
        <v>0</v>
      </c>
      <c r="AK523" s="7" t="str">
        <f t="shared" si="106"/>
        <v>Struthers City SD</v>
      </c>
      <c r="AL523" s="7" t="str">
        <f>GenExp!A523</f>
        <v>Struthers City SD</v>
      </c>
      <c r="AM523" s="7" t="b">
        <f t="shared" si="107"/>
        <v>1</v>
      </c>
      <c r="AN523" s="7" t="str">
        <f t="shared" si="103"/>
        <v>Mahoning</v>
      </c>
      <c r="AO523" s="7" t="b">
        <f>C523=GenExp!C523</f>
        <v>1</v>
      </c>
    </row>
    <row r="524" spans="1:41">
      <c r="A524" s="12" t="s">
        <v>571</v>
      </c>
      <c r="B524" s="12"/>
      <c r="C524" s="12" t="s">
        <v>570</v>
      </c>
      <c r="D524" s="12"/>
      <c r="E524" s="12">
        <v>50658</v>
      </c>
      <c r="G524" s="7">
        <v>1491815</v>
      </c>
      <c r="I524" s="7">
        <v>24970</v>
      </c>
      <c r="K524" s="2">
        <f t="shared" si="108"/>
        <v>2103046</v>
      </c>
      <c r="M524" s="7">
        <v>3619831</v>
      </c>
      <c r="O524" s="2">
        <f t="shared" si="109"/>
        <v>415747</v>
      </c>
      <c r="Q524" s="7">
        <v>1660071</v>
      </c>
      <c r="S524" s="7">
        <v>2075818</v>
      </c>
      <c r="U524" s="7">
        <v>9398</v>
      </c>
      <c r="W524" s="7">
        <v>710695</v>
      </c>
      <c r="Y524" s="7">
        <v>0</v>
      </c>
      <c r="AA524" s="7">
        <v>16212</v>
      </c>
      <c r="AC524" s="7">
        <v>807708</v>
      </c>
      <c r="AE524" s="13">
        <f t="shared" si="104"/>
        <v>1544013</v>
      </c>
      <c r="AG524" s="7">
        <f t="shared" si="105"/>
        <v>0</v>
      </c>
      <c r="AK524" s="7" t="str">
        <f t="shared" si="106"/>
        <v>Stryker Local SD</v>
      </c>
      <c r="AL524" s="7" t="str">
        <f>GenExp!A524</f>
        <v>Stryker Local SD</v>
      </c>
      <c r="AM524" s="7" t="b">
        <f t="shared" si="107"/>
        <v>1</v>
      </c>
      <c r="AN524" s="7" t="str">
        <f t="shared" si="103"/>
        <v>Williams</v>
      </c>
      <c r="AO524" s="7" t="b">
        <f>C524=GenExp!C524</f>
        <v>1</v>
      </c>
    </row>
    <row r="525" spans="1:41">
      <c r="A525" s="12" t="s">
        <v>319</v>
      </c>
      <c r="B525" s="12"/>
      <c r="C525" s="12" t="s">
        <v>28</v>
      </c>
      <c r="D525" s="12"/>
      <c r="E525" s="12">
        <v>47092</v>
      </c>
      <c r="G525" s="7">
        <v>9728696</v>
      </c>
      <c r="I525" s="7">
        <v>48089</v>
      </c>
      <c r="K525" s="2">
        <f t="shared" si="108"/>
        <v>9539657</v>
      </c>
      <c r="M525" s="7">
        <v>19316442</v>
      </c>
      <c r="O525" s="2">
        <f t="shared" si="109"/>
        <v>1602007</v>
      </c>
      <c r="Q525" s="7">
        <v>6543925</v>
      </c>
      <c r="S525" s="7">
        <v>8145932</v>
      </c>
      <c r="U525" s="7">
        <v>5112</v>
      </c>
      <c r="W525" s="7">
        <v>2113610</v>
      </c>
      <c r="Y525" s="7">
        <v>0</v>
      </c>
      <c r="AA525" s="7">
        <v>220384</v>
      </c>
      <c r="AC525" s="7">
        <v>8831404</v>
      </c>
      <c r="AE525" s="13">
        <f t="shared" si="104"/>
        <v>11170510</v>
      </c>
      <c r="AG525" s="7">
        <f t="shared" si="105"/>
        <v>0</v>
      </c>
      <c r="AK525" s="7" t="str">
        <f t="shared" si="106"/>
        <v>Swanton Local SD</v>
      </c>
      <c r="AL525" s="7" t="str">
        <f>GenExp!A525</f>
        <v>Swanton Local SD</v>
      </c>
      <c r="AM525" s="7" t="b">
        <f t="shared" si="107"/>
        <v>1</v>
      </c>
      <c r="AN525" s="7" t="str">
        <f t="shared" si="103"/>
        <v>Fulton</v>
      </c>
      <c r="AO525" s="7" t="b">
        <f>C525=GenExp!C525</f>
        <v>1</v>
      </c>
    </row>
    <row r="526" spans="1:41">
      <c r="A526" s="12" t="s">
        <v>655</v>
      </c>
      <c r="B526" s="12"/>
      <c r="C526" s="12" t="s">
        <v>49</v>
      </c>
      <c r="D526" s="12"/>
      <c r="E526" s="12">
        <v>48652</v>
      </c>
      <c r="G526" s="7">
        <v>4020430</v>
      </c>
      <c r="I526" s="7">
        <v>5666</v>
      </c>
      <c r="K526" s="2">
        <f t="shared" si="108"/>
        <v>84639727</v>
      </c>
      <c r="M526" s="7">
        <v>88665823</v>
      </c>
      <c r="O526" s="2">
        <f t="shared" si="109"/>
        <v>5999585</v>
      </c>
      <c r="Q526" s="7">
        <v>30295901</v>
      </c>
      <c r="S526" s="7">
        <v>36295486</v>
      </c>
      <c r="U526" s="7">
        <f>20038+71759+5666</f>
        <v>97463</v>
      </c>
      <c r="W526" s="7">
        <f>208058+51003633+2231899+307250+6966+257772+43302</f>
        <v>54058880</v>
      </c>
      <c r="Y526" s="7">
        <v>42082</v>
      </c>
      <c r="AA526" s="7">
        <v>29442</v>
      </c>
      <c r="AC526" s="7">
        <v>-1857530</v>
      </c>
      <c r="AE526" s="13">
        <f t="shared" si="104"/>
        <v>52370337</v>
      </c>
      <c r="AG526" s="7">
        <f t="shared" si="105"/>
        <v>0</v>
      </c>
      <c r="AK526" s="7" t="str">
        <f t="shared" si="106"/>
        <v>Switzerland of Ohio Local SD</v>
      </c>
      <c r="AL526" s="7" t="str">
        <f>GenExp!A526</f>
        <v>Switzerland of Ohio Local SD</v>
      </c>
      <c r="AM526" s="7" t="b">
        <f t="shared" si="107"/>
        <v>1</v>
      </c>
      <c r="AN526" s="7" t="str">
        <f t="shared" si="103"/>
        <v>Monroe</v>
      </c>
      <c r="AO526" s="7" t="b">
        <f>C526=GenExp!C526</f>
        <v>1</v>
      </c>
    </row>
    <row r="527" spans="1:41" hidden="1">
      <c r="A527" s="12" t="s">
        <v>340</v>
      </c>
      <c r="B527" s="12"/>
      <c r="C527" s="12" t="s">
        <v>32</v>
      </c>
      <c r="D527" s="12"/>
      <c r="E527" s="12">
        <v>44867</v>
      </c>
      <c r="K527" s="2">
        <f t="shared" si="108"/>
        <v>0</v>
      </c>
      <c r="O527" s="2">
        <f t="shared" si="109"/>
        <v>0</v>
      </c>
      <c r="AE527" s="13">
        <f t="shared" si="104"/>
        <v>0</v>
      </c>
      <c r="AG527" s="7">
        <f t="shared" si="105"/>
        <v>0</v>
      </c>
      <c r="AI527" s="7" t="s">
        <v>793</v>
      </c>
      <c r="AK527" s="7" t="str">
        <f t="shared" si="106"/>
        <v>Sycamore Community City SD</v>
      </c>
      <c r="AL527" s="7" t="str">
        <f>GenExp!A527</f>
        <v>Sycamore Community City SD</v>
      </c>
      <c r="AM527" s="7" t="b">
        <f t="shared" si="107"/>
        <v>1</v>
      </c>
      <c r="AN527" s="7" t="str">
        <f t="shared" si="103"/>
        <v>Hamilton</v>
      </c>
      <c r="AO527" s="7" t="b">
        <f>C527=GenExp!C527</f>
        <v>1</v>
      </c>
    </row>
    <row r="528" spans="1:41">
      <c r="A528" s="12" t="s">
        <v>407</v>
      </c>
      <c r="B528" s="12"/>
      <c r="C528" s="12" t="s">
        <v>115</v>
      </c>
      <c r="D528" s="12"/>
      <c r="E528" s="12">
        <v>44875</v>
      </c>
      <c r="G528" s="7">
        <v>26910844</v>
      </c>
      <c r="I528" s="7">
        <v>0</v>
      </c>
      <c r="K528" s="2">
        <f t="shared" si="108"/>
        <v>64148759</v>
      </c>
      <c r="M528" s="7">
        <v>91059603</v>
      </c>
      <c r="O528" s="2">
        <f t="shared" si="109"/>
        <v>14659232</v>
      </c>
      <c r="Q528" s="7">
        <f>2954529+58625942</f>
        <v>61580471</v>
      </c>
      <c r="S528" s="7">
        <v>76239703</v>
      </c>
      <c r="U528" s="7">
        <v>16798</v>
      </c>
      <c r="W528" s="7">
        <f>1587159+16885614+16141+30492+173562+12143</f>
        <v>18705111</v>
      </c>
      <c r="Y528" s="7">
        <v>0</v>
      </c>
      <c r="AA528" s="7">
        <f>95814+874235+2000+15306+100138</f>
        <v>1087493</v>
      </c>
      <c r="AC528" s="7">
        <v>-4989502</v>
      </c>
      <c r="AE528" s="13">
        <f t="shared" si="104"/>
        <v>14819900</v>
      </c>
      <c r="AG528" s="7">
        <f t="shared" si="105"/>
        <v>0</v>
      </c>
      <c r="AK528" s="7" t="str">
        <f t="shared" si="106"/>
        <v>Sylvania City SD</v>
      </c>
      <c r="AL528" s="7" t="str">
        <f>GenExp!A528</f>
        <v>Sylvania City SD</v>
      </c>
      <c r="AM528" s="7" t="b">
        <f t="shared" si="107"/>
        <v>1</v>
      </c>
      <c r="AN528" s="7" t="str">
        <f t="shared" ref="AN528:AN591" si="110">C528</f>
        <v>Lucas</v>
      </c>
      <c r="AO528" s="7" t="b">
        <f>C528=GenExp!C528</f>
        <v>1</v>
      </c>
    </row>
    <row r="529" spans="1:41">
      <c r="A529" s="12" t="s">
        <v>383</v>
      </c>
      <c r="B529" s="12"/>
      <c r="C529" s="12" t="s">
        <v>377</v>
      </c>
      <c r="D529" s="12"/>
      <c r="E529" s="12">
        <v>47969</v>
      </c>
      <c r="G529" s="7">
        <v>4284442</v>
      </c>
      <c r="I529" s="7">
        <v>306460</v>
      </c>
      <c r="K529" s="2">
        <f t="shared" si="108"/>
        <v>1667438</v>
      </c>
      <c r="M529" s="7">
        <v>6258340</v>
      </c>
      <c r="O529" s="2">
        <f t="shared" si="109"/>
        <v>1028920</v>
      </c>
      <c r="Q529" s="7">
        <v>1519217</v>
      </c>
      <c r="S529" s="7">
        <v>2548137</v>
      </c>
      <c r="U529" s="7">
        <v>37955</v>
      </c>
      <c r="W529" s="7">
        <v>1096603</v>
      </c>
      <c r="Y529" s="7">
        <v>37646</v>
      </c>
      <c r="AA529" s="7">
        <v>413170</v>
      </c>
      <c r="AC529" s="7">
        <v>2124829</v>
      </c>
      <c r="AE529" s="13">
        <f t="shared" si="104"/>
        <v>3710203</v>
      </c>
      <c r="AG529" s="7">
        <f t="shared" si="105"/>
        <v>0</v>
      </c>
      <c r="AK529" s="7" t="str">
        <f t="shared" si="106"/>
        <v>Symmes Valley Local SD</v>
      </c>
      <c r="AL529" s="7" t="str">
        <f>GenExp!A529</f>
        <v>Symmes Valley Local SD</v>
      </c>
      <c r="AM529" s="7" t="b">
        <f t="shared" si="107"/>
        <v>1</v>
      </c>
      <c r="AN529" s="7" t="str">
        <f t="shared" si="110"/>
        <v>Lawrence</v>
      </c>
      <c r="AO529" s="7" t="b">
        <f>C529=GenExp!C529</f>
        <v>1</v>
      </c>
    </row>
    <row r="530" spans="1:41">
      <c r="A530" s="12" t="s">
        <v>757</v>
      </c>
      <c r="B530" s="12"/>
      <c r="C530" s="12" t="s">
        <v>223</v>
      </c>
      <c r="D530" s="12"/>
      <c r="E530" s="12">
        <v>46151</v>
      </c>
      <c r="G530" s="7">
        <f>40904047+975187</f>
        <v>41879234</v>
      </c>
      <c r="I530" s="7">
        <v>202876</v>
      </c>
      <c r="K530" s="2">
        <f t="shared" ref="K530:K557" si="111">M530-G530-I530</f>
        <v>21226844</v>
      </c>
      <c r="M530" s="7">
        <v>63308954</v>
      </c>
      <c r="O530" s="2">
        <f t="shared" ref="O530:O557" si="112">S530-Q530</f>
        <v>5962340</v>
      </c>
      <c r="Q530" s="7">
        <v>18540574</v>
      </c>
      <c r="S530" s="7">
        <v>24502914</v>
      </c>
      <c r="U530" s="7">
        <v>104776</v>
      </c>
      <c r="W530" s="7">
        <v>21642522</v>
      </c>
      <c r="Y530" s="7">
        <v>0</v>
      </c>
      <c r="AA530" s="7">
        <v>607034</v>
      </c>
      <c r="AC530" s="7">
        <v>16451708</v>
      </c>
      <c r="AE530" s="13">
        <f t="shared" si="104"/>
        <v>38806040</v>
      </c>
      <c r="AG530" s="7">
        <f t="shared" si="105"/>
        <v>0</v>
      </c>
      <c r="AK530" s="7" t="str">
        <f t="shared" si="106"/>
        <v xml:space="preserve">Talawanda City SD </v>
      </c>
      <c r="AL530" s="7" t="str">
        <f>GenExp!A530</f>
        <v xml:space="preserve">Talawanda City SD </v>
      </c>
      <c r="AM530" s="7" t="b">
        <f t="shared" si="107"/>
        <v>1</v>
      </c>
      <c r="AN530" s="7" t="str">
        <f t="shared" si="110"/>
        <v>Butler</v>
      </c>
      <c r="AO530" s="7" t="b">
        <f>C530=GenExp!C530</f>
        <v>1</v>
      </c>
    </row>
    <row r="531" spans="1:41">
      <c r="A531" s="12" t="s">
        <v>531</v>
      </c>
      <c r="B531" s="12"/>
      <c r="C531" s="12" t="s">
        <v>63</v>
      </c>
      <c r="D531" s="12"/>
      <c r="E531" s="12">
        <v>44883</v>
      </c>
      <c r="G531" s="7">
        <v>6626347</v>
      </c>
      <c r="I531" s="7">
        <v>72479</v>
      </c>
      <c r="K531" s="2">
        <f t="shared" si="111"/>
        <v>18696190</v>
      </c>
      <c r="M531" s="7">
        <v>25395016</v>
      </c>
      <c r="O531" s="2">
        <f t="shared" si="112"/>
        <v>3387539</v>
      </c>
      <c r="Q531" s="7">
        <f>119290+17721680</f>
        <v>17840970</v>
      </c>
      <c r="S531" s="7">
        <v>21228509</v>
      </c>
      <c r="U531" s="7">
        <v>22298</v>
      </c>
      <c r="W531" s="7">
        <v>2603939</v>
      </c>
      <c r="Y531" s="7">
        <v>20779</v>
      </c>
      <c r="AA531" s="7">
        <v>646272</v>
      </c>
      <c r="AC531" s="7">
        <v>873219</v>
      </c>
      <c r="AE531" s="13">
        <f t="shared" si="104"/>
        <v>4166507</v>
      </c>
      <c r="AG531" s="7">
        <f t="shared" si="105"/>
        <v>0</v>
      </c>
      <c r="AK531" s="7" t="str">
        <f t="shared" si="106"/>
        <v>Tallmadge City SD</v>
      </c>
      <c r="AL531" s="7" t="str">
        <f>GenExp!A531</f>
        <v>Tallmadge City SD</v>
      </c>
      <c r="AM531" s="7" t="b">
        <f t="shared" si="107"/>
        <v>1</v>
      </c>
      <c r="AN531" s="7" t="str">
        <f t="shared" si="110"/>
        <v>Summit</v>
      </c>
      <c r="AO531" s="7" t="b">
        <f>C531=GenExp!C531</f>
        <v>1</v>
      </c>
    </row>
    <row r="532" spans="1:41">
      <c r="A532" s="12" t="s">
        <v>469</v>
      </c>
      <c r="B532" s="12"/>
      <c r="C532" s="12" t="s">
        <v>54</v>
      </c>
      <c r="D532" s="12"/>
      <c r="E532" s="12">
        <v>49098</v>
      </c>
      <c r="G532" s="7">
        <f>11306586+192243</f>
        <v>11498829</v>
      </c>
      <c r="I532" s="7">
        <v>0</v>
      </c>
      <c r="K532" s="2">
        <f t="shared" si="111"/>
        <v>14421262</v>
      </c>
      <c r="M532" s="7">
        <v>25920091</v>
      </c>
      <c r="O532" s="2">
        <f t="shared" si="112"/>
        <v>5686502</v>
      </c>
      <c r="Q532" s="7">
        <f>7889234+1525405</f>
        <v>9414639</v>
      </c>
      <c r="S532" s="7">
        <v>15101141</v>
      </c>
      <c r="U532" s="7">
        <f>163156+7633+3220</f>
        <v>174009</v>
      </c>
      <c r="W532" s="7">
        <f>2981782+767729+564077+230955+13882+74977+77417</f>
        <v>4710819</v>
      </c>
      <c r="Y532" s="7">
        <f>932517+11000</f>
        <v>943517</v>
      </c>
      <c r="AA532" s="7">
        <f>94132+304224+728</f>
        <v>399084</v>
      </c>
      <c r="AC532" s="7">
        <v>4591521</v>
      </c>
      <c r="AE532" s="13">
        <f t="shared" ref="AE532:AE595" si="113">U532+W532+Y532+AA532+AC532</f>
        <v>10818950</v>
      </c>
      <c r="AG532" s="7">
        <f t="shared" ref="AG532:AG595" si="114">+G532+I532+K532-O532-Q532-Y532-W532-U532-AA532-AC532</f>
        <v>0</v>
      </c>
      <c r="AK532" s="7" t="str">
        <f t="shared" ref="AK532:AK595" si="115">A532</f>
        <v>Teays Valley Local SD</v>
      </c>
      <c r="AL532" s="7" t="str">
        <f>GenExp!A532</f>
        <v>Teays Valley Local SD</v>
      </c>
      <c r="AM532" s="7" t="b">
        <f t="shared" ref="AM532:AM595" si="116">AK532=AL532</f>
        <v>1</v>
      </c>
      <c r="AN532" s="7" t="str">
        <f t="shared" si="110"/>
        <v>Pickaway</v>
      </c>
      <c r="AO532" s="7" t="b">
        <f>C532=GenExp!C532</f>
        <v>1</v>
      </c>
    </row>
    <row r="533" spans="1:41">
      <c r="A533" s="12" t="s">
        <v>241</v>
      </c>
      <c r="B533" s="12"/>
      <c r="C533" s="12" t="s">
        <v>17</v>
      </c>
      <c r="D533" s="12"/>
      <c r="E533" s="12">
        <v>46243</v>
      </c>
      <c r="G533" s="7">
        <f>6293072+4500</f>
        <v>6297572</v>
      </c>
      <c r="I533" s="7">
        <v>0</v>
      </c>
      <c r="K533" s="2">
        <f t="shared" si="111"/>
        <v>13849377</v>
      </c>
      <c r="M533" s="7">
        <v>20146949</v>
      </c>
      <c r="O533" s="2">
        <f t="shared" si="112"/>
        <v>3384235</v>
      </c>
      <c r="Q533" s="7">
        <v>8767737</v>
      </c>
      <c r="S533" s="7">
        <v>12151972</v>
      </c>
      <c r="U533" s="7">
        <v>150714</v>
      </c>
      <c r="W533" s="7">
        <v>4936012</v>
      </c>
      <c r="Y533" s="7">
        <v>0</v>
      </c>
      <c r="AA533" s="7">
        <v>2908667</v>
      </c>
      <c r="AC533" s="7">
        <v>-416</v>
      </c>
      <c r="AE533" s="13">
        <f t="shared" si="113"/>
        <v>7994977</v>
      </c>
      <c r="AG533" s="7">
        <f t="shared" si="114"/>
        <v>0</v>
      </c>
      <c r="AK533" s="7" t="str">
        <f t="shared" si="115"/>
        <v>Tecumseh Local SD</v>
      </c>
      <c r="AL533" s="7" t="str">
        <f>GenExp!A533</f>
        <v>Tecumseh Local SD</v>
      </c>
      <c r="AM533" s="7" t="b">
        <f t="shared" si="116"/>
        <v>1</v>
      </c>
      <c r="AN533" s="7" t="str">
        <f t="shared" si="110"/>
        <v>Clark</v>
      </c>
      <c r="AO533" s="7" t="b">
        <f>C533=GenExp!C533</f>
        <v>1</v>
      </c>
    </row>
    <row r="534" spans="1:41">
      <c r="A534" s="12" t="s">
        <v>765</v>
      </c>
      <c r="B534" s="12"/>
      <c r="C534" s="12" t="s">
        <v>32</v>
      </c>
      <c r="D534" s="12"/>
      <c r="E534" s="12">
        <v>47399</v>
      </c>
      <c r="G534" s="7">
        <v>46400224</v>
      </c>
      <c r="I534" s="7">
        <v>182210</v>
      </c>
      <c r="K534" s="2">
        <f t="shared" si="111"/>
        <v>37832022</v>
      </c>
      <c r="M534" s="7">
        <v>84414456</v>
      </c>
      <c r="O534" s="2">
        <f t="shared" si="112"/>
        <v>2213873</v>
      </c>
      <c r="Q534" s="7">
        <v>32277983</v>
      </c>
      <c r="S534" s="7">
        <v>34491856</v>
      </c>
      <c r="U534" s="7">
        <v>0</v>
      </c>
      <c r="W534" s="7">
        <v>35763508</v>
      </c>
      <c r="Y534" s="7">
        <v>1256206</v>
      </c>
      <c r="AA534" s="7">
        <v>2604994</v>
      </c>
      <c r="AC534" s="7">
        <v>10297892</v>
      </c>
      <c r="AE534" s="13">
        <f t="shared" si="113"/>
        <v>49922600</v>
      </c>
      <c r="AG534" s="7">
        <f t="shared" si="114"/>
        <v>0</v>
      </c>
      <c r="AK534" s="7" t="str">
        <f t="shared" si="115"/>
        <v xml:space="preserve">Three Rivers Local SD </v>
      </c>
      <c r="AL534" s="7" t="str">
        <f>GenExp!A534</f>
        <v xml:space="preserve">Three Rivers Local SD </v>
      </c>
      <c r="AM534" s="7" t="b">
        <f t="shared" si="116"/>
        <v>1</v>
      </c>
      <c r="AN534" s="7" t="str">
        <f t="shared" si="110"/>
        <v>Hamilton</v>
      </c>
      <c r="AO534" s="7" t="b">
        <f>C534=GenExp!C534</f>
        <v>1</v>
      </c>
    </row>
    <row r="535" spans="1:41">
      <c r="A535" s="12" t="s">
        <v>503</v>
      </c>
      <c r="B535" s="12"/>
      <c r="C535" s="12" t="s">
        <v>60</v>
      </c>
      <c r="D535" s="12"/>
      <c r="E535" s="12">
        <v>44891</v>
      </c>
      <c r="G535" s="7">
        <f>4208439+581+170706</f>
        <v>4379726</v>
      </c>
      <c r="I535" s="7">
        <v>11116</v>
      </c>
      <c r="K535" s="2">
        <f t="shared" si="111"/>
        <v>12902874</v>
      </c>
      <c r="M535" s="7">
        <v>17293716</v>
      </c>
      <c r="O535" s="2">
        <f t="shared" si="112"/>
        <v>3010737</v>
      </c>
      <c r="Q535" s="7">
        <f>6330384+1884517</f>
        <v>8214901</v>
      </c>
      <c r="S535" s="7">
        <v>11225638</v>
      </c>
      <c r="U535" s="7">
        <f>72445+66333</f>
        <v>138778</v>
      </c>
      <c r="W535" s="7">
        <f>762544+562875+365212+260690+10988+581+11116+18777+42899</f>
        <v>2035682</v>
      </c>
      <c r="Y535" s="7">
        <v>0</v>
      </c>
      <c r="AA535" s="7">
        <f>3229+233896</f>
        <v>237125</v>
      </c>
      <c r="AC535" s="7">
        <v>3656493</v>
      </c>
      <c r="AE535" s="13">
        <f t="shared" si="113"/>
        <v>6068078</v>
      </c>
      <c r="AG535" s="7">
        <f t="shared" si="114"/>
        <v>0</v>
      </c>
      <c r="AK535" s="7" t="str">
        <f t="shared" si="115"/>
        <v>Tiffin City SD</v>
      </c>
      <c r="AL535" s="7" t="str">
        <f>GenExp!A535</f>
        <v>Tiffin City SD</v>
      </c>
      <c r="AM535" s="7" t="b">
        <f t="shared" si="116"/>
        <v>1</v>
      </c>
      <c r="AN535" s="7" t="str">
        <f t="shared" si="110"/>
        <v>Seneca</v>
      </c>
      <c r="AO535" s="7" t="b">
        <f>C535=GenExp!C535</f>
        <v>1</v>
      </c>
    </row>
    <row r="536" spans="1:41">
      <c r="A536" s="12" t="s">
        <v>887</v>
      </c>
      <c r="B536" s="12"/>
      <c r="C536" s="12" t="s">
        <v>48</v>
      </c>
      <c r="D536" s="12"/>
      <c r="E536" s="12">
        <v>45617</v>
      </c>
      <c r="G536" s="7">
        <v>3292415</v>
      </c>
      <c r="I536" s="7">
        <v>7422</v>
      </c>
      <c r="K536" s="2">
        <f t="shared" si="111"/>
        <v>12910060</v>
      </c>
      <c r="M536" s="7">
        <v>16209897</v>
      </c>
      <c r="O536" s="2">
        <f t="shared" si="112"/>
        <v>2881097</v>
      </c>
      <c r="Q536" s="7">
        <v>10643090</v>
      </c>
      <c r="S536" s="7">
        <v>13524187</v>
      </c>
      <c r="U536" s="7">
        <v>82640</v>
      </c>
      <c r="W536" s="7">
        <v>2042098</v>
      </c>
      <c r="Y536" s="7">
        <v>11000</v>
      </c>
      <c r="AA536" s="7">
        <v>123072</v>
      </c>
      <c r="AC536" s="7">
        <v>426900</v>
      </c>
      <c r="AE536" s="13">
        <f t="shared" si="113"/>
        <v>2685710</v>
      </c>
      <c r="AG536" s="7">
        <f t="shared" si="114"/>
        <v>0</v>
      </c>
      <c r="AK536" s="7" t="str">
        <f t="shared" si="115"/>
        <v>Tipp City Exempted Village SD</v>
      </c>
      <c r="AL536" s="7" t="str">
        <f>GenExp!A536</f>
        <v>Tipp City Exempted Village SD</v>
      </c>
      <c r="AM536" s="7" t="b">
        <f t="shared" si="116"/>
        <v>1</v>
      </c>
      <c r="AN536" s="7" t="str">
        <f t="shared" si="110"/>
        <v>Miami</v>
      </c>
      <c r="AO536" s="7" t="b">
        <f>C536=GenExp!C536</f>
        <v>1</v>
      </c>
    </row>
    <row r="537" spans="1:41">
      <c r="A537" s="12" t="s">
        <v>408</v>
      </c>
      <c r="B537" s="12"/>
      <c r="C537" s="12" t="s">
        <v>115</v>
      </c>
      <c r="D537" s="12"/>
      <c r="E537" s="12">
        <v>44909</v>
      </c>
      <c r="G537" s="7">
        <f>144714002+2232940</f>
        <v>146946942</v>
      </c>
      <c r="I537" s="7">
        <v>0</v>
      </c>
      <c r="K537" s="2">
        <f t="shared" si="111"/>
        <v>157397457</v>
      </c>
      <c r="M537" s="7">
        <v>304344399</v>
      </c>
      <c r="O537" s="2">
        <f t="shared" si="112"/>
        <v>48954850</v>
      </c>
      <c r="Q537" s="7">
        <v>148542583</v>
      </c>
      <c r="S537" s="7">
        <v>197497433</v>
      </c>
      <c r="U537" s="7">
        <v>566193</v>
      </c>
      <c r="W537" s="7">
        <v>121038123</v>
      </c>
      <c r="Y537" s="7">
        <v>0</v>
      </c>
      <c r="AA537" s="7">
        <v>0</v>
      </c>
      <c r="AC537" s="7">
        <v>-14757350</v>
      </c>
      <c r="AE537" s="13">
        <f t="shared" si="113"/>
        <v>106846966</v>
      </c>
      <c r="AG537" s="7">
        <f t="shared" si="114"/>
        <v>0</v>
      </c>
      <c r="AK537" s="7" t="str">
        <f t="shared" si="115"/>
        <v>Toledo City SD</v>
      </c>
      <c r="AL537" s="7" t="str">
        <f>GenExp!A537</f>
        <v>Toledo City SD</v>
      </c>
      <c r="AM537" s="7" t="b">
        <f t="shared" si="116"/>
        <v>1</v>
      </c>
      <c r="AN537" s="7" t="str">
        <f t="shared" si="110"/>
        <v>Lucas</v>
      </c>
      <c r="AO537" s="7" t="b">
        <f>C537=GenExp!C537</f>
        <v>1</v>
      </c>
    </row>
    <row r="538" spans="1:41" hidden="1">
      <c r="A538" s="12" t="s">
        <v>731</v>
      </c>
      <c r="B538" s="12"/>
      <c r="C538" s="12" t="s">
        <v>115</v>
      </c>
      <c r="D538" s="12"/>
      <c r="E538" s="12"/>
      <c r="K538" s="2">
        <f t="shared" si="111"/>
        <v>0</v>
      </c>
      <c r="O538" s="2">
        <f t="shared" si="112"/>
        <v>0</v>
      </c>
      <c r="AE538" s="13">
        <f t="shared" si="113"/>
        <v>0</v>
      </c>
      <c r="AG538" s="7">
        <f t="shared" si="114"/>
        <v>0</v>
      </c>
      <c r="AI538" s="7" t="s">
        <v>794</v>
      </c>
      <c r="AK538" s="7" t="str">
        <f t="shared" si="115"/>
        <v>Toledo School for the Arts</v>
      </c>
      <c r="AL538" s="7" t="str">
        <f>GenExp!A538</f>
        <v>Toledo School for the Arts</v>
      </c>
      <c r="AM538" s="7" t="b">
        <f t="shared" si="116"/>
        <v>1</v>
      </c>
      <c r="AN538" s="7" t="str">
        <f t="shared" si="110"/>
        <v>Lucas</v>
      </c>
      <c r="AO538" s="7" t="b">
        <f>C538=GenExp!C538</f>
        <v>1</v>
      </c>
    </row>
    <row r="539" spans="1:41">
      <c r="A539" s="12" t="s">
        <v>766</v>
      </c>
      <c r="B539" s="12"/>
      <c r="C539" s="12" t="s">
        <v>39</v>
      </c>
      <c r="D539" s="12"/>
      <c r="E539" s="12">
        <v>44917</v>
      </c>
      <c r="G539" s="7">
        <f>4047675+8230994</f>
        <v>12278669</v>
      </c>
      <c r="I539" s="7">
        <v>0</v>
      </c>
      <c r="K539" s="2">
        <f t="shared" si="111"/>
        <v>12232301</v>
      </c>
      <c r="M539" s="7">
        <v>24510970</v>
      </c>
      <c r="O539" s="2">
        <f t="shared" si="112"/>
        <v>1092329</v>
      </c>
      <c r="Q539" s="7">
        <v>11885382</v>
      </c>
      <c r="S539" s="7">
        <v>12977711</v>
      </c>
      <c r="U539" s="7">
        <v>22649</v>
      </c>
      <c r="W539" s="7">
        <v>10067623</v>
      </c>
      <c r="Y539" s="7">
        <v>0</v>
      </c>
      <c r="AA539" s="7">
        <v>131624</v>
      </c>
      <c r="AC539" s="7">
        <v>1311363</v>
      </c>
      <c r="AE539" s="13">
        <f t="shared" si="113"/>
        <v>11533259</v>
      </c>
      <c r="AG539" s="7">
        <f t="shared" si="114"/>
        <v>0</v>
      </c>
      <c r="AI539" s="7" t="s">
        <v>788</v>
      </c>
      <c r="AK539" s="7" t="str">
        <f t="shared" si="115"/>
        <v xml:space="preserve">Toronto City SD  </v>
      </c>
      <c r="AL539" s="7" t="str">
        <f>GenExp!A539</f>
        <v xml:space="preserve">Toronto City SD  </v>
      </c>
      <c r="AM539" s="7" t="b">
        <f t="shared" si="116"/>
        <v>1</v>
      </c>
      <c r="AN539" s="7" t="str">
        <f t="shared" si="110"/>
        <v>Jefferson</v>
      </c>
      <c r="AO539" s="7" t="b">
        <f>C539=GenExp!C539</f>
        <v>1</v>
      </c>
    </row>
    <row r="540" spans="1:41">
      <c r="A540" s="12" t="s">
        <v>233</v>
      </c>
      <c r="B540" s="12"/>
      <c r="C540" s="12" t="s">
        <v>232</v>
      </c>
      <c r="D540" s="12"/>
      <c r="E540" s="12">
        <v>46201</v>
      </c>
      <c r="G540" s="7">
        <v>1225082</v>
      </c>
      <c r="I540" s="7">
        <v>2500</v>
      </c>
      <c r="K540" s="2">
        <f t="shared" si="111"/>
        <v>3003631</v>
      </c>
      <c r="M540" s="7">
        <v>4231213</v>
      </c>
      <c r="O540" s="2">
        <f t="shared" si="112"/>
        <v>1108134</v>
      </c>
      <c r="Q540" s="7">
        <f>1289890+386702</f>
        <v>1676592</v>
      </c>
      <c r="S540" s="7">
        <v>2784726</v>
      </c>
      <c r="U540" s="7">
        <f>10221+48138</f>
        <v>58359</v>
      </c>
      <c r="W540" s="7">
        <f>194221+51369+37112+58562+1333+80865+2500</f>
        <v>425962</v>
      </c>
      <c r="Y540" s="7">
        <f>64249+11000</f>
        <v>75249</v>
      </c>
      <c r="AA540" s="7">
        <f>13546+14876+37209+1811</f>
        <v>67442</v>
      </c>
      <c r="AC540" s="7">
        <v>819475</v>
      </c>
      <c r="AE540" s="13">
        <f t="shared" si="113"/>
        <v>1446487</v>
      </c>
      <c r="AG540" s="7">
        <f t="shared" si="114"/>
        <v>0</v>
      </c>
      <c r="AK540" s="7" t="str">
        <f t="shared" si="115"/>
        <v>Triad Local SD</v>
      </c>
      <c r="AL540" s="7" t="str">
        <f>GenExp!A540</f>
        <v>Triad Local SD</v>
      </c>
      <c r="AM540" s="7" t="b">
        <f t="shared" si="116"/>
        <v>1</v>
      </c>
      <c r="AN540" s="7" t="str">
        <f t="shared" si="110"/>
        <v>Champaign</v>
      </c>
      <c r="AO540" s="7" t="b">
        <f>C540=GenExp!C540</f>
        <v>1</v>
      </c>
    </row>
    <row r="541" spans="1:41" s="32" customFormat="1">
      <c r="A541" s="31" t="s">
        <v>481</v>
      </c>
      <c r="B541" s="31"/>
      <c r="C541" s="31" t="s">
        <v>57</v>
      </c>
      <c r="D541" s="31"/>
      <c r="E541" s="31">
        <v>91397</v>
      </c>
      <c r="G541" s="32">
        <v>3669734</v>
      </c>
      <c r="I541" s="32">
        <v>209503</v>
      </c>
      <c r="K541" s="34">
        <f t="shared" si="111"/>
        <v>4582702</v>
      </c>
      <c r="M541" s="32">
        <v>8461939</v>
      </c>
      <c r="O541" s="34">
        <f t="shared" si="112"/>
        <v>1115686</v>
      </c>
      <c r="Q541" s="32">
        <v>3874691</v>
      </c>
      <c r="S541" s="32">
        <v>4990377</v>
      </c>
      <c r="U541" s="32">
        <v>37608</v>
      </c>
      <c r="W541" s="32">
        <v>850028</v>
      </c>
      <c r="Y541" s="32">
        <v>13951</v>
      </c>
      <c r="AA541" s="32">
        <v>156385</v>
      </c>
      <c r="AC541" s="32">
        <v>2413590</v>
      </c>
      <c r="AE541" s="45">
        <f t="shared" si="113"/>
        <v>3471562</v>
      </c>
      <c r="AG541" s="32">
        <f t="shared" si="114"/>
        <v>0</v>
      </c>
      <c r="AK541" s="32" t="str">
        <f t="shared" si="115"/>
        <v>Tri-County North Local SD</v>
      </c>
      <c r="AL541" s="32" t="str">
        <f>GenExp!A541</f>
        <v>Tri-County North Local SD</v>
      </c>
      <c r="AM541" s="32" t="b">
        <f t="shared" si="116"/>
        <v>1</v>
      </c>
      <c r="AN541" s="32" t="str">
        <f t="shared" si="110"/>
        <v>Preble</v>
      </c>
      <c r="AO541" s="32" t="b">
        <f>C541=GenExp!C541</f>
        <v>1</v>
      </c>
    </row>
    <row r="542" spans="1:41">
      <c r="A542" s="12" t="s">
        <v>213</v>
      </c>
      <c r="B542" s="12"/>
      <c r="C542" s="12" t="s">
        <v>13</v>
      </c>
      <c r="D542" s="12"/>
      <c r="E542" s="12">
        <v>45922</v>
      </c>
      <c r="G542" s="7">
        <f>1850193+462</f>
        <v>1850655</v>
      </c>
      <c r="I542" s="7">
        <v>0</v>
      </c>
      <c r="K542" s="2">
        <f t="shared" si="111"/>
        <v>1503814</v>
      </c>
      <c r="M542" s="7">
        <v>3354469</v>
      </c>
      <c r="O542" s="2">
        <f t="shared" si="112"/>
        <v>1196965</v>
      </c>
      <c r="Q542" s="7">
        <v>1010258</v>
      </c>
      <c r="S542" s="7">
        <v>2207223</v>
      </c>
      <c r="U542" s="7">
        <v>28712</v>
      </c>
      <c r="W542" s="7">
        <v>806398</v>
      </c>
      <c r="Y542" s="7">
        <v>0</v>
      </c>
      <c r="AA542" s="7">
        <v>73651</v>
      </c>
      <c r="AC542" s="7">
        <v>238485</v>
      </c>
      <c r="AE542" s="13">
        <f t="shared" si="113"/>
        <v>1147246</v>
      </c>
      <c r="AG542" s="7">
        <f t="shared" si="114"/>
        <v>0</v>
      </c>
      <c r="AK542" s="7" t="str">
        <f t="shared" si="115"/>
        <v>Trimble Local SD</v>
      </c>
      <c r="AL542" s="7" t="str">
        <f>GenExp!A542</f>
        <v>Trimble Local SD</v>
      </c>
      <c r="AM542" s="7" t="b">
        <f t="shared" si="116"/>
        <v>1</v>
      </c>
      <c r="AN542" s="7" t="str">
        <f t="shared" si="110"/>
        <v>Athens</v>
      </c>
      <c r="AO542" s="7" t="b">
        <f>C542=GenExp!C542</f>
        <v>1</v>
      </c>
    </row>
    <row r="543" spans="1:41">
      <c r="A543" s="12" t="s">
        <v>459</v>
      </c>
      <c r="B543" s="12"/>
      <c r="C543" s="12" t="s">
        <v>51</v>
      </c>
      <c r="D543" s="12"/>
      <c r="E543" s="12">
        <v>48876</v>
      </c>
      <c r="G543" s="7">
        <v>9033136</v>
      </c>
      <c r="I543" s="7">
        <v>0</v>
      </c>
      <c r="K543" s="2">
        <f t="shared" si="111"/>
        <v>14304230</v>
      </c>
      <c r="M543" s="7">
        <v>23337366</v>
      </c>
      <c r="O543" s="2">
        <f t="shared" si="112"/>
        <v>3708144</v>
      </c>
      <c r="Q543" s="7">
        <v>13342521</v>
      </c>
      <c r="S543" s="7">
        <v>17050665</v>
      </c>
      <c r="U543" s="7">
        <v>108376</v>
      </c>
      <c r="W543" s="7">
        <v>6065081</v>
      </c>
      <c r="Y543" s="7">
        <v>19470</v>
      </c>
      <c r="AA543" s="7">
        <v>280192</v>
      </c>
      <c r="AC543" s="7">
        <v>-186418</v>
      </c>
      <c r="AE543" s="13">
        <f t="shared" si="113"/>
        <v>6286701</v>
      </c>
      <c r="AG543" s="7">
        <f t="shared" si="114"/>
        <v>0</v>
      </c>
      <c r="AK543" s="7" t="str">
        <f t="shared" si="115"/>
        <v>Tri-Valley Local SD</v>
      </c>
      <c r="AL543" s="7" t="str">
        <f>GenExp!A543</f>
        <v>Tri-Valley Local SD</v>
      </c>
      <c r="AM543" s="7" t="b">
        <f t="shared" si="116"/>
        <v>1</v>
      </c>
      <c r="AN543" s="7" t="str">
        <f t="shared" si="110"/>
        <v>Muskingum</v>
      </c>
      <c r="AO543" s="7" t="b">
        <f>C543=GenExp!C543</f>
        <v>1</v>
      </c>
    </row>
    <row r="544" spans="1:41" hidden="1">
      <c r="A544" s="12" t="s">
        <v>726</v>
      </c>
      <c r="B544" s="12"/>
      <c r="C544" s="12" t="s">
        <v>21</v>
      </c>
      <c r="D544" s="12"/>
      <c r="E544" s="12">
        <v>46680</v>
      </c>
      <c r="K544" s="2">
        <f t="shared" si="111"/>
        <v>0</v>
      </c>
      <c r="O544" s="2">
        <f t="shared" si="112"/>
        <v>0</v>
      </c>
      <c r="AE544" s="13">
        <f t="shared" si="113"/>
        <v>0</v>
      </c>
      <c r="AG544" s="7">
        <f t="shared" si="114"/>
        <v>0</v>
      </c>
      <c r="AK544" s="7" t="str">
        <f t="shared" si="115"/>
        <v>Tri-Village Local SD (CASH)</v>
      </c>
      <c r="AL544" s="7" t="str">
        <f>GenExp!A544</f>
        <v>Tri-Village Local SD (CASH)</v>
      </c>
      <c r="AM544" s="7" t="b">
        <f t="shared" si="116"/>
        <v>1</v>
      </c>
      <c r="AN544" s="7" t="str">
        <f t="shared" si="110"/>
        <v>Darke</v>
      </c>
      <c r="AO544" s="7" t="b">
        <f>C544=GenExp!C544</f>
        <v>1</v>
      </c>
    </row>
    <row r="545" spans="1:41" hidden="1">
      <c r="A545" s="12" t="s">
        <v>569</v>
      </c>
      <c r="B545" s="12"/>
      <c r="C545" s="12" t="s">
        <v>71</v>
      </c>
      <c r="D545" s="12"/>
      <c r="E545" s="12">
        <v>50591</v>
      </c>
      <c r="K545" s="2">
        <f t="shared" si="111"/>
        <v>0</v>
      </c>
      <c r="O545" s="2">
        <f t="shared" si="112"/>
        <v>0</v>
      </c>
      <c r="AE545" s="13">
        <f t="shared" si="113"/>
        <v>0</v>
      </c>
      <c r="AG545" s="7">
        <f t="shared" si="114"/>
        <v>0</v>
      </c>
      <c r="AI545" s="7" t="s">
        <v>795</v>
      </c>
      <c r="AK545" s="7" t="str">
        <f t="shared" si="115"/>
        <v>Triway Local SD</v>
      </c>
      <c r="AL545" s="7" t="str">
        <f>GenExp!A545</f>
        <v>Triway Local SD</v>
      </c>
      <c r="AM545" s="7" t="b">
        <f t="shared" si="116"/>
        <v>1</v>
      </c>
      <c r="AN545" s="7" t="str">
        <f t="shared" si="110"/>
        <v>Wayne</v>
      </c>
      <c r="AO545" s="7" t="b">
        <f>C545=GenExp!C545</f>
        <v>1</v>
      </c>
    </row>
    <row r="546" spans="1:41">
      <c r="A546" s="12" t="s">
        <v>449</v>
      </c>
      <c r="B546" s="12"/>
      <c r="C546" s="12" t="s">
        <v>50</v>
      </c>
      <c r="D546" s="12"/>
      <c r="E546" s="12">
        <v>48694</v>
      </c>
      <c r="G546" s="7">
        <f>19204826+724455</f>
        <v>19929281</v>
      </c>
      <c r="I546" s="7">
        <v>81076</v>
      </c>
      <c r="K546" s="2">
        <f t="shared" si="111"/>
        <v>14760883</v>
      </c>
      <c r="M546" s="7">
        <v>34771240</v>
      </c>
      <c r="O546" s="2">
        <f t="shared" si="112"/>
        <v>4606162</v>
      </c>
      <c r="Q546" s="7">
        <v>13004169</v>
      </c>
      <c r="S546" s="7">
        <v>17610331</v>
      </c>
      <c r="U546" s="7">
        <v>16046</v>
      </c>
      <c r="W546" s="7">
        <v>5658044</v>
      </c>
      <c r="Y546" s="7">
        <v>8619</v>
      </c>
      <c r="AA546" s="7">
        <v>0</v>
      </c>
      <c r="AC546" s="7">
        <v>11478200</v>
      </c>
      <c r="AE546" s="13">
        <f t="shared" si="113"/>
        <v>17160909</v>
      </c>
      <c r="AG546" s="7">
        <f t="shared" si="114"/>
        <v>0</v>
      </c>
      <c r="AK546" s="7" t="str">
        <f t="shared" si="115"/>
        <v>Trotwood-Madison City SD</v>
      </c>
      <c r="AL546" s="7" t="str">
        <f>GenExp!A546</f>
        <v>Trotwood-Madison City SD</v>
      </c>
      <c r="AM546" s="7" t="b">
        <f t="shared" si="116"/>
        <v>1</v>
      </c>
      <c r="AN546" s="7" t="str">
        <f t="shared" si="110"/>
        <v>Montgomery</v>
      </c>
      <c r="AO546" s="7" t="b">
        <f>C546=GenExp!C546</f>
        <v>1</v>
      </c>
    </row>
    <row r="547" spans="1:41">
      <c r="A547" s="12" t="s">
        <v>439</v>
      </c>
      <c r="B547" s="12"/>
      <c r="C547" s="12" t="s">
        <v>48</v>
      </c>
      <c r="D547" s="12"/>
      <c r="E547" s="12">
        <v>44925</v>
      </c>
      <c r="G547" s="7">
        <v>13919601</v>
      </c>
      <c r="I547" s="7">
        <v>0</v>
      </c>
      <c r="K547" s="2">
        <f t="shared" si="111"/>
        <v>20596296</v>
      </c>
      <c r="M547" s="7">
        <v>34515897</v>
      </c>
      <c r="O547" s="2">
        <f t="shared" si="112"/>
        <v>5003395</v>
      </c>
      <c r="Q547" s="7">
        <v>14967607</v>
      </c>
      <c r="S547" s="7">
        <v>19971002</v>
      </c>
      <c r="U547" s="7">
        <v>142497</v>
      </c>
      <c r="W547" s="7">
        <f>676169+751297+357530+201945+24757+26930+63024</f>
        <v>2101652</v>
      </c>
      <c r="Y547" s="7">
        <v>0</v>
      </c>
      <c r="AA547" s="7">
        <f>1889681+335071+14294+142806</f>
        <v>2381852</v>
      </c>
      <c r="AC547" s="7">
        <v>9918894</v>
      </c>
      <c r="AE547" s="13">
        <f t="shared" si="113"/>
        <v>14544895</v>
      </c>
      <c r="AG547" s="7">
        <f t="shared" si="114"/>
        <v>0</v>
      </c>
      <c r="AK547" s="7" t="str">
        <f t="shared" si="115"/>
        <v>Troy City SD</v>
      </c>
      <c r="AL547" s="7" t="str">
        <f>GenExp!A547</f>
        <v>Troy City SD</v>
      </c>
      <c r="AM547" s="7" t="b">
        <f t="shared" si="116"/>
        <v>1</v>
      </c>
      <c r="AN547" s="7" t="str">
        <f t="shared" si="110"/>
        <v>Miami</v>
      </c>
      <c r="AO547" s="7" t="b">
        <f>C547=GenExp!C547</f>
        <v>1</v>
      </c>
    </row>
    <row r="548" spans="1:41">
      <c r="A548" s="12" t="s">
        <v>554</v>
      </c>
      <c r="B548" s="12"/>
      <c r="C548" s="12" t="s">
        <v>65</v>
      </c>
      <c r="D548" s="12"/>
      <c r="E548" s="12">
        <v>50302</v>
      </c>
      <c r="G548" s="7">
        <v>3398476</v>
      </c>
      <c r="I548" s="7">
        <v>0</v>
      </c>
      <c r="K548" s="2">
        <f t="shared" si="111"/>
        <v>6162900</v>
      </c>
      <c r="M548" s="7">
        <v>9561376</v>
      </c>
      <c r="O548" s="2">
        <f t="shared" si="112"/>
        <v>1696835</v>
      </c>
      <c r="Q548" s="7">
        <f>4395483+1065509</f>
        <v>5460992</v>
      </c>
      <c r="S548" s="7">
        <v>7157827</v>
      </c>
      <c r="U548" s="7">
        <f>26008+19245</f>
        <v>45253</v>
      </c>
      <c r="W548" s="7">
        <f>727661+338+73565+120954</f>
        <v>922518</v>
      </c>
      <c r="Y548" s="7">
        <v>0</v>
      </c>
      <c r="AA548" s="7">
        <f>3966+16944</f>
        <v>20910</v>
      </c>
      <c r="AC548" s="7">
        <v>1414868</v>
      </c>
      <c r="AE548" s="13">
        <f t="shared" si="113"/>
        <v>2403549</v>
      </c>
      <c r="AG548" s="7">
        <f t="shared" si="114"/>
        <v>0</v>
      </c>
      <c r="AK548" s="7" t="str">
        <f t="shared" si="115"/>
        <v>Tuscarawas Valley Local SD</v>
      </c>
      <c r="AL548" s="7" t="str">
        <f>GenExp!A548</f>
        <v>Tuscarawas Valley Local SD</v>
      </c>
      <c r="AM548" s="7" t="b">
        <f t="shared" si="116"/>
        <v>1</v>
      </c>
      <c r="AN548" s="7" t="str">
        <f t="shared" si="110"/>
        <v>Tuscarawas</v>
      </c>
      <c r="AO548" s="7" t="b">
        <f>C548=GenExp!C548</f>
        <v>1</v>
      </c>
    </row>
    <row r="549" spans="1:41">
      <c r="A549" s="12" t="s">
        <v>521</v>
      </c>
      <c r="B549" s="12"/>
      <c r="C549" s="12" t="s">
        <v>62</v>
      </c>
      <c r="D549" s="12"/>
      <c r="E549" s="12">
        <v>49957</v>
      </c>
      <c r="G549" s="7">
        <v>8155332</v>
      </c>
      <c r="I549" s="7">
        <v>33735</v>
      </c>
      <c r="K549" s="2">
        <f t="shared" si="111"/>
        <v>6195849</v>
      </c>
      <c r="M549" s="7">
        <v>14384916</v>
      </c>
      <c r="O549" s="2">
        <f t="shared" si="112"/>
        <v>1595397</v>
      </c>
      <c r="Q549" s="7">
        <v>5411903</v>
      </c>
      <c r="S549" s="7">
        <v>7007300</v>
      </c>
      <c r="U549" s="7">
        <v>17906</v>
      </c>
      <c r="W549" s="7">
        <v>6231862</v>
      </c>
      <c r="Y549" s="7">
        <v>0</v>
      </c>
      <c r="AA549" s="7">
        <v>137853</v>
      </c>
      <c r="AC549" s="7">
        <v>989995</v>
      </c>
      <c r="AE549" s="13">
        <f t="shared" si="113"/>
        <v>7377616</v>
      </c>
      <c r="AG549" s="7">
        <f t="shared" si="114"/>
        <v>0</v>
      </c>
      <c r="AK549" s="7" t="str">
        <f t="shared" si="115"/>
        <v>Tuslaw Local SD</v>
      </c>
      <c r="AL549" s="7" t="str">
        <f>GenExp!A549</f>
        <v>Tuslaw Local SD</v>
      </c>
      <c r="AM549" s="7" t="b">
        <f t="shared" si="116"/>
        <v>1</v>
      </c>
      <c r="AN549" s="7" t="str">
        <f t="shared" si="110"/>
        <v>Stark</v>
      </c>
      <c r="AO549" s="7" t="b">
        <f>C549=GenExp!C549</f>
        <v>1</v>
      </c>
    </row>
    <row r="550" spans="1:41" hidden="1">
      <c r="A550" s="12" t="s">
        <v>732</v>
      </c>
      <c r="B550" s="12"/>
      <c r="C550" s="12" t="s">
        <v>57</v>
      </c>
      <c r="D550" s="12"/>
      <c r="E550" s="12">
        <v>49296</v>
      </c>
      <c r="K550" s="2">
        <f t="shared" si="111"/>
        <v>0</v>
      </c>
      <c r="O550" s="2">
        <f t="shared" si="112"/>
        <v>0</v>
      </c>
      <c r="AE550" s="13">
        <f t="shared" si="113"/>
        <v>0</v>
      </c>
      <c r="AG550" s="7">
        <f t="shared" si="114"/>
        <v>0</v>
      </c>
      <c r="AI550" s="7" t="s">
        <v>789</v>
      </c>
      <c r="AK550" s="7" t="str">
        <f t="shared" si="115"/>
        <v>Twin Valley Community Local SD (CASH)</v>
      </c>
      <c r="AL550" s="7" t="str">
        <f>GenExp!A550</f>
        <v>Twin Valley Community Local SD (CASH)</v>
      </c>
      <c r="AM550" s="7" t="b">
        <f t="shared" si="116"/>
        <v>1</v>
      </c>
      <c r="AN550" s="7" t="str">
        <f t="shared" si="110"/>
        <v>Preble</v>
      </c>
      <c r="AO550" s="7" t="b">
        <f>C550=GenExp!C550</f>
        <v>1</v>
      </c>
    </row>
    <row r="551" spans="1:41">
      <c r="A551" s="12" t="s">
        <v>532</v>
      </c>
      <c r="B551" s="12"/>
      <c r="C551" s="12" t="s">
        <v>63</v>
      </c>
      <c r="D551" s="12"/>
      <c r="E551" s="12">
        <v>50070</v>
      </c>
      <c r="G551" s="7">
        <f>37304597+125</f>
        <v>37304722</v>
      </c>
      <c r="I551" s="7">
        <v>0</v>
      </c>
      <c r="K551" s="2">
        <f t="shared" si="111"/>
        <v>28464538</v>
      </c>
      <c r="M551" s="7">
        <v>65769260</v>
      </c>
      <c r="O551" s="2">
        <f t="shared" si="112"/>
        <v>6205000</v>
      </c>
      <c r="Q551" s="7">
        <v>25300489</v>
      </c>
      <c r="S551" s="7">
        <v>31505489</v>
      </c>
      <c r="U551" s="7">
        <v>35867</v>
      </c>
      <c r="W551" s="7">
        <v>5750830</v>
      </c>
      <c r="Y551" s="7">
        <v>0</v>
      </c>
      <c r="AA551" s="7">
        <v>418309</v>
      </c>
      <c r="AC551" s="7">
        <v>28058765</v>
      </c>
      <c r="AE551" s="13">
        <f t="shared" si="113"/>
        <v>34263771</v>
      </c>
      <c r="AG551" s="7">
        <f t="shared" si="114"/>
        <v>0</v>
      </c>
      <c r="AK551" s="7" t="str">
        <f t="shared" si="115"/>
        <v>Twinsburg City SD</v>
      </c>
      <c r="AL551" s="7" t="str">
        <f>GenExp!A551</f>
        <v>Twinsburg City SD</v>
      </c>
      <c r="AM551" s="7" t="b">
        <f t="shared" si="116"/>
        <v>1</v>
      </c>
      <c r="AN551" s="7" t="str">
        <f t="shared" si="110"/>
        <v>Summit</v>
      </c>
      <c r="AO551" s="7" t="b">
        <f>C551=GenExp!C551</f>
        <v>1</v>
      </c>
    </row>
    <row r="552" spans="1:41" hidden="1">
      <c r="A552" s="12" t="s">
        <v>219</v>
      </c>
      <c r="B552" s="12"/>
      <c r="C552" s="12" t="s">
        <v>15</v>
      </c>
      <c r="D552" s="12"/>
      <c r="E552" s="12">
        <v>46011</v>
      </c>
      <c r="K552" s="2">
        <f t="shared" si="111"/>
        <v>0</v>
      </c>
      <c r="O552" s="2">
        <f t="shared" si="112"/>
        <v>0</v>
      </c>
      <c r="AE552" s="13">
        <f t="shared" si="113"/>
        <v>0</v>
      </c>
      <c r="AG552" s="7">
        <f t="shared" si="114"/>
        <v>0</v>
      </c>
      <c r="AI552" s="7" t="s">
        <v>791</v>
      </c>
      <c r="AK552" s="7" t="str">
        <f t="shared" si="115"/>
        <v>Union Local SD</v>
      </c>
      <c r="AL552" s="7" t="str">
        <f>GenExp!A552</f>
        <v>Union Local SD</v>
      </c>
      <c r="AM552" s="7" t="b">
        <f t="shared" si="116"/>
        <v>1</v>
      </c>
      <c r="AN552" s="7" t="str">
        <f t="shared" si="110"/>
        <v>Belmont</v>
      </c>
      <c r="AO552" s="7" t="b">
        <f>C552=GenExp!C552</f>
        <v>1</v>
      </c>
    </row>
    <row r="553" spans="1:41">
      <c r="A553" s="12" t="s">
        <v>491</v>
      </c>
      <c r="B553" s="12"/>
      <c r="C553" s="12" t="s">
        <v>58</v>
      </c>
      <c r="D553" s="12"/>
      <c r="E553" s="12">
        <v>49536</v>
      </c>
      <c r="G553" s="7">
        <v>12373012</v>
      </c>
      <c r="I553" s="7">
        <v>570914</v>
      </c>
      <c r="K553" s="2">
        <f t="shared" si="111"/>
        <v>4437545</v>
      </c>
      <c r="M553" s="7">
        <v>17381471</v>
      </c>
      <c r="O553" s="2">
        <f t="shared" si="112"/>
        <v>2070578</v>
      </c>
      <c r="Q553" s="7">
        <v>3012997</v>
      </c>
      <c r="S553" s="7">
        <v>5083575</v>
      </c>
      <c r="U553" s="7">
        <v>19197</v>
      </c>
      <c r="W553" s="7">
        <v>1614765</v>
      </c>
      <c r="Y553" s="7">
        <v>254677</v>
      </c>
      <c r="AA553" s="7">
        <v>1700087</v>
      </c>
      <c r="AC553" s="7">
        <v>8709170</v>
      </c>
      <c r="AE553" s="13">
        <f t="shared" si="113"/>
        <v>12297896</v>
      </c>
      <c r="AG553" s="7">
        <f t="shared" si="114"/>
        <v>0</v>
      </c>
      <c r="AK553" s="7" t="str">
        <f t="shared" si="115"/>
        <v>Union-Scioto Local SD</v>
      </c>
      <c r="AL553" s="7" t="str">
        <f>GenExp!A553</f>
        <v>Union-Scioto Local SD</v>
      </c>
      <c r="AM553" s="7" t="b">
        <f t="shared" si="116"/>
        <v>1</v>
      </c>
      <c r="AN553" s="7" t="str">
        <f t="shared" si="110"/>
        <v>Ross</v>
      </c>
      <c r="AO553" s="7" t="b">
        <f>C553=GenExp!C553</f>
        <v>1</v>
      </c>
    </row>
    <row r="554" spans="1:41">
      <c r="A554" s="12" t="s">
        <v>257</v>
      </c>
      <c r="B554" s="12"/>
      <c r="C554" s="12" t="s">
        <v>112</v>
      </c>
      <c r="D554" s="12"/>
      <c r="E554" s="12">
        <v>46458</v>
      </c>
      <c r="G554" s="7">
        <v>5223057</v>
      </c>
      <c r="I554" s="7">
        <v>35553</v>
      </c>
      <c r="K554" s="2">
        <f t="shared" si="111"/>
        <v>3989865</v>
      </c>
      <c r="M554" s="7">
        <v>9248475</v>
      </c>
      <c r="O554" s="2">
        <f t="shared" si="112"/>
        <v>1686687</v>
      </c>
      <c r="Q554" s="7">
        <f>630546+2840854</f>
        <v>3471400</v>
      </c>
      <c r="S554" s="7">
        <v>5158087</v>
      </c>
      <c r="U554" s="7">
        <f>13905+590</f>
        <v>14495</v>
      </c>
      <c r="W554" s="7">
        <f>85208+680849+38076+19168+32836+35553+8368</f>
        <v>900058</v>
      </c>
      <c r="Y554" s="7">
        <f>224494+11000</f>
        <v>235494</v>
      </c>
      <c r="AA554" s="7">
        <f>5235+64575+2319+22614</f>
        <v>94743</v>
      </c>
      <c r="AC554" s="7">
        <v>2845598</v>
      </c>
      <c r="AE554" s="13">
        <f t="shared" si="113"/>
        <v>4090388</v>
      </c>
      <c r="AG554" s="7">
        <f t="shared" si="114"/>
        <v>0</v>
      </c>
      <c r="AK554" s="7" t="str">
        <f t="shared" si="115"/>
        <v>United Local SD</v>
      </c>
      <c r="AL554" s="7" t="str">
        <f>GenExp!A554</f>
        <v>United Local SD</v>
      </c>
      <c r="AM554" s="7" t="b">
        <f t="shared" si="116"/>
        <v>1</v>
      </c>
      <c r="AN554" s="7" t="str">
        <f t="shared" si="110"/>
        <v>Columbiana</v>
      </c>
      <c r="AO554" s="7" t="b">
        <f>C554=GenExp!C554</f>
        <v>1</v>
      </c>
    </row>
    <row r="555" spans="1:41">
      <c r="A555" s="12" t="s">
        <v>314</v>
      </c>
      <c r="B555" s="12"/>
      <c r="C555" s="12" t="s">
        <v>27</v>
      </c>
      <c r="D555" s="12"/>
      <c r="E555" s="12">
        <v>44933</v>
      </c>
      <c r="G555" s="7">
        <v>53682181</v>
      </c>
      <c r="I555" s="7">
        <v>0</v>
      </c>
      <c r="K555" s="2">
        <f t="shared" si="111"/>
        <v>59634439</v>
      </c>
      <c r="M555" s="7">
        <v>113316620</v>
      </c>
      <c r="O555" s="2">
        <f t="shared" si="112"/>
        <v>11209122</v>
      </c>
      <c r="Q555" s="7">
        <v>41351526</v>
      </c>
      <c r="S555" s="7">
        <v>52560648</v>
      </c>
      <c r="U555" s="7">
        <v>95040</v>
      </c>
      <c r="W555" s="7">
        <f>3390599+2009062+79006+58864+1441994+612991+301756</f>
        <v>7894272</v>
      </c>
      <c r="Y555" s="7">
        <v>0</v>
      </c>
      <c r="AA555" s="7">
        <v>8210082</v>
      </c>
      <c r="AC555" s="7">
        <v>44556578</v>
      </c>
      <c r="AE555" s="13">
        <f t="shared" si="113"/>
        <v>60755972</v>
      </c>
      <c r="AG555" s="7">
        <f t="shared" si="114"/>
        <v>0</v>
      </c>
      <c r="AK555" s="7" t="str">
        <f t="shared" si="115"/>
        <v>Upper Arlington City SD</v>
      </c>
      <c r="AL555" s="7" t="str">
        <f>GenExp!A555</f>
        <v>Upper Arlington City SD</v>
      </c>
      <c r="AM555" s="7" t="b">
        <f t="shared" si="116"/>
        <v>1</v>
      </c>
      <c r="AN555" s="7" t="str">
        <f t="shared" si="110"/>
        <v>Franklin</v>
      </c>
      <c r="AO555" s="7" t="b">
        <f>C555=GenExp!C555</f>
        <v>1</v>
      </c>
    </row>
    <row r="556" spans="1:41" hidden="1">
      <c r="A556" s="12" t="s">
        <v>888</v>
      </c>
      <c r="B556" s="12"/>
      <c r="C556" s="12" t="s">
        <v>577</v>
      </c>
      <c r="D556" s="12"/>
      <c r="E556" s="12">
        <v>45625</v>
      </c>
      <c r="K556" s="2">
        <f t="shared" si="111"/>
        <v>0</v>
      </c>
      <c r="O556" s="2">
        <f t="shared" si="112"/>
        <v>0</v>
      </c>
      <c r="AE556" s="13">
        <f t="shared" si="113"/>
        <v>0</v>
      </c>
      <c r="AG556" s="7">
        <f t="shared" si="114"/>
        <v>0</v>
      </c>
      <c r="AI556" s="7" t="s">
        <v>789</v>
      </c>
      <c r="AK556" s="7" t="str">
        <f t="shared" si="115"/>
        <v>Upper Sandusky Exempted Village SD (CASH)</v>
      </c>
      <c r="AL556" s="7" t="str">
        <f>GenExp!A556</f>
        <v>Upper Sandusky Exempted Village SD (CASH)</v>
      </c>
      <c r="AM556" s="7" t="b">
        <f t="shared" si="116"/>
        <v>1</v>
      </c>
      <c r="AN556" s="7" t="str">
        <f t="shared" si="110"/>
        <v>Wyandot</v>
      </c>
      <c r="AO556" s="7" t="b">
        <f>C556=GenExp!C556</f>
        <v>1</v>
      </c>
    </row>
    <row r="557" spans="1:41" hidden="1">
      <c r="A557" s="12" t="s">
        <v>733</v>
      </c>
      <c r="B557" s="12"/>
      <c r="C557" s="12" t="s">
        <v>348</v>
      </c>
      <c r="D557" s="12"/>
      <c r="E557" s="12">
        <v>47522</v>
      </c>
      <c r="K557" s="2">
        <f t="shared" si="111"/>
        <v>0</v>
      </c>
      <c r="O557" s="2">
        <f t="shared" si="112"/>
        <v>0</v>
      </c>
      <c r="AE557" s="13">
        <f t="shared" si="113"/>
        <v>0</v>
      </c>
      <c r="AG557" s="7">
        <f t="shared" si="114"/>
        <v>0</v>
      </c>
      <c r="AI557" s="7" t="s">
        <v>789</v>
      </c>
      <c r="AK557" s="7" t="str">
        <f t="shared" si="115"/>
        <v>Upper Scioto Valley Local SD (CASH)</v>
      </c>
      <c r="AL557" s="7" t="str">
        <f>GenExp!A557</f>
        <v>Upper Scioto Valley Local SD (CASH)</v>
      </c>
      <c r="AM557" s="7" t="b">
        <f t="shared" si="116"/>
        <v>1</v>
      </c>
      <c r="AN557" s="7" t="str">
        <f t="shared" si="110"/>
        <v>Hardin</v>
      </c>
      <c r="AO557" s="7" t="b">
        <f>C557=GenExp!C557</f>
        <v>1</v>
      </c>
    </row>
    <row r="558" spans="1:41">
      <c r="A558" s="12" t="s">
        <v>234</v>
      </c>
      <c r="B558" s="12"/>
      <c r="C558" s="12" t="s">
        <v>232</v>
      </c>
      <c r="D558" s="12"/>
      <c r="E558" s="12">
        <v>44941</v>
      </c>
      <c r="G558" s="7">
        <v>4215121</v>
      </c>
      <c r="I558" s="7">
        <v>585714</v>
      </c>
      <c r="K558" s="2">
        <f t="shared" ref="K558:K618" si="117">M558-G558-I558</f>
        <v>9422916</v>
      </c>
      <c r="M558" s="7">
        <v>14223751</v>
      </c>
      <c r="O558" s="2">
        <f t="shared" ref="O558:O618" si="118">S558-Q558</f>
        <v>3631547</v>
      </c>
      <c r="Q558" s="7">
        <f>983906+4732381</f>
        <v>5716287</v>
      </c>
      <c r="S558" s="7">
        <v>9347834</v>
      </c>
      <c r="U558" s="7">
        <f>19710+3145+58669</f>
        <v>81524</v>
      </c>
      <c r="W558" s="7">
        <f>622699+748+67264+120+8214+259659+90109+584966</f>
        <v>1633779</v>
      </c>
      <c r="Y558" s="7">
        <f>22480+449100+10000</f>
        <v>481580</v>
      </c>
      <c r="AA558" s="7">
        <f>211497+272993+1216+14472</f>
        <v>500178</v>
      </c>
      <c r="AC558" s="7">
        <v>2178856</v>
      </c>
      <c r="AE558" s="13">
        <f t="shared" si="113"/>
        <v>4875917</v>
      </c>
      <c r="AG558" s="7">
        <f t="shared" si="114"/>
        <v>0</v>
      </c>
      <c r="AK558" s="7" t="str">
        <f t="shared" si="115"/>
        <v>Urbana City SD</v>
      </c>
      <c r="AL558" s="7" t="str">
        <f>GenExp!A558</f>
        <v>Urbana City SD</v>
      </c>
      <c r="AM558" s="7" t="b">
        <f t="shared" si="116"/>
        <v>1</v>
      </c>
      <c r="AN558" s="7" t="str">
        <f t="shared" si="110"/>
        <v>Champaign</v>
      </c>
      <c r="AO558" s="7" t="b">
        <f>C558=GenExp!C558</f>
        <v>1</v>
      </c>
    </row>
    <row r="559" spans="1:41" hidden="1">
      <c r="A559" s="12" t="s">
        <v>734</v>
      </c>
      <c r="B559" s="12"/>
      <c r="C559" s="12" t="s">
        <v>59</v>
      </c>
      <c r="D559" s="12"/>
      <c r="E559" s="12">
        <v>49643</v>
      </c>
      <c r="K559" s="2">
        <f t="shared" si="117"/>
        <v>0</v>
      </c>
      <c r="O559" s="2">
        <f t="shared" si="118"/>
        <v>0</v>
      </c>
      <c r="AE559" s="13">
        <f t="shared" si="113"/>
        <v>0</v>
      </c>
      <c r="AG559" s="7">
        <f t="shared" si="114"/>
        <v>0</v>
      </c>
      <c r="AI559" s="7" t="s">
        <v>789</v>
      </c>
      <c r="AK559" s="7" t="str">
        <f t="shared" si="115"/>
        <v>Valley Local SD (CASH)</v>
      </c>
      <c r="AL559" s="7" t="str">
        <f>GenExp!A559</f>
        <v>Valley Local SD (CASH)</v>
      </c>
      <c r="AM559" s="7" t="b">
        <f t="shared" si="116"/>
        <v>1</v>
      </c>
      <c r="AN559" s="7" t="str">
        <f t="shared" si="110"/>
        <v>Scioto</v>
      </c>
      <c r="AO559" s="7" t="b">
        <f>C559=GenExp!C559</f>
        <v>1</v>
      </c>
    </row>
    <row r="560" spans="1:41">
      <c r="A560" s="12" t="s">
        <v>450</v>
      </c>
      <c r="B560" s="12"/>
      <c r="C560" s="12" t="s">
        <v>50</v>
      </c>
      <c r="D560" s="12"/>
      <c r="E560" s="12">
        <v>48744</v>
      </c>
      <c r="G560" s="7">
        <f>3221716+3137</f>
        <v>3224853</v>
      </c>
      <c r="I560" s="7">
        <v>0</v>
      </c>
      <c r="K560" s="2">
        <f t="shared" si="117"/>
        <v>8041320</v>
      </c>
      <c r="M560" s="7">
        <v>11266173</v>
      </c>
      <c r="O560" s="2">
        <f t="shared" si="118"/>
        <v>2989912</v>
      </c>
      <c r="Q560" s="7">
        <f>918529+5680151</f>
        <v>6598680</v>
      </c>
      <c r="S560" s="7">
        <v>9588592</v>
      </c>
      <c r="U560" s="7">
        <f>2063+19796+9789</f>
        <v>31648</v>
      </c>
      <c r="W560" s="7">
        <f>15119+46774+23463+9178</f>
        <v>94534</v>
      </c>
      <c r="Y560" s="7">
        <f>673783+11000</f>
        <v>684783</v>
      </c>
      <c r="AA560" s="7">
        <f>56+75636+29208+40206</f>
        <v>145106</v>
      </c>
      <c r="AC560" s="7">
        <v>721510</v>
      </c>
      <c r="AE560" s="13">
        <f t="shared" si="113"/>
        <v>1677581</v>
      </c>
      <c r="AG560" s="7">
        <f t="shared" si="114"/>
        <v>0</v>
      </c>
      <c r="AK560" s="7" t="str">
        <f t="shared" si="115"/>
        <v>Valley View Local SD</v>
      </c>
      <c r="AL560" s="7" t="str">
        <f>GenExp!A560</f>
        <v>Valley View Local SD</v>
      </c>
      <c r="AM560" s="7" t="b">
        <f t="shared" si="116"/>
        <v>1</v>
      </c>
      <c r="AN560" s="7" t="str">
        <f t="shared" si="110"/>
        <v>Montgomery</v>
      </c>
      <c r="AO560" s="7" t="b">
        <f>C560=GenExp!C560</f>
        <v>1</v>
      </c>
    </row>
    <row r="561" spans="1:41">
      <c r="A561" s="12" t="s">
        <v>347</v>
      </c>
      <c r="B561" s="12"/>
      <c r="C561" s="12" t="s">
        <v>33</v>
      </c>
      <c r="D561" s="12"/>
      <c r="E561" s="12">
        <v>47464</v>
      </c>
      <c r="G561" s="7">
        <v>8090304</v>
      </c>
      <c r="I561" s="7">
        <v>489021</v>
      </c>
      <c r="K561" s="2">
        <f t="shared" si="117"/>
        <v>7347241</v>
      </c>
      <c r="M561" s="7">
        <v>15926566</v>
      </c>
      <c r="O561" s="2">
        <f>S561-Q561</f>
        <v>1114060</v>
      </c>
      <c r="Q561" s="7">
        <v>6703020</v>
      </c>
      <c r="S561" s="7">
        <v>7817080</v>
      </c>
      <c r="U561" s="7">
        <v>23798</v>
      </c>
      <c r="W561" s="7">
        <v>1683707</v>
      </c>
      <c r="Y561" s="7">
        <v>239615</v>
      </c>
      <c r="AA561" s="7">
        <v>198808</v>
      </c>
      <c r="AC561" s="7">
        <v>5963558</v>
      </c>
      <c r="AE561" s="13">
        <f t="shared" si="113"/>
        <v>8109486</v>
      </c>
      <c r="AG561" s="7">
        <f t="shared" si="114"/>
        <v>0</v>
      </c>
      <c r="AK561" s="7" t="str">
        <f t="shared" si="115"/>
        <v>Van Buren Local SD</v>
      </c>
      <c r="AL561" s="7" t="str">
        <f>GenExp!A561</f>
        <v>Van Buren Local SD</v>
      </c>
      <c r="AM561" s="7" t="b">
        <f t="shared" si="116"/>
        <v>1</v>
      </c>
      <c r="AN561" s="7" t="str">
        <f t="shared" si="110"/>
        <v>Hancock</v>
      </c>
      <c r="AO561" s="7" t="b">
        <f>C561=GenExp!C561</f>
        <v>1</v>
      </c>
    </row>
    <row r="562" spans="1:41" hidden="1">
      <c r="A562" s="12" t="s">
        <v>978</v>
      </c>
      <c r="B562" s="12"/>
      <c r="C562" s="12" t="s">
        <v>67</v>
      </c>
      <c r="D562" s="12"/>
      <c r="E562" s="12">
        <v>44966</v>
      </c>
      <c r="K562" s="2">
        <f t="shared" si="117"/>
        <v>0</v>
      </c>
      <c r="O562" s="2">
        <f t="shared" si="118"/>
        <v>0</v>
      </c>
      <c r="AE562" s="13">
        <f t="shared" si="113"/>
        <v>0</v>
      </c>
      <c r="AG562" s="7">
        <f t="shared" si="114"/>
        <v>0</v>
      </c>
      <c r="AI562" s="7" t="s">
        <v>979</v>
      </c>
      <c r="AK562" s="7" t="str">
        <f t="shared" si="115"/>
        <v>Van Wert City SD (CASH)</v>
      </c>
      <c r="AL562" s="7" t="str">
        <f>GenExp!A562</f>
        <v>Van Wert City SD (CASH)</v>
      </c>
      <c r="AM562" s="7" t="b">
        <f t="shared" si="116"/>
        <v>1</v>
      </c>
      <c r="AN562" s="7" t="str">
        <f t="shared" si="110"/>
        <v>Van Wert</v>
      </c>
      <c r="AO562" s="7" t="b">
        <f>C562=GenExp!C562</f>
        <v>1</v>
      </c>
    </row>
    <row r="563" spans="1:41">
      <c r="A563" s="12" t="s">
        <v>451</v>
      </c>
      <c r="B563" s="12"/>
      <c r="C563" s="12" t="s">
        <v>50</v>
      </c>
      <c r="D563" s="12"/>
      <c r="E563" s="12">
        <v>44958</v>
      </c>
      <c r="G563" s="7">
        <v>40594593</v>
      </c>
      <c r="I563" s="7">
        <v>0</v>
      </c>
      <c r="K563" s="2">
        <f t="shared" si="117"/>
        <v>23020894</v>
      </c>
      <c r="M563" s="7">
        <v>63615487</v>
      </c>
      <c r="O563" s="2">
        <f t="shared" si="118"/>
        <v>12427806</v>
      </c>
      <c r="Q563" s="7">
        <f>18756286+1726021</f>
        <v>20482307</v>
      </c>
      <c r="S563" s="7">
        <v>32910113</v>
      </c>
      <c r="U563" s="7">
        <f>9958+137021</f>
        <v>146979</v>
      </c>
      <c r="W563" s="7">
        <f>3356092+19387792+220532+15943+30113</f>
        <v>23010472</v>
      </c>
      <c r="Y563" s="7">
        <f>216503+6081+73859</f>
        <v>296443</v>
      </c>
      <c r="AA563" s="7">
        <f>5548+603397+69756+178018</f>
        <v>856719</v>
      </c>
      <c r="AC563" s="7">
        <v>6394761</v>
      </c>
      <c r="AE563" s="13">
        <f t="shared" si="113"/>
        <v>30705374</v>
      </c>
      <c r="AG563" s="7">
        <f t="shared" si="114"/>
        <v>0</v>
      </c>
      <c r="AK563" s="7" t="str">
        <f t="shared" si="115"/>
        <v>Vandalia-Butler City SD</v>
      </c>
      <c r="AL563" s="7" t="str">
        <f>GenExp!A563</f>
        <v>Vandalia-Butler City SD</v>
      </c>
      <c r="AM563" s="7" t="b">
        <f t="shared" si="116"/>
        <v>1</v>
      </c>
      <c r="AN563" s="7" t="str">
        <f t="shared" si="110"/>
        <v>Montgomery</v>
      </c>
      <c r="AO563" s="7" t="b">
        <f>C563=GenExp!C563</f>
        <v>1</v>
      </c>
    </row>
    <row r="564" spans="1:41" hidden="1">
      <c r="A564" s="12" t="s">
        <v>736</v>
      </c>
      <c r="B564" s="12"/>
      <c r="C564" s="12" t="s">
        <v>33</v>
      </c>
      <c r="D564" s="12"/>
      <c r="E564" s="12">
        <v>47472</v>
      </c>
      <c r="K564" s="2">
        <f t="shared" si="117"/>
        <v>0</v>
      </c>
      <c r="O564" s="2">
        <f t="shared" si="118"/>
        <v>0</v>
      </c>
      <c r="AE564" s="13">
        <f t="shared" si="113"/>
        <v>0</v>
      </c>
      <c r="AG564" s="7">
        <f t="shared" si="114"/>
        <v>0</v>
      </c>
      <c r="AI564" s="7" t="s">
        <v>789</v>
      </c>
      <c r="AK564" s="7" t="str">
        <f t="shared" si="115"/>
        <v>Vanlue Local SD (CASH)</v>
      </c>
      <c r="AL564" s="7" t="str">
        <f>GenExp!A564</f>
        <v>Vanlue Local SD (CASH)</v>
      </c>
      <c r="AM564" s="7" t="b">
        <f t="shared" si="116"/>
        <v>1</v>
      </c>
      <c r="AN564" s="7" t="str">
        <f t="shared" si="110"/>
        <v>Hancock</v>
      </c>
      <c r="AO564" s="7" t="b">
        <f>C564=GenExp!C564</f>
        <v>1</v>
      </c>
    </row>
    <row r="565" spans="1:41">
      <c r="A565" s="12" t="s">
        <v>297</v>
      </c>
      <c r="B565" s="12"/>
      <c r="C565" s="12" t="s">
        <v>24</v>
      </c>
      <c r="D565" s="12"/>
      <c r="E565" s="12">
        <v>46821</v>
      </c>
      <c r="G565" s="7">
        <f>16730487+5326</f>
        <v>16735813</v>
      </c>
      <c r="I565" s="7">
        <v>0</v>
      </c>
      <c r="K565" s="2">
        <f t="shared" si="117"/>
        <v>17197611</v>
      </c>
      <c r="M565" s="7">
        <v>33933424</v>
      </c>
      <c r="O565" s="2">
        <f t="shared" si="118"/>
        <v>3038985</v>
      </c>
      <c r="Q565" s="7">
        <f>13414401+1591512</f>
        <v>15005913</v>
      </c>
      <c r="S565" s="7">
        <v>18044898</v>
      </c>
      <c r="U565" s="7">
        <v>66775</v>
      </c>
      <c r="W565" s="7">
        <f>342413+696632+4879+110261+129261</f>
        <v>1283446</v>
      </c>
      <c r="Y565" s="7">
        <f>471251+5101</f>
        <v>476352</v>
      </c>
      <c r="AA565" s="7">
        <f>1033437+369421+69561+25109+14743</f>
        <v>1512271</v>
      </c>
      <c r="AC565" s="7">
        <v>12549682</v>
      </c>
      <c r="AE565" s="13">
        <f t="shared" si="113"/>
        <v>15888526</v>
      </c>
      <c r="AG565" s="7">
        <f t="shared" si="114"/>
        <v>0</v>
      </c>
      <c r="AK565" s="7" t="str">
        <f t="shared" si="115"/>
        <v>Vermilion Local SD</v>
      </c>
      <c r="AL565" s="7" t="str">
        <f>GenExp!A565</f>
        <v>Vermilion Local SD</v>
      </c>
      <c r="AM565" s="7" t="b">
        <f t="shared" si="116"/>
        <v>1</v>
      </c>
      <c r="AN565" s="7" t="str">
        <f t="shared" si="110"/>
        <v>Erie</v>
      </c>
      <c r="AO565" s="7" t="b">
        <f>C565=GenExp!C565</f>
        <v>1</v>
      </c>
    </row>
    <row r="566" spans="1:41" hidden="1">
      <c r="A566" s="12" t="s">
        <v>737</v>
      </c>
      <c r="B566" s="12"/>
      <c r="C566" s="12" t="s">
        <v>21</v>
      </c>
      <c r="D566" s="12"/>
      <c r="E566" s="12"/>
      <c r="K566" s="2">
        <f t="shared" ref="K566" si="119">M566-G566-I566</f>
        <v>0</v>
      </c>
      <c r="O566" s="2">
        <f t="shared" ref="O566" si="120">S566-Q566</f>
        <v>0</v>
      </c>
      <c r="AE566" s="13">
        <f t="shared" si="113"/>
        <v>0</v>
      </c>
      <c r="AG566" s="7">
        <f t="shared" si="114"/>
        <v>0</v>
      </c>
      <c r="AI566" s="7" t="s">
        <v>789</v>
      </c>
      <c r="AK566" s="7" t="str">
        <f t="shared" si="115"/>
        <v>Versailles Exempted Village SD (CASH)</v>
      </c>
      <c r="AL566" s="7" t="str">
        <f>GenExp!A566</f>
        <v>Versailles Exempted Village SD (CASH)</v>
      </c>
      <c r="AM566" s="7" t="b">
        <f t="shared" si="116"/>
        <v>1</v>
      </c>
      <c r="AN566" s="7" t="str">
        <f t="shared" si="110"/>
        <v>Darke</v>
      </c>
      <c r="AO566" s="7" t="b">
        <f>C566=GenExp!C566</f>
        <v>1</v>
      </c>
    </row>
    <row r="567" spans="1:41">
      <c r="A567" s="12" t="s">
        <v>559</v>
      </c>
      <c r="B567" s="12"/>
      <c r="C567" s="12" t="s">
        <v>68</v>
      </c>
      <c r="D567" s="12"/>
      <c r="E567" s="12">
        <v>50393</v>
      </c>
      <c r="G567" s="7">
        <v>16672124</v>
      </c>
      <c r="I567" s="7">
        <v>1500930</v>
      </c>
      <c r="K567" s="2">
        <f t="shared" si="117"/>
        <v>8638141</v>
      </c>
      <c r="M567" s="7">
        <v>26811195</v>
      </c>
      <c r="O567" s="2">
        <f t="shared" si="118"/>
        <v>4300126</v>
      </c>
      <c r="Q567" s="7">
        <v>7354435</v>
      </c>
      <c r="S567" s="7">
        <v>11654561</v>
      </c>
      <c r="U567" s="7">
        <v>33980</v>
      </c>
      <c r="W567" s="7">
        <v>4562854</v>
      </c>
      <c r="Y567" s="7">
        <v>1978</v>
      </c>
      <c r="AA567" s="7">
        <v>689997</v>
      </c>
      <c r="AC567" s="7">
        <v>9867825</v>
      </c>
      <c r="AE567" s="13">
        <f t="shared" si="113"/>
        <v>15156634</v>
      </c>
      <c r="AG567" s="7">
        <f t="shared" si="114"/>
        <v>0</v>
      </c>
      <c r="AK567" s="7" t="str">
        <f t="shared" si="115"/>
        <v>Vinton County Local SD</v>
      </c>
      <c r="AL567" s="7" t="str">
        <f>GenExp!A567</f>
        <v>Vinton County Local SD</v>
      </c>
      <c r="AM567" s="7" t="b">
        <f t="shared" si="116"/>
        <v>1</v>
      </c>
      <c r="AN567" s="7" t="str">
        <f t="shared" si="110"/>
        <v>Vinton</v>
      </c>
      <c r="AO567" s="7" t="b">
        <f>C567=GenExp!C567</f>
        <v>1</v>
      </c>
    </row>
    <row r="568" spans="1:41">
      <c r="A568" s="12" t="s">
        <v>432</v>
      </c>
      <c r="B568" s="12"/>
      <c r="C568" s="12" t="s">
        <v>47</v>
      </c>
      <c r="D568" s="12"/>
      <c r="E568" s="12">
        <v>44974</v>
      </c>
      <c r="G568" s="7">
        <v>114323214</v>
      </c>
      <c r="I568" s="7">
        <v>0</v>
      </c>
      <c r="K568" s="2">
        <f t="shared" si="117"/>
        <v>27087277</v>
      </c>
      <c r="M568" s="7">
        <v>141410491</v>
      </c>
      <c r="O568" s="2">
        <f t="shared" si="118"/>
        <v>8745022</v>
      </c>
      <c r="Q568" s="7">
        <f>18509472+5393038</f>
        <v>23902510</v>
      </c>
      <c r="S568" s="7">
        <v>32647532</v>
      </c>
      <c r="U568" s="7">
        <v>249821</v>
      </c>
      <c r="W568" s="7">
        <f>5037317+97887515+681566+310858+582+17117+221300+164405</f>
        <v>104320660</v>
      </c>
      <c r="Y568" s="7">
        <v>19442</v>
      </c>
      <c r="AA568" s="7">
        <f>175430+464814+3652+81718+12999+11457+36232+24177</f>
        <v>810479</v>
      </c>
      <c r="AC568" s="7">
        <v>3362557</v>
      </c>
      <c r="AE568" s="13">
        <f t="shared" si="113"/>
        <v>108762959</v>
      </c>
      <c r="AG568" s="7">
        <f t="shared" si="114"/>
        <v>0</v>
      </c>
      <c r="AK568" s="7" t="str">
        <f t="shared" si="115"/>
        <v>Wadsworth City SD</v>
      </c>
      <c r="AL568" s="7" t="str">
        <f>GenExp!A568</f>
        <v>Wadsworth City SD</v>
      </c>
      <c r="AM568" s="7" t="b">
        <f t="shared" si="116"/>
        <v>1</v>
      </c>
      <c r="AN568" s="7" t="str">
        <f t="shared" si="110"/>
        <v>Medina</v>
      </c>
      <c r="AO568" s="7" t="b">
        <f>C568=GenExp!C568</f>
        <v>1</v>
      </c>
    </row>
    <row r="569" spans="1:41">
      <c r="A569" s="12" t="s">
        <v>547</v>
      </c>
      <c r="B569" s="12"/>
      <c r="C569" s="12" t="s">
        <v>64</v>
      </c>
      <c r="D569" s="12"/>
      <c r="E569" s="12">
        <v>44990</v>
      </c>
      <c r="G569" s="7">
        <f>26124599+16462258+135526</f>
        <v>42722383</v>
      </c>
      <c r="I569" s="7">
        <v>0</v>
      </c>
      <c r="K569" s="2">
        <f t="shared" si="117"/>
        <v>22143400</v>
      </c>
      <c r="M569" s="7">
        <v>64865783</v>
      </c>
      <c r="O569" s="2">
        <f t="shared" si="118"/>
        <v>11903547</v>
      </c>
      <c r="Q569" s="7">
        <f>6697875+13432823</f>
        <v>20130698</v>
      </c>
      <c r="S569" s="7">
        <v>32034245</v>
      </c>
      <c r="U569" s="7">
        <v>209201</v>
      </c>
      <c r="W569" s="7">
        <v>21917269</v>
      </c>
      <c r="Y569" s="7">
        <v>95716</v>
      </c>
      <c r="AA569" s="7">
        <v>2005462</v>
      </c>
      <c r="AC569" s="7">
        <v>8603890</v>
      </c>
      <c r="AE569" s="13">
        <f t="shared" si="113"/>
        <v>32831538</v>
      </c>
      <c r="AG569" s="7">
        <f t="shared" si="114"/>
        <v>0</v>
      </c>
      <c r="AK569" s="7" t="str">
        <f t="shared" si="115"/>
        <v>Warren City SD</v>
      </c>
      <c r="AL569" s="7" t="str">
        <f>GenExp!A569</f>
        <v>Warren City SD</v>
      </c>
      <c r="AM569" s="7" t="b">
        <f t="shared" si="116"/>
        <v>1</v>
      </c>
      <c r="AN569" s="7" t="str">
        <f t="shared" si="110"/>
        <v>Trumbull</v>
      </c>
      <c r="AO569" s="7" t="b">
        <f>C569=GenExp!C569</f>
        <v>1</v>
      </c>
    </row>
    <row r="570" spans="1:41">
      <c r="A570" s="12" t="s">
        <v>566</v>
      </c>
      <c r="B570" s="12"/>
      <c r="C570" s="12" t="s">
        <v>70</v>
      </c>
      <c r="D570" s="12"/>
      <c r="E570" s="12">
        <v>50500</v>
      </c>
      <c r="G570" s="7">
        <f>5843680+2145</f>
        <v>5845825</v>
      </c>
      <c r="I570" s="7">
        <v>499522</v>
      </c>
      <c r="K570" s="2">
        <f t="shared" si="117"/>
        <v>7188019</v>
      </c>
      <c r="M570" s="7">
        <v>13533366</v>
      </c>
      <c r="O570" s="2">
        <f t="shared" si="118"/>
        <v>0</v>
      </c>
      <c r="Q570" s="7">
        <v>9041598</v>
      </c>
      <c r="S570" s="7">
        <v>9041598</v>
      </c>
      <c r="U570" s="7">
        <v>117494</v>
      </c>
      <c r="W570" s="7">
        <v>709337</v>
      </c>
      <c r="Y570" s="7">
        <v>1357972</v>
      </c>
      <c r="AA570" s="7">
        <v>0</v>
      </c>
      <c r="AC570" s="7">
        <v>2306965</v>
      </c>
      <c r="AE570" s="13">
        <f t="shared" si="113"/>
        <v>4491768</v>
      </c>
      <c r="AG570" s="7">
        <f t="shared" si="114"/>
        <v>0</v>
      </c>
      <c r="AK570" s="7" t="str">
        <f t="shared" si="115"/>
        <v>Warren Local SD</v>
      </c>
      <c r="AL570" s="7" t="str">
        <f>GenExp!A570</f>
        <v>Warren Local SD</v>
      </c>
      <c r="AM570" s="7" t="b">
        <f t="shared" si="116"/>
        <v>1</v>
      </c>
      <c r="AN570" s="7" t="str">
        <f t="shared" si="110"/>
        <v>Washington</v>
      </c>
      <c r="AO570" s="7" t="b">
        <f>C570=GenExp!C570</f>
        <v>1</v>
      </c>
    </row>
    <row r="571" spans="1:41">
      <c r="A571" s="12" t="s">
        <v>286</v>
      </c>
      <c r="B571" s="12"/>
      <c r="C571" s="12" t="s">
        <v>20</v>
      </c>
      <c r="D571" s="12"/>
      <c r="E571" s="12">
        <v>45005</v>
      </c>
      <c r="G571" s="7">
        <v>12932721</v>
      </c>
      <c r="I571" s="7">
        <v>96650</v>
      </c>
      <c r="K571" s="2">
        <f t="shared" si="117"/>
        <v>23356020</v>
      </c>
      <c r="M571" s="7">
        <v>36385391</v>
      </c>
      <c r="O571" s="2">
        <f t="shared" si="118"/>
        <v>5384081</v>
      </c>
      <c r="Q571" s="7">
        <v>19224622</v>
      </c>
      <c r="S571" s="7">
        <v>24608703</v>
      </c>
      <c r="U571" s="7">
        <v>2617</v>
      </c>
      <c r="W571" s="7">
        <v>5105149</v>
      </c>
      <c r="Y571" s="7">
        <v>424337</v>
      </c>
      <c r="AA571" s="7">
        <v>2516466</v>
      </c>
      <c r="AC571" s="7">
        <v>3728119</v>
      </c>
      <c r="AE571" s="13">
        <f t="shared" si="113"/>
        <v>11776688</v>
      </c>
      <c r="AG571" s="7">
        <f t="shared" si="114"/>
        <v>0</v>
      </c>
      <c r="AK571" s="7" t="str">
        <f t="shared" si="115"/>
        <v>Warrensville Heights City SD</v>
      </c>
      <c r="AL571" s="7" t="str">
        <f>GenExp!A571</f>
        <v>Warrensville Heights City SD</v>
      </c>
      <c r="AM571" s="7" t="b">
        <f t="shared" si="116"/>
        <v>1</v>
      </c>
      <c r="AN571" s="7" t="str">
        <f t="shared" si="110"/>
        <v>Cuyahoga</v>
      </c>
      <c r="AO571" s="7" t="b">
        <f>C571=GenExp!C571</f>
        <v>1</v>
      </c>
    </row>
    <row r="572" spans="1:41">
      <c r="A572" s="12" t="s">
        <v>304</v>
      </c>
      <c r="B572" s="12"/>
      <c r="C572" s="12" t="s">
        <v>26</v>
      </c>
      <c r="D572" s="12"/>
      <c r="E572" s="12">
        <v>45013</v>
      </c>
      <c r="G572" s="7">
        <f>3273284+1655600</f>
        <v>4928884</v>
      </c>
      <c r="I572" s="7">
        <f>42756+254140</f>
        <v>296896</v>
      </c>
      <c r="K572" s="2">
        <f t="shared" si="117"/>
        <v>8238097</v>
      </c>
      <c r="M572" s="7">
        <v>13463877</v>
      </c>
      <c r="O572" s="2">
        <f t="shared" si="118"/>
        <v>3753184</v>
      </c>
      <c r="Q572" s="7">
        <v>5020581</v>
      </c>
      <c r="S572" s="7">
        <v>8773765</v>
      </c>
      <c r="U572" s="7">
        <v>10838</v>
      </c>
      <c r="W572" s="7">
        <v>3591710</v>
      </c>
      <c r="Y572" s="7">
        <v>50000</v>
      </c>
      <c r="AA572" s="7">
        <v>137426</v>
      </c>
      <c r="AC572" s="7">
        <v>900138</v>
      </c>
      <c r="AE572" s="13">
        <f t="shared" si="113"/>
        <v>4690112</v>
      </c>
      <c r="AG572" s="7">
        <f t="shared" si="114"/>
        <v>0</v>
      </c>
      <c r="AK572" s="7" t="str">
        <f t="shared" si="115"/>
        <v>Washington Court House City SD</v>
      </c>
      <c r="AL572" s="7" t="str">
        <f>GenExp!A572</f>
        <v>Washington Court House City SD</v>
      </c>
      <c r="AM572" s="7" t="b">
        <f t="shared" si="116"/>
        <v>1</v>
      </c>
      <c r="AN572" s="7" t="str">
        <f t="shared" si="110"/>
        <v>Fayette</v>
      </c>
      <c r="AO572" s="7" t="b">
        <f>C572=GenExp!C572</f>
        <v>1</v>
      </c>
    </row>
    <row r="573" spans="1:41">
      <c r="A573" s="12" t="s">
        <v>409</v>
      </c>
      <c r="B573" s="12"/>
      <c r="C573" s="12" t="s">
        <v>115</v>
      </c>
      <c r="D573" s="12"/>
      <c r="E573" s="12">
        <v>48231</v>
      </c>
      <c r="G573" s="7">
        <f>37293048+5049</f>
        <v>37298097</v>
      </c>
      <c r="I573" s="7">
        <v>0</v>
      </c>
      <c r="K573" s="2">
        <f t="shared" si="117"/>
        <v>45112473</v>
      </c>
      <c r="M573" s="7">
        <v>82410570</v>
      </c>
      <c r="O573" s="2">
        <f t="shared" si="118"/>
        <v>14267403</v>
      </c>
      <c r="Q573" s="7">
        <f>6712847+34807452</f>
        <v>41520299</v>
      </c>
      <c r="S573" s="7">
        <v>55787702</v>
      </c>
      <c r="U573" s="7">
        <f>243973+153268</f>
        <v>397241</v>
      </c>
      <c r="W573" s="7">
        <f>1940338+97342+13352+216635</f>
        <v>2267667</v>
      </c>
      <c r="Y573" s="7">
        <v>55000</v>
      </c>
      <c r="AA573" s="7">
        <f>159931+724833+21100+17034+60+124327</f>
        <v>1047285</v>
      </c>
      <c r="AC573" s="7">
        <v>22855675</v>
      </c>
      <c r="AE573" s="13">
        <f t="shared" si="113"/>
        <v>26622868</v>
      </c>
      <c r="AG573" s="7">
        <f t="shared" si="114"/>
        <v>0</v>
      </c>
      <c r="AK573" s="7" t="str">
        <f t="shared" si="115"/>
        <v>Washington Local SD</v>
      </c>
      <c r="AL573" s="7" t="str">
        <f>GenExp!A573</f>
        <v>Washington Local SD</v>
      </c>
      <c r="AM573" s="7" t="b">
        <f t="shared" si="116"/>
        <v>1</v>
      </c>
      <c r="AN573" s="7" t="str">
        <f t="shared" si="110"/>
        <v>Lucas</v>
      </c>
      <c r="AO573" s="7" t="b">
        <f>C573=GenExp!C573</f>
        <v>1</v>
      </c>
    </row>
    <row r="574" spans="1:41">
      <c r="A574" s="12" t="s">
        <v>500</v>
      </c>
      <c r="B574" s="12"/>
      <c r="C574" s="12" t="s">
        <v>59</v>
      </c>
      <c r="D574" s="12"/>
      <c r="E574" s="12">
        <v>49650</v>
      </c>
      <c r="G574" s="7">
        <f>5503521+938483+366555</f>
        <v>6808559</v>
      </c>
      <c r="I574" s="7">
        <v>136897</v>
      </c>
      <c r="K574" s="2">
        <f t="shared" si="117"/>
        <v>3303414</v>
      </c>
      <c r="M574" s="7">
        <v>10248870</v>
      </c>
      <c r="O574" s="2">
        <f t="shared" si="118"/>
        <v>2951966</v>
      </c>
      <c r="Q574" s="7">
        <v>2891147</v>
      </c>
      <c r="S574" s="7">
        <v>5843113</v>
      </c>
      <c r="U574" s="7">
        <v>80802</v>
      </c>
      <c r="W574" s="7">
        <v>2787667</v>
      </c>
      <c r="Y574" s="7">
        <v>208342</v>
      </c>
      <c r="AA574" s="7">
        <v>448823</v>
      </c>
      <c r="AC574" s="7">
        <v>880123</v>
      </c>
      <c r="AE574" s="13">
        <f t="shared" si="113"/>
        <v>4405757</v>
      </c>
      <c r="AG574" s="7">
        <f t="shared" si="114"/>
        <v>0</v>
      </c>
      <c r="AK574" s="7" t="str">
        <f t="shared" si="115"/>
        <v>Washington-Nile Local SD</v>
      </c>
      <c r="AL574" s="7" t="str">
        <f>GenExp!A574</f>
        <v>Washington-Nile Local SD</v>
      </c>
      <c r="AM574" s="7" t="b">
        <f t="shared" si="116"/>
        <v>1</v>
      </c>
      <c r="AN574" s="7" t="str">
        <f t="shared" si="110"/>
        <v>Scioto</v>
      </c>
      <c r="AO574" s="7" t="b">
        <f>C574=GenExp!C574</f>
        <v>1</v>
      </c>
    </row>
    <row r="575" spans="1:41">
      <c r="A575" s="12" t="s">
        <v>480</v>
      </c>
      <c r="B575" s="12"/>
      <c r="C575" s="12" t="s">
        <v>56</v>
      </c>
      <c r="D575" s="12"/>
      <c r="E575" s="12">
        <v>49247</v>
      </c>
      <c r="G575" s="7">
        <f>3313242+5925</f>
        <v>3319167</v>
      </c>
      <c r="I575" s="7">
        <v>0</v>
      </c>
      <c r="K575" s="2">
        <f t="shared" si="117"/>
        <v>4127979</v>
      </c>
      <c r="M575" s="7">
        <v>7447146</v>
      </c>
      <c r="O575" s="2">
        <f t="shared" si="118"/>
        <v>1327813</v>
      </c>
      <c r="Q575" s="7">
        <f>218195+3386188</f>
        <v>3604383</v>
      </c>
      <c r="S575" s="7">
        <v>4932196</v>
      </c>
      <c r="U575" s="7">
        <v>53087</v>
      </c>
      <c r="W575" s="7">
        <f>619829+390078+358532+915+21+9685+22432</f>
        <v>1401492</v>
      </c>
      <c r="Y575" s="7">
        <v>11000</v>
      </c>
      <c r="AA575" s="7">
        <f>301085+251366+1000+875135</f>
        <v>1428586</v>
      </c>
      <c r="AC575" s="7">
        <v>-379215</v>
      </c>
      <c r="AE575" s="13">
        <f t="shared" si="113"/>
        <v>2514950</v>
      </c>
      <c r="AG575" s="7">
        <f t="shared" si="114"/>
        <v>0</v>
      </c>
      <c r="AK575" s="7" t="str">
        <f t="shared" si="115"/>
        <v>Waterloo Local SD</v>
      </c>
      <c r="AL575" s="7" t="str">
        <f>GenExp!A575</f>
        <v>Waterloo Local SD</v>
      </c>
      <c r="AM575" s="7" t="b">
        <f t="shared" si="116"/>
        <v>1</v>
      </c>
      <c r="AN575" s="7" t="str">
        <f t="shared" si="110"/>
        <v>Portage</v>
      </c>
      <c r="AO575" s="7" t="b">
        <f>C575=GenExp!C575</f>
        <v>1</v>
      </c>
    </row>
    <row r="576" spans="1:41" ht="12" customHeight="1">
      <c r="A576" s="12" t="s">
        <v>889</v>
      </c>
      <c r="B576" s="12"/>
      <c r="C576" s="12" t="s">
        <v>28</v>
      </c>
      <c r="D576" s="12"/>
      <c r="E576" s="12">
        <v>45641</v>
      </c>
      <c r="G576" s="7">
        <f>13154718+64014</f>
        <v>13218732</v>
      </c>
      <c r="I576" s="7">
        <v>0</v>
      </c>
      <c r="K576" s="2">
        <f t="shared" si="117"/>
        <v>7321990</v>
      </c>
      <c r="M576" s="7">
        <v>20540722</v>
      </c>
      <c r="O576" s="2">
        <f t="shared" si="118"/>
        <v>2529944</v>
      </c>
      <c r="Q576" s="7">
        <f>227445+6344436</f>
        <v>6571881</v>
      </c>
      <c r="S576" s="7">
        <v>9101825</v>
      </c>
      <c r="U576" s="7">
        <f>42525+57595</f>
        <v>100120</v>
      </c>
      <c r="W576" s="7">
        <f>2963519+4898613+576042+368943+28025+14138+59197+2530</f>
        <v>8911007</v>
      </c>
      <c r="Y576" s="7">
        <v>11000</v>
      </c>
      <c r="AA576" s="7">
        <f>1290+12035+24139</f>
        <v>37464</v>
      </c>
      <c r="AC576" s="7">
        <v>2379306</v>
      </c>
      <c r="AE576" s="13">
        <f t="shared" si="113"/>
        <v>11438897</v>
      </c>
      <c r="AG576" s="7">
        <f t="shared" si="114"/>
        <v>0</v>
      </c>
      <c r="AK576" s="7" t="str">
        <f t="shared" si="115"/>
        <v>Wauseon Exempted Village SD</v>
      </c>
      <c r="AL576" s="7" t="str">
        <f>GenExp!A576</f>
        <v>Wauseon Exempted Village SD</v>
      </c>
      <c r="AM576" s="7" t="b">
        <f t="shared" si="116"/>
        <v>1</v>
      </c>
      <c r="AN576" s="7" t="str">
        <f t="shared" si="110"/>
        <v>Fulton</v>
      </c>
      <c r="AO576" s="7" t="b">
        <f>C576=GenExp!C576</f>
        <v>1</v>
      </c>
    </row>
    <row r="577" spans="1:41" ht="12" customHeight="1">
      <c r="A577" s="12" t="s">
        <v>472</v>
      </c>
      <c r="B577" s="12"/>
      <c r="C577" s="12" t="s">
        <v>55</v>
      </c>
      <c r="D577" s="12"/>
      <c r="E577" s="12">
        <v>49148</v>
      </c>
      <c r="G577" s="7">
        <v>3340110</v>
      </c>
      <c r="I577" s="7">
        <v>57076</v>
      </c>
      <c r="K577" s="2">
        <f t="shared" si="117"/>
        <v>5705971</v>
      </c>
      <c r="M577" s="7">
        <v>9103157</v>
      </c>
      <c r="O577" s="2">
        <f t="shared" si="118"/>
        <v>1979704</v>
      </c>
      <c r="Q577" s="7">
        <v>5087834</v>
      </c>
      <c r="S577" s="7">
        <v>7067538</v>
      </c>
      <c r="U577" s="7">
        <v>8435</v>
      </c>
      <c r="W577" s="7">
        <v>1752842</v>
      </c>
      <c r="Y577" s="7">
        <v>11000</v>
      </c>
      <c r="AA577" s="7">
        <v>435734</v>
      </c>
      <c r="AC577" s="7">
        <v>-172392</v>
      </c>
      <c r="AE577" s="13">
        <f t="shared" si="113"/>
        <v>2035619</v>
      </c>
      <c r="AG577" s="7">
        <f t="shared" si="114"/>
        <v>0</v>
      </c>
      <c r="AK577" s="7" t="str">
        <f t="shared" si="115"/>
        <v>Waverly City SD</v>
      </c>
      <c r="AL577" s="7" t="str">
        <f>GenExp!A577</f>
        <v>Waverly City SD</v>
      </c>
      <c r="AM577" s="7" t="b">
        <f t="shared" si="116"/>
        <v>1</v>
      </c>
      <c r="AN577" s="7" t="str">
        <f t="shared" si="110"/>
        <v>Pike</v>
      </c>
      <c r="AO577" s="7" t="b">
        <f>C577=GenExp!C577</f>
        <v>1</v>
      </c>
    </row>
    <row r="578" spans="1:41" hidden="1">
      <c r="A578" s="12" t="s">
        <v>747</v>
      </c>
      <c r="B578" s="12"/>
      <c r="C578" s="12" t="s">
        <v>69</v>
      </c>
      <c r="D578" s="12"/>
      <c r="E578" s="12">
        <v>50468</v>
      </c>
      <c r="K578" s="2">
        <f t="shared" si="117"/>
        <v>0</v>
      </c>
      <c r="O578" s="2">
        <f t="shared" si="118"/>
        <v>0</v>
      </c>
      <c r="AE578" s="13">
        <f t="shared" si="113"/>
        <v>0</v>
      </c>
      <c r="AG578" s="7">
        <f t="shared" si="114"/>
        <v>0</v>
      </c>
      <c r="AK578" s="7" t="str">
        <f t="shared" si="115"/>
        <v>Wayne Local SD (CASH)</v>
      </c>
      <c r="AL578" s="7" t="str">
        <f>GenExp!A578</f>
        <v>Wayne Local SD (CASH)</v>
      </c>
      <c r="AM578" s="7" t="b">
        <f t="shared" si="116"/>
        <v>1</v>
      </c>
      <c r="AN578" s="7" t="str">
        <f t="shared" si="110"/>
        <v>Warren</v>
      </c>
      <c r="AO578" s="7" t="b">
        <f>C578=GenExp!C578</f>
        <v>1</v>
      </c>
    </row>
    <row r="579" spans="1:41" hidden="1">
      <c r="A579" s="12" t="s">
        <v>926</v>
      </c>
      <c r="B579" s="12"/>
      <c r="C579" s="12" t="s">
        <v>465</v>
      </c>
      <c r="D579" s="12"/>
      <c r="E579" s="12">
        <v>49031</v>
      </c>
      <c r="K579" s="2">
        <f t="shared" si="117"/>
        <v>0</v>
      </c>
      <c r="O579" s="2">
        <f t="shared" si="118"/>
        <v>0</v>
      </c>
      <c r="AE579" s="13">
        <f t="shared" si="113"/>
        <v>0</v>
      </c>
      <c r="AG579" s="7">
        <f t="shared" si="114"/>
        <v>0</v>
      </c>
      <c r="AK579" s="7" t="str">
        <f t="shared" si="115"/>
        <v>Wayne Trace Local SD (CASH)</v>
      </c>
      <c r="AL579" s="7" t="str">
        <f>GenExp!A579</f>
        <v>Wayne Trace Local SD (CASH)</v>
      </c>
      <c r="AM579" s="7" t="b">
        <f t="shared" si="116"/>
        <v>1</v>
      </c>
      <c r="AN579" s="7" t="str">
        <f t="shared" si="110"/>
        <v>Paulding</v>
      </c>
      <c r="AO579" s="7" t="b">
        <f>C579=GenExp!C579</f>
        <v>1</v>
      </c>
    </row>
    <row r="580" spans="1:41" hidden="1">
      <c r="A580" s="12" t="s">
        <v>675</v>
      </c>
      <c r="B580" s="12"/>
      <c r="C580" s="12" t="s">
        <v>14</v>
      </c>
      <c r="D580" s="12"/>
      <c r="E580" s="12">
        <v>45971</v>
      </c>
      <c r="K580" s="2">
        <f t="shared" si="117"/>
        <v>0</v>
      </c>
      <c r="O580" s="2">
        <f t="shared" si="118"/>
        <v>0</v>
      </c>
      <c r="AE580" s="13">
        <f t="shared" si="113"/>
        <v>0</v>
      </c>
      <c r="AG580" s="7">
        <f t="shared" si="114"/>
        <v>0</v>
      </c>
      <c r="AK580" s="7" t="str">
        <f t="shared" si="115"/>
        <v>Waynesfield-Goshen Local SD  (CASH)</v>
      </c>
      <c r="AL580" s="7" t="str">
        <f>GenExp!A580</f>
        <v>Waynesfield-Goshen Local SD  (CASH)</v>
      </c>
      <c r="AM580" s="7" t="b">
        <f t="shared" si="116"/>
        <v>1</v>
      </c>
      <c r="AN580" s="7" t="str">
        <f t="shared" si="110"/>
        <v>Auglaize</v>
      </c>
      <c r="AO580" s="7" t="b">
        <f>C580=GenExp!C580</f>
        <v>1</v>
      </c>
    </row>
    <row r="581" spans="1:41">
      <c r="A581" s="12" t="s">
        <v>548</v>
      </c>
      <c r="B581" s="12"/>
      <c r="C581" s="12" t="s">
        <v>64</v>
      </c>
      <c r="D581" s="12"/>
      <c r="E581" s="12">
        <v>50252</v>
      </c>
      <c r="G581" s="7">
        <f>2349624+5063</f>
        <v>2354687</v>
      </c>
      <c r="I581" s="7">
        <v>0</v>
      </c>
      <c r="K581" s="2">
        <f t="shared" si="117"/>
        <v>3477224</v>
      </c>
      <c r="M581" s="7">
        <v>5831911</v>
      </c>
      <c r="O581" s="2">
        <f t="shared" si="118"/>
        <v>994654</v>
      </c>
      <c r="Q581" s="7">
        <f>692268+2679943</f>
        <v>3372211</v>
      </c>
      <c r="S581" s="7">
        <v>4366865</v>
      </c>
      <c r="U581" s="7">
        <f>21464+28480</f>
        <v>49944</v>
      </c>
      <c r="W581" s="7">
        <f>260585+124742+2727+76301</f>
        <v>464355</v>
      </c>
      <c r="Y581" s="7">
        <v>16535</v>
      </c>
      <c r="AA581" s="7">
        <f>1000+139827+212809</f>
        <v>353636</v>
      </c>
      <c r="AC581" s="7">
        <v>580576</v>
      </c>
      <c r="AE581" s="13">
        <f t="shared" si="113"/>
        <v>1465046</v>
      </c>
      <c r="AG581" s="7">
        <f t="shared" si="114"/>
        <v>0</v>
      </c>
      <c r="AK581" s="7" t="str">
        <f t="shared" si="115"/>
        <v>Weathersfield Local SD</v>
      </c>
      <c r="AL581" s="7" t="str">
        <f>GenExp!A581</f>
        <v>Weathersfield Local SD</v>
      </c>
      <c r="AM581" s="7" t="b">
        <f t="shared" si="116"/>
        <v>1</v>
      </c>
      <c r="AN581" s="7" t="str">
        <f t="shared" si="110"/>
        <v>Trumbull</v>
      </c>
      <c r="AO581" s="7" t="b">
        <f>C581=GenExp!C581</f>
        <v>1</v>
      </c>
    </row>
    <row r="582" spans="1:41">
      <c r="A582" s="12" t="s">
        <v>890</v>
      </c>
      <c r="B582" s="12"/>
      <c r="C582" s="12" t="s">
        <v>44</v>
      </c>
      <c r="D582" s="12"/>
      <c r="E582" s="12">
        <v>45658</v>
      </c>
      <c r="G582" s="7">
        <f>5818237+14552</f>
        <v>5832789</v>
      </c>
      <c r="I582" s="7">
        <v>0</v>
      </c>
      <c r="K582" s="2">
        <f t="shared" si="117"/>
        <v>4610514</v>
      </c>
      <c r="M582" s="7">
        <v>10443303</v>
      </c>
      <c r="O582" s="2">
        <f t="shared" si="118"/>
        <v>1791859</v>
      </c>
      <c r="Q582" s="7">
        <v>3462159</v>
      </c>
      <c r="S582" s="7">
        <v>5254018</v>
      </c>
      <c r="U582" s="7">
        <v>50630</v>
      </c>
      <c r="W582" s="7">
        <v>1332695</v>
      </c>
      <c r="Y582" s="7">
        <v>0</v>
      </c>
      <c r="AA582" s="7">
        <v>3030647</v>
      </c>
      <c r="AC582" s="7">
        <v>775313</v>
      </c>
      <c r="AE582" s="13">
        <f t="shared" si="113"/>
        <v>5189285</v>
      </c>
      <c r="AG582" s="7">
        <f t="shared" si="114"/>
        <v>0</v>
      </c>
      <c r="AK582" s="7" t="str">
        <f t="shared" si="115"/>
        <v>Wellington Exempted Village SD</v>
      </c>
      <c r="AL582" s="7" t="str">
        <f>GenExp!A582</f>
        <v>Wellington Exempted Village SD</v>
      </c>
      <c r="AM582" s="7" t="b">
        <f t="shared" si="116"/>
        <v>1</v>
      </c>
      <c r="AN582" s="7" t="str">
        <f t="shared" si="110"/>
        <v>Lorain</v>
      </c>
      <c r="AO582" s="7" t="b">
        <f>C582=GenExp!C582</f>
        <v>1</v>
      </c>
    </row>
    <row r="583" spans="1:41">
      <c r="A583" s="12" t="s">
        <v>371</v>
      </c>
      <c r="B583" s="12"/>
      <c r="C583" s="12" t="s">
        <v>38</v>
      </c>
      <c r="D583" s="12"/>
      <c r="E583" s="12">
        <v>45021</v>
      </c>
      <c r="G583" s="7">
        <f>12844764+31216</f>
        <v>12875980</v>
      </c>
      <c r="I583" s="7">
        <v>74339</v>
      </c>
      <c r="K583" s="2">
        <f t="shared" si="117"/>
        <v>4771908</v>
      </c>
      <c r="M583" s="7">
        <v>17722227</v>
      </c>
      <c r="O583" s="2">
        <f t="shared" si="118"/>
        <v>2300702</v>
      </c>
      <c r="Q583" s="7">
        <v>4108518</v>
      </c>
      <c r="S583" s="7">
        <v>6409220</v>
      </c>
      <c r="U583" s="7">
        <v>22739</v>
      </c>
      <c r="W583" s="7">
        <v>5253269</v>
      </c>
      <c r="Y583" s="7">
        <v>169683</v>
      </c>
      <c r="AA583" s="7">
        <v>138134</v>
      </c>
      <c r="AC583" s="7">
        <v>5729182</v>
      </c>
      <c r="AE583" s="13">
        <f t="shared" si="113"/>
        <v>11313007</v>
      </c>
      <c r="AG583" s="7">
        <f t="shared" si="114"/>
        <v>0</v>
      </c>
      <c r="AK583" s="7" t="str">
        <f t="shared" si="115"/>
        <v>Wellston City SD</v>
      </c>
      <c r="AL583" s="7" t="str">
        <f>GenExp!A583</f>
        <v>Wellston City SD</v>
      </c>
      <c r="AM583" s="7" t="b">
        <f t="shared" si="116"/>
        <v>1</v>
      </c>
      <c r="AN583" s="7" t="str">
        <f t="shared" si="110"/>
        <v>Jackson</v>
      </c>
      <c r="AO583" s="7" t="b">
        <f>C583=GenExp!C583</f>
        <v>1</v>
      </c>
    </row>
    <row r="584" spans="1:41">
      <c r="A584" s="12" t="s">
        <v>258</v>
      </c>
      <c r="B584" s="12"/>
      <c r="C584" s="12" t="s">
        <v>112</v>
      </c>
      <c r="D584" s="12"/>
      <c r="E584" s="12">
        <v>45039</v>
      </c>
      <c r="G584" s="7">
        <v>3364206</v>
      </c>
      <c r="I584" s="7">
        <v>55942</v>
      </c>
      <c r="K584" s="2">
        <f t="shared" si="117"/>
        <v>2355964</v>
      </c>
      <c r="M584" s="7">
        <v>5776112</v>
      </c>
      <c r="O584" s="2">
        <f t="shared" si="118"/>
        <v>1174746</v>
      </c>
      <c r="Q584" s="7">
        <f>359509+1174965</f>
        <v>1534474</v>
      </c>
      <c r="S584" s="7">
        <v>2709220</v>
      </c>
      <c r="U584" s="7">
        <f>4289+19472</f>
        <v>23761</v>
      </c>
      <c r="W584" s="7">
        <f>173622+484069+320897+28853+284+7553+67474+25172+6884+549058</f>
        <v>1663866</v>
      </c>
      <c r="Y584" s="7">
        <f>421654+11000</f>
        <v>432654</v>
      </c>
      <c r="AA584" s="7">
        <f>386+7846+2741</f>
        <v>10973</v>
      </c>
      <c r="AC584" s="7">
        <v>935638</v>
      </c>
      <c r="AE584" s="13">
        <f t="shared" si="113"/>
        <v>3066892</v>
      </c>
      <c r="AG584" s="7">
        <f t="shared" si="114"/>
        <v>0</v>
      </c>
      <c r="AK584" s="7" t="str">
        <f t="shared" si="115"/>
        <v>Wellsville Local SD</v>
      </c>
      <c r="AL584" s="7" t="str">
        <f>GenExp!A584</f>
        <v>Wellsville Local SD</v>
      </c>
      <c r="AM584" s="7" t="b">
        <f t="shared" si="116"/>
        <v>1</v>
      </c>
      <c r="AN584" s="7" t="str">
        <f t="shared" si="110"/>
        <v>Columbiana</v>
      </c>
      <c r="AO584" s="7" t="b">
        <f>C584=GenExp!C584</f>
        <v>1</v>
      </c>
    </row>
    <row r="585" spans="1:41">
      <c r="A585" s="12" t="s">
        <v>421</v>
      </c>
      <c r="B585" s="12"/>
      <c r="C585" s="12" t="s">
        <v>45</v>
      </c>
      <c r="D585" s="12"/>
      <c r="E585" s="12">
        <v>48389</v>
      </c>
      <c r="G585" s="7">
        <v>6584624</v>
      </c>
      <c r="I585" s="7">
        <v>0</v>
      </c>
      <c r="K585" s="2">
        <f t="shared" si="117"/>
        <v>6618980</v>
      </c>
      <c r="M585" s="7">
        <v>13203604</v>
      </c>
      <c r="O585" s="2">
        <f t="shared" si="118"/>
        <v>3322170</v>
      </c>
      <c r="Q585" s="7">
        <f>1610591+4644628</f>
        <v>6255219</v>
      </c>
      <c r="S585" s="7">
        <v>9577389</v>
      </c>
      <c r="U585" s="7">
        <f>40374+39742</f>
        <v>80116</v>
      </c>
      <c r="W585" s="7">
        <f>597790+527801+335950+321747+21097+12201+39486</f>
        <v>1856072</v>
      </c>
      <c r="Y585" s="7">
        <f>106173+162470</f>
        <v>268643</v>
      </c>
      <c r="AA585" s="7">
        <f>6149+99184+4213</f>
        <v>109546</v>
      </c>
      <c r="AC585" s="7">
        <v>1311838</v>
      </c>
      <c r="AE585" s="13">
        <f t="shared" si="113"/>
        <v>3626215</v>
      </c>
      <c r="AG585" s="7">
        <f t="shared" si="114"/>
        <v>0</v>
      </c>
      <c r="AK585" s="7" t="str">
        <f t="shared" si="115"/>
        <v>West Branch Local SD</v>
      </c>
      <c r="AL585" s="7" t="str">
        <f>GenExp!A585</f>
        <v>West Branch Local SD</v>
      </c>
      <c r="AM585" s="7" t="b">
        <f t="shared" si="116"/>
        <v>1</v>
      </c>
      <c r="AN585" s="7" t="str">
        <f t="shared" si="110"/>
        <v>Mahoning</v>
      </c>
      <c r="AO585" s="7" t="b">
        <f>C585=GenExp!C585</f>
        <v>1</v>
      </c>
    </row>
    <row r="586" spans="1:41">
      <c r="A586" s="12" t="s">
        <v>746</v>
      </c>
      <c r="B586" s="12"/>
      <c r="C586" s="12" t="s">
        <v>50</v>
      </c>
      <c r="D586" s="12"/>
      <c r="E586" s="12"/>
      <c r="G586" s="7">
        <v>17592071</v>
      </c>
      <c r="I586" s="7">
        <v>0</v>
      </c>
      <c r="K586" s="2">
        <f t="shared" si="117"/>
        <v>19339641</v>
      </c>
      <c r="M586" s="7">
        <v>36931712</v>
      </c>
      <c r="O586" s="2">
        <f t="shared" si="118"/>
        <v>4717235</v>
      </c>
      <c r="Q586" s="7">
        <f>15622465+1816968</f>
        <v>17439433</v>
      </c>
      <c r="S586" s="7">
        <v>22156668</v>
      </c>
      <c r="U586" s="7">
        <f>24868+202320</f>
        <v>227188</v>
      </c>
      <c r="W586" s="7">
        <f>416132+628793+21623+40627+6431+81164</f>
        <v>1194770</v>
      </c>
      <c r="Y586" s="7">
        <v>0</v>
      </c>
      <c r="AA586" s="7">
        <f>223009+246803+379+294665</f>
        <v>764856</v>
      </c>
      <c r="AC586" s="7">
        <v>12588230</v>
      </c>
      <c r="AE586" s="13">
        <f t="shared" si="113"/>
        <v>14775044</v>
      </c>
      <c r="AG586" s="7">
        <f t="shared" si="114"/>
        <v>0</v>
      </c>
      <c r="AK586" s="7" t="str">
        <f t="shared" si="115"/>
        <v>West Carrollton City SD</v>
      </c>
      <c r="AL586" s="7" t="str">
        <f>GenExp!A586</f>
        <v>West Carrollton City SD</v>
      </c>
      <c r="AM586" s="7" t="b">
        <f t="shared" si="116"/>
        <v>1</v>
      </c>
      <c r="AN586" s="7" t="str">
        <f t="shared" si="110"/>
        <v>Montgomery</v>
      </c>
      <c r="AO586" s="7" t="b">
        <f>C586=GenExp!C586</f>
        <v>1</v>
      </c>
    </row>
    <row r="587" spans="1:41">
      <c r="A587" s="12" t="s">
        <v>246</v>
      </c>
      <c r="B587" s="12"/>
      <c r="C587" s="12" t="s">
        <v>113</v>
      </c>
      <c r="D587" s="12"/>
      <c r="E587" s="12">
        <v>46359</v>
      </c>
      <c r="G587" s="7">
        <v>10387267</v>
      </c>
      <c r="I587" s="7">
        <v>0</v>
      </c>
      <c r="K587" s="2">
        <f t="shared" si="117"/>
        <v>47473096</v>
      </c>
      <c r="M587" s="7">
        <v>57860363</v>
      </c>
      <c r="O587" s="2">
        <f t="shared" si="118"/>
        <v>9619679</v>
      </c>
      <c r="Q587" s="7">
        <v>35306375</v>
      </c>
      <c r="S587" s="7">
        <v>44926054</v>
      </c>
      <c r="U587" s="7">
        <v>79813</v>
      </c>
      <c r="W587" s="7">
        <v>9441938</v>
      </c>
      <c r="Y587" s="7">
        <v>1932463</v>
      </c>
      <c r="AA587" s="7">
        <v>0</v>
      </c>
      <c r="AC587" s="7">
        <v>1480095</v>
      </c>
      <c r="AE587" s="13">
        <f t="shared" si="113"/>
        <v>12934309</v>
      </c>
      <c r="AG587" s="7">
        <f t="shared" si="114"/>
        <v>0</v>
      </c>
      <c r="AK587" s="7" t="str">
        <f t="shared" si="115"/>
        <v>West Clermont Local SD</v>
      </c>
      <c r="AL587" s="7" t="str">
        <f>GenExp!A587</f>
        <v>West Clermont Local SD</v>
      </c>
      <c r="AM587" s="7" t="b">
        <f t="shared" si="116"/>
        <v>1</v>
      </c>
      <c r="AN587" s="7" t="str">
        <f t="shared" si="110"/>
        <v>Clermont</v>
      </c>
      <c r="AO587" s="7" t="b">
        <f>C587=GenExp!C587</f>
        <v>1</v>
      </c>
    </row>
    <row r="588" spans="1:41">
      <c r="A588" s="12" t="s">
        <v>324</v>
      </c>
      <c r="B588" s="12"/>
      <c r="C588" s="12" t="s">
        <v>30</v>
      </c>
      <c r="D588" s="12"/>
      <c r="E588" s="12">
        <v>47225</v>
      </c>
      <c r="G588" s="7">
        <v>7255653</v>
      </c>
      <c r="I588" s="7">
        <v>783134</v>
      </c>
      <c r="K588" s="2">
        <f t="shared" si="117"/>
        <v>19988524</v>
      </c>
      <c r="M588" s="7">
        <v>28027311</v>
      </c>
      <c r="O588" s="2">
        <f t="shared" si="118"/>
        <v>2777608</v>
      </c>
      <c r="Q588" s="7">
        <v>17902901</v>
      </c>
      <c r="S588" s="7">
        <v>20680509</v>
      </c>
      <c r="U588" s="7">
        <v>41603</v>
      </c>
      <c r="W588" s="7">
        <v>2188806</v>
      </c>
      <c r="Y588" s="7">
        <v>249724</v>
      </c>
      <c r="AA588" s="7">
        <v>3506373</v>
      </c>
      <c r="AC588" s="7">
        <v>1360296</v>
      </c>
      <c r="AE588" s="13">
        <f t="shared" si="113"/>
        <v>7346802</v>
      </c>
      <c r="AG588" s="7">
        <f t="shared" si="114"/>
        <v>0</v>
      </c>
      <c r="AK588" s="7" t="str">
        <f t="shared" si="115"/>
        <v>West Geauga Local SD</v>
      </c>
      <c r="AL588" s="7" t="str">
        <f>GenExp!A588</f>
        <v>West Geauga Local SD</v>
      </c>
      <c r="AM588" s="7" t="b">
        <f t="shared" si="116"/>
        <v>1</v>
      </c>
      <c r="AN588" s="7" t="str">
        <f t="shared" si="110"/>
        <v>Geauga</v>
      </c>
      <c r="AO588" s="7" t="b">
        <f>C588=GenExp!C588</f>
        <v>1</v>
      </c>
    </row>
    <row r="589" spans="1:41">
      <c r="A589" s="12" t="s">
        <v>364</v>
      </c>
      <c r="B589" s="12"/>
      <c r="C589" s="12" t="s">
        <v>36</v>
      </c>
      <c r="D589" s="12"/>
      <c r="E589" s="12">
        <v>47696</v>
      </c>
      <c r="G589" s="7">
        <v>13115620</v>
      </c>
      <c r="I589" s="7">
        <v>0</v>
      </c>
      <c r="K589" s="2">
        <f t="shared" si="117"/>
        <v>11303040</v>
      </c>
      <c r="M589" s="7">
        <v>24418660</v>
      </c>
      <c r="O589" s="2">
        <f t="shared" si="118"/>
        <v>3804119</v>
      </c>
      <c r="Q589" s="7">
        <v>9969981</v>
      </c>
      <c r="S589" s="7">
        <v>13774100</v>
      </c>
      <c r="U589" s="7">
        <v>342437</v>
      </c>
      <c r="W589" s="7">
        <v>1776607</v>
      </c>
      <c r="Y589" s="7">
        <v>0</v>
      </c>
      <c r="AA589" s="7">
        <v>402843</v>
      </c>
      <c r="AC589" s="7">
        <v>8122673</v>
      </c>
      <c r="AE589" s="13">
        <f t="shared" si="113"/>
        <v>10644560</v>
      </c>
      <c r="AG589" s="7">
        <f t="shared" si="114"/>
        <v>0</v>
      </c>
      <c r="AK589" s="7" t="str">
        <f t="shared" si="115"/>
        <v>West Holmes Local SD</v>
      </c>
      <c r="AL589" s="7" t="str">
        <f>GenExp!A589</f>
        <v>West Holmes Local SD</v>
      </c>
      <c r="AM589" s="7" t="b">
        <f t="shared" si="116"/>
        <v>1</v>
      </c>
      <c r="AN589" s="7" t="str">
        <f t="shared" si="110"/>
        <v>Holmes</v>
      </c>
      <c r="AO589" s="7" t="b">
        <f>C589=GenExp!C589</f>
        <v>1</v>
      </c>
    </row>
    <row r="590" spans="1:41">
      <c r="A590" s="12" t="s">
        <v>235</v>
      </c>
      <c r="B590" s="12"/>
      <c r="C590" s="12" t="s">
        <v>232</v>
      </c>
      <c r="D590" s="12"/>
      <c r="E590" s="12">
        <v>46219</v>
      </c>
      <c r="G590" s="7">
        <f>1376254+1107002</f>
        <v>2483256</v>
      </c>
      <c r="I590" s="7">
        <v>0</v>
      </c>
      <c r="K590" s="2">
        <f t="shared" si="117"/>
        <v>3143935</v>
      </c>
      <c r="M590" s="7">
        <v>5627191</v>
      </c>
      <c r="O590" s="2">
        <f t="shared" si="118"/>
        <v>1834986</v>
      </c>
      <c r="Q590" s="7">
        <f>202307+1414214</f>
        <v>1616521</v>
      </c>
      <c r="S590" s="7">
        <v>3451507</v>
      </c>
      <c r="U590" s="7">
        <v>15691</v>
      </c>
      <c r="W590" s="7">
        <f>2057+161881+10641+97391+44129+38599</f>
        <v>354698</v>
      </c>
      <c r="Y590" s="7">
        <f>317391+10569</f>
        <v>327960</v>
      </c>
      <c r="AA590" s="7">
        <f>9004+18961+3609+50207</f>
        <v>81781</v>
      </c>
      <c r="AC590" s="7">
        <f>1388067+7487</f>
        <v>1395554</v>
      </c>
      <c r="AE590" s="13">
        <f t="shared" si="113"/>
        <v>2175684</v>
      </c>
      <c r="AG590" s="7">
        <f t="shared" si="114"/>
        <v>0</v>
      </c>
      <c r="AK590" s="7" t="str">
        <f t="shared" si="115"/>
        <v>West Liberty-Salem Local SD</v>
      </c>
      <c r="AL590" s="7" t="str">
        <f>GenExp!A590</f>
        <v>West Liberty-Salem Local SD</v>
      </c>
      <c r="AM590" s="7" t="b">
        <f t="shared" si="116"/>
        <v>1</v>
      </c>
      <c r="AN590" s="7" t="str">
        <f t="shared" si="110"/>
        <v>Champaign</v>
      </c>
      <c r="AO590" s="7" t="b">
        <f>C590=GenExp!C590</f>
        <v>1</v>
      </c>
    </row>
    <row r="591" spans="1:41">
      <c r="A591" s="12" t="s">
        <v>460</v>
      </c>
      <c r="B591" s="12"/>
      <c r="C591" s="12" t="s">
        <v>51</v>
      </c>
      <c r="D591" s="12"/>
      <c r="E591" s="12">
        <v>48884</v>
      </c>
      <c r="G591" s="7">
        <f>5692808+91</f>
        <v>5692899</v>
      </c>
      <c r="I591" s="7">
        <v>0</v>
      </c>
      <c r="K591" s="2">
        <f t="shared" si="117"/>
        <v>8296504</v>
      </c>
      <c r="M591" s="7">
        <v>13989403</v>
      </c>
      <c r="O591" s="2">
        <f t="shared" si="118"/>
        <v>1759460</v>
      </c>
      <c r="Q591" s="7">
        <v>7605319</v>
      </c>
      <c r="S591" s="7">
        <v>9364779</v>
      </c>
      <c r="U591" s="7">
        <v>92895</v>
      </c>
      <c r="W591" s="7">
        <v>2350626</v>
      </c>
      <c r="Y591" s="7">
        <v>37536</v>
      </c>
      <c r="AA591" s="7">
        <v>2769354</v>
      </c>
      <c r="AC591" s="7">
        <v>-625787</v>
      </c>
      <c r="AE591" s="13">
        <f t="shared" si="113"/>
        <v>4624624</v>
      </c>
      <c r="AG591" s="7">
        <f t="shared" si="114"/>
        <v>0</v>
      </c>
      <c r="AK591" s="7" t="str">
        <f t="shared" si="115"/>
        <v>West Muskingum Local SD</v>
      </c>
      <c r="AL591" s="7" t="str">
        <f>GenExp!A591</f>
        <v>West Muskingum Local SD</v>
      </c>
      <c r="AM591" s="7" t="b">
        <f t="shared" si="116"/>
        <v>1</v>
      </c>
      <c r="AN591" s="7" t="str">
        <f t="shared" si="110"/>
        <v>Muskingum</v>
      </c>
      <c r="AO591" s="7" t="b">
        <f>C591=GenExp!C591</f>
        <v>1</v>
      </c>
    </row>
    <row r="592" spans="1:41">
      <c r="A592" s="12" t="s">
        <v>222</v>
      </c>
      <c r="B592" s="12"/>
      <c r="C592" s="12" t="s">
        <v>77</v>
      </c>
      <c r="D592" s="12"/>
      <c r="E592" s="12">
        <v>46060</v>
      </c>
      <c r="G592" s="7">
        <f>4887239+5000</f>
        <v>4892239</v>
      </c>
      <c r="I592" s="7">
        <v>1321337</v>
      </c>
      <c r="K592" s="2">
        <f t="shared" si="117"/>
        <v>5442633</v>
      </c>
      <c r="M592" s="7">
        <v>11656209</v>
      </c>
      <c r="O592" s="2">
        <f t="shared" si="118"/>
        <v>3126081</v>
      </c>
      <c r="Q592" s="7">
        <v>4093188</v>
      </c>
      <c r="S592" s="7">
        <v>7219269</v>
      </c>
      <c r="U592" s="7">
        <v>10911</v>
      </c>
      <c r="W592" s="7">
        <v>5073018</v>
      </c>
      <c r="Y592" s="7">
        <v>0</v>
      </c>
      <c r="AA592" s="7">
        <v>131813</v>
      </c>
      <c r="AC592" s="7">
        <v>-778802</v>
      </c>
      <c r="AE592" s="13">
        <f t="shared" si="113"/>
        <v>4436940</v>
      </c>
      <c r="AG592" s="7">
        <f t="shared" si="114"/>
        <v>0</v>
      </c>
      <c r="AK592" s="7" t="str">
        <f t="shared" si="115"/>
        <v>Western Brown Local SD</v>
      </c>
      <c r="AL592" s="7" t="str">
        <f>GenExp!A592</f>
        <v>Western Brown Local SD</v>
      </c>
      <c r="AM592" s="7" t="b">
        <f t="shared" si="116"/>
        <v>1</v>
      </c>
      <c r="AN592" s="7" t="str">
        <f t="shared" ref="AN592:AN618" si="121">C592</f>
        <v>Brown</v>
      </c>
      <c r="AO592" s="7" t="b">
        <f>C592=GenExp!C592</f>
        <v>1</v>
      </c>
    </row>
    <row r="593" spans="1:41">
      <c r="A593" s="12" t="s">
        <v>473</v>
      </c>
      <c r="B593" s="12"/>
      <c r="C593" s="12" t="s">
        <v>55</v>
      </c>
      <c r="D593" s="12"/>
      <c r="E593" s="12">
        <v>49155</v>
      </c>
      <c r="G593" s="7">
        <v>4843972</v>
      </c>
      <c r="I593" s="7">
        <v>0</v>
      </c>
      <c r="K593" s="2">
        <f t="shared" si="117"/>
        <v>2052472</v>
      </c>
      <c r="M593" s="7">
        <v>6896444</v>
      </c>
      <c r="O593" s="2">
        <f t="shared" si="118"/>
        <v>1220532</v>
      </c>
      <c r="Q593" s="7">
        <v>1581127</v>
      </c>
      <c r="S593" s="7">
        <v>2801659</v>
      </c>
      <c r="U593" s="7">
        <v>0</v>
      </c>
      <c r="W593" s="7">
        <v>1162328</v>
      </c>
      <c r="Y593" s="7">
        <v>0</v>
      </c>
      <c r="AA593" s="7">
        <v>133701</v>
      </c>
      <c r="AC593" s="7">
        <v>2798756</v>
      </c>
      <c r="AE593" s="13">
        <f t="shared" si="113"/>
        <v>4094785</v>
      </c>
      <c r="AG593" s="7">
        <f t="shared" si="114"/>
        <v>0</v>
      </c>
      <c r="AK593" s="7" t="str">
        <f t="shared" si="115"/>
        <v>Western Local SD</v>
      </c>
      <c r="AL593" s="7" t="str">
        <f>GenExp!A593</f>
        <v>Western Local SD</v>
      </c>
      <c r="AM593" s="7" t="b">
        <f t="shared" si="116"/>
        <v>1</v>
      </c>
      <c r="AN593" s="7" t="str">
        <f t="shared" si="121"/>
        <v>Pike</v>
      </c>
      <c r="AO593" s="7" t="b">
        <f>C593=GenExp!C593</f>
        <v>1</v>
      </c>
    </row>
    <row r="594" spans="1:41">
      <c r="A594" s="12" t="s">
        <v>369</v>
      </c>
      <c r="B594" s="12"/>
      <c r="C594" s="12" t="s">
        <v>37</v>
      </c>
      <c r="D594" s="12"/>
      <c r="E594" s="12">
        <v>47746</v>
      </c>
      <c r="G594" s="7">
        <f>2333251+2767</f>
        <v>2336018</v>
      </c>
      <c r="I594" s="7">
        <v>22459</v>
      </c>
      <c r="K594" s="2">
        <f t="shared" si="117"/>
        <v>3464364</v>
      </c>
      <c r="M594" s="7">
        <v>5822841</v>
      </c>
      <c r="O594" s="2">
        <f t="shared" si="118"/>
        <v>1339970</v>
      </c>
      <c r="Q594" s="7">
        <f>238357+2227973</f>
        <v>2466330</v>
      </c>
      <c r="S594" s="7">
        <v>3806300</v>
      </c>
      <c r="U594" s="7">
        <f>5367+23832</f>
        <v>29199</v>
      </c>
      <c r="W594" s="7">
        <f>401442+232958+61203+59029+16122+13148+82937+22459+374</f>
        <v>889672</v>
      </c>
      <c r="Y594" s="7">
        <v>225000</v>
      </c>
      <c r="AA594" s="7">
        <f>4188+48947+21788+5589</f>
        <v>80512</v>
      </c>
      <c r="AC594" s="7">
        <v>792158</v>
      </c>
      <c r="AE594" s="13">
        <f t="shared" si="113"/>
        <v>2016541</v>
      </c>
      <c r="AG594" s="7">
        <f t="shared" si="114"/>
        <v>0</v>
      </c>
      <c r="AK594" s="7" t="str">
        <f t="shared" si="115"/>
        <v>Western Reserve Local SD</v>
      </c>
      <c r="AL594" s="7" t="str">
        <f>GenExp!A594</f>
        <v>Western Reserve Local SD</v>
      </c>
      <c r="AM594" s="7" t="b">
        <f t="shared" si="116"/>
        <v>1</v>
      </c>
      <c r="AN594" s="7" t="str">
        <f t="shared" si="121"/>
        <v>Huron</v>
      </c>
      <c r="AO594" s="7" t="b">
        <f>C594=GenExp!C594</f>
        <v>1</v>
      </c>
    </row>
    <row r="595" spans="1:41">
      <c r="A595" s="12" t="s">
        <v>369</v>
      </c>
      <c r="B595" s="12"/>
      <c r="C595" s="12" t="s">
        <v>45</v>
      </c>
      <c r="D595" s="12"/>
      <c r="E595" s="12">
        <v>48397</v>
      </c>
      <c r="G595" s="7">
        <v>9071893</v>
      </c>
      <c r="I595" s="7">
        <v>250100</v>
      </c>
      <c r="K595" s="2">
        <f t="shared" si="117"/>
        <v>4054148</v>
      </c>
      <c r="M595" s="7">
        <v>13376141</v>
      </c>
      <c r="O595" s="2">
        <f t="shared" si="118"/>
        <v>2308526</v>
      </c>
      <c r="Q595" s="7">
        <v>3914229</v>
      </c>
      <c r="S595" s="7">
        <v>6222755</v>
      </c>
      <c r="U595" s="7">
        <v>79325</v>
      </c>
      <c r="W595" s="7">
        <v>6132430</v>
      </c>
      <c r="Y595" s="7">
        <v>118762</v>
      </c>
      <c r="AA595" s="7">
        <v>35606</v>
      </c>
      <c r="AC595" s="7">
        <v>787263</v>
      </c>
      <c r="AE595" s="13">
        <f t="shared" si="113"/>
        <v>7153386</v>
      </c>
      <c r="AG595" s="7">
        <f t="shared" si="114"/>
        <v>0</v>
      </c>
      <c r="AK595" s="7" t="str">
        <f t="shared" si="115"/>
        <v>Western Reserve Local SD</v>
      </c>
      <c r="AL595" s="7" t="str">
        <f>GenExp!A595</f>
        <v>Western Reserve Local SD</v>
      </c>
      <c r="AM595" s="7" t="b">
        <f t="shared" si="116"/>
        <v>1</v>
      </c>
      <c r="AN595" s="7" t="str">
        <f t="shared" si="121"/>
        <v>Mahoning</v>
      </c>
      <c r="AO595" s="7" t="b">
        <f>C595=GenExp!C595</f>
        <v>1</v>
      </c>
    </row>
    <row r="596" spans="1:41">
      <c r="A596" s="12" t="s">
        <v>315</v>
      </c>
      <c r="B596" s="12"/>
      <c r="C596" s="12" t="s">
        <v>27</v>
      </c>
      <c r="D596" s="12"/>
      <c r="E596" s="12">
        <v>45047</v>
      </c>
      <c r="G596" s="7">
        <v>51020098</v>
      </c>
      <c r="I596" s="7">
        <v>33202</v>
      </c>
      <c r="K596" s="2">
        <f t="shared" si="117"/>
        <v>95220655</v>
      </c>
      <c r="M596" s="7">
        <v>146273955</v>
      </c>
      <c r="O596" s="2">
        <f t="shared" si="118"/>
        <v>22358233</v>
      </c>
      <c r="Q596" s="7">
        <v>77420860</v>
      </c>
      <c r="S596" s="7">
        <v>99779093</v>
      </c>
      <c r="U596" s="7">
        <v>129124</v>
      </c>
      <c r="W596" s="7">
        <f>7964302+11866584+1497+50003+34637+71509</f>
        <v>19988532</v>
      </c>
      <c r="Y596" s="7">
        <f>259102+764931</f>
        <v>1024033</v>
      </c>
      <c r="AA596" s="7">
        <v>790544</v>
      </c>
      <c r="AC596" s="7">
        <v>24562629</v>
      </c>
      <c r="AE596" s="13">
        <f t="shared" ref="AE596:AE618" si="122">U596+W596+Y596+AA596+AC596</f>
        <v>46494862</v>
      </c>
      <c r="AG596" s="7">
        <f t="shared" ref="AG596:AG618" si="123">+G596+I596+K596-O596-Q596-Y596-W596-U596-AA596-AC596</f>
        <v>0</v>
      </c>
      <c r="AK596" s="7" t="str">
        <f t="shared" ref="AK596:AK618" si="124">A596</f>
        <v>Westerville City SD</v>
      </c>
      <c r="AL596" s="7" t="str">
        <f>GenExp!A596</f>
        <v>Westerville City SD</v>
      </c>
      <c r="AM596" s="7" t="b">
        <f t="shared" ref="AM596:AM618" si="125">AK596=AL596</f>
        <v>1</v>
      </c>
      <c r="AN596" s="7" t="str">
        <f t="shared" si="121"/>
        <v>Franklin</v>
      </c>
      <c r="AO596" s="7" t="b">
        <f>C596=GenExp!C596</f>
        <v>1</v>
      </c>
    </row>
    <row r="597" spans="1:41">
      <c r="A597" s="12" t="s">
        <v>470</v>
      </c>
      <c r="B597" s="12"/>
      <c r="C597" s="12" t="s">
        <v>54</v>
      </c>
      <c r="D597" s="12"/>
      <c r="E597" s="12">
        <v>49106</v>
      </c>
      <c r="G597" s="7">
        <v>6198521</v>
      </c>
      <c r="I597" s="7">
        <v>354177</v>
      </c>
      <c r="K597" s="2">
        <f t="shared" si="117"/>
        <v>6918642</v>
      </c>
      <c r="M597" s="7">
        <v>13471340</v>
      </c>
      <c r="O597" s="2">
        <f t="shared" si="118"/>
        <v>1905085</v>
      </c>
      <c r="Q597" s="7">
        <v>4500787</v>
      </c>
      <c r="S597" s="7">
        <v>6405872</v>
      </c>
      <c r="U597" s="7">
        <v>0</v>
      </c>
      <c r="W597" s="7">
        <v>3884166</v>
      </c>
      <c r="Y597" s="7">
        <v>0</v>
      </c>
      <c r="AA597" s="7">
        <v>223894</v>
      </c>
      <c r="AC597" s="7">
        <v>2957408</v>
      </c>
      <c r="AE597" s="13">
        <f t="shared" si="122"/>
        <v>7065468</v>
      </c>
      <c r="AG597" s="7">
        <f t="shared" si="123"/>
        <v>0</v>
      </c>
      <c r="AK597" s="7" t="str">
        <f t="shared" si="124"/>
        <v>Westfall Local SD</v>
      </c>
      <c r="AL597" s="7" t="str">
        <f>GenExp!A597</f>
        <v>Westfall Local SD</v>
      </c>
      <c r="AM597" s="7" t="b">
        <f t="shared" si="125"/>
        <v>1</v>
      </c>
      <c r="AN597" s="7" t="str">
        <f t="shared" si="121"/>
        <v>Pickaway</v>
      </c>
      <c r="AO597" s="7" t="b">
        <f>C597=GenExp!C597</f>
        <v>1</v>
      </c>
    </row>
    <row r="598" spans="1:41">
      <c r="A598" s="12" t="s">
        <v>287</v>
      </c>
      <c r="B598" s="12"/>
      <c r="C598" s="12" t="s">
        <v>20</v>
      </c>
      <c r="D598" s="12"/>
      <c r="E598" s="12">
        <v>45062</v>
      </c>
      <c r="G598" s="7">
        <v>111672280</v>
      </c>
      <c r="I598" s="7">
        <v>0</v>
      </c>
      <c r="K598" s="2">
        <f t="shared" si="117"/>
        <v>48152217</v>
      </c>
      <c r="M598" s="7">
        <v>159824497</v>
      </c>
      <c r="O598" s="2">
        <f t="shared" si="118"/>
        <v>8062655</v>
      </c>
      <c r="Q598" s="7">
        <f>38870846+2634002</f>
        <v>41504848</v>
      </c>
      <c r="S598" s="7">
        <v>49567503</v>
      </c>
      <c r="U598" s="7">
        <v>15560</v>
      </c>
      <c r="W598" s="7">
        <f>6263482+81348064+1924+47955+30095+16678+4004+46415+199167</f>
        <v>87957784</v>
      </c>
      <c r="Y598" s="7">
        <v>0</v>
      </c>
      <c r="AA598" s="7">
        <f>1392358+1274571+157956+21089+96472</f>
        <v>2942446</v>
      </c>
      <c r="AC598" s="7">
        <v>19341204</v>
      </c>
      <c r="AE598" s="13">
        <f t="shared" si="122"/>
        <v>110256994</v>
      </c>
      <c r="AG598" s="7">
        <f t="shared" si="123"/>
        <v>0</v>
      </c>
      <c r="AK598" s="7" t="str">
        <f t="shared" si="124"/>
        <v>Westlake City SD</v>
      </c>
      <c r="AL598" s="7" t="str">
        <f>GenExp!A598</f>
        <v>Westlake City SD</v>
      </c>
      <c r="AM598" s="7" t="b">
        <f t="shared" si="125"/>
        <v>1</v>
      </c>
      <c r="AN598" s="7" t="str">
        <f t="shared" si="121"/>
        <v>Cuyahoga</v>
      </c>
      <c r="AO598" s="7" t="b">
        <f>C598=GenExp!C598</f>
        <v>1</v>
      </c>
    </row>
    <row r="599" spans="1:41">
      <c r="A599" s="12" t="s">
        <v>501</v>
      </c>
      <c r="B599" s="12"/>
      <c r="C599" s="12" t="s">
        <v>59</v>
      </c>
      <c r="D599" s="12"/>
      <c r="E599" s="12">
        <v>49668</v>
      </c>
      <c r="G599" s="7">
        <v>4931667</v>
      </c>
      <c r="I599" s="7">
        <f>16294+48234+37122</f>
        <v>101650</v>
      </c>
      <c r="K599" s="2">
        <f t="shared" si="117"/>
        <v>4410691</v>
      </c>
      <c r="M599" s="7">
        <v>9444008</v>
      </c>
      <c r="O599" s="2">
        <f t="shared" si="118"/>
        <v>1898042</v>
      </c>
      <c r="Q599" s="7">
        <v>3881678</v>
      </c>
      <c r="S599" s="7">
        <v>5779720</v>
      </c>
      <c r="U599" s="7">
        <v>39008</v>
      </c>
      <c r="W599" s="7">
        <v>2899141</v>
      </c>
      <c r="Y599" s="7">
        <v>145874</v>
      </c>
      <c r="AA599" s="7">
        <v>127685</v>
      </c>
      <c r="AC599" s="7">
        <v>452580</v>
      </c>
      <c r="AE599" s="13">
        <f t="shared" si="122"/>
        <v>3664288</v>
      </c>
      <c r="AG599" s="7">
        <f t="shared" si="123"/>
        <v>0</v>
      </c>
      <c r="AK599" s="7" t="str">
        <f t="shared" si="124"/>
        <v>Wheelersburg Local SD</v>
      </c>
      <c r="AL599" s="7" t="str">
        <f>GenExp!A599</f>
        <v>Wheelersburg Local SD</v>
      </c>
      <c r="AM599" s="7" t="b">
        <f t="shared" si="125"/>
        <v>1</v>
      </c>
      <c r="AN599" s="7" t="str">
        <f t="shared" si="121"/>
        <v>Scioto</v>
      </c>
      <c r="AO599" s="7" t="b">
        <f>C599=GenExp!C599</f>
        <v>1</v>
      </c>
    </row>
    <row r="600" spans="1:41">
      <c r="A600" s="12" t="s">
        <v>316</v>
      </c>
      <c r="B600" s="12"/>
      <c r="C600" s="12" t="s">
        <v>27</v>
      </c>
      <c r="D600" s="12"/>
      <c r="E600" s="12">
        <v>45070</v>
      </c>
      <c r="G600" s="7">
        <f>70830893+145587</f>
        <v>70976480</v>
      </c>
      <c r="I600" s="7">
        <v>158536</v>
      </c>
      <c r="K600" s="2">
        <f t="shared" si="117"/>
        <v>23851230</v>
      </c>
      <c r="M600" s="7">
        <v>94986246</v>
      </c>
      <c r="O600" s="2">
        <f t="shared" si="118"/>
        <v>7087541</v>
      </c>
      <c r="Q600" s="7">
        <v>19137346</v>
      </c>
      <c r="S600" s="7">
        <v>26224887</v>
      </c>
      <c r="U600" s="7">
        <v>70241</v>
      </c>
      <c r="W600" s="7">
        <f>1656794+49290885+24606+13110+99604+122109+118847+906893+653510+2731</f>
        <v>52889089</v>
      </c>
      <c r="Y600" s="7">
        <f>39226+15463+158536</f>
        <v>213225</v>
      </c>
      <c r="AA600" s="7">
        <f>339359+22304</f>
        <v>361663</v>
      </c>
      <c r="AC600" s="7">
        <v>15227141</v>
      </c>
      <c r="AE600" s="13">
        <f t="shared" si="122"/>
        <v>68761359</v>
      </c>
      <c r="AG600" s="7">
        <f t="shared" si="123"/>
        <v>0</v>
      </c>
      <c r="AK600" s="7" t="str">
        <f t="shared" si="124"/>
        <v>Whitehall City SD</v>
      </c>
      <c r="AL600" s="7" t="str">
        <f>GenExp!A600</f>
        <v>Whitehall City SD</v>
      </c>
      <c r="AM600" s="7" t="b">
        <f t="shared" si="125"/>
        <v>1</v>
      </c>
      <c r="AN600" s="7" t="str">
        <f t="shared" si="121"/>
        <v>Franklin</v>
      </c>
      <c r="AO600" s="7" t="b">
        <f>C600=GenExp!C600</f>
        <v>1</v>
      </c>
    </row>
    <row r="601" spans="1:41" hidden="1">
      <c r="A601" s="12" t="s">
        <v>649</v>
      </c>
      <c r="B601" s="12"/>
      <c r="C601" s="12" t="s">
        <v>41</v>
      </c>
      <c r="D601" s="12"/>
      <c r="E601" s="12">
        <v>45088</v>
      </c>
      <c r="K601" s="2">
        <f t="shared" si="117"/>
        <v>0</v>
      </c>
      <c r="O601" s="2">
        <f t="shared" si="118"/>
        <v>0</v>
      </c>
      <c r="AE601" s="13">
        <f t="shared" si="122"/>
        <v>0</v>
      </c>
      <c r="AG601" s="7">
        <f t="shared" si="123"/>
        <v>0</v>
      </c>
      <c r="AK601" s="7" t="str">
        <f t="shared" si="124"/>
        <v>Wickliffe City SD (CASH)</v>
      </c>
      <c r="AL601" s="7" t="str">
        <f>GenExp!A601</f>
        <v>Wickliffe City SD (CASH)</v>
      </c>
      <c r="AM601" s="7" t="b">
        <f t="shared" si="125"/>
        <v>1</v>
      </c>
      <c r="AN601" s="7" t="str">
        <f t="shared" si="121"/>
        <v>Lake</v>
      </c>
      <c r="AO601" s="7" t="b">
        <f>C601=GenExp!C601</f>
        <v>1</v>
      </c>
    </row>
    <row r="602" spans="1:41">
      <c r="A602" s="12" t="s">
        <v>370</v>
      </c>
      <c r="B602" s="12"/>
      <c r="C602" s="12" t="s">
        <v>37</v>
      </c>
      <c r="D602" s="12"/>
      <c r="E602" s="12">
        <v>45096</v>
      </c>
      <c r="G602" s="7">
        <v>3861011</v>
      </c>
      <c r="I602" s="7">
        <v>0</v>
      </c>
      <c r="K602" s="2">
        <f t="shared" si="117"/>
        <v>6907852</v>
      </c>
      <c r="M602" s="7">
        <v>10768863</v>
      </c>
      <c r="O602" s="2">
        <f t="shared" si="118"/>
        <v>2764802</v>
      </c>
      <c r="Q602" s="7">
        <f>4352826+1100491</f>
        <v>5453317</v>
      </c>
      <c r="S602" s="7">
        <v>8218119</v>
      </c>
      <c r="U602" s="7">
        <f>78976+58088+779</f>
        <v>137843</v>
      </c>
      <c r="W602" s="7">
        <f>1176930+9959+55868+4276+15097+36577+131411+15628</f>
        <v>1445746</v>
      </c>
      <c r="Y602" s="7">
        <v>0</v>
      </c>
      <c r="AA602" s="7">
        <f>48097+573979</f>
        <v>622076</v>
      </c>
      <c r="AC602" s="7">
        <v>345079</v>
      </c>
      <c r="AE602" s="13">
        <f t="shared" si="122"/>
        <v>2550744</v>
      </c>
      <c r="AG602" s="7">
        <f t="shared" si="123"/>
        <v>0</v>
      </c>
      <c r="AK602" s="7" t="str">
        <f t="shared" si="124"/>
        <v>Willard City SD</v>
      </c>
      <c r="AL602" s="7" t="str">
        <f>GenExp!A602</f>
        <v>Willard City SD</v>
      </c>
      <c r="AM602" s="7" t="b">
        <f t="shared" si="125"/>
        <v>1</v>
      </c>
      <c r="AN602" s="7" t="str">
        <f t="shared" si="121"/>
        <v>Huron</v>
      </c>
      <c r="AO602" s="7" t="b">
        <f>C602=GenExp!C602</f>
        <v>1</v>
      </c>
    </row>
    <row r="603" spans="1:41">
      <c r="A603" s="12" t="s">
        <v>247</v>
      </c>
      <c r="B603" s="12"/>
      <c r="C603" s="12" t="s">
        <v>113</v>
      </c>
      <c r="D603" s="12"/>
      <c r="E603" s="12">
        <v>46367</v>
      </c>
      <c r="G603" s="7">
        <v>2567539</v>
      </c>
      <c r="I603" s="7">
        <v>185459</v>
      </c>
      <c r="K603" s="2">
        <f t="shared" si="117"/>
        <v>4065511</v>
      </c>
      <c r="M603" s="7">
        <v>6818509</v>
      </c>
      <c r="O603" s="2">
        <f t="shared" si="118"/>
        <v>1118777</v>
      </c>
      <c r="Q603" s="7">
        <v>3084181</v>
      </c>
      <c r="S603" s="7">
        <v>4202958</v>
      </c>
      <c r="U603" s="7">
        <f>28475+878</f>
        <v>29353</v>
      </c>
      <c r="W603" s="7">
        <f>192946+45849+5638+185459+746196+46464</f>
        <v>1222552</v>
      </c>
      <c r="Y603" s="7">
        <f>1067+81715</f>
        <v>82782</v>
      </c>
      <c r="AA603" s="7">
        <f>32228+26921</f>
        <v>59149</v>
      </c>
      <c r="AC603" s="7">
        <v>1221715</v>
      </c>
      <c r="AE603" s="13">
        <f t="shared" si="122"/>
        <v>2615551</v>
      </c>
      <c r="AG603" s="7">
        <f t="shared" si="123"/>
        <v>0</v>
      </c>
      <c r="AK603" s="7" t="str">
        <f t="shared" si="124"/>
        <v>Williamsburg Local SD</v>
      </c>
      <c r="AL603" s="7" t="str">
        <f>GenExp!A603</f>
        <v>Williamsburg Local SD</v>
      </c>
      <c r="AM603" s="7" t="b">
        <f t="shared" si="125"/>
        <v>1</v>
      </c>
      <c r="AN603" s="7" t="str">
        <f t="shared" si="121"/>
        <v>Clermont</v>
      </c>
      <c r="AO603" s="7" t="b">
        <f>C603=GenExp!C603</f>
        <v>1</v>
      </c>
    </row>
    <row r="604" spans="1:41">
      <c r="A604" s="12" t="s">
        <v>376</v>
      </c>
      <c r="B604" s="12"/>
      <c r="C604" s="12" t="s">
        <v>41</v>
      </c>
      <c r="D604" s="12"/>
      <c r="E604" s="12">
        <v>45104</v>
      </c>
      <c r="G604" s="7">
        <v>39076994</v>
      </c>
      <c r="I604" s="7">
        <v>0</v>
      </c>
      <c r="K604" s="2">
        <f t="shared" si="117"/>
        <v>61710440</v>
      </c>
      <c r="M604" s="7">
        <v>100787434</v>
      </c>
      <c r="O604" s="2">
        <f t="shared" si="118"/>
        <v>15325125</v>
      </c>
      <c r="Q604" s="7">
        <v>53611023</v>
      </c>
      <c r="S604" s="7">
        <v>68936148</v>
      </c>
      <c r="U604" s="7">
        <v>4515</v>
      </c>
      <c r="W604" s="7">
        <v>23135514</v>
      </c>
      <c r="Y604" s="7">
        <v>457729</v>
      </c>
      <c r="AA604" s="7">
        <v>640021</v>
      </c>
      <c r="AC604" s="7">
        <v>7613507</v>
      </c>
      <c r="AE604" s="13">
        <f t="shared" si="122"/>
        <v>31851286</v>
      </c>
      <c r="AG604" s="7">
        <f t="shared" si="123"/>
        <v>0</v>
      </c>
      <c r="AK604" s="7" t="str">
        <f t="shared" si="124"/>
        <v>Willoughby-Eastlake City SD</v>
      </c>
      <c r="AL604" s="7" t="str">
        <f>GenExp!A604</f>
        <v>Willoughby-Eastlake City SD</v>
      </c>
      <c r="AM604" s="7" t="b">
        <f t="shared" si="125"/>
        <v>1</v>
      </c>
      <c r="AN604" s="7" t="str">
        <f t="shared" si="121"/>
        <v>Lake</v>
      </c>
      <c r="AO604" s="7" t="b">
        <f>C604=GenExp!C604</f>
        <v>1</v>
      </c>
    </row>
    <row r="605" spans="1:41">
      <c r="A605" s="12" t="s">
        <v>251</v>
      </c>
      <c r="B605" s="12"/>
      <c r="C605" s="12" t="s">
        <v>18</v>
      </c>
      <c r="D605" s="12"/>
      <c r="E605" s="12">
        <v>45112</v>
      </c>
      <c r="G605" s="7">
        <v>6823749</v>
      </c>
      <c r="I605" s="7">
        <v>57982</v>
      </c>
      <c r="K605" s="2">
        <f t="shared" si="117"/>
        <v>19622372</v>
      </c>
      <c r="M605" s="7">
        <v>26504103</v>
      </c>
      <c r="O605" s="2">
        <f t="shared" si="118"/>
        <v>2848810</v>
      </c>
      <c r="Q605" s="7">
        <v>17097360</v>
      </c>
      <c r="S605" s="7">
        <v>19946170</v>
      </c>
      <c r="U605" s="7">
        <v>323752</v>
      </c>
      <c r="W605" s="7">
        <v>3094158</v>
      </c>
      <c r="Y605" s="7">
        <v>0</v>
      </c>
      <c r="AA605" s="7">
        <v>483144</v>
      </c>
      <c r="AC605" s="7">
        <v>2656879</v>
      </c>
      <c r="AE605" s="13">
        <f t="shared" si="122"/>
        <v>6557933</v>
      </c>
      <c r="AG605" s="7">
        <f t="shared" si="123"/>
        <v>0</v>
      </c>
      <c r="AK605" s="7" t="str">
        <f t="shared" si="124"/>
        <v>Wilmington City SD</v>
      </c>
      <c r="AL605" s="7" t="str">
        <f>GenExp!A605</f>
        <v>Wilmington City SD</v>
      </c>
      <c r="AM605" s="7" t="b">
        <f t="shared" si="125"/>
        <v>1</v>
      </c>
      <c r="AN605" s="7" t="str">
        <f t="shared" si="121"/>
        <v>Clinton</v>
      </c>
      <c r="AO605" s="7" t="b">
        <f>C605=GenExp!C605</f>
        <v>1</v>
      </c>
    </row>
    <row r="606" spans="1:41">
      <c r="A606" s="12" t="s">
        <v>891</v>
      </c>
      <c r="B606" s="12"/>
      <c r="C606" s="12" t="s">
        <v>56</v>
      </c>
      <c r="D606" s="12"/>
      <c r="E606" s="12">
        <v>45666</v>
      </c>
      <c r="G606" s="7">
        <f>2458596+184486</f>
        <v>2643082</v>
      </c>
      <c r="I606" s="7">
        <v>9046</v>
      </c>
      <c r="K606" s="2">
        <f t="shared" si="117"/>
        <v>2085774</v>
      </c>
      <c r="M606" s="7">
        <v>4737902</v>
      </c>
      <c r="O606" s="2">
        <f t="shared" si="118"/>
        <v>1307932</v>
      </c>
      <c r="Q606" s="7">
        <f>439791+1336091</f>
        <v>1775882</v>
      </c>
      <c r="S606" s="7">
        <v>3083814</v>
      </c>
      <c r="U606" s="7">
        <v>25472</v>
      </c>
      <c r="W606" s="7">
        <f>59928+308709+138697+27310+9046+11575</f>
        <v>555265</v>
      </c>
      <c r="Y606" s="7">
        <v>0</v>
      </c>
      <c r="AA606" s="7">
        <f>1728+5489+207+209387</f>
        <v>216811</v>
      </c>
      <c r="AC606" s="7">
        <v>856540</v>
      </c>
      <c r="AE606" s="13">
        <f t="shared" si="122"/>
        <v>1654088</v>
      </c>
      <c r="AG606" s="7">
        <f t="shared" si="123"/>
        <v>0</v>
      </c>
      <c r="AK606" s="7" t="str">
        <f t="shared" si="124"/>
        <v>Windham Exempted Village SD</v>
      </c>
      <c r="AL606" s="7" t="str">
        <f>GenExp!A606</f>
        <v>Windham Exempted Village SD</v>
      </c>
      <c r="AM606" s="7" t="b">
        <f t="shared" si="125"/>
        <v>1</v>
      </c>
      <c r="AN606" s="7" t="str">
        <f t="shared" si="121"/>
        <v>Portage</v>
      </c>
      <c r="AO606" s="7" t="b">
        <f>C606=GenExp!C606</f>
        <v>1</v>
      </c>
    </row>
    <row r="607" spans="1:41">
      <c r="A607" s="12" t="s">
        <v>341</v>
      </c>
      <c r="B607" s="12"/>
      <c r="C607" s="12" t="s">
        <v>32</v>
      </c>
      <c r="D607" s="12"/>
      <c r="E607" s="12">
        <v>44081</v>
      </c>
      <c r="G607" s="7">
        <v>5371052</v>
      </c>
      <c r="I607" s="7">
        <v>0</v>
      </c>
      <c r="K607" s="2">
        <f t="shared" si="117"/>
        <v>26429982</v>
      </c>
      <c r="M607" s="7">
        <v>31801034</v>
      </c>
      <c r="O607" s="2">
        <f t="shared" si="118"/>
        <v>5140159</v>
      </c>
      <c r="Q607" s="7">
        <v>16441430</v>
      </c>
      <c r="S607" s="7">
        <v>21581589</v>
      </c>
      <c r="U607" s="7">
        <v>0</v>
      </c>
      <c r="W607" s="7">
        <v>1574257</v>
      </c>
      <c r="Y607" s="7">
        <v>0</v>
      </c>
      <c r="AA607" s="7">
        <v>199526</v>
      </c>
      <c r="AC607" s="7">
        <v>8445662</v>
      </c>
      <c r="AE607" s="13">
        <f t="shared" si="122"/>
        <v>10219445</v>
      </c>
      <c r="AG607" s="7">
        <f t="shared" si="123"/>
        <v>0</v>
      </c>
      <c r="AK607" s="7" t="str">
        <f t="shared" si="124"/>
        <v>Winton Woods City SD</v>
      </c>
      <c r="AL607" s="7" t="str">
        <f>GenExp!A607</f>
        <v>Winton Woods City SD</v>
      </c>
      <c r="AM607" s="7" t="b">
        <f t="shared" si="125"/>
        <v>1</v>
      </c>
      <c r="AN607" s="7" t="str">
        <f t="shared" si="121"/>
        <v>Hamilton</v>
      </c>
      <c r="AO607" s="7" t="b">
        <f>C607=GenExp!C607</f>
        <v>1</v>
      </c>
    </row>
    <row r="608" spans="1:41">
      <c r="A608" s="12" t="s">
        <v>567</v>
      </c>
      <c r="B608" s="12"/>
      <c r="C608" s="12" t="s">
        <v>70</v>
      </c>
      <c r="D608" s="12"/>
      <c r="E608" s="12">
        <v>50518</v>
      </c>
      <c r="G608" s="7">
        <f>8814033+301</f>
        <v>8814334</v>
      </c>
      <c r="I608" s="7">
        <v>118801</v>
      </c>
      <c r="K608" s="2">
        <f t="shared" si="117"/>
        <v>5336439</v>
      </c>
      <c r="M608" s="7">
        <v>14269574</v>
      </c>
      <c r="O608" s="2">
        <f t="shared" si="118"/>
        <v>713167</v>
      </c>
      <c r="Q608" s="7">
        <v>5143501</v>
      </c>
      <c r="S608" s="7">
        <v>5856668</v>
      </c>
      <c r="U608" s="7">
        <v>131585</v>
      </c>
      <c r="W608" s="7">
        <v>644304</v>
      </c>
      <c r="Y608" s="7">
        <v>78944</v>
      </c>
      <c r="AA608" s="7">
        <v>889268</v>
      </c>
      <c r="AC608" s="7">
        <v>6668805</v>
      </c>
      <c r="AE608" s="13">
        <f t="shared" si="122"/>
        <v>8412906</v>
      </c>
      <c r="AG608" s="7">
        <f t="shared" si="123"/>
        <v>0</v>
      </c>
      <c r="AK608" s="7" t="str">
        <f t="shared" si="124"/>
        <v>Wolf Creek Local SD</v>
      </c>
      <c r="AL608" s="7" t="str">
        <f>GenExp!A608</f>
        <v>Wolf Creek Local SD</v>
      </c>
      <c r="AM608" s="7" t="b">
        <f t="shared" si="125"/>
        <v>1</v>
      </c>
      <c r="AN608" s="7" t="str">
        <f t="shared" si="121"/>
        <v>Washington</v>
      </c>
      <c r="AO608" s="7" t="b">
        <f>C608=GenExp!C608</f>
        <v>1</v>
      </c>
    </row>
    <row r="609" spans="1:41">
      <c r="A609" s="12" t="s">
        <v>493</v>
      </c>
      <c r="B609" s="12"/>
      <c r="C609" s="12" t="s">
        <v>79</v>
      </c>
      <c r="D609" s="12"/>
      <c r="E609" s="12">
        <v>49577</v>
      </c>
      <c r="G609" s="7">
        <v>2165303</v>
      </c>
      <c r="I609" s="7">
        <v>430</v>
      </c>
      <c r="K609" s="2">
        <f t="shared" si="117"/>
        <v>5320992</v>
      </c>
      <c r="M609" s="7">
        <v>7486725</v>
      </c>
      <c r="O609" s="2">
        <f t="shared" si="118"/>
        <v>1077172</v>
      </c>
      <c r="Q609" s="7">
        <f>619568+3583033</f>
        <v>4202601</v>
      </c>
      <c r="S609" s="7">
        <v>5279773</v>
      </c>
      <c r="U609" s="7">
        <f>26841+10096+34792</f>
        <v>71729</v>
      </c>
      <c r="W609" s="7">
        <f>183836+518546+66708+76889+227+14218+430+71087</f>
        <v>931941</v>
      </c>
      <c r="Y609" s="7">
        <v>0</v>
      </c>
      <c r="AA609" s="7">
        <f>9787+64437+16625+24623+6429</f>
        <v>121901</v>
      </c>
      <c r="AC609" s="7">
        <v>1081381</v>
      </c>
      <c r="AE609" s="13">
        <f t="shared" si="122"/>
        <v>2206952</v>
      </c>
      <c r="AG609" s="7">
        <f t="shared" si="123"/>
        <v>0</v>
      </c>
      <c r="AK609" s="7" t="str">
        <f t="shared" si="124"/>
        <v>Woodmore Local SD</v>
      </c>
      <c r="AL609" s="7" t="str">
        <f>GenExp!A609</f>
        <v>Woodmore Local SD</v>
      </c>
      <c r="AM609" s="7" t="b">
        <f t="shared" si="125"/>
        <v>1</v>
      </c>
      <c r="AN609" s="7" t="str">
        <f t="shared" si="121"/>
        <v>Sandusky</v>
      </c>
      <c r="AO609" s="7" t="b">
        <f>C609=GenExp!C609</f>
        <v>1</v>
      </c>
    </row>
    <row r="610" spans="1:41">
      <c r="A610" s="12" t="s">
        <v>533</v>
      </c>
      <c r="B610" s="12"/>
      <c r="C610" s="12" t="s">
        <v>63</v>
      </c>
      <c r="D610" s="12"/>
      <c r="E610" s="12">
        <v>49973</v>
      </c>
      <c r="G610" s="7">
        <v>8269808</v>
      </c>
      <c r="I610" s="7">
        <v>75025</v>
      </c>
      <c r="K610" s="2">
        <f t="shared" si="117"/>
        <v>17090904</v>
      </c>
      <c r="M610" s="7">
        <v>25435737</v>
      </c>
      <c r="O610" s="2">
        <f t="shared" si="118"/>
        <v>3038695</v>
      </c>
      <c r="Q610" s="7">
        <v>14818055</v>
      </c>
      <c r="S610" s="7">
        <v>17856750</v>
      </c>
      <c r="U610" s="7">
        <v>51238</v>
      </c>
      <c r="W610" s="7">
        <v>796535</v>
      </c>
      <c r="Y610" s="7">
        <v>278316</v>
      </c>
      <c r="AA610" s="7">
        <v>3087256</v>
      </c>
      <c r="AC610" s="7">
        <v>3365642</v>
      </c>
      <c r="AE610" s="13">
        <f t="shared" si="122"/>
        <v>7578987</v>
      </c>
      <c r="AG610" s="7">
        <f t="shared" si="123"/>
        <v>0</v>
      </c>
      <c r="AK610" s="7" t="str">
        <f t="shared" si="124"/>
        <v>Woodridge Local SD</v>
      </c>
      <c r="AL610" s="7" t="str">
        <f>GenExp!A610</f>
        <v>Woodridge Local SD</v>
      </c>
      <c r="AM610" s="7" t="b">
        <f t="shared" si="125"/>
        <v>1</v>
      </c>
      <c r="AN610" s="7" t="str">
        <f t="shared" si="121"/>
        <v>Summit</v>
      </c>
      <c r="AO610" s="7" t="b">
        <f>C610=GenExp!C610</f>
        <v>1</v>
      </c>
    </row>
    <row r="611" spans="1:41">
      <c r="A611" s="12" t="s">
        <v>650</v>
      </c>
      <c r="B611" s="12"/>
      <c r="C611" s="12" t="s">
        <v>71</v>
      </c>
      <c r="D611" s="12"/>
      <c r="E611" s="12">
        <v>45138</v>
      </c>
      <c r="G611" s="7">
        <v>22508635</v>
      </c>
      <c r="I611" s="7">
        <v>0</v>
      </c>
      <c r="K611" s="2">
        <f t="shared" si="117"/>
        <v>29458495</v>
      </c>
      <c r="M611" s="7">
        <v>51967130</v>
      </c>
      <c r="O611" s="2">
        <f t="shared" si="118"/>
        <v>5110713</v>
      </c>
      <c r="Q611" s="7">
        <v>26729262</v>
      </c>
      <c r="S611" s="7">
        <v>31839975</v>
      </c>
      <c r="U611" s="7">
        <v>0</v>
      </c>
      <c r="W611" s="7">
        <v>3040836</v>
      </c>
      <c r="Y611" s="7">
        <v>0</v>
      </c>
      <c r="AA611" s="7">
        <v>595749</v>
      </c>
      <c r="AC611" s="7">
        <v>16490570</v>
      </c>
      <c r="AE611" s="13">
        <f t="shared" si="122"/>
        <v>20127155</v>
      </c>
      <c r="AG611" s="7">
        <f t="shared" si="123"/>
        <v>0</v>
      </c>
      <c r="AK611" s="7" t="str">
        <f t="shared" si="124"/>
        <v>Wooster City SD</v>
      </c>
      <c r="AL611" s="7" t="str">
        <f>GenExp!A611</f>
        <v>Wooster City SD</v>
      </c>
      <c r="AM611" s="7" t="b">
        <f t="shared" si="125"/>
        <v>1</v>
      </c>
      <c r="AN611" s="7" t="str">
        <f t="shared" si="121"/>
        <v>Wayne</v>
      </c>
      <c r="AO611" s="7" t="b">
        <f>C611=GenExp!C611</f>
        <v>1</v>
      </c>
    </row>
    <row r="612" spans="1:41">
      <c r="A612" s="12" t="s">
        <v>317</v>
      </c>
      <c r="B612" s="12"/>
      <c r="C612" s="12" t="s">
        <v>27</v>
      </c>
      <c r="D612" s="12"/>
      <c r="E612" s="12">
        <v>46524</v>
      </c>
      <c r="G612" s="7">
        <f>67595218+229267</f>
        <v>67824485</v>
      </c>
      <c r="I612" s="7">
        <v>0</v>
      </c>
      <c r="K612" s="2">
        <f t="shared" si="117"/>
        <v>80983897</v>
      </c>
      <c r="M612" s="7">
        <v>148808382</v>
      </c>
      <c r="O612" s="2">
        <f t="shared" si="118"/>
        <v>19991157</v>
      </c>
      <c r="Q612" s="7">
        <v>53436554</v>
      </c>
      <c r="S612" s="7">
        <v>73427711</v>
      </c>
      <c r="U612" s="7">
        <v>229267</v>
      </c>
      <c r="W612" s="7">
        <f>4521604+9911549+225825+65917+236145+80139+193429</f>
        <v>15234608</v>
      </c>
      <c r="Y612" s="7">
        <f>2559898+382863+383519+3118000</f>
        <v>6444280</v>
      </c>
      <c r="AA612" s="7">
        <v>859000</v>
      </c>
      <c r="AC612" s="7">
        <v>52613516</v>
      </c>
      <c r="AE612" s="13">
        <f t="shared" si="122"/>
        <v>75380671</v>
      </c>
      <c r="AG612" s="7">
        <f t="shared" si="123"/>
        <v>0</v>
      </c>
      <c r="AK612" s="7" t="str">
        <f t="shared" si="124"/>
        <v>Worthington City SD</v>
      </c>
      <c r="AL612" s="7" t="str">
        <f>GenExp!A612</f>
        <v>Worthington City SD</v>
      </c>
      <c r="AM612" s="7" t="b">
        <f t="shared" si="125"/>
        <v>1</v>
      </c>
      <c r="AN612" s="7" t="str">
        <f t="shared" si="121"/>
        <v>Franklin</v>
      </c>
      <c r="AO612" s="7" t="b">
        <f>C612=GenExp!C612</f>
        <v>1</v>
      </c>
    </row>
    <row r="613" spans="1:41">
      <c r="A613" s="12" t="s">
        <v>266</v>
      </c>
      <c r="B613" s="12"/>
      <c r="C613" s="12" t="s">
        <v>111</v>
      </c>
      <c r="D613" s="12"/>
      <c r="E613" s="12">
        <v>45146</v>
      </c>
      <c r="G613" s="7">
        <f>1711797+27744</f>
        <v>1739541</v>
      </c>
      <c r="I613" s="7">
        <v>10675</v>
      </c>
      <c r="K613" s="2">
        <f t="shared" si="117"/>
        <v>4261779</v>
      </c>
      <c r="M613" s="7">
        <v>6011995</v>
      </c>
      <c r="O613" s="2">
        <f t="shared" si="118"/>
        <v>1161457</v>
      </c>
      <c r="Q613" s="7">
        <f>402511+2517083</f>
        <v>2919594</v>
      </c>
      <c r="S613" s="7">
        <v>4081051</v>
      </c>
      <c r="U613" s="7">
        <f>6490+6428</f>
        <v>12918</v>
      </c>
      <c r="W613" s="7">
        <f>665438+131730+10675+2239</f>
        <v>810082</v>
      </c>
      <c r="Y613" s="7">
        <f>234140+20545+43046</f>
        <v>297731</v>
      </c>
      <c r="AA613" s="7">
        <v>28792</v>
      </c>
      <c r="AC613" s="7">
        <v>781421</v>
      </c>
      <c r="AE613" s="13">
        <f t="shared" si="122"/>
        <v>1930944</v>
      </c>
      <c r="AG613" s="7">
        <f t="shared" si="123"/>
        <v>0</v>
      </c>
      <c r="AK613" s="7" t="str">
        <f t="shared" si="124"/>
        <v>Wynford Local SD</v>
      </c>
      <c r="AL613" s="7" t="str">
        <f>GenExp!A613</f>
        <v>Wynford Local SD</v>
      </c>
      <c r="AM613" s="7" t="b">
        <f t="shared" si="125"/>
        <v>1</v>
      </c>
      <c r="AN613" s="7" t="str">
        <f t="shared" si="121"/>
        <v>Crawford</v>
      </c>
      <c r="AO613" s="7" t="b">
        <f>C613=GenExp!C613</f>
        <v>1</v>
      </c>
    </row>
    <row r="614" spans="1:41">
      <c r="A614" s="12" t="s">
        <v>342</v>
      </c>
      <c r="B614" s="12"/>
      <c r="C614" s="12" t="s">
        <v>32</v>
      </c>
      <c r="D614" s="12"/>
      <c r="E614" s="12">
        <v>45153</v>
      </c>
      <c r="G614" s="7">
        <v>13795589</v>
      </c>
      <c r="I614" s="7">
        <v>0</v>
      </c>
      <c r="K614" s="2">
        <f t="shared" si="117"/>
        <v>13597695</v>
      </c>
      <c r="M614" s="7">
        <v>27393284</v>
      </c>
      <c r="O614" s="2">
        <f t="shared" si="118"/>
        <v>3599292</v>
      </c>
      <c r="Q614" s="7">
        <v>6423558</v>
      </c>
      <c r="S614" s="7">
        <v>10022850</v>
      </c>
      <c r="U614" s="7">
        <v>5680</v>
      </c>
      <c r="W614" s="7">
        <v>3337018</v>
      </c>
      <c r="Y614" s="7">
        <v>0</v>
      </c>
      <c r="AA614" s="7">
        <v>82493</v>
      </c>
      <c r="AC614" s="7">
        <v>13945243</v>
      </c>
      <c r="AE614" s="13">
        <f t="shared" si="122"/>
        <v>17370434</v>
      </c>
      <c r="AG614" s="7">
        <f t="shared" si="123"/>
        <v>0</v>
      </c>
      <c r="AK614" s="7" t="str">
        <f t="shared" si="124"/>
        <v>Wyoming City SD</v>
      </c>
      <c r="AL614" s="7" t="str">
        <f>GenExp!A614</f>
        <v>Wyoming City SD</v>
      </c>
      <c r="AM614" s="7" t="b">
        <f t="shared" si="125"/>
        <v>1</v>
      </c>
      <c r="AN614" s="7" t="str">
        <f t="shared" si="121"/>
        <v>Hamilton</v>
      </c>
      <c r="AO614" s="7" t="b">
        <f>C614=GenExp!C614</f>
        <v>1</v>
      </c>
    </row>
    <row r="615" spans="1:41">
      <c r="A615" s="12" t="s">
        <v>892</v>
      </c>
      <c r="B615" s="12"/>
      <c r="C615" s="12" t="s">
        <v>114</v>
      </c>
      <c r="D615" s="12"/>
      <c r="E615" s="12">
        <v>45674</v>
      </c>
      <c r="G615" s="7">
        <v>2594437</v>
      </c>
      <c r="I615" s="7">
        <v>0</v>
      </c>
      <c r="K615" s="2">
        <f t="shared" si="117"/>
        <v>4006336</v>
      </c>
      <c r="M615" s="7">
        <v>6600773</v>
      </c>
      <c r="O615" s="2">
        <f t="shared" si="118"/>
        <v>1188124</v>
      </c>
      <c r="Q615" s="7">
        <v>3110698</v>
      </c>
      <c r="S615" s="7">
        <v>4298822</v>
      </c>
      <c r="U615" s="7">
        <v>4158</v>
      </c>
      <c r="W615" s="7">
        <v>407259</v>
      </c>
      <c r="Y615" s="7">
        <v>0</v>
      </c>
      <c r="AA615" s="7">
        <v>11020</v>
      </c>
      <c r="AC615" s="7">
        <v>1879514</v>
      </c>
      <c r="AE615" s="13">
        <f t="shared" si="122"/>
        <v>2301951</v>
      </c>
      <c r="AG615" s="7">
        <f t="shared" si="123"/>
        <v>0</v>
      </c>
      <c r="AK615" s="7" t="str">
        <f t="shared" si="124"/>
        <v>Yellow Springs Exempted Village SD</v>
      </c>
      <c r="AL615" s="7" t="str">
        <f>GenExp!A615</f>
        <v>Yellow Springs Exempted Village SD</v>
      </c>
      <c r="AM615" s="7" t="b">
        <f t="shared" si="125"/>
        <v>1</v>
      </c>
      <c r="AN615" s="7" t="str">
        <f t="shared" si="121"/>
        <v>Greene</v>
      </c>
      <c r="AO615" s="7" t="b">
        <f>C615=GenExp!C615</f>
        <v>1</v>
      </c>
    </row>
    <row r="616" spans="1:41">
      <c r="A616" s="12" t="s">
        <v>422</v>
      </c>
      <c r="B616" s="12"/>
      <c r="C616" s="12" t="s">
        <v>45</v>
      </c>
      <c r="D616" s="12"/>
      <c r="E616" s="12">
        <v>45161</v>
      </c>
      <c r="G616" s="7">
        <f>31628895+2073050</f>
        <v>33701945</v>
      </c>
      <c r="I616" s="7">
        <v>139539</v>
      </c>
      <c r="K616" s="2">
        <f t="shared" si="117"/>
        <v>39879753</v>
      </c>
      <c r="M616" s="7">
        <v>73721237</v>
      </c>
      <c r="O616" s="2">
        <f t="shared" si="118"/>
        <v>27707798</v>
      </c>
      <c r="Q616" s="7">
        <v>31809616</v>
      </c>
      <c r="S616" s="7">
        <v>59517414</v>
      </c>
      <c r="U616" s="7">
        <v>382128</v>
      </c>
      <c r="W616" s="7">
        <v>20439847</v>
      </c>
      <c r="Y616" s="7">
        <v>21283</v>
      </c>
      <c r="AA616" s="7">
        <v>111195</v>
      </c>
      <c r="AC616" s="7">
        <v>-6750630</v>
      </c>
      <c r="AE616" s="13">
        <f t="shared" si="122"/>
        <v>14203823</v>
      </c>
      <c r="AG616" s="7">
        <f t="shared" si="123"/>
        <v>0</v>
      </c>
      <c r="AK616" s="7" t="str">
        <f t="shared" si="124"/>
        <v>Youngstown City SD</v>
      </c>
      <c r="AL616" s="7" t="str">
        <f>GenExp!A616</f>
        <v>Youngstown City SD</v>
      </c>
      <c r="AM616" s="7" t="b">
        <f t="shared" si="125"/>
        <v>1</v>
      </c>
      <c r="AN616" s="7" t="str">
        <f t="shared" si="121"/>
        <v>Mahoning</v>
      </c>
      <c r="AO616" s="7" t="b">
        <f>C616=GenExp!C616</f>
        <v>1</v>
      </c>
    </row>
    <row r="617" spans="1:41">
      <c r="A617" s="12" t="s">
        <v>492</v>
      </c>
      <c r="B617" s="12"/>
      <c r="C617" s="12" t="s">
        <v>58</v>
      </c>
      <c r="D617" s="12"/>
      <c r="E617" s="12">
        <v>49544</v>
      </c>
      <c r="G617" s="7">
        <v>5050621</v>
      </c>
      <c r="I617" s="7">
        <v>1093497</v>
      </c>
      <c r="K617" s="2">
        <f t="shared" si="117"/>
        <v>4751088</v>
      </c>
      <c r="M617" s="7">
        <v>10895206</v>
      </c>
      <c r="O617" s="2">
        <f t="shared" si="118"/>
        <v>1629149</v>
      </c>
      <c r="Q617" s="7">
        <v>3713012</v>
      </c>
      <c r="S617" s="7">
        <v>5342161</v>
      </c>
      <c r="U617" s="7">
        <v>52911</v>
      </c>
      <c r="W617" s="7">
        <v>2529540</v>
      </c>
      <c r="Y617" s="7">
        <v>0</v>
      </c>
      <c r="AA617" s="7">
        <v>358345</v>
      </c>
      <c r="AC617" s="7">
        <v>2612249</v>
      </c>
      <c r="AE617" s="13">
        <f t="shared" si="122"/>
        <v>5553045</v>
      </c>
      <c r="AG617" s="7">
        <f t="shared" si="123"/>
        <v>0</v>
      </c>
      <c r="AK617" s="7" t="str">
        <f t="shared" si="124"/>
        <v>Zane Trace Local SD</v>
      </c>
      <c r="AL617" s="7" t="str">
        <f>GenExp!A617</f>
        <v>Zane Trace Local SD</v>
      </c>
      <c r="AM617" s="7" t="b">
        <f t="shared" si="125"/>
        <v>1</v>
      </c>
      <c r="AN617" s="7" t="str">
        <f t="shared" si="121"/>
        <v>Ross</v>
      </c>
      <c r="AO617" s="7" t="b">
        <f>C617=GenExp!C617</f>
        <v>1</v>
      </c>
    </row>
    <row r="618" spans="1:41">
      <c r="A618" s="12" t="s">
        <v>461</v>
      </c>
      <c r="B618" s="12"/>
      <c r="C618" s="12" t="s">
        <v>51</v>
      </c>
      <c r="D618" s="12"/>
      <c r="E618" s="12">
        <v>45179</v>
      </c>
      <c r="G618" s="7">
        <f>12427328+375798</f>
        <v>12803126</v>
      </c>
      <c r="I618" s="7">
        <v>3960</v>
      </c>
      <c r="K618" s="2">
        <f t="shared" si="117"/>
        <v>26799051</v>
      </c>
      <c r="M618" s="7">
        <v>39606137</v>
      </c>
      <c r="O618" s="2">
        <f t="shared" si="118"/>
        <v>6204693</v>
      </c>
      <c r="Q618" s="7">
        <v>25386614</v>
      </c>
      <c r="S618" s="7">
        <v>31591307</v>
      </c>
      <c r="U618" s="7">
        <v>53750</v>
      </c>
      <c r="W618" s="7">
        <v>6148636</v>
      </c>
      <c r="Y618" s="7">
        <v>0</v>
      </c>
      <c r="AA618" s="7">
        <v>61502</v>
      </c>
      <c r="AC618" s="7">
        <v>1750942</v>
      </c>
      <c r="AE618" s="13">
        <f t="shared" si="122"/>
        <v>8014830</v>
      </c>
      <c r="AG618" s="7">
        <f t="shared" si="123"/>
        <v>0</v>
      </c>
      <c r="AK618" s="7" t="str">
        <f t="shared" si="124"/>
        <v>Zanesville City SD</v>
      </c>
      <c r="AL618" s="7" t="str">
        <f>GenExp!A618</f>
        <v>Zanesville City SD</v>
      </c>
      <c r="AM618" s="7" t="b">
        <f t="shared" si="125"/>
        <v>1</v>
      </c>
      <c r="AN618" s="7" t="str">
        <f t="shared" si="121"/>
        <v>Muskingum</v>
      </c>
      <c r="AO618" s="7" t="b">
        <f>C618=GenExp!C618</f>
        <v>1</v>
      </c>
    </row>
    <row r="619" spans="1:41">
      <c r="A619" s="12"/>
      <c r="B619" s="12"/>
      <c r="C619" s="12"/>
      <c r="D619" s="12"/>
    </row>
  </sheetData>
  <mergeCells count="2">
    <mergeCell ref="G6:K6"/>
    <mergeCell ref="U6:AC6"/>
  </mergeCells>
  <printOptions horizontalCentered="1"/>
  <pageMargins left="0.9" right="0.75" top="0.5" bottom="0.5" header="0.25" footer="0.25"/>
  <pageSetup scale="77" firstPageNumber="144" pageOrder="overThenDown" orientation="portrait" useFirstPageNumber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22"/>
  <sheetViews>
    <sheetView view="pageBreakPreview" zoomScaleNormal="100" zoomScaleSheetLayoutView="100" workbookViewId="0">
      <pane xSplit="6" ySplit="9" topLeftCell="G448" activePane="bottomRight" state="frozen"/>
      <selection sqref="A1:IV65536"/>
      <selection pane="topRight" sqref="A1:IV65536"/>
      <selection pane="bottomLeft" sqref="A1:IV65536"/>
      <selection pane="bottomRight" activeCell="A5" sqref="A5:A8"/>
    </sheetView>
  </sheetViews>
  <sheetFormatPr defaultColWidth="9.140625" defaultRowHeight="12"/>
  <cols>
    <col min="1" max="1" width="32" style="7" customWidth="1"/>
    <col min="2" max="2" width="1.7109375" style="7" customWidth="1"/>
    <col min="3" max="3" width="10.140625" style="7" bestFit="1" customWidth="1"/>
    <col min="4" max="4" width="1.7109375" style="7" customWidth="1"/>
    <col min="5" max="5" width="11.7109375" style="7" hidden="1" customWidth="1"/>
    <col min="6" max="6" width="1.7109375" style="7" hidden="1" customWidth="1"/>
    <col min="7" max="7" width="10" style="8" bestFit="1" customWidth="1"/>
    <col min="8" max="8" width="1.7109375" style="8" customWidth="1"/>
    <col min="9" max="9" width="9.28515625" style="8" bestFit="1" customWidth="1"/>
    <col min="10" max="10" width="1.7109375" style="8" customWidth="1"/>
    <col min="11" max="11" width="10.140625" style="8" bestFit="1" customWidth="1"/>
    <col min="12" max="12" width="1.7109375" style="8" customWidth="1"/>
    <col min="13" max="13" width="9.5703125" style="8" bestFit="1" customWidth="1"/>
    <col min="14" max="14" width="1.7109375" style="8" customWidth="1"/>
    <col min="15" max="15" width="9.28515625" style="8" bestFit="1" customWidth="1"/>
    <col min="16" max="16" width="1.7109375" style="8" customWidth="1"/>
    <col min="17" max="17" width="8.42578125" style="8" bestFit="1" customWidth="1"/>
    <col min="18" max="18" width="1.5703125" style="8" hidden="1" customWidth="1"/>
    <col min="19" max="19" width="9.140625" style="8" bestFit="1" customWidth="1"/>
    <col min="20" max="20" width="1.42578125" style="8" customWidth="1"/>
    <col min="21" max="21" width="10.5703125" style="8" bestFit="1" customWidth="1"/>
    <col min="22" max="22" width="1.5703125" style="8" customWidth="1"/>
    <col min="23" max="23" width="9.140625" style="8" bestFit="1" customWidth="1"/>
    <col min="24" max="24" width="1.42578125" style="8" customWidth="1"/>
    <col min="25" max="25" width="10.85546875" style="8" bestFit="1" customWidth="1"/>
    <col min="26" max="26" width="1.42578125" style="8" customWidth="1"/>
    <col min="27" max="27" width="10" style="8" bestFit="1" customWidth="1"/>
    <col min="28" max="28" width="1.42578125" style="8" hidden="1" customWidth="1"/>
    <col min="29" max="29" width="9.42578125" style="8" hidden="1" customWidth="1"/>
    <col min="30" max="30" width="1.42578125" style="8" customWidth="1"/>
    <col min="31" max="31" width="10" style="8" bestFit="1" customWidth="1"/>
    <col min="32" max="32" width="1.42578125" style="8" customWidth="1"/>
    <col min="33" max="33" width="11.7109375" style="8" hidden="1" customWidth="1"/>
    <col min="34" max="34" width="1.7109375" style="8" hidden="1" customWidth="1"/>
    <col min="35" max="35" width="11.7109375" style="8" hidden="1" customWidth="1"/>
    <col min="36" max="36" width="1.7109375" style="8" hidden="1" customWidth="1"/>
    <col min="37" max="37" width="9.140625" style="8" bestFit="1" customWidth="1"/>
    <col min="38" max="38" width="1.42578125" style="8" customWidth="1"/>
    <col min="39" max="39" width="11.28515625" style="8" bestFit="1" customWidth="1"/>
    <col min="40" max="40" width="1.42578125" style="8" customWidth="1"/>
    <col min="41" max="41" width="10" style="8" hidden="1" customWidth="1"/>
    <col min="42" max="42" width="1.7109375" style="8" hidden="1" customWidth="1"/>
    <col min="43" max="43" width="12" style="8" bestFit="1" customWidth="1"/>
    <col min="44" max="44" width="5.140625" style="8" customWidth="1"/>
    <col min="45" max="45" width="29.7109375" style="8" customWidth="1"/>
    <col min="46" max="46" width="13.28515625" style="7" customWidth="1"/>
    <col min="47" max="47" width="14.140625" style="7" customWidth="1"/>
    <col min="48" max="48" width="15.85546875" style="7" customWidth="1"/>
    <col min="49" max="49" width="9.28515625" style="7" customWidth="1"/>
    <col min="50" max="50" width="9.28515625" style="7" bestFit="1" customWidth="1"/>
    <col min="51" max="170" width="9.140625" style="7"/>
    <col min="171" max="171" width="1" style="7" customWidth="1"/>
    <col min="172" max="181" width="9.140625" style="7"/>
    <col min="182" max="182" width="5.85546875" style="7" customWidth="1"/>
    <col min="183" max="191" width="9.140625" style="7"/>
    <col min="192" max="192" width="5.85546875" style="7" customWidth="1"/>
    <col min="193" max="202" width="9.140625" style="7"/>
    <col min="203" max="203" width="0.42578125" style="7" customWidth="1"/>
    <col min="204" max="212" width="9.140625" style="7"/>
    <col min="213" max="213" width="3.28515625" style="7" customWidth="1"/>
    <col min="214" max="222" width="9.140625" style="7"/>
    <col min="223" max="223" width="8" style="7" customWidth="1"/>
    <col min="224" max="228" width="9.140625" style="7"/>
    <col min="229" max="232" width="6.42578125" style="7" customWidth="1"/>
    <col min="233" max="16384" width="9.140625" style="7"/>
  </cols>
  <sheetData>
    <row r="1" spans="1:50" s="14" customFormat="1">
      <c r="A1" s="25" t="s">
        <v>197</v>
      </c>
      <c r="B1" s="25"/>
      <c r="C1" s="25"/>
      <c r="D1" s="25"/>
      <c r="E1" s="25"/>
      <c r="F1" s="21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8"/>
    </row>
    <row r="2" spans="1:50" s="14" customFormat="1">
      <c r="A2" s="25" t="s">
        <v>770</v>
      </c>
      <c r="B2" s="25"/>
      <c r="C2" s="25"/>
      <c r="D2" s="25"/>
      <c r="E2" s="25"/>
      <c r="F2" s="21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8"/>
    </row>
    <row r="3" spans="1:50" s="14" customFormat="1">
      <c r="A3" s="14" t="s">
        <v>622</v>
      </c>
      <c r="B3" s="25"/>
      <c r="C3" s="25"/>
      <c r="D3" s="25"/>
      <c r="E3" s="25"/>
      <c r="F3" s="21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8"/>
    </row>
    <row r="4" spans="1:50">
      <c r="A4" s="25" t="s">
        <v>169</v>
      </c>
      <c r="B4" s="25"/>
      <c r="C4" s="25"/>
      <c r="D4" s="25"/>
      <c r="E4" s="25"/>
      <c r="F4" s="2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Q4" s="15" t="s">
        <v>3</v>
      </c>
      <c r="AR4" s="15"/>
      <c r="AS4" s="15"/>
    </row>
    <row r="5" spans="1:50">
      <c r="A5" s="14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68" t="s">
        <v>851</v>
      </c>
      <c r="AH5" s="68"/>
      <c r="AI5" s="68" t="s">
        <v>851</v>
      </c>
      <c r="AJ5" s="7"/>
      <c r="AK5" s="7"/>
      <c r="AL5" s="7"/>
      <c r="AM5" s="7"/>
      <c r="AN5" s="7"/>
      <c r="AO5" s="7"/>
      <c r="AP5" s="7"/>
      <c r="AQ5" s="15" t="s">
        <v>624</v>
      </c>
      <c r="AR5" s="15"/>
      <c r="AS5" s="15"/>
    </row>
    <row r="6" spans="1:50" s="15" customFormat="1">
      <c r="A6" s="59" t="s">
        <v>767</v>
      </c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113" t="s">
        <v>188</v>
      </c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95"/>
      <c r="AM6" s="96"/>
      <c r="AO6" s="15" t="s">
        <v>3</v>
      </c>
      <c r="AQ6" s="15" t="s">
        <v>652</v>
      </c>
    </row>
    <row r="7" spans="1:50" s="15" customFormat="1">
      <c r="A7" s="59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 t="s">
        <v>172</v>
      </c>
      <c r="R7" s="96"/>
      <c r="S7" s="96" t="s">
        <v>174</v>
      </c>
      <c r="T7" s="96"/>
      <c r="U7" s="96" t="s">
        <v>109</v>
      </c>
      <c r="V7" s="96"/>
      <c r="W7" s="96"/>
      <c r="X7" s="96"/>
      <c r="Y7" s="96"/>
      <c r="Z7" s="96"/>
      <c r="AI7" s="15" t="s">
        <v>612</v>
      </c>
      <c r="AK7" s="15" t="s">
        <v>127</v>
      </c>
      <c r="AO7" s="15" t="s">
        <v>82</v>
      </c>
      <c r="AQ7" s="15" t="s">
        <v>626</v>
      </c>
    </row>
    <row r="8" spans="1:50" s="15" customFormat="1">
      <c r="B8" s="96"/>
      <c r="C8" s="96"/>
      <c r="D8" s="96"/>
      <c r="E8" s="96"/>
      <c r="F8" s="96"/>
      <c r="G8" s="96" t="s">
        <v>105</v>
      </c>
      <c r="H8" s="96"/>
      <c r="I8" s="96" t="s">
        <v>593</v>
      </c>
      <c r="J8" s="96"/>
      <c r="K8" s="96" t="s">
        <v>1</v>
      </c>
      <c r="L8" s="96"/>
      <c r="M8" s="96" t="s">
        <v>620</v>
      </c>
      <c r="N8" s="96"/>
      <c r="O8" s="96" t="s">
        <v>170</v>
      </c>
      <c r="P8" s="96"/>
      <c r="Q8" s="96" t="s">
        <v>173</v>
      </c>
      <c r="R8" s="96"/>
      <c r="S8" s="96" t="s">
        <v>175</v>
      </c>
      <c r="T8" s="96"/>
      <c r="U8" s="96" t="s">
        <v>177</v>
      </c>
      <c r="V8" s="96"/>
      <c r="W8" s="96" t="s">
        <v>127</v>
      </c>
      <c r="X8" s="96"/>
      <c r="Y8" s="96" t="s">
        <v>3</v>
      </c>
      <c r="Z8" s="96"/>
      <c r="AA8" s="96"/>
      <c r="AE8" s="15" t="s">
        <v>625</v>
      </c>
      <c r="AG8" s="15" t="s">
        <v>192</v>
      </c>
      <c r="AI8" s="15" t="s">
        <v>602</v>
      </c>
      <c r="AK8" s="15" t="s">
        <v>193</v>
      </c>
      <c r="AM8" s="15" t="s">
        <v>613</v>
      </c>
      <c r="AO8" s="15" t="s">
        <v>193</v>
      </c>
      <c r="AQ8" s="15" t="s">
        <v>613</v>
      </c>
    </row>
    <row r="9" spans="1:50" s="15" customFormat="1">
      <c r="A9" s="95" t="s">
        <v>200</v>
      </c>
      <c r="C9" s="95" t="s">
        <v>4</v>
      </c>
      <c r="E9" s="95" t="s">
        <v>199</v>
      </c>
      <c r="F9" s="96"/>
      <c r="G9" s="95" t="s">
        <v>634</v>
      </c>
      <c r="H9" s="96"/>
      <c r="I9" s="95" t="s">
        <v>5</v>
      </c>
      <c r="J9" s="95"/>
      <c r="K9" s="95" t="s">
        <v>7</v>
      </c>
      <c r="L9" s="96"/>
      <c r="M9" s="95" t="s">
        <v>91</v>
      </c>
      <c r="N9" s="96"/>
      <c r="O9" s="95" t="s">
        <v>171</v>
      </c>
      <c r="P9" s="96"/>
      <c r="Q9" s="95" t="s">
        <v>160</v>
      </c>
      <c r="R9" s="96"/>
      <c r="S9" s="95" t="s">
        <v>176</v>
      </c>
      <c r="T9" s="96"/>
      <c r="U9" s="95" t="s">
        <v>178</v>
      </c>
      <c r="V9" s="96"/>
      <c r="W9" s="95" t="s">
        <v>8</v>
      </c>
      <c r="X9" s="96"/>
      <c r="Y9" s="95" t="s">
        <v>9</v>
      </c>
      <c r="Z9" s="96"/>
      <c r="AA9" s="95" t="s">
        <v>189</v>
      </c>
      <c r="AC9" s="95" t="s">
        <v>190</v>
      </c>
      <c r="AE9" s="95" t="s">
        <v>627</v>
      </c>
      <c r="AG9" s="95" t="s">
        <v>191</v>
      </c>
      <c r="AH9" s="96"/>
      <c r="AI9" s="15" t="s">
        <v>96</v>
      </c>
      <c r="AK9" s="95" t="s">
        <v>194</v>
      </c>
      <c r="AM9" s="95" t="s">
        <v>611</v>
      </c>
      <c r="AO9" s="95" t="s">
        <v>194</v>
      </c>
      <c r="AQ9" s="95" t="s">
        <v>611</v>
      </c>
      <c r="AR9" s="96"/>
      <c r="AS9" s="96"/>
      <c r="AT9" s="97" t="s">
        <v>816</v>
      </c>
      <c r="AU9" s="97" t="s">
        <v>821</v>
      </c>
      <c r="AW9" s="15" t="s">
        <v>815</v>
      </c>
      <c r="AX9" s="97" t="s">
        <v>834</v>
      </c>
    </row>
    <row r="10" spans="1:50">
      <c r="A10" s="12"/>
      <c r="B10" s="12"/>
      <c r="C10" s="12"/>
      <c r="D10" s="12"/>
      <c r="E10" s="12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44"/>
      <c r="X10" s="44"/>
      <c r="Y10" s="27"/>
      <c r="Z10" s="27"/>
      <c r="AA10" s="27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</row>
    <row r="11" spans="1:50" s="32" customFormat="1">
      <c r="A11" s="31" t="s">
        <v>898</v>
      </c>
      <c r="B11" s="31"/>
      <c r="C11" s="31" t="s">
        <v>201</v>
      </c>
      <c r="D11" s="31"/>
      <c r="E11" s="31">
        <v>61903</v>
      </c>
      <c r="F11" s="52"/>
      <c r="G11" s="35">
        <v>8843548</v>
      </c>
      <c r="H11" s="35"/>
      <c r="I11" s="35">
        <v>0</v>
      </c>
      <c r="J11" s="35"/>
      <c r="K11" s="35">
        <v>35158251</v>
      </c>
      <c r="L11" s="35"/>
      <c r="M11" s="35">
        <v>21895</v>
      </c>
      <c r="N11" s="35"/>
      <c r="O11" s="35">
        <v>1199940</v>
      </c>
      <c r="P11" s="35"/>
      <c r="Q11" s="35">
        <v>265625</v>
      </c>
      <c r="R11" s="35"/>
      <c r="S11" s="35">
        <v>0</v>
      </c>
      <c r="T11" s="35"/>
      <c r="U11" s="35">
        <v>0</v>
      </c>
      <c r="V11" s="35"/>
      <c r="W11" s="35">
        <f>687912+290125</f>
        <v>978037</v>
      </c>
      <c r="X11" s="35"/>
      <c r="Y11" s="35">
        <f>SUM(G11:W11)</f>
        <v>46467296</v>
      </c>
      <c r="Z11" s="35"/>
      <c r="AA11" s="35">
        <v>96290</v>
      </c>
      <c r="AB11" s="35"/>
      <c r="AC11" s="35">
        <v>0</v>
      </c>
      <c r="AD11" s="35"/>
      <c r="AE11" s="35">
        <v>0</v>
      </c>
      <c r="AF11" s="35"/>
      <c r="AG11" s="35"/>
      <c r="AH11" s="35"/>
      <c r="AI11" s="35"/>
      <c r="AJ11" s="35"/>
      <c r="AK11" s="35">
        <v>8325</v>
      </c>
      <c r="AL11" s="35"/>
      <c r="AM11" s="35">
        <v>0</v>
      </c>
      <c r="AN11" s="35"/>
      <c r="AO11" s="53">
        <f>SUM(AA11:AM11)</f>
        <v>104615</v>
      </c>
      <c r="AP11" s="35"/>
      <c r="AQ11" s="53">
        <f>Y11+AO11</f>
        <v>46571911</v>
      </c>
      <c r="AR11" s="53"/>
      <c r="AT11" s="32" t="str">
        <f>A11</f>
        <v>Adams County/Ohio Valley Local SD</v>
      </c>
      <c r="AU11" s="32" t="str">
        <f>'Gov Fd BS'!A11</f>
        <v>Adams County/Ohio Valley Local SD</v>
      </c>
      <c r="AV11" s="32" t="b">
        <f>AT11=AU11</f>
        <v>1</v>
      </c>
      <c r="AW11" s="32" t="str">
        <f>C11</f>
        <v>Adams</v>
      </c>
      <c r="AX11" s="32" t="b">
        <f>C11='Gov Fd BS'!C11</f>
        <v>1</v>
      </c>
    </row>
    <row r="12" spans="1:50">
      <c r="A12" s="12" t="s">
        <v>607</v>
      </c>
      <c r="B12" s="12"/>
      <c r="C12" s="12" t="s">
        <v>58</v>
      </c>
      <c r="D12" s="12"/>
      <c r="E12" s="12">
        <v>49494</v>
      </c>
      <c r="F12" s="24"/>
      <c r="G12" s="24">
        <v>3417888</v>
      </c>
      <c r="H12" s="24"/>
      <c r="I12" s="24">
        <v>0</v>
      </c>
      <c r="J12" s="24"/>
      <c r="K12" s="24">
        <v>8575179</v>
      </c>
      <c r="L12" s="24"/>
      <c r="M12" s="24">
        <v>24187</v>
      </c>
      <c r="N12" s="24"/>
      <c r="O12" s="24">
        <v>686099</v>
      </c>
      <c r="P12" s="24"/>
      <c r="Q12" s="24">
        <v>191392</v>
      </c>
      <c r="R12" s="24"/>
      <c r="S12" s="24">
        <v>0</v>
      </c>
      <c r="T12" s="24"/>
      <c r="U12" s="24">
        <v>23333</v>
      </c>
      <c r="V12" s="24"/>
      <c r="W12" s="24">
        <f>233036+55068</f>
        <v>288104</v>
      </c>
      <c r="X12" s="24"/>
      <c r="Y12" s="38">
        <f>SUM(G12:W12)</f>
        <v>13206182</v>
      </c>
      <c r="Z12" s="24"/>
      <c r="AA12" s="24">
        <v>47045</v>
      </c>
      <c r="AB12" s="24"/>
      <c r="AC12" s="24">
        <v>0</v>
      </c>
      <c r="AD12" s="24"/>
      <c r="AE12" s="24">
        <v>0</v>
      </c>
      <c r="AF12" s="24"/>
      <c r="AG12" s="24"/>
      <c r="AH12" s="24"/>
      <c r="AI12" s="24"/>
      <c r="AJ12" s="24"/>
      <c r="AK12" s="24">
        <f>1583000+2135</f>
        <v>1585135</v>
      </c>
      <c r="AL12" s="24"/>
      <c r="AM12" s="24">
        <v>0</v>
      </c>
      <c r="AN12" s="24"/>
      <c r="AO12" s="38">
        <f t="shared" ref="AO12:AO74" si="0">SUM(AA12:AM12)</f>
        <v>1632180</v>
      </c>
      <c r="AP12" s="24"/>
      <c r="AQ12" s="38">
        <f>Y12+AO12</f>
        <v>14838362</v>
      </c>
      <c r="AR12" s="38"/>
      <c r="AS12" s="7"/>
      <c r="AT12" s="7" t="str">
        <f t="shared" ref="AT12:AT76" si="1">A12</f>
        <v xml:space="preserve">Adena Local SD </v>
      </c>
      <c r="AU12" s="7" t="str">
        <f>'Gov Fd BS'!A12</f>
        <v xml:space="preserve">Adena Local SD </v>
      </c>
      <c r="AV12" s="7" t="b">
        <f t="shared" ref="AV12:AV76" si="2">AT12=AU12</f>
        <v>1</v>
      </c>
      <c r="AW12" s="7" t="str">
        <f t="shared" ref="AW12:AW75" si="3">C12</f>
        <v>Ross</v>
      </c>
      <c r="AX12" s="7" t="b">
        <f>C12='Gov Fd BS'!C12</f>
        <v>1</v>
      </c>
    </row>
    <row r="13" spans="1:50">
      <c r="A13" s="12" t="s">
        <v>522</v>
      </c>
      <c r="B13" s="12"/>
      <c r="C13" s="12" t="s">
        <v>63</v>
      </c>
      <c r="D13" s="12"/>
      <c r="E13" s="12">
        <v>43489</v>
      </c>
      <c r="F13" s="24"/>
      <c r="G13" s="24">
        <v>102950767</v>
      </c>
      <c r="H13" s="24"/>
      <c r="I13" s="24">
        <v>0</v>
      </c>
      <c r="J13" s="24"/>
      <c r="K13" s="24">
        <v>270618779</v>
      </c>
      <c r="L13" s="24"/>
      <c r="M13" s="24">
        <v>359304</v>
      </c>
      <c r="N13" s="24"/>
      <c r="O13" s="24">
        <v>4449537</v>
      </c>
      <c r="P13" s="24"/>
      <c r="Q13" s="24">
        <v>1062004</v>
      </c>
      <c r="R13" s="24"/>
      <c r="S13" s="24">
        <v>0</v>
      </c>
      <c r="T13" s="24"/>
      <c r="U13" s="24">
        <v>1055789</v>
      </c>
      <c r="V13" s="24"/>
      <c r="W13" s="24">
        <f>2627855+3823590+952680+954672+2244155+275594</f>
        <v>10878546</v>
      </c>
      <c r="X13" s="24"/>
      <c r="Y13" s="38">
        <f t="shared" ref="Y13:Y31" si="4">SUM(G13:W13)</f>
        <v>391374726</v>
      </c>
      <c r="Z13" s="24"/>
      <c r="AA13" s="24">
        <v>77837</v>
      </c>
      <c r="AB13" s="24"/>
      <c r="AC13" s="24">
        <v>0</v>
      </c>
      <c r="AD13" s="24"/>
      <c r="AE13" s="24">
        <v>0</v>
      </c>
      <c r="AF13" s="24"/>
      <c r="AG13" s="24"/>
      <c r="AH13" s="24"/>
      <c r="AI13" s="24"/>
      <c r="AJ13" s="24"/>
      <c r="AK13" s="24">
        <v>0</v>
      </c>
      <c r="AL13" s="24"/>
      <c r="AM13" s="24">
        <v>0</v>
      </c>
      <c r="AN13" s="24"/>
      <c r="AO13" s="38">
        <f t="shared" si="0"/>
        <v>77837</v>
      </c>
      <c r="AP13" s="24"/>
      <c r="AQ13" s="38">
        <f t="shared" ref="AQ13:AQ76" si="5">Y13+AO13</f>
        <v>391452563</v>
      </c>
      <c r="AR13" s="38"/>
      <c r="AS13" s="7"/>
      <c r="AT13" s="7" t="str">
        <f t="shared" si="1"/>
        <v>Akron City SD</v>
      </c>
      <c r="AU13" s="7" t="str">
        <f>'Gov Fd BS'!A13</f>
        <v>Akron City SD</v>
      </c>
      <c r="AV13" s="7" t="b">
        <f t="shared" si="2"/>
        <v>1</v>
      </c>
      <c r="AW13" s="7" t="str">
        <f t="shared" si="3"/>
        <v>Summit</v>
      </c>
      <c r="AX13" s="7" t="b">
        <f>C13='Gov Fd BS'!C13</f>
        <v>1</v>
      </c>
    </row>
    <row r="14" spans="1:50" hidden="1">
      <c r="A14" s="12" t="s">
        <v>643</v>
      </c>
      <c r="B14" s="12"/>
      <c r="C14" s="12" t="s">
        <v>13</v>
      </c>
      <c r="D14" s="12"/>
      <c r="E14" s="12">
        <v>45906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38">
        <f t="shared" si="4"/>
        <v>0</v>
      </c>
      <c r="Z14" s="24"/>
      <c r="AA14" s="24"/>
      <c r="AB14" s="24"/>
      <c r="AC14" s="24">
        <v>0</v>
      </c>
      <c r="AD14" s="24"/>
      <c r="AE14" s="24"/>
      <c r="AF14" s="24"/>
      <c r="AG14" s="24"/>
      <c r="AH14" s="24"/>
      <c r="AI14" s="24"/>
      <c r="AJ14" s="24"/>
      <c r="AK14" s="24"/>
      <c r="AL14" s="24"/>
      <c r="AM14" s="24">
        <v>0</v>
      </c>
      <c r="AN14" s="24"/>
      <c r="AO14" s="38">
        <f t="shared" si="0"/>
        <v>0</v>
      </c>
      <c r="AP14" s="24"/>
      <c r="AQ14" s="38">
        <f t="shared" si="5"/>
        <v>0</v>
      </c>
      <c r="AR14" s="38"/>
      <c r="AS14" s="7" t="s">
        <v>778</v>
      </c>
      <c r="AT14" s="7" t="str">
        <f t="shared" si="1"/>
        <v>Alexander Local SD (CASH)</v>
      </c>
      <c r="AU14" s="7" t="str">
        <f>'Gov Fd BS'!A14</f>
        <v>Alexander Local SD (CASH)</v>
      </c>
      <c r="AV14" s="7" t="b">
        <f t="shared" si="2"/>
        <v>1</v>
      </c>
      <c r="AW14" s="7" t="str">
        <f t="shared" si="3"/>
        <v>Athens</v>
      </c>
      <c r="AX14" s="7" t="b">
        <f>C14='Gov Fd BS'!C14</f>
        <v>1</v>
      </c>
    </row>
    <row r="15" spans="1:50">
      <c r="A15" s="12" t="s">
        <v>508</v>
      </c>
      <c r="B15" s="12"/>
      <c r="C15" s="12" t="s">
        <v>62</v>
      </c>
      <c r="D15" s="12"/>
      <c r="E15" s="12">
        <v>43497</v>
      </c>
      <c r="F15" s="24"/>
      <c r="G15" s="24">
        <v>8335074</v>
      </c>
      <c r="H15" s="24"/>
      <c r="I15" s="24">
        <v>0</v>
      </c>
      <c r="J15" s="24"/>
      <c r="K15" s="24">
        <v>26234375</v>
      </c>
      <c r="L15" s="24"/>
      <c r="M15" s="24">
        <v>46265</v>
      </c>
      <c r="N15" s="24"/>
      <c r="O15" s="24">
        <v>596417</v>
      </c>
      <c r="P15" s="24"/>
      <c r="Q15" s="24">
        <v>420188</v>
      </c>
      <c r="R15" s="24"/>
      <c r="S15" s="24">
        <v>0</v>
      </c>
      <c r="T15" s="24"/>
      <c r="U15" s="24">
        <v>135144</v>
      </c>
      <c r="V15" s="24"/>
      <c r="W15" s="24">
        <f>94312+275676+89568</f>
        <v>459556</v>
      </c>
      <c r="X15" s="24"/>
      <c r="Y15" s="38">
        <f t="shared" si="4"/>
        <v>36227019</v>
      </c>
      <c r="Z15" s="24"/>
      <c r="AA15" s="24">
        <v>0</v>
      </c>
      <c r="AB15" s="24"/>
      <c r="AC15" s="24">
        <v>0</v>
      </c>
      <c r="AD15" s="24"/>
      <c r="AE15" s="24">
        <f>2259000+44186</f>
        <v>2303186</v>
      </c>
      <c r="AF15" s="24"/>
      <c r="AG15" s="24"/>
      <c r="AH15" s="24"/>
      <c r="AI15" s="24"/>
      <c r="AJ15" s="24"/>
      <c r="AK15" s="24">
        <v>0</v>
      </c>
      <c r="AL15" s="24"/>
      <c r="AM15" s="24">
        <v>0</v>
      </c>
      <c r="AN15" s="24"/>
      <c r="AO15" s="38">
        <f t="shared" si="0"/>
        <v>2303186</v>
      </c>
      <c r="AP15" s="24"/>
      <c r="AQ15" s="38">
        <f t="shared" si="5"/>
        <v>38530205</v>
      </c>
      <c r="AR15" s="38"/>
      <c r="AS15" s="7"/>
      <c r="AT15" s="7" t="str">
        <f t="shared" si="1"/>
        <v>Alliance City SD</v>
      </c>
      <c r="AU15" s="7" t="str">
        <f>'Gov Fd BS'!A15</f>
        <v>Alliance City SD</v>
      </c>
      <c r="AV15" s="7" t="b">
        <f t="shared" si="2"/>
        <v>1</v>
      </c>
      <c r="AW15" s="7" t="str">
        <f t="shared" si="3"/>
        <v>Stark</v>
      </c>
      <c r="AX15" s="7" t="b">
        <f>C15='Gov Fd BS'!C15</f>
        <v>1</v>
      </c>
    </row>
    <row r="16" spans="1:50">
      <c r="A16" s="12" t="s">
        <v>298</v>
      </c>
      <c r="B16" s="12"/>
      <c r="C16" s="12" t="s">
        <v>25</v>
      </c>
      <c r="D16" s="12"/>
      <c r="E16" s="12">
        <v>46847</v>
      </c>
      <c r="F16" s="24"/>
      <c r="G16" s="24">
        <v>2853454</v>
      </c>
      <c r="H16" s="24"/>
      <c r="I16" s="24">
        <v>0</v>
      </c>
      <c r="J16" s="24"/>
      <c r="K16" s="24">
        <v>11230820</v>
      </c>
      <c r="L16" s="24"/>
      <c r="M16" s="24">
        <v>24439</v>
      </c>
      <c r="N16" s="24"/>
      <c r="O16" s="24">
        <v>757831</v>
      </c>
      <c r="P16" s="24"/>
      <c r="Q16" s="24">
        <v>289156</v>
      </c>
      <c r="R16" s="24"/>
      <c r="S16" s="24">
        <v>0</v>
      </c>
      <c r="T16" s="24"/>
      <c r="U16" s="24">
        <v>6000</v>
      </c>
      <c r="V16" s="24"/>
      <c r="W16" s="24">
        <f>113192+403460+769</f>
        <v>517421</v>
      </c>
      <c r="X16" s="24"/>
      <c r="Y16" s="38">
        <f t="shared" si="4"/>
        <v>15679121</v>
      </c>
      <c r="Z16" s="24"/>
      <c r="AA16" s="24">
        <v>0</v>
      </c>
      <c r="AB16" s="24"/>
      <c r="AC16" s="24">
        <v>0</v>
      </c>
      <c r="AD16" s="24"/>
      <c r="AE16" s="24">
        <v>0</v>
      </c>
      <c r="AF16" s="24"/>
      <c r="AG16" s="24"/>
      <c r="AH16" s="24"/>
      <c r="AI16" s="24"/>
      <c r="AJ16" s="24"/>
      <c r="AK16" s="24">
        <v>37425</v>
      </c>
      <c r="AL16" s="24"/>
      <c r="AM16" s="24">
        <v>0</v>
      </c>
      <c r="AN16" s="24"/>
      <c r="AO16" s="38">
        <f t="shared" si="0"/>
        <v>37425</v>
      </c>
      <c r="AP16" s="24"/>
      <c r="AQ16" s="38">
        <f t="shared" si="5"/>
        <v>15716546</v>
      </c>
      <c r="AR16" s="38"/>
      <c r="AS16" s="7"/>
      <c r="AT16" s="7" t="str">
        <f t="shared" si="1"/>
        <v>Amanda-Clearcreek Local SD</v>
      </c>
      <c r="AU16" s="7" t="str">
        <f>'Gov Fd BS'!A16</f>
        <v>Amanda-Clearcreek Local SD</v>
      </c>
      <c r="AV16" s="7" t="b">
        <f t="shared" si="2"/>
        <v>1</v>
      </c>
      <c r="AW16" s="7" t="str">
        <f t="shared" si="3"/>
        <v>Fairfield</v>
      </c>
      <c r="AX16" s="7" t="b">
        <f>C16='Gov Fd BS'!C16</f>
        <v>1</v>
      </c>
    </row>
    <row r="17" spans="1:50">
      <c r="A17" s="12" t="s">
        <v>858</v>
      </c>
      <c r="B17" s="12"/>
      <c r="C17" s="12" t="s">
        <v>44</v>
      </c>
      <c r="D17" s="12"/>
      <c r="E17" s="12">
        <v>45195</v>
      </c>
      <c r="F17" s="27"/>
      <c r="G17" s="24">
        <v>17880831</v>
      </c>
      <c r="H17" s="24"/>
      <c r="I17" s="24">
        <v>0</v>
      </c>
      <c r="J17" s="24"/>
      <c r="K17" s="24">
        <v>21940168</v>
      </c>
      <c r="L17" s="24"/>
      <c r="M17" s="24">
        <v>23593</v>
      </c>
      <c r="N17" s="24"/>
      <c r="O17" s="24">
        <v>379472</v>
      </c>
      <c r="P17" s="24"/>
      <c r="Q17" s="24">
        <v>526639</v>
      </c>
      <c r="R17" s="24"/>
      <c r="S17" s="24">
        <v>0</v>
      </c>
      <c r="T17" s="24"/>
      <c r="U17" s="24">
        <v>38396</v>
      </c>
      <c r="V17" s="24"/>
      <c r="W17" s="24">
        <f>249836+1117263+10608</f>
        <v>1377707</v>
      </c>
      <c r="X17" s="24"/>
      <c r="Y17" s="38">
        <f t="shared" si="4"/>
        <v>42166806</v>
      </c>
      <c r="Z17" s="24"/>
      <c r="AA17" s="24">
        <v>10000</v>
      </c>
      <c r="AB17" s="24"/>
      <c r="AC17" s="24">
        <v>0</v>
      </c>
      <c r="AD17" s="24"/>
      <c r="AE17" s="24">
        <v>0</v>
      </c>
      <c r="AF17" s="24"/>
      <c r="AG17" s="24"/>
      <c r="AH17" s="24"/>
      <c r="AI17" s="24"/>
      <c r="AJ17" s="24"/>
      <c r="AK17" s="24">
        <v>4500</v>
      </c>
      <c r="AL17" s="24"/>
      <c r="AM17" s="24">
        <v>0</v>
      </c>
      <c r="AN17" s="24"/>
      <c r="AO17" s="38">
        <f t="shared" si="0"/>
        <v>14500</v>
      </c>
      <c r="AP17" s="24"/>
      <c r="AQ17" s="38">
        <f t="shared" si="5"/>
        <v>42181306</v>
      </c>
      <c r="AR17" s="38"/>
      <c r="AS17" s="7"/>
      <c r="AT17" s="7" t="str">
        <f t="shared" si="1"/>
        <v xml:space="preserve">Amherst Exempted Village SD </v>
      </c>
      <c r="AU17" s="7" t="str">
        <f>'Gov Fd BS'!A17</f>
        <v xml:space="preserve">Amherst Exempted Village SD </v>
      </c>
      <c r="AV17" s="7" t="b">
        <f t="shared" si="2"/>
        <v>1</v>
      </c>
      <c r="AW17" s="7" t="str">
        <f t="shared" si="3"/>
        <v>Lorain</v>
      </c>
      <c r="AX17" s="7" t="b">
        <f>C17='Gov Fd BS'!C17</f>
        <v>1</v>
      </c>
    </row>
    <row r="18" spans="1:50">
      <c r="A18" s="12" t="s">
        <v>928</v>
      </c>
      <c r="B18" s="12"/>
      <c r="C18" s="12" t="s">
        <v>61</v>
      </c>
      <c r="D18" s="12"/>
      <c r="E18" s="12">
        <v>49759</v>
      </c>
      <c r="F18" s="24"/>
      <c r="G18" s="24">
        <v>2721179</v>
      </c>
      <c r="H18" s="24"/>
      <c r="I18" s="24">
        <v>880969</v>
      </c>
      <c r="J18" s="24"/>
      <c r="K18" s="24">
        <v>6655110</v>
      </c>
      <c r="L18" s="24"/>
      <c r="M18" s="24">
        <v>81942</v>
      </c>
      <c r="N18" s="24"/>
      <c r="O18" s="24">
        <v>574784</v>
      </c>
      <c r="P18" s="24"/>
      <c r="Q18" s="24">
        <v>261671</v>
      </c>
      <c r="R18" s="24"/>
      <c r="S18" s="24">
        <v>3000</v>
      </c>
      <c r="T18" s="24"/>
      <c r="U18" s="24">
        <v>58640</v>
      </c>
      <c r="V18" s="24"/>
      <c r="W18" s="24">
        <f>47800+65194+390252-7708</f>
        <v>495538</v>
      </c>
      <c r="X18" s="24"/>
      <c r="Y18" s="38">
        <f t="shared" si="4"/>
        <v>11732833</v>
      </c>
      <c r="Z18" s="24"/>
      <c r="AA18" s="24">
        <v>0</v>
      </c>
      <c r="AB18" s="24"/>
      <c r="AC18" s="24">
        <v>0</v>
      </c>
      <c r="AD18" s="24"/>
      <c r="AE18" s="24">
        <v>0</v>
      </c>
      <c r="AF18" s="24"/>
      <c r="AG18" s="24"/>
      <c r="AH18" s="24"/>
      <c r="AI18" s="24"/>
      <c r="AJ18" s="24"/>
      <c r="AK18" s="24">
        <v>0</v>
      </c>
      <c r="AL18" s="24"/>
      <c r="AM18" s="24">
        <v>0</v>
      </c>
      <c r="AN18" s="24"/>
      <c r="AO18" s="38">
        <f t="shared" si="0"/>
        <v>0</v>
      </c>
      <c r="AP18" s="24"/>
      <c r="AQ18" s="38">
        <f t="shared" si="5"/>
        <v>11732833</v>
      </c>
      <c r="AR18" s="38"/>
      <c r="AS18" s="7" t="s">
        <v>929</v>
      </c>
      <c r="AT18" s="7" t="str">
        <f t="shared" si="1"/>
        <v>Anna Local SD</v>
      </c>
      <c r="AU18" s="7" t="str">
        <f>'Gov Fd BS'!A18</f>
        <v>Anna Local SD</v>
      </c>
      <c r="AV18" s="7" t="b">
        <f t="shared" si="2"/>
        <v>1</v>
      </c>
      <c r="AW18" s="7" t="str">
        <f t="shared" si="3"/>
        <v>Shelby</v>
      </c>
      <c r="AX18" s="7" t="b">
        <f>C18='Gov Fd BS'!C18</f>
        <v>1</v>
      </c>
    </row>
    <row r="19" spans="1:50" hidden="1">
      <c r="A19" s="12" t="s">
        <v>727</v>
      </c>
      <c r="B19" s="12"/>
      <c r="C19" s="12" t="s">
        <v>628</v>
      </c>
      <c r="D19" s="12"/>
      <c r="E19" s="12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38">
        <f t="shared" si="4"/>
        <v>0</v>
      </c>
      <c r="Z19" s="24"/>
      <c r="AA19" s="24"/>
      <c r="AB19" s="24"/>
      <c r="AC19" s="24">
        <v>0</v>
      </c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38">
        <f t="shared" si="0"/>
        <v>0</v>
      </c>
      <c r="AP19" s="24"/>
      <c r="AQ19" s="38">
        <f t="shared" si="5"/>
        <v>0</v>
      </c>
      <c r="AR19" s="38"/>
      <c r="AS19" s="7" t="s">
        <v>778</v>
      </c>
      <c r="AT19" s="7" t="str">
        <f t="shared" si="1"/>
        <v>Ansonia Local SD (CASH)</v>
      </c>
      <c r="AU19" s="7" t="str">
        <f>'Gov Fd BS'!A19</f>
        <v>Ansonia Local SD (CASH)</v>
      </c>
      <c r="AV19" s="7" t="b">
        <f t="shared" si="2"/>
        <v>1</v>
      </c>
      <c r="AW19" s="7" t="str">
        <f t="shared" si="3"/>
        <v xml:space="preserve">Darke </v>
      </c>
      <c r="AX19" s="7" t="b">
        <f>C19='Gov Fd BS'!C19</f>
        <v>1</v>
      </c>
    </row>
    <row r="20" spans="1:50">
      <c r="A20" s="12" t="s">
        <v>402</v>
      </c>
      <c r="B20" s="12"/>
      <c r="C20" s="12" t="s">
        <v>115</v>
      </c>
      <c r="D20" s="12"/>
      <c r="E20" s="12">
        <v>48207</v>
      </c>
      <c r="F20" s="24"/>
      <c r="G20" s="24">
        <v>23868370</v>
      </c>
      <c r="H20" s="24"/>
      <c r="I20" s="24">
        <v>0</v>
      </c>
      <c r="J20" s="24"/>
      <c r="K20" s="24">
        <f>12660641+2685672</f>
        <v>15346313</v>
      </c>
      <c r="L20" s="24"/>
      <c r="M20" s="24">
        <v>33652</v>
      </c>
      <c r="N20" s="24"/>
      <c r="O20" s="24">
        <v>396436</v>
      </c>
      <c r="P20" s="24"/>
      <c r="Q20" s="24">
        <v>523526</v>
      </c>
      <c r="R20" s="24"/>
      <c r="S20" s="24">
        <v>1310996</v>
      </c>
      <c r="T20" s="24"/>
      <c r="U20" s="24">
        <v>0</v>
      </c>
      <c r="V20" s="24"/>
      <c r="W20" s="24">
        <f>223328+227061+805176</f>
        <v>1255565</v>
      </c>
      <c r="X20" s="24"/>
      <c r="Y20" s="38">
        <f t="shared" si="4"/>
        <v>42734858</v>
      </c>
      <c r="Z20" s="24"/>
      <c r="AA20" s="24">
        <v>705515</v>
      </c>
      <c r="AB20" s="24"/>
      <c r="AC20" s="24">
        <v>0</v>
      </c>
      <c r="AD20" s="24"/>
      <c r="AE20" s="24">
        <v>346627</v>
      </c>
      <c r="AF20" s="24"/>
      <c r="AG20" s="24"/>
      <c r="AH20" s="24"/>
      <c r="AI20" s="24"/>
      <c r="AJ20" s="24"/>
      <c r="AK20" s="24">
        <f>4844996+19687</f>
        <v>4864683</v>
      </c>
      <c r="AL20" s="24"/>
      <c r="AM20" s="24">
        <v>0</v>
      </c>
      <c r="AN20" s="24"/>
      <c r="AO20" s="38">
        <f t="shared" si="0"/>
        <v>5916825</v>
      </c>
      <c r="AP20" s="24"/>
      <c r="AQ20" s="38">
        <f t="shared" si="5"/>
        <v>48651683</v>
      </c>
      <c r="AR20" s="38"/>
      <c r="AS20" s="7"/>
      <c r="AT20" s="7" t="str">
        <f t="shared" si="1"/>
        <v>Anthony Wayne Local SD</v>
      </c>
      <c r="AU20" s="7" t="str">
        <f>'Gov Fd BS'!A20</f>
        <v>Anthony Wayne Local SD</v>
      </c>
      <c r="AV20" s="7" t="b">
        <f t="shared" si="2"/>
        <v>1</v>
      </c>
      <c r="AW20" s="7" t="str">
        <f t="shared" si="3"/>
        <v>Lucas</v>
      </c>
      <c r="AX20" s="7" t="b">
        <f>C20='Gov Fd BS'!C20</f>
        <v>1</v>
      </c>
    </row>
    <row r="21" spans="1:50">
      <c r="A21" s="12" t="s">
        <v>343</v>
      </c>
      <c r="B21" s="12"/>
      <c r="C21" s="12" t="s">
        <v>33</v>
      </c>
      <c r="D21" s="12"/>
      <c r="E21" s="12">
        <v>47415</v>
      </c>
      <c r="F21" s="24"/>
      <c r="G21" s="24">
        <v>2083081</v>
      </c>
      <c r="H21" s="24"/>
      <c r="I21" s="24">
        <v>657234</v>
      </c>
      <c r="J21" s="24"/>
      <c r="K21" s="24">
        <v>2729620</v>
      </c>
      <c r="L21" s="24"/>
      <c r="M21" s="24">
        <v>9267</v>
      </c>
      <c r="N21" s="24"/>
      <c r="O21" s="24">
        <v>666658</v>
      </c>
      <c r="P21" s="24"/>
      <c r="Q21" s="24">
        <v>82382</v>
      </c>
      <c r="R21" s="24"/>
      <c r="S21" s="24">
        <v>0</v>
      </c>
      <c r="T21" s="24"/>
      <c r="U21" s="24">
        <v>19827</v>
      </c>
      <c r="V21" s="24"/>
      <c r="W21" s="24">
        <f>161835+49407</f>
        <v>211242</v>
      </c>
      <c r="X21" s="24"/>
      <c r="Y21" s="38">
        <f t="shared" si="4"/>
        <v>6459311</v>
      </c>
      <c r="Z21" s="24"/>
      <c r="AA21" s="24">
        <v>0</v>
      </c>
      <c r="AB21" s="24"/>
      <c r="AC21" s="24">
        <v>0</v>
      </c>
      <c r="AD21" s="24"/>
      <c r="AE21" s="24">
        <v>0</v>
      </c>
      <c r="AF21" s="24"/>
      <c r="AG21" s="24"/>
      <c r="AH21" s="24"/>
      <c r="AI21" s="24"/>
      <c r="AJ21" s="24"/>
      <c r="AK21" s="24">
        <v>0</v>
      </c>
      <c r="AL21" s="24"/>
      <c r="AM21" s="24">
        <v>0</v>
      </c>
      <c r="AN21" s="24"/>
      <c r="AO21" s="38">
        <f t="shared" si="0"/>
        <v>0</v>
      </c>
      <c r="AP21" s="24"/>
      <c r="AQ21" s="38">
        <f t="shared" si="5"/>
        <v>6459311</v>
      </c>
      <c r="AR21" s="38"/>
      <c r="AS21" s="7"/>
      <c r="AT21" s="7" t="str">
        <f t="shared" si="1"/>
        <v>Arcadia Local SD</v>
      </c>
      <c r="AU21" s="7" t="str">
        <f>'Gov Fd BS'!A21</f>
        <v>Arcadia Local SD</v>
      </c>
      <c r="AV21" s="7" t="b">
        <f t="shared" si="2"/>
        <v>1</v>
      </c>
      <c r="AW21" s="7" t="str">
        <f t="shared" si="3"/>
        <v>Hancock</v>
      </c>
      <c r="AX21" s="7" t="b">
        <f>C21='Gov Fd BS'!C21</f>
        <v>1</v>
      </c>
    </row>
    <row r="22" spans="1:50" hidden="1">
      <c r="A22" s="12" t="s">
        <v>702</v>
      </c>
      <c r="B22" s="12"/>
      <c r="C22" s="12" t="s">
        <v>21</v>
      </c>
      <c r="D22" s="12"/>
      <c r="E22" s="12">
        <v>46631</v>
      </c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38">
        <f t="shared" si="4"/>
        <v>0</v>
      </c>
      <c r="Z22" s="24"/>
      <c r="AA22" s="24"/>
      <c r="AB22" s="24"/>
      <c r="AC22" s="24">
        <v>0</v>
      </c>
      <c r="AD22" s="24"/>
      <c r="AE22" s="24"/>
      <c r="AF22" s="24"/>
      <c r="AG22" s="24"/>
      <c r="AH22" s="24"/>
      <c r="AI22" s="24"/>
      <c r="AJ22" s="24"/>
      <c r="AK22" s="24"/>
      <c r="AL22" s="24"/>
      <c r="AM22" s="24">
        <v>0</v>
      </c>
      <c r="AN22" s="24"/>
      <c r="AO22" s="38">
        <f t="shared" si="0"/>
        <v>0</v>
      </c>
      <c r="AP22" s="24"/>
      <c r="AQ22" s="38">
        <f t="shared" si="5"/>
        <v>0</v>
      </c>
      <c r="AR22" s="38"/>
      <c r="AS22" s="7" t="s">
        <v>778</v>
      </c>
      <c r="AT22" s="7" t="str">
        <f t="shared" si="1"/>
        <v>Arcanum Butler Local SD (CASH)</v>
      </c>
      <c r="AU22" s="7" t="str">
        <f>'Gov Fd BS'!A22</f>
        <v>Arcanum Butler Local SD (CASH)</v>
      </c>
      <c r="AV22" s="7" t="b">
        <f t="shared" si="2"/>
        <v>1</v>
      </c>
      <c r="AW22" s="7" t="str">
        <f t="shared" si="3"/>
        <v>Darke</v>
      </c>
      <c r="AX22" s="7" t="b">
        <f>C22='Gov Fd BS'!C22</f>
        <v>1</v>
      </c>
    </row>
    <row r="23" spans="1:50">
      <c r="A23" s="12" t="s">
        <v>318</v>
      </c>
      <c r="B23" s="12"/>
      <c r="C23" s="12" t="s">
        <v>28</v>
      </c>
      <c r="D23" s="12"/>
      <c r="E23" s="12">
        <v>47043</v>
      </c>
      <c r="F23" s="24"/>
      <c r="G23" s="24">
        <v>6257023</v>
      </c>
      <c r="H23" s="24"/>
      <c r="I23" s="24">
        <v>0</v>
      </c>
      <c r="J23" s="24"/>
      <c r="K23" s="24">
        <v>7494339</v>
      </c>
      <c r="L23" s="24"/>
      <c r="M23" s="24">
        <v>50935</v>
      </c>
      <c r="N23" s="24"/>
      <c r="O23" s="24">
        <v>421344</v>
      </c>
      <c r="P23" s="24"/>
      <c r="Q23" s="24">
        <v>238529</v>
      </c>
      <c r="R23" s="24"/>
      <c r="S23" s="24">
        <v>160459</v>
      </c>
      <c r="T23" s="24"/>
      <c r="U23" s="24">
        <v>1500</v>
      </c>
      <c r="V23" s="24"/>
      <c r="W23" s="24">
        <f>57801+3593+258738</f>
        <v>320132</v>
      </c>
      <c r="X23" s="24"/>
      <c r="Y23" s="38">
        <f t="shared" si="4"/>
        <v>14944261</v>
      </c>
      <c r="Z23" s="24"/>
      <c r="AA23" s="24">
        <v>0</v>
      </c>
      <c r="AB23" s="24"/>
      <c r="AC23" s="24">
        <v>0</v>
      </c>
      <c r="AD23" s="24"/>
      <c r="AE23" s="24">
        <f>625000+2679963</f>
        <v>3304963</v>
      </c>
      <c r="AF23" s="24"/>
      <c r="AG23" s="24"/>
      <c r="AH23" s="24"/>
      <c r="AI23" s="24"/>
      <c r="AJ23" s="24"/>
      <c r="AK23" s="24">
        <f>145678+751</f>
        <v>146429</v>
      </c>
      <c r="AL23" s="24"/>
      <c r="AM23" s="24">
        <v>0</v>
      </c>
      <c r="AN23" s="24"/>
      <c r="AO23" s="38">
        <f t="shared" si="0"/>
        <v>3451392</v>
      </c>
      <c r="AP23" s="24"/>
      <c r="AQ23" s="38">
        <f t="shared" si="5"/>
        <v>18395653</v>
      </c>
      <c r="AR23" s="38"/>
      <c r="AS23" s="7"/>
      <c r="AT23" s="7" t="str">
        <f t="shared" si="1"/>
        <v>Archbold-Area Local SD</v>
      </c>
      <c r="AU23" s="7" t="str">
        <f>'Gov Fd BS'!A23</f>
        <v>Archbold-Area Local SD</v>
      </c>
      <c r="AV23" s="7" t="b">
        <f t="shared" si="2"/>
        <v>1</v>
      </c>
      <c r="AW23" s="7" t="str">
        <f t="shared" si="3"/>
        <v>Fulton</v>
      </c>
      <c r="AX23" s="7" t="b">
        <f>C23='Gov Fd BS'!C23</f>
        <v>1</v>
      </c>
    </row>
    <row r="24" spans="1:50">
      <c r="A24" s="12" t="s">
        <v>344</v>
      </c>
      <c r="B24" s="12"/>
      <c r="C24" s="12" t="s">
        <v>33</v>
      </c>
      <c r="D24" s="12"/>
      <c r="E24" s="12">
        <v>47423</v>
      </c>
      <c r="F24" s="24"/>
      <c r="G24" s="24">
        <v>1334882</v>
      </c>
      <c r="H24" s="24"/>
      <c r="I24" s="24">
        <v>929417</v>
      </c>
      <c r="J24" s="24"/>
      <c r="K24" s="24">
        <v>3840088</v>
      </c>
      <c r="L24" s="24"/>
      <c r="M24" s="24">
        <v>12089</v>
      </c>
      <c r="N24" s="24"/>
      <c r="O24" s="24">
        <v>218069</v>
      </c>
      <c r="P24" s="24"/>
      <c r="Q24" s="24">
        <v>96615</v>
      </c>
      <c r="R24" s="24"/>
      <c r="S24" s="24">
        <v>0</v>
      </c>
      <c r="T24" s="24"/>
      <c r="U24" s="24">
        <v>13713</v>
      </c>
      <c r="V24" s="24"/>
      <c r="W24" s="24">
        <f>67244+180997</f>
        <v>248241</v>
      </c>
      <c r="X24" s="24"/>
      <c r="Y24" s="38">
        <f t="shared" si="4"/>
        <v>6693114</v>
      </c>
      <c r="Z24" s="24"/>
      <c r="AA24" s="24">
        <v>0</v>
      </c>
      <c r="AB24" s="24"/>
      <c r="AC24" s="24">
        <v>0</v>
      </c>
      <c r="AD24" s="24"/>
      <c r="AE24" s="24">
        <v>0</v>
      </c>
      <c r="AF24" s="24"/>
      <c r="AG24" s="24"/>
      <c r="AH24" s="24"/>
      <c r="AI24" s="24"/>
      <c r="AJ24" s="24"/>
      <c r="AK24" s="24">
        <v>900</v>
      </c>
      <c r="AL24" s="24"/>
      <c r="AM24" s="24">
        <v>0</v>
      </c>
      <c r="AN24" s="24"/>
      <c r="AO24" s="38">
        <f t="shared" si="0"/>
        <v>900</v>
      </c>
      <c r="AP24" s="24"/>
      <c r="AQ24" s="38">
        <f t="shared" si="5"/>
        <v>6694014</v>
      </c>
      <c r="AR24" s="38"/>
      <c r="AS24" s="7"/>
      <c r="AT24" s="7" t="str">
        <f t="shared" si="1"/>
        <v>Arlington Local SD</v>
      </c>
      <c r="AU24" s="7" t="str">
        <f>'Gov Fd BS'!A24</f>
        <v>Arlington Local SD</v>
      </c>
      <c r="AV24" s="7" t="b">
        <f t="shared" si="2"/>
        <v>1</v>
      </c>
      <c r="AW24" s="7" t="str">
        <f t="shared" si="3"/>
        <v>Hancock</v>
      </c>
      <c r="AX24" s="7" t="b">
        <f>C24='Gov Fd BS'!C24</f>
        <v>1</v>
      </c>
    </row>
    <row r="25" spans="1:50">
      <c r="A25" s="12" t="s">
        <v>204</v>
      </c>
      <c r="B25" s="12"/>
      <c r="C25" s="12" t="s">
        <v>11</v>
      </c>
      <c r="D25" s="12"/>
      <c r="E25" s="12">
        <v>43505</v>
      </c>
      <c r="F25" s="24"/>
      <c r="G25" s="24">
        <v>14148306</v>
      </c>
      <c r="H25" s="24"/>
      <c r="I25" s="24">
        <v>0</v>
      </c>
      <c r="J25" s="24"/>
      <c r="K25" s="24">
        <v>20171988</v>
      </c>
      <c r="L25" s="24"/>
      <c r="M25" s="24">
        <v>48728</v>
      </c>
      <c r="N25" s="24"/>
      <c r="O25" s="24">
        <v>1064751</v>
      </c>
      <c r="P25" s="24"/>
      <c r="Q25" s="24">
        <v>443292</v>
      </c>
      <c r="R25" s="24"/>
      <c r="S25" s="24">
        <v>232797</v>
      </c>
      <c r="T25" s="24"/>
      <c r="U25" s="24">
        <v>50718</v>
      </c>
      <c r="V25" s="24"/>
      <c r="W25" s="24">
        <f>155945+605387+13967</f>
        <v>775299</v>
      </c>
      <c r="X25" s="24"/>
      <c r="Y25" s="38">
        <f t="shared" si="4"/>
        <v>36935879</v>
      </c>
      <c r="Z25" s="24"/>
      <c r="AA25" s="24">
        <v>0</v>
      </c>
      <c r="AB25" s="24"/>
      <c r="AC25" s="24">
        <v>0</v>
      </c>
      <c r="AD25" s="24"/>
      <c r="AE25" s="24">
        <v>0</v>
      </c>
      <c r="AF25" s="24"/>
      <c r="AG25" s="24"/>
      <c r="AH25" s="24"/>
      <c r="AI25" s="24"/>
      <c r="AJ25" s="24"/>
      <c r="AK25" s="24">
        <v>15780</v>
      </c>
      <c r="AL25" s="24"/>
      <c r="AM25" s="24">
        <v>0</v>
      </c>
      <c r="AN25" s="24"/>
      <c r="AO25" s="38">
        <f t="shared" si="0"/>
        <v>15780</v>
      </c>
      <c r="AP25" s="24"/>
      <c r="AQ25" s="38">
        <f t="shared" si="5"/>
        <v>36951659</v>
      </c>
      <c r="AR25" s="38"/>
      <c r="AS25" s="7"/>
      <c r="AT25" s="7" t="str">
        <f t="shared" si="1"/>
        <v>Ashland City SD</v>
      </c>
      <c r="AU25" s="7" t="str">
        <f>'Gov Fd BS'!A25</f>
        <v>Ashland City SD</v>
      </c>
      <c r="AV25" s="7" t="b">
        <f t="shared" si="2"/>
        <v>1</v>
      </c>
      <c r="AW25" s="7" t="str">
        <f t="shared" si="3"/>
        <v>Ashland</v>
      </c>
      <c r="AX25" s="7" t="b">
        <f>C25='Gov Fd BS'!C25</f>
        <v>1</v>
      </c>
    </row>
    <row r="26" spans="1:50">
      <c r="A26" s="12" t="s">
        <v>701</v>
      </c>
      <c r="B26" s="12"/>
      <c r="C26" s="12" t="s">
        <v>12</v>
      </c>
      <c r="D26" s="12"/>
      <c r="E26" s="12">
        <v>43513</v>
      </c>
      <c r="F26" s="24"/>
      <c r="G26" s="24">
        <v>13505223</v>
      </c>
      <c r="H26" s="24"/>
      <c r="I26" s="24">
        <v>0</v>
      </c>
      <c r="J26" s="24"/>
      <c r="K26" s="24">
        <v>62356534</v>
      </c>
      <c r="L26" s="24"/>
      <c r="M26" s="24">
        <v>448289</v>
      </c>
      <c r="N26" s="24"/>
      <c r="O26" s="24">
        <v>55452</v>
      </c>
      <c r="P26" s="24"/>
      <c r="Q26" s="24">
        <v>105579</v>
      </c>
      <c r="R26" s="24"/>
      <c r="S26" s="24">
        <v>0</v>
      </c>
      <c r="T26" s="24"/>
      <c r="U26" s="24">
        <v>0</v>
      </c>
      <c r="V26" s="24"/>
      <c r="W26" s="24">
        <f>308587+324837</f>
        <v>633424</v>
      </c>
      <c r="X26" s="24"/>
      <c r="Y26" s="38">
        <f t="shared" si="4"/>
        <v>77104501</v>
      </c>
      <c r="Z26" s="24"/>
      <c r="AA26" s="24">
        <v>83560</v>
      </c>
      <c r="AB26" s="24"/>
      <c r="AC26" s="24">
        <v>0</v>
      </c>
      <c r="AD26" s="24"/>
      <c r="AE26" s="24">
        <v>0</v>
      </c>
      <c r="AF26" s="24"/>
      <c r="AG26" s="24"/>
      <c r="AH26" s="24"/>
      <c r="AI26" s="24"/>
      <c r="AJ26" s="24"/>
      <c r="AK26" s="24">
        <v>154965</v>
      </c>
      <c r="AL26" s="24"/>
      <c r="AM26" s="24">
        <v>0</v>
      </c>
      <c r="AN26" s="24"/>
      <c r="AO26" s="38">
        <f t="shared" si="0"/>
        <v>238525</v>
      </c>
      <c r="AP26" s="24"/>
      <c r="AQ26" s="38">
        <f t="shared" si="5"/>
        <v>77343026</v>
      </c>
      <c r="AR26" s="38"/>
      <c r="AS26" s="7"/>
      <c r="AT26" s="7" t="str">
        <f t="shared" si="1"/>
        <v xml:space="preserve">Ashtabula Area City SD </v>
      </c>
      <c r="AU26" s="7" t="str">
        <f>'Gov Fd BS'!A26</f>
        <v xml:space="preserve">Ashtabula Area City SD </v>
      </c>
      <c r="AV26" s="7" t="b">
        <f t="shared" si="2"/>
        <v>1</v>
      </c>
      <c r="AW26" s="7" t="str">
        <f t="shared" si="3"/>
        <v>Ashtabula</v>
      </c>
      <c r="AX26" s="7" t="b">
        <f>C26='Gov Fd BS'!C26</f>
        <v>1</v>
      </c>
    </row>
    <row r="27" spans="1:50">
      <c r="A27" s="12" t="s">
        <v>211</v>
      </c>
      <c r="B27" s="12"/>
      <c r="C27" s="12" t="s">
        <v>13</v>
      </c>
      <c r="D27" s="12"/>
      <c r="E27" s="12">
        <v>43521</v>
      </c>
      <c r="F27" s="24"/>
      <c r="G27" s="24">
        <v>15048753</v>
      </c>
      <c r="H27" s="24"/>
      <c r="I27" s="24">
        <v>3260583</v>
      </c>
      <c r="J27" s="24"/>
      <c r="K27" s="24">
        <v>13966917</v>
      </c>
      <c r="L27" s="24"/>
      <c r="M27" s="24">
        <v>144536</v>
      </c>
      <c r="N27" s="24"/>
      <c r="O27" s="24">
        <v>2570188</v>
      </c>
      <c r="P27" s="24"/>
      <c r="Q27" s="24">
        <v>91329</v>
      </c>
      <c r="R27" s="24"/>
      <c r="S27" s="24">
        <v>317647</v>
      </c>
      <c r="T27" s="24"/>
      <c r="U27" s="24">
        <v>235266</v>
      </c>
      <c r="V27" s="24"/>
      <c r="W27" s="24">
        <f>189285+250086+7005</f>
        <v>446376</v>
      </c>
      <c r="X27" s="24"/>
      <c r="Y27" s="38">
        <f t="shared" si="4"/>
        <v>36081595</v>
      </c>
      <c r="Z27" s="24"/>
      <c r="AA27" s="24">
        <v>74825</v>
      </c>
      <c r="AB27" s="24"/>
      <c r="AC27" s="24">
        <v>0</v>
      </c>
      <c r="AD27" s="24"/>
      <c r="AE27" s="24">
        <v>0</v>
      </c>
      <c r="AF27" s="24"/>
      <c r="AG27" s="24"/>
      <c r="AH27" s="24"/>
      <c r="AI27" s="24"/>
      <c r="AJ27" s="24"/>
      <c r="AK27" s="24">
        <v>1092700</v>
      </c>
      <c r="AL27" s="24"/>
      <c r="AM27" s="24">
        <v>0</v>
      </c>
      <c r="AN27" s="24"/>
      <c r="AO27" s="38">
        <f t="shared" si="0"/>
        <v>1167525</v>
      </c>
      <c r="AP27" s="24"/>
      <c r="AQ27" s="38">
        <f t="shared" si="5"/>
        <v>37249120</v>
      </c>
      <c r="AR27" s="38"/>
      <c r="AS27" s="7"/>
      <c r="AT27" s="7" t="str">
        <f t="shared" si="1"/>
        <v>Athens City SD</v>
      </c>
      <c r="AU27" s="7" t="str">
        <f>'Gov Fd BS'!A27</f>
        <v>Athens City SD</v>
      </c>
      <c r="AV27" s="7" t="b">
        <f t="shared" si="2"/>
        <v>1</v>
      </c>
      <c r="AW27" s="7" t="str">
        <f t="shared" si="3"/>
        <v>Athens</v>
      </c>
      <c r="AX27" s="7" t="b">
        <f>C27='Gov Fd BS'!C27</f>
        <v>1</v>
      </c>
    </row>
    <row r="28" spans="1:50">
      <c r="A28" s="12" t="s">
        <v>474</v>
      </c>
      <c r="B28" s="12"/>
      <c r="C28" s="12" t="s">
        <v>56</v>
      </c>
      <c r="D28" s="12"/>
      <c r="E28" s="12">
        <v>49171</v>
      </c>
      <c r="F28" s="24"/>
      <c r="G28" s="24">
        <v>22759539</v>
      </c>
      <c r="H28" s="24"/>
      <c r="I28" s="24">
        <v>0</v>
      </c>
      <c r="J28" s="24"/>
      <c r="K28" s="24">
        <v>10546656</v>
      </c>
      <c r="L28" s="24"/>
      <c r="M28" s="24">
        <v>29049</v>
      </c>
      <c r="N28" s="24"/>
      <c r="O28" s="24">
        <v>520516</v>
      </c>
      <c r="P28" s="24"/>
      <c r="Q28" s="24">
        <v>276023</v>
      </c>
      <c r="R28" s="24"/>
      <c r="S28" s="24">
        <v>0</v>
      </c>
      <c r="T28" s="24"/>
      <c r="U28" s="24">
        <v>100892</v>
      </c>
      <c r="V28" s="24"/>
      <c r="W28" s="24">
        <f>22132+628966+604094</f>
        <v>1255192</v>
      </c>
      <c r="X28" s="24"/>
      <c r="Y28" s="38">
        <f t="shared" si="4"/>
        <v>35487867</v>
      </c>
      <c r="Z28" s="24"/>
      <c r="AA28" s="24">
        <v>9227</v>
      </c>
      <c r="AB28" s="24"/>
      <c r="AC28" s="24">
        <v>0</v>
      </c>
      <c r="AD28" s="24"/>
      <c r="AE28" s="24">
        <v>0</v>
      </c>
      <c r="AF28" s="24"/>
      <c r="AG28" s="24"/>
      <c r="AH28" s="24"/>
      <c r="AI28" s="24"/>
      <c r="AJ28" s="24"/>
      <c r="AK28" s="24">
        <v>1200</v>
      </c>
      <c r="AL28" s="24"/>
      <c r="AM28" s="24">
        <v>0</v>
      </c>
      <c r="AN28" s="24"/>
      <c r="AO28" s="38">
        <f t="shared" si="0"/>
        <v>10427</v>
      </c>
      <c r="AP28" s="24"/>
      <c r="AQ28" s="38">
        <f t="shared" si="5"/>
        <v>35498294</v>
      </c>
      <c r="AR28" s="38"/>
      <c r="AS28" s="7"/>
      <c r="AT28" s="7" t="str">
        <f t="shared" si="1"/>
        <v>Aurora City SD</v>
      </c>
      <c r="AU28" s="7" t="str">
        <f>'Gov Fd BS'!A28</f>
        <v>Aurora City SD</v>
      </c>
      <c r="AV28" s="7" t="b">
        <f t="shared" si="2"/>
        <v>1</v>
      </c>
      <c r="AW28" s="7" t="str">
        <f t="shared" si="3"/>
        <v>Portage</v>
      </c>
      <c r="AX28" s="7" t="b">
        <f>C28='Gov Fd BS'!C28</f>
        <v>1</v>
      </c>
    </row>
    <row r="29" spans="1:50">
      <c r="A29" s="12" t="s">
        <v>414</v>
      </c>
      <c r="B29" s="12"/>
      <c r="C29" s="12" t="s">
        <v>45</v>
      </c>
      <c r="D29" s="12"/>
      <c r="E29" s="12">
        <v>48298</v>
      </c>
      <c r="F29" s="24"/>
      <c r="G29" s="24">
        <v>18027724</v>
      </c>
      <c r="H29" s="24"/>
      <c r="I29" s="24">
        <v>0</v>
      </c>
      <c r="J29" s="24"/>
      <c r="K29" s="24">
        <f>16309+28860425+6159747</f>
        <v>35036481</v>
      </c>
      <c r="L29" s="24"/>
      <c r="M29" s="24">
        <v>306037</v>
      </c>
      <c r="N29" s="24"/>
      <c r="O29" s="24">
        <v>2014999</v>
      </c>
      <c r="P29" s="24"/>
      <c r="Q29" s="24">
        <v>584360</v>
      </c>
      <c r="R29" s="24"/>
      <c r="S29" s="24">
        <v>0</v>
      </c>
      <c r="T29" s="24"/>
      <c r="U29" s="24">
        <v>0</v>
      </c>
      <c r="V29" s="24"/>
      <c r="W29" s="24">
        <f>151326+121393+805256</f>
        <v>1077975</v>
      </c>
      <c r="X29" s="24"/>
      <c r="Y29" s="38">
        <f t="shared" si="4"/>
        <v>57047576</v>
      </c>
      <c r="Z29" s="24"/>
      <c r="AA29" s="24">
        <v>644744</v>
      </c>
      <c r="AB29" s="24"/>
      <c r="AC29" s="24">
        <v>0</v>
      </c>
      <c r="AD29" s="24"/>
      <c r="AE29" s="24">
        <f>657415+26680000</f>
        <v>27337415</v>
      </c>
      <c r="AF29" s="24"/>
      <c r="AG29" s="24"/>
      <c r="AH29" s="24"/>
      <c r="AI29" s="24"/>
      <c r="AJ29" s="24"/>
      <c r="AK29" s="24">
        <f>3040+26682099</f>
        <v>26685139</v>
      </c>
      <c r="AL29" s="24"/>
      <c r="AM29" s="24">
        <v>0</v>
      </c>
      <c r="AN29" s="24"/>
      <c r="AO29" s="38">
        <f t="shared" si="0"/>
        <v>54667298</v>
      </c>
      <c r="AP29" s="24"/>
      <c r="AQ29" s="38">
        <f t="shared" si="5"/>
        <v>111714874</v>
      </c>
      <c r="AR29" s="38"/>
      <c r="AS29" s="7"/>
      <c r="AT29" s="7" t="str">
        <f t="shared" si="1"/>
        <v>Austintown Local SD</v>
      </c>
      <c r="AU29" s="7" t="str">
        <f>'Gov Fd BS'!A29</f>
        <v>Austintown Local SD</v>
      </c>
      <c r="AV29" s="7" t="b">
        <f t="shared" si="2"/>
        <v>1</v>
      </c>
      <c r="AW29" s="7" t="str">
        <f t="shared" si="3"/>
        <v>Mahoning</v>
      </c>
      <c r="AX29" s="7" t="b">
        <f>C29='Gov Fd BS'!C29</f>
        <v>1</v>
      </c>
    </row>
    <row r="30" spans="1:50">
      <c r="A30" s="12" t="s">
        <v>392</v>
      </c>
      <c r="B30" s="12"/>
      <c r="C30" s="12" t="s">
        <v>44</v>
      </c>
      <c r="D30" s="12"/>
      <c r="E30" s="12">
        <v>48124</v>
      </c>
      <c r="F30" s="24"/>
      <c r="G30" s="24">
        <v>30522111</v>
      </c>
      <c r="H30" s="24"/>
      <c r="I30" s="24">
        <v>0</v>
      </c>
      <c r="J30" s="24"/>
      <c r="K30" s="24">
        <v>13643013</v>
      </c>
      <c r="L30" s="24"/>
      <c r="M30" s="24">
        <v>183515</v>
      </c>
      <c r="N30" s="24"/>
      <c r="O30" s="24">
        <v>561156</v>
      </c>
      <c r="P30" s="24"/>
      <c r="Q30" s="24">
        <v>612952</v>
      </c>
      <c r="R30" s="24"/>
      <c r="S30" s="24">
        <v>0</v>
      </c>
      <c r="T30" s="24"/>
      <c r="U30" s="24">
        <v>0</v>
      </c>
      <c r="V30" s="24"/>
      <c r="W30" s="24">
        <f>497609+1065511</f>
        <v>1563120</v>
      </c>
      <c r="X30" s="24"/>
      <c r="Y30" s="38">
        <f t="shared" si="4"/>
        <v>47085867</v>
      </c>
      <c r="Z30" s="24"/>
      <c r="AA30" s="24">
        <v>223545</v>
      </c>
      <c r="AB30" s="24"/>
      <c r="AC30" s="24">
        <v>0</v>
      </c>
      <c r="AD30" s="24"/>
      <c r="AE30" s="24">
        <v>287087</v>
      </c>
      <c r="AF30" s="24"/>
      <c r="AG30" s="24"/>
      <c r="AH30" s="24"/>
      <c r="AI30" s="24"/>
      <c r="AJ30" s="24"/>
      <c r="AK30" s="24">
        <v>18495866</v>
      </c>
      <c r="AL30" s="24"/>
      <c r="AM30" s="24">
        <v>0</v>
      </c>
      <c r="AN30" s="24"/>
      <c r="AO30" s="38">
        <f t="shared" si="0"/>
        <v>19006498</v>
      </c>
      <c r="AP30" s="24"/>
      <c r="AQ30" s="38">
        <f t="shared" si="5"/>
        <v>66092365</v>
      </c>
      <c r="AR30" s="38"/>
      <c r="AS30" s="7"/>
      <c r="AT30" s="7" t="str">
        <f t="shared" si="1"/>
        <v>Avon Lake City SD</v>
      </c>
      <c r="AU30" s="7" t="str">
        <f>'Gov Fd BS'!A30</f>
        <v>Avon Lake City SD</v>
      </c>
      <c r="AV30" s="7" t="b">
        <f t="shared" si="2"/>
        <v>1</v>
      </c>
      <c r="AW30" s="7" t="str">
        <f t="shared" si="3"/>
        <v>Lorain</v>
      </c>
      <c r="AX30" s="7" t="b">
        <f>C30='Gov Fd BS'!C30</f>
        <v>1</v>
      </c>
    </row>
    <row r="31" spans="1:50">
      <c r="A31" s="12" t="s">
        <v>393</v>
      </c>
      <c r="B31" s="12"/>
      <c r="C31" s="12" t="s">
        <v>44</v>
      </c>
      <c r="D31" s="12"/>
      <c r="E31" s="12">
        <v>48116</v>
      </c>
      <c r="F31" s="24"/>
      <c r="G31" s="24">
        <v>27555677</v>
      </c>
      <c r="H31" s="24"/>
      <c r="I31" s="24">
        <v>0</v>
      </c>
      <c r="J31" s="24"/>
      <c r="K31" s="24">
        <v>9830028</v>
      </c>
      <c r="L31" s="24"/>
      <c r="M31" s="24">
        <v>77525</v>
      </c>
      <c r="N31" s="24"/>
      <c r="O31" s="24">
        <v>873109</v>
      </c>
      <c r="P31" s="24"/>
      <c r="Q31" s="24">
        <v>405841</v>
      </c>
      <c r="R31" s="24"/>
      <c r="S31" s="24">
        <v>0</v>
      </c>
      <c r="T31" s="24"/>
      <c r="U31" s="24">
        <v>0</v>
      </c>
      <c r="V31" s="24"/>
      <c r="W31" s="24">
        <f>532803+633412</f>
        <v>1166215</v>
      </c>
      <c r="X31" s="24"/>
      <c r="Y31" s="38">
        <f t="shared" si="4"/>
        <v>39908395</v>
      </c>
      <c r="Z31" s="24"/>
      <c r="AA31" s="24">
        <v>0</v>
      </c>
      <c r="AB31" s="24"/>
      <c r="AC31" s="24">
        <v>0</v>
      </c>
      <c r="AD31" s="24"/>
      <c r="AE31" s="24">
        <v>0</v>
      </c>
      <c r="AF31" s="24"/>
      <c r="AG31" s="24"/>
      <c r="AH31" s="24"/>
      <c r="AI31" s="24"/>
      <c r="AJ31" s="24"/>
      <c r="AK31" s="24">
        <v>0</v>
      </c>
      <c r="AL31" s="24"/>
      <c r="AM31" s="24">
        <v>0</v>
      </c>
      <c r="AN31" s="24"/>
      <c r="AO31" s="38">
        <f t="shared" si="0"/>
        <v>0</v>
      </c>
      <c r="AP31" s="24"/>
      <c r="AQ31" s="38">
        <f t="shared" si="5"/>
        <v>39908395</v>
      </c>
      <c r="AR31" s="38"/>
      <c r="AS31" s="7"/>
      <c r="AT31" s="7" t="str">
        <f t="shared" si="1"/>
        <v>Avon Local SD</v>
      </c>
      <c r="AU31" s="7" t="str">
        <f>'Gov Fd BS'!A31</f>
        <v>Avon Local SD</v>
      </c>
      <c r="AV31" s="7" t="b">
        <f t="shared" si="2"/>
        <v>1</v>
      </c>
      <c r="AW31" s="7" t="str">
        <f t="shared" si="3"/>
        <v>Lorain</v>
      </c>
      <c r="AX31" s="7" t="b">
        <f>C31='Gov Fd BS'!C31</f>
        <v>1</v>
      </c>
    </row>
    <row r="32" spans="1:50" ht="12.75" customHeight="1">
      <c r="A32" s="12" t="s">
        <v>289</v>
      </c>
      <c r="B32" s="12"/>
      <c r="C32" s="12" t="s">
        <v>22</v>
      </c>
      <c r="D32" s="12"/>
      <c r="E32" s="12">
        <v>46706</v>
      </c>
      <c r="F32" s="24"/>
      <c r="G32" s="24">
        <v>2197662</v>
      </c>
      <c r="H32" s="24"/>
      <c r="I32" s="24">
        <v>793052</v>
      </c>
      <c r="J32" s="24"/>
      <c r="K32" s="24">
        <f>3304055+591185</f>
        <v>3895240</v>
      </c>
      <c r="L32" s="24"/>
      <c r="M32" s="24">
        <v>5302</v>
      </c>
      <c r="N32" s="24"/>
      <c r="O32" s="24">
        <v>1300529</v>
      </c>
      <c r="P32" s="24"/>
      <c r="Q32" s="24">
        <v>91173</v>
      </c>
      <c r="R32" s="24"/>
      <c r="S32" s="24">
        <v>34669</v>
      </c>
      <c r="T32" s="24"/>
      <c r="U32" s="8">
        <v>17640</v>
      </c>
      <c r="V32" s="24"/>
      <c r="W32" s="24">
        <f>60416+1215+41990+221895</f>
        <v>325516</v>
      </c>
      <c r="X32" s="24"/>
      <c r="Y32" s="38">
        <f>SUM(G32:W32)</f>
        <v>8660783</v>
      </c>
      <c r="Z32" s="24"/>
      <c r="AA32" s="24">
        <v>77362</v>
      </c>
      <c r="AB32" s="24"/>
      <c r="AC32" s="24">
        <v>0</v>
      </c>
      <c r="AD32" s="24"/>
      <c r="AE32" s="24">
        <v>0</v>
      </c>
      <c r="AF32" s="24"/>
      <c r="AG32" s="24"/>
      <c r="AH32" s="24"/>
      <c r="AI32" s="24"/>
      <c r="AJ32" s="24"/>
      <c r="AK32" s="24">
        <f>159401+3187</f>
        <v>162588</v>
      </c>
      <c r="AL32" s="24"/>
      <c r="AM32" s="24">
        <v>0</v>
      </c>
      <c r="AN32" s="24"/>
      <c r="AO32" s="38">
        <f t="shared" si="0"/>
        <v>239950</v>
      </c>
      <c r="AP32" s="24"/>
      <c r="AQ32" s="38">
        <f t="shared" si="5"/>
        <v>8900733</v>
      </c>
      <c r="AR32" s="38"/>
      <c r="AS32" s="7"/>
      <c r="AT32" s="7" t="str">
        <f t="shared" si="1"/>
        <v>Ayersville Local SD</v>
      </c>
      <c r="AU32" s="7" t="str">
        <f>'Gov Fd BS'!A32</f>
        <v>Ayersville Local SD</v>
      </c>
      <c r="AV32" s="7" t="b">
        <f t="shared" si="2"/>
        <v>1</v>
      </c>
      <c r="AW32" s="7" t="str">
        <f t="shared" si="3"/>
        <v>Defiance</v>
      </c>
      <c r="AX32" s="7" t="b">
        <f>C32='Gov Fd BS'!C32</f>
        <v>1</v>
      </c>
    </row>
    <row r="33" spans="1:50">
      <c r="A33" s="12" t="s">
        <v>523</v>
      </c>
      <c r="B33" s="12"/>
      <c r="C33" s="12" t="s">
        <v>63</v>
      </c>
      <c r="D33" s="12"/>
      <c r="E33" s="12">
        <v>43539</v>
      </c>
      <c r="F33" s="24"/>
      <c r="G33" s="24">
        <v>12300084</v>
      </c>
      <c r="H33" s="24"/>
      <c r="I33" s="24">
        <v>0</v>
      </c>
      <c r="J33" s="24"/>
      <c r="K33" s="24">
        <f>131327+44860118+9977953</f>
        <v>54969398</v>
      </c>
      <c r="L33" s="24"/>
      <c r="M33" s="24">
        <v>137443</v>
      </c>
      <c r="N33" s="24"/>
      <c r="O33" s="24">
        <f>1043414+175346</f>
        <v>1218760</v>
      </c>
      <c r="P33" s="24"/>
      <c r="Q33" s="24">
        <v>345234</v>
      </c>
      <c r="R33" s="24"/>
      <c r="S33" s="24">
        <v>0</v>
      </c>
      <c r="T33" s="24"/>
      <c r="U33" s="24">
        <v>2376622</v>
      </c>
      <c r="V33" s="24"/>
      <c r="W33" s="24">
        <f>692910+465520</f>
        <v>1158430</v>
      </c>
      <c r="X33" s="24"/>
      <c r="Y33" s="38">
        <f t="shared" ref="Y33:Y49" si="6">SUM(G33:X33)</f>
        <v>72505971</v>
      </c>
      <c r="Z33" s="24"/>
      <c r="AA33" s="24">
        <v>1351510</v>
      </c>
      <c r="AB33" s="24"/>
      <c r="AC33" s="24">
        <v>0</v>
      </c>
      <c r="AD33" s="24"/>
      <c r="AE33" s="24">
        <v>0</v>
      </c>
      <c r="AF33" s="24"/>
      <c r="AG33" s="24"/>
      <c r="AH33" s="24"/>
      <c r="AI33" s="24"/>
      <c r="AJ33" s="24"/>
      <c r="AK33" s="24">
        <v>0</v>
      </c>
      <c r="AL33" s="24"/>
      <c r="AM33" s="24">
        <v>0</v>
      </c>
      <c r="AN33" s="24"/>
      <c r="AO33" s="38">
        <f t="shared" si="0"/>
        <v>1351510</v>
      </c>
      <c r="AP33" s="24"/>
      <c r="AQ33" s="38">
        <f t="shared" si="5"/>
        <v>73857481</v>
      </c>
      <c r="AR33" s="38"/>
      <c r="AS33" s="7"/>
      <c r="AT33" s="7" t="str">
        <f t="shared" si="1"/>
        <v>Barberton City SD</v>
      </c>
      <c r="AU33" s="7" t="str">
        <f>'Gov Fd BS'!A33</f>
        <v>Barberton City SD</v>
      </c>
      <c r="AV33" s="7" t="b">
        <f t="shared" si="2"/>
        <v>1</v>
      </c>
      <c r="AW33" s="7" t="str">
        <f t="shared" si="3"/>
        <v>Summit</v>
      </c>
      <c r="AX33" s="7" t="b">
        <f>C33='Gov Fd BS'!C33</f>
        <v>1</v>
      </c>
    </row>
    <row r="34" spans="1:50">
      <c r="A34" s="12" t="s">
        <v>859</v>
      </c>
      <c r="B34" s="12"/>
      <c r="C34" s="12" t="s">
        <v>15</v>
      </c>
      <c r="D34" s="12"/>
      <c r="E34" s="12"/>
      <c r="F34" s="24"/>
      <c r="G34" s="24">
        <v>2836149</v>
      </c>
      <c r="H34" s="24"/>
      <c r="I34" s="24">
        <v>0</v>
      </c>
      <c r="J34" s="24"/>
      <c r="K34" s="24">
        <v>8236122</v>
      </c>
      <c r="L34" s="24"/>
      <c r="M34" s="24">
        <v>35960</v>
      </c>
      <c r="N34" s="24"/>
      <c r="O34" s="24">
        <v>617661</v>
      </c>
      <c r="P34" s="24"/>
      <c r="Q34" s="24">
        <v>169802</v>
      </c>
      <c r="R34" s="24"/>
      <c r="S34" s="24">
        <v>0</v>
      </c>
      <c r="T34" s="24"/>
      <c r="U34" s="24">
        <v>17646</v>
      </c>
      <c r="V34" s="24"/>
      <c r="W34" s="24">
        <f>113891+90229</f>
        <v>204120</v>
      </c>
      <c r="X34" s="24"/>
      <c r="Y34" s="38">
        <f t="shared" si="6"/>
        <v>12117460</v>
      </c>
      <c r="Z34" s="24"/>
      <c r="AA34" s="24">
        <v>1889541</v>
      </c>
      <c r="AB34" s="24"/>
      <c r="AC34" s="24">
        <v>0</v>
      </c>
      <c r="AD34" s="24"/>
      <c r="AE34" s="24">
        <v>0</v>
      </c>
      <c r="AF34" s="24"/>
      <c r="AG34" s="24"/>
      <c r="AH34" s="24"/>
      <c r="AI34" s="24"/>
      <c r="AJ34" s="24"/>
      <c r="AK34" s="24">
        <v>0</v>
      </c>
      <c r="AL34" s="24"/>
      <c r="AM34" s="24">
        <v>0</v>
      </c>
      <c r="AN34" s="24"/>
      <c r="AO34" s="38">
        <f t="shared" si="0"/>
        <v>1889541</v>
      </c>
      <c r="AP34" s="24"/>
      <c r="AQ34" s="38">
        <f t="shared" si="5"/>
        <v>14007001</v>
      </c>
      <c r="AR34" s="38"/>
      <c r="AS34" s="7"/>
      <c r="AT34" s="7" t="str">
        <f t="shared" si="1"/>
        <v>Barnesville Exempted Village SD</v>
      </c>
      <c r="AU34" s="7" t="str">
        <f>'Gov Fd BS'!A34</f>
        <v>Barnesville Exempted Village SD</v>
      </c>
      <c r="AV34" s="7" t="b">
        <f t="shared" si="2"/>
        <v>1</v>
      </c>
      <c r="AW34" s="7" t="str">
        <f t="shared" si="3"/>
        <v>Belmont</v>
      </c>
      <c r="AX34" s="7" t="b">
        <f>C34='Gov Fd BS'!C34</f>
        <v>1</v>
      </c>
    </row>
    <row r="35" spans="1:50">
      <c r="A35" s="12" t="s">
        <v>242</v>
      </c>
      <c r="B35" s="12"/>
      <c r="C35" s="12" t="s">
        <v>113</v>
      </c>
      <c r="D35" s="12"/>
      <c r="E35" s="12">
        <v>46300</v>
      </c>
      <c r="F35" s="24"/>
      <c r="G35" s="24">
        <v>6962573</v>
      </c>
      <c r="H35" s="24"/>
      <c r="I35" s="24">
        <v>0</v>
      </c>
      <c r="J35" s="24"/>
      <c r="K35" s="24">
        <v>10730301</v>
      </c>
      <c r="L35" s="24"/>
      <c r="M35" s="24">
        <v>2363</v>
      </c>
      <c r="N35" s="24"/>
      <c r="O35" s="24">
        <v>1164253</v>
      </c>
      <c r="P35" s="24"/>
      <c r="Q35" s="24">
        <v>0</v>
      </c>
      <c r="R35" s="24"/>
      <c r="S35" s="24">
        <v>407218</v>
      </c>
      <c r="T35" s="24"/>
      <c r="U35" s="24">
        <v>0</v>
      </c>
      <c r="V35" s="24"/>
      <c r="W35" s="24">
        <v>558496</v>
      </c>
      <c r="X35" s="24"/>
      <c r="Y35" s="38">
        <f t="shared" si="6"/>
        <v>19825204</v>
      </c>
      <c r="Z35" s="24"/>
      <c r="AA35" s="24">
        <v>62860</v>
      </c>
      <c r="AB35" s="24"/>
      <c r="AC35" s="24">
        <v>0</v>
      </c>
      <c r="AD35" s="24"/>
      <c r="AE35" s="24">
        <v>0</v>
      </c>
      <c r="AF35" s="24"/>
      <c r="AG35" s="24"/>
      <c r="AH35" s="24"/>
      <c r="AI35" s="24"/>
      <c r="AJ35" s="24"/>
      <c r="AK35" s="24">
        <v>0</v>
      </c>
      <c r="AL35" s="24"/>
      <c r="AM35" s="24">
        <v>0</v>
      </c>
      <c r="AN35" s="24"/>
      <c r="AO35" s="38">
        <f t="shared" si="0"/>
        <v>62860</v>
      </c>
      <c r="AP35" s="24"/>
      <c r="AQ35" s="38">
        <f t="shared" si="5"/>
        <v>19888064</v>
      </c>
      <c r="AR35" s="38"/>
      <c r="AS35" s="7"/>
      <c r="AT35" s="7" t="str">
        <f t="shared" si="1"/>
        <v>Batavia Local SD</v>
      </c>
      <c r="AU35" s="7" t="str">
        <f>'Gov Fd BS'!A35</f>
        <v>Batavia Local SD</v>
      </c>
      <c r="AV35" s="7" t="b">
        <f t="shared" si="2"/>
        <v>1</v>
      </c>
      <c r="AW35" s="7" t="str">
        <f t="shared" si="3"/>
        <v>Clermont</v>
      </c>
      <c r="AX35" s="7" t="b">
        <f>C35='Gov Fd BS'!C35</f>
        <v>1</v>
      </c>
    </row>
    <row r="36" spans="1:50" s="105" customFormat="1" hidden="1">
      <c r="A36" s="12" t="s">
        <v>703</v>
      </c>
      <c r="C36" s="105" t="s">
        <v>10</v>
      </c>
      <c r="E36" s="8">
        <v>45765</v>
      </c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38">
        <f t="shared" si="6"/>
        <v>0</v>
      </c>
      <c r="Z36" s="24"/>
      <c r="AA36" s="24"/>
      <c r="AB36" s="24"/>
      <c r="AC36" s="24">
        <v>0</v>
      </c>
      <c r="AD36" s="24"/>
      <c r="AE36" s="24"/>
      <c r="AF36" s="24"/>
      <c r="AG36" s="24"/>
      <c r="AH36" s="24"/>
      <c r="AI36" s="24"/>
      <c r="AJ36" s="24"/>
      <c r="AK36" s="24"/>
      <c r="AL36" s="24"/>
      <c r="AM36" s="24">
        <v>0</v>
      </c>
      <c r="AN36" s="24"/>
      <c r="AO36" s="38">
        <f t="shared" si="0"/>
        <v>0</v>
      </c>
      <c r="AP36" s="24"/>
      <c r="AQ36" s="38">
        <f t="shared" si="5"/>
        <v>0</v>
      </c>
      <c r="AR36" s="38"/>
      <c r="AS36" s="7" t="s">
        <v>778</v>
      </c>
      <c r="AT36" s="7" t="str">
        <f t="shared" si="1"/>
        <v>Bath Local SD (CASH)</v>
      </c>
      <c r="AU36" s="7" t="str">
        <f>'Gov Fd BS'!A36</f>
        <v>Bath Local SD (CASH)</v>
      </c>
      <c r="AV36" s="7" t="b">
        <f t="shared" si="2"/>
        <v>1</v>
      </c>
      <c r="AW36" s="7" t="str">
        <f t="shared" si="3"/>
        <v>Allen</v>
      </c>
      <c r="AX36" s="7" t="b">
        <f>C36='Gov Fd BS'!C36</f>
        <v>1</v>
      </c>
    </row>
    <row r="37" spans="1:50">
      <c r="A37" s="12" t="s">
        <v>661</v>
      </c>
      <c r="B37" s="12"/>
      <c r="C37" s="12" t="s">
        <v>20</v>
      </c>
      <c r="D37" s="12"/>
      <c r="E37" s="12">
        <v>43547</v>
      </c>
      <c r="F37" s="24"/>
      <c r="G37" s="24">
        <v>22615475</v>
      </c>
      <c r="H37" s="24"/>
      <c r="I37" s="24">
        <v>0</v>
      </c>
      <c r="J37" s="24"/>
      <c r="K37" s="24">
        <v>9592718</v>
      </c>
      <c r="L37" s="24"/>
      <c r="M37" s="24">
        <v>140236</v>
      </c>
      <c r="N37" s="24"/>
      <c r="O37" s="24">
        <v>1117435</v>
      </c>
      <c r="P37" s="24"/>
      <c r="Q37" s="24">
        <v>386822</v>
      </c>
      <c r="R37" s="24"/>
      <c r="S37" s="24">
        <v>0</v>
      </c>
      <c r="T37" s="24"/>
      <c r="U37" s="24">
        <v>0</v>
      </c>
      <c r="V37" s="24"/>
      <c r="W37" s="24">
        <f>453735+705727</f>
        <v>1159462</v>
      </c>
      <c r="X37" s="24"/>
      <c r="Y37" s="38">
        <f t="shared" si="6"/>
        <v>35012148</v>
      </c>
      <c r="Z37" s="24"/>
      <c r="AA37" s="24">
        <v>92231</v>
      </c>
      <c r="AB37" s="24"/>
      <c r="AC37" s="24">
        <v>0</v>
      </c>
      <c r="AD37" s="24"/>
      <c r="AE37" s="24">
        <v>0</v>
      </c>
      <c r="AF37" s="24"/>
      <c r="AG37" s="24"/>
      <c r="AH37" s="24"/>
      <c r="AI37" s="24"/>
      <c r="AJ37" s="24"/>
      <c r="AK37" s="24">
        <v>0</v>
      </c>
      <c r="AL37" s="24"/>
      <c r="AM37" s="24">
        <v>0</v>
      </c>
      <c r="AN37" s="24"/>
      <c r="AO37" s="38">
        <f t="shared" si="0"/>
        <v>92231</v>
      </c>
      <c r="AP37" s="24"/>
      <c r="AQ37" s="38">
        <f t="shared" si="5"/>
        <v>35104379</v>
      </c>
      <c r="AR37" s="38"/>
      <c r="AS37" s="7"/>
      <c r="AT37" s="7" t="str">
        <f t="shared" si="1"/>
        <v xml:space="preserve">Bay Village City SD </v>
      </c>
      <c r="AU37" s="7" t="str">
        <f>'Gov Fd BS'!A37</f>
        <v xml:space="preserve">Bay Village City SD </v>
      </c>
      <c r="AV37" s="7" t="b">
        <f t="shared" si="2"/>
        <v>1</v>
      </c>
      <c r="AW37" s="7" t="str">
        <f t="shared" si="3"/>
        <v>Cuyahoga</v>
      </c>
      <c r="AX37" s="7" t="b">
        <f>C37='Gov Fd BS'!C37</f>
        <v>1</v>
      </c>
    </row>
    <row r="38" spans="1:50">
      <c r="A38" s="12" t="s">
        <v>267</v>
      </c>
      <c r="B38" s="12"/>
      <c r="C38" s="12" t="s">
        <v>20</v>
      </c>
      <c r="D38" s="12"/>
      <c r="E38" s="12">
        <v>43554</v>
      </c>
      <c r="F38" s="24"/>
      <c r="G38" s="24">
        <v>26735219</v>
      </c>
      <c r="H38" s="24"/>
      <c r="I38" s="24">
        <v>0</v>
      </c>
      <c r="J38" s="24"/>
      <c r="K38" s="24">
        <v>10213155</v>
      </c>
      <c r="L38" s="24"/>
      <c r="M38" s="24">
        <v>333272</v>
      </c>
      <c r="N38" s="24"/>
      <c r="O38" s="24">
        <v>3358651</v>
      </c>
      <c r="P38" s="24"/>
      <c r="Q38" s="24">
        <v>46483</v>
      </c>
      <c r="R38" s="24"/>
      <c r="S38" s="24">
        <v>0</v>
      </c>
      <c r="T38" s="24"/>
      <c r="U38" s="24">
        <v>10091</v>
      </c>
      <c r="V38" s="24"/>
      <c r="W38" s="24">
        <f>296635+675785+294827</f>
        <v>1267247</v>
      </c>
      <c r="X38" s="24"/>
      <c r="Y38" s="38">
        <f t="shared" si="6"/>
        <v>41964118</v>
      </c>
      <c r="Z38" s="24"/>
      <c r="AA38" s="24">
        <v>243024</v>
      </c>
      <c r="AB38" s="24"/>
      <c r="AC38" s="24">
        <v>0</v>
      </c>
      <c r="AD38" s="24"/>
      <c r="AE38" s="24">
        <f>30000000+319567+267639</f>
        <v>30587206</v>
      </c>
      <c r="AF38" s="24"/>
      <c r="AG38" s="24"/>
      <c r="AH38" s="24"/>
      <c r="AI38" s="24"/>
      <c r="AJ38" s="24"/>
      <c r="AK38" s="24">
        <v>0</v>
      </c>
      <c r="AL38" s="24"/>
      <c r="AM38" s="24">
        <v>0</v>
      </c>
      <c r="AN38" s="24"/>
      <c r="AO38" s="38">
        <f t="shared" si="0"/>
        <v>30830230</v>
      </c>
      <c r="AP38" s="24"/>
      <c r="AQ38" s="38">
        <f t="shared" si="5"/>
        <v>72794348</v>
      </c>
      <c r="AR38" s="38"/>
      <c r="AS38" s="7"/>
      <c r="AT38" s="7" t="str">
        <f t="shared" si="1"/>
        <v>Beachwood City SD</v>
      </c>
      <c r="AU38" s="7" t="str">
        <f>'Gov Fd BS'!A38</f>
        <v>Beachwood City SD</v>
      </c>
      <c r="AV38" s="7" t="b">
        <f t="shared" si="2"/>
        <v>1</v>
      </c>
      <c r="AW38" s="7" t="str">
        <f t="shared" si="3"/>
        <v>Cuyahoga</v>
      </c>
      <c r="AX38" s="7" t="b">
        <f>C38='Gov Fd BS'!C38</f>
        <v>1</v>
      </c>
    </row>
    <row r="39" spans="1:50">
      <c r="A39" s="12" t="s">
        <v>252</v>
      </c>
      <c r="B39" s="12"/>
      <c r="C39" s="12" t="s">
        <v>112</v>
      </c>
      <c r="D39" s="12"/>
      <c r="E39" s="12">
        <v>46425</v>
      </c>
      <c r="F39" s="24"/>
      <c r="G39" s="24">
        <v>5226541</v>
      </c>
      <c r="H39" s="24"/>
      <c r="I39" s="24">
        <v>0</v>
      </c>
      <c r="J39" s="24"/>
      <c r="K39" s="24">
        <v>13182313</v>
      </c>
      <c r="L39" s="24"/>
      <c r="M39" s="24">
        <v>1593</v>
      </c>
      <c r="N39" s="24"/>
      <c r="O39" s="24">
        <v>1513308</v>
      </c>
      <c r="P39" s="24"/>
      <c r="Q39" s="24">
        <v>275750</v>
      </c>
      <c r="R39" s="24"/>
      <c r="S39" s="24">
        <v>0</v>
      </c>
      <c r="T39" s="24"/>
      <c r="U39" s="24">
        <v>0</v>
      </c>
      <c r="V39" s="24"/>
      <c r="W39" s="24">
        <f>15307+270107+78485</f>
        <v>363899</v>
      </c>
      <c r="X39" s="24"/>
      <c r="Y39" s="38">
        <f t="shared" si="6"/>
        <v>20563404</v>
      </c>
      <c r="Z39" s="24"/>
      <c r="AA39" s="24">
        <v>13785</v>
      </c>
      <c r="AB39" s="24"/>
      <c r="AC39" s="24">
        <v>0</v>
      </c>
      <c r="AD39" s="24"/>
      <c r="AE39" s="24">
        <v>387870</v>
      </c>
      <c r="AF39" s="24"/>
      <c r="AG39" s="24"/>
      <c r="AH39" s="24"/>
      <c r="AI39" s="24"/>
      <c r="AJ39" s="24"/>
      <c r="AK39" s="24">
        <v>4312</v>
      </c>
      <c r="AL39" s="24"/>
      <c r="AM39" s="24">
        <v>0</v>
      </c>
      <c r="AN39" s="24"/>
      <c r="AO39" s="38">
        <f>SUM(AA39:AM39)</f>
        <v>405967</v>
      </c>
      <c r="AP39" s="24"/>
      <c r="AQ39" s="38">
        <f>Y39+AO39</f>
        <v>20969371</v>
      </c>
      <c r="AR39" s="38"/>
      <c r="AS39" s="7"/>
      <c r="AT39" s="7" t="str">
        <f t="shared" si="1"/>
        <v>Beaver Local SD</v>
      </c>
      <c r="AU39" s="7" t="str">
        <f>'Gov Fd BS'!A39</f>
        <v>Beaver Local SD</v>
      </c>
      <c r="AV39" s="7" t="b">
        <f t="shared" si="2"/>
        <v>1</v>
      </c>
      <c r="AW39" s="7" t="str">
        <f t="shared" si="3"/>
        <v>Columbiana</v>
      </c>
      <c r="AX39" s="7" t="b">
        <f>C39='Gov Fd BS'!C39</f>
        <v>1</v>
      </c>
    </row>
    <row r="40" spans="1:50">
      <c r="A40" s="12" t="s">
        <v>325</v>
      </c>
      <c r="B40" s="12"/>
      <c r="C40" s="12" t="s">
        <v>114</v>
      </c>
      <c r="D40" s="12"/>
      <c r="E40" s="12">
        <v>47241</v>
      </c>
      <c r="F40" s="24"/>
      <c r="G40" s="24">
        <v>58182084</v>
      </c>
      <c r="H40" s="24"/>
      <c r="I40" s="24">
        <v>0</v>
      </c>
      <c r="J40" s="24"/>
      <c r="K40" s="24">
        <v>26118898</v>
      </c>
      <c r="L40" s="24"/>
      <c r="M40" s="24">
        <v>811773</v>
      </c>
      <c r="N40" s="24"/>
      <c r="O40" s="24">
        <v>1149656</v>
      </c>
      <c r="P40" s="24"/>
      <c r="Q40" s="24">
        <v>671333</v>
      </c>
      <c r="R40" s="24"/>
      <c r="S40" s="24">
        <v>0</v>
      </c>
      <c r="T40" s="24"/>
      <c r="U40" s="24">
        <v>108698</v>
      </c>
      <c r="V40" s="24"/>
      <c r="W40" s="24">
        <f>10525+2250069+355066</f>
        <v>2615660</v>
      </c>
      <c r="X40" s="24"/>
      <c r="Y40" s="38">
        <f t="shared" si="6"/>
        <v>89658102</v>
      </c>
      <c r="Z40" s="24"/>
      <c r="AA40" s="24">
        <v>0</v>
      </c>
      <c r="AB40" s="24"/>
      <c r="AC40" s="24">
        <v>0</v>
      </c>
      <c r="AD40" s="24"/>
      <c r="AE40" s="24">
        <v>0</v>
      </c>
      <c r="AF40" s="24"/>
      <c r="AG40" s="24"/>
      <c r="AH40" s="24"/>
      <c r="AI40" s="24"/>
      <c r="AJ40" s="24"/>
      <c r="AK40" s="24">
        <v>0</v>
      </c>
      <c r="AL40" s="24"/>
      <c r="AM40" s="24">
        <v>0</v>
      </c>
      <c r="AN40" s="24"/>
      <c r="AO40" s="38">
        <f t="shared" si="0"/>
        <v>0</v>
      </c>
      <c r="AP40" s="24"/>
      <c r="AQ40" s="38">
        <f>Y40+AO40</f>
        <v>89658102</v>
      </c>
      <c r="AR40" s="38"/>
      <c r="AS40" s="7"/>
      <c r="AT40" s="7" t="str">
        <f t="shared" si="1"/>
        <v>Beavercreek City SD</v>
      </c>
      <c r="AU40" s="7" t="str">
        <f>'Gov Fd BS'!A40</f>
        <v>Beavercreek City SD</v>
      </c>
      <c r="AV40" s="7" t="b">
        <f t="shared" si="2"/>
        <v>1</v>
      </c>
      <c r="AW40" s="7" t="str">
        <f t="shared" si="3"/>
        <v>Greene</v>
      </c>
      <c r="AX40" s="7" t="b">
        <f>C40='Gov Fd BS'!C40</f>
        <v>1</v>
      </c>
    </row>
    <row r="41" spans="1:50">
      <c r="A41" s="12" t="s">
        <v>268</v>
      </c>
      <c r="B41" s="12"/>
      <c r="C41" s="12" t="s">
        <v>20</v>
      </c>
      <c r="D41" s="12"/>
      <c r="E41" s="12">
        <v>43562</v>
      </c>
      <c r="F41" s="24"/>
      <c r="G41" s="24">
        <v>30111839</v>
      </c>
      <c r="H41" s="24"/>
      <c r="I41" s="24">
        <v>0</v>
      </c>
      <c r="J41" s="24"/>
      <c r="K41" s="24">
        <v>22656406</v>
      </c>
      <c r="L41" s="24"/>
      <c r="M41" s="24">
        <v>27479</v>
      </c>
      <c r="N41" s="24"/>
      <c r="O41" s="24">
        <v>1472019</v>
      </c>
      <c r="P41" s="24"/>
      <c r="Q41" s="24">
        <v>235356</v>
      </c>
      <c r="R41" s="24"/>
      <c r="S41" s="24">
        <v>0</v>
      </c>
      <c r="T41" s="24"/>
      <c r="U41" s="24">
        <v>27790</v>
      </c>
      <c r="V41" s="24"/>
      <c r="W41" s="24">
        <f>616090+23328+371913</f>
        <v>1011331</v>
      </c>
      <c r="X41" s="24"/>
      <c r="Y41" s="38">
        <f t="shared" si="6"/>
        <v>55542220</v>
      </c>
      <c r="Z41" s="24"/>
      <c r="AA41" s="24">
        <v>391980</v>
      </c>
      <c r="AB41" s="24"/>
      <c r="AC41" s="24">
        <v>0</v>
      </c>
      <c r="AD41" s="24"/>
      <c r="AE41" s="24">
        <v>590386</v>
      </c>
      <c r="AF41" s="24"/>
      <c r="AG41" s="24"/>
      <c r="AH41" s="24"/>
      <c r="AI41" s="24"/>
      <c r="AJ41" s="24"/>
      <c r="AK41" s="24">
        <v>16250</v>
      </c>
      <c r="AL41" s="24"/>
      <c r="AM41" s="24">
        <v>0</v>
      </c>
      <c r="AN41" s="24"/>
      <c r="AO41" s="38">
        <f t="shared" si="0"/>
        <v>998616</v>
      </c>
      <c r="AP41" s="24"/>
      <c r="AQ41" s="38">
        <f>Y41+AO41</f>
        <v>56540836</v>
      </c>
      <c r="AR41" s="38"/>
      <c r="AS41" s="7"/>
      <c r="AT41" s="7" t="str">
        <f t="shared" si="1"/>
        <v>Bedford City SD</v>
      </c>
      <c r="AU41" s="7" t="str">
        <f>'Gov Fd BS'!A41</f>
        <v>Bedford City SD</v>
      </c>
      <c r="AV41" s="7" t="b">
        <f t="shared" si="2"/>
        <v>1</v>
      </c>
      <c r="AW41" s="7" t="str">
        <f t="shared" si="3"/>
        <v>Cuyahoga</v>
      </c>
      <c r="AX41" s="7" t="b">
        <f>C41='Gov Fd BS'!C41</f>
        <v>1</v>
      </c>
    </row>
    <row r="42" spans="1:50">
      <c r="A42" s="12" t="s">
        <v>216</v>
      </c>
      <c r="B42" s="12"/>
      <c r="C42" s="12" t="s">
        <v>15</v>
      </c>
      <c r="D42" s="12"/>
      <c r="E42" s="12">
        <v>43570</v>
      </c>
      <c r="F42" s="24"/>
      <c r="G42" s="24">
        <v>2529793</v>
      </c>
      <c r="H42" s="24"/>
      <c r="I42" s="24">
        <v>0</v>
      </c>
      <c r="J42" s="24"/>
      <c r="K42" s="24">
        <v>14193782</v>
      </c>
      <c r="L42" s="24"/>
      <c r="M42" s="24">
        <v>24098</v>
      </c>
      <c r="N42" s="24"/>
      <c r="O42" s="24">
        <v>817800</v>
      </c>
      <c r="P42" s="24"/>
      <c r="Q42" s="24">
        <v>174140</v>
      </c>
      <c r="R42" s="24"/>
      <c r="S42" s="24">
        <v>0</v>
      </c>
      <c r="T42" s="24"/>
      <c r="U42" s="24">
        <v>6425</v>
      </c>
      <c r="V42" s="24"/>
      <c r="W42" s="24">
        <f>271766+33729</f>
        <v>305495</v>
      </c>
      <c r="X42" s="24"/>
      <c r="Y42" s="38">
        <f t="shared" si="6"/>
        <v>18051533</v>
      </c>
      <c r="Z42" s="24"/>
      <c r="AA42" s="24">
        <v>0</v>
      </c>
      <c r="AB42" s="24"/>
      <c r="AC42" s="24">
        <v>0</v>
      </c>
      <c r="AD42" s="24"/>
      <c r="AE42" s="24">
        <v>0</v>
      </c>
      <c r="AF42" s="24"/>
      <c r="AG42" s="24"/>
      <c r="AH42" s="24"/>
      <c r="AI42" s="24"/>
      <c r="AJ42" s="24"/>
      <c r="AK42" s="24">
        <v>0</v>
      </c>
      <c r="AL42" s="24"/>
      <c r="AM42" s="24">
        <v>0</v>
      </c>
      <c r="AN42" s="24"/>
      <c r="AO42" s="38">
        <f t="shared" si="0"/>
        <v>0</v>
      </c>
      <c r="AP42" s="24"/>
      <c r="AQ42" s="38">
        <f>Y42+AO42</f>
        <v>18051533</v>
      </c>
      <c r="AR42" s="38"/>
      <c r="AS42" s="7"/>
      <c r="AT42" s="7" t="str">
        <f t="shared" si="1"/>
        <v>Bellaire Local SD</v>
      </c>
      <c r="AU42" s="7" t="str">
        <f>'Gov Fd BS'!A42</f>
        <v>Bellaire Local SD</v>
      </c>
      <c r="AV42" s="7" t="b">
        <f t="shared" si="2"/>
        <v>1</v>
      </c>
      <c r="AW42" s="7" t="str">
        <f t="shared" si="3"/>
        <v>Belmont</v>
      </c>
      <c r="AX42" s="7" t="b">
        <f>C42='Gov Fd BS'!C42</f>
        <v>1</v>
      </c>
    </row>
    <row r="43" spans="1:50">
      <c r="A43" s="12" t="s">
        <v>796</v>
      </c>
      <c r="B43" s="12"/>
      <c r="C43" s="12" t="s">
        <v>114</v>
      </c>
      <c r="D43" s="12"/>
      <c r="E43" s="12"/>
      <c r="F43" s="24"/>
      <c r="G43" s="24">
        <v>18659419</v>
      </c>
      <c r="H43" s="24"/>
      <c r="I43" s="24">
        <v>0</v>
      </c>
      <c r="J43" s="24"/>
      <c r="K43" s="24">
        <v>10477629</v>
      </c>
      <c r="L43" s="24"/>
      <c r="M43" s="24">
        <v>4229</v>
      </c>
      <c r="N43" s="24"/>
      <c r="O43" s="24">
        <v>522411</v>
      </c>
      <c r="P43" s="24"/>
      <c r="Q43" s="24">
        <v>399674</v>
      </c>
      <c r="R43" s="24"/>
      <c r="S43" s="24">
        <v>0</v>
      </c>
      <c r="T43" s="24"/>
      <c r="U43" s="24">
        <v>273044</v>
      </c>
      <c r="V43" s="24"/>
      <c r="W43" s="24">
        <f>525596+25611+402156</f>
        <v>953363</v>
      </c>
      <c r="X43" s="24"/>
      <c r="Y43" s="38">
        <f t="shared" si="6"/>
        <v>31289769</v>
      </c>
      <c r="Z43" s="24"/>
      <c r="AA43" s="24">
        <v>16370</v>
      </c>
      <c r="AB43" s="24"/>
      <c r="AC43" s="24">
        <v>0</v>
      </c>
      <c r="AD43" s="24"/>
      <c r="AE43" s="24">
        <v>200392</v>
      </c>
      <c r="AF43" s="24"/>
      <c r="AG43" s="24"/>
      <c r="AH43" s="24"/>
      <c r="AI43" s="24"/>
      <c r="AJ43" s="24"/>
      <c r="AK43" s="24">
        <v>2400</v>
      </c>
      <c r="AL43" s="24"/>
      <c r="AM43" s="24">
        <v>0</v>
      </c>
      <c r="AN43" s="24"/>
      <c r="AO43" s="38">
        <f t="shared" si="0"/>
        <v>219162</v>
      </c>
      <c r="AP43" s="24"/>
      <c r="AQ43" s="38">
        <f t="shared" si="5"/>
        <v>31508931</v>
      </c>
      <c r="AR43" s="38"/>
      <c r="AS43" s="7" t="s">
        <v>780</v>
      </c>
      <c r="AT43" s="7" t="str">
        <f t="shared" ref="AT43" si="7">A43</f>
        <v>Bellbrook-Sugarcreek Local SD</v>
      </c>
      <c r="AU43" s="7" t="str">
        <f>'Gov Fd BS'!A43</f>
        <v>Bellbrook-Sugarcreek Local SD</v>
      </c>
      <c r="AV43" s="7" t="b">
        <f t="shared" ref="AV43" si="8">AT43=AU43</f>
        <v>1</v>
      </c>
      <c r="AW43" s="7" t="str">
        <f t="shared" si="3"/>
        <v>Greene</v>
      </c>
      <c r="AX43" s="7" t="b">
        <f>C43='Gov Fd BS'!C43</f>
        <v>1</v>
      </c>
    </row>
    <row r="44" spans="1:50">
      <c r="A44" s="12" t="s">
        <v>365</v>
      </c>
      <c r="B44" s="12"/>
      <c r="C44" s="12" t="s">
        <v>37</v>
      </c>
      <c r="D44" s="12"/>
      <c r="E44" s="12">
        <v>43596</v>
      </c>
      <c r="F44" s="24"/>
      <c r="G44" s="24">
        <v>8061394</v>
      </c>
      <c r="H44" s="24"/>
      <c r="I44" s="24">
        <v>1236902</v>
      </c>
      <c r="J44" s="24"/>
      <c r="K44" s="24">
        <f>21830216+3185621</f>
        <v>25015837</v>
      </c>
      <c r="L44" s="24"/>
      <c r="M44" s="24">
        <v>92824</v>
      </c>
      <c r="N44" s="24"/>
      <c r="O44" s="24">
        <f>333809+79363</f>
        <v>413172</v>
      </c>
      <c r="P44" s="24"/>
      <c r="Q44" s="24">
        <v>288453</v>
      </c>
      <c r="R44" s="24"/>
      <c r="S44" s="24">
        <v>0</v>
      </c>
      <c r="T44" s="24"/>
      <c r="U44" s="24">
        <v>28425</v>
      </c>
      <c r="V44" s="24"/>
      <c r="W44" s="24">
        <f>408273+3330+202474</f>
        <v>614077</v>
      </c>
      <c r="X44" s="24"/>
      <c r="Y44" s="38">
        <f t="shared" si="6"/>
        <v>35751084</v>
      </c>
      <c r="Z44" s="24"/>
      <c r="AA44" s="24">
        <v>96137</v>
      </c>
      <c r="AB44" s="24"/>
      <c r="AC44" s="24">
        <v>0</v>
      </c>
      <c r="AD44" s="24"/>
      <c r="AE44" s="24">
        <v>22330</v>
      </c>
      <c r="AF44" s="24"/>
      <c r="AG44" s="24"/>
      <c r="AH44" s="24"/>
      <c r="AI44" s="24"/>
      <c r="AJ44" s="24"/>
      <c r="AK44" s="24">
        <v>54271</v>
      </c>
      <c r="AL44" s="24"/>
      <c r="AM44" s="24">
        <v>0</v>
      </c>
      <c r="AN44" s="24"/>
      <c r="AO44" s="38">
        <f t="shared" si="0"/>
        <v>172738</v>
      </c>
      <c r="AP44" s="24"/>
      <c r="AQ44" s="38">
        <f t="shared" si="5"/>
        <v>35923822</v>
      </c>
      <c r="AR44" s="38"/>
      <c r="AS44" s="7"/>
      <c r="AT44" s="7" t="str">
        <f t="shared" si="1"/>
        <v>Bellevue City SD</v>
      </c>
      <c r="AU44" s="7" t="str">
        <f>'Gov Fd BS'!A44</f>
        <v>Bellevue City SD</v>
      </c>
      <c r="AV44" s="7" t="b">
        <f t="shared" si="2"/>
        <v>1</v>
      </c>
      <c r="AW44" s="7" t="str">
        <f t="shared" si="3"/>
        <v>Huron</v>
      </c>
      <c r="AX44" s="7" t="b">
        <f>C44='Gov Fd BS'!C44</f>
        <v>1</v>
      </c>
    </row>
    <row r="45" spans="1:50">
      <c r="A45" s="12" t="s">
        <v>564</v>
      </c>
      <c r="B45" s="12"/>
      <c r="C45" s="12" t="s">
        <v>70</v>
      </c>
      <c r="D45" s="12"/>
      <c r="E45" s="12">
        <v>43604</v>
      </c>
      <c r="F45" s="24"/>
      <c r="G45" s="24">
        <v>3168901</v>
      </c>
      <c r="H45" s="24"/>
      <c r="I45" s="24">
        <v>0</v>
      </c>
      <c r="J45" s="24"/>
      <c r="K45" s="24">
        <f>5512689+2324483</f>
        <v>7837172</v>
      </c>
      <c r="L45" s="24"/>
      <c r="M45" s="24">
        <v>53304</v>
      </c>
      <c r="N45" s="24"/>
      <c r="O45" s="24">
        <f>352293+31206</f>
        <v>383499</v>
      </c>
      <c r="P45" s="24"/>
      <c r="Q45" s="24">
        <v>96357</v>
      </c>
      <c r="R45" s="24"/>
      <c r="S45" s="24">
        <v>0</v>
      </c>
      <c r="T45" s="24"/>
      <c r="U45" s="24">
        <v>300</v>
      </c>
      <c r="V45" s="24"/>
      <c r="W45" s="24">
        <f>123089+1965+33955</f>
        <v>159009</v>
      </c>
      <c r="X45" s="24"/>
      <c r="Y45" s="38">
        <f t="shared" si="6"/>
        <v>11698542</v>
      </c>
      <c r="Z45" s="24"/>
      <c r="AA45" s="24">
        <v>47570</v>
      </c>
      <c r="AB45" s="24"/>
      <c r="AC45" s="24">
        <v>0</v>
      </c>
      <c r="AD45" s="24"/>
      <c r="AE45" s="24">
        <v>0</v>
      </c>
      <c r="AF45" s="24"/>
      <c r="AG45" s="24"/>
      <c r="AH45" s="24"/>
      <c r="AI45" s="24"/>
      <c r="AJ45" s="24"/>
      <c r="AK45" s="24">
        <v>0</v>
      </c>
      <c r="AL45" s="24"/>
      <c r="AM45" s="24">
        <v>0</v>
      </c>
      <c r="AN45" s="24"/>
      <c r="AO45" s="38">
        <f t="shared" si="0"/>
        <v>47570</v>
      </c>
      <c r="AP45" s="24"/>
      <c r="AQ45" s="38">
        <f t="shared" si="5"/>
        <v>11746112</v>
      </c>
      <c r="AR45" s="38"/>
      <c r="AS45" s="7"/>
      <c r="AT45" s="7" t="str">
        <f t="shared" si="1"/>
        <v>Belpre City SD</v>
      </c>
      <c r="AU45" s="7" t="str">
        <f>'Gov Fd BS'!A45</f>
        <v>Belpre City SD</v>
      </c>
      <c r="AV45" s="7" t="b">
        <f t="shared" si="2"/>
        <v>1</v>
      </c>
      <c r="AW45" s="7" t="str">
        <f t="shared" si="3"/>
        <v>Washington</v>
      </c>
      <c r="AX45" s="7" t="b">
        <f>C45='Gov Fd BS'!C45</f>
        <v>1</v>
      </c>
    </row>
    <row r="46" spans="1:50">
      <c r="A46" s="12" t="s">
        <v>463</v>
      </c>
      <c r="B46" s="12"/>
      <c r="C46" s="12" t="s">
        <v>53</v>
      </c>
      <c r="D46" s="12"/>
      <c r="E46" s="12">
        <v>48926</v>
      </c>
      <c r="F46" s="24"/>
      <c r="G46" s="24">
        <v>8255604</v>
      </c>
      <c r="H46" s="24"/>
      <c r="I46" s="24">
        <v>0</v>
      </c>
      <c r="J46" s="24"/>
      <c r="K46" s="24">
        <f>500+9924832+1545947</f>
        <v>11471279</v>
      </c>
      <c r="L46" s="24"/>
      <c r="M46" s="24">
        <v>75001</v>
      </c>
      <c r="N46" s="24"/>
      <c r="O46" s="24">
        <f>632249+103020</f>
        <v>735269</v>
      </c>
      <c r="P46" s="24"/>
      <c r="Q46" s="24">
        <v>284945</v>
      </c>
      <c r="R46" s="24"/>
      <c r="S46" s="24">
        <v>0</v>
      </c>
      <c r="T46" s="24"/>
      <c r="U46" s="24">
        <v>31370</v>
      </c>
      <c r="V46" s="24"/>
      <c r="W46" s="24">
        <f>626543+8475+22532</f>
        <v>657550</v>
      </c>
      <c r="X46" s="24"/>
      <c r="Y46" s="38">
        <f t="shared" si="6"/>
        <v>21511018</v>
      </c>
      <c r="Z46" s="24"/>
      <c r="AA46" s="24">
        <v>0</v>
      </c>
      <c r="AB46" s="24"/>
      <c r="AC46" s="24">
        <v>0</v>
      </c>
      <c r="AD46" s="24"/>
      <c r="AE46" s="24">
        <v>0</v>
      </c>
      <c r="AF46" s="24"/>
      <c r="AG46" s="24"/>
      <c r="AH46" s="24"/>
      <c r="AI46" s="24"/>
      <c r="AJ46" s="24"/>
      <c r="AK46" s="24">
        <v>0</v>
      </c>
      <c r="AL46" s="24"/>
      <c r="AM46" s="24">
        <v>0</v>
      </c>
      <c r="AN46" s="24"/>
      <c r="AO46" s="38">
        <f t="shared" si="0"/>
        <v>0</v>
      </c>
      <c r="AP46" s="24"/>
      <c r="AQ46" s="38">
        <f t="shared" si="5"/>
        <v>21511018</v>
      </c>
      <c r="AR46" s="38"/>
      <c r="AS46" s="7"/>
      <c r="AT46" s="7" t="str">
        <f t="shared" si="1"/>
        <v>Benton Carroll Salem Local SD</v>
      </c>
      <c r="AU46" s="7" t="str">
        <f>'Gov Fd BS'!A46</f>
        <v>Benton Carroll Salem Local SD</v>
      </c>
      <c r="AV46" s="7" t="b">
        <f t="shared" si="2"/>
        <v>1</v>
      </c>
      <c r="AW46" s="7" t="str">
        <f t="shared" si="3"/>
        <v>Ottawa</v>
      </c>
      <c r="AX46" s="7" t="b">
        <f>C46='Gov Fd BS'!C46</f>
        <v>1</v>
      </c>
    </row>
    <row r="47" spans="1:50">
      <c r="A47" s="12" t="s">
        <v>269</v>
      </c>
      <c r="B47" s="12"/>
      <c r="C47" s="12" t="s">
        <v>20</v>
      </c>
      <c r="D47" s="12"/>
      <c r="E47" s="12">
        <v>43612</v>
      </c>
      <c r="F47" s="24"/>
      <c r="G47" s="24">
        <v>51029228</v>
      </c>
      <c r="H47" s="24"/>
      <c r="I47" s="24">
        <v>0</v>
      </c>
      <c r="J47" s="24"/>
      <c r="K47" s="24">
        <v>28419803</v>
      </c>
      <c r="L47" s="24"/>
      <c r="M47" s="24">
        <v>88002</v>
      </c>
      <c r="N47" s="24"/>
      <c r="O47" s="24">
        <v>3711286</v>
      </c>
      <c r="P47" s="24"/>
      <c r="Q47" s="24">
        <v>580322</v>
      </c>
      <c r="R47" s="24"/>
      <c r="S47" s="24">
        <v>0</v>
      </c>
      <c r="T47" s="24"/>
      <c r="U47" s="24">
        <v>153717</v>
      </c>
      <c r="V47" s="24"/>
      <c r="W47" s="24">
        <f>31032+1255224+226471</f>
        <v>1512727</v>
      </c>
      <c r="X47" s="24"/>
      <c r="Y47" s="38">
        <f t="shared" si="6"/>
        <v>85495085</v>
      </c>
      <c r="Z47" s="24"/>
      <c r="AA47" s="24">
        <v>1005734</v>
      </c>
      <c r="AB47" s="24"/>
      <c r="AC47" s="24">
        <v>0</v>
      </c>
      <c r="AD47" s="24"/>
      <c r="AE47" s="24">
        <v>0</v>
      </c>
      <c r="AF47" s="24"/>
      <c r="AG47" s="24"/>
      <c r="AH47" s="24"/>
      <c r="AI47" s="24"/>
      <c r="AJ47" s="24"/>
      <c r="AK47" s="24">
        <v>0</v>
      </c>
      <c r="AL47" s="24"/>
      <c r="AM47" s="24">
        <v>0</v>
      </c>
      <c r="AN47" s="24"/>
      <c r="AO47" s="38">
        <f t="shared" si="0"/>
        <v>1005734</v>
      </c>
      <c r="AP47" s="24"/>
      <c r="AQ47" s="38">
        <f t="shared" si="5"/>
        <v>86500819</v>
      </c>
      <c r="AR47" s="38"/>
      <c r="AS47" s="7"/>
      <c r="AT47" s="7" t="str">
        <f t="shared" si="1"/>
        <v>Berea City SD</v>
      </c>
      <c r="AU47" s="7" t="str">
        <f>'Gov Fd BS'!A47</f>
        <v>Berea City SD</v>
      </c>
      <c r="AV47" s="7" t="b">
        <f t="shared" si="2"/>
        <v>1</v>
      </c>
      <c r="AW47" s="7" t="str">
        <f t="shared" si="3"/>
        <v>Cuyahoga</v>
      </c>
      <c r="AX47" s="7" t="b">
        <f>C47='Gov Fd BS'!C47</f>
        <v>1</v>
      </c>
    </row>
    <row r="48" spans="1:50">
      <c r="A48" s="12" t="s">
        <v>668</v>
      </c>
      <c r="B48" s="12"/>
      <c r="C48" s="12" t="s">
        <v>30</v>
      </c>
      <c r="D48" s="12"/>
      <c r="E48" s="12">
        <v>47167</v>
      </c>
      <c r="F48" s="24"/>
      <c r="G48" s="24">
        <v>4349320</v>
      </c>
      <c r="H48" s="24"/>
      <c r="I48" s="24">
        <v>1626657</v>
      </c>
      <c r="J48" s="24"/>
      <c r="K48" s="24">
        <v>5610908</v>
      </c>
      <c r="L48" s="24"/>
      <c r="M48" s="24">
        <v>9820</v>
      </c>
      <c r="N48" s="24"/>
      <c r="O48" s="24">
        <v>397999</v>
      </c>
      <c r="P48" s="24"/>
      <c r="Q48" s="24">
        <v>209908</v>
      </c>
      <c r="R48" s="24"/>
      <c r="S48" s="24">
        <v>0</v>
      </c>
      <c r="T48" s="24"/>
      <c r="U48" s="24">
        <v>21375</v>
      </c>
      <c r="V48" s="24"/>
      <c r="W48" s="24">
        <f>138066+2000+40129</f>
        <v>180195</v>
      </c>
      <c r="X48" s="24"/>
      <c r="Y48" s="38">
        <f t="shared" si="6"/>
        <v>12406182</v>
      </c>
      <c r="Z48" s="24"/>
      <c r="AA48" s="24">
        <v>0</v>
      </c>
      <c r="AB48" s="24"/>
      <c r="AC48" s="24">
        <v>0</v>
      </c>
      <c r="AD48" s="24"/>
      <c r="AE48" s="24">
        <v>0</v>
      </c>
      <c r="AF48" s="24"/>
      <c r="AG48" s="24"/>
      <c r="AH48" s="24"/>
      <c r="AI48" s="24"/>
      <c r="AJ48" s="24"/>
      <c r="AK48" s="24">
        <v>0</v>
      </c>
      <c r="AL48" s="24"/>
      <c r="AM48" s="24">
        <v>0</v>
      </c>
      <c r="AN48" s="24"/>
      <c r="AO48" s="38">
        <f t="shared" si="0"/>
        <v>0</v>
      </c>
      <c r="AP48" s="24"/>
      <c r="AQ48" s="38">
        <f t="shared" si="5"/>
        <v>12406182</v>
      </c>
      <c r="AR48" s="38"/>
      <c r="AS48" s="7"/>
      <c r="AT48" s="7" t="str">
        <f t="shared" si="1"/>
        <v xml:space="preserve">Berkshire Local SD </v>
      </c>
      <c r="AU48" s="7" t="str">
        <f>'Gov Fd BS'!A48</f>
        <v xml:space="preserve">Berkshire Local SD </v>
      </c>
      <c r="AV48" s="7" t="b">
        <f t="shared" si="2"/>
        <v>1</v>
      </c>
      <c r="AW48" s="7" t="str">
        <f t="shared" si="3"/>
        <v>Geauga</v>
      </c>
      <c r="AX48" s="7" t="b">
        <f>C48='Gov Fd BS'!C48</f>
        <v>1</v>
      </c>
    </row>
    <row r="49" spans="1:50">
      <c r="A49" s="12" t="s">
        <v>291</v>
      </c>
      <c r="B49" s="12"/>
      <c r="C49" s="12" t="s">
        <v>24</v>
      </c>
      <c r="D49" s="12"/>
      <c r="E49" s="12">
        <v>46789</v>
      </c>
      <c r="F49" s="24"/>
      <c r="G49" s="24">
        <v>6525622</v>
      </c>
      <c r="H49" s="24"/>
      <c r="I49" s="24">
        <v>0</v>
      </c>
      <c r="J49" s="24"/>
      <c r="K49" s="24">
        <f>21088+7777899+1879239</f>
        <v>9678226</v>
      </c>
      <c r="L49" s="24"/>
      <c r="M49" s="24">
        <v>20803</v>
      </c>
      <c r="N49" s="24"/>
      <c r="O49" s="24">
        <f>466951+43315</f>
        <v>510266</v>
      </c>
      <c r="P49" s="24"/>
      <c r="Q49" s="24">
        <v>373878</v>
      </c>
      <c r="R49" s="24"/>
      <c r="S49" s="24">
        <v>0</v>
      </c>
      <c r="T49" s="24"/>
      <c r="U49" s="24">
        <v>9671</v>
      </c>
      <c r="V49" s="24"/>
      <c r="W49" s="24">
        <f>339303+689+14750</f>
        <v>354742</v>
      </c>
      <c r="X49" s="24"/>
      <c r="Y49" s="38">
        <f t="shared" si="6"/>
        <v>17473208</v>
      </c>
      <c r="Z49" s="24"/>
      <c r="AA49" s="24">
        <v>0</v>
      </c>
      <c r="AB49" s="24"/>
      <c r="AC49" s="24">
        <v>0</v>
      </c>
      <c r="AD49" s="24"/>
      <c r="AE49" s="24">
        <v>154623</v>
      </c>
      <c r="AF49" s="24"/>
      <c r="AG49" s="24"/>
      <c r="AH49" s="24"/>
      <c r="AI49" s="24"/>
      <c r="AJ49" s="24"/>
      <c r="AK49" s="24">
        <v>0</v>
      </c>
      <c r="AL49" s="24"/>
      <c r="AM49" s="24">
        <v>0</v>
      </c>
      <c r="AN49" s="24"/>
      <c r="AO49" s="38">
        <f t="shared" si="0"/>
        <v>154623</v>
      </c>
      <c r="AP49" s="24"/>
      <c r="AQ49" s="38">
        <f t="shared" si="5"/>
        <v>17627831</v>
      </c>
      <c r="AR49" s="38"/>
      <c r="AS49" s="7"/>
      <c r="AT49" s="7" t="str">
        <f t="shared" si="1"/>
        <v>Berlin-Milan Local SD</v>
      </c>
      <c r="AU49" s="7" t="str">
        <f>'Gov Fd BS'!A49</f>
        <v>Berlin-Milan Local SD</v>
      </c>
      <c r="AV49" s="7" t="b">
        <f t="shared" si="2"/>
        <v>1</v>
      </c>
      <c r="AW49" s="7" t="str">
        <f t="shared" si="3"/>
        <v>Erie</v>
      </c>
      <c r="AX49" s="7" t="b">
        <f>C49='Gov Fd BS'!C49</f>
        <v>1</v>
      </c>
    </row>
    <row r="50" spans="1:50" hidden="1">
      <c r="A50" s="12" t="s">
        <v>905</v>
      </c>
      <c r="B50" s="12"/>
      <c r="C50" s="12" t="s">
        <v>25</v>
      </c>
      <c r="D50" s="12"/>
      <c r="E50" s="12">
        <v>46854</v>
      </c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38">
        <f t="shared" ref="Y50:Y79" si="9">SUM(G50:W50)</f>
        <v>0</v>
      </c>
      <c r="Z50" s="24"/>
      <c r="AA50" s="24"/>
      <c r="AB50" s="24"/>
      <c r="AC50" s="24">
        <v>0</v>
      </c>
      <c r="AD50" s="24"/>
      <c r="AE50" s="24"/>
      <c r="AF50" s="24"/>
      <c r="AG50" s="24"/>
      <c r="AH50" s="24"/>
      <c r="AI50" s="24"/>
      <c r="AJ50" s="24"/>
      <c r="AK50" s="24"/>
      <c r="AL50" s="24"/>
      <c r="AM50" s="24">
        <v>0</v>
      </c>
      <c r="AN50" s="24"/>
      <c r="AO50" s="38">
        <f t="shared" si="0"/>
        <v>0</v>
      </c>
      <c r="AP50" s="24"/>
      <c r="AQ50" s="38">
        <f t="shared" si="5"/>
        <v>0</v>
      </c>
      <c r="AR50" s="38"/>
      <c r="AS50" s="7" t="s">
        <v>903</v>
      </c>
      <c r="AT50" s="7" t="str">
        <f t="shared" si="1"/>
        <v>Berne Union Local SD (CASH)</v>
      </c>
      <c r="AU50" s="7" t="str">
        <f>'Gov Fd BS'!A50</f>
        <v>Berne Union Local SD (CASH)</v>
      </c>
      <c r="AV50" s="7" t="b">
        <f t="shared" si="2"/>
        <v>1</v>
      </c>
      <c r="AW50" s="7" t="str">
        <f t="shared" si="3"/>
        <v>Fairfield</v>
      </c>
      <c r="AX50" s="7" t="b">
        <f>C50='Gov Fd BS'!C50</f>
        <v>1</v>
      </c>
    </row>
    <row r="51" spans="1:50">
      <c r="A51" s="12" t="s">
        <v>436</v>
      </c>
      <c r="B51" s="12"/>
      <c r="C51" s="12" t="s">
        <v>48</v>
      </c>
      <c r="D51" s="12"/>
      <c r="E51" s="12">
        <v>48611</v>
      </c>
      <c r="F51" s="24"/>
      <c r="G51" s="24">
        <v>3944910</v>
      </c>
      <c r="H51" s="24"/>
      <c r="I51" s="24">
        <v>0</v>
      </c>
      <c r="J51" s="24"/>
      <c r="K51" s="24">
        <v>3931743</v>
      </c>
      <c r="L51" s="24"/>
      <c r="M51" s="24">
        <v>23231</v>
      </c>
      <c r="N51" s="24"/>
      <c r="O51" s="24">
        <v>612396</v>
      </c>
      <c r="P51" s="24"/>
      <c r="Q51" s="24">
        <v>170270</v>
      </c>
      <c r="R51" s="24"/>
      <c r="S51" s="24">
        <v>0</v>
      </c>
      <c r="T51" s="24"/>
      <c r="U51" s="24">
        <v>0</v>
      </c>
      <c r="V51" s="24"/>
      <c r="W51" s="24">
        <f>184814+117370</f>
        <v>302184</v>
      </c>
      <c r="X51" s="24"/>
      <c r="Y51" s="38">
        <f t="shared" si="9"/>
        <v>8984734</v>
      </c>
      <c r="Z51" s="24"/>
      <c r="AA51" s="24">
        <v>0</v>
      </c>
      <c r="AB51" s="24"/>
      <c r="AC51" s="24">
        <v>0</v>
      </c>
      <c r="AD51" s="24"/>
      <c r="AE51" s="24">
        <v>624090</v>
      </c>
      <c r="AF51" s="24"/>
      <c r="AG51" s="24"/>
      <c r="AH51" s="24"/>
      <c r="AI51" s="24"/>
      <c r="AJ51" s="24"/>
      <c r="AK51" s="24">
        <v>0</v>
      </c>
      <c r="AL51" s="24"/>
      <c r="AM51" s="24">
        <v>0</v>
      </c>
      <c r="AN51" s="24"/>
      <c r="AO51" s="38">
        <f t="shared" si="0"/>
        <v>624090</v>
      </c>
      <c r="AP51" s="24"/>
      <c r="AQ51" s="38">
        <f t="shared" si="5"/>
        <v>9608824</v>
      </c>
      <c r="AR51" s="38"/>
      <c r="AS51" s="7"/>
      <c r="AT51" s="7" t="str">
        <f t="shared" si="1"/>
        <v>Bethel Local SD</v>
      </c>
      <c r="AU51" s="7" t="str">
        <f>'Gov Fd BS'!A51</f>
        <v>Bethel Local SD</v>
      </c>
      <c r="AV51" s="7" t="b">
        <f t="shared" si="2"/>
        <v>1</v>
      </c>
      <c r="AW51" s="7" t="str">
        <f t="shared" si="3"/>
        <v>Miami</v>
      </c>
      <c r="AX51" s="7" t="b">
        <f>C51='Gov Fd BS'!C51</f>
        <v>1</v>
      </c>
    </row>
    <row r="52" spans="1:50">
      <c r="A52" s="12" t="s">
        <v>243</v>
      </c>
      <c r="B52" s="12"/>
      <c r="C52" s="12" t="s">
        <v>113</v>
      </c>
      <c r="D52" s="12"/>
      <c r="E52" s="12">
        <v>46318</v>
      </c>
      <c r="F52" s="24"/>
      <c r="G52" s="24">
        <v>3888351</v>
      </c>
      <c r="H52" s="24"/>
      <c r="I52" s="24">
        <v>0</v>
      </c>
      <c r="J52" s="24"/>
      <c r="K52" s="24">
        <v>11641138</v>
      </c>
      <c r="L52" s="24"/>
      <c r="M52" s="24">
        <v>9101</v>
      </c>
      <c r="N52" s="24"/>
      <c r="O52" s="24">
        <v>1374750</v>
      </c>
      <c r="P52" s="24"/>
      <c r="Q52" s="24">
        <v>242346</v>
      </c>
      <c r="R52" s="24"/>
      <c r="S52" s="24">
        <v>0</v>
      </c>
      <c r="T52" s="24"/>
      <c r="U52" s="24">
        <v>27964</v>
      </c>
      <c r="V52" s="24"/>
      <c r="W52" s="24">
        <f>6654+88612+311353</f>
        <v>406619</v>
      </c>
      <c r="X52" s="24"/>
      <c r="Y52" s="38">
        <f t="shared" si="9"/>
        <v>17590269</v>
      </c>
      <c r="Z52" s="24"/>
      <c r="AA52" s="24">
        <v>322240</v>
      </c>
      <c r="AB52" s="24"/>
      <c r="AC52" s="24">
        <v>0</v>
      </c>
      <c r="AD52" s="24"/>
      <c r="AE52" s="24">
        <v>83302</v>
      </c>
      <c r="AF52" s="24"/>
      <c r="AG52" s="24"/>
      <c r="AH52" s="24"/>
      <c r="AI52" s="24"/>
      <c r="AJ52" s="24"/>
      <c r="AK52" s="24">
        <v>4500</v>
      </c>
      <c r="AL52" s="24"/>
      <c r="AM52" s="24">
        <v>0</v>
      </c>
      <c r="AN52" s="24"/>
      <c r="AO52" s="38">
        <f t="shared" si="0"/>
        <v>410042</v>
      </c>
      <c r="AP52" s="24"/>
      <c r="AQ52" s="38">
        <f t="shared" si="5"/>
        <v>18000311</v>
      </c>
      <c r="AR52" s="38"/>
      <c r="AS52" s="7"/>
      <c r="AT52" s="7" t="str">
        <f t="shared" si="1"/>
        <v>Bethel-Tate Local SD</v>
      </c>
      <c r="AU52" s="7" t="str">
        <f>'Gov Fd BS'!A52</f>
        <v>Bethel-Tate Local SD</v>
      </c>
      <c r="AV52" s="7" t="b">
        <f t="shared" si="2"/>
        <v>1</v>
      </c>
      <c r="AW52" s="7" t="str">
        <f t="shared" si="3"/>
        <v>Clermont</v>
      </c>
      <c r="AX52" s="7" t="b">
        <f>C52='Gov Fd BS'!C52</f>
        <v>1</v>
      </c>
    </row>
    <row r="53" spans="1:50" hidden="1">
      <c r="A53" s="12" t="s">
        <v>705</v>
      </c>
      <c r="B53" s="12"/>
      <c r="C53" s="12" t="s">
        <v>60</v>
      </c>
      <c r="D53" s="12"/>
      <c r="E53" s="12">
        <v>49692</v>
      </c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38">
        <f t="shared" si="9"/>
        <v>0</v>
      </c>
      <c r="Z53" s="24"/>
      <c r="AA53" s="24"/>
      <c r="AB53" s="24"/>
      <c r="AC53" s="24">
        <v>0</v>
      </c>
      <c r="AD53" s="24"/>
      <c r="AE53" s="24"/>
      <c r="AF53" s="24"/>
      <c r="AG53" s="24"/>
      <c r="AH53" s="24"/>
      <c r="AI53" s="24"/>
      <c r="AJ53" s="24"/>
      <c r="AK53" s="24"/>
      <c r="AL53" s="24"/>
      <c r="AM53" s="24">
        <v>0</v>
      </c>
      <c r="AN53" s="24"/>
      <c r="AO53" s="38">
        <f t="shared" si="0"/>
        <v>0</v>
      </c>
      <c r="AP53" s="24"/>
      <c r="AQ53" s="38">
        <f t="shared" si="5"/>
        <v>0</v>
      </c>
      <c r="AR53" s="38"/>
      <c r="AS53" s="7" t="s">
        <v>778</v>
      </c>
      <c r="AT53" s="7" t="str">
        <f t="shared" si="1"/>
        <v>Bettsville Local SD (CASH)</v>
      </c>
      <c r="AU53" s="7" t="str">
        <f>'Gov Fd BS'!A53</f>
        <v>Bettsville Local SD (CASH)</v>
      </c>
      <c r="AV53" s="7" t="b">
        <f t="shared" si="2"/>
        <v>1</v>
      </c>
      <c r="AW53" s="7" t="str">
        <f t="shared" si="3"/>
        <v>Seneca</v>
      </c>
      <c r="AX53" s="7" t="b">
        <f>C53='Gov Fd BS'!C53</f>
        <v>1</v>
      </c>
    </row>
    <row r="54" spans="1:50">
      <c r="A54" s="12" t="s">
        <v>305</v>
      </c>
      <c r="B54" s="12"/>
      <c r="C54" s="12" t="s">
        <v>27</v>
      </c>
      <c r="D54" s="12"/>
      <c r="E54" s="12">
        <v>43620</v>
      </c>
      <c r="F54" s="24"/>
      <c r="G54" s="24">
        <v>21976265</v>
      </c>
      <c r="H54" s="24"/>
      <c r="I54" s="24">
        <v>5201882</v>
      </c>
      <c r="J54" s="24"/>
      <c r="K54" s="24">
        <f>1450217+7202103+814182</f>
        <v>9466502</v>
      </c>
      <c r="L54" s="24"/>
      <c r="M54" s="24">
        <v>141745</v>
      </c>
      <c r="N54" s="24"/>
      <c r="O54" s="24">
        <v>66274</v>
      </c>
      <c r="P54" s="24"/>
      <c r="Q54" s="24">
        <v>254834</v>
      </c>
      <c r="R54" s="24"/>
      <c r="S54" s="24">
        <v>0</v>
      </c>
      <c r="T54" s="24"/>
      <c r="U54" s="24">
        <v>0</v>
      </c>
      <c r="V54" s="24"/>
      <c r="W54" s="24">
        <f>362080+335422</f>
        <v>697502</v>
      </c>
      <c r="X54" s="24"/>
      <c r="Y54" s="38">
        <f t="shared" si="9"/>
        <v>37805004</v>
      </c>
      <c r="Z54" s="24"/>
      <c r="AA54" s="24">
        <v>148000</v>
      </c>
      <c r="AB54" s="24"/>
      <c r="AC54" s="24">
        <v>0</v>
      </c>
      <c r="AD54" s="24"/>
      <c r="AE54" s="24">
        <f>2420000+50456</f>
        <v>2470456</v>
      </c>
      <c r="AF54" s="24"/>
      <c r="AG54" s="24"/>
      <c r="AH54" s="24"/>
      <c r="AI54" s="24"/>
      <c r="AJ54" s="24"/>
      <c r="AK54" s="24">
        <v>0</v>
      </c>
      <c r="AL54" s="24"/>
      <c r="AM54" s="24">
        <v>0</v>
      </c>
      <c r="AN54" s="24"/>
      <c r="AO54" s="38">
        <f t="shared" si="0"/>
        <v>2618456</v>
      </c>
      <c r="AP54" s="24"/>
      <c r="AQ54" s="38">
        <f t="shared" si="5"/>
        <v>40423460</v>
      </c>
      <c r="AR54" s="38"/>
      <c r="AS54" s="7"/>
      <c r="AT54" s="7" t="str">
        <f t="shared" si="1"/>
        <v>Bexley City SD</v>
      </c>
      <c r="AU54" s="7" t="str">
        <f>'Gov Fd BS'!A54</f>
        <v>Bexley City SD</v>
      </c>
      <c r="AV54" s="7" t="b">
        <f t="shared" si="2"/>
        <v>1</v>
      </c>
      <c r="AW54" s="7" t="str">
        <f t="shared" si="3"/>
        <v>Franklin</v>
      </c>
      <c r="AX54" s="7" t="b">
        <f>C54='Gov Fd BS'!C54</f>
        <v>1</v>
      </c>
    </row>
    <row r="55" spans="1:50">
      <c r="A55" s="12" t="s">
        <v>664</v>
      </c>
      <c r="B55" s="12"/>
      <c r="C55" s="12" t="s">
        <v>23</v>
      </c>
      <c r="D55" s="12"/>
      <c r="E55" s="12">
        <v>46748</v>
      </c>
      <c r="F55" s="24"/>
      <c r="G55" s="24">
        <v>17789384</v>
      </c>
      <c r="H55" s="24"/>
      <c r="I55" s="24">
        <v>6176875</v>
      </c>
      <c r="J55" s="24"/>
      <c r="K55" s="24">
        <v>9858298</v>
      </c>
      <c r="L55" s="24"/>
      <c r="M55" s="24">
        <v>91090</v>
      </c>
      <c r="N55" s="24"/>
      <c r="O55" s="24">
        <v>337203</v>
      </c>
      <c r="P55" s="24"/>
      <c r="Q55" s="24">
        <v>328952</v>
      </c>
      <c r="R55" s="24"/>
      <c r="S55" s="24">
        <v>0</v>
      </c>
      <c r="T55" s="24"/>
      <c r="U55" s="24">
        <v>667163</v>
      </c>
      <c r="V55" s="24"/>
      <c r="W55" s="24">
        <f>784361+170791</f>
        <v>955152</v>
      </c>
      <c r="X55" s="24"/>
      <c r="Y55" s="38">
        <f t="shared" si="9"/>
        <v>36204117</v>
      </c>
      <c r="Z55" s="24"/>
      <c r="AA55" s="24">
        <v>316447</v>
      </c>
      <c r="AB55" s="24"/>
      <c r="AC55" s="24">
        <v>0</v>
      </c>
      <c r="AD55" s="24"/>
      <c r="AE55" s="24">
        <v>0</v>
      </c>
      <c r="AF55" s="24"/>
      <c r="AG55" s="24"/>
      <c r="AH55" s="24"/>
      <c r="AI55" s="24"/>
      <c r="AJ55" s="24"/>
      <c r="AK55" s="24">
        <v>160000</v>
      </c>
      <c r="AL55" s="24"/>
      <c r="AM55" s="24">
        <v>0</v>
      </c>
      <c r="AN55" s="24"/>
      <c r="AO55" s="38">
        <f t="shared" si="0"/>
        <v>476447</v>
      </c>
      <c r="AP55" s="24"/>
      <c r="AQ55" s="38">
        <f t="shared" si="5"/>
        <v>36680564</v>
      </c>
      <c r="AR55" s="38"/>
      <c r="AS55" s="7"/>
      <c r="AT55" s="7" t="str">
        <f t="shared" si="1"/>
        <v xml:space="preserve">Big Walnut Local SD </v>
      </c>
      <c r="AU55" s="7" t="str">
        <f>'Gov Fd BS'!A55</f>
        <v xml:space="preserve">Big Walnut Local SD </v>
      </c>
      <c r="AV55" s="7" t="b">
        <f t="shared" si="2"/>
        <v>1</v>
      </c>
      <c r="AW55" s="7" t="str">
        <f t="shared" si="3"/>
        <v>Delaware</v>
      </c>
      <c r="AX55" s="7" t="b">
        <f>C55='Gov Fd BS'!C55</f>
        <v>1</v>
      </c>
    </row>
    <row r="56" spans="1:50">
      <c r="A56" s="12" t="s">
        <v>427</v>
      </c>
      <c r="B56" s="12"/>
      <c r="C56" s="12" t="s">
        <v>47</v>
      </c>
      <c r="D56" s="12"/>
      <c r="E56" s="12">
        <v>48462</v>
      </c>
      <c r="F56" s="24"/>
      <c r="G56" s="24">
        <v>4247299</v>
      </c>
      <c r="H56" s="24"/>
      <c r="I56" s="24">
        <v>0</v>
      </c>
      <c r="J56" s="24"/>
      <c r="K56" s="24">
        <f>248026+7952085+1849636</f>
        <v>10049747</v>
      </c>
      <c r="L56" s="24"/>
      <c r="M56" s="24">
        <v>11274</v>
      </c>
      <c r="N56" s="24"/>
      <c r="O56" s="24">
        <f>157966+24972+125976</f>
        <v>308914</v>
      </c>
      <c r="P56" s="24"/>
      <c r="Q56" s="24">
        <v>259207</v>
      </c>
      <c r="R56" s="24"/>
      <c r="S56" s="24">
        <v>0</v>
      </c>
      <c r="T56" s="24"/>
      <c r="U56" s="24">
        <v>5625</v>
      </c>
      <c r="V56" s="24"/>
      <c r="W56" s="24">
        <f>180947+5284+30319</f>
        <v>216550</v>
      </c>
      <c r="X56" s="24"/>
      <c r="Y56" s="38">
        <f t="shared" si="9"/>
        <v>15098616</v>
      </c>
      <c r="Z56" s="24"/>
      <c r="AA56" s="24">
        <v>200000</v>
      </c>
      <c r="AB56" s="24"/>
      <c r="AC56" s="24">
        <v>0</v>
      </c>
      <c r="AD56" s="24"/>
      <c r="AE56" s="24">
        <v>3130000</v>
      </c>
      <c r="AF56" s="24"/>
      <c r="AG56" s="24"/>
      <c r="AH56" s="24"/>
      <c r="AI56" s="24"/>
      <c r="AJ56" s="24"/>
      <c r="AK56" s="24">
        <v>0</v>
      </c>
      <c r="AL56" s="24"/>
      <c r="AM56" s="24">
        <v>0</v>
      </c>
      <c r="AN56" s="24"/>
      <c r="AO56" s="38">
        <f t="shared" si="0"/>
        <v>3330000</v>
      </c>
      <c r="AP56" s="24"/>
      <c r="AQ56" s="38">
        <f t="shared" si="5"/>
        <v>18428616</v>
      </c>
      <c r="AR56" s="38"/>
      <c r="AS56" s="7"/>
      <c r="AT56" s="7" t="str">
        <f t="shared" si="1"/>
        <v>Black River Local SD</v>
      </c>
      <c r="AU56" s="7" t="str">
        <f>'Gov Fd BS'!A56</f>
        <v>Black River Local SD</v>
      </c>
      <c r="AV56" s="7" t="b">
        <f t="shared" si="2"/>
        <v>1</v>
      </c>
      <c r="AW56" s="7" t="str">
        <f t="shared" si="3"/>
        <v>Medina</v>
      </c>
      <c r="AX56" s="7" t="b">
        <f>C56='Gov Fd BS'!C56</f>
        <v>1</v>
      </c>
    </row>
    <row r="57" spans="1:50">
      <c r="A57" s="12" t="s">
        <v>248</v>
      </c>
      <c r="B57" s="12"/>
      <c r="C57" s="12" t="s">
        <v>18</v>
      </c>
      <c r="D57" s="12"/>
      <c r="E57" s="12">
        <v>46383</v>
      </c>
      <c r="F57" s="24"/>
      <c r="G57" s="24">
        <v>2972086</v>
      </c>
      <c r="H57" s="24"/>
      <c r="I57" s="24">
        <v>0</v>
      </c>
      <c r="J57" s="24"/>
      <c r="K57" s="24">
        <v>11614450</v>
      </c>
      <c r="L57" s="24"/>
      <c r="M57" s="24">
        <v>45509</v>
      </c>
      <c r="N57" s="24"/>
      <c r="O57" s="24">
        <v>1364135</v>
      </c>
      <c r="P57" s="24"/>
      <c r="Q57" s="24">
        <v>100834</v>
      </c>
      <c r="R57" s="24"/>
      <c r="S57" s="24">
        <v>0</v>
      </c>
      <c r="T57" s="24"/>
      <c r="U57" s="24">
        <v>0</v>
      </c>
      <c r="V57" s="24"/>
      <c r="W57" s="24">
        <f>314211+114969</f>
        <v>429180</v>
      </c>
      <c r="X57" s="24"/>
      <c r="Y57" s="38">
        <f t="shared" si="9"/>
        <v>16526194</v>
      </c>
      <c r="Z57" s="24"/>
      <c r="AA57" s="24">
        <v>0</v>
      </c>
      <c r="AB57" s="24"/>
      <c r="AC57" s="24">
        <v>0</v>
      </c>
      <c r="AD57" s="24"/>
      <c r="AE57" s="24">
        <v>0</v>
      </c>
      <c r="AF57" s="24"/>
      <c r="AG57" s="24"/>
      <c r="AH57" s="24"/>
      <c r="AI57" s="24"/>
      <c r="AJ57" s="24"/>
      <c r="AK57" s="24">
        <v>0</v>
      </c>
      <c r="AL57" s="24"/>
      <c r="AM57" s="24">
        <v>0</v>
      </c>
      <c r="AN57" s="24"/>
      <c r="AO57" s="38">
        <f t="shared" si="0"/>
        <v>0</v>
      </c>
      <c r="AP57" s="24"/>
      <c r="AQ57" s="38">
        <f t="shared" si="5"/>
        <v>16526194</v>
      </c>
      <c r="AR57" s="38"/>
      <c r="AS57" s="7"/>
      <c r="AT57" s="7" t="str">
        <f t="shared" si="1"/>
        <v>Blanchester Local SD</v>
      </c>
      <c r="AU57" s="7" t="str">
        <f>'Gov Fd BS'!A57</f>
        <v>Blanchester Local SD</v>
      </c>
      <c r="AV57" s="7" t="b">
        <f t="shared" si="2"/>
        <v>1</v>
      </c>
      <c r="AW57" s="7" t="str">
        <f t="shared" si="3"/>
        <v>Clinton</v>
      </c>
      <c r="AX57" s="7" t="b">
        <f>C57='Gov Fd BS'!C57</f>
        <v>1</v>
      </c>
    </row>
    <row r="58" spans="1:50">
      <c r="A58" s="12" t="s">
        <v>299</v>
      </c>
      <c r="B58" s="12"/>
      <c r="C58" s="12" t="s">
        <v>25</v>
      </c>
      <c r="D58" s="12"/>
      <c r="E58" s="12">
        <v>46862</v>
      </c>
      <c r="F58" s="24"/>
      <c r="G58" s="24">
        <v>6834741</v>
      </c>
      <c r="H58" s="24"/>
      <c r="I58" s="24">
        <v>3496497</v>
      </c>
      <c r="J58" s="24"/>
      <c r="K58" s="24">
        <v>6783892</v>
      </c>
      <c r="L58" s="24"/>
      <c r="M58" s="24">
        <v>315173</v>
      </c>
      <c r="N58" s="24"/>
      <c r="O58" s="24">
        <v>972773</v>
      </c>
      <c r="P58" s="24"/>
      <c r="Q58" s="24">
        <v>98450</v>
      </c>
      <c r="R58" s="24"/>
      <c r="S58" s="24">
        <v>0</v>
      </c>
      <c r="T58" s="24"/>
      <c r="U58" s="24">
        <v>27208</v>
      </c>
      <c r="V58" s="24"/>
      <c r="W58" s="24">
        <f>360382+33703</f>
        <v>394085</v>
      </c>
      <c r="X58" s="24"/>
      <c r="Y58" s="38">
        <f t="shared" si="9"/>
        <v>18922819</v>
      </c>
      <c r="Z58" s="24"/>
      <c r="AA58" s="24">
        <v>20000</v>
      </c>
      <c r="AB58" s="24"/>
      <c r="AC58" s="24">
        <v>0</v>
      </c>
      <c r="AD58" s="24"/>
      <c r="AE58" s="24">
        <v>0</v>
      </c>
      <c r="AF58" s="24"/>
      <c r="AG58" s="24"/>
      <c r="AH58" s="24"/>
      <c r="AI58" s="24"/>
      <c r="AJ58" s="24"/>
      <c r="AK58" s="24">
        <v>2000</v>
      </c>
      <c r="AL58" s="24"/>
      <c r="AM58" s="24">
        <v>0</v>
      </c>
      <c r="AN58" s="24"/>
      <c r="AO58" s="38">
        <f t="shared" si="0"/>
        <v>22000</v>
      </c>
      <c r="AP58" s="24"/>
      <c r="AQ58" s="38">
        <f t="shared" si="5"/>
        <v>18944819</v>
      </c>
      <c r="AR58" s="38"/>
      <c r="AS58" s="7"/>
      <c r="AT58" s="7" t="str">
        <f t="shared" si="1"/>
        <v>Bloom-Carroll Local SD</v>
      </c>
      <c r="AU58" s="7" t="str">
        <f>'Gov Fd BS'!A58</f>
        <v>Bloom-Carroll Local SD</v>
      </c>
      <c r="AV58" s="7" t="b">
        <f t="shared" si="2"/>
        <v>1</v>
      </c>
      <c r="AW58" s="7" t="str">
        <f t="shared" si="3"/>
        <v>Fairfield</v>
      </c>
      <c r="AX58" s="7" t="b">
        <f>C58='Gov Fd BS'!C58</f>
        <v>1</v>
      </c>
    </row>
    <row r="59" spans="1:50">
      <c r="A59" s="12" t="s">
        <v>534</v>
      </c>
      <c r="B59" s="12"/>
      <c r="C59" s="12" t="s">
        <v>64</v>
      </c>
      <c r="D59" s="12"/>
      <c r="E59" s="12">
        <v>50096</v>
      </c>
      <c r="F59" s="24"/>
      <c r="G59" s="24">
        <v>1242443</v>
      </c>
      <c r="H59" s="24"/>
      <c r="I59" s="24">
        <v>0</v>
      </c>
      <c r="J59" s="24"/>
      <c r="K59" s="24">
        <f>1626208+1086906</f>
        <v>2713114</v>
      </c>
      <c r="L59" s="24"/>
      <c r="M59" s="24">
        <v>1246</v>
      </c>
      <c r="N59" s="24"/>
      <c r="O59" s="24">
        <f>190867+3607</f>
        <v>194474</v>
      </c>
      <c r="P59" s="24"/>
      <c r="Q59" s="24">
        <v>33863</v>
      </c>
      <c r="R59" s="24"/>
      <c r="S59" s="24">
        <v>0</v>
      </c>
      <c r="T59" s="24"/>
      <c r="U59" s="24">
        <v>2700</v>
      </c>
      <c r="V59" s="24"/>
      <c r="W59" s="24">
        <f>32556+10124+93+4043</f>
        <v>46816</v>
      </c>
      <c r="X59" s="24"/>
      <c r="Y59" s="38">
        <f t="shared" si="9"/>
        <v>4234656</v>
      </c>
      <c r="Z59" s="24"/>
      <c r="AA59" s="24">
        <v>0</v>
      </c>
      <c r="AB59" s="24"/>
      <c r="AC59" s="24">
        <v>0</v>
      </c>
      <c r="AD59" s="24"/>
      <c r="AE59" s="24">
        <v>0</v>
      </c>
      <c r="AF59" s="24"/>
      <c r="AG59" s="24"/>
      <c r="AH59" s="24"/>
      <c r="AI59" s="24"/>
      <c r="AJ59" s="24"/>
      <c r="AK59" s="24">
        <v>33393</v>
      </c>
      <c r="AL59" s="24"/>
      <c r="AM59" s="24">
        <v>0</v>
      </c>
      <c r="AN59" s="24"/>
      <c r="AO59" s="38">
        <f t="shared" si="0"/>
        <v>33393</v>
      </c>
      <c r="AP59" s="24"/>
      <c r="AQ59" s="38">
        <f t="shared" si="5"/>
        <v>4268049</v>
      </c>
      <c r="AR59" s="38"/>
      <c r="AS59" s="7"/>
      <c r="AT59" s="7" t="str">
        <f t="shared" si="1"/>
        <v>Bloomfield-Mespo Local SD</v>
      </c>
      <c r="AU59" s="7" t="str">
        <f>'Gov Fd BS'!A59</f>
        <v>Bloomfield-Mespo Local SD</v>
      </c>
      <c r="AV59" s="7" t="b">
        <f t="shared" si="2"/>
        <v>1</v>
      </c>
      <c r="AW59" s="7" t="str">
        <f t="shared" si="3"/>
        <v>Trumbull</v>
      </c>
      <c r="AX59" s="7" t="b">
        <f>C59='Gov Fd BS'!C59</f>
        <v>1</v>
      </c>
    </row>
    <row r="60" spans="1:50">
      <c r="A60" s="12" t="s">
        <v>494</v>
      </c>
      <c r="B60" s="12"/>
      <c r="C60" s="12" t="s">
        <v>59</v>
      </c>
      <c r="D60" s="12"/>
      <c r="E60" s="12">
        <v>49593</v>
      </c>
      <c r="F60" s="24"/>
      <c r="G60" s="24">
        <v>1185327</v>
      </c>
      <c r="H60" s="24"/>
      <c r="I60" s="24">
        <v>0</v>
      </c>
      <c r="J60" s="24"/>
      <c r="K60" s="24">
        <v>8064797</v>
      </c>
      <c r="L60" s="24"/>
      <c r="M60" s="24">
        <v>11423</v>
      </c>
      <c r="N60" s="24"/>
      <c r="O60" s="24">
        <v>868928</v>
      </c>
      <c r="P60" s="24"/>
      <c r="Q60" s="24">
        <v>40489</v>
      </c>
      <c r="R60" s="24"/>
      <c r="S60" s="24">
        <v>0</v>
      </c>
      <c r="T60" s="24"/>
      <c r="U60" s="24">
        <v>19543</v>
      </c>
      <c r="V60" s="24"/>
      <c r="W60" s="24">
        <f>200+157157+212008</f>
        <v>369365</v>
      </c>
      <c r="X60" s="24"/>
      <c r="Y60" s="38">
        <f>SUM(G60:W60)</f>
        <v>10559872</v>
      </c>
      <c r="Z60" s="24"/>
      <c r="AA60" s="24">
        <v>323</v>
      </c>
      <c r="AB60" s="24"/>
      <c r="AC60" s="24">
        <v>0</v>
      </c>
      <c r="AD60" s="24"/>
      <c r="AE60" s="24">
        <v>500000</v>
      </c>
      <c r="AF60" s="24"/>
      <c r="AG60" s="24"/>
      <c r="AH60" s="24"/>
      <c r="AI60" s="24"/>
      <c r="AJ60" s="24"/>
      <c r="AK60" s="24">
        <v>0</v>
      </c>
      <c r="AL60" s="24"/>
      <c r="AM60" s="24">
        <v>0</v>
      </c>
      <c r="AN60" s="24"/>
      <c r="AO60" s="38">
        <f t="shared" si="0"/>
        <v>500323</v>
      </c>
      <c r="AP60" s="24"/>
      <c r="AQ60" s="38">
        <f t="shared" si="5"/>
        <v>11060195</v>
      </c>
      <c r="AR60" s="38"/>
      <c r="AS60" s="7"/>
      <c r="AT60" s="7" t="str">
        <f t="shared" si="1"/>
        <v>Bloom-Vernon Local SD</v>
      </c>
      <c r="AU60" s="7" t="str">
        <f>'Gov Fd BS'!A60</f>
        <v>Bloom-Vernon Local SD</v>
      </c>
      <c r="AV60" s="7" t="b">
        <f t="shared" si="2"/>
        <v>1</v>
      </c>
      <c r="AW60" s="7" t="str">
        <f t="shared" si="3"/>
        <v>Scioto</v>
      </c>
      <c r="AX60" s="7" t="b">
        <f>C60='Gov Fd BS'!C60</f>
        <v>1</v>
      </c>
    </row>
    <row r="61" spans="1:50" hidden="1">
      <c r="A61" s="12" t="s">
        <v>676</v>
      </c>
      <c r="B61" s="12"/>
      <c r="C61" s="12" t="s">
        <v>10</v>
      </c>
      <c r="D61" s="12"/>
      <c r="E61" s="12">
        <v>49593</v>
      </c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V61" s="24"/>
      <c r="W61" s="24"/>
      <c r="X61" s="24"/>
      <c r="Y61" s="38">
        <f>SUM(G61:W61)</f>
        <v>0</v>
      </c>
      <c r="Z61" s="24"/>
      <c r="AA61" s="24"/>
      <c r="AB61" s="24"/>
      <c r="AC61" s="24">
        <v>0</v>
      </c>
      <c r="AD61" s="24"/>
      <c r="AE61" s="24"/>
      <c r="AF61" s="24"/>
      <c r="AG61" s="24"/>
      <c r="AH61" s="24"/>
      <c r="AI61" s="24"/>
      <c r="AJ61" s="24"/>
      <c r="AK61" s="24"/>
      <c r="AL61" s="24"/>
      <c r="AM61" s="24">
        <v>0</v>
      </c>
      <c r="AN61" s="24"/>
      <c r="AO61" s="38">
        <f t="shared" si="0"/>
        <v>0</v>
      </c>
      <c r="AP61" s="24"/>
      <c r="AQ61" s="38">
        <f t="shared" si="5"/>
        <v>0</v>
      </c>
      <c r="AR61" s="38"/>
      <c r="AS61" s="7" t="s">
        <v>778</v>
      </c>
      <c r="AT61" s="7" t="str">
        <f t="shared" si="1"/>
        <v>Bluffton Ex Vill SD (OCBOA)</v>
      </c>
      <c r="AU61" s="7" t="str">
        <f>'Gov Fd BS'!A61</f>
        <v>Bluffton Ex Vill SD (OCBOA)</v>
      </c>
      <c r="AV61" s="7" t="b">
        <f t="shared" si="2"/>
        <v>1</v>
      </c>
      <c r="AW61" s="7" t="str">
        <f t="shared" si="3"/>
        <v>Allen</v>
      </c>
      <c r="AX61" s="7" t="b">
        <f>C61='Gov Fd BS'!C61</f>
        <v>1</v>
      </c>
    </row>
    <row r="62" spans="1:50">
      <c r="A62" s="12" t="s">
        <v>415</v>
      </c>
      <c r="B62" s="12"/>
      <c r="C62" s="12" t="s">
        <v>45</v>
      </c>
      <c r="D62" s="12"/>
      <c r="E62" s="12">
        <v>48306</v>
      </c>
      <c r="F62" s="24"/>
      <c r="G62" s="24">
        <v>25965576</v>
      </c>
      <c r="H62" s="24"/>
      <c r="I62" s="24">
        <v>0</v>
      </c>
      <c r="J62" s="24"/>
      <c r="K62" s="24">
        <v>18043480</v>
      </c>
      <c r="L62" s="24"/>
      <c r="M62" s="24">
        <v>32689</v>
      </c>
      <c r="N62" s="24"/>
      <c r="O62" s="24">
        <v>679898</v>
      </c>
      <c r="P62" s="24"/>
      <c r="Q62" s="24">
        <v>388997</v>
      </c>
      <c r="R62" s="24"/>
      <c r="S62" s="24">
        <v>0</v>
      </c>
      <c r="T62" s="24"/>
      <c r="U62" s="8">
        <v>76223</v>
      </c>
      <c r="V62" s="24"/>
      <c r="W62" s="24">
        <f>82707+725637+322770</f>
        <v>1131114</v>
      </c>
      <c r="X62" s="24"/>
      <c r="Y62" s="38">
        <f t="shared" si="9"/>
        <v>46317977</v>
      </c>
      <c r="Z62" s="24"/>
      <c r="AA62" s="24">
        <v>467671</v>
      </c>
      <c r="AB62" s="24"/>
      <c r="AC62" s="24">
        <v>0</v>
      </c>
      <c r="AD62" s="24"/>
      <c r="AE62" s="24">
        <v>0</v>
      </c>
      <c r="AF62" s="24"/>
      <c r="AG62" s="24"/>
      <c r="AH62" s="24"/>
      <c r="AI62" s="24"/>
      <c r="AJ62" s="24"/>
      <c r="AK62" s="24">
        <v>0</v>
      </c>
      <c r="AL62" s="24"/>
      <c r="AM62" s="24">
        <v>0</v>
      </c>
      <c r="AN62" s="24"/>
      <c r="AO62" s="38">
        <f t="shared" si="0"/>
        <v>467671</v>
      </c>
      <c r="AP62" s="24"/>
      <c r="AQ62" s="38">
        <f t="shared" si="5"/>
        <v>46785648</v>
      </c>
      <c r="AR62" s="38"/>
      <c r="AS62" s="7"/>
      <c r="AT62" s="7" t="str">
        <f t="shared" si="1"/>
        <v>Boardman Local SD</v>
      </c>
      <c r="AU62" s="7" t="str">
        <f>'Gov Fd BS'!A62</f>
        <v>Boardman Local SD</v>
      </c>
      <c r="AV62" s="7" t="b">
        <f t="shared" si="2"/>
        <v>1</v>
      </c>
      <c r="AW62" s="7" t="str">
        <f t="shared" si="3"/>
        <v>Mahoning</v>
      </c>
      <c r="AX62" s="7" t="b">
        <f>C62='Gov Fd BS'!C62</f>
        <v>1</v>
      </c>
    </row>
    <row r="63" spans="1:50">
      <c r="A63" s="12" t="s">
        <v>504</v>
      </c>
      <c r="B63" s="12"/>
      <c r="C63" s="12" t="s">
        <v>61</v>
      </c>
      <c r="D63" s="12"/>
      <c r="E63" s="12">
        <v>49767</v>
      </c>
      <c r="F63" s="24"/>
      <c r="G63" s="24">
        <v>949569</v>
      </c>
      <c r="H63" s="24"/>
      <c r="I63" s="24">
        <v>579452</v>
      </c>
      <c r="J63" s="24"/>
      <c r="K63" s="24">
        <v>2905795</v>
      </c>
      <c r="L63" s="24"/>
      <c r="M63" s="24">
        <v>5492</v>
      </c>
      <c r="N63" s="24"/>
      <c r="O63" s="24">
        <v>1130277</v>
      </c>
      <c r="P63" s="24"/>
      <c r="Q63" s="24">
        <v>109579</v>
      </c>
      <c r="R63" s="24"/>
      <c r="S63" s="24">
        <v>0</v>
      </c>
      <c r="T63" s="24"/>
      <c r="U63" s="24">
        <v>16539</v>
      </c>
      <c r="V63" s="24"/>
      <c r="W63" s="24">
        <f>146100+9878+20279</f>
        <v>176257</v>
      </c>
      <c r="X63" s="24"/>
      <c r="Y63" s="38">
        <f t="shared" si="9"/>
        <v>5872960</v>
      </c>
      <c r="Z63" s="24"/>
      <c r="AA63" s="24">
        <v>0</v>
      </c>
      <c r="AB63" s="24"/>
      <c r="AC63" s="24">
        <v>0</v>
      </c>
      <c r="AD63" s="24"/>
      <c r="AE63" s="24">
        <v>0</v>
      </c>
      <c r="AF63" s="24"/>
      <c r="AG63" s="24"/>
      <c r="AH63" s="24"/>
      <c r="AI63" s="24"/>
      <c r="AJ63" s="24"/>
      <c r="AK63" s="24">
        <v>930</v>
      </c>
      <c r="AL63" s="24"/>
      <c r="AM63" s="24">
        <v>0</v>
      </c>
      <c r="AN63" s="24"/>
      <c r="AO63" s="38">
        <f t="shared" si="0"/>
        <v>930</v>
      </c>
      <c r="AP63" s="24"/>
      <c r="AQ63" s="38">
        <f t="shared" si="5"/>
        <v>5873890</v>
      </c>
      <c r="AR63" s="38"/>
      <c r="AS63" s="7"/>
      <c r="AT63" s="7" t="str">
        <f t="shared" si="1"/>
        <v>Botkins Local SD</v>
      </c>
      <c r="AU63" s="7" t="str">
        <f>'Gov Fd BS'!A63</f>
        <v>Botkins Local SD</v>
      </c>
      <c r="AV63" s="7" t="b">
        <f t="shared" si="2"/>
        <v>1</v>
      </c>
      <c r="AW63" s="7" t="str">
        <f t="shared" si="3"/>
        <v>Shelby</v>
      </c>
      <c r="AX63" s="7" t="b">
        <f>C63='Gov Fd BS'!C63</f>
        <v>1</v>
      </c>
    </row>
    <row r="64" spans="1:50">
      <c r="A64" s="12" t="s">
        <v>572</v>
      </c>
      <c r="B64" s="12"/>
      <c r="C64" s="12" t="s">
        <v>72</v>
      </c>
      <c r="D64" s="12"/>
      <c r="E64" s="12">
        <v>43638</v>
      </c>
      <c r="F64" s="24"/>
      <c r="G64" s="24">
        <v>18112807</v>
      </c>
      <c r="H64" s="24"/>
      <c r="I64" s="24">
        <v>2714831</v>
      </c>
      <c r="J64" s="24"/>
      <c r="K64" s="24">
        <v>13537177</v>
      </c>
      <c r="L64" s="24"/>
      <c r="M64" s="24">
        <v>87940</v>
      </c>
      <c r="N64" s="24"/>
      <c r="O64" s="24">
        <v>578532</v>
      </c>
      <c r="P64" s="24"/>
      <c r="Q64" s="24">
        <v>214447</v>
      </c>
      <c r="R64" s="24"/>
      <c r="S64" s="24">
        <v>0</v>
      </c>
      <c r="T64" s="24"/>
      <c r="U64" s="24">
        <v>1500</v>
      </c>
      <c r="V64" s="24"/>
      <c r="W64" s="24">
        <f>8788+130094</f>
        <v>138882</v>
      </c>
      <c r="X64" s="24"/>
      <c r="Y64" s="38">
        <f t="shared" si="9"/>
        <v>35386116</v>
      </c>
      <c r="Z64" s="24"/>
      <c r="AA64" s="24">
        <v>0</v>
      </c>
      <c r="AB64" s="24"/>
      <c r="AC64" s="24">
        <v>0</v>
      </c>
      <c r="AD64" s="24"/>
      <c r="AE64" s="24">
        <v>0</v>
      </c>
      <c r="AF64" s="24"/>
      <c r="AG64" s="24"/>
      <c r="AH64" s="24"/>
      <c r="AI64" s="24"/>
      <c r="AJ64" s="24"/>
      <c r="AK64" s="24">
        <f>26+20942</f>
        <v>20968</v>
      </c>
      <c r="AL64" s="24"/>
      <c r="AM64" s="24">
        <v>0</v>
      </c>
      <c r="AN64" s="24"/>
      <c r="AO64" s="38">
        <f t="shared" si="0"/>
        <v>20968</v>
      </c>
      <c r="AP64" s="24"/>
      <c r="AQ64" s="38">
        <f t="shared" si="5"/>
        <v>35407084</v>
      </c>
      <c r="AR64" s="38"/>
      <c r="AS64" s="7"/>
      <c r="AT64" s="7" t="str">
        <f t="shared" si="1"/>
        <v>Bowling Green City SD</v>
      </c>
      <c r="AU64" s="7" t="str">
        <f>'Gov Fd BS'!A64</f>
        <v>Bowling Green City SD</v>
      </c>
      <c r="AV64" s="7" t="b">
        <f t="shared" si="2"/>
        <v>1</v>
      </c>
      <c r="AW64" s="7" t="str">
        <f t="shared" si="3"/>
        <v>Wood</v>
      </c>
      <c r="AX64" s="7" t="b">
        <f>C64='Gov Fd BS'!C64</f>
        <v>1</v>
      </c>
    </row>
    <row r="65" spans="1:50" ht="12" hidden="1" customHeight="1">
      <c r="A65" s="12" t="s">
        <v>704</v>
      </c>
      <c r="B65" s="12"/>
      <c r="C65" s="12" t="s">
        <v>48</v>
      </c>
      <c r="D65" s="12"/>
      <c r="E65" s="12">
        <v>43646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38">
        <f>SUM(G65:W65)</f>
        <v>0</v>
      </c>
      <c r="Z65" s="24"/>
      <c r="AA65" s="24"/>
      <c r="AB65" s="24"/>
      <c r="AC65" s="24">
        <v>0</v>
      </c>
      <c r="AD65" s="24"/>
      <c r="AE65" s="24"/>
      <c r="AF65" s="24"/>
      <c r="AG65" s="24"/>
      <c r="AH65" s="24"/>
      <c r="AI65" s="24"/>
      <c r="AJ65" s="24"/>
      <c r="AK65" s="24"/>
      <c r="AL65" s="24"/>
      <c r="AM65" s="24">
        <v>0</v>
      </c>
      <c r="AN65" s="24"/>
      <c r="AO65" s="38">
        <f t="shared" si="0"/>
        <v>0</v>
      </c>
      <c r="AP65" s="24"/>
      <c r="AQ65" s="38">
        <f t="shared" si="5"/>
        <v>0</v>
      </c>
      <c r="AR65" s="38"/>
      <c r="AS65" s="7" t="s">
        <v>778</v>
      </c>
      <c r="AT65" s="7" t="str">
        <f t="shared" si="1"/>
        <v>Bradford Ex Vill SD (cash) Two year audit</v>
      </c>
      <c r="AU65" s="7" t="str">
        <f>'Gov Fd BS'!A65</f>
        <v>Bradford Ex Vill SD (cash) Two year audit</v>
      </c>
      <c r="AV65" s="7" t="b">
        <f t="shared" si="2"/>
        <v>1</v>
      </c>
      <c r="AW65" s="7" t="str">
        <f t="shared" si="3"/>
        <v>Miami</v>
      </c>
      <c r="AX65" s="7" t="b">
        <f>C65='Gov Fd BS'!C65</f>
        <v>1</v>
      </c>
    </row>
    <row r="66" spans="1:50">
      <c r="A66" s="12" t="s">
        <v>895</v>
      </c>
      <c r="B66" s="12"/>
      <c r="C66" s="12" t="s">
        <v>20</v>
      </c>
      <c r="D66" s="12"/>
      <c r="E66" s="12">
        <v>43646</v>
      </c>
      <c r="F66" s="24"/>
      <c r="G66" s="24">
        <v>37401381</v>
      </c>
      <c r="H66" s="24"/>
      <c r="I66" s="24">
        <v>0</v>
      </c>
      <c r="J66" s="24"/>
      <c r="K66" s="24">
        <v>16593399</v>
      </c>
      <c r="L66" s="24"/>
      <c r="M66" s="24">
        <v>43452</v>
      </c>
      <c r="N66" s="24"/>
      <c r="O66" s="24">
        <v>968689</v>
      </c>
      <c r="P66" s="24"/>
      <c r="Q66" s="24">
        <v>1194748</v>
      </c>
      <c r="R66" s="24"/>
      <c r="S66" s="24">
        <v>2431</v>
      </c>
      <c r="T66" s="24"/>
      <c r="U66" s="24">
        <v>132527</v>
      </c>
      <c r="V66" s="24"/>
      <c r="W66" s="24">
        <f>45955+1412042+68990</f>
        <v>1526987</v>
      </c>
      <c r="X66" s="24"/>
      <c r="Y66" s="38">
        <f t="shared" si="9"/>
        <v>57863614</v>
      </c>
      <c r="Z66" s="24"/>
      <c r="AA66" s="24">
        <v>264019</v>
      </c>
      <c r="AB66" s="24"/>
      <c r="AC66" s="24">
        <v>0</v>
      </c>
      <c r="AD66" s="24"/>
      <c r="AE66" s="24">
        <v>0</v>
      </c>
      <c r="AF66" s="24"/>
      <c r="AG66" s="24"/>
      <c r="AH66" s="24"/>
      <c r="AI66" s="24"/>
      <c r="AJ66" s="24"/>
      <c r="AK66" s="24">
        <v>0</v>
      </c>
      <c r="AL66" s="24"/>
      <c r="AM66" s="24">
        <v>0</v>
      </c>
      <c r="AN66" s="24"/>
      <c r="AO66" s="38">
        <f t="shared" si="0"/>
        <v>264019</v>
      </c>
      <c r="AP66" s="24"/>
      <c r="AQ66" s="38">
        <f t="shared" si="5"/>
        <v>58127633</v>
      </c>
      <c r="AR66" s="38"/>
      <c r="AS66" s="7"/>
      <c r="AT66" s="7" t="str">
        <f t="shared" si="1"/>
        <v>Brecksville-Broadview Heights City SD</v>
      </c>
      <c r="AU66" s="7" t="str">
        <f>'Gov Fd BS'!A66</f>
        <v>Brecksville-Broadview Heights City SD</v>
      </c>
      <c r="AV66" s="7" t="b">
        <f t="shared" si="2"/>
        <v>1</v>
      </c>
      <c r="AW66" s="7" t="str">
        <f t="shared" si="3"/>
        <v>Cuyahoga</v>
      </c>
      <c r="AX66" s="7" t="b">
        <f>C66='Gov Fd BS'!C66</f>
        <v>1</v>
      </c>
    </row>
    <row r="67" spans="1:50">
      <c r="A67" s="12" t="s">
        <v>860</v>
      </c>
      <c r="B67" s="12"/>
      <c r="C67" s="12" t="s">
        <v>15</v>
      </c>
      <c r="D67" s="12"/>
      <c r="E67" s="12">
        <v>45237</v>
      </c>
      <c r="F67" s="24"/>
      <c r="G67" s="24">
        <v>1874192</v>
      </c>
      <c r="H67" s="24"/>
      <c r="I67" s="24">
        <v>0</v>
      </c>
      <c r="J67" s="24"/>
      <c r="K67" s="24">
        <f>4825999+1402476</f>
        <v>6228475</v>
      </c>
      <c r="L67" s="24"/>
      <c r="M67" s="24">
        <v>3618</v>
      </c>
      <c r="N67" s="24"/>
      <c r="O67" s="24">
        <f>463236+1344</f>
        <v>464580</v>
      </c>
      <c r="P67" s="24"/>
      <c r="Q67" s="24">
        <v>77639</v>
      </c>
      <c r="R67" s="24"/>
      <c r="S67" s="24">
        <v>0</v>
      </c>
      <c r="T67" s="24"/>
      <c r="U67" s="24">
        <v>0</v>
      </c>
      <c r="V67" s="24"/>
      <c r="W67" s="24">
        <f>101201+85942</f>
        <v>187143</v>
      </c>
      <c r="X67" s="24"/>
      <c r="Y67" s="38">
        <f t="shared" si="9"/>
        <v>8835647</v>
      </c>
      <c r="Z67" s="24"/>
      <c r="AA67" s="24">
        <v>386814</v>
      </c>
      <c r="AB67" s="24"/>
      <c r="AC67" s="24">
        <v>0</v>
      </c>
      <c r="AD67" s="24"/>
      <c r="AE67" s="24">
        <v>0</v>
      </c>
      <c r="AF67" s="24"/>
      <c r="AG67" s="24"/>
      <c r="AH67" s="24"/>
      <c r="AI67" s="24"/>
      <c r="AJ67" s="24"/>
      <c r="AK67" s="24">
        <v>59769</v>
      </c>
      <c r="AL67" s="24"/>
      <c r="AM67" s="24">
        <v>0</v>
      </c>
      <c r="AN67" s="24"/>
      <c r="AO67" s="38">
        <f t="shared" si="0"/>
        <v>446583</v>
      </c>
      <c r="AP67" s="24"/>
      <c r="AQ67" s="38">
        <f t="shared" si="5"/>
        <v>9282230</v>
      </c>
      <c r="AR67" s="38"/>
      <c r="AS67" s="7"/>
      <c r="AT67" s="7" t="str">
        <f t="shared" si="1"/>
        <v>Bridgeport Exempted Village SD</v>
      </c>
      <c r="AU67" s="7" t="str">
        <f>'Gov Fd BS'!A67</f>
        <v>Bridgeport Exempted Village SD</v>
      </c>
      <c r="AV67" s="7" t="b">
        <f t="shared" si="2"/>
        <v>1</v>
      </c>
      <c r="AW67" s="7" t="str">
        <f t="shared" si="3"/>
        <v>Belmont</v>
      </c>
      <c r="AX67" s="7" t="b">
        <f>C67='Gov Fd BS'!C67</f>
        <v>1</v>
      </c>
    </row>
    <row r="68" spans="1:50" hidden="1">
      <c r="A68" s="12" t="s">
        <v>906</v>
      </c>
      <c r="B68" s="12"/>
      <c r="C68" s="12" t="s">
        <v>358</v>
      </c>
      <c r="D68" s="12"/>
      <c r="E68" s="12">
        <v>47613</v>
      </c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38">
        <f t="shared" si="9"/>
        <v>0</v>
      </c>
      <c r="Z68" s="24"/>
      <c r="AA68" s="24"/>
      <c r="AB68" s="24"/>
      <c r="AC68" s="24">
        <v>0</v>
      </c>
      <c r="AD68" s="24"/>
      <c r="AE68" s="24"/>
      <c r="AF68" s="24"/>
      <c r="AG68" s="24"/>
      <c r="AH68" s="24"/>
      <c r="AI68" s="24"/>
      <c r="AJ68" s="24"/>
      <c r="AK68" s="24"/>
      <c r="AL68" s="24"/>
      <c r="AM68" s="24">
        <v>0</v>
      </c>
      <c r="AN68" s="24"/>
      <c r="AO68" s="38">
        <f t="shared" si="0"/>
        <v>0</v>
      </c>
      <c r="AP68" s="24"/>
      <c r="AQ68" s="38">
        <f t="shared" si="5"/>
        <v>0</v>
      </c>
      <c r="AR68" s="38"/>
      <c r="AS68" s="7" t="s">
        <v>903</v>
      </c>
      <c r="AT68" s="7" t="str">
        <f t="shared" si="1"/>
        <v>Bright Local SD (CASH)</v>
      </c>
      <c r="AU68" s="7" t="str">
        <f>'Gov Fd BS'!A68</f>
        <v>Bright Local SD (CASH)</v>
      </c>
      <c r="AV68" s="7" t="b">
        <f t="shared" si="2"/>
        <v>1</v>
      </c>
      <c r="AW68" s="7" t="str">
        <f t="shared" si="3"/>
        <v>Highland</v>
      </c>
      <c r="AX68" s="7" t="b">
        <f>C68='Gov Fd BS'!C68</f>
        <v>1</v>
      </c>
    </row>
    <row r="69" spans="1:50">
      <c r="A69" s="12" t="s">
        <v>535</v>
      </c>
      <c r="B69" s="12"/>
      <c r="C69" s="12" t="s">
        <v>64</v>
      </c>
      <c r="D69" s="12"/>
      <c r="E69" s="12">
        <v>50112</v>
      </c>
      <c r="F69" s="24"/>
      <c r="G69" s="24">
        <v>2474586</v>
      </c>
      <c r="H69" s="24"/>
      <c r="I69" s="24">
        <v>0</v>
      </c>
      <c r="J69" s="24"/>
      <c r="K69" s="24">
        <f>3856280+1096459</f>
        <v>4952739</v>
      </c>
      <c r="L69" s="24"/>
      <c r="M69" s="24">
        <v>4595</v>
      </c>
      <c r="N69" s="24"/>
      <c r="O69" s="24">
        <f>280168+1526</f>
        <v>281694</v>
      </c>
      <c r="P69" s="24"/>
      <c r="Q69" s="24">
        <v>98226</v>
      </c>
      <c r="R69" s="24"/>
      <c r="S69" s="24">
        <v>0</v>
      </c>
      <c r="T69" s="24"/>
      <c r="U69" s="24">
        <v>2722</v>
      </c>
      <c r="V69" s="24"/>
      <c r="W69" s="24">
        <f>119013+6300+25340</f>
        <v>150653</v>
      </c>
      <c r="X69" s="24"/>
      <c r="Y69" s="38">
        <f t="shared" si="9"/>
        <v>7965215</v>
      </c>
      <c r="Z69" s="24"/>
      <c r="AA69" s="24">
        <v>98894</v>
      </c>
      <c r="AB69" s="24"/>
      <c r="AC69" s="24">
        <v>0</v>
      </c>
      <c r="AD69" s="24"/>
      <c r="AE69" s="24">
        <f>1529999+82291</f>
        <v>1612290</v>
      </c>
      <c r="AF69" s="24"/>
      <c r="AG69" s="24"/>
      <c r="AH69" s="24"/>
      <c r="AI69" s="24"/>
      <c r="AJ69" s="24"/>
      <c r="AK69" s="24">
        <v>0</v>
      </c>
      <c r="AL69" s="24"/>
      <c r="AM69" s="24">
        <v>0</v>
      </c>
      <c r="AN69" s="24"/>
      <c r="AO69" s="38">
        <f t="shared" si="0"/>
        <v>1711184</v>
      </c>
      <c r="AP69" s="24"/>
      <c r="AQ69" s="38">
        <f t="shared" si="5"/>
        <v>9676399</v>
      </c>
      <c r="AR69" s="38"/>
      <c r="AS69" s="7"/>
      <c r="AT69" s="7" t="str">
        <f t="shared" si="1"/>
        <v>Bristol Local SD</v>
      </c>
      <c r="AU69" s="7" t="str">
        <f>'Gov Fd BS'!A69</f>
        <v>Bristol Local SD</v>
      </c>
      <c r="AV69" s="7" t="b">
        <f t="shared" si="2"/>
        <v>1</v>
      </c>
      <c r="AW69" s="7" t="str">
        <f t="shared" si="3"/>
        <v>Trumbull</v>
      </c>
      <c r="AX69" s="7" t="b">
        <f>C69='Gov Fd BS'!C69</f>
        <v>1</v>
      </c>
    </row>
    <row r="70" spans="1:50">
      <c r="A70" s="12" t="s">
        <v>706</v>
      </c>
      <c r="B70" s="12"/>
      <c r="C70" s="12" t="s">
        <v>64</v>
      </c>
      <c r="D70" s="12"/>
      <c r="E70" s="12">
        <v>50120</v>
      </c>
      <c r="F70" s="24"/>
      <c r="G70" s="24">
        <v>3444987</v>
      </c>
      <c r="H70" s="24"/>
      <c r="I70" s="24">
        <v>0</v>
      </c>
      <c r="J70" s="24"/>
      <c r="K70" s="24">
        <f>6949040+1855801</f>
        <v>8804841</v>
      </c>
      <c r="L70" s="24"/>
      <c r="M70" s="24">
        <v>63830</v>
      </c>
      <c r="N70" s="24"/>
      <c r="O70" s="24">
        <f>358845+41667+4192</f>
        <v>404704</v>
      </c>
      <c r="P70" s="24"/>
      <c r="Q70" s="24">
        <v>138512</v>
      </c>
      <c r="R70" s="24"/>
      <c r="S70" s="24">
        <v>0</v>
      </c>
      <c r="T70" s="24"/>
      <c r="U70" s="24">
        <v>0</v>
      </c>
      <c r="V70" s="24"/>
      <c r="W70" s="24">
        <f>190413+45227</f>
        <v>235640</v>
      </c>
      <c r="X70" s="24"/>
      <c r="Y70" s="38">
        <f t="shared" si="9"/>
        <v>13092514</v>
      </c>
      <c r="Z70" s="24"/>
      <c r="AA70" s="24">
        <v>0</v>
      </c>
      <c r="AB70" s="24"/>
      <c r="AC70" s="24">
        <v>0</v>
      </c>
      <c r="AD70" s="24"/>
      <c r="AE70" s="24">
        <v>0</v>
      </c>
      <c r="AF70" s="24"/>
      <c r="AG70" s="24"/>
      <c r="AH70" s="24"/>
      <c r="AI70" s="24"/>
      <c r="AJ70" s="24"/>
      <c r="AK70" s="24">
        <v>0</v>
      </c>
      <c r="AL70" s="24"/>
      <c r="AM70" s="24">
        <v>0</v>
      </c>
      <c r="AN70" s="24"/>
      <c r="AO70" s="38">
        <f t="shared" si="0"/>
        <v>0</v>
      </c>
      <c r="AP70" s="24"/>
      <c r="AQ70" s="38">
        <f t="shared" si="5"/>
        <v>13092514</v>
      </c>
      <c r="AR70" s="38"/>
      <c r="AS70" s="7"/>
      <c r="AT70" s="7" t="str">
        <f t="shared" si="1"/>
        <v xml:space="preserve">Brookfield Local SD </v>
      </c>
      <c r="AU70" s="7" t="str">
        <f>'Gov Fd BS'!A70</f>
        <v xml:space="preserve">Brookfield Local SD </v>
      </c>
      <c r="AV70" s="7" t="b">
        <f t="shared" si="2"/>
        <v>1</v>
      </c>
      <c r="AW70" s="7" t="str">
        <f t="shared" si="3"/>
        <v>Trumbull</v>
      </c>
      <c r="AX70" s="7" t="b">
        <f>C70='Gov Fd BS'!C70</f>
        <v>1</v>
      </c>
    </row>
    <row r="71" spans="1:50">
      <c r="A71" s="12" t="s">
        <v>270</v>
      </c>
      <c r="B71" s="12"/>
      <c r="C71" s="12" t="s">
        <v>20</v>
      </c>
      <c r="D71" s="12"/>
      <c r="E71" s="12">
        <v>43653</v>
      </c>
      <c r="F71" s="24"/>
      <c r="G71" s="24">
        <v>11260781</v>
      </c>
      <c r="H71" s="24"/>
      <c r="I71" s="24">
        <v>0</v>
      </c>
      <c r="J71" s="24"/>
      <c r="K71" s="24">
        <v>5288420</v>
      </c>
      <c r="L71" s="24"/>
      <c r="M71" s="24">
        <v>0</v>
      </c>
      <c r="N71" s="24"/>
      <c r="O71" s="24">
        <v>245399</v>
      </c>
      <c r="P71" s="24"/>
      <c r="Q71" s="24">
        <v>139697</v>
      </c>
      <c r="R71" s="24"/>
      <c r="S71" s="24">
        <v>0</v>
      </c>
      <c r="T71" s="24"/>
      <c r="U71" s="24">
        <v>13076</v>
      </c>
      <c r="V71" s="24"/>
      <c r="W71" s="24">
        <f>329005+2875+310036</f>
        <v>641916</v>
      </c>
      <c r="X71" s="24"/>
      <c r="Y71" s="38">
        <f t="shared" si="9"/>
        <v>17589289</v>
      </c>
      <c r="Z71" s="24"/>
      <c r="AA71" s="24">
        <v>0</v>
      </c>
      <c r="AB71" s="24"/>
      <c r="AC71" s="24">
        <v>0</v>
      </c>
      <c r="AD71" s="24"/>
      <c r="AE71" s="24">
        <v>0</v>
      </c>
      <c r="AF71" s="24"/>
      <c r="AG71" s="24"/>
      <c r="AH71" s="24"/>
      <c r="AI71" s="24"/>
      <c r="AJ71" s="24"/>
      <c r="AK71" s="24">
        <v>0</v>
      </c>
      <c r="AL71" s="24"/>
      <c r="AM71" s="24">
        <v>0</v>
      </c>
      <c r="AN71" s="24"/>
      <c r="AO71" s="38">
        <f t="shared" si="0"/>
        <v>0</v>
      </c>
      <c r="AP71" s="24"/>
      <c r="AQ71" s="38">
        <f t="shared" si="5"/>
        <v>17589289</v>
      </c>
      <c r="AR71" s="38"/>
      <c r="AS71" s="7"/>
      <c r="AT71" s="7" t="str">
        <f t="shared" si="1"/>
        <v>Brooklyn City SD</v>
      </c>
      <c r="AU71" s="7" t="str">
        <f>'Gov Fd BS'!A71</f>
        <v>Brooklyn City SD</v>
      </c>
      <c r="AV71" s="7" t="b">
        <f t="shared" si="2"/>
        <v>1</v>
      </c>
      <c r="AW71" s="7" t="str">
        <f t="shared" si="3"/>
        <v>Cuyahoga</v>
      </c>
      <c r="AX71" s="7" t="b">
        <f>C71='Gov Fd BS'!C71</f>
        <v>1</v>
      </c>
    </row>
    <row r="72" spans="1:50">
      <c r="A72" s="12" t="s">
        <v>441</v>
      </c>
      <c r="B72" s="12"/>
      <c r="C72" s="12" t="s">
        <v>50</v>
      </c>
      <c r="D72" s="12"/>
      <c r="E72" s="12">
        <v>48678</v>
      </c>
      <c r="F72" s="24"/>
      <c r="G72" s="24">
        <v>6641680</v>
      </c>
      <c r="H72" s="24"/>
      <c r="I72" s="24">
        <v>0</v>
      </c>
      <c r="J72" s="24"/>
      <c r="K72" s="24">
        <v>12242353</v>
      </c>
      <c r="L72" s="24"/>
      <c r="M72" s="24">
        <v>114275</v>
      </c>
      <c r="N72" s="24"/>
      <c r="O72" s="24">
        <v>290047</v>
      </c>
      <c r="P72" s="24"/>
      <c r="Q72" s="24">
        <v>317495</v>
      </c>
      <c r="R72" s="24"/>
      <c r="S72" s="24">
        <v>158754</v>
      </c>
      <c r="T72" s="24"/>
      <c r="U72" s="24">
        <v>0</v>
      </c>
      <c r="V72" s="24"/>
      <c r="W72" s="24">
        <f>497447+110125</f>
        <v>607572</v>
      </c>
      <c r="X72" s="24"/>
      <c r="Y72" s="38">
        <f t="shared" si="9"/>
        <v>20372176</v>
      </c>
      <c r="Z72" s="24"/>
      <c r="AA72" s="24">
        <v>117646</v>
      </c>
      <c r="AB72" s="24"/>
      <c r="AC72" s="24">
        <v>0</v>
      </c>
      <c r="AD72" s="24"/>
      <c r="AE72" s="24">
        <v>0</v>
      </c>
      <c r="AF72" s="24"/>
      <c r="AG72" s="24"/>
      <c r="AH72" s="24"/>
      <c r="AI72" s="24"/>
      <c r="AJ72" s="24"/>
      <c r="AK72" s="24">
        <v>170396</v>
      </c>
      <c r="AL72" s="24"/>
      <c r="AM72" s="24">
        <v>0</v>
      </c>
      <c r="AN72" s="24"/>
      <c r="AO72" s="38">
        <f t="shared" si="0"/>
        <v>288042</v>
      </c>
      <c r="AP72" s="24"/>
      <c r="AQ72" s="38">
        <f t="shared" si="5"/>
        <v>20660218</v>
      </c>
      <c r="AR72" s="38"/>
      <c r="AS72" s="7"/>
      <c r="AT72" s="7" t="str">
        <f t="shared" si="1"/>
        <v>Brookville Local SD</v>
      </c>
      <c r="AU72" s="7" t="str">
        <f>'Gov Fd BS'!A72</f>
        <v>Brookville Local SD</v>
      </c>
      <c r="AV72" s="7" t="b">
        <f t="shared" si="2"/>
        <v>1</v>
      </c>
      <c r="AW72" s="7" t="str">
        <f t="shared" si="3"/>
        <v>Montgomery</v>
      </c>
      <c r="AX72" s="7" t="b">
        <f>C72='Gov Fd BS'!C72</f>
        <v>1</v>
      </c>
    </row>
    <row r="73" spans="1:50">
      <c r="A73" s="12" t="s">
        <v>231</v>
      </c>
      <c r="B73" s="12"/>
      <c r="C73" s="12" t="s">
        <v>16</v>
      </c>
      <c r="D73" s="12"/>
      <c r="E73" s="12">
        <v>46177</v>
      </c>
      <c r="F73" s="24"/>
      <c r="G73" s="24">
        <v>4238923</v>
      </c>
      <c r="H73" s="24"/>
      <c r="I73" s="24">
        <v>0</v>
      </c>
      <c r="J73" s="24"/>
      <c r="K73" s="24">
        <v>4217927</v>
      </c>
      <c r="L73" s="24"/>
      <c r="M73" s="24">
        <v>27324</v>
      </c>
      <c r="N73" s="24"/>
      <c r="O73" s="24">
        <v>264704</v>
      </c>
      <c r="P73" s="24"/>
      <c r="Q73" s="24">
        <v>156809</v>
      </c>
      <c r="R73" s="24"/>
      <c r="S73" s="24">
        <v>0</v>
      </c>
      <c r="T73" s="24"/>
      <c r="U73" s="24">
        <v>13207</v>
      </c>
      <c r="V73" s="24"/>
      <c r="W73" s="24">
        <f>18070+99460+5025</f>
        <v>122555</v>
      </c>
      <c r="X73" s="24"/>
      <c r="Y73" s="38">
        <f t="shared" si="9"/>
        <v>9041449</v>
      </c>
      <c r="Z73" s="24"/>
      <c r="AA73" s="7">
        <v>0</v>
      </c>
      <c r="AB73" s="24"/>
      <c r="AC73" s="24">
        <v>0</v>
      </c>
      <c r="AD73" s="24"/>
      <c r="AE73" s="24">
        <v>0</v>
      </c>
      <c r="AF73" s="24"/>
      <c r="AG73" s="24"/>
      <c r="AH73" s="24"/>
      <c r="AI73" s="24"/>
      <c r="AJ73" s="24"/>
      <c r="AK73" s="24">
        <v>3250</v>
      </c>
      <c r="AL73" s="24"/>
      <c r="AM73" s="24">
        <v>0</v>
      </c>
      <c r="AN73" s="24"/>
      <c r="AO73" s="38">
        <f t="shared" si="0"/>
        <v>3250</v>
      </c>
      <c r="AP73" s="24"/>
      <c r="AQ73" s="38">
        <f t="shared" si="5"/>
        <v>9044699</v>
      </c>
      <c r="AR73" s="38"/>
      <c r="AS73" s="7"/>
      <c r="AT73" s="7" t="str">
        <f t="shared" si="1"/>
        <v>Brown Local SD</v>
      </c>
      <c r="AU73" s="7" t="str">
        <f>'Gov Fd BS'!A73</f>
        <v>Brown Local SD</v>
      </c>
      <c r="AV73" s="7" t="b">
        <f t="shared" si="2"/>
        <v>1</v>
      </c>
      <c r="AW73" s="7" t="str">
        <f t="shared" si="3"/>
        <v>Carroll</v>
      </c>
      <c r="AX73" s="7" t="b">
        <f>C73='Gov Fd BS'!C73</f>
        <v>1</v>
      </c>
    </row>
    <row r="74" spans="1:50">
      <c r="A74" s="12" t="s">
        <v>428</v>
      </c>
      <c r="B74" s="12"/>
      <c r="C74" s="12" t="s">
        <v>47</v>
      </c>
      <c r="D74" s="12"/>
      <c r="E74" s="12">
        <v>43661</v>
      </c>
      <c r="F74" s="24"/>
      <c r="G74" s="24">
        <v>33946091</v>
      </c>
      <c r="H74" s="24"/>
      <c r="I74" s="24">
        <v>0</v>
      </c>
      <c r="J74" s="24"/>
      <c r="K74" s="24">
        <v>36916987</v>
      </c>
      <c r="L74" s="24"/>
      <c r="M74" s="24">
        <v>107182</v>
      </c>
      <c r="N74" s="24"/>
      <c r="O74" s="24">
        <v>756209</v>
      </c>
      <c r="P74" s="24"/>
      <c r="Q74" s="24">
        <v>1070579</v>
      </c>
      <c r="R74" s="24"/>
      <c r="S74" s="24">
        <v>0</v>
      </c>
      <c r="T74" s="24"/>
      <c r="U74" s="24">
        <v>42319</v>
      </c>
      <c r="V74" s="24"/>
      <c r="W74" s="24">
        <f>1098591+1084879+56230</f>
        <v>2239700</v>
      </c>
      <c r="X74" s="24"/>
      <c r="Y74" s="38">
        <f t="shared" si="9"/>
        <v>75079067</v>
      </c>
      <c r="Z74" s="24"/>
      <c r="AA74" s="24">
        <v>300000</v>
      </c>
      <c r="AB74" s="24"/>
      <c r="AC74" s="24">
        <v>0</v>
      </c>
      <c r="AD74" s="24"/>
      <c r="AE74" s="24">
        <v>19938</v>
      </c>
      <c r="AF74" s="24"/>
      <c r="AG74" s="24"/>
      <c r="AH74" s="24"/>
      <c r="AI74" s="24"/>
      <c r="AJ74" s="24"/>
      <c r="AK74" s="24">
        <v>24570000</v>
      </c>
      <c r="AL74" s="24"/>
      <c r="AM74" s="24">
        <v>0</v>
      </c>
      <c r="AN74" s="24"/>
      <c r="AO74" s="38">
        <f t="shared" si="0"/>
        <v>24889938</v>
      </c>
      <c r="AP74" s="24"/>
      <c r="AQ74" s="38">
        <f t="shared" si="5"/>
        <v>99969005</v>
      </c>
      <c r="AR74" s="38"/>
      <c r="AS74" s="7"/>
      <c r="AT74" s="7" t="str">
        <f t="shared" si="1"/>
        <v>Brunswick City SD</v>
      </c>
      <c r="AU74" s="7" t="str">
        <f>'Gov Fd BS'!A74</f>
        <v>Brunswick City SD</v>
      </c>
      <c r="AV74" s="7" t="b">
        <f t="shared" si="2"/>
        <v>1</v>
      </c>
      <c r="AW74" s="7" t="str">
        <f t="shared" si="3"/>
        <v>Medina</v>
      </c>
      <c r="AX74" s="7" t="b">
        <f>C74='Gov Fd BS'!C74</f>
        <v>1</v>
      </c>
    </row>
    <row r="75" spans="1:50" hidden="1">
      <c r="A75" s="12" t="s">
        <v>707</v>
      </c>
      <c r="B75" s="12"/>
      <c r="C75" s="12" t="s">
        <v>570</v>
      </c>
      <c r="D75" s="12"/>
      <c r="E75" s="12">
        <v>43679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38">
        <f t="shared" si="9"/>
        <v>0</v>
      </c>
      <c r="Z75" s="24"/>
      <c r="AA75" s="24"/>
      <c r="AB75" s="24"/>
      <c r="AC75" s="24">
        <v>0</v>
      </c>
      <c r="AD75" s="24"/>
      <c r="AE75" s="24"/>
      <c r="AF75" s="24"/>
      <c r="AG75" s="24"/>
      <c r="AH75" s="24"/>
      <c r="AI75" s="24"/>
      <c r="AJ75" s="24"/>
      <c r="AK75" s="24"/>
      <c r="AL75" s="24"/>
      <c r="AM75" s="24">
        <v>0</v>
      </c>
      <c r="AN75" s="24"/>
      <c r="AO75" s="38">
        <f t="shared" ref="AO75:AO138" si="10">SUM(AA75:AM75)</f>
        <v>0</v>
      </c>
      <c r="AP75" s="24"/>
      <c r="AQ75" s="38">
        <f t="shared" si="5"/>
        <v>0</v>
      </c>
      <c r="AR75" s="38"/>
      <c r="AS75" s="7" t="s">
        <v>778</v>
      </c>
      <c r="AT75" s="7" t="str">
        <f t="shared" si="1"/>
        <v>Bryan City SD (CASH)</v>
      </c>
      <c r="AU75" s="7" t="str">
        <f>'Gov Fd BS'!A75</f>
        <v>Bryan City SD (CASH)</v>
      </c>
      <c r="AV75" s="7" t="b">
        <f t="shared" si="2"/>
        <v>1</v>
      </c>
      <c r="AW75" s="7" t="str">
        <f t="shared" si="3"/>
        <v>Williams</v>
      </c>
      <c r="AX75" s="7" t="b">
        <f>C75='Gov Fd BS'!C75</f>
        <v>1</v>
      </c>
    </row>
    <row r="76" spans="1:50">
      <c r="A76" s="12" t="s">
        <v>262</v>
      </c>
      <c r="B76" s="12"/>
      <c r="C76" s="12" t="s">
        <v>111</v>
      </c>
      <c r="D76" s="12"/>
      <c r="E76" s="12">
        <v>46508</v>
      </c>
      <c r="F76" s="24"/>
      <c r="G76" s="24">
        <v>2393447</v>
      </c>
      <c r="H76" s="24"/>
      <c r="I76" s="24">
        <v>1473363</v>
      </c>
      <c r="J76" s="24"/>
      <c r="K76" s="24">
        <f>4690990+969086</f>
        <v>5660076</v>
      </c>
      <c r="L76" s="24"/>
      <c r="M76" s="24">
        <v>12821</v>
      </c>
      <c r="N76" s="24"/>
      <c r="O76" s="24">
        <v>208711</v>
      </c>
      <c r="P76" s="24"/>
      <c r="Q76" s="24">
        <v>92320</v>
      </c>
      <c r="R76" s="24"/>
      <c r="S76" s="24">
        <v>0</v>
      </c>
      <c r="T76" s="24"/>
      <c r="U76" s="24">
        <v>300</v>
      </c>
      <c r="V76" s="24"/>
      <c r="W76" s="24">
        <f>53311+175+145532+12361</f>
        <v>211379</v>
      </c>
      <c r="X76" s="24"/>
      <c r="Y76" s="38">
        <f t="shared" si="9"/>
        <v>10052417</v>
      </c>
      <c r="Z76" s="24"/>
      <c r="AA76" s="24">
        <v>25000</v>
      </c>
      <c r="AB76" s="24"/>
      <c r="AC76" s="24">
        <v>0</v>
      </c>
      <c r="AD76" s="24"/>
      <c r="AE76" s="24">
        <v>0</v>
      </c>
      <c r="AF76" s="24"/>
      <c r="AG76" s="24"/>
      <c r="AH76" s="24"/>
      <c r="AI76" s="24"/>
      <c r="AJ76" s="24"/>
      <c r="AK76" s="24">
        <v>0</v>
      </c>
      <c r="AL76" s="24"/>
      <c r="AM76" s="24">
        <v>0</v>
      </c>
      <c r="AN76" s="24"/>
      <c r="AO76" s="38">
        <f t="shared" si="10"/>
        <v>25000</v>
      </c>
      <c r="AP76" s="24"/>
      <c r="AQ76" s="38">
        <f t="shared" si="5"/>
        <v>10077417</v>
      </c>
      <c r="AR76" s="38"/>
      <c r="AS76" s="7"/>
      <c r="AT76" s="7" t="str">
        <f t="shared" si="1"/>
        <v>Buckeye Central Local SD</v>
      </c>
      <c r="AU76" s="7" t="str">
        <f>'Gov Fd BS'!A76</f>
        <v>Buckeye Central Local SD</v>
      </c>
      <c r="AV76" s="7" t="b">
        <f t="shared" si="2"/>
        <v>1</v>
      </c>
      <c r="AW76" s="7" t="str">
        <f t="shared" ref="AW76:AW139" si="11">C76</f>
        <v>Crawford</v>
      </c>
      <c r="AX76" s="7" t="b">
        <f>C76='Gov Fd BS'!C76</f>
        <v>1</v>
      </c>
    </row>
    <row r="77" spans="1:50">
      <c r="A77" s="12" t="s">
        <v>207</v>
      </c>
      <c r="B77" s="12"/>
      <c r="C77" s="12" t="s">
        <v>12</v>
      </c>
      <c r="D77" s="12"/>
      <c r="E77" s="12">
        <v>45856</v>
      </c>
      <c r="F77" s="24"/>
      <c r="G77" s="24">
        <v>6805963</v>
      </c>
      <c r="H77" s="24"/>
      <c r="I77" s="24">
        <v>0</v>
      </c>
      <c r="J77" s="24"/>
      <c r="K77" s="24">
        <v>11686123</v>
      </c>
      <c r="L77" s="24"/>
      <c r="M77" s="24">
        <v>40063</v>
      </c>
      <c r="N77" s="24"/>
      <c r="O77" s="24">
        <v>1521855</v>
      </c>
      <c r="P77" s="24"/>
      <c r="Q77" s="24">
        <v>165838</v>
      </c>
      <c r="R77" s="24"/>
      <c r="S77" s="24">
        <v>0</v>
      </c>
      <c r="T77" s="24"/>
      <c r="U77" s="24">
        <v>14523</v>
      </c>
      <c r="V77" s="24"/>
      <c r="W77" s="24">
        <f>15134+3681+369695</f>
        <v>388510</v>
      </c>
      <c r="X77" s="24"/>
      <c r="Y77" s="38">
        <f t="shared" si="9"/>
        <v>20622875</v>
      </c>
      <c r="Z77" s="24"/>
      <c r="AA77" s="24">
        <v>0</v>
      </c>
      <c r="AB77" s="24"/>
      <c r="AC77" s="24">
        <v>0</v>
      </c>
      <c r="AD77" s="24"/>
      <c r="AE77" s="24">
        <v>0</v>
      </c>
      <c r="AF77" s="24"/>
      <c r="AG77" s="24"/>
      <c r="AH77" s="24"/>
      <c r="AI77" s="24"/>
      <c r="AJ77" s="24"/>
      <c r="AK77" s="24">
        <v>13775</v>
      </c>
      <c r="AL77" s="24"/>
      <c r="AM77" s="24">
        <v>0</v>
      </c>
      <c r="AN77" s="24"/>
      <c r="AO77" s="38">
        <f t="shared" si="10"/>
        <v>13775</v>
      </c>
      <c r="AP77" s="24"/>
      <c r="AQ77" s="38">
        <f t="shared" ref="AQ77:AQ105" si="12">Y77+AO77</f>
        <v>20636650</v>
      </c>
      <c r="AR77" s="38"/>
      <c r="AS77" s="7"/>
      <c r="AT77" s="7" t="str">
        <f t="shared" ref="AT77:AT140" si="13">A77</f>
        <v>Buckeye Local SD</v>
      </c>
      <c r="AU77" s="7" t="str">
        <f>'Gov Fd BS'!A77</f>
        <v>Buckeye Local SD</v>
      </c>
      <c r="AV77" s="7" t="b">
        <f t="shared" ref="AV77:AV140" si="14">AT77=AU77</f>
        <v>1</v>
      </c>
      <c r="AW77" s="7" t="str">
        <f t="shared" si="11"/>
        <v>Ashtabula</v>
      </c>
      <c r="AX77" s="7" t="b">
        <f>C77='Gov Fd BS'!C77</f>
        <v>1</v>
      </c>
    </row>
    <row r="78" spans="1:50">
      <c r="A78" s="12" t="s">
        <v>207</v>
      </c>
      <c r="B78" s="12"/>
      <c r="C78" s="12" t="s">
        <v>39</v>
      </c>
      <c r="D78" s="12"/>
      <c r="E78" s="12">
        <v>47787</v>
      </c>
      <c r="F78" s="24"/>
      <c r="G78" s="24">
        <v>6527568</v>
      </c>
      <c r="H78" s="24"/>
      <c r="I78" s="24">
        <v>0</v>
      </c>
      <c r="J78" s="24"/>
      <c r="K78" s="24">
        <v>15393104</v>
      </c>
      <c r="L78" s="24"/>
      <c r="M78" s="24">
        <v>3106</v>
      </c>
      <c r="N78" s="24"/>
      <c r="O78" s="24">
        <v>510570</v>
      </c>
      <c r="P78" s="24"/>
      <c r="Q78" s="24">
        <v>153199</v>
      </c>
      <c r="R78" s="24"/>
      <c r="S78" s="24">
        <v>0</v>
      </c>
      <c r="T78" s="24"/>
      <c r="U78" s="24">
        <v>60213</v>
      </c>
      <c r="V78" s="24"/>
      <c r="W78" s="24">
        <f>227019+52725</f>
        <v>279744</v>
      </c>
      <c r="X78" s="24"/>
      <c r="Y78" s="38">
        <f t="shared" si="9"/>
        <v>22927504</v>
      </c>
      <c r="Z78" s="24"/>
      <c r="AA78" s="24">
        <v>121318</v>
      </c>
      <c r="AB78" s="24"/>
      <c r="AC78" s="24">
        <v>0</v>
      </c>
      <c r="AD78" s="24"/>
      <c r="AE78" s="24">
        <v>0</v>
      </c>
      <c r="AF78" s="24"/>
      <c r="AG78" s="24"/>
      <c r="AH78" s="24"/>
      <c r="AI78" s="24"/>
      <c r="AJ78" s="24"/>
      <c r="AK78" s="24">
        <v>0</v>
      </c>
      <c r="AL78" s="24"/>
      <c r="AM78" s="24">
        <v>0</v>
      </c>
      <c r="AN78" s="24"/>
      <c r="AO78" s="38">
        <f t="shared" si="10"/>
        <v>121318</v>
      </c>
      <c r="AP78" s="24"/>
      <c r="AQ78" s="38">
        <f t="shared" si="12"/>
        <v>23048822</v>
      </c>
      <c r="AR78" s="38"/>
      <c r="AS78" s="7"/>
      <c r="AT78" s="7" t="str">
        <f t="shared" si="13"/>
        <v>Buckeye Local SD</v>
      </c>
      <c r="AU78" s="7" t="str">
        <f>'Gov Fd BS'!A78</f>
        <v>Buckeye Local SD</v>
      </c>
      <c r="AV78" s="7" t="b">
        <f t="shared" si="14"/>
        <v>1</v>
      </c>
      <c r="AW78" s="7" t="str">
        <f t="shared" si="11"/>
        <v>Jefferson</v>
      </c>
      <c r="AX78" s="7" t="b">
        <f>C78='Gov Fd BS'!C78</f>
        <v>1</v>
      </c>
    </row>
    <row r="79" spans="1:50">
      <c r="A79" s="12" t="s">
        <v>708</v>
      </c>
      <c r="B79" s="12"/>
      <c r="C79" s="12" t="s">
        <v>47</v>
      </c>
      <c r="D79" s="12"/>
      <c r="E79" s="12">
        <v>48470</v>
      </c>
      <c r="F79" s="24"/>
      <c r="G79" s="24">
        <v>9336055</v>
      </c>
      <c r="H79" s="24"/>
      <c r="I79" s="24">
        <v>0</v>
      </c>
      <c r="J79" s="24"/>
      <c r="K79" s="24">
        <v>11696580</v>
      </c>
      <c r="L79" s="24"/>
      <c r="M79" s="24">
        <v>7508</v>
      </c>
      <c r="N79" s="24"/>
      <c r="O79" s="24">
        <v>232365</v>
      </c>
      <c r="P79" s="24"/>
      <c r="Q79" s="24">
        <v>477318</v>
      </c>
      <c r="R79" s="24"/>
      <c r="S79" s="24">
        <v>0</v>
      </c>
      <c r="T79" s="24"/>
      <c r="U79" s="24">
        <v>15724</v>
      </c>
      <c r="V79" s="24"/>
      <c r="W79" s="24">
        <f>59446+236420+45261</f>
        <v>341127</v>
      </c>
      <c r="X79" s="24"/>
      <c r="Y79" s="38">
        <f t="shared" si="9"/>
        <v>22106677</v>
      </c>
      <c r="Z79" s="24"/>
      <c r="AA79" s="24">
        <v>168393</v>
      </c>
      <c r="AB79" s="24"/>
      <c r="AC79" s="24">
        <v>0</v>
      </c>
      <c r="AD79" s="24"/>
      <c r="AE79" s="24">
        <f>7182700+502365</f>
        <v>7685065</v>
      </c>
      <c r="AF79" s="24"/>
      <c r="AG79" s="24"/>
      <c r="AH79" s="24"/>
      <c r="AI79" s="24"/>
      <c r="AJ79" s="24"/>
      <c r="AK79" s="24">
        <f>13470+116342</f>
        <v>129812</v>
      </c>
      <c r="AL79" s="24"/>
      <c r="AM79" s="24">
        <v>0</v>
      </c>
      <c r="AN79" s="24"/>
      <c r="AO79" s="38">
        <f t="shared" si="10"/>
        <v>7983270</v>
      </c>
      <c r="AP79" s="24"/>
      <c r="AQ79" s="38">
        <f t="shared" si="12"/>
        <v>30089947</v>
      </c>
      <c r="AR79" s="38"/>
      <c r="AS79" s="7"/>
      <c r="AT79" s="7" t="str">
        <f t="shared" si="13"/>
        <v xml:space="preserve">Buckeye Local SD </v>
      </c>
      <c r="AU79" s="7" t="str">
        <f>'Gov Fd BS'!A79</f>
        <v xml:space="preserve">Buckeye Local SD </v>
      </c>
      <c r="AV79" s="7" t="b">
        <f t="shared" si="14"/>
        <v>1</v>
      </c>
      <c r="AW79" s="7" t="str">
        <f t="shared" si="11"/>
        <v>Medina</v>
      </c>
      <c r="AX79" s="7" t="b">
        <f>C79='Gov Fd BS'!C79</f>
        <v>1</v>
      </c>
    </row>
    <row r="80" spans="1:50" hidden="1">
      <c r="A80" s="54" t="s">
        <v>908</v>
      </c>
      <c r="B80" s="12"/>
      <c r="C80" s="12" t="s">
        <v>112</v>
      </c>
      <c r="D80" s="12"/>
      <c r="E80" s="12">
        <v>46755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38">
        <f>SUM(G80:W80)</f>
        <v>0</v>
      </c>
      <c r="Z80" s="24"/>
      <c r="AA80" s="24"/>
      <c r="AB80" s="24"/>
      <c r="AC80" s="24">
        <v>0</v>
      </c>
      <c r="AD80" s="24"/>
      <c r="AE80" s="24"/>
      <c r="AF80" s="24"/>
      <c r="AG80" s="24"/>
      <c r="AH80" s="24"/>
      <c r="AI80" s="24"/>
      <c r="AJ80" s="24"/>
      <c r="AK80" s="24"/>
      <c r="AL80" s="24"/>
      <c r="AM80" s="24">
        <v>0</v>
      </c>
      <c r="AN80" s="24"/>
      <c r="AO80" s="38">
        <f t="shared" si="10"/>
        <v>0</v>
      </c>
      <c r="AP80" s="24"/>
      <c r="AQ80" s="38">
        <f t="shared" si="12"/>
        <v>0</v>
      </c>
      <c r="AR80" s="38"/>
      <c r="AS80" s="7" t="s">
        <v>907</v>
      </c>
      <c r="AT80" s="7" t="str">
        <f t="shared" si="13"/>
        <v>Buckeye Online School for Success (now Community School)</v>
      </c>
      <c r="AU80" s="7" t="str">
        <f>'Gov Fd BS'!A80</f>
        <v>Buckeye Online School for Success (now Community School)</v>
      </c>
      <c r="AV80" s="7" t="b">
        <f t="shared" si="14"/>
        <v>1</v>
      </c>
      <c r="AW80" s="7" t="str">
        <f t="shared" si="11"/>
        <v>Columbiana</v>
      </c>
      <c r="AX80" s="7" t="b">
        <f>C80='Gov Fd BS'!C80</f>
        <v>1</v>
      </c>
    </row>
    <row r="81" spans="1:50">
      <c r="A81" s="12" t="s">
        <v>665</v>
      </c>
      <c r="B81" s="12"/>
      <c r="C81" s="12" t="s">
        <v>23</v>
      </c>
      <c r="D81" s="12"/>
      <c r="E81" s="12">
        <v>46755</v>
      </c>
      <c r="F81" s="24"/>
      <c r="G81" s="24">
        <v>11896190</v>
      </c>
      <c r="H81" s="24"/>
      <c r="I81" s="24">
        <v>4658303</v>
      </c>
      <c r="J81" s="24"/>
      <c r="K81" s="24">
        <f>6732669+1915414</f>
        <v>8648083</v>
      </c>
      <c r="L81" s="24"/>
      <c r="M81" s="24">
        <v>74051</v>
      </c>
      <c r="N81" s="24"/>
      <c r="O81" s="24">
        <v>948595</v>
      </c>
      <c r="P81" s="24"/>
      <c r="Q81" s="24">
        <v>228994</v>
      </c>
      <c r="R81" s="24"/>
      <c r="S81" s="24">
        <v>0</v>
      </c>
      <c r="T81" s="24"/>
      <c r="U81" s="24">
        <v>23712</v>
      </c>
      <c r="V81" s="24"/>
      <c r="W81" s="24">
        <f>78412+1175+9029+518813+203914</f>
        <v>811343</v>
      </c>
      <c r="X81" s="24"/>
      <c r="Y81" s="38">
        <f>SUM(G81:W81)</f>
        <v>27289271</v>
      </c>
      <c r="Z81" s="24"/>
      <c r="AA81" s="24">
        <v>1290019</v>
      </c>
      <c r="AB81" s="24"/>
      <c r="AC81" s="24">
        <v>0</v>
      </c>
      <c r="AD81" s="24"/>
      <c r="AE81" s="24">
        <v>0</v>
      </c>
      <c r="AF81" s="24"/>
      <c r="AG81" s="24"/>
      <c r="AH81" s="24"/>
      <c r="AI81" s="24"/>
      <c r="AJ81" s="24"/>
      <c r="AK81" s="24">
        <v>0</v>
      </c>
      <c r="AL81" s="24"/>
      <c r="AM81" s="24">
        <v>0</v>
      </c>
      <c r="AN81" s="24"/>
      <c r="AO81" s="38">
        <f t="shared" si="10"/>
        <v>1290019</v>
      </c>
      <c r="AP81" s="24"/>
      <c r="AQ81" s="38">
        <f t="shared" si="12"/>
        <v>28579290</v>
      </c>
      <c r="AR81" s="38"/>
      <c r="AS81" s="7"/>
      <c r="AT81" s="7" t="str">
        <f t="shared" si="13"/>
        <v xml:space="preserve">Buckeye Valley Local SD </v>
      </c>
      <c r="AU81" s="7" t="str">
        <f>'Gov Fd BS'!A81</f>
        <v xml:space="preserve">Buckeye Valley Local SD </v>
      </c>
      <c r="AV81" s="7" t="b">
        <f t="shared" si="14"/>
        <v>1</v>
      </c>
      <c r="AW81" s="7" t="str">
        <f t="shared" si="11"/>
        <v>Delaware</v>
      </c>
      <c r="AX81" s="7" t="b">
        <f>C81='Gov Fd BS'!C81</f>
        <v>1</v>
      </c>
    </row>
    <row r="82" spans="1:50">
      <c r="A82" s="12" t="s">
        <v>263</v>
      </c>
      <c r="B82" s="12"/>
      <c r="C82" s="12" t="s">
        <v>111</v>
      </c>
      <c r="D82" s="12"/>
      <c r="E82" s="12">
        <v>43687</v>
      </c>
      <c r="F82" s="24"/>
      <c r="G82" s="24">
        <v>4681991</v>
      </c>
      <c r="H82" s="24"/>
      <c r="I82" s="24">
        <v>0</v>
      </c>
      <c r="J82" s="24"/>
      <c r="K82" s="24">
        <v>12763577</v>
      </c>
      <c r="L82" s="24"/>
      <c r="M82" s="24">
        <v>47671</v>
      </c>
      <c r="N82" s="24"/>
      <c r="O82" s="24">
        <v>704355</v>
      </c>
      <c r="P82" s="24"/>
      <c r="Q82" s="24">
        <v>84953</v>
      </c>
      <c r="R82" s="24"/>
      <c r="S82" s="24">
        <v>46689</v>
      </c>
      <c r="T82" s="24"/>
      <c r="U82" s="24">
        <v>5774</v>
      </c>
      <c r="V82" s="24"/>
      <c r="W82" s="24">
        <f>333316+314919</f>
        <v>648235</v>
      </c>
      <c r="X82" s="24"/>
      <c r="Y82" s="38">
        <f>SUM(G82:W82)</f>
        <v>18983245</v>
      </c>
      <c r="Z82" s="24"/>
      <c r="AA82" s="24">
        <v>0</v>
      </c>
      <c r="AB82" s="24"/>
      <c r="AC82" s="24">
        <v>0</v>
      </c>
      <c r="AD82" s="24"/>
      <c r="AE82" s="24">
        <v>0</v>
      </c>
      <c r="AF82" s="24"/>
      <c r="AG82" s="24"/>
      <c r="AH82" s="24"/>
      <c r="AI82" s="24"/>
      <c r="AJ82" s="24"/>
      <c r="AK82" s="24">
        <v>1000</v>
      </c>
      <c r="AL82" s="24"/>
      <c r="AM82" s="24">
        <v>0</v>
      </c>
      <c r="AN82" s="24"/>
      <c r="AO82" s="38">
        <f t="shared" si="10"/>
        <v>1000</v>
      </c>
      <c r="AP82" s="24"/>
      <c r="AQ82" s="38">
        <f t="shared" si="12"/>
        <v>18984245</v>
      </c>
      <c r="AR82" s="38"/>
      <c r="AS82" s="7"/>
      <c r="AT82" s="7" t="str">
        <f t="shared" si="13"/>
        <v>Bucyrus City SD</v>
      </c>
      <c r="AU82" s="7" t="str">
        <f>'Gov Fd BS'!A82</f>
        <v>Bucyrus City SD</v>
      </c>
      <c r="AV82" s="7" t="b">
        <f t="shared" si="14"/>
        <v>1</v>
      </c>
      <c r="AW82" s="7" t="str">
        <f t="shared" si="11"/>
        <v>Crawford</v>
      </c>
      <c r="AX82" s="7" t="b">
        <f>C82='Gov Fd BS'!C82</f>
        <v>1</v>
      </c>
    </row>
    <row r="83" spans="1:50">
      <c r="A83" s="12" t="s">
        <v>861</v>
      </c>
      <c r="B83" s="12"/>
      <c r="C83" s="12" t="s">
        <v>52</v>
      </c>
      <c r="D83" s="12"/>
      <c r="E83" s="12">
        <v>45252</v>
      </c>
      <c r="F83" s="24"/>
      <c r="G83" s="24">
        <v>2412291</v>
      </c>
      <c r="H83" s="24"/>
      <c r="I83" s="24">
        <v>0</v>
      </c>
      <c r="J83" s="24"/>
      <c r="K83" s="24">
        <v>5475095</v>
      </c>
      <c r="L83" s="24"/>
      <c r="M83" s="24">
        <v>6573</v>
      </c>
      <c r="N83" s="24"/>
      <c r="O83" s="24">
        <v>312202</v>
      </c>
      <c r="P83" s="24"/>
      <c r="Q83" s="24">
        <v>176347</v>
      </c>
      <c r="R83" s="24"/>
      <c r="S83" s="24">
        <v>0</v>
      </c>
      <c r="T83" s="24"/>
      <c r="U83" s="24">
        <v>3095</v>
      </c>
      <c r="V83" s="24"/>
      <c r="W83" s="24">
        <f>36547+140411</f>
        <v>176958</v>
      </c>
      <c r="X83" s="24"/>
      <c r="Y83" s="38">
        <f t="shared" ref="Y83:Y84" si="15">SUM(G83:W83)</f>
        <v>8562561</v>
      </c>
      <c r="Z83" s="24"/>
      <c r="AA83" s="24">
        <v>45000</v>
      </c>
      <c r="AB83" s="24"/>
      <c r="AC83" s="24">
        <v>0</v>
      </c>
      <c r="AD83" s="24"/>
      <c r="AE83" s="24">
        <v>0</v>
      </c>
      <c r="AF83" s="24"/>
      <c r="AG83" s="24"/>
      <c r="AH83" s="24"/>
      <c r="AI83" s="24"/>
      <c r="AJ83" s="24"/>
      <c r="AK83" s="24">
        <v>0</v>
      </c>
      <c r="AL83" s="24"/>
      <c r="AM83" s="24">
        <v>0</v>
      </c>
      <c r="AN83" s="24"/>
      <c r="AO83" s="38">
        <f t="shared" si="10"/>
        <v>45000</v>
      </c>
      <c r="AP83" s="24"/>
      <c r="AQ83" s="38">
        <f t="shared" si="12"/>
        <v>8607561</v>
      </c>
      <c r="AR83" s="38"/>
      <c r="AS83" s="7"/>
      <c r="AT83" s="7" t="str">
        <f t="shared" si="13"/>
        <v>Caldwell Exempted Village SD</v>
      </c>
      <c r="AU83" s="7" t="str">
        <f>'Gov Fd BS'!A83</f>
        <v>Caldwell Exempted Village SD</v>
      </c>
      <c r="AV83" s="7" t="b">
        <f t="shared" si="14"/>
        <v>1</v>
      </c>
      <c r="AW83" s="7" t="str">
        <f t="shared" si="11"/>
        <v>Noble</v>
      </c>
      <c r="AX83" s="7" t="b">
        <f>C83='Gov Fd BS'!C83</f>
        <v>1</v>
      </c>
    </row>
    <row r="84" spans="1:50">
      <c r="A84" s="12" t="s">
        <v>327</v>
      </c>
      <c r="B84" s="12"/>
      <c r="C84" s="12" t="s">
        <v>31</v>
      </c>
      <c r="D84" s="12"/>
      <c r="E84" s="12">
        <v>43695</v>
      </c>
      <c r="F84" s="24"/>
      <c r="G84" s="24">
        <v>6504185</v>
      </c>
      <c r="H84" s="24"/>
      <c r="I84" s="24">
        <v>0</v>
      </c>
      <c r="J84" s="24"/>
      <c r="K84" s="24">
        <v>18485927</v>
      </c>
      <c r="L84" s="24"/>
      <c r="M84" s="24">
        <v>31692</v>
      </c>
      <c r="N84" s="24"/>
      <c r="O84" s="24">
        <v>728438</v>
      </c>
      <c r="P84" s="24"/>
      <c r="Q84" s="24">
        <v>173018</v>
      </c>
      <c r="R84" s="24"/>
      <c r="S84" s="24">
        <v>0</v>
      </c>
      <c r="T84" s="24"/>
      <c r="U84" s="24">
        <v>14076</v>
      </c>
      <c r="V84" s="24"/>
      <c r="W84" s="24">
        <f>265364+204497+6385</f>
        <v>476246</v>
      </c>
      <c r="X84" s="24"/>
      <c r="Y84" s="38">
        <f t="shared" si="15"/>
        <v>26413582</v>
      </c>
      <c r="Z84" s="24"/>
      <c r="AA84" s="24">
        <v>0</v>
      </c>
      <c r="AB84" s="24"/>
      <c r="AC84" s="24">
        <v>0</v>
      </c>
      <c r="AD84" s="24"/>
      <c r="AE84" s="24">
        <v>0</v>
      </c>
      <c r="AF84" s="24"/>
      <c r="AG84" s="24"/>
      <c r="AH84" s="24"/>
      <c r="AI84" s="24"/>
      <c r="AJ84" s="24"/>
      <c r="AK84" s="24">
        <v>0</v>
      </c>
      <c r="AL84" s="24"/>
      <c r="AM84" s="24">
        <v>0</v>
      </c>
      <c r="AN84" s="24"/>
      <c r="AO84" s="38">
        <f t="shared" si="10"/>
        <v>0</v>
      </c>
      <c r="AP84" s="24"/>
      <c r="AQ84" s="38">
        <f t="shared" si="12"/>
        <v>26413582</v>
      </c>
      <c r="AR84" s="38"/>
      <c r="AS84" s="7"/>
      <c r="AT84" s="7" t="str">
        <f t="shared" si="13"/>
        <v>Cambridge City SD</v>
      </c>
      <c r="AU84" s="7" t="str">
        <f>'Gov Fd BS'!A84</f>
        <v>Cambridge City SD</v>
      </c>
      <c r="AV84" s="7" t="b">
        <f t="shared" si="14"/>
        <v>1</v>
      </c>
      <c r="AW84" s="7" t="str">
        <f t="shared" si="11"/>
        <v>Guernsey</v>
      </c>
      <c r="AX84" s="7" t="b">
        <f>C84='Gov Fd BS'!C84</f>
        <v>1</v>
      </c>
    </row>
    <row r="85" spans="1:50">
      <c r="A85" s="12" t="s">
        <v>677</v>
      </c>
      <c r="B85" s="12"/>
      <c r="C85" s="12" t="s">
        <v>45</v>
      </c>
      <c r="D85" s="12"/>
      <c r="E85" s="12">
        <v>43703</v>
      </c>
      <c r="F85" s="24"/>
      <c r="G85" s="24">
        <v>2147697</v>
      </c>
      <c r="H85" s="24"/>
      <c r="I85" s="24">
        <v>0</v>
      </c>
      <c r="J85" s="24"/>
      <c r="K85" s="24">
        <v>13283473</v>
      </c>
      <c r="L85" s="24"/>
      <c r="M85" s="24">
        <v>2117</v>
      </c>
      <c r="N85" s="24"/>
      <c r="O85" s="24">
        <v>31940</v>
      </c>
      <c r="P85" s="24"/>
      <c r="Q85" s="24">
        <v>179742</v>
      </c>
      <c r="R85" s="24"/>
      <c r="S85" s="24">
        <v>0</v>
      </c>
      <c r="T85" s="24"/>
      <c r="U85" s="24">
        <v>6539</v>
      </c>
      <c r="V85" s="24"/>
      <c r="W85" s="24">
        <f>74821+100154</f>
        <v>174975</v>
      </c>
      <c r="X85" s="24"/>
      <c r="Y85" s="38">
        <f t="shared" ref="Y85:Y149" si="16">SUM(G85:W85)</f>
        <v>15826483</v>
      </c>
      <c r="Z85" s="24"/>
      <c r="AA85" s="24">
        <v>0</v>
      </c>
      <c r="AB85" s="24"/>
      <c r="AC85" s="24">
        <v>0</v>
      </c>
      <c r="AD85" s="24"/>
      <c r="AE85" s="24">
        <v>0</v>
      </c>
      <c r="AF85" s="24"/>
      <c r="AG85" s="24"/>
      <c r="AH85" s="24"/>
      <c r="AI85" s="24"/>
      <c r="AJ85" s="24"/>
      <c r="AK85" s="24">
        <v>0</v>
      </c>
      <c r="AL85" s="24"/>
      <c r="AM85" s="24">
        <v>0</v>
      </c>
      <c r="AN85" s="24"/>
      <c r="AO85" s="38">
        <f t="shared" si="10"/>
        <v>0</v>
      </c>
      <c r="AP85" s="24"/>
      <c r="AQ85" s="38">
        <f t="shared" si="12"/>
        <v>15826483</v>
      </c>
      <c r="AR85" s="38"/>
      <c r="AS85" s="7"/>
      <c r="AT85" s="7" t="str">
        <f t="shared" si="13"/>
        <v xml:space="preserve">Campbell City SD </v>
      </c>
      <c r="AU85" s="7" t="str">
        <f>'Gov Fd BS'!A85</f>
        <v xml:space="preserve">Campbell City SD </v>
      </c>
      <c r="AV85" s="7" t="b">
        <f t="shared" si="14"/>
        <v>1</v>
      </c>
      <c r="AW85" s="7" t="str">
        <f t="shared" si="11"/>
        <v>Mahoning</v>
      </c>
      <c r="AX85" s="7" t="b">
        <f>C85='Gov Fd BS'!C85</f>
        <v>1</v>
      </c>
    </row>
    <row r="86" spans="1:50">
      <c r="A86" s="12" t="s">
        <v>306</v>
      </c>
      <c r="B86" s="12"/>
      <c r="C86" s="12" t="s">
        <v>27</v>
      </c>
      <c r="D86" s="12"/>
      <c r="E86" s="12">
        <v>46946</v>
      </c>
      <c r="F86" s="24"/>
      <c r="G86" s="24">
        <v>18811911</v>
      </c>
      <c r="H86" s="24"/>
      <c r="I86" s="24">
        <v>3232606</v>
      </c>
      <c r="J86" s="24"/>
      <c r="K86" s="24">
        <f>15978937+2555211</f>
        <v>18534148</v>
      </c>
      <c r="L86" s="24"/>
      <c r="M86" s="24">
        <v>27631</v>
      </c>
      <c r="N86" s="24"/>
      <c r="O86" s="24">
        <v>146122</v>
      </c>
      <c r="P86" s="24"/>
      <c r="Q86" s="24">
        <v>583925</v>
      </c>
      <c r="R86" s="24"/>
      <c r="S86" s="24">
        <v>454264</v>
      </c>
      <c r="T86" s="24"/>
      <c r="U86" s="24">
        <v>11865</v>
      </c>
      <c r="V86" s="24"/>
      <c r="W86" s="24">
        <f>85064+167652+72479+98319</f>
        <v>423514</v>
      </c>
      <c r="X86" s="24"/>
      <c r="Y86" s="38">
        <f t="shared" si="16"/>
        <v>42225986</v>
      </c>
      <c r="Z86" s="24"/>
      <c r="AA86" s="24">
        <v>0</v>
      </c>
      <c r="AB86" s="24"/>
      <c r="AC86" s="24">
        <v>0</v>
      </c>
      <c r="AD86" s="24"/>
      <c r="AE86" s="24">
        <v>0</v>
      </c>
      <c r="AF86" s="24"/>
      <c r="AG86" s="24"/>
      <c r="AH86" s="24"/>
      <c r="AI86" s="24"/>
      <c r="AJ86" s="24"/>
      <c r="AK86" s="24">
        <v>2820145</v>
      </c>
      <c r="AL86" s="24"/>
      <c r="AM86" s="24">
        <v>0</v>
      </c>
      <c r="AN86" s="24"/>
      <c r="AO86" s="38">
        <f t="shared" si="10"/>
        <v>2820145</v>
      </c>
      <c r="AP86" s="24"/>
      <c r="AQ86" s="38">
        <f t="shared" si="12"/>
        <v>45046131</v>
      </c>
      <c r="AR86" s="38"/>
      <c r="AS86" s="7"/>
      <c r="AT86" s="7" t="str">
        <f t="shared" si="13"/>
        <v>Canal Winchester Local SD</v>
      </c>
      <c r="AU86" s="7" t="str">
        <f>'Gov Fd BS'!A86</f>
        <v>Canal Winchester Local SD</v>
      </c>
      <c r="AV86" s="7" t="b">
        <f t="shared" si="14"/>
        <v>1</v>
      </c>
      <c r="AW86" s="7" t="str">
        <f t="shared" si="11"/>
        <v>Franklin</v>
      </c>
      <c r="AX86" s="7" t="b">
        <f>C86='Gov Fd BS'!C86</f>
        <v>1</v>
      </c>
    </row>
    <row r="87" spans="1:50">
      <c r="A87" s="12" t="s">
        <v>416</v>
      </c>
      <c r="B87" s="12"/>
      <c r="C87" s="12" t="s">
        <v>45</v>
      </c>
      <c r="D87" s="12"/>
      <c r="E87" s="12">
        <v>48314</v>
      </c>
      <c r="F87" s="24"/>
      <c r="G87" s="24">
        <v>16008223</v>
      </c>
      <c r="H87" s="24"/>
      <c r="I87" s="24">
        <v>0</v>
      </c>
      <c r="J87" s="24"/>
      <c r="K87" s="24">
        <v>10949722</v>
      </c>
      <c r="L87" s="24"/>
      <c r="M87" s="24">
        <v>34107</v>
      </c>
      <c r="N87" s="24"/>
      <c r="O87" s="24">
        <v>114029</v>
      </c>
      <c r="P87" s="24"/>
      <c r="Q87" s="24">
        <v>254581</v>
      </c>
      <c r="R87" s="24"/>
      <c r="S87" s="24">
        <v>0</v>
      </c>
      <c r="T87" s="24"/>
      <c r="U87" s="24">
        <v>144313</v>
      </c>
      <c r="V87" s="24"/>
      <c r="W87" s="24">
        <f>716513+45394+19755</f>
        <v>781662</v>
      </c>
      <c r="X87" s="24"/>
      <c r="Y87" s="38">
        <f t="shared" si="16"/>
        <v>28286637</v>
      </c>
      <c r="Z87" s="24"/>
      <c r="AA87" s="24">
        <v>85000</v>
      </c>
      <c r="AB87" s="24"/>
      <c r="AC87" s="24">
        <v>0</v>
      </c>
      <c r="AD87" s="24"/>
      <c r="AE87" s="24">
        <v>0</v>
      </c>
      <c r="AF87" s="24"/>
      <c r="AG87" s="24"/>
      <c r="AH87" s="24"/>
      <c r="AI87" s="24"/>
      <c r="AJ87" s="24"/>
      <c r="AK87" s="24">
        <v>2160000</v>
      </c>
      <c r="AL87" s="24"/>
      <c r="AM87" s="24">
        <v>0</v>
      </c>
      <c r="AN87" s="24"/>
      <c r="AO87" s="38">
        <f t="shared" si="10"/>
        <v>2245000</v>
      </c>
      <c r="AP87" s="24"/>
      <c r="AQ87" s="38">
        <f t="shared" si="12"/>
        <v>30531637</v>
      </c>
      <c r="AR87" s="38"/>
      <c r="AS87" s="7"/>
      <c r="AT87" s="7" t="str">
        <f t="shared" si="13"/>
        <v>Canfield Local SD</v>
      </c>
      <c r="AU87" s="7" t="str">
        <f>'Gov Fd BS'!A87</f>
        <v>Canfield Local SD</v>
      </c>
      <c r="AV87" s="7" t="b">
        <f t="shared" si="14"/>
        <v>1</v>
      </c>
      <c r="AW87" s="7" t="str">
        <f t="shared" si="11"/>
        <v>Mahoning</v>
      </c>
      <c r="AX87" s="7" t="b">
        <f>C87='Gov Fd BS'!C87</f>
        <v>1</v>
      </c>
    </row>
    <row r="88" spans="1:50">
      <c r="A88" s="12" t="s">
        <v>509</v>
      </c>
      <c r="B88" s="12"/>
      <c r="C88" s="12" t="s">
        <v>62</v>
      </c>
      <c r="D88" s="12"/>
      <c r="E88" s="12">
        <v>49833</v>
      </c>
      <c r="F88" s="24"/>
      <c r="G88" s="24">
        <v>8633135</v>
      </c>
      <c r="H88" s="24"/>
      <c r="I88" s="24">
        <v>0</v>
      </c>
      <c r="J88" s="24"/>
      <c r="K88" s="24">
        <f>12657611+3354098</f>
        <v>16011709</v>
      </c>
      <c r="L88" s="24"/>
      <c r="M88" s="24">
        <v>1189</v>
      </c>
      <c r="N88" s="24"/>
      <c r="O88" s="24">
        <v>1634184</v>
      </c>
      <c r="P88" s="24"/>
      <c r="Q88" s="24">
        <v>152699</v>
      </c>
      <c r="R88" s="24"/>
      <c r="S88" s="24">
        <v>0</v>
      </c>
      <c r="T88" s="24"/>
      <c r="U88" s="24">
        <v>26565</v>
      </c>
      <c r="V88" s="24"/>
      <c r="W88" s="24">
        <f>397162+89785+79014+1785370</f>
        <v>2351331</v>
      </c>
      <c r="X88" s="24"/>
      <c r="Y88" s="38">
        <f>SUM(G88:W88)</f>
        <v>28810812</v>
      </c>
      <c r="Z88" s="24"/>
      <c r="AA88" s="24">
        <v>0</v>
      </c>
      <c r="AB88" s="24"/>
      <c r="AC88" s="24">
        <v>0</v>
      </c>
      <c r="AD88" s="24"/>
      <c r="AE88" s="24">
        <v>0</v>
      </c>
      <c r="AF88" s="24"/>
      <c r="AG88" s="24"/>
      <c r="AH88" s="24"/>
      <c r="AI88" s="24"/>
      <c r="AJ88" s="24"/>
      <c r="AK88" s="24">
        <v>193753</v>
      </c>
      <c r="AL88" s="24"/>
      <c r="AM88" s="24">
        <v>0</v>
      </c>
      <c r="AN88" s="24"/>
      <c r="AO88" s="38">
        <f t="shared" si="10"/>
        <v>193753</v>
      </c>
      <c r="AP88" s="24"/>
      <c r="AQ88" s="38">
        <f t="shared" si="12"/>
        <v>29004565</v>
      </c>
      <c r="AR88" s="38"/>
      <c r="AS88" s="7"/>
      <c r="AT88" s="7" t="str">
        <f>A88</f>
        <v>Canton City SD</v>
      </c>
      <c r="AU88" s="7" t="str">
        <f>'Gov Fd BS'!A88</f>
        <v>Canton City SD</v>
      </c>
      <c r="AV88" s="7" t="b">
        <f>AT88=AU88</f>
        <v>1</v>
      </c>
      <c r="AW88" s="7" t="str">
        <f>C88</f>
        <v>Stark</v>
      </c>
      <c r="AX88" s="7" t="b">
        <f>C88='Gov Fd BS'!C88</f>
        <v>1</v>
      </c>
    </row>
    <row r="89" spans="1:50">
      <c r="A89" s="12" t="s">
        <v>510</v>
      </c>
      <c r="B89" s="12"/>
      <c r="C89" s="12" t="s">
        <v>62</v>
      </c>
      <c r="D89" s="12"/>
      <c r="E89" s="12">
        <v>43711</v>
      </c>
      <c r="F89" s="24"/>
      <c r="G89" s="24">
        <v>26861000</v>
      </c>
      <c r="H89" s="24"/>
      <c r="I89" s="24">
        <v>0</v>
      </c>
      <c r="J89" s="24"/>
      <c r="K89" s="24">
        <f>114000+77339000+22903000</f>
        <v>100356000</v>
      </c>
      <c r="L89" s="24"/>
      <c r="M89" s="24">
        <f>559000-212000</f>
        <v>347000</v>
      </c>
      <c r="N89" s="24"/>
      <c r="O89" s="24">
        <v>1503000</v>
      </c>
      <c r="P89" s="24"/>
      <c r="Q89" s="24">
        <v>740000</v>
      </c>
      <c r="R89" s="24"/>
      <c r="S89" s="24">
        <v>0</v>
      </c>
      <c r="T89" s="24"/>
      <c r="U89" s="24">
        <v>0</v>
      </c>
      <c r="V89" s="24"/>
      <c r="W89" s="24">
        <f>2338000+91000+432000</f>
        <v>2861000</v>
      </c>
      <c r="X89" s="24"/>
      <c r="Y89" s="38">
        <f t="shared" si="16"/>
        <v>132668000</v>
      </c>
      <c r="Z89" s="24"/>
      <c r="AA89" s="24">
        <v>1296000</v>
      </c>
      <c r="AB89" s="24"/>
      <c r="AC89" s="24">
        <v>0</v>
      </c>
      <c r="AD89" s="24"/>
      <c r="AE89" s="24">
        <v>6729000</v>
      </c>
      <c r="AF89" s="24"/>
      <c r="AG89" s="24"/>
      <c r="AH89" s="24"/>
      <c r="AI89" s="24"/>
      <c r="AJ89" s="24"/>
      <c r="AK89" s="24">
        <v>0</v>
      </c>
      <c r="AL89" s="24"/>
      <c r="AM89" s="24">
        <v>0</v>
      </c>
      <c r="AN89" s="24"/>
      <c r="AO89" s="38">
        <f t="shared" si="10"/>
        <v>8025000</v>
      </c>
      <c r="AP89" s="24"/>
      <c r="AQ89" s="38">
        <f t="shared" si="12"/>
        <v>140693000</v>
      </c>
      <c r="AR89" s="38"/>
      <c r="AS89" s="7"/>
      <c r="AT89" s="7" t="str">
        <f t="shared" si="13"/>
        <v>Canton Local SD</v>
      </c>
      <c r="AU89" s="7" t="str">
        <f>'Gov Fd BS'!A89</f>
        <v>Canton Local SD</v>
      </c>
      <c r="AV89" s="7" t="b">
        <f t="shared" si="14"/>
        <v>1</v>
      </c>
      <c r="AW89" s="7" t="str">
        <f t="shared" si="11"/>
        <v>Stark</v>
      </c>
      <c r="AX89" s="7" t="b">
        <f>C89='Gov Fd BS'!C89</f>
        <v>1</v>
      </c>
    </row>
    <row r="90" spans="1:50">
      <c r="A90" s="12" t="s">
        <v>678</v>
      </c>
      <c r="B90" s="12"/>
      <c r="C90" s="12" t="s">
        <v>30</v>
      </c>
      <c r="D90" s="12"/>
      <c r="E90" s="12">
        <v>47175</v>
      </c>
      <c r="F90" s="24"/>
      <c r="G90" s="24">
        <v>7623434</v>
      </c>
      <c r="H90" s="24"/>
      <c r="I90" s="24">
        <v>0</v>
      </c>
      <c r="J90" s="24"/>
      <c r="K90" s="24">
        <v>7825974</v>
      </c>
      <c r="L90" s="24"/>
      <c r="M90" s="24">
        <v>66461</v>
      </c>
      <c r="N90" s="24"/>
      <c r="O90" s="24">
        <v>568096</v>
      </c>
      <c r="P90" s="24"/>
      <c r="Q90" s="24">
        <v>284568</v>
      </c>
      <c r="R90" s="24"/>
      <c r="S90" s="24">
        <v>0</v>
      </c>
      <c r="T90" s="24"/>
      <c r="U90" s="24">
        <v>32534</v>
      </c>
      <c r="V90" s="24"/>
      <c r="W90" s="24">
        <f>160291+76984+105296</f>
        <v>342571</v>
      </c>
      <c r="X90" s="24"/>
      <c r="Y90" s="38">
        <f t="shared" si="16"/>
        <v>16743638</v>
      </c>
      <c r="Z90" s="24"/>
      <c r="AA90" s="24">
        <v>125000</v>
      </c>
      <c r="AB90" s="24"/>
      <c r="AC90" s="24">
        <v>0</v>
      </c>
      <c r="AD90" s="24"/>
      <c r="AE90" s="24">
        <v>0</v>
      </c>
      <c r="AF90" s="24"/>
      <c r="AG90" s="24"/>
      <c r="AH90" s="24"/>
      <c r="AI90" s="24"/>
      <c r="AJ90" s="24"/>
      <c r="AK90" s="24">
        <v>0</v>
      </c>
      <c r="AL90" s="24"/>
      <c r="AM90" s="24">
        <v>0</v>
      </c>
      <c r="AN90" s="24"/>
      <c r="AO90" s="38">
        <f t="shared" si="10"/>
        <v>125000</v>
      </c>
      <c r="AP90" s="24"/>
      <c r="AQ90" s="38">
        <f t="shared" si="12"/>
        <v>16868638</v>
      </c>
      <c r="AR90" s="38"/>
      <c r="AS90" s="7"/>
      <c r="AT90" s="7" t="str">
        <f t="shared" si="13"/>
        <v xml:space="preserve">Cardinal Local SD </v>
      </c>
      <c r="AU90" s="7" t="str">
        <f>'Gov Fd BS'!A90</f>
        <v xml:space="preserve">Cardinal Local SD </v>
      </c>
      <c r="AV90" s="7" t="b">
        <f t="shared" si="14"/>
        <v>1</v>
      </c>
      <c r="AW90" s="7" t="str">
        <f t="shared" si="11"/>
        <v>Geauga</v>
      </c>
      <c r="AX90" s="7" t="b">
        <f>C90='Gov Fd BS'!C90</f>
        <v>1</v>
      </c>
    </row>
    <row r="91" spans="1:50" hidden="1">
      <c r="A91" s="12" t="s">
        <v>454</v>
      </c>
      <c r="B91" s="12"/>
      <c r="C91" s="12" t="s">
        <v>78</v>
      </c>
      <c r="D91" s="12"/>
      <c r="E91" s="12">
        <v>48793</v>
      </c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38">
        <f t="shared" si="16"/>
        <v>0</v>
      </c>
      <c r="Z91" s="24"/>
      <c r="AA91" s="24"/>
      <c r="AB91" s="24"/>
      <c r="AC91" s="24">
        <v>0</v>
      </c>
      <c r="AD91" s="24"/>
      <c r="AE91" s="24"/>
      <c r="AF91" s="24"/>
      <c r="AG91" s="24"/>
      <c r="AH91" s="24"/>
      <c r="AI91" s="24"/>
      <c r="AJ91" s="24"/>
      <c r="AK91" s="24"/>
      <c r="AL91" s="24"/>
      <c r="AM91" s="24">
        <v>0</v>
      </c>
      <c r="AN91" s="24"/>
      <c r="AO91" s="38">
        <f t="shared" si="10"/>
        <v>0</v>
      </c>
      <c r="AP91" s="24"/>
      <c r="AQ91" s="38">
        <f t="shared" si="12"/>
        <v>0</v>
      </c>
      <c r="AR91" s="38"/>
      <c r="AS91" s="7" t="s">
        <v>981</v>
      </c>
      <c r="AT91" s="7" t="str">
        <f t="shared" si="13"/>
        <v>Cardington-Lincoln Local SD</v>
      </c>
      <c r="AU91" s="7" t="str">
        <f>'Gov Fd BS'!A91</f>
        <v>Cardington-Lincoln Local SD</v>
      </c>
      <c r="AV91" s="7" t="b">
        <f t="shared" si="14"/>
        <v>1</v>
      </c>
      <c r="AW91" s="7" t="str">
        <f t="shared" si="11"/>
        <v>Morrow</v>
      </c>
      <c r="AX91" s="7" t="b">
        <f>C91='Gov Fd BS'!C91</f>
        <v>1</v>
      </c>
    </row>
    <row r="92" spans="1:50" hidden="1">
      <c r="A92" s="12" t="s">
        <v>644</v>
      </c>
      <c r="B92" s="12"/>
      <c r="C92" s="12" t="s">
        <v>577</v>
      </c>
      <c r="D92" s="12"/>
      <c r="E92" s="12">
        <v>45260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38">
        <f t="shared" si="16"/>
        <v>0</v>
      </c>
      <c r="Z92" s="24"/>
      <c r="AA92" s="24"/>
      <c r="AB92" s="24"/>
      <c r="AC92" s="24">
        <v>0</v>
      </c>
      <c r="AD92" s="24"/>
      <c r="AE92" s="24"/>
      <c r="AF92" s="24"/>
      <c r="AG92" s="24"/>
      <c r="AH92" s="24"/>
      <c r="AI92" s="24"/>
      <c r="AJ92" s="24"/>
      <c r="AK92" s="24"/>
      <c r="AL92" s="24"/>
      <c r="AM92" s="24">
        <v>0</v>
      </c>
      <c r="AN92" s="24"/>
      <c r="AO92" s="38">
        <f t="shared" si="10"/>
        <v>0</v>
      </c>
      <c r="AP92" s="24"/>
      <c r="AQ92" s="38">
        <f t="shared" si="12"/>
        <v>0</v>
      </c>
      <c r="AR92" s="38"/>
      <c r="AS92" s="7" t="s">
        <v>778</v>
      </c>
      <c r="AT92" s="7" t="str">
        <f t="shared" si="13"/>
        <v>Carey Ex Vill SD (CASH)</v>
      </c>
      <c r="AU92" s="7" t="str">
        <f>'Gov Fd BS'!A92</f>
        <v>Carey Ex Vill SD (CASH)</v>
      </c>
      <c r="AV92" s="7" t="b">
        <f t="shared" si="14"/>
        <v>1</v>
      </c>
      <c r="AW92" s="7" t="str">
        <f t="shared" si="11"/>
        <v>Wyandot</v>
      </c>
      <c r="AX92" s="7" t="b">
        <f>C92='Gov Fd BS'!C92</f>
        <v>1</v>
      </c>
    </row>
    <row r="93" spans="1:50" s="32" customFormat="1">
      <c r="A93" s="31" t="s">
        <v>560</v>
      </c>
      <c r="B93" s="31"/>
      <c r="C93" s="31" t="s">
        <v>69</v>
      </c>
      <c r="D93" s="31"/>
      <c r="E93" s="31">
        <v>50419</v>
      </c>
      <c r="F93" s="35"/>
      <c r="G93" s="35">
        <v>4524150</v>
      </c>
      <c r="H93" s="35"/>
      <c r="I93" s="35">
        <v>1774167</v>
      </c>
      <c r="J93" s="35"/>
      <c r="K93" s="35">
        <v>9972809</v>
      </c>
      <c r="L93" s="35"/>
      <c r="M93" s="35">
        <v>6731</v>
      </c>
      <c r="N93" s="35"/>
      <c r="O93" s="35">
        <v>149561</v>
      </c>
      <c r="P93" s="35"/>
      <c r="Q93" s="35">
        <v>143533</v>
      </c>
      <c r="R93" s="35"/>
      <c r="S93" s="35">
        <v>0</v>
      </c>
      <c r="T93" s="35"/>
      <c r="U93" s="35">
        <v>1746</v>
      </c>
      <c r="V93" s="35"/>
      <c r="W93" s="35">
        <f>264849+384708+6650</f>
        <v>656207</v>
      </c>
      <c r="X93" s="35"/>
      <c r="Y93" s="53">
        <f t="shared" si="16"/>
        <v>17228904</v>
      </c>
      <c r="Z93" s="35"/>
      <c r="AA93" s="35">
        <v>0</v>
      </c>
      <c r="AB93" s="35"/>
      <c r="AC93" s="35">
        <v>0</v>
      </c>
      <c r="AD93" s="35"/>
      <c r="AE93" s="35">
        <v>0</v>
      </c>
      <c r="AF93" s="35"/>
      <c r="AG93" s="35"/>
      <c r="AH93" s="35"/>
      <c r="AI93" s="35"/>
      <c r="AJ93" s="35"/>
      <c r="AK93" s="35">
        <v>0</v>
      </c>
      <c r="AL93" s="35"/>
      <c r="AM93" s="35">
        <v>0</v>
      </c>
      <c r="AN93" s="35"/>
      <c r="AO93" s="53">
        <f t="shared" si="10"/>
        <v>0</v>
      </c>
      <c r="AP93" s="35"/>
      <c r="AQ93" s="53">
        <f t="shared" si="12"/>
        <v>17228904</v>
      </c>
      <c r="AR93" s="53"/>
      <c r="AT93" s="32" t="str">
        <f t="shared" si="13"/>
        <v>Carlisle Local SD</v>
      </c>
      <c r="AU93" s="32" t="str">
        <f>'Gov Fd BS'!A93</f>
        <v>Carlisle Local SD</v>
      </c>
      <c r="AV93" s="32" t="b">
        <f t="shared" si="14"/>
        <v>1</v>
      </c>
      <c r="AW93" s="32" t="str">
        <f t="shared" si="11"/>
        <v>Warren</v>
      </c>
      <c r="AX93" s="32" t="b">
        <f>C93='Gov Fd BS'!C93</f>
        <v>1</v>
      </c>
    </row>
    <row r="94" spans="1:50">
      <c r="A94" s="12" t="s">
        <v>862</v>
      </c>
      <c r="B94" s="12"/>
      <c r="C94" s="12" t="s">
        <v>16</v>
      </c>
      <c r="D94" s="12"/>
      <c r="E94" s="12">
        <v>45278</v>
      </c>
      <c r="F94" s="24"/>
      <c r="G94" s="24">
        <v>7460503</v>
      </c>
      <c r="H94" s="24"/>
      <c r="I94" s="24">
        <v>0</v>
      </c>
      <c r="J94" s="24"/>
      <c r="K94" s="24">
        <v>15711559</v>
      </c>
      <c r="L94" s="24"/>
      <c r="M94" s="24">
        <v>6084</v>
      </c>
      <c r="N94" s="24"/>
      <c r="O94" s="24">
        <v>675240</v>
      </c>
      <c r="P94" s="24"/>
      <c r="Q94" s="24">
        <v>145426</v>
      </c>
      <c r="R94" s="24"/>
      <c r="S94" s="24">
        <v>0</v>
      </c>
      <c r="T94" s="24"/>
      <c r="U94" s="24">
        <v>34896</v>
      </c>
      <c r="V94" s="24"/>
      <c r="W94" s="24">
        <f>49963+122996+307119</f>
        <v>480078</v>
      </c>
      <c r="X94" s="24"/>
      <c r="Y94" s="38">
        <f t="shared" si="16"/>
        <v>24513786</v>
      </c>
      <c r="Z94" s="24"/>
      <c r="AA94" s="24">
        <v>151652</v>
      </c>
      <c r="AB94" s="24"/>
      <c r="AC94" s="24">
        <v>0</v>
      </c>
      <c r="AD94" s="24"/>
      <c r="AE94" s="24">
        <v>0</v>
      </c>
      <c r="AF94" s="24"/>
      <c r="AG94" s="24"/>
      <c r="AH94" s="24"/>
      <c r="AI94" s="24"/>
      <c r="AJ94" s="24"/>
      <c r="AK94" s="24">
        <v>1098</v>
      </c>
      <c r="AL94" s="24"/>
      <c r="AM94" s="24">
        <v>0</v>
      </c>
      <c r="AN94" s="24"/>
      <c r="AO94" s="38">
        <f t="shared" si="10"/>
        <v>152750</v>
      </c>
      <c r="AP94" s="24"/>
      <c r="AQ94" s="38">
        <f t="shared" si="12"/>
        <v>24666536</v>
      </c>
      <c r="AR94" s="38"/>
      <c r="AS94" s="7"/>
      <c r="AT94" s="7" t="str">
        <f t="shared" si="13"/>
        <v>Carrollton Exempted Village SD</v>
      </c>
      <c r="AU94" s="7" t="str">
        <f>'Gov Fd BS'!A94</f>
        <v>Carrollton Exempted Village SD</v>
      </c>
      <c r="AV94" s="7" t="b">
        <f t="shared" si="14"/>
        <v>1</v>
      </c>
      <c r="AW94" s="7" t="str">
        <f t="shared" si="11"/>
        <v>Carroll</v>
      </c>
      <c r="AX94" s="7" t="b">
        <f>C94='Gov Fd BS'!C94</f>
        <v>1</v>
      </c>
    </row>
    <row r="95" spans="1:50">
      <c r="A95" s="12" t="s">
        <v>679</v>
      </c>
      <c r="B95" s="12"/>
      <c r="C95" s="12" t="s">
        <v>114</v>
      </c>
      <c r="D95" s="12"/>
      <c r="E95" s="12">
        <v>47258</v>
      </c>
      <c r="F95" s="24"/>
      <c r="G95" s="24">
        <v>2682092</v>
      </c>
      <c r="H95" s="24"/>
      <c r="I95" s="24">
        <v>982338</v>
      </c>
      <c r="J95" s="24"/>
      <c r="K95" s="24">
        <v>9405785</v>
      </c>
      <c r="L95" s="24"/>
      <c r="M95" s="24">
        <v>51934</v>
      </c>
      <c r="N95" s="24"/>
      <c r="O95" s="24">
        <v>249910</v>
      </c>
      <c r="P95" s="24"/>
      <c r="Q95" s="24">
        <v>126005</v>
      </c>
      <c r="R95" s="24"/>
      <c r="S95" s="24">
        <v>0</v>
      </c>
      <c r="T95" s="24"/>
      <c r="U95" s="24">
        <v>14136</v>
      </c>
      <c r="V95" s="24"/>
      <c r="W95" s="24">
        <f>97914+87896+485</f>
        <v>186295</v>
      </c>
      <c r="X95" s="24"/>
      <c r="Y95" s="38">
        <f t="shared" si="16"/>
        <v>13698495</v>
      </c>
      <c r="Z95" s="24"/>
      <c r="AA95" s="24">
        <v>46118</v>
      </c>
      <c r="AB95" s="24"/>
      <c r="AC95" s="24">
        <v>0</v>
      </c>
      <c r="AD95" s="24"/>
      <c r="AE95" s="24">
        <f>3440000+63212</f>
        <v>3503212</v>
      </c>
      <c r="AF95" s="24"/>
      <c r="AG95" s="24"/>
      <c r="AH95" s="24"/>
      <c r="AI95" s="24"/>
      <c r="AJ95" s="24"/>
      <c r="AK95" s="24">
        <f>44+2310000</f>
        <v>2310044</v>
      </c>
      <c r="AL95" s="24"/>
      <c r="AM95" s="24">
        <v>0</v>
      </c>
      <c r="AN95" s="24"/>
      <c r="AO95" s="38">
        <f t="shared" si="10"/>
        <v>5859374</v>
      </c>
      <c r="AP95" s="24"/>
      <c r="AQ95" s="38">
        <f t="shared" si="12"/>
        <v>19557869</v>
      </c>
      <c r="AR95" s="38"/>
      <c r="AS95" s="7" t="s">
        <v>783</v>
      </c>
      <c r="AT95" s="7" t="str">
        <f t="shared" si="13"/>
        <v xml:space="preserve">Cedar Cliff Local SD </v>
      </c>
      <c r="AU95" s="7" t="str">
        <f>'Gov Fd BS'!A95</f>
        <v xml:space="preserve">Cedar Cliff Local SD </v>
      </c>
      <c r="AV95" s="7" t="b">
        <f t="shared" si="14"/>
        <v>1</v>
      </c>
      <c r="AW95" s="7" t="str">
        <f t="shared" si="11"/>
        <v>Greene</v>
      </c>
      <c r="AX95" s="7" t="b">
        <f>C95='Gov Fd BS'!C95</f>
        <v>1</v>
      </c>
    </row>
    <row r="96" spans="1:50" hidden="1">
      <c r="A96" s="12" t="s">
        <v>645</v>
      </c>
      <c r="B96" s="12"/>
      <c r="C96" s="12" t="s">
        <v>435</v>
      </c>
      <c r="D96" s="12"/>
      <c r="E96" s="12">
        <v>43729</v>
      </c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38">
        <f t="shared" si="16"/>
        <v>0</v>
      </c>
      <c r="Z96" s="24"/>
      <c r="AA96" s="24"/>
      <c r="AB96" s="24"/>
      <c r="AC96" s="24">
        <v>0</v>
      </c>
      <c r="AD96" s="24"/>
      <c r="AE96" s="24"/>
      <c r="AF96" s="24"/>
      <c r="AG96" s="24"/>
      <c r="AH96" s="24"/>
      <c r="AI96" s="24"/>
      <c r="AJ96" s="24"/>
      <c r="AK96" s="24"/>
      <c r="AL96" s="24"/>
      <c r="AM96" s="24">
        <v>0</v>
      </c>
      <c r="AN96" s="24"/>
      <c r="AO96" s="38">
        <f t="shared" si="10"/>
        <v>0</v>
      </c>
      <c r="AP96" s="24"/>
      <c r="AQ96" s="38">
        <f t="shared" si="12"/>
        <v>0</v>
      </c>
      <c r="AR96" s="38"/>
      <c r="AS96" s="7" t="s">
        <v>778</v>
      </c>
      <c r="AT96" s="7" t="str">
        <f t="shared" si="13"/>
        <v>Celina City SD (CASH)</v>
      </c>
      <c r="AU96" s="7" t="str">
        <f>'Gov Fd BS'!A96</f>
        <v>Celina City SD (CASH)</v>
      </c>
      <c r="AV96" s="7" t="b">
        <f t="shared" si="14"/>
        <v>1</v>
      </c>
      <c r="AW96" s="7" t="str">
        <f t="shared" si="11"/>
        <v>Mercer</v>
      </c>
      <c r="AX96" s="7" t="b">
        <f>C96='Gov Fd BS'!C96</f>
        <v>1</v>
      </c>
    </row>
    <row r="97" spans="1:50">
      <c r="A97" s="12" t="s">
        <v>680</v>
      </c>
      <c r="B97" s="12"/>
      <c r="C97" s="12" t="s">
        <v>40</v>
      </c>
      <c r="D97" s="12"/>
      <c r="E97" s="12">
        <v>47829</v>
      </c>
      <c r="F97" s="24"/>
      <c r="G97" s="24">
        <v>2785887</v>
      </c>
      <c r="H97" s="24"/>
      <c r="I97" s="24">
        <v>1033365</v>
      </c>
      <c r="J97" s="24"/>
      <c r="K97" s="24">
        <v>6677190</v>
      </c>
      <c r="L97" s="24"/>
      <c r="M97" s="24">
        <v>12494</v>
      </c>
      <c r="N97" s="24"/>
      <c r="O97" s="24">
        <v>44008</v>
      </c>
      <c r="P97" s="24"/>
      <c r="Q97" s="24">
        <v>104271</v>
      </c>
      <c r="R97" s="24"/>
      <c r="S97" s="24">
        <v>0</v>
      </c>
      <c r="T97" s="24"/>
      <c r="U97" s="24">
        <v>21894</v>
      </c>
      <c r="V97" s="24"/>
      <c r="W97" s="24">
        <f>144989+41720+9077</f>
        <v>195786</v>
      </c>
      <c r="X97" s="24"/>
      <c r="Y97" s="38">
        <f t="shared" si="16"/>
        <v>10874895</v>
      </c>
      <c r="Z97" s="24"/>
      <c r="AA97" s="24">
        <v>0</v>
      </c>
      <c r="AB97" s="24"/>
      <c r="AC97" s="24">
        <v>0</v>
      </c>
      <c r="AD97" s="24"/>
      <c r="AE97" s="24">
        <v>0</v>
      </c>
      <c r="AF97" s="24"/>
      <c r="AG97" s="24"/>
      <c r="AH97" s="24"/>
      <c r="AI97" s="24"/>
      <c r="AJ97" s="24"/>
      <c r="AK97" s="24">
        <v>0</v>
      </c>
      <c r="AL97" s="24"/>
      <c r="AM97" s="24">
        <v>0</v>
      </c>
      <c r="AN97" s="24"/>
      <c r="AO97" s="38">
        <f t="shared" si="10"/>
        <v>0</v>
      </c>
      <c r="AP97" s="24"/>
      <c r="AQ97" s="38">
        <f t="shared" si="12"/>
        <v>10874895</v>
      </c>
      <c r="AR97" s="38"/>
      <c r="AS97" s="7"/>
      <c r="AT97" s="7" t="str">
        <f t="shared" si="13"/>
        <v xml:space="preserve">Centerburg Local SD </v>
      </c>
      <c r="AU97" s="7" t="str">
        <f>'Gov Fd BS'!A97</f>
        <v xml:space="preserve">Centerburg Local SD </v>
      </c>
      <c r="AV97" s="7" t="b">
        <f t="shared" si="14"/>
        <v>1</v>
      </c>
      <c r="AW97" s="7" t="str">
        <f t="shared" si="11"/>
        <v>Knox</v>
      </c>
      <c r="AX97" s="7" t="b">
        <f>C97='Gov Fd BS'!C97</f>
        <v>1</v>
      </c>
    </row>
    <row r="98" spans="1:50">
      <c r="A98" s="12" t="s">
        <v>681</v>
      </c>
      <c r="B98" s="12"/>
      <c r="C98" s="12" t="s">
        <v>50</v>
      </c>
      <c r="D98" s="12"/>
      <c r="E98" s="12">
        <v>43737</v>
      </c>
      <c r="F98" s="24"/>
      <c r="G98" s="24">
        <v>65346443</v>
      </c>
      <c r="H98" s="24"/>
      <c r="I98" s="24">
        <v>0</v>
      </c>
      <c r="J98" s="24"/>
      <c r="K98" s="24">
        <v>30053923</v>
      </c>
      <c r="L98" s="24"/>
      <c r="M98" s="24">
        <v>226944</v>
      </c>
      <c r="N98" s="24"/>
      <c r="O98" s="24">
        <v>1178584</v>
      </c>
      <c r="P98" s="24"/>
      <c r="Q98" s="24">
        <v>1467043</v>
      </c>
      <c r="R98" s="24"/>
      <c r="S98" s="24">
        <v>0</v>
      </c>
      <c r="T98" s="24"/>
      <c r="U98" s="24">
        <v>0</v>
      </c>
      <c r="V98" s="24"/>
      <c r="W98" s="24">
        <f>345344+2423906</f>
        <v>2769250</v>
      </c>
      <c r="X98" s="24"/>
      <c r="Y98" s="38">
        <f t="shared" si="16"/>
        <v>101042187</v>
      </c>
      <c r="Z98" s="24"/>
      <c r="AA98" s="24">
        <v>0</v>
      </c>
      <c r="AB98" s="24"/>
      <c r="AC98" s="24">
        <v>0</v>
      </c>
      <c r="AD98" s="24"/>
      <c r="AE98" s="24">
        <v>0</v>
      </c>
      <c r="AF98" s="24"/>
      <c r="AG98" s="24"/>
      <c r="AH98" s="24"/>
      <c r="AI98" s="24"/>
      <c r="AJ98" s="24"/>
      <c r="AK98" s="24">
        <v>0</v>
      </c>
      <c r="AL98" s="24"/>
      <c r="AM98" s="24">
        <v>0</v>
      </c>
      <c r="AN98" s="24"/>
      <c r="AO98" s="38">
        <f t="shared" si="10"/>
        <v>0</v>
      </c>
      <c r="AP98" s="24"/>
      <c r="AQ98" s="38">
        <f t="shared" si="12"/>
        <v>101042187</v>
      </c>
      <c r="AR98" s="38"/>
      <c r="AS98" s="7"/>
      <c r="AT98" s="7" t="str">
        <f t="shared" si="13"/>
        <v xml:space="preserve">Centerville City SD </v>
      </c>
      <c r="AU98" s="7" t="str">
        <f>'Gov Fd BS'!A98</f>
        <v xml:space="preserve">Centerville City SD </v>
      </c>
      <c r="AV98" s="7" t="b">
        <f t="shared" si="14"/>
        <v>1</v>
      </c>
      <c r="AW98" s="7" t="str">
        <f t="shared" si="11"/>
        <v>Montgomery</v>
      </c>
      <c r="AX98" s="7" t="b">
        <f>C98='Gov Fd BS'!C98</f>
        <v>1</v>
      </c>
    </row>
    <row r="99" spans="1:50" hidden="1">
      <c r="A99" s="12" t="s">
        <v>797</v>
      </c>
      <c r="B99" s="12"/>
      <c r="C99" s="12" t="s">
        <v>22</v>
      </c>
      <c r="D99" s="12"/>
      <c r="E99" s="12">
        <v>46714</v>
      </c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38">
        <f t="shared" si="16"/>
        <v>0</v>
      </c>
      <c r="Z99" s="24"/>
      <c r="AA99" s="24"/>
      <c r="AB99" s="24"/>
      <c r="AC99" s="24">
        <v>0</v>
      </c>
      <c r="AD99" s="24"/>
      <c r="AE99" s="24"/>
      <c r="AF99" s="24"/>
      <c r="AG99" s="24"/>
      <c r="AH99" s="24"/>
      <c r="AI99" s="24"/>
      <c r="AJ99" s="24"/>
      <c r="AK99" s="24"/>
      <c r="AL99" s="24"/>
      <c r="AM99" s="24">
        <v>0</v>
      </c>
      <c r="AN99" s="24"/>
      <c r="AO99" s="38">
        <f t="shared" si="10"/>
        <v>0</v>
      </c>
      <c r="AP99" s="24"/>
      <c r="AQ99" s="38">
        <f t="shared" si="12"/>
        <v>0</v>
      </c>
      <c r="AR99" s="38"/>
      <c r="AS99" s="7" t="s">
        <v>779</v>
      </c>
      <c r="AT99" s="7" t="str">
        <f t="shared" si="13"/>
        <v>Central Local SD (CASH)</v>
      </c>
      <c r="AU99" s="7" t="str">
        <f>'Gov Fd BS'!A99</f>
        <v>Central Local SD (CASH)</v>
      </c>
      <c r="AV99" s="7" t="b">
        <f t="shared" si="14"/>
        <v>1</v>
      </c>
      <c r="AW99" s="7" t="str">
        <f t="shared" si="11"/>
        <v>Defiance</v>
      </c>
      <c r="AX99" s="7" t="b">
        <f>C99='Gov Fd BS'!C99</f>
        <v>1</v>
      </c>
    </row>
    <row r="100" spans="1:50">
      <c r="A100" s="12" t="s">
        <v>863</v>
      </c>
      <c r="B100" s="12"/>
      <c r="C100" s="12" t="s">
        <v>20</v>
      </c>
      <c r="D100" s="12"/>
      <c r="E100" s="12">
        <v>45286</v>
      </c>
      <c r="F100" s="24"/>
      <c r="G100" s="24">
        <v>21425142</v>
      </c>
      <c r="H100" s="24"/>
      <c r="I100" s="24">
        <v>0</v>
      </c>
      <c r="J100" s="24"/>
      <c r="K100" s="24">
        <v>6523698</v>
      </c>
      <c r="L100" s="24"/>
      <c r="M100" s="24">
        <v>71776</v>
      </c>
      <c r="N100" s="24"/>
      <c r="O100" s="24">
        <v>446836</v>
      </c>
      <c r="P100" s="24"/>
      <c r="Q100" s="24">
        <v>455338</v>
      </c>
      <c r="R100" s="24"/>
      <c r="S100" s="24">
        <v>0</v>
      </c>
      <c r="T100" s="24"/>
      <c r="U100" s="24">
        <v>380991</v>
      </c>
      <c r="V100" s="24"/>
      <c r="W100" s="24">
        <f>43833+320</f>
        <v>44153</v>
      </c>
      <c r="X100" s="24"/>
      <c r="Y100" s="38">
        <f t="shared" si="16"/>
        <v>29347934</v>
      </c>
      <c r="Z100" s="24"/>
      <c r="AA100" s="24">
        <v>417600</v>
      </c>
      <c r="AB100" s="24"/>
      <c r="AC100" s="24">
        <v>0</v>
      </c>
      <c r="AD100" s="24"/>
      <c r="AE100" s="24">
        <v>1342983</v>
      </c>
      <c r="AF100" s="24"/>
      <c r="AG100" s="24"/>
      <c r="AH100" s="24"/>
      <c r="AI100" s="24"/>
      <c r="AJ100" s="24"/>
      <c r="AK100" s="24">
        <v>97465</v>
      </c>
      <c r="AL100" s="24"/>
      <c r="AM100" s="24">
        <v>0</v>
      </c>
      <c r="AN100" s="24"/>
      <c r="AO100" s="38">
        <f t="shared" si="10"/>
        <v>1858048</v>
      </c>
      <c r="AP100" s="24"/>
      <c r="AQ100" s="38">
        <f t="shared" si="12"/>
        <v>31205982</v>
      </c>
      <c r="AR100" s="38"/>
      <c r="AS100" s="7"/>
      <c r="AT100" s="7" t="str">
        <f t="shared" si="13"/>
        <v>Chagrin Falls Exempted Village SD</v>
      </c>
      <c r="AU100" s="7" t="str">
        <f>'Gov Fd BS'!A100</f>
        <v>Chagrin Falls Exempted Village SD</v>
      </c>
      <c r="AV100" s="7" t="b">
        <f t="shared" si="14"/>
        <v>1</v>
      </c>
      <c r="AW100" s="7" t="str">
        <f t="shared" si="11"/>
        <v>Cuyahoga</v>
      </c>
      <c r="AX100" s="7" t="b">
        <f>C100='Gov Fd BS'!C100</f>
        <v>1</v>
      </c>
    </row>
    <row r="101" spans="1:50">
      <c r="A101" s="12" t="s">
        <v>536</v>
      </c>
      <c r="B101" s="12"/>
      <c r="C101" s="12" t="s">
        <v>64</v>
      </c>
      <c r="D101" s="12"/>
      <c r="E101" s="12">
        <v>50138</v>
      </c>
      <c r="F101" s="24"/>
      <c r="G101" s="24">
        <v>4730886</v>
      </c>
      <c r="H101" s="24"/>
      <c r="I101" s="24">
        <v>0</v>
      </c>
      <c r="J101" s="24"/>
      <c r="K101" s="24">
        <f>7560592+1375619</f>
        <v>8936211</v>
      </c>
      <c r="L101" s="24"/>
      <c r="M101" s="24">
        <v>4975</v>
      </c>
      <c r="N101" s="24"/>
      <c r="O101" s="24">
        <f>794980+763+30905</f>
        <v>826648</v>
      </c>
      <c r="P101" s="24"/>
      <c r="Q101" s="24">
        <v>105418</v>
      </c>
      <c r="R101" s="24"/>
      <c r="S101" s="24">
        <v>0</v>
      </c>
      <c r="T101" s="24"/>
      <c r="U101" s="24">
        <v>20072</v>
      </c>
      <c r="V101" s="24"/>
      <c r="W101" s="24">
        <f>70977+3430+45240+252093</f>
        <v>371740</v>
      </c>
      <c r="X101" s="24"/>
      <c r="Y101" s="38">
        <f t="shared" si="16"/>
        <v>14995950</v>
      </c>
      <c r="Z101" s="24"/>
      <c r="AA101" s="24">
        <v>64387</v>
      </c>
      <c r="AB101" s="24"/>
      <c r="AC101" s="24">
        <v>0</v>
      </c>
      <c r="AD101" s="24"/>
      <c r="AE101" s="24">
        <v>0</v>
      </c>
      <c r="AF101" s="24"/>
      <c r="AG101" s="24"/>
      <c r="AH101" s="24"/>
      <c r="AI101" s="24"/>
      <c r="AJ101" s="24"/>
      <c r="AK101" s="24">
        <v>1051500</v>
      </c>
      <c r="AL101" s="24"/>
      <c r="AM101" s="24">
        <v>0</v>
      </c>
      <c r="AN101" s="24"/>
      <c r="AO101" s="38">
        <f t="shared" si="10"/>
        <v>1115887</v>
      </c>
      <c r="AP101" s="24"/>
      <c r="AQ101" s="38">
        <f t="shared" si="12"/>
        <v>16111837</v>
      </c>
      <c r="AR101" s="38"/>
      <c r="AS101" s="7"/>
      <c r="AT101" s="7" t="str">
        <f t="shared" si="13"/>
        <v>Champion Local SD</v>
      </c>
      <c r="AU101" s="7" t="str">
        <f>'Gov Fd BS'!A101</f>
        <v>Champion Local SD</v>
      </c>
      <c r="AV101" s="7" t="b">
        <f t="shared" si="14"/>
        <v>1</v>
      </c>
      <c r="AW101" s="7" t="str">
        <f t="shared" si="11"/>
        <v>Trumbull</v>
      </c>
      <c r="AX101" s="7" t="b">
        <f>C101='Gov Fd BS'!C101</f>
        <v>1</v>
      </c>
    </row>
    <row r="102" spans="1:50" hidden="1">
      <c r="A102" s="12" t="s">
        <v>798</v>
      </c>
      <c r="B102" s="12"/>
      <c r="C102" s="12" t="s">
        <v>30</v>
      </c>
      <c r="D102" s="12"/>
      <c r="E102" s="12">
        <v>47183</v>
      </c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38">
        <f t="shared" si="16"/>
        <v>0</v>
      </c>
      <c r="Z102" s="24"/>
      <c r="AA102" s="24"/>
      <c r="AB102" s="24"/>
      <c r="AC102" s="24">
        <v>0</v>
      </c>
      <c r="AD102" s="24"/>
      <c r="AE102" s="24"/>
      <c r="AF102" s="24"/>
      <c r="AG102" s="24"/>
      <c r="AH102" s="24"/>
      <c r="AI102" s="24"/>
      <c r="AJ102" s="24"/>
      <c r="AK102" s="24"/>
      <c r="AL102" s="24"/>
      <c r="AM102" s="24">
        <v>0</v>
      </c>
      <c r="AN102" s="24"/>
      <c r="AO102" s="38">
        <f t="shared" si="10"/>
        <v>0</v>
      </c>
      <c r="AP102" s="24"/>
      <c r="AQ102" s="38">
        <f t="shared" si="12"/>
        <v>0</v>
      </c>
      <c r="AR102" s="38"/>
      <c r="AS102" s="7" t="s">
        <v>779</v>
      </c>
      <c r="AT102" s="7" t="str">
        <f t="shared" si="13"/>
        <v>Chardon Local SD (CASH)</v>
      </c>
      <c r="AU102" s="7" t="str">
        <f>'Gov Fd BS'!A102</f>
        <v>Chardon Local SD (CASH)</v>
      </c>
      <c r="AV102" s="7" t="b">
        <f t="shared" si="14"/>
        <v>1</v>
      </c>
      <c r="AW102" s="7" t="str">
        <f t="shared" si="11"/>
        <v>Geauga</v>
      </c>
      <c r="AX102" s="7" t="b">
        <f>C102='Gov Fd BS'!C102</f>
        <v>1</v>
      </c>
    </row>
    <row r="103" spans="1:50">
      <c r="A103" s="12" t="s">
        <v>864</v>
      </c>
      <c r="B103" s="12"/>
      <c r="C103" s="12" t="s">
        <v>377</v>
      </c>
      <c r="D103" s="12"/>
      <c r="E103" s="12">
        <v>45294</v>
      </c>
      <c r="F103" s="24"/>
      <c r="G103" s="24">
        <v>2082989</v>
      </c>
      <c r="H103" s="24"/>
      <c r="I103" s="24">
        <v>0</v>
      </c>
      <c r="J103" s="24"/>
      <c r="K103" s="24">
        <v>10846692</v>
      </c>
      <c r="L103" s="24"/>
      <c r="M103" s="24">
        <v>3228</v>
      </c>
      <c r="N103" s="24"/>
      <c r="O103" s="24">
        <v>1078436</v>
      </c>
      <c r="P103" s="24"/>
      <c r="Q103" s="24">
        <v>81558</v>
      </c>
      <c r="R103" s="24"/>
      <c r="S103" s="24">
        <v>0</v>
      </c>
      <c r="T103" s="24"/>
      <c r="U103" s="24">
        <v>60607</v>
      </c>
      <c r="V103" s="24"/>
      <c r="W103" s="24">
        <f>211567+91359</f>
        <v>302926</v>
      </c>
      <c r="X103" s="24"/>
      <c r="Y103" s="38">
        <f t="shared" si="16"/>
        <v>14456436</v>
      </c>
      <c r="Z103" s="24"/>
      <c r="AA103" s="24">
        <v>5498</v>
      </c>
      <c r="AB103" s="24"/>
      <c r="AC103" s="24">
        <v>0</v>
      </c>
      <c r="AD103" s="24"/>
      <c r="AE103" s="24">
        <v>0</v>
      </c>
      <c r="AF103" s="24"/>
      <c r="AG103" s="24"/>
      <c r="AH103" s="24"/>
      <c r="AI103" s="24"/>
      <c r="AJ103" s="24"/>
      <c r="AK103" s="24">
        <v>926</v>
      </c>
      <c r="AL103" s="24"/>
      <c r="AM103" s="24">
        <v>0</v>
      </c>
      <c r="AN103" s="24"/>
      <c r="AO103" s="38">
        <f t="shared" si="10"/>
        <v>6424</v>
      </c>
      <c r="AP103" s="24"/>
      <c r="AQ103" s="38">
        <f t="shared" si="12"/>
        <v>14462860</v>
      </c>
      <c r="AR103" s="38"/>
      <c r="AS103" s="7"/>
      <c r="AT103" s="7" t="str">
        <f t="shared" si="13"/>
        <v>Chesapeake Union Exempted Village SD</v>
      </c>
      <c r="AU103" s="7" t="str">
        <f>'Gov Fd BS'!A103</f>
        <v>Chesapeake Union Exempted Village SD</v>
      </c>
      <c r="AV103" s="7" t="b">
        <f t="shared" si="14"/>
        <v>1</v>
      </c>
      <c r="AW103" s="7" t="str">
        <f t="shared" si="11"/>
        <v>Lawrence</v>
      </c>
      <c r="AX103" s="7" t="b">
        <f>C103='Gov Fd BS'!C103</f>
        <v>1</v>
      </c>
    </row>
    <row r="104" spans="1:50">
      <c r="A104" s="12" t="s">
        <v>488</v>
      </c>
      <c r="B104" s="12"/>
      <c r="C104" s="12" t="s">
        <v>58</v>
      </c>
      <c r="D104" s="12"/>
      <c r="E104" s="12">
        <v>43745</v>
      </c>
      <c r="F104" s="24"/>
      <c r="G104" s="24">
        <v>13028493</v>
      </c>
      <c r="H104" s="24"/>
      <c r="I104" s="24">
        <v>0</v>
      </c>
      <c r="J104" s="24"/>
      <c r="K104" s="24">
        <v>20582206</v>
      </c>
      <c r="L104" s="24"/>
      <c r="M104" s="24">
        <v>44018</v>
      </c>
      <c r="N104" s="24"/>
      <c r="O104" s="24">
        <v>1602496</v>
      </c>
      <c r="P104" s="24"/>
      <c r="Q104" s="24">
        <v>152338</v>
      </c>
      <c r="R104" s="24"/>
      <c r="S104" s="24">
        <v>0</v>
      </c>
      <c r="T104" s="24"/>
      <c r="U104" s="24">
        <v>16642</v>
      </c>
      <c r="V104" s="24"/>
      <c r="W104" s="24">
        <f>150300+508074+7306</f>
        <v>665680</v>
      </c>
      <c r="X104" s="24"/>
      <c r="Y104" s="38">
        <f t="shared" si="16"/>
        <v>36091873</v>
      </c>
      <c r="Z104" s="24"/>
      <c r="AA104" s="24">
        <v>0</v>
      </c>
      <c r="AB104" s="24"/>
      <c r="AC104" s="24">
        <v>0</v>
      </c>
      <c r="AD104" s="24"/>
      <c r="AE104" s="24">
        <v>0</v>
      </c>
      <c r="AF104" s="24"/>
      <c r="AG104" s="24"/>
      <c r="AH104" s="24"/>
      <c r="AI104" s="24"/>
      <c r="AJ104" s="24"/>
      <c r="AK104" s="24">
        <v>4138</v>
      </c>
      <c r="AL104" s="24"/>
      <c r="AM104" s="24">
        <v>0</v>
      </c>
      <c r="AN104" s="24"/>
      <c r="AO104" s="38">
        <f t="shared" si="10"/>
        <v>4138</v>
      </c>
      <c r="AP104" s="24"/>
      <c r="AQ104" s="38">
        <f t="shared" si="12"/>
        <v>36096011</v>
      </c>
      <c r="AR104" s="38"/>
      <c r="AS104" s="7"/>
      <c r="AT104" s="7" t="str">
        <f t="shared" si="13"/>
        <v>Chillicothe City SD</v>
      </c>
      <c r="AU104" s="7" t="str">
        <f>'Gov Fd BS'!A104</f>
        <v>Chillicothe City SD</v>
      </c>
      <c r="AV104" s="7" t="b">
        <f t="shared" si="14"/>
        <v>1</v>
      </c>
      <c r="AW104" s="7" t="str">
        <f t="shared" si="11"/>
        <v>Ross</v>
      </c>
      <c r="AX104" s="7" t="b">
        <f>C104='Gov Fd BS'!C104</f>
        <v>1</v>
      </c>
    </row>
    <row r="105" spans="1:50">
      <c r="A105" s="12" t="s">
        <v>568</v>
      </c>
      <c r="B105" s="12"/>
      <c r="C105" s="12" t="s">
        <v>71</v>
      </c>
      <c r="D105" s="12"/>
      <c r="E105" s="12">
        <v>50534</v>
      </c>
      <c r="F105" s="24"/>
      <c r="G105" s="24">
        <v>3742939</v>
      </c>
      <c r="H105" s="24"/>
      <c r="I105" s="24">
        <v>1720361</v>
      </c>
      <c r="J105" s="24"/>
      <c r="K105" s="24">
        <f>5693804+1626275</f>
        <v>7320079</v>
      </c>
      <c r="L105" s="24"/>
      <c r="M105" s="24">
        <v>3607</v>
      </c>
      <c r="N105" s="24"/>
      <c r="O105" s="24">
        <v>115565</v>
      </c>
      <c r="P105" s="24"/>
      <c r="Q105" s="24">
        <v>207173</v>
      </c>
      <c r="R105" s="24"/>
      <c r="S105" s="24">
        <v>0</v>
      </c>
      <c r="T105" s="24"/>
      <c r="U105" s="24">
        <v>0</v>
      </c>
      <c r="V105" s="24"/>
      <c r="W105" s="24">
        <f>249859+10388+27571</f>
        <v>287818</v>
      </c>
      <c r="X105" s="24"/>
      <c r="Y105" s="38">
        <f t="shared" si="16"/>
        <v>13397542</v>
      </c>
      <c r="Z105" s="24"/>
      <c r="AA105" s="24">
        <v>18500</v>
      </c>
      <c r="AB105" s="24"/>
      <c r="AC105" s="24">
        <v>0</v>
      </c>
      <c r="AD105" s="24"/>
      <c r="AE105" s="24">
        <v>0</v>
      </c>
      <c r="AF105" s="24"/>
      <c r="AG105" s="24"/>
      <c r="AH105" s="24"/>
      <c r="AI105" s="24"/>
      <c r="AJ105" s="24"/>
      <c r="AK105" s="24">
        <v>0</v>
      </c>
      <c r="AL105" s="24"/>
      <c r="AM105" s="24">
        <v>0</v>
      </c>
      <c r="AN105" s="24"/>
      <c r="AO105" s="38">
        <f t="shared" si="10"/>
        <v>18500</v>
      </c>
      <c r="AP105" s="24"/>
      <c r="AQ105" s="38">
        <f t="shared" si="12"/>
        <v>13416042</v>
      </c>
      <c r="AR105" s="38"/>
      <c r="AS105" s="7"/>
      <c r="AT105" s="7" t="str">
        <f t="shared" si="13"/>
        <v>Chippewa Local SD</v>
      </c>
      <c r="AU105" s="7" t="str">
        <f>'Gov Fd BS'!A105</f>
        <v>Chippewa Local SD</v>
      </c>
      <c r="AV105" s="7" t="b">
        <f t="shared" si="14"/>
        <v>1</v>
      </c>
      <c r="AW105" s="7" t="str">
        <f t="shared" si="11"/>
        <v>Wayne</v>
      </c>
      <c r="AX105" s="7" t="b">
        <f>C105='Gov Fd BS'!C105</f>
        <v>1</v>
      </c>
    </row>
    <row r="106" spans="1:50">
      <c r="A106" s="12" t="s">
        <v>683</v>
      </c>
      <c r="B106" s="12"/>
      <c r="C106" s="12" t="s">
        <v>32</v>
      </c>
      <c r="D106" s="12"/>
      <c r="E106" s="12">
        <v>43752</v>
      </c>
      <c r="F106" s="24"/>
      <c r="G106" s="24">
        <v>265214494</v>
      </c>
      <c r="H106" s="24"/>
      <c r="I106" s="24">
        <v>0</v>
      </c>
      <c r="J106" s="24"/>
      <c r="K106" s="24">
        <f>258430367+99735718</f>
        <v>358166085</v>
      </c>
      <c r="L106" s="24"/>
      <c r="M106" s="24">
        <v>1358433</v>
      </c>
      <c r="N106" s="24"/>
      <c r="O106" s="24">
        <v>1897589</v>
      </c>
      <c r="P106" s="24"/>
      <c r="Q106" s="24">
        <v>0</v>
      </c>
      <c r="R106" s="24"/>
      <c r="S106" s="24">
        <v>23453928</v>
      </c>
      <c r="T106" s="24"/>
      <c r="U106" s="24">
        <v>0</v>
      </c>
      <c r="V106" s="24"/>
      <c r="W106" s="24">
        <f>1875863+23474337</f>
        <v>25350200</v>
      </c>
      <c r="X106" s="24"/>
      <c r="Y106" s="38">
        <f t="shared" si="16"/>
        <v>675440729</v>
      </c>
      <c r="Z106" s="24"/>
      <c r="AA106" s="24">
        <v>196495786</v>
      </c>
      <c r="AB106" s="24"/>
      <c r="AC106" s="24">
        <v>0</v>
      </c>
      <c r="AD106" s="24"/>
      <c r="AE106" s="24">
        <v>3000000</v>
      </c>
      <c r="AF106" s="24"/>
      <c r="AG106" s="24"/>
      <c r="AH106" s="24"/>
      <c r="AI106" s="24"/>
      <c r="AJ106" s="24"/>
      <c r="AK106" s="24">
        <v>0</v>
      </c>
      <c r="AL106" s="24"/>
      <c r="AM106" s="24">
        <v>0</v>
      </c>
      <c r="AN106" s="24"/>
      <c r="AO106" s="38">
        <f t="shared" si="10"/>
        <v>199495786</v>
      </c>
      <c r="AP106" s="24"/>
      <c r="AQ106" s="38">
        <f t="shared" ref="AQ106:AQ107" si="17">Y106+AO106</f>
        <v>874936515</v>
      </c>
      <c r="AR106" s="38"/>
      <c r="AS106" s="7"/>
      <c r="AT106" s="7" t="str">
        <f t="shared" si="13"/>
        <v>Cincinnati City SD/Cincinnati Public SD</v>
      </c>
      <c r="AU106" s="7" t="str">
        <f>'Gov Fd BS'!A106</f>
        <v>Cincinnati City SD/Cincinnati Public SD</v>
      </c>
      <c r="AV106" s="7" t="b">
        <f t="shared" si="14"/>
        <v>1</v>
      </c>
      <c r="AW106" s="7" t="str">
        <f t="shared" si="11"/>
        <v>Hamilton</v>
      </c>
      <c r="AX106" s="7" t="b">
        <f>C106='Gov Fd BS'!C106</f>
        <v>1</v>
      </c>
    </row>
    <row r="107" spans="1:50">
      <c r="A107" s="12" t="s">
        <v>467</v>
      </c>
      <c r="B107" s="12"/>
      <c r="C107" s="12" t="s">
        <v>54</v>
      </c>
      <c r="D107" s="12"/>
      <c r="E107" s="12">
        <v>43760</v>
      </c>
      <c r="F107" s="24"/>
      <c r="G107" s="24">
        <v>11592126</v>
      </c>
      <c r="H107" s="24"/>
      <c r="I107" s="24">
        <v>1435763</v>
      </c>
      <c r="J107" s="24"/>
      <c r="K107" s="24">
        <f>15159372+5471186</f>
        <v>20630558</v>
      </c>
      <c r="L107" s="24"/>
      <c r="M107" s="24">
        <v>171999</v>
      </c>
      <c r="N107" s="24"/>
      <c r="O107" s="24">
        <f>432408+28774</f>
        <v>461182</v>
      </c>
      <c r="P107" s="24"/>
      <c r="Q107" s="24">
        <v>207591</v>
      </c>
      <c r="R107" s="24"/>
      <c r="S107" s="24">
        <v>106525</v>
      </c>
      <c r="T107" s="24"/>
      <c r="U107" s="24">
        <v>0</v>
      </c>
      <c r="V107" s="24"/>
      <c r="W107" s="24">
        <f>130657+13140+364020</f>
        <v>507817</v>
      </c>
      <c r="X107" s="24"/>
      <c r="Y107" s="38">
        <f t="shared" si="16"/>
        <v>35113561</v>
      </c>
      <c r="Z107" s="24"/>
      <c r="AA107" s="24">
        <v>26965151</v>
      </c>
      <c r="AB107" s="24"/>
      <c r="AC107" s="24">
        <v>0</v>
      </c>
      <c r="AD107" s="24"/>
      <c r="AE107" s="24">
        <f>1057518+115161+37917618</f>
        <v>39090297</v>
      </c>
      <c r="AF107" s="24"/>
      <c r="AG107" s="24"/>
      <c r="AH107" s="24"/>
      <c r="AI107" s="24"/>
      <c r="AJ107" s="24"/>
      <c r="AK107" s="24">
        <v>7000000</v>
      </c>
      <c r="AL107" s="24"/>
      <c r="AM107" s="24">
        <v>0</v>
      </c>
      <c r="AN107" s="24"/>
      <c r="AO107" s="38">
        <f t="shared" si="10"/>
        <v>73055448</v>
      </c>
      <c r="AP107" s="24"/>
      <c r="AQ107" s="38">
        <f t="shared" si="17"/>
        <v>108169009</v>
      </c>
      <c r="AR107" s="38"/>
      <c r="AS107" s="7"/>
      <c r="AT107" s="7" t="str">
        <f t="shared" si="13"/>
        <v>Circleville City SD</v>
      </c>
      <c r="AU107" s="7" t="str">
        <f>'Gov Fd BS'!A107</f>
        <v>Circleville City SD</v>
      </c>
      <c r="AV107" s="7" t="b">
        <f t="shared" si="14"/>
        <v>1</v>
      </c>
      <c r="AW107" s="7" t="str">
        <f t="shared" si="11"/>
        <v>Pickaway</v>
      </c>
      <c r="AX107" s="7" t="b">
        <f>C107='Gov Fd BS'!C107</f>
        <v>1</v>
      </c>
    </row>
    <row r="108" spans="1:50">
      <c r="A108" s="12" t="s">
        <v>236</v>
      </c>
      <c r="B108" s="12"/>
      <c r="C108" s="12" t="s">
        <v>17</v>
      </c>
      <c r="D108" s="12"/>
      <c r="E108" s="12">
        <v>46284</v>
      </c>
      <c r="F108" s="24"/>
      <c r="G108" s="24">
        <v>9493615</v>
      </c>
      <c r="H108" s="24"/>
      <c r="I108" s="24">
        <v>0</v>
      </c>
      <c r="J108" s="24"/>
      <c r="K108" s="24">
        <v>9541571</v>
      </c>
      <c r="L108" s="24"/>
      <c r="M108" s="24">
        <v>2156</v>
      </c>
      <c r="N108" s="24"/>
      <c r="O108" s="24">
        <v>2460757</v>
      </c>
      <c r="P108" s="24"/>
      <c r="Q108" s="24">
        <v>348705</v>
      </c>
      <c r="R108" s="24"/>
      <c r="S108" s="24">
        <v>0</v>
      </c>
      <c r="T108" s="24"/>
      <c r="U108" s="24">
        <v>5843</v>
      </c>
      <c r="V108" s="24"/>
      <c r="W108" s="24">
        <f>26419+9463+556398</f>
        <v>592280</v>
      </c>
      <c r="X108" s="24"/>
      <c r="Y108" s="38">
        <f t="shared" si="16"/>
        <v>22444927</v>
      </c>
      <c r="Z108" s="24"/>
      <c r="AA108" s="24">
        <v>0</v>
      </c>
      <c r="AB108" s="24"/>
      <c r="AC108" s="24">
        <v>0</v>
      </c>
      <c r="AD108" s="24"/>
      <c r="AE108" s="24">
        <v>0</v>
      </c>
      <c r="AF108" s="24"/>
      <c r="AG108" s="24"/>
      <c r="AH108" s="24"/>
      <c r="AI108" s="24"/>
      <c r="AJ108" s="24"/>
      <c r="AK108" s="24">
        <v>7500</v>
      </c>
      <c r="AL108" s="24"/>
      <c r="AM108" s="24">
        <v>0</v>
      </c>
      <c r="AN108" s="24"/>
      <c r="AO108" s="38">
        <f t="shared" si="10"/>
        <v>7500</v>
      </c>
      <c r="AP108" s="24"/>
      <c r="AQ108" s="38">
        <f t="shared" ref="AQ108:AQ171" si="18">Y108+AO108</f>
        <v>22452427</v>
      </c>
      <c r="AR108" s="38"/>
      <c r="AS108" s="7"/>
      <c r="AT108" s="7" t="str">
        <f t="shared" si="13"/>
        <v>Clark-Shawnee Local SD</v>
      </c>
      <c r="AU108" s="7" t="str">
        <f>'Gov Fd BS'!A108</f>
        <v>Clark-Shawnee Local SD</v>
      </c>
      <c r="AV108" s="7" t="b">
        <f t="shared" si="14"/>
        <v>1</v>
      </c>
      <c r="AW108" s="7" t="str">
        <f t="shared" si="11"/>
        <v>Clark</v>
      </c>
      <c r="AX108" s="7" t="b">
        <f>C108='Gov Fd BS'!C108</f>
        <v>1</v>
      </c>
    </row>
    <row r="109" spans="1:50">
      <c r="A109" s="12" t="s">
        <v>495</v>
      </c>
      <c r="B109" s="12"/>
      <c r="C109" s="12" t="s">
        <v>59</v>
      </c>
      <c r="D109" s="12"/>
      <c r="E109" s="12">
        <v>49601</v>
      </c>
      <c r="F109" s="24"/>
      <c r="G109" s="24">
        <v>1218056</v>
      </c>
      <c r="H109" s="24"/>
      <c r="I109" s="24">
        <v>0</v>
      </c>
      <c r="J109" s="24"/>
      <c r="K109" s="24">
        <v>14590817</v>
      </c>
      <c r="L109" s="24"/>
      <c r="M109" s="24">
        <v>40692</v>
      </c>
      <c r="N109" s="24"/>
      <c r="O109" s="24">
        <v>854532</v>
      </c>
      <c r="P109" s="24"/>
      <c r="Q109" s="24">
        <v>66993</v>
      </c>
      <c r="R109" s="24"/>
      <c r="S109" s="24">
        <v>0</v>
      </c>
      <c r="T109" s="24"/>
      <c r="U109" s="24">
        <v>21972</v>
      </c>
      <c r="V109" s="24"/>
      <c r="W109" s="24">
        <f>85004+159267</f>
        <v>244271</v>
      </c>
      <c r="X109" s="24"/>
      <c r="Y109" s="38">
        <f t="shared" si="16"/>
        <v>17037333</v>
      </c>
      <c r="Z109" s="24"/>
      <c r="AA109" s="24">
        <v>40152</v>
      </c>
      <c r="AB109" s="24"/>
      <c r="AC109" s="24">
        <v>0</v>
      </c>
      <c r="AD109" s="24"/>
      <c r="AE109" s="24">
        <v>0</v>
      </c>
      <c r="AF109" s="24"/>
      <c r="AG109" s="24"/>
      <c r="AH109" s="24"/>
      <c r="AI109" s="24"/>
      <c r="AJ109" s="24"/>
      <c r="AK109" s="24">
        <v>0</v>
      </c>
      <c r="AL109" s="24"/>
      <c r="AM109" s="24">
        <v>0</v>
      </c>
      <c r="AN109" s="24"/>
      <c r="AO109" s="38">
        <f t="shared" si="10"/>
        <v>40152</v>
      </c>
      <c r="AP109" s="24"/>
      <c r="AQ109" s="38">
        <f t="shared" si="18"/>
        <v>17077485</v>
      </c>
      <c r="AR109" s="38"/>
      <c r="AS109" s="7"/>
      <c r="AT109" s="7" t="str">
        <f t="shared" si="13"/>
        <v>Clay Local SD</v>
      </c>
      <c r="AU109" s="7" t="str">
        <f>'Gov Fd BS'!A109</f>
        <v>Clay Local SD</v>
      </c>
      <c r="AV109" s="7" t="b">
        <f t="shared" si="14"/>
        <v>1</v>
      </c>
      <c r="AW109" s="7" t="str">
        <f t="shared" si="11"/>
        <v>Scioto</v>
      </c>
      <c r="AX109" s="7" t="b">
        <f>C109='Gov Fd BS'!C109</f>
        <v>1</v>
      </c>
    </row>
    <row r="110" spans="1:50">
      <c r="A110" s="12" t="s">
        <v>549</v>
      </c>
      <c r="B110" s="12"/>
      <c r="C110" s="12" t="s">
        <v>65</v>
      </c>
      <c r="D110" s="12"/>
      <c r="E110" s="12">
        <v>43778</v>
      </c>
      <c r="F110" s="24"/>
      <c r="G110" s="24">
        <v>3374295</v>
      </c>
      <c r="H110" s="24"/>
      <c r="I110" s="24">
        <v>0</v>
      </c>
      <c r="J110" s="24"/>
      <c r="K110" s="24">
        <f>7488+13073649+3591551</f>
        <v>16672688</v>
      </c>
      <c r="L110" s="24"/>
      <c r="M110" s="24">
        <v>5220</v>
      </c>
      <c r="N110" s="24"/>
      <c r="O110" s="24">
        <f>1018127+336+29342</f>
        <v>1047805</v>
      </c>
      <c r="P110" s="24"/>
      <c r="Q110" s="24">
        <v>151172</v>
      </c>
      <c r="R110" s="24"/>
      <c r="S110" s="24">
        <v>0</v>
      </c>
      <c r="T110" s="24"/>
      <c r="U110" s="24">
        <v>98277</v>
      </c>
      <c r="V110" s="24"/>
      <c r="W110" s="24">
        <f>8439+19444+172634+13298</f>
        <v>213815</v>
      </c>
      <c r="X110" s="24"/>
      <c r="Y110" s="38">
        <f t="shared" si="16"/>
        <v>21563272</v>
      </c>
      <c r="Z110" s="24"/>
      <c r="AA110" s="24">
        <v>0</v>
      </c>
      <c r="AB110" s="24"/>
      <c r="AC110" s="24">
        <v>0</v>
      </c>
      <c r="AD110" s="24"/>
      <c r="AE110" s="24">
        <v>0</v>
      </c>
      <c r="AF110" s="24"/>
      <c r="AG110" s="24"/>
      <c r="AH110" s="24"/>
      <c r="AI110" s="24"/>
      <c r="AJ110" s="24"/>
      <c r="AK110" s="24">
        <v>153169</v>
      </c>
      <c r="AL110" s="24"/>
      <c r="AM110" s="24">
        <v>0</v>
      </c>
      <c r="AN110" s="24"/>
      <c r="AO110" s="38">
        <f t="shared" si="10"/>
        <v>153169</v>
      </c>
      <c r="AP110" s="24"/>
      <c r="AQ110" s="38">
        <f t="shared" si="18"/>
        <v>21716441</v>
      </c>
      <c r="AR110" s="38"/>
      <c r="AS110" s="7"/>
      <c r="AT110" s="7" t="str">
        <f t="shared" si="13"/>
        <v>Claymont City SD</v>
      </c>
      <c r="AU110" s="7" t="str">
        <f>'Gov Fd BS'!A110</f>
        <v>Claymont City SD</v>
      </c>
      <c r="AV110" s="7" t="b">
        <f t="shared" si="14"/>
        <v>1</v>
      </c>
      <c r="AW110" s="7" t="str">
        <f t="shared" si="11"/>
        <v>Tuscarawas</v>
      </c>
      <c r="AX110" s="7" t="b">
        <f>C110='Gov Fd BS'!C110</f>
        <v>1</v>
      </c>
    </row>
    <row r="111" spans="1:50">
      <c r="A111" s="12" t="s">
        <v>483</v>
      </c>
      <c r="B111" s="12"/>
      <c r="C111" s="12" t="s">
        <v>110</v>
      </c>
      <c r="D111" s="12"/>
      <c r="E111" s="12">
        <v>49411</v>
      </c>
      <c r="F111" s="24"/>
      <c r="G111" s="24">
        <v>4751115</v>
      </c>
      <c r="H111" s="24"/>
      <c r="I111" s="24">
        <v>0</v>
      </c>
      <c r="J111" s="24"/>
      <c r="K111" s="24">
        <f>8630908+2153738</f>
        <v>10784646</v>
      </c>
      <c r="L111" s="24"/>
      <c r="M111" s="24">
        <v>104671</v>
      </c>
      <c r="N111" s="24"/>
      <c r="O111" s="24">
        <f>916423+13750+41689</f>
        <v>971862</v>
      </c>
      <c r="P111" s="24"/>
      <c r="Q111" s="24">
        <v>162997</v>
      </c>
      <c r="R111" s="24"/>
      <c r="S111" s="24">
        <v>0</v>
      </c>
      <c r="T111" s="24"/>
      <c r="U111" s="24">
        <v>10736</v>
      </c>
      <c r="V111" s="24"/>
      <c r="W111" s="24">
        <f>21317+9108+367030</f>
        <v>397455</v>
      </c>
      <c r="X111" s="24"/>
      <c r="Y111" s="38">
        <f t="shared" si="16"/>
        <v>17183482</v>
      </c>
      <c r="Z111" s="24"/>
      <c r="AA111" s="24">
        <v>34706</v>
      </c>
      <c r="AB111" s="24"/>
      <c r="AC111" s="24">
        <v>0</v>
      </c>
      <c r="AD111" s="24"/>
      <c r="AE111" s="24">
        <v>0</v>
      </c>
      <c r="AF111" s="24"/>
      <c r="AG111" s="24"/>
      <c r="AH111" s="24"/>
      <c r="AI111" s="24"/>
      <c r="AJ111" s="24"/>
      <c r="AK111" s="24">
        <v>0</v>
      </c>
      <c r="AL111" s="24"/>
      <c r="AM111" s="24">
        <v>0</v>
      </c>
      <c r="AN111" s="24"/>
      <c r="AO111" s="38">
        <f t="shared" si="10"/>
        <v>34706</v>
      </c>
      <c r="AP111" s="24"/>
      <c r="AQ111" s="38">
        <f t="shared" si="18"/>
        <v>17218188</v>
      </c>
      <c r="AR111" s="38"/>
      <c r="AS111" s="7"/>
      <c r="AT111" s="7" t="str">
        <f t="shared" si="13"/>
        <v>Clear Fork Valley Local SD</v>
      </c>
      <c r="AU111" s="7" t="str">
        <f>'Gov Fd BS'!A111</f>
        <v>Clear Fork Valley Local SD</v>
      </c>
      <c r="AV111" s="7" t="b">
        <f t="shared" si="14"/>
        <v>1</v>
      </c>
      <c r="AW111" s="7" t="str">
        <f t="shared" si="11"/>
        <v>Richland</v>
      </c>
      <c r="AX111" s="7" t="b">
        <f>C111='Gov Fd BS'!C111</f>
        <v>1</v>
      </c>
    </row>
    <row r="112" spans="1:50">
      <c r="A112" s="12" t="s">
        <v>394</v>
      </c>
      <c r="B112" s="12"/>
      <c r="C112" s="12" t="s">
        <v>44</v>
      </c>
      <c r="D112" s="12"/>
      <c r="E112" s="12">
        <v>48132</v>
      </c>
      <c r="F112" s="24"/>
      <c r="G112" s="24">
        <v>2936163</v>
      </c>
      <c r="H112" s="24"/>
      <c r="I112" s="24">
        <v>0</v>
      </c>
      <c r="J112" s="24"/>
      <c r="K112" s="24">
        <v>9595143</v>
      </c>
      <c r="L112" s="24"/>
      <c r="M112" s="24">
        <v>13557</v>
      </c>
      <c r="N112" s="24"/>
      <c r="O112" s="24">
        <v>3092072</v>
      </c>
      <c r="P112" s="24"/>
      <c r="Q112" s="24">
        <v>204835</v>
      </c>
      <c r="R112" s="24"/>
      <c r="S112" s="24">
        <v>0</v>
      </c>
      <c r="T112" s="24"/>
      <c r="U112" s="24">
        <v>0</v>
      </c>
      <c r="V112" s="24"/>
      <c r="W112" s="24">
        <f>183389+80473</f>
        <v>263862</v>
      </c>
      <c r="X112" s="24"/>
      <c r="Y112" s="38">
        <f t="shared" si="16"/>
        <v>16105632</v>
      </c>
      <c r="Z112" s="24"/>
      <c r="AA112" s="24">
        <v>54400</v>
      </c>
      <c r="AB112" s="24"/>
      <c r="AC112" s="24">
        <v>0</v>
      </c>
      <c r="AD112" s="24"/>
      <c r="AE112" s="24">
        <v>0</v>
      </c>
      <c r="AF112" s="24"/>
      <c r="AG112" s="24"/>
      <c r="AH112" s="24"/>
      <c r="AI112" s="24"/>
      <c r="AJ112" s="24"/>
      <c r="AK112" s="24">
        <v>0</v>
      </c>
      <c r="AL112" s="24"/>
      <c r="AM112" s="24">
        <v>0</v>
      </c>
      <c r="AN112" s="24"/>
      <c r="AO112" s="38">
        <f t="shared" si="10"/>
        <v>54400</v>
      </c>
      <c r="AP112" s="24"/>
      <c r="AQ112" s="38">
        <f t="shared" si="18"/>
        <v>16160032</v>
      </c>
      <c r="AR112" s="38"/>
      <c r="AS112" s="7"/>
      <c r="AT112" s="7" t="str">
        <f t="shared" si="13"/>
        <v>Clearview Local SD</v>
      </c>
      <c r="AU112" s="7" t="str">
        <f>'Gov Fd BS'!A112</f>
        <v>Clearview Local SD</v>
      </c>
      <c r="AV112" s="7" t="b">
        <f t="shared" si="14"/>
        <v>1</v>
      </c>
      <c r="AW112" s="7" t="str">
        <f t="shared" si="11"/>
        <v>Lorain</v>
      </c>
      <c r="AX112" s="7" t="b">
        <f>C112='Gov Fd BS'!C112</f>
        <v>1</v>
      </c>
    </row>
    <row r="113" spans="1:50">
      <c r="A113" s="12" t="s">
        <v>684</v>
      </c>
      <c r="B113" s="12"/>
      <c r="C113" s="12" t="s">
        <v>113</v>
      </c>
      <c r="D113" s="12"/>
      <c r="E113" s="12"/>
      <c r="F113" s="24"/>
      <c r="G113" s="24">
        <v>9860582</v>
      </c>
      <c r="H113" s="24"/>
      <c r="I113" s="24">
        <v>0</v>
      </c>
      <c r="J113" s="24"/>
      <c r="K113" s="24">
        <v>8563851</v>
      </c>
      <c r="L113" s="24"/>
      <c r="M113" s="24">
        <v>8508</v>
      </c>
      <c r="N113" s="24"/>
      <c r="O113" s="24">
        <v>625386</v>
      </c>
      <c r="P113" s="24"/>
      <c r="Q113" s="24">
        <v>0</v>
      </c>
      <c r="R113" s="24"/>
      <c r="S113" s="24">
        <v>0</v>
      </c>
      <c r="T113" s="24"/>
      <c r="U113" s="24">
        <v>0</v>
      </c>
      <c r="V113" s="24"/>
      <c r="W113" s="24">
        <f>432813+323868</f>
        <v>756681</v>
      </c>
      <c r="X113" s="24"/>
      <c r="Y113" s="38">
        <f t="shared" si="16"/>
        <v>19815008</v>
      </c>
      <c r="Z113" s="24"/>
      <c r="AA113" s="24">
        <v>322000</v>
      </c>
      <c r="AB113" s="24"/>
      <c r="AC113" s="24">
        <v>0</v>
      </c>
      <c r="AD113" s="24"/>
      <c r="AE113" s="24">
        <v>0</v>
      </c>
      <c r="AF113" s="24"/>
      <c r="AG113" s="24"/>
      <c r="AH113" s="24"/>
      <c r="AI113" s="24"/>
      <c r="AJ113" s="24"/>
      <c r="AK113" s="24">
        <v>0</v>
      </c>
      <c r="AL113" s="24"/>
      <c r="AM113" s="24">
        <v>0</v>
      </c>
      <c r="AN113" s="24"/>
      <c r="AO113" s="38">
        <f t="shared" si="10"/>
        <v>322000</v>
      </c>
      <c r="AP113" s="24"/>
      <c r="AQ113" s="38">
        <f t="shared" si="18"/>
        <v>20137008</v>
      </c>
      <c r="AR113" s="38"/>
      <c r="AS113" s="7"/>
      <c r="AT113" s="7" t="str">
        <f t="shared" si="13"/>
        <v>Clermont Northeastern Local SD</v>
      </c>
      <c r="AU113" s="7" t="str">
        <f>'Gov Fd BS'!A113</f>
        <v>Clermont Northeastern Local SD</v>
      </c>
      <c r="AV113" s="7" t="b">
        <f t="shared" si="14"/>
        <v>1</v>
      </c>
      <c r="AW113" s="7" t="str">
        <f t="shared" si="11"/>
        <v>Clermont</v>
      </c>
      <c r="AX113" s="7" t="b">
        <f>C113='Gov Fd BS'!C113</f>
        <v>1</v>
      </c>
    </row>
    <row r="114" spans="1:50">
      <c r="A114" s="12" t="s">
        <v>682</v>
      </c>
      <c r="B114" s="12"/>
      <c r="C114" s="12" t="s">
        <v>20</v>
      </c>
      <c r="D114" s="12"/>
      <c r="E114" s="12">
        <v>43794</v>
      </c>
      <c r="F114" s="24"/>
      <c r="G114" s="24">
        <v>59741780</v>
      </c>
      <c r="H114" s="24"/>
      <c r="I114" s="24">
        <v>0</v>
      </c>
      <c r="J114" s="24"/>
      <c r="K114" s="24">
        <v>45193852</v>
      </c>
      <c r="L114" s="24"/>
      <c r="M114" s="24">
        <v>296480</v>
      </c>
      <c r="N114" s="24"/>
      <c r="O114" s="24">
        <f>919510+7769</f>
        <v>927279</v>
      </c>
      <c r="P114" s="24"/>
      <c r="Q114" s="24">
        <v>193323</v>
      </c>
      <c r="R114" s="24"/>
      <c r="S114" s="24">
        <v>0</v>
      </c>
      <c r="T114" s="24"/>
      <c r="U114" s="24">
        <v>0</v>
      </c>
      <c r="V114" s="24"/>
      <c r="W114" s="24">
        <v>909544</v>
      </c>
      <c r="X114" s="24"/>
      <c r="Y114" s="38">
        <f t="shared" si="16"/>
        <v>107262258</v>
      </c>
      <c r="Z114" s="24"/>
      <c r="AA114" s="24">
        <v>1303351</v>
      </c>
      <c r="AB114" s="24"/>
      <c r="AC114" s="24">
        <v>0</v>
      </c>
      <c r="AD114" s="24"/>
      <c r="AE114" s="24">
        <v>0</v>
      </c>
      <c r="AF114" s="24"/>
      <c r="AG114" s="24"/>
      <c r="AH114" s="24"/>
      <c r="AI114" s="24"/>
      <c r="AJ114" s="24"/>
      <c r="AK114" s="24">
        <v>397346</v>
      </c>
      <c r="AL114" s="24"/>
      <c r="AM114" s="24">
        <v>0</v>
      </c>
      <c r="AN114" s="24"/>
      <c r="AO114" s="38">
        <f t="shared" si="10"/>
        <v>1700697</v>
      </c>
      <c r="AP114" s="24"/>
      <c r="AQ114" s="38">
        <f t="shared" si="18"/>
        <v>108962955</v>
      </c>
      <c r="AR114" s="38"/>
      <c r="AS114" s="7"/>
      <c r="AT114" s="7" t="str">
        <f t="shared" si="13"/>
        <v>Cleveland Heights-University Heights City SD</v>
      </c>
      <c r="AU114" s="7" t="str">
        <f>'Gov Fd BS'!A114</f>
        <v>Cleveland Heights-University Heights City SD</v>
      </c>
      <c r="AV114" s="7" t="b">
        <f t="shared" si="14"/>
        <v>1</v>
      </c>
      <c r="AW114" s="7" t="str">
        <f t="shared" si="11"/>
        <v>Cuyahoga</v>
      </c>
      <c r="AX114" s="7" t="b">
        <f>C114='Gov Fd BS'!C114</f>
        <v>1</v>
      </c>
    </row>
    <row r="115" spans="1:50">
      <c r="A115" s="12" t="s">
        <v>271</v>
      </c>
      <c r="B115" s="12"/>
      <c r="C115" s="12" t="s">
        <v>20</v>
      </c>
      <c r="D115" s="12"/>
      <c r="E115" s="12">
        <v>43786</v>
      </c>
      <c r="F115" s="24"/>
      <c r="G115" s="24">
        <v>185815163</v>
      </c>
      <c r="H115" s="24"/>
      <c r="I115" s="24">
        <v>0</v>
      </c>
      <c r="J115" s="24"/>
      <c r="K115" s="24">
        <f>458759975+39162866+2251018+170959064</f>
        <v>671132923</v>
      </c>
      <c r="L115" s="24"/>
      <c r="M115" s="24">
        <v>3535089</v>
      </c>
      <c r="N115" s="24"/>
      <c r="O115" s="24">
        <v>4181794</v>
      </c>
      <c r="P115" s="24"/>
      <c r="Q115" s="24">
        <v>612023</v>
      </c>
      <c r="R115" s="24"/>
      <c r="S115" s="24">
        <v>0</v>
      </c>
      <c r="T115" s="24"/>
      <c r="U115" s="24">
        <v>8114244</v>
      </c>
      <c r="V115" s="24"/>
      <c r="W115" s="24">
        <f>152615+14809449</f>
        <v>14962064</v>
      </c>
      <c r="X115" s="24"/>
      <c r="Y115" s="38">
        <f t="shared" si="16"/>
        <v>888353300</v>
      </c>
      <c r="Z115" s="24"/>
      <c r="AA115" s="24">
        <v>14573314</v>
      </c>
      <c r="AB115" s="24"/>
      <c r="AC115" s="24">
        <v>0</v>
      </c>
      <c r="AD115" s="24"/>
      <c r="AE115" s="24">
        <v>0</v>
      </c>
      <c r="AF115" s="24"/>
      <c r="AG115" s="24"/>
      <c r="AH115" s="24"/>
      <c r="AI115" s="24"/>
      <c r="AJ115" s="24"/>
      <c r="AK115" s="24">
        <v>55000000</v>
      </c>
      <c r="AL115" s="24"/>
      <c r="AM115" s="24">
        <v>0</v>
      </c>
      <c r="AN115" s="24"/>
      <c r="AO115" s="38">
        <f t="shared" si="10"/>
        <v>69573314</v>
      </c>
      <c r="AP115" s="24"/>
      <c r="AQ115" s="38">
        <f t="shared" si="18"/>
        <v>957926614</v>
      </c>
      <c r="AR115" s="38"/>
      <c r="AS115" s="7"/>
      <c r="AT115" s="7" t="str">
        <f t="shared" si="13"/>
        <v>Cleveland Municipal SD</v>
      </c>
      <c r="AU115" s="7" t="str">
        <f>'Gov Fd BS'!A115</f>
        <v>Cleveland Municipal SD</v>
      </c>
      <c r="AV115" s="7" t="b">
        <f t="shared" si="14"/>
        <v>1</v>
      </c>
      <c r="AW115" s="7" t="str">
        <f t="shared" si="11"/>
        <v>Cuyahoga</v>
      </c>
      <c r="AX115" s="7" t="b">
        <f>C115='Gov Fd BS'!C115</f>
        <v>1</v>
      </c>
    </row>
    <row r="116" spans="1:50">
      <c r="A116" s="12" t="s">
        <v>249</v>
      </c>
      <c r="B116" s="12"/>
      <c r="C116" s="12" t="s">
        <v>18</v>
      </c>
      <c r="D116" s="12"/>
      <c r="E116" s="12">
        <v>46391</v>
      </c>
      <c r="F116" s="24"/>
      <c r="G116" s="24">
        <v>5210837</v>
      </c>
      <c r="H116" s="24"/>
      <c r="I116" s="24">
        <v>0</v>
      </c>
      <c r="J116" s="24"/>
      <c r="K116" s="24">
        <v>10695066</v>
      </c>
      <c r="L116" s="24"/>
      <c r="M116" s="24">
        <v>3328</v>
      </c>
      <c r="N116" s="24"/>
      <c r="O116" s="24">
        <v>943242</v>
      </c>
      <c r="P116" s="24"/>
      <c r="Q116" s="24">
        <v>156040</v>
      </c>
      <c r="R116" s="24"/>
      <c r="S116" s="24">
        <v>10163</v>
      </c>
      <c r="T116" s="24"/>
      <c r="U116" s="24">
        <v>0</v>
      </c>
      <c r="V116" s="24"/>
      <c r="W116" s="24">
        <f>645763+501703</f>
        <v>1147466</v>
      </c>
      <c r="X116" s="24"/>
      <c r="Y116" s="38">
        <f t="shared" si="16"/>
        <v>18166142</v>
      </c>
      <c r="Z116" s="24"/>
      <c r="AA116" s="24">
        <v>0</v>
      </c>
      <c r="AB116" s="24"/>
      <c r="AC116" s="24">
        <v>0</v>
      </c>
      <c r="AD116" s="24"/>
      <c r="AE116" s="24">
        <f>7064995+507265</f>
        <v>7572260</v>
      </c>
      <c r="AF116" s="24"/>
      <c r="AG116" s="24"/>
      <c r="AH116" s="24"/>
      <c r="AI116" s="24"/>
      <c r="AJ116" s="24"/>
      <c r="AK116" s="24">
        <v>10701</v>
      </c>
      <c r="AL116" s="24"/>
      <c r="AM116" s="24">
        <v>0</v>
      </c>
      <c r="AN116" s="24"/>
      <c r="AO116" s="38">
        <f t="shared" si="10"/>
        <v>7582961</v>
      </c>
      <c r="AP116" s="24"/>
      <c r="AQ116" s="38">
        <f t="shared" si="18"/>
        <v>25749103</v>
      </c>
      <c r="AR116" s="38"/>
      <c r="AS116" s="7"/>
      <c r="AT116" s="7" t="str">
        <f t="shared" si="13"/>
        <v>Clinton-Massie Local SD</v>
      </c>
      <c r="AU116" s="7" t="str">
        <f>'Gov Fd BS'!A116</f>
        <v>Clinton-Massie Local SD</v>
      </c>
      <c r="AV116" s="7" t="b">
        <f t="shared" si="14"/>
        <v>1</v>
      </c>
      <c r="AW116" s="7" t="str">
        <f t="shared" si="11"/>
        <v>Clinton</v>
      </c>
      <c r="AX116" s="7" t="b">
        <f>C116='Gov Fd BS'!C116</f>
        <v>1</v>
      </c>
    </row>
    <row r="117" spans="1:50">
      <c r="A117" s="12" t="s">
        <v>429</v>
      </c>
      <c r="B117" s="12"/>
      <c r="C117" s="12" t="s">
        <v>47</v>
      </c>
      <c r="D117" s="12"/>
      <c r="E117" s="12">
        <v>48488</v>
      </c>
      <c r="F117" s="24"/>
      <c r="G117" s="24">
        <v>14013449</v>
      </c>
      <c r="H117" s="24"/>
      <c r="I117" s="24">
        <v>0</v>
      </c>
      <c r="J117" s="24"/>
      <c r="K117" s="24">
        <v>17079390</v>
      </c>
      <c r="L117" s="24"/>
      <c r="M117" s="24">
        <v>69662</v>
      </c>
      <c r="N117" s="24"/>
      <c r="O117" s="24">
        <v>525936</v>
      </c>
      <c r="P117" s="24"/>
      <c r="Q117" s="24">
        <v>320082</v>
      </c>
      <c r="R117" s="24"/>
      <c r="S117" s="24">
        <v>0</v>
      </c>
      <c r="T117" s="24"/>
      <c r="U117" s="24">
        <v>30810</v>
      </c>
      <c r="V117" s="24"/>
      <c r="W117" s="24">
        <f>686514+106072+223235</f>
        <v>1015821</v>
      </c>
      <c r="X117" s="24"/>
      <c r="Y117" s="38">
        <f t="shared" si="16"/>
        <v>33055150</v>
      </c>
      <c r="Z117" s="24"/>
      <c r="AA117" s="24">
        <v>80758</v>
      </c>
      <c r="AB117" s="24"/>
      <c r="AC117" s="24">
        <v>0</v>
      </c>
      <c r="AD117" s="24"/>
      <c r="AE117" s="24">
        <v>0</v>
      </c>
      <c r="AF117" s="24"/>
      <c r="AG117" s="24"/>
      <c r="AH117" s="24"/>
      <c r="AI117" s="24"/>
      <c r="AJ117" s="24"/>
      <c r="AK117" s="24">
        <v>35</v>
      </c>
      <c r="AL117" s="24"/>
      <c r="AM117" s="24">
        <v>0</v>
      </c>
      <c r="AN117" s="24"/>
      <c r="AO117" s="38">
        <f t="shared" si="10"/>
        <v>80793</v>
      </c>
      <c r="AP117" s="24"/>
      <c r="AQ117" s="38">
        <f t="shared" si="18"/>
        <v>33135943</v>
      </c>
      <c r="AR117" s="38"/>
      <c r="AS117" s="7"/>
      <c r="AT117" s="7" t="str">
        <f t="shared" si="13"/>
        <v>Cloverleaf Local SD</v>
      </c>
      <c r="AU117" s="7" t="str">
        <f>'Gov Fd BS'!A117</f>
        <v>Cloverleaf Local SD</v>
      </c>
      <c r="AV117" s="7" t="b">
        <f t="shared" si="14"/>
        <v>1</v>
      </c>
      <c r="AW117" s="7" t="str">
        <f t="shared" si="11"/>
        <v>Medina</v>
      </c>
      <c r="AX117" s="7" t="b">
        <f>C117='Gov Fd BS'!C117</f>
        <v>1</v>
      </c>
    </row>
    <row r="118" spans="1:50">
      <c r="A118" s="12" t="s">
        <v>865</v>
      </c>
      <c r="B118" s="12"/>
      <c r="C118" s="12" t="s">
        <v>79</v>
      </c>
      <c r="D118" s="12"/>
      <c r="E118" s="12">
        <v>45302</v>
      </c>
      <c r="F118" s="24"/>
      <c r="G118" s="24">
        <v>8954944</v>
      </c>
      <c r="H118" s="24"/>
      <c r="I118" s="24">
        <v>0</v>
      </c>
      <c r="J118" s="24"/>
      <c r="K118" s="24">
        <f>12208990+2719521</f>
        <v>14928511</v>
      </c>
      <c r="L118" s="24"/>
      <c r="M118" s="24">
        <v>26591</v>
      </c>
      <c r="N118" s="24"/>
      <c r="O118" s="24">
        <f>776088+48197</f>
        <v>824285</v>
      </c>
      <c r="P118" s="24"/>
      <c r="Q118" s="24">
        <v>343814</v>
      </c>
      <c r="R118" s="24"/>
      <c r="S118" s="24">
        <v>219498</v>
      </c>
      <c r="T118" s="24"/>
      <c r="U118" s="24">
        <v>0</v>
      </c>
      <c r="V118" s="24"/>
      <c r="W118" s="24">
        <f>218294+585141</f>
        <v>803435</v>
      </c>
      <c r="X118" s="24"/>
      <c r="Y118" s="38">
        <f t="shared" si="16"/>
        <v>26101078</v>
      </c>
      <c r="Z118" s="24"/>
      <c r="AA118" s="24">
        <v>1778761</v>
      </c>
      <c r="AB118" s="24"/>
      <c r="AC118" s="24">
        <v>0</v>
      </c>
      <c r="AD118" s="24"/>
      <c r="AE118" s="24"/>
      <c r="AF118" s="24"/>
      <c r="AG118" s="24"/>
      <c r="AH118" s="24"/>
      <c r="AI118" s="24"/>
      <c r="AJ118" s="24"/>
      <c r="AK118" s="24">
        <f>467982+19634</f>
        <v>487616</v>
      </c>
      <c r="AL118" s="24"/>
      <c r="AM118" s="24">
        <v>0</v>
      </c>
      <c r="AN118" s="24"/>
      <c r="AO118" s="38">
        <f t="shared" si="10"/>
        <v>2266377</v>
      </c>
      <c r="AP118" s="24"/>
      <c r="AQ118" s="38">
        <f t="shared" si="18"/>
        <v>28367455</v>
      </c>
      <c r="AR118" s="38"/>
      <c r="AS118" s="7"/>
      <c r="AT118" s="7" t="str">
        <f t="shared" si="13"/>
        <v>Clyde-Green Springs Exempted Village SD</v>
      </c>
      <c r="AU118" s="7" t="str">
        <f>'Gov Fd BS'!A118</f>
        <v>Clyde-Green Springs Exempted Village SD</v>
      </c>
      <c r="AV118" s="7" t="b">
        <f t="shared" si="14"/>
        <v>1</v>
      </c>
      <c r="AW118" s="7" t="str">
        <f t="shared" si="11"/>
        <v>Sandusky</v>
      </c>
      <c r="AX118" s="7" t="b">
        <f>C118='Gov Fd BS'!C118</f>
        <v>1</v>
      </c>
    </row>
    <row r="119" spans="1:50" hidden="1">
      <c r="A119" s="12" t="s">
        <v>685</v>
      </c>
      <c r="B119" s="12"/>
      <c r="C119" s="12" t="s">
        <v>435</v>
      </c>
      <c r="D119" s="12"/>
      <c r="E119" s="12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38">
        <f t="shared" si="16"/>
        <v>0</v>
      </c>
      <c r="Z119" s="24"/>
      <c r="AA119" s="24"/>
      <c r="AB119" s="24"/>
      <c r="AC119" s="24">
        <v>0</v>
      </c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38">
        <f t="shared" si="10"/>
        <v>0</v>
      </c>
      <c r="AP119" s="24"/>
      <c r="AQ119" s="38">
        <f t="shared" si="18"/>
        <v>0</v>
      </c>
      <c r="AR119" s="38"/>
      <c r="AS119" s="7" t="s">
        <v>778</v>
      </c>
      <c r="AT119" s="7" t="str">
        <f t="shared" si="13"/>
        <v>Coldwater Exempted Village SD (CASH)</v>
      </c>
      <c r="AU119" s="7" t="str">
        <f>'Gov Fd BS'!A119</f>
        <v>Coldwater Exempted Village SD (CASH)</v>
      </c>
      <c r="AV119" s="7" t="b">
        <f t="shared" si="14"/>
        <v>1</v>
      </c>
      <c r="AW119" s="7" t="str">
        <f t="shared" si="11"/>
        <v>Mercer</v>
      </c>
      <c r="AX119" s="7" t="b">
        <f>C119='Gov Fd BS'!C119</f>
        <v>1</v>
      </c>
    </row>
    <row r="120" spans="1:50" hidden="1">
      <c r="A120" s="12" t="s">
        <v>636</v>
      </c>
      <c r="B120" s="12"/>
      <c r="C120" s="12" t="s">
        <v>57</v>
      </c>
      <c r="D120" s="12"/>
      <c r="E120" s="12">
        <v>64964</v>
      </c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38">
        <f t="shared" si="16"/>
        <v>0</v>
      </c>
      <c r="Z120" s="24"/>
      <c r="AA120" s="24"/>
      <c r="AB120" s="24"/>
      <c r="AC120" s="24">
        <v>0</v>
      </c>
      <c r="AD120" s="24"/>
      <c r="AE120" s="24"/>
      <c r="AF120" s="24"/>
      <c r="AG120" s="24"/>
      <c r="AH120" s="24"/>
      <c r="AI120" s="24"/>
      <c r="AJ120" s="24"/>
      <c r="AK120" s="24"/>
      <c r="AL120" s="24"/>
      <c r="AM120" s="24">
        <v>0</v>
      </c>
      <c r="AN120" s="24"/>
      <c r="AO120" s="38">
        <f t="shared" si="10"/>
        <v>0</v>
      </c>
      <c r="AP120" s="24"/>
      <c r="AQ120" s="38">
        <f t="shared" si="18"/>
        <v>0</v>
      </c>
      <c r="AR120" s="38"/>
      <c r="AS120" s="7" t="s">
        <v>778</v>
      </c>
      <c r="AT120" s="7" t="str">
        <f t="shared" si="13"/>
        <v>College Corner Local SD (CASH)</v>
      </c>
      <c r="AU120" s="7" t="str">
        <f>'Gov Fd BS'!A120</f>
        <v>College Corner Local SD (CASH)</v>
      </c>
      <c r="AV120" s="7" t="b">
        <f t="shared" si="14"/>
        <v>1</v>
      </c>
      <c r="AW120" s="7" t="str">
        <f t="shared" si="11"/>
        <v>Preble</v>
      </c>
      <c r="AX120" s="7" t="b">
        <f>C120='Gov Fd BS'!C120</f>
        <v>1</v>
      </c>
    </row>
    <row r="121" spans="1:50">
      <c r="A121" s="12" t="s">
        <v>264</v>
      </c>
      <c r="B121" s="12"/>
      <c r="C121" s="12" t="s">
        <v>111</v>
      </c>
      <c r="D121" s="12"/>
      <c r="E121" s="12">
        <v>46516</v>
      </c>
      <c r="F121" s="24"/>
      <c r="G121" s="24">
        <v>2923103</v>
      </c>
      <c r="H121" s="24"/>
      <c r="I121" s="24">
        <v>1445080</v>
      </c>
      <c r="J121" s="24"/>
      <c r="K121" s="24">
        <f>14297+4111336+855920</f>
        <v>4981553</v>
      </c>
      <c r="L121" s="24"/>
      <c r="M121" s="24">
        <v>13663</v>
      </c>
      <c r="N121" s="24"/>
      <c r="O121" s="24">
        <f>921397+6215+59016</f>
        <v>986628</v>
      </c>
      <c r="P121" s="24"/>
      <c r="Q121" s="24">
        <v>100694</v>
      </c>
      <c r="R121" s="24"/>
      <c r="S121" s="24">
        <v>0</v>
      </c>
      <c r="T121" s="24"/>
      <c r="U121" s="24">
        <v>16262</v>
      </c>
      <c r="V121" s="24"/>
      <c r="W121" s="24">
        <f>14414+3090+972+183916</f>
        <v>202392</v>
      </c>
      <c r="X121" s="24"/>
      <c r="Y121" s="38">
        <f t="shared" si="16"/>
        <v>10669375</v>
      </c>
      <c r="Z121" s="24"/>
      <c r="AA121" s="24">
        <v>0</v>
      </c>
      <c r="AB121" s="24"/>
      <c r="AC121" s="24">
        <v>0</v>
      </c>
      <c r="AD121" s="24"/>
      <c r="AE121" s="24">
        <v>0</v>
      </c>
      <c r="AF121" s="24"/>
      <c r="AG121" s="24"/>
      <c r="AH121" s="24"/>
      <c r="AI121" s="24"/>
      <c r="AJ121" s="24"/>
      <c r="AK121" s="24">
        <v>11639</v>
      </c>
      <c r="AL121" s="24"/>
      <c r="AM121" s="24">
        <v>0</v>
      </c>
      <c r="AN121" s="24"/>
      <c r="AO121" s="38">
        <f t="shared" si="10"/>
        <v>11639</v>
      </c>
      <c r="AP121" s="24"/>
      <c r="AQ121" s="38">
        <f t="shared" si="18"/>
        <v>10681014</v>
      </c>
      <c r="AR121" s="38"/>
      <c r="AS121" s="7"/>
      <c r="AT121" s="7" t="str">
        <f t="shared" si="13"/>
        <v>Colonel Crawford Local SD</v>
      </c>
      <c r="AU121" s="7" t="str">
        <f>'Gov Fd BS'!A121</f>
        <v>Colonel Crawford Local SD</v>
      </c>
      <c r="AV121" s="7" t="b">
        <f t="shared" si="14"/>
        <v>1</v>
      </c>
      <c r="AW121" s="7" t="str">
        <f t="shared" si="11"/>
        <v>Crawford</v>
      </c>
      <c r="AX121" s="7" t="b">
        <f>C121='Gov Fd BS'!C121</f>
        <v>1</v>
      </c>
    </row>
    <row r="122" spans="1:50">
      <c r="A122" s="12" t="s">
        <v>395</v>
      </c>
      <c r="B122" s="12"/>
      <c r="C122" s="12" t="s">
        <v>44</v>
      </c>
      <c r="D122" s="12"/>
      <c r="E122" s="12">
        <v>48140</v>
      </c>
      <c r="F122" s="24"/>
      <c r="G122" s="24">
        <v>6160522</v>
      </c>
      <c r="H122" s="24"/>
      <c r="I122" s="24">
        <v>0</v>
      </c>
      <c r="J122" s="24"/>
      <c r="K122" s="24">
        <f>13431+3358057+819926</f>
        <v>4191414</v>
      </c>
      <c r="L122" s="24"/>
      <c r="M122" s="24">
        <v>4220</v>
      </c>
      <c r="N122" s="24"/>
      <c r="O122" s="24">
        <f>516577+52240</f>
        <v>568817</v>
      </c>
      <c r="P122" s="24"/>
      <c r="Q122" s="24">
        <v>88690</v>
      </c>
      <c r="R122" s="24"/>
      <c r="S122" s="24">
        <v>0</v>
      </c>
      <c r="T122" s="24"/>
      <c r="U122" s="24">
        <v>12812</v>
      </c>
      <c r="V122" s="24"/>
      <c r="W122" s="24">
        <f>96335+19169+215598</f>
        <v>331102</v>
      </c>
      <c r="X122" s="24"/>
      <c r="Y122" s="38">
        <f t="shared" si="16"/>
        <v>11357577</v>
      </c>
      <c r="Z122" s="24"/>
      <c r="AA122" s="24">
        <v>30000</v>
      </c>
      <c r="AB122" s="24"/>
      <c r="AC122" s="24">
        <v>0</v>
      </c>
      <c r="AD122" s="24"/>
      <c r="AE122" s="24">
        <v>0</v>
      </c>
      <c r="AF122" s="24"/>
      <c r="AG122" s="24"/>
      <c r="AH122" s="24"/>
      <c r="AI122" s="24"/>
      <c r="AJ122" s="24"/>
      <c r="AK122" s="24">
        <f>54390+39174</f>
        <v>93564</v>
      </c>
      <c r="AL122" s="24"/>
      <c r="AM122" s="24">
        <v>0</v>
      </c>
      <c r="AN122" s="24"/>
      <c r="AO122" s="38">
        <f t="shared" si="10"/>
        <v>123564</v>
      </c>
      <c r="AP122" s="24"/>
      <c r="AQ122" s="38">
        <f t="shared" si="18"/>
        <v>11481141</v>
      </c>
      <c r="AR122" s="38"/>
      <c r="AS122" s="7"/>
      <c r="AT122" s="7" t="str">
        <f t="shared" si="13"/>
        <v>Columbia Local SD</v>
      </c>
      <c r="AU122" s="7" t="str">
        <f>'Gov Fd BS'!A122</f>
        <v>Columbia Local SD</v>
      </c>
      <c r="AV122" s="7" t="b">
        <f t="shared" si="14"/>
        <v>1</v>
      </c>
      <c r="AW122" s="7" t="str">
        <f t="shared" si="11"/>
        <v>Lorain</v>
      </c>
      <c r="AX122" s="7" t="b">
        <f>C122='Gov Fd BS'!C122</f>
        <v>1</v>
      </c>
    </row>
    <row r="123" spans="1:50">
      <c r="A123" s="12" t="s">
        <v>866</v>
      </c>
      <c r="B123" s="12"/>
      <c r="C123" s="12" t="s">
        <v>112</v>
      </c>
      <c r="D123" s="12"/>
      <c r="E123" s="12">
        <v>45328</v>
      </c>
      <c r="F123" s="24"/>
      <c r="G123" s="24">
        <v>3996369</v>
      </c>
      <c r="H123" s="24"/>
      <c r="I123" s="24">
        <v>1534889</v>
      </c>
      <c r="J123" s="24"/>
      <c r="K123" s="24">
        <v>4569226</v>
      </c>
      <c r="L123" s="24"/>
      <c r="M123" s="24">
        <v>63712</v>
      </c>
      <c r="N123" s="24"/>
      <c r="O123" s="24">
        <v>1076943</v>
      </c>
      <c r="P123" s="24"/>
      <c r="Q123" s="24">
        <v>208239</v>
      </c>
      <c r="R123" s="24"/>
      <c r="S123" s="24">
        <v>0</v>
      </c>
      <c r="T123" s="24"/>
      <c r="U123" s="24">
        <v>32497</v>
      </c>
      <c r="V123" s="24"/>
      <c r="W123" s="24">
        <f>247118+9697</f>
        <v>256815</v>
      </c>
      <c r="X123" s="24"/>
      <c r="Y123" s="38">
        <f t="shared" si="16"/>
        <v>11738690</v>
      </c>
      <c r="Z123" s="24"/>
      <c r="AA123" s="24">
        <v>0</v>
      </c>
      <c r="AB123" s="24"/>
      <c r="AC123" s="24">
        <v>0</v>
      </c>
      <c r="AD123" s="24"/>
      <c r="AE123" s="24">
        <f>6250000+965000</f>
        <v>7215000</v>
      </c>
      <c r="AF123" s="24"/>
      <c r="AG123" s="24"/>
      <c r="AH123" s="24"/>
      <c r="AI123" s="24"/>
      <c r="AJ123" s="24"/>
      <c r="AK123" s="24">
        <v>0</v>
      </c>
      <c r="AL123" s="24"/>
      <c r="AM123" s="24">
        <v>0</v>
      </c>
      <c r="AN123" s="24"/>
      <c r="AO123" s="38">
        <f t="shared" si="10"/>
        <v>7215000</v>
      </c>
      <c r="AP123" s="24"/>
      <c r="AQ123" s="38">
        <f t="shared" si="18"/>
        <v>18953690</v>
      </c>
      <c r="AR123" s="38"/>
      <c r="AS123" s="7"/>
      <c r="AT123" s="7" t="str">
        <f t="shared" si="13"/>
        <v>Columbiana Exempted Village SD</v>
      </c>
      <c r="AU123" s="7" t="str">
        <f>'Gov Fd BS'!A123</f>
        <v>Columbiana Exempted Village SD</v>
      </c>
      <c r="AV123" s="7" t="b">
        <f t="shared" si="14"/>
        <v>1</v>
      </c>
      <c r="AW123" s="7" t="str">
        <f t="shared" si="11"/>
        <v>Columbiana</v>
      </c>
      <c r="AX123" s="7" t="b">
        <f>C123='Gov Fd BS'!C123</f>
        <v>1</v>
      </c>
    </row>
    <row r="124" spans="1:50">
      <c r="A124" s="12" t="s">
        <v>307</v>
      </c>
      <c r="B124" s="12"/>
      <c r="C124" s="12" t="s">
        <v>27</v>
      </c>
      <c r="D124" s="12"/>
      <c r="E124" s="12">
        <v>43802</v>
      </c>
      <c r="F124" s="24"/>
      <c r="G124" s="24">
        <v>395233955</v>
      </c>
      <c r="H124" s="24"/>
      <c r="I124" s="24">
        <v>0</v>
      </c>
      <c r="J124" s="24"/>
      <c r="K124" s="24">
        <v>509549317</v>
      </c>
      <c r="L124" s="24"/>
      <c r="M124" s="24">
        <v>1559590</v>
      </c>
      <c r="N124" s="24"/>
      <c r="O124" s="24">
        <v>4079906</v>
      </c>
      <c r="P124" s="24"/>
      <c r="Q124" s="24">
        <v>1632971</v>
      </c>
      <c r="R124" s="24"/>
      <c r="S124" s="24">
        <v>38140408</v>
      </c>
      <c r="T124" s="24"/>
      <c r="U124" s="24">
        <v>1833713</v>
      </c>
      <c r="V124" s="24"/>
      <c r="W124" s="24">
        <f>7239141+5278258+636223</f>
        <v>13153622</v>
      </c>
      <c r="X124" s="24"/>
      <c r="Y124" s="38">
        <f t="shared" si="16"/>
        <v>965183482</v>
      </c>
      <c r="Z124" s="24"/>
      <c r="AA124" s="24">
        <v>32927852</v>
      </c>
      <c r="AB124" s="24"/>
      <c r="AC124" s="24">
        <v>0</v>
      </c>
      <c r="AD124" s="24"/>
      <c r="AE124" s="24">
        <f>9865000+20500000+312010</f>
        <v>30677010</v>
      </c>
      <c r="AF124" s="24"/>
      <c r="AG124" s="24"/>
      <c r="AH124" s="24"/>
      <c r="AI124" s="24"/>
      <c r="AJ124" s="24"/>
      <c r="AK124" s="24">
        <v>157500</v>
      </c>
      <c r="AL124" s="24"/>
      <c r="AM124" s="24">
        <v>0</v>
      </c>
      <c r="AN124" s="24"/>
      <c r="AO124" s="38">
        <f t="shared" si="10"/>
        <v>63762362</v>
      </c>
      <c r="AP124" s="24"/>
      <c r="AQ124" s="38">
        <f t="shared" si="18"/>
        <v>1028945844</v>
      </c>
      <c r="AR124" s="38"/>
      <c r="AS124" s="7"/>
      <c r="AT124" s="7" t="str">
        <f t="shared" si="13"/>
        <v>Columbus City SD</v>
      </c>
      <c r="AU124" s="7" t="str">
        <f>'Gov Fd BS'!A124</f>
        <v>Columbus City SD</v>
      </c>
      <c r="AV124" s="7" t="b">
        <f t="shared" si="14"/>
        <v>1</v>
      </c>
      <c r="AW124" s="7" t="str">
        <f t="shared" si="11"/>
        <v>Franklin</v>
      </c>
      <c r="AX124" s="7" t="b">
        <f>C124='Gov Fd BS'!C124</f>
        <v>1</v>
      </c>
    </row>
    <row r="125" spans="1:50" hidden="1">
      <c r="A125" s="12" t="s">
        <v>637</v>
      </c>
      <c r="B125" s="12"/>
      <c r="C125" s="12" t="s">
        <v>482</v>
      </c>
      <c r="D125" s="12"/>
      <c r="E125" s="12">
        <v>49312</v>
      </c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38">
        <f t="shared" si="16"/>
        <v>0</v>
      </c>
      <c r="Z125" s="24"/>
      <c r="AA125" s="24"/>
      <c r="AB125" s="24"/>
      <c r="AC125" s="24">
        <v>0</v>
      </c>
      <c r="AD125" s="24"/>
      <c r="AE125" s="24"/>
      <c r="AF125" s="24"/>
      <c r="AG125" s="24"/>
      <c r="AH125" s="24"/>
      <c r="AI125" s="24"/>
      <c r="AJ125" s="24"/>
      <c r="AK125" s="24"/>
      <c r="AL125" s="24"/>
      <c r="AM125" s="24">
        <v>0</v>
      </c>
      <c r="AN125" s="24"/>
      <c r="AO125" s="38">
        <f t="shared" si="10"/>
        <v>0</v>
      </c>
      <c r="AP125" s="24"/>
      <c r="AQ125" s="38">
        <f t="shared" si="18"/>
        <v>0</v>
      </c>
      <c r="AR125" s="38"/>
      <c r="AS125" s="7" t="s">
        <v>778</v>
      </c>
      <c r="AT125" s="7" t="str">
        <f t="shared" si="13"/>
        <v>Columbus Grove Local SD (CASH)</v>
      </c>
      <c r="AU125" s="7" t="str">
        <f>'Gov Fd BS'!A125</f>
        <v>Columbus Grove Local SD (CASH)</v>
      </c>
      <c r="AV125" s="7" t="b">
        <f t="shared" si="14"/>
        <v>1</v>
      </c>
      <c r="AW125" s="7" t="str">
        <f t="shared" si="11"/>
        <v>Putnam</v>
      </c>
      <c r="AX125" s="7" t="b">
        <f>C125='Gov Fd BS'!C125</f>
        <v>1</v>
      </c>
    </row>
    <row r="126" spans="1:50">
      <c r="A126" s="12" t="s">
        <v>208</v>
      </c>
      <c r="B126" s="12"/>
      <c r="C126" s="12" t="s">
        <v>12</v>
      </c>
      <c r="D126" s="12"/>
      <c r="E126" s="12">
        <v>43810</v>
      </c>
      <c r="F126" s="24"/>
      <c r="G126" s="24">
        <v>4354128</v>
      </c>
      <c r="H126" s="24"/>
      <c r="I126" s="24">
        <v>0</v>
      </c>
      <c r="J126" s="24"/>
      <c r="K126" s="24">
        <v>16597083</v>
      </c>
      <c r="L126" s="24"/>
      <c r="M126" s="24">
        <v>11233</v>
      </c>
      <c r="N126" s="24"/>
      <c r="O126" s="24">
        <v>161399</v>
      </c>
      <c r="P126" s="24"/>
      <c r="Q126" s="24">
        <v>67178</v>
      </c>
      <c r="R126" s="24"/>
      <c r="S126" s="24">
        <v>0</v>
      </c>
      <c r="T126" s="24"/>
      <c r="U126" s="24">
        <v>96385</v>
      </c>
      <c r="V126" s="24"/>
      <c r="W126" s="24">
        <f>135672+776+187095</f>
        <v>323543</v>
      </c>
      <c r="X126" s="24"/>
      <c r="Y126" s="38">
        <f t="shared" si="16"/>
        <v>21610949</v>
      </c>
      <c r="Z126" s="24"/>
      <c r="AA126" s="24">
        <v>0</v>
      </c>
      <c r="AB126" s="24"/>
      <c r="AC126" s="24">
        <v>0</v>
      </c>
      <c r="AD126" s="24"/>
      <c r="AE126" s="24">
        <f>6342160+216279</f>
        <v>6558439</v>
      </c>
      <c r="AF126" s="24"/>
      <c r="AG126" s="24"/>
      <c r="AH126" s="24"/>
      <c r="AI126" s="24"/>
      <c r="AJ126" s="24"/>
      <c r="AK126" s="24">
        <v>0</v>
      </c>
      <c r="AL126" s="24"/>
      <c r="AM126" s="24">
        <v>0</v>
      </c>
      <c r="AN126" s="24"/>
      <c r="AO126" s="38">
        <f t="shared" si="10"/>
        <v>6558439</v>
      </c>
      <c r="AP126" s="24"/>
      <c r="AQ126" s="38">
        <f t="shared" si="18"/>
        <v>28169388</v>
      </c>
      <c r="AR126" s="38"/>
      <c r="AS126" s="7"/>
      <c r="AT126" s="7" t="str">
        <f t="shared" si="13"/>
        <v>Conneaut Area City SD</v>
      </c>
      <c r="AU126" s="7" t="str">
        <f>'Gov Fd BS'!A126</f>
        <v>Conneaut Area City SD</v>
      </c>
      <c r="AV126" s="7" t="b">
        <f t="shared" si="14"/>
        <v>1</v>
      </c>
      <c r="AW126" s="7" t="str">
        <f t="shared" si="11"/>
        <v>Ashtabula</v>
      </c>
      <c r="AX126" s="7" t="b">
        <f>C126='Gov Fd BS'!C126</f>
        <v>1</v>
      </c>
    </row>
    <row r="127" spans="1:50">
      <c r="A127" s="12" t="s">
        <v>351</v>
      </c>
      <c r="B127" s="12"/>
      <c r="C127" s="12" t="s">
        <v>352</v>
      </c>
      <c r="D127" s="12"/>
      <c r="E127" s="12">
        <v>47548</v>
      </c>
      <c r="F127" s="24"/>
      <c r="G127" s="24">
        <v>2288111</v>
      </c>
      <c r="H127" s="24"/>
      <c r="I127" s="24">
        <v>0</v>
      </c>
      <c r="J127" s="24"/>
      <c r="K127" s="24">
        <f>500+2697740+938421</f>
        <v>3636661</v>
      </c>
      <c r="L127" s="24"/>
      <c r="M127" s="24">
        <v>1582</v>
      </c>
      <c r="N127" s="24"/>
      <c r="O127" s="24">
        <v>402491</v>
      </c>
      <c r="P127" s="24"/>
      <c r="Q127" s="24">
        <v>52764</v>
      </c>
      <c r="R127" s="24"/>
      <c r="S127" s="24">
        <v>0</v>
      </c>
      <c r="T127" s="24"/>
      <c r="U127" s="24">
        <v>9482</v>
      </c>
      <c r="V127" s="24"/>
      <c r="W127" s="24">
        <f>80434+19151</f>
        <v>99585</v>
      </c>
      <c r="X127" s="24"/>
      <c r="Y127" s="38">
        <f t="shared" si="16"/>
        <v>6490676</v>
      </c>
      <c r="Z127" s="24"/>
      <c r="AA127" s="24">
        <v>50000</v>
      </c>
      <c r="AB127" s="24"/>
      <c r="AC127" s="24">
        <v>0</v>
      </c>
      <c r="AD127" s="24"/>
      <c r="AE127" s="24">
        <v>0</v>
      </c>
      <c r="AF127" s="24"/>
      <c r="AG127" s="24"/>
      <c r="AH127" s="24"/>
      <c r="AI127" s="24"/>
      <c r="AJ127" s="24"/>
      <c r="AK127" s="24">
        <v>0</v>
      </c>
      <c r="AL127" s="24"/>
      <c r="AM127" s="24">
        <v>0</v>
      </c>
      <c r="AN127" s="24"/>
      <c r="AO127" s="38">
        <f t="shared" si="10"/>
        <v>50000</v>
      </c>
      <c r="AP127" s="24"/>
      <c r="AQ127" s="38">
        <f t="shared" si="18"/>
        <v>6540676</v>
      </c>
      <c r="AR127" s="38"/>
      <c r="AS127" s="7"/>
      <c r="AT127" s="7" t="str">
        <f t="shared" si="13"/>
        <v>Conotton Valley Union Local SD</v>
      </c>
      <c r="AU127" s="7" t="str">
        <f>'Gov Fd BS'!A127</f>
        <v>Conotton Valley Union Local SD</v>
      </c>
      <c r="AV127" s="7" t="b">
        <f t="shared" si="14"/>
        <v>1</v>
      </c>
      <c r="AW127" s="7" t="str">
        <f t="shared" si="11"/>
        <v>Harrison</v>
      </c>
      <c r="AX127" s="7" t="b">
        <f>C127='Gov Fd BS'!C127</f>
        <v>1</v>
      </c>
    </row>
    <row r="128" spans="1:50" hidden="1">
      <c r="A128" s="12" t="s">
        <v>709</v>
      </c>
      <c r="B128" s="12"/>
      <c r="C128" s="12" t="s">
        <v>482</v>
      </c>
      <c r="D128" s="12"/>
      <c r="E128" s="12">
        <v>49320</v>
      </c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38">
        <f t="shared" si="16"/>
        <v>0</v>
      </c>
      <c r="Z128" s="24"/>
      <c r="AA128" s="24"/>
      <c r="AB128" s="24"/>
      <c r="AC128" s="24">
        <v>0</v>
      </c>
      <c r="AD128" s="24"/>
      <c r="AE128" s="24"/>
      <c r="AF128" s="24"/>
      <c r="AG128" s="24"/>
      <c r="AH128" s="24"/>
      <c r="AI128" s="24"/>
      <c r="AJ128" s="24"/>
      <c r="AK128" s="24"/>
      <c r="AL128" s="24"/>
      <c r="AM128" s="24">
        <v>0</v>
      </c>
      <c r="AN128" s="24"/>
      <c r="AO128" s="38">
        <f t="shared" si="10"/>
        <v>0</v>
      </c>
      <c r="AP128" s="24"/>
      <c r="AQ128" s="38">
        <f t="shared" si="18"/>
        <v>0</v>
      </c>
      <c r="AR128" s="38"/>
      <c r="AS128" s="7" t="s">
        <v>778</v>
      </c>
      <c r="AT128" s="7" t="str">
        <f t="shared" si="13"/>
        <v>Continental Local SD (CASH) Two year Audit</v>
      </c>
      <c r="AU128" s="7" t="str">
        <f>'Gov Fd BS'!A128</f>
        <v>Continental Local SD (CASH) Two year Audit</v>
      </c>
      <c r="AV128" s="7" t="b">
        <f t="shared" si="14"/>
        <v>1</v>
      </c>
      <c r="AW128" s="7" t="str">
        <f t="shared" si="11"/>
        <v>Putnam</v>
      </c>
      <c r="AX128" s="7" t="b">
        <f>C128='Gov Fd BS'!C128</f>
        <v>1</v>
      </c>
    </row>
    <row r="129" spans="1:50">
      <c r="A129" s="12" t="s">
        <v>524</v>
      </c>
      <c r="B129" s="12"/>
      <c r="C129" s="12" t="s">
        <v>63</v>
      </c>
      <c r="D129" s="12"/>
      <c r="E129" s="12">
        <v>49981</v>
      </c>
      <c r="F129" s="24"/>
      <c r="G129" s="24">
        <v>26518028</v>
      </c>
      <c r="H129" s="24"/>
      <c r="I129" s="24">
        <v>0</v>
      </c>
      <c r="J129" s="24"/>
      <c r="K129" s="24">
        <v>10195067</v>
      </c>
      <c r="L129" s="24"/>
      <c r="M129" s="24">
        <v>24220</v>
      </c>
      <c r="N129" s="24"/>
      <c r="O129" s="24">
        <v>541969</v>
      </c>
      <c r="P129" s="24"/>
      <c r="Q129" s="24">
        <v>238373</v>
      </c>
      <c r="R129" s="24"/>
      <c r="S129" s="24">
        <v>0</v>
      </c>
      <c r="T129" s="24"/>
      <c r="U129" s="24">
        <v>80189</v>
      </c>
      <c r="V129" s="24"/>
      <c r="W129" s="24">
        <f>327557+31232+560988</f>
        <v>919777</v>
      </c>
      <c r="X129" s="24"/>
      <c r="Y129" s="38">
        <f t="shared" si="16"/>
        <v>38517623</v>
      </c>
      <c r="Z129" s="24"/>
      <c r="AA129" s="24">
        <v>69000</v>
      </c>
      <c r="AB129" s="24"/>
      <c r="AC129" s="24">
        <v>0</v>
      </c>
      <c r="AD129" s="24"/>
      <c r="AE129" s="24">
        <v>0</v>
      </c>
      <c r="AF129" s="24"/>
      <c r="AG129" s="24"/>
      <c r="AH129" s="24"/>
      <c r="AI129" s="24"/>
      <c r="AJ129" s="24"/>
      <c r="AK129" s="24">
        <v>12914</v>
      </c>
      <c r="AL129" s="24"/>
      <c r="AM129" s="24">
        <v>0</v>
      </c>
      <c r="AN129" s="24"/>
      <c r="AO129" s="38">
        <f t="shared" si="10"/>
        <v>81914</v>
      </c>
      <c r="AP129" s="24"/>
      <c r="AQ129" s="38">
        <f t="shared" si="18"/>
        <v>38599537</v>
      </c>
      <c r="AR129" s="38"/>
      <c r="AS129" s="7"/>
      <c r="AT129" s="7" t="str">
        <f t="shared" si="13"/>
        <v>Copley-Fairlawn City SD</v>
      </c>
      <c r="AU129" s="7" t="str">
        <f>'Gov Fd BS'!A129</f>
        <v>Copley-Fairlawn City SD</v>
      </c>
      <c r="AV129" s="7" t="b">
        <f t="shared" si="14"/>
        <v>1</v>
      </c>
      <c r="AW129" s="7" t="str">
        <f t="shared" si="11"/>
        <v>Summit</v>
      </c>
      <c r="AX129" s="7" t="b">
        <f>C129='Gov Fd BS'!C129</f>
        <v>1</v>
      </c>
    </row>
    <row r="130" spans="1:50">
      <c r="A130" s="12" t="s">
        <v>345</v>
      </c>
      <c r="B130" s="12"/>
      <c r="C130" s="12" t="s">
        <v>33</v>
      </c>
      <c r="D130" s="12"/>
      <c r="E130" s="12">
        <v>47431</v>
      </c>
      <c r="F130" s="24"/>
      <c r="G130" s="24">
        <v>2129527</v>
      </c>
      <c r="H130" s="24"/>
      <c r="I130" s="24">
        <v>1399348</v>
      </c>
      <c r="J130" s="24"/>
      <c r="K130" s="24">
        <v>7269095</v>
      </c>
      <c r="L130" s="24"/>
      <c r="M130" s="24">
        <v>41266</v>
      </c>
      <c r="N130" s="24"/>
      <c r="O130" s="24">
        <v>374864</v>
      </c>
      <c r="P130" s="24"/>
      <c r="Q130" s="24">
        <v>91373</v>
      </c>
      <c r="R130" s="24"/>
      <c r="S130" s="24">
        <v>6220</v>
      </c>
      <c r="T130" s="24"/>
      <c r="U130" s="24">
        <v>58334</v>
      </c>
      <c r="V130" s="24"/>
      <c r="W130" s="24">
        <f>9080+128769</f>
        <v>137849</v>
      </c>
      <c r="X130" s="24"/>
      <c r="Y130" s="38">
        <f t="shared" si="16"/>
        <v>11507876</v>
      </c>
      <c r="Z130" s="24"/>
      <c r="AA130" s="24">
        <v>21420</v>
      </c>
      <c r="AB130" s="24"/>
      <c r="AC130" s="24">
        <v>0</v>
      </c>
      <c r="AD130" s="24"/>
      <c r="AE130" s="24">
        <v>35000</v>
      </c>
      <c r="AF130" s="24"/>
      <c r="AG130" s="24"/>
      <c r="AH130" s="24"/>
      <c r="AI130" s="24"/>
      <c r="AJ130" s="24"/>
      <c r="AK130" s="24">
        <v>255</v>
      </c>
      <c r="AL130" s="24"/>
      <c r="AM130" s="24">
        <v>0</v>
      </c>
      <c r="AN130" s="24"/>
      <c r="AO130" s="38">
        <f t="shared" si="10"/>
        <v>56675</v>
      </c>
      <c r="AP130" s="24"/>
      <c r="AQ130" s="38">
        <f t="shared" si="18"/>
        <v>11564551</v>
      </c>
      <c r="AR130" s="38"/>
      <c r="AS130" s="7"/>
      <c r="AT130" s="7" t="str">
        <f t="shared" si="13"/>
        <v>Cory-Rawson Local SD</v>
      </c>
      <c r="AU130" s="7" t="str">
        <f>'Gov Fd BS'!A130</f>
        <v>Cory-Rawson Local SD</v>
      </c>
      <c r="AV130" s="7" t="b">
        <f t="shared" si="14"/>
        <v>1</v>
      </c>
      <c r="AW130" s="7" t="str">
        <f t="shared" si="11"/>
        <v>Hancock</v>
      </c>
      <c r="AX130" s="7" t="b">
        <f>C130='Gov Fd BS'!C130</f>
        <v>1</v>
      </c>
    </row>
    <row r="131" spans="1:50">
      <c r="A131" s="12" t="s">
        <v>259</v>
      </c>
      <c r="B131" s="12"/>
      <c r="C131" s="12" t="s">
        <v>19</v>
      </c>
      <c r="D131" s="12"/>
      <c r="E131" s="12">
        <v>43828</v>
      </c>
      <c r="F131" s="24"/>
      <c r="G131" s="24">
        <v>4993134</v>
      </c>
      <c r="H131" s="24"/>
      <c r="I131" s="24">
        <v>0</v>
      </c>
      <c r="J131" s="24"/>
      <c r="K131" s="24">
        <f>14341186+3049167</f>
        <v>17390353</v>
      </c>
      <c r="L131" s="24"/>
      <c r="M131" s="24">
        <v>139695</v>
      </c>
      <c r="N131" s="24"/>
      <c r="O131" s="24">
        <f>987149+26337</f>
        <v>1013486</v>
      </c>
      <c r="P131" s="24"/>
      <c r="Q131" s="24">
        <v>181848</v>
      </c>
      <c r="R131" s="24"/>
      <c r="S131" s="24">
        <v>0</v>
      </c>
      <c r="T131" s="24"/>
      <c r="U131" s="24">
        <v>0</v>
      </c>
      <c r="V131" s="24"/>
      <c r="W131" s="24">
        <f>171173+263861</f>
        <v>435034</v>
      </c>
      <c r="X131" s="24"/>
      <c r="Y131" s="38">
        <f t="shared" si="16"/>
        <v>24153550</v>
      </c>
      <c r="Z131" s="24"/>
      <c r="AA131" s="24">
        <v>139210</v>
      </c>
      <c r="AB131" s="24"/>
      <c r="AC131" s="24">
        <v>0</v>
      </c>
      <c r="AD131" s="24"/>
      <c r="AE131" s="24">
        <v>9445000</v>
      </c>
      <c r="AF131" s="24"/>
      <c r="AG131" s="24"/>
      <c r="AH131" s="24"/>
      <c r="AI131" s="24"/>
      <c r="AJ131" s="24"/>
      <c r="AK131" s="24">
        <f>196669+2795</f>
        <v>199464</v>
      </c>
      <c r="AL131" s="24"/>
      <c r="AM131" s="24">
        <v>0</v>
      </c>
      <c r="AN131" s="24"/>
      <c r="AO131" s="38">
        <f t="shared" si="10"/>
        <v>9783674</v>
      </c>
      <c r="AP131" s="24"/>
      <c r="AQ131" s="38">
        <f t="shared" si="18"/>
        <v>33937224</v>
      </c>
      <c r="AR131" s="38"/>
      <c r="AS131" s="7"/>
      <c r="AT131" s="7" t="str">
        <f t="shared" si="13"/>
        <v>Coshocton City SD</v>
      </c>
      <c r="AU131" s="7" t="str">
        <f>'Gov Fd BS'!A131</f>
        <v>Coshocton City SD</v>
      </c>
      <c r="AV131" s="7" t="b">
        <f t="shared" si="14"/>
        <v>1</v>
      </c>
      <c r="AW131" s="7" t="str">
        <f t="shared" si="11"/>
        <v>Coshocton</v>
      </c>
      <c r="AX131" s="7" t="b">
        <f>C131='Gov Fd BS'!C131</f>
        <v>1</v>
      </c>
    </row>
    <row r="132" spans="1:50">
      <c r="A132" s="12" t="s">
        <v>629</v>
      </c>
      <c r="B132" s="12"/>
      <c r="C132" s="12" t="s">
        <v>63</v>
      </c>
      <c r="D132" s="12"/>
      <c r="E132" s="12"/>
      <c r="F132" s="24"/>
      <c r="G132" s="24">
        <v>9871931</v>
      </c>
      <c r="H132" s="24"/>
      <c r="I132" s="24">
        <v>0</v>
      </c>
      <c r="J132" s="24"/>
      <c r="K132" s="24">
        <v>8538638</v>
      </c>
      <c r="L132" s="24"/>
      <c r="M132" s="24">
        <v>0</v>
      </c>
      <c r="N132" s="24"/>
      <c r="O132" s="24">
        <v>4673904</v>
      </c>
      <c r="P132" s="24"/>
      <c r="Q132" s="24">
        <v>214564</v>
      </c>
      <c r="R132" s="24"/>
      <c r="S132" s="24">
        <v>0</v>
      </c>
      <c r="T132" s="24"/>
      <c r="U132" s="24">
        <v>16855</v>
      </c>
      <c r="V132" s="24"/>
      <c r="W132" s="24">
        <f>69894+7024+316466</f>
        <v>393384</v>
      </c>
      <c r="X132" s="24"/>
      <c r="Y132" s="38">
        <f t="shared" si="16"/>
        <v>23709276</v>
      </c>
      <c r="Z132" s="24"/>
      <c r="AA132" s="24">
        <v>43434</v>
      </c>
      <c r="AB132" s="24"/>
      <c r="AC132" s="24">
        <v>0</v>
      </c>
      <c r="AD132" s="24"/>
      <c r="AE132" s="24">
        <v>0</v>
      </c>
      <c r="AF132" s="24"/>
      <c r="AG132" s="24"/>
      <c r="AH132" s="24"/>
      <c r="AI132" s="24"/>
      <c r="AJ132" s="24"/>
      <c r="AK132" s="24">
        <v>1500000</v>
      </c>
      <c r="AL132" s="24"/>
      <c r="AM132" s="24">
        <v>0</v>
      </c>
      <c r="AN132" s="24"/>
      <c r="AO132" s="38">
        <f t="shared" si="10"/>
        <v>1543434</v>
      </c>
      <c r="AP132" s="24"/>
      <c r="AQ132" s="38">
        <f t="shared" si="18"/>
        <v>25252710</v>
      </c>
      <c r="AR132" s="38"/>
      <c r="AS132" s="7"/>
      <c r="AT132" s="7" t="str">
        <f t="shared" si="13"/>
        <v>Coventry Local SD</v>
      </c>
      <c r="AU132" s="7" t="str">
        <f>'Gov Fd BS'!A132</f>
        <v>Coventry Local SD</v>
      </c>
      <c r="AV132" s="7" t="b">
        <f t="shared" si="14"/>
        <v>1</v>
      </c>
      <c r="AW132" s="7" t="str">
        <f t="shared" si="11"/>
        <v>Summit</v>
      </c>
      <c r="AX132" s="7" t="b">
        <f>C132='Gov Fd BS'!C132</f>
        <v>1</v>
      </c>
    </row>
    <row r="133" spans="1:50">
      <c r="A133" s="12" t="s">
        <v>867</v>
      </c>
      <c r="B133" s="12"/>
      <c r="C133" s="12" t="s">
        <v>48</v>
      </c>
      <c r="D133" s="12"/>
      <c r="E133" s="12">
        <v>45336</v>
      </c>
      <c r="F133" s="24"/>
      <c r="G133" s="24">
        <v>1818008</v>
      </c>
      <c r="H133" s="24"/>
      <c r="I133" s="24">
        <v>1607107</v>
      </c>
      <c r="J133" s="24"/>
      <c r="K133" s="24">
        <f>3390116+803055</f>
        <v>4193171</v>
      </c>
      <c r="L133" s="24"/>
      <c r="M133" s="24">
        <v>4224</v>
      </c>
      <c r="N133" s="24"/>
      <c r="O133" s="24">
        <f>462025+38128</f>
        <v>500153</v>
      </c>
      <c r="P133" s="24"/>
      <c r="Q133" s="24">
        <v>189162</v>
      </c>
      <c r="R133" s="24"/>
      <c r="S133" s="24">
        <v>0</v>
      </c>
      <c r="T133" s="24"/>
      <c r="U133" s="24">
        <v>111115</v>
      </c>
      <c r="V133" s="24"/>
      <c r="W133" s="24">
        <f>19879+5529+193813</f>
        <v>219221</v>
      </c>
      <c r="X133" s="24"/>
      <c r="Y133" s="38">
        <f t="shared" si="16"/>
        <v>8642161</v>
      </c>
      <c r="Z133" s="24"/>
      <c r="AA133" s="24">
        <v>8</v>
      </c>
      <c r="AB133" s="24"/>
      <c r="AC133" s="24">
        <v>0</v>
      </c>
      <c r="AD133" s="24"/>
      <c r="AE133" s="24">
        <v>118100</v>
      </c>
      <c r="AF133" s="24"/>
      <c r="AG133" s="24"/>
      <c r="AH133" s="24"/>
      <c r="AI133" s="24"/>
      <c r="AJ133" s="24"/>
      <c r="AK133" s="24">
        <v>0</v>
      </c>
      <c r="AL133" s="24"/>
      <c r="AM133" s="24">
        <v>0</v>
      </c>
      <c r="AN133" s="24"/>
      <c r="AO133" s="38">
        <f t="shared" si="10"/>
        <v>118108</v>
      </c>
      <c r="AP133" s="24"/>
      <c r="AQ133" s="38">
        <f t="shared" si="18"/>
        <v>8760269</v>
      </c>
      <c r="AR133" s="38"/>
      <c r="AS133" s="7"/>
      <c r="AT133" s="7" t="str">
        <f t="shared" si="13"/>
        <v>Covington Exempted Village SD</v>
      </c>
      <c r="AU133" s="7" t="str">
        <f>'Gov Fd BS'!A133</f>
        <v>Covington Exempted Village SD</v>
      </c>
      <c r="AV133" s="7" t="b">
        <f t="shared" si="14"/>
        <v>1</v>
      </c>
      <c r="AW133" s="7" t="str">
        <f t="shared" si="11"/>
        <v>Miami</v>
      </c>
      <c r="AX133" s="7" t="b">
        <f>C133='Gov Fd BS'!C133</f>
        <v>1</v>
      </c>
    </row>
    <row r="134" spans="1:50" hidden="1">
      <c r="A134" s="12" t="s">
        <v>982</v>
      </c>
      <c r="B134" s="12"/>
      <c r="C134" s="12" t="s">
        <v>111</v>
      </c>
      <c r="D134" s="12"/>
      <c r="E134" s="12">
        <v>45344</v>
      </c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38">
        <f t="shared" si="16"/>
        <v>0</v>
      </c>
      <c r="Z134" s="24"/>
      <c r="AA134" s="24"/>
      <c r="AB134" s="24"/>
      <c r="AC134" s="24">
        <v>0</v>
      </c>
      <c r="AD134" s="24"/>
      <c r="AE134" s="24"/>
      <c r="AF134" s="24"/>
      <c r="AG134" s="24"/>
      <c r="AH134" s="24"/>
      <c r="AI134" s="24"/>
      <c r="AJ134" s="24"/>
      <c r="AK134" s="24"/>
      <c r="AL134" s="24"/>
      <c r="AM134" s="24">
        <v>0</v>
      </c>
      <c r="AN134" s="24"/>
      <c r="AO134" s="38">
        <f t="shared" si="10"/>
        <v>0</v>
      </c>
      <c r="AP134" s="24"/>
      <c r="AQ134" s="38">
        <f t="shared" si="18"/>
        <v>0</v>
      </c>
      <c r="AR134" s="38"/>
      <c r="AS134" s="7" t="s">
        <v>903</v>
      </c>
      <c r="AT134" s="7" t="str">
        <f t="shared" si="13"/>
        <v>Crestline Exempted Village SD (CASH)</v>
      </c>
      <c r="AU134" s="7" t="str">
        <f>'Gov Fd BS'!A134</f>
        <v>Crestline Exempted Village SD (CASH)</v>
      </c>
      <c r="AV134" s="7" t="b">
        <f t="shared" si="14"/>
        <v>1</v>
      </c>
      <c r="AW134" s="7" t="str">
        <f t="shared" si="11"/>
        <v>Crawford</v>
      </c>
      <c r="AX134" s="7" t="b">
        <f>C134='Gov Fd BS'!C134</f>
        <v>1</v>
      </c>
    </row>
    <row r="135" spans="1:50">
      <c r="A135" s="12" t="s">
        <v>253</v>
      </c>
      <c r="B135" s="12"/>
      <c r="C135" s="12" t="s">
        <v>112</v>
      </c>
      <c r="D135" s="12"/>
      <c r="E135" s="12">
        <v>46433</v>
      </c>
      <c r="F135" s="24"/>
      <c r="G135" s="24">
        <v>2559105</v>
      </c>
      <c r="H135" s="24"/>
      <c r="I135" s="24">
        <v>1076029</v>
      </c>
      <c r="J135" s="24"/>
      <c r="K135" s="24">
        <v>6104955</v>
      </c>
      <c r="L135" s="24"/>
      <c r="M135" s="24">
        <v>34151</v>
      </c>
      <c r="N135" s="24"/>
      <c r="O135" s="24">
        <v>2448281</v>
      </c>
      <c r="P135" s="24"/>
      <c r="Q135" s="24">
        <v>184499</v>
      </c>
      <c r="R135" s="24"/>
      <c r="S135" s="24">
        <v>0</v>
      </c>
      <c r="T135" s="24"/>
      <c r="U135" s="24">
        <v>12100</v>
      </c>
      <c r="V135" s="24"/>
      <c r="W135" s="24">
        <f>367227+2525+274394</f>
        <v>644146</v>
      </c>
      <c r="X135" s="24"/>
      <c r="Y135" s="38">
        <f t="shared" si="16"/>
        <v>13063266</v>
      </c>
      <c r="Z135" s="24"/>
      <c r="AA135" s="24">
        <v>700</v>
      </c>
      <c r="AB135" s="24"/>
      <c r="AC135" s="24">
        <v>0</v>
      </c>
      <c r="AD135" s="24"/>
      <c r="AE135" s="24">
        <v>4800000</v>
      </c>
      <c r="AF135" s="24"/>
      <c r="AG135" s="24"/>
      <c r="AH135" s="24"/>
      <c r="AI135" s="24"/>
      <c r="AJ135" s="24"/>
      <c r="AK135" s="24">
        <v>0</v>
      </c>
      <c r="AL135" s="24"/>
      <c r="AM135" s="24">
        <v>0</v>
      </c>
      <c r="AN135" s="24"/>
      <c r="AO135" s="38">
        <f t="shared" si="10"/>
        <v>4800700</v>
      </c>
      <c r="AP135" s="24"/>
      <c r="AQ135" s="38">
        <f t="shared" si="18"/>
        <v>17863966</v>
      </c>
      <c r="AR135" s="38"/>
      <c r="AS135" s="7"/>
      <c r="AT135" s="7" t="str">
        <f t="shared" si="13"/>
        <v>Crestview Local SD</v>
      </c>
      <c r="AU135" s="7" t="str">
        <f>'Gov Fd BS'!A135</f>
        <v>Crestview Local SD</v>
      </c>
      <c r="AV135" s="7" t="b">
        <f t="shared" si="14"/>
        <v>1</v>
      </c>
      <c r="AW135" s="7" t="str">
        <f t="shared" si="11"/>
        <v>Columbiana</v>
      </c>
      <c r="AX135" s="7" t="b">
        <f>C135='Gov Fd BS'!C135</f>
        <v>1</v>
      </c>
    </row>
    <row r="136" spans="1:50">
      <c r="A136" s="12" t="s">
        <v>253</v>
      </c>
      <c r="B136" s="12"/>
      <c r="C136" s="12" t="s">
        <v>110</v>
      </c>
      <c r="D136" s="12"/>
      <c r="E136" s="12">
        <v>49429</v>
      </c>
      <c r="F136" s="24"/>
      <c r="G136" s="24">
        <v>3051478</v>
      </c>
      <c r="H136" s="24"/>
      <c r="I136" s="24">
        <v>0</v>
      </c>
      <c r="J136" s="24"/>
      <c r="K136" s="24">
        <f>7223804+1777262</f>
        <v>9001066</v>
      </c>
      <c r="L136" s="24"/>
      <c r="M136" s="24">
        <v>142416</v>
      </c>
      <c r="N136" s="24"/>
      <c r="O136" s="24">
        <f>80963+46378</f>
        <v>127341</v>
      </c>
      <c r="P136" s="24"/>
      <c r="Q136" s="24">
        <v>203807</v>
      </c>
      <c r="R136" s="24"/>
      <c r="S136" s="24">
        <v>0</v>
      </c>
      <c r="T136" s="24"/>
      <c r="U136" s="24">
        <v>24138</v>
      </c>
      <c r="V136" s="24"/>
      <c r="W136" s="24">
        <f>8514+1497+211371</f>
        <v>221382</v>
      </c>
      <c r="X136" s="24"/>
      <c r="Y136" s="38">
        <f t="shared" si="16"/>
        <v>12771628</v>
      </c>
      <c r="Z136" s="24"/>
      <c r="AA136" s="7">
        <v>13000</v>
      </c>
      <c r="AB136" s="24"/>
      <c r="AC136" s="24">
        <v>0</v>
      </c>
      <c r="AD136" s="24"/>
      <c r="AE136" s="24">
        <v>0</v>
      </c>
      <c r="AF136" s="24"/>
      <c r="AG136" s="24"/>
      <c r="AH136" s="24"/>
      <c r="AI136" s="24"/>
      <c r="AJ136" s="24"/>
      <c r="AK136" s="24">
        <v>0</v>
      </c>
      <c r="AL136" s="24"/>
      <c r="AM136" s="24">
        <v>0</v>
      </c>
      <c r="AN136" s="24"/>
      <c r="AO136" s="38">
        <f t="shared" si="10"/>
        <v>13000</v>
      </c>
      <c r="AP136" s="24"/>
      <c r="AQ136" s="38">
        <f t="shared" si="18"/>
        <v>12784628</v>
      </c>
      <c r="AR136" s="38"/>
      <c r="AS136" s="7"/>
      <c r="AT136" s="7" t="str">
        <f t="shared" si="13"/>
        <v>Crestview Local SD</v>
      </c>
      <c r="AU136" s="7" t="str">
        <f>'Gov Fd BS'!A136</f>
        <v>Crestview Local SD</v>
      </c>
      <c r="AV136" s="7" t="b">
        <f t="shared" si="14"/>
        <v>1</v>
      </c>
      <c r="AW136" s="7" t="str">
        <f t="shared" si="11"/>
        <v>Richland</v>
      </c>
      <c r="AX136" s="7" t="b">
        <f>C136='Gov Fd BS'!C136</f>
        <v>1</v>
      </c>
    </row>
    <row r="137" spans="1:50" hidden="1">
      <c r="A137" s="12" t="s">
        <v>686</v>
      </c>
      <c r="B137" s="49"/>
      <c r="C137" s="12" t="s">
        <v>67</v>
      </c>
      <c r="D137" s="49"/>
      <c r="E137" s="49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1">
        <f t="shared" si="16"/>
        <v>0</v>
      </c>
      <c r="Z137" s="50"/>
      <c r="AA137" s="50"/>
      <c r="AB137" s="50"/>
      <c r="AC137" s="24">
        <v>0</v>
      </c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38">
        <f t="shared" si="10"/>
        <v>0</v>
      </c>
      <c r="AP137" s="50"/>
      <c r="AQ137" s="38">
        <f t="shared" si="18"/>
        <v>0</v>
      </c>
      <c r="AR137" s="38"/>
      <c r="AS137" s="7" t="s">
        <v>778</v>
      </c>
      <c r="AT137" s="7" t="str">
        <f t="shared" si="13"/>
        <v>Crestview Local SD (CASH)</v>
      </c>
      <c r="AU137" s="7" t="str">
        <f>'Gov Fd BS'!A137</f>
        <v>Crestview Local SD (CASH)</v>
      </c>
      <c r="AV137" s="7" t="b">
        <f t="shared" si="14"/>
        <v>1</v>
      </c>
      <c r="AW137" s="7" t="str">
        <f t="shared" si="11"/>
        <v>Van Wert</v>
      </c>
      <c r="AX137" s="7" t="b">
        <f>C137='Gov Fd BS'!C137</f>
        <v>1</v>
      </c>
    </row>
    <row r="138" spans="1:50">
      <c r="A138" s="12" t="s">
        <v>758</v>
      </c>
      <c r="B138" s="12"/>
      <c r="C138" s="12" t="s">
        <v>56</v>
      </c>
      <c r="D138" s="12"/>
      <c r="E138" s="12">
        <v>49189</v>
      </c>
      <c r="F138" s="24"/>
      <c r="G138" s="24">
        <v>5718958</v>
      </c>
      <c r="H138" s="24"/>
      <c r="I138" s="24">
        <v>0</v>
      </c>
      <c r="J138" s="24"/>
      <c r="K138" s="24">
        <v>15585652</v>
      </c>
      <c r="L138" s="24"/>
      <c r="M138" s="24">
        <v>18571</v>
      </c>
      <c r="N138" s="24"/>
      <c r="O138" s="24">
        <v>1195438</v>
      </c>
      <c r="P138" s="24"/>
      <c r="Q138" s="24">
        <v>252572</v>
      </c>
      <c r="R138" s="24"/>
      <c r="S138" s="24">
        <v>0</v>
      </c>
      <c r="T138" s="24"/>
      <c r="U138" s="24">
        <v>29639</v>
      </c>
      <c r="V138" s="24"/>
      <c r="W138" s="24">
        <f>254222+313043+3540</f>
        <v>570805</v>
      </c>
      <c r="X138" s="24"/>
      <c r="Y138" s="38">
        <f t="shared" si="16"/>
        <v>23371635</v>
      </c>
      <c r="Z138" s="24"/>
      <c r="AA138" s="24">
        <v>115801</v>
      </c>
      <c r="AB138" s="24"/>
      <c r="AC138" s="24">
        <v>0</v>
      </c>
      <c r="AD138" s="24"/>
      <c r="AE138" s="24">
        <f>5799978+248795</f>
        <v>6048773</v>
      </c>
      <c r="AF138" s="24"/>
      <c r="AG138" s="24"/>
      <c r="AH138" s="24"/>
      <c r="AI138" s="24"/>
      <c r="AJ138" s="24"/>
      <c r="AK138" s="24">
        <v>5603</v>
      </c>
      <c r="AL138" s="24"/>
      <c r="AM138" s="24">
        <v>0</v>
      </c>
      <c r="AN138" s="24"/>
      <c r="AO138" s="38">
        <f t="shared" si="10"/>
        <v>6170177</v>
      </c>
      <c r="AP138" s="24"/>
      <c r="AQ138" s="38">
        <f t="shared" si="18"/>
        <v>29541812</v>
      </c>
      <c r="AR138" s="38"/>
      <c r="AS138" s="7"/>
      <c r="AT138" s="7" t="str">
        <f t="shared" si="13"/>
        <v xml:space="preserve">Crestwood Local SD </v>
      </c>
      <c r="AU138" s="7" t="str">
        <f>'Gov Fd BS'!A138</f>
        <v xml:space="preserve">Crestwood Local SD </v>
      </c>
      <c r="AV138" s="7" t="b">
        <f t="shared" si="14"/>
        <v>1</v>
      </c>
      <c r="AW138" s="7" t="str">
        <f t="shared" si="11"/>
        <v>Portage</v>
      </c>
      <c r="AX138" s="7" t="b">
        <f>C138='Gov Fd BS'!C138</f>
        <v>1</v>
      </c>
    </row>
    <row r="139" spans="1:50">
      <c r="A139" s="12" t="s">
        <v>868</v>
      </c>
      <c r="B139" s="12"/>
      <c r="C139" s="12" t="s">
        <v>466</v>
      </c>
      <c r="D139" s="12"/>
      <c r="E139" s="12"/>
      <c r="F139" s="24"/>
      <c r="G139" s="24">
        <v>906712</v>
      </c>
      <c r="H139" s="24"/>
      <c r="I139" s="24">
        <v>0</v>
      </c>
      <c r="J139" s="24"/>
      <c r="K139" s="24">
        <f>2542305+7422336</f>
        <v>9964641</v>
      </c>
      <c r="L139" s="24"/>
      <c r="M139" s="24">
        <v>15268</v>
      </c>
      <c r="N139" s="24"/>
      <c r="O139" s="24">
        <f>601407+2775</f>
        <v>604182</v>
      </c>
      <c r="P139" s="24"/>
      <c r="Q139" s="24">
        <v>214036</v>
      </c>
      <c r="R139" s="24"/>
      <c r="S139" s="24">
        <v>0</v>
      </c>
      <c r="T139" s="24"/>
      <c r="U139" s="24">
        <v>0</v>
      </c>
      <c r="V139" s="24"/>
      <c r="W139" s="24">
        <f>146623+136193</f>
        <v>282816</v>
      </c>
      <c r="X139" s="24"/>
      <c r="Y139" s="38">
        <f t="shared" si="16"/>
        <v>11987655</v>
      </c>
      <c r="Z139" s="24"/>
      <c r="AA139" s="24">
        <v>0</v>
      </c>
      <c r="AB139" s="24"/>
      <c r="AC139" s="24">
        <v>0</v>
      </c>
      <c r="AD139" s="24"/>
      <c r="AE139" s="24">
        <v>685000</v>
      </c>
      <c r="AF139" s="24"/>
      <c r="AG139" s="24"/>
      <c r="AH139" s="24"/>
      <c r="AI139" s="24"/>
      <c r="AJ139" s="24"/>
      <c r="AK139" s="24">
        <v>50015</v>
      </c>
      <c r="AL139" s="24"/>
      <c r="AM139" s="24">
        <v>0</v>
      </c>
      <c r="AN139" s="24"/>
      <c r="AO139" s="38">
        <f t="shared" ref="AO139:AO144" si="19">SUM(AA139:AM139)</f>
        <v>735015</v>
      </c>
      <c r="AP139" s="24"/>
      <c r="AQ139" s="38">
        <f t="shared" si="18"/>
        <v>12722670</v>
      </c>
      <c r="AR139" s="38"/>
      <c r="AS139" s="7"/>
      <c r="AT139" s="7" t="str">
        <f t="shared" si="13"/>
        <v>Crooksville Exempted Village SD</v>
      </c>
      <c r="AU139" s="7" t="str">
        <f>'Gov Fd BS'!A139</f>
        <v>Crooksville Exempted Village SD</v>
      </c>
      <c r="AV139" s="7" t="b">
        <f t="shared" si="14"/>
        <v>1</v>
      </c>
      <c r="AW139" s="7" t="str">
        <f t="shared" si="11"/>
        <v>Perry</v>
      </c>
      <c r="AX139" s="7" t="b">
        <f>C139='Gov Fd BS'!C139</f>
        <v>1</v>
      </c>
    </row>
    <row r="140" spans="1:50">
      <c r="A140" s="12" t="s">
        <v>687</v>
      </c>
      <c r="B140" s="12"/>
      <c r="C140" s="12" t="s">
        <v>63</v>
      </c>
      <c r="D140" s="12"/>
      <c r="E140" s="12">
        <v>43836</v>
      </c>
      <c r="F140" s="24"/>
      <c r="G140" s="24">
        <v>26077314</v>
      </c>
      <c r="H140" s="24"/>
      <c r="I140" s="24">
        <v>0</v>
      </c>
      <c r="J140" s="24"/>
      <c r="K140" s="24">
        <f>500+18276310+4518330</f>
        <v>22795140</v>
      </c>
      <c r="L140" s="24"/>
      <c r="M140" s="24">
        <v>9761</v>
      </c>
      <c r="N140" s="24"/>
      <c r="O140" s="24">
        <f>2263145+24980+154931</f>
        <v>2443056</v>
      </c>
      <c r="P140" s="24"/>
      <c r="Q140" s="24">
        <v>443063</v>
      </c>
      <c r="R140" s="24"/>
      <c r="S140" s="24">
        <v>0</v>
      </c>
      <c r="T140" s="24"/>
      <c r="U140" s="24">
        <v>0</v>
      </c>
      <c r="V140" s="24"/>
      <c r="W140" s="24">
        <f>284272+9556+388927+677422</f>
        <v>1360177</v>
      </c>
      <c r="X140" s="24"/>
      <c r="Y140" s="38">
        <f t="shared" si="16"/>
        <v>53128511</v>
      </c>
      <c r="Z140" s="24"/>
      <c r="AA140" s="24">
        <v>26364</v>
      </c>
      <c r="AB140" s="24"/>
      <c r="AC140" s="24">
        <v>0</v>
      </c>
      <c r="AD140" s="24"/>
      <c r="AE140" s="24">
        <v>0</v>
      </c>
      <c r="AF140" s="24"/>
      <c r="AG140" s="24"/>
      <c r="AH140" s="24"/>
      <c r="AI140" s="24"/>
      <c r="AJ140" s="24"/>
      <c r="AK140" s="24">
        <v>46455</v>
      </c>
      <c r="AL140" s="24"/>
      <c r="AM140" s="24">
        <v>0</v>
      </c>
      <c r="AN140" s="24"/>
      <c r="AO140" s="38">
        <f t="shared" si="19"/>
        <v>72819</v>
      </c>
      <c r="AP140" s="24"/>
      <c r="AQ140" s="38">
        <f t="shared" si="18"/>
        <v>53201330</v>
      </c>
      <c r="AR140" s="38"/>
      <c r="AS140" s="7"/>
      <c r="AT140" s="7" t="str">
        <f t="shared" si="13"/>
        <v xml:space="preserve">Cuyahoga Falls City SD </v>
      </c>
      <c r="AU140" s="7" t="str">
        <f>'Gov Fd BS'!A140</f>
        <v xml:space="preserve">Cuyahoga Falls City SD </v>
      </c>
      <c r="AV140" s="7" t="b">
        <f t="shared" si="14"/>
        <v>1</v>
      </c>
      <c r="AW140" s="7" t="str">
        <f t="shared" ref="AW140:AW203" si="20">C140</f>
        <v>Summit</v>
      </c>
      <c r="AX140" s="7" t="b">
        <f>C140='Gov Fd BS'!C140</f>
        <v>1</v>
      </c>
    </row>
    <row r="141" spans="1:50">
      <c r="A141" s="12" t="s">
        <v>759</v>
      </c>
      <c r="B141" s="12"/>
      <c r="C141" s="12" t="s">
        <v>20</v>
      </c>
      <c r="D141" s="12"/>
      <c r="E141" s="12">
        <v>46557</v>
      </c>
      <c r="F141" s="24"/>
      <c r="G141" s="24">
        <v>8578863</v>
      </c>
      <c r="H141" s="24"/>
      <c r="I141" s="24">
        <v>0</v>
      </c>
      <c r="J141" s="24"/>
      <c r="K141" s="24">
        <v>5381909</v>
      </c>
      <c r="L141" s="24"/>
      <c r="M141" s="24">
        <v>11745</v>
      </c>
      <c r="N141" s="24"/>
      <c r="O141" s="24">
        <v>542796</v>
      </c>
      <c r="P141" s="24"/>
      <c r="Q141" s="24">
        <v>143383</v>
      </c>
      <c r="R141" s="24"/>
      <c r="S141" s="24">
        <v>0</v>
      </c>
      <c r="T141" s="24"/>
      <c r="U141" s="24">
        <v>5876</v>
      </c>
      <c r="V141" s="24"/>
      <c r="W141" s="24">
        <f>154473+256079+159712</f>
        <v>570264</v>
      </c>
      <c r="X141" s="24"/>
      <c r="Y141" s="38">
        <f t="shared" si="16"/>
        <v>15234836</v>
      </c>
      <c r="Z141" s="24"/>
      <c r="AA141" s="24">
        <v>276340</v>
      </c>
      <c r="AB141" s="24"/>
      <c r="AC141" s="24">
        <v>0</v>
      </c>
      <c r="AD141" s="24"/>
      <c r="AE141" s="24">
        <v>0</v>
      </c>
      <c r="AF141" s="24"/>
      <c r="AG141" s="24"/>
      <c r="AH141" s="24"/>
      <c r="AI141" s="24"/>
      <c r="AJ141" s="24"/>
      <c r="AK141" s="24">
        <v>0</v>
      </c>
      <c r="AL141" s="24"/>
      <c r="AM141" s="24">
        <v>0</v>
      </c>
      <c r="AN141" s="24"/>
      <c r="AO141" s="38">
        <f t="shared" si="19"/>
        <v>276340</v>
      </c>
      <c r="AP141" s="24"/>
      <c r="AQ141" s="38">
        <f t="shared" si="18"/>
        <v>15511176</v>
      </c>
      <c r="AR141" s="38"/>
      <c r="AS141" s="7"/>
      <c r="AT141" s="7" t="str">
        <f t="shared" ref="AT141:AT204" si="21">A141</f>
        <v xml:space="preserve">Cuyahoga Heights Local SD </v>
      </c>
      <c r="AU141" s="7" t="str">
        <f>'Gov Fd BS'!A141</f>
        <v xml:space="preserve">Cuyahoga Heights Local SD </v>
      </c>
      <c r="AV141" s="7" t="b">
        <f t="shared" ref="AV141:AV204" si="22">AT141=AU141</f>
        <v>1</v>
      </c>
      <c r="AW141" s="7" t="str">
        <f t="shared" si="20"/>
        <v>Cuyahoga</v>
      </c>
      <c r="AX141" s="7" t="b">
        <f>C141='Gov Fd BS'!C141</f>
        <v>1</v>
      </c>
    </row>
    <row r="142" spans="1:50">
      <c r="A142" s="12" t="s">
        <v>635</v>
      </c>
      <c r="B142" s="12"/>
      <c r="C142" s="12" t="s">
        <v>71</v>
      </c>
      <c r="D142" s="12"/>
      <c r="E142" s="12">
        <v>48934</v>
      </c>
      <c r="F142" s="24"/>
      <c r="G142" s="24">
        <v>2682219</v>
      </c>
      <c r="H142" s="24"/>
      <c r="I142" s="24">
        <v>959203</v>
      </c>
      <c r="J142" s="24"/>
      <c r="K142" s="24">
        <f>9133+3829629+990743</f>
        <v>4829505</v>
      </c>
      <c r="L142" s="24"/>
      <c r="M142" s="24">
        <v>2367</v>
      </c>
      <c r="N142" s="24"/>
      <c r="O142" s="24">
        <f>420703+1200</f>
        <v>421903</v>
      </c>
      <c r="P142" s="24"/>
      <c r="Q142" s="24">
        <v>209269</v>
      </c>
      <c r="R142" s="24"/>
      <c r="S142" s="24">
        <v>0</v>
      </c>
      <c r="T142" s="24"/>
      <c r="U142" s="24">
        <v>2575</v>
      </c>
      <c r="V142" s="24"/>
      <c r="W142" s="24">
        <f>54601+2147+138718</f>
        <v>195466</v>
      </c>
      <c r="X142" s="24"/>
      <c r="Y142" s="38">
        <f t="shared" si="16"/>
        <v>9302507</v>
      </c>
      <c r="Z142" s="24"/>
      <c r="AA142" s="24">
        <v>87223</v>
      </c>
      <c r="AB142" s="24"/>
      <c r="AC142" s="24">
        <v>0</v>
      </c>
      <c r="AD142" s="24"/>
      <c r="AE142" s="24">
        <v>0</v>
      </c>
      <c r="AF142" s="24"/>
      <c r="AG142" s="24">
        <v>0</v>
      </c>
      <c r="AH142" s="24"/>
      <c r="AI142" s="24">
        <v>0</v>
      </c>
      <c r="AJ142" s="24"/>
      <c r="AK142" s="24">
        <v>0</v>
      </c>
      <c r="AL142" s="24"/>
      <c r="AM142" s="24">
        <v>0</v>
      </c>
      <c r="AN142" s="24"/>
      <c r="AO142" s="38">
        <f t="shared" si="19"/>
        <v>87223</v>
      </c>
      <c r="AP142" s="24"/>
      <c r="AQ142" s="38">
        <f t="shared" si="18"/>
        <v>9389730</v>
      </c>
      <c r="AR142" s="38"/>
      <c r="AS142" s="7"/>
      <c r="AT142" s="7" t="str">
        <f t="shared" si="21"/>
        <v>Dalton Local SD</v>
      </c>
      <c r="AU142" s="7" t="str">
        <f>'Gov Fd BS'!A142</f>
        <v>Dalton Local SD</v>
      </c>
      <c r="AV142" s="7" t="b">
        <f t="shared" si="22"/>
        <v>1</v>
      </c>
      <c r="AW142" s="7" t="str">
        <f t="shared" si="20"/>
        <v>Wayne</v>
      </c>
      <c r="AX142" s="7" t="b">
        <f>C142='Gov Fd BS'!C142</f>
        <v>1</v>
      </c>
    </row>
    <row r="143" spans="1:50" hidden="1">
      <c r="A143" s="12" t="s">
        <v>838</v>
      </c>
      <c r="B143" s="12"/>
      <c r="C143" s="12" t="s">
        <v>53</v>
      </c>
      <c r="D143" s="12"/>
      <c r="E143" s="12">
        <v>48934</v>
      </c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38">
        <f t="shared" si="16"/>
        <v>0</v>
      </c>
      <c r="Z143" s="24"/>
      <c r="AA143" s="24"/>
      <c r="AB143" s="24"/>
      <c r="AC143" s="24">
        <v>0</v>
      </c>
      <c r="AD143" s="24"/>
      <c r="AE143" s="24"/>
      <c r="AF143" s="24"/>
      <c r="AG143" s="24"/>
      <c r="AH143" s="24"/>
      <c r="AI143" s="24"/>
      <c r="AJ143" s="24"/>
      <c r="AK143" s="24"/>
      <c r="AL143" s="24"/>
      <c r="AM143" s="24">
        <v>0</v>
      </c>
      <c r="AN143" s="24"/>
      <c r="AO143" s="38">
        <f t="shared" si="19"/>
        <v>0</v>
      </c>
      <c r="AP143" s="24"/>
      <c r="AQ143" s="38">
        <f t="shared" si="18"/>
        <v>0</v>
      </c>
      <c r="AR143" s="38"/>
      <c r="AS143" s="7" t="s">
        <v>837</v>
      </c>
      <c r="AT143" s="7" t="str">
        <f t="shared" si="21"/>
        <v>Danbury Local SD (CASH)</v>
      </c>
      <c r="AU143" s="7" t="str">
        <f>'Gov Fd BS'!A143</f>
        <v>Danbury Local SD (CASH)</v>
      </c>
      <c r="AV143" s="7" t="b">
        <f t="shared" si="22"/>
        <v>1</v>
      </c>
      <c r="AW143" s="7" t="str">
        <f t="shared" si="20"/>
        <v>Ottawa</v>
      </c>
      <c r="AX143" s="7" t="b">
        <f>C143='Gov Fd BS'!C143</f>
        <v>1</v>
      </c>
    </row>
    <row r="144" spans="1:50" hidden="1">
      <c r="A144" s="12" t="s">
        <v>688</v>
      </c>
      <c r="B144" s="12"/>
      <c r="C144" s="12" t="s">
        <v>40</v>
      </c>
      <c r="D144" s="12"/>
      <c r="E144" s="12">
        <v>47837</v>
      </c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38">
        <f t="shared" si="16"/>
        <v>0</v>
      </c>
      <c r="Z144" s="24"/>
      <c r="AA144" s="24"/>
      <c r="AB144" s="24"/>
      <c r="AC144" s="24">
        <v>0</v>
      </c>
      <c r="AD144" s="24"/>
      <c r="AE144" s="24"/>
      <c r="AF144" s="24"/>
      <c r="AG144" s="24"/>
      <c r="AH144" s="24"/>
      <c r="AI144" s="24"/>
      <c r="AJ144" s="24"/>
      <c r="AK144" s="24"/>
      <c r="AL144" s="24"/>
      <c r="AM144" s="24">
        <v>0</v>
      </c>
      <c r="AN144" s="24"/>
      <c r="AO144" s="38">
        <f t="shared" si="19"/>
        <v>0</v>
      </c>
      <c r="AP144" s="24"/>
      <c r="AQ144" s="38">
        <f t="shared" si="18"/>
        <v>0</v>
      </c>
      <c r="AR144" s="38"/>
      <c r="AS144" s="7" t="s">
        <v>839</v>
      </c>
      <c r="AT144" s="7" t="str">
        <f t="shared" si="21"/>
        <v>Danville Local SD (CASH)</v>
      </c>
      <c r="AU144" s="7" t="str">
        <f>'Gov Fd BS'!A144</f>
        <v>Danville Local SD (CASH)</v>
      </c>
      <c r="AV144" s="7" t="b">
        <f t="shared" si="22"/>
        <v>1</v>
      </c>
      <c r="AW144" s="7" t="str">
        <f t="shared" si="20"/>
        <v>Knox</v>
      </c>
      <c r="AX144" s="7" t="b">
        <f>C144='Gov Fd BS'!C144</f>
        <v>1</v>
      </c>
    </row>
    <row r="145" spans="1:50">
      <c r="A145" s="12" t="s">
        <v>378</v>
      </c>
      <c r="B145" s="12"/>
      <c r="C145" s="12" t="s">
        <v>377</v>
      </c>
      <c r="D145" s="12"/>
      <c r="E145" s="12">
        <v>47928</v>
      </c>
      <c r="F145" s="24"/>
      <c r="G145" s="24">
        <v>1260155</v>
      </c>
      <c r="H145" s="24"/>
      <c r="I145" s="24">
        <v>0</v>
      </c>
      <c r="J145" s="24"/>
      <c r="K145" s="24">
        <v>10962051</v>
      </c>
      <c r="L145" s="24"/>
      <c r="M145" s="24">
        <v>17662</v>
      </c>
      <c r="N145" s="24"/>
      <c r="O145" s="24">
        <v>908058</v>
      </c>
      <c r="P145" s="24"/>
      <c r="Q145" s="24">
        <v>170037</v>
      </c>
      <c r="R145" s="24"/>
      <c r="S145" s="24">
        <v>0</v>
      </c>
      <c r="T145" s="24"/>
      <c r="U145" s="24">
        <v>50000</v>
      </c>
      <c r="V145" s="24"/>
      <c r="W145" s="24">
        <f>28293+6885+141418</f>
        <v>176596</v>
      </c>
      <c r="X145" s="24"/>
      <c r="Y145" s="38">
        <f t="shared" si="16"/>
        <v>13544559</v>
      </c>
      <c r="Z145" s="24"/>
      <c r="AA145" s="24">
        <v>279127</v>
      </c>
      <c r="AB145" s="24"/>
      <c r="AC145" s="24">
        <v>0</v>
      </c>
      <c r="AD145" s="24"/>
      <c r="AE145" s="24">
        <f>940000+705000</f>
        <v>1645000</v>
      </c>
      <c r="AF145" s="24"/>
      <c r="AG145" s="24">
        <v>0</v>
      </c>
      <c r="AH145" s="24"/>
      <c r="AI145" s="24">
        <v>0</v>
      </c>
      <c r="AJ145" s="24"/>
      <c r="AK145" s="24">
        <v>6058</v>
      </c>
      <c r="AL145" s="24"/>
      <c r="AM145" s="24">
        <v>0</v>
      </c>
      <c r="AN145" s="24"/>
      <c r="AO145" s="38">
        <f>SUM(AA145:AM145)</f>
        <v>1930185</v>
      </c>
      <c r="AP145" s="24"/>
      <c r="AQ145" s="38">
        <f t="shared" si="18"/>
        <v>15474744</v>
      </c>
      <c r="AR145" s="38"/>
      <c r="AS145" s="7"/>
      <c r="AT145" s="7" t="str">
        <f t="shared" si="21"/>
        <v>Dawson-Bryant Local SD</v>
      </c>
      <c r="AU145" s="7" t="str">
        <f>'Gov Fd BS'!A145</f>
        <v>Dawson-Bryant Local SD</v>
      </c>
      <c r="AV145" s="7" t="b">
        <f t="shared" si="22"/>
        <v>1</v>
      </c>
      <c r="AW145" s="7" t="str">
        <f t="shared" si="20"/>
        <v>Lawrence</v>
      </c>
      <c r="AX145" s="7" t="b">
        <f>C145='Gov Fd BS'!C145</f>
        <v>1</v>
      </c>
    </row>
    <row r="146" spans="1:50">
      <c r="A146" s="12" t="s">
        <v>442</v>
      </c>
      <c r="B146" s="12"/>
      <c r="C146" s="12" t="s">
        <v>50</v>
      </c>
      <c r="D146" s="12"/>
      <c r="E146" s="12">
        <v>43844</v>
      </c>
      <c r="F146" s="24"/>
      <c r="G146" s="24">
        <v>72603902</v>
      </c>
      <c r="H146" s="24"/>
      <c r="I146" s="24">
        <v>0</v>
      </c>
      <c r="J146" s="24"/>
      <c r="K146" s="24">
        <v>220348538</v>
      </c>
      <c r="L146" s="24"/>
      <c r="M146" s="24">
        <v>1774828</v>
      </c>
      <c r="N146" s="24"/>
      <c r="O146" s="24">
        <v>2764195</v>
      </c>
      <c r="P146" s="24"/>
      <c r="Q146" s="24">
        <v>1261321</v>
      </c>
      <c r="R146" s="24"/>
      <c r="S146" s="24">
        <v>0</v>
      </c>
      <c r="T146" s="24"/>
      <c r="U146" s="24">
        <v>25081</v>
      </c>
      <c r="V146" s="24"/>
      <c r="W146" s="24">
        <f>608231+1415548+5202441</f>
        <v>7226220</v>
      </c>
      <c r="X146" s="24"/>
      <c r="Y146" s="38">
        <f t="shared" si="16"/>
        <v>306004085</v>
      </c>
      <c r="Z146" s="24"/>
      <c r="AA146" s="24">
        <v>1500000</v>
      </c>
      <c r="AB146" s="24"/>
      <c r="AC146" s="24">
        <v>0</v>
      </c>
      <c r="AD146" s="24"/>
      <c r="AE146" s="24">
        <v>0</v>
      </c>
      <c r="AF146" s="24"/>
      <c r="AG146" s="24">
        <v>0</v>
      </c>
      <c r="AH146" s="24"/>
      <c r="AI146" s="24">
        <v>0</v>
      </c>
      <c r="AJ146" s="24"/>
      <c r="AK146" s="24">
        <v>0</v>
      </c>
      <c r="AL146" s="24"/>
      <c r="AM146" s="24">
        <v>0</v>
      </c>
      <c r="AN146" s="24"/>
      <c r="AO146" s="38">
        <f t="shared" ref="AO146:AO151" si="23">AK146+AE146+AA146</f>
        <v>1500000</v>
      </c>
      <c r="AP146" s="24"/>
      <c r="AQ146" s="38">
        <f t="shared" si="18"/>
        <v>307504085</v>
      </c>
      <c r="AR146" s="38"/>
      <c r="AS146" s="7" t="s">
        <v>843</v>
      </c>
      <c r="AT146" s="7" t="str">
        <f t="shared" si="21"/>
        <v>Dayton City SD</v>
      </c>
      <c r="AU146" s="7" t="str">
        <f>'Gov Fd BS'!A146</f>
        <v>Dayton City SD</v>
      </c>
      <c r="AV146" s="7" t="b">
        <f t="shared" si="22"/>
        <v>1</v>
      </c>
      <c r="AW146" s="7" t="str">
        <f t="shared" si="20"/>
        <v>Montgomery</v>
      </c>
      <c r="AX146" s="7" t="b">
        <f>C146='Gov Fd BS'!C146</f>
        <v>1</v>
      </c>
    </row>
    <row r="147" spans="1:50">
      <c r="A147" s="12" t="s">
        <v>689</v>
      </c>
      <c r="B147" s="12"/>
      <c r="C147" s="12" t="s">
        <v>32</v>
      </c>
      <c r="D147" s="12"/>
      <c r="E147" s="12">
        <v>43851</v>
      </c>
      <c r="F147" s="24"/>
      <c r="G147" s="24">
        <v>8680163</v>
      </c>
      <c r="H147" s="24"/>
      <c r="I147" s="24">
        <v>0</v>
      </c>
      <c r="J147" s="24"/>
      <c r="K147" s="24">
        <v>6461503</v>
      </c>
      <c r="L147" s="24"/>
      <c r="M147" s="24">
        <v>36681</v>
      </c>
      <c r="N147" s="24"/>
      <c r="O147" s="24">
        <v>145316</v>
      </c>
      <c r="P147" s="24"/>
      <c r="Q147" s="24">
        <v>125550</v>
      </c>
      <c r="R147" s="24"/>
      <c r="S147" s="24">
        <v>546467</v>
      </c>
      <c r="T147" s="24"/>
      <c r="U147" s="24">
        <v>0</v>
      </c>
      <c r="V147" s="24"/>
      <c r="W147" s="24">
        <f>224800+169261</f>
        <v>394061</v>
      </c>
      <c r="X147" s="24"/>
      <c r="Y147" s="38">
        <f t="shared" si="16"/>
        <v>16389741</v>
      </c>
      <c r="Z147" s="24"/>
      <c r="AA147" s="24">
        <v>69978</v>
      </c>
      <c r="AB147" s="24"/>
      <c r="AC147" s="24">
        <v>0</v>
      </c>
      <c r="AD147" s="24"/>
      <c r="AE147" s="24">
        <v>0</v>
      </c>
      <c r="AF147" s="24"/>
      <c r="AG147" s="24">
        <v>0</v>
      </c>
      <c r="AH147" s="24"/>
      <c r="AI147" s="24">
        <v>0</v>
      </c>
      <c r="AJ147" s="24"/>
      <c r="AK147" s="24">
        <v>567</v>
      </c>
      <c r="AL147" s="24"/>
      <c r="AM147" s="24">
        <v>0</v>
      </c>
      <c r="AN147" s="24"/>
      <c r="AO147" s="38">
        <f t="shared" si="23"/>
        <v>70545</v>
      </c>
      <c r="AP147" s="24"/>
      <c r="AQ147" s="38">
        <f t="shared" si="18"/>
        <v>16460286</v>
      </c>
      <c r="AR147" s="38"/>
      <c r="AS147" s="7"/>
      <c r="AT147" s="7" t="str">
        <f t="shared" si="21"/>
        <v>Deer Park City SD</v>
      </c>
      <c r="AU147" s="7" t="str">
        <f>'Gov Fd BS'!A147</f>
        <v>Deer Park City SD</v>
      </c>
      <c r="AV147" s="7" t="b">
        <f t="shared" si="22"/>
        <v>1</v>
      </c>
      <c r="AW147" s="7" t="str">
        <f t="shared" si="20"/>
        <v>Hamilton</v>
      </c>
      <c r="AX147" s="7" t="b">
        <f>C147='Gov Fd BS'!C147</f>
        <v>1</v>
      </c>
    </row>
    <row r="148" spans="1:50" hidden="1">
      <c r="A148" s="12" t="s">
        <v>690</v>
      </c>
      <c r="B148" s="12"/>
      <c r="C148" s="12" t="s">
        <v>22</v>
      </c>
      <c r="D148" s="12"/>
      <c r="E148" s="12">
        <v>43869</v>
      </c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38">
        <f t="shared" si="16"/>
        <v>0</v>
      </c>
      <c r="Z148" s="24"/>
      <c r="AA148" s="24"/>
      <c r="AB148" s="24"/>
      <c r="AC148" s="24">
        <v>0</v>
      </c>
      <c r="AD148" s="24"/>
      <c r="AE148" s="24"/>
      <c r="AF148" s="24"/>
      <c r="AG148" s="24"/>
      <c r="AH148" s="24"/>
      <c r="AI148" s="24"/>
      <c r="AJ148" s="24"/>
      <c r="AK148" s="24"/>
      <c r="AL148" s="24"/>
      <c r="AM148" s="24">
        <v>0</v>
      </c>
      <c r="AN148" s="24"/>
      <c r="AO148" s="38">
        <f t="shared" si="23"/>
        <v>0</v>
      </c>
      <c r="AP148" s="24"/>
      <c r="AQ148" s="38">
        <f t="shared" si="18"/>
        <v>0</v>
      </c>
      <c r="AR148" s="38"/>
      <c r="AS148" s="7" t="s">
        <v>839</v>
      </c>
      <c r="AT148" s="7" t="str">
        <f t="shared" si="21"/>
        <v>Defiance City SD (CASH)</v>
      </c>
      <c r="AU148" s="7" t="str">
        <f>'Gov Fd BS'!A148</f>
        <v>Defiance City SD (CASH)</v>
      </c>
      <c r="AV148" s="7" t="b">
        <f t="shared" si="22"/>
        <v>1</v>
      </c>
      <c r="AW148" s="7" t="str">
        <f t="shared" si="20"/>
        <v>Defiance</v>
      </c>
      <c r="AX148" s="7" t="b">
        <f>C148='Gov Fd BS'!C148</f>
        <v>1</v>
      </c>
    </row>
    <row r="149" spans="1:50">
      <c r="A149" s="12" t="s">
        <v>840</v>
      </c>
      <c r="B149" s="12"/>
      <c r="C149" s="12" t="s">
        <v>23</v>
      </c>
      <c r="D149" s="12"/>
      <c r="E149" s="12"/>
      <c r="F149" s="24"/>
      <c r="G149" s="24">
        <v>28155939</v>
      </c>
      <c r="H149" s="24"/>
      <c r="I149" s="24">
        <v>0</v>
      </c>
      <c r="J149" s="24"/>
      <c r="K149" s="24">
        <v>23477846</v>
      </c>
      <c r="L149" s="24"/>
      <c r="M149" s="24">
        <v>18970</v>
      </c>
      <c r="N149" s="24"/>
      <c r="O149" s="24">
        <v>1360505</v>
      </c>
      <c r="P149" s="24"/>
      <c r="Q149" s="24">
        <v>375297</v>
      </c>
      <c r="R149" s="24"/>
      <c r="S149" s="24">
        <v>0</v>
      </c>
      <c r="T149" s="24"/>
      <c r="U149" s="24">
        <v>100147</v>
      </c>
      <c r="V149" s="24"/>
      <c r="W149" s="24">
        <f>18971+996606+450492</f>
        <v>1466069</v>
      </c>
      <c r="X149" s="24"/>
      <c r="Y149" s="38">
        <f t="shared" si="16"/>
        <v>54954773</v>
      </c>
      <c r="Z149" s="24"/>
      <c r="AA149" s="24">
        <v>20000</v>
      </c>
      <c r="AB149" s="24"/>
      <c r="AC149" s="24">
        <v>0</v>
      </c>
      <c r="AD149" s="24"/>
      <c r="AE149" s="24">
        <v>0</v>
      </c>
      <c r="AF149" s="24"/>
      <c r="AG149" s="24">
        <v>0</v>
      </c>
      <c r="AH149" s="24"/>
      <c r="AI149" s="24">
        <v>0</v>
      </c>
      <c r="AJ149" s="24"/>
      <c r="AK149" s="24">
        <v>0</v>
      </c>
      <c r="AL149" s="24"/>
      <c r="AM149" s="24">
        <v>0</v>
      </c>
      <c r="AN149" s="24"/>
      <c r="AO149" s="38">
        <f t="shared" si="23"/>
        <v>20000</v>
      </c>
      <c r="AP149" s="24"/>
      <c r="AQ149" s="38">
        <f t="shared" si="18"/>
        <v>54974773</v>
      </c>
      <c r="AR149" s="38"/>
      <c r="AS149" s="7"/>
      <c r="AT149" s="7" t="str">
        <f t="shared" si="21"/>
        <v>Delaware City SD</v>
      </c>
      <c r="AU149" s="7" t="str">
        <f>'Gov Fd BS'!A149</f>
        <v>Delaware City SD</v>
      </c>
      <c r="AV149" s="7" t="b">
        <f t="shared" si="22"/>
        <v>1</v>
      </c>
      <c r="AW149" s="7" t="str">
        <f t="shared" si="20"/>
        <v>Delaware</v>
      </c>
      <c r="AX149" s="7" t="b">
        <f>C149='Gov Fd BS'!C149</f>
        <v>1</v>
      </c>
    </row>
    <row r="150" spans="1:50">
      <c r="A150" s="12" t="s">
        <v>202</v>
      </c>
      <c r="B150" s="12"/>
      <c r="C150" s="12" t="s">
        <v>10</v>
      </c>
      <c r="D150" s="12"/>
      <c r="E150" s="12">
        <v>43885</v>
      </c>
      <c r="F150" s="24"/>
      <c r="G150" s="24">
        <v>3703423</v>
      </c>
      <c r="H150" s="24"/>
      <c r="I150" s="24">
        <v>0</v>
      </c>
      <c r="J150" s="24"/>
      <c r="K150" s="24">
        <v>6046920</v>
      </c>
      <c r="L150" s="24"/>
      <c r="M150" s="24">
        <v>26998</v>
      </c>
      <c r="N150" s="24"/>
      <c r="O150" s="24">
        <v>759045</v>
      </c>
      <c r="P150" s="24"/>
      <c r="Q150" s="24">
        <v>110825</v>
      </c>
      <c r="R150" s="24"/>
      <c r="S150" s="24">
        <v>38562</v>
      </c>
      <c r="T150" s="24"/>
      <c r="U150" s="24">
        <v>62116</v>
      </c>
      <c r="V150" s="24"/>
      <c r="W150" s="24">
        <f>253145+140909</f>
        <v>394054</v>
      </c>
      <c r="X150" s="24"/>
      <c r="Y150" s="38">
        <f t="shared" ref="Y150:Y151" si="24">SUM(G150:W150)</f>
        <v>11141943</v>
      </c>
      <c r="Z150" s="24"/>
      <c r="AA150" s="24">
        <v>0</v>
      </c>
      <c r="AB150" s="24"/>
      <c r="AC150" s="24">
        <v>0</v>
      </c>
      <c r="AD150" s="24"/>
      <c r="AE150" s="24">
        <v>0</v>
      </c>
      <c r="AF150" s="24"/>
      <c r="AG150" s="24">
        <v>0</v>
      </c>
      <c r="AH150" s="24"/>
      <c r="AI150" s="24">
        <v>0</v>
      </c>
      <c r="AJ150" s="24"/>
      <c r="AK150" s="24">
        <v>0</v>
      </c>
      <c r="AL150" s="24"/>
      <c r="AM150" s="24">
        <v>0</v>
      </c>
      <c r="AN150" s="24"/>
      <c r="AO150" s="38">
        <f t="shared" si="23"/>
        <v>0</v>
      </c>
      <c r="AP150" s="24"/>
      <c r="AQ150" s="38">
        <f t="shared" si="18"/>
        <v>11141943</v>
      </c>
      <c r="AR150" s="38"/>
      <c r="AS150" s="7"/>
      <c r="AT150" s="7" t="str">
        <f t="shared" si="21"/>
        <v>Delphos City SD</v>
      </c>
      <c r="AU150" s="7" t="str">
        <f>'Gov Fd BS'!A150</f>
        <v>Delphos City SD</v>
      </c>
      <c r="AV150" s="7" t="b">
        <f t="shared" si="22"/>
        <v>1</v>
      </c>
      <c r="AW150" s="7" t="str">
        <f t="shared" si="20"/>
        <v>Allen</v>
      </c>
      <c r="AX150" s="7" t="b">
        <f>C150='Gov Fd BS'!C150</f>
        <v>1</v>
      </c>
    </row>
    <row r="151" spans="1:50">
      <c r="A151" s="12" t="s">
        <v>550</v>
      </c>
      <c r="B151" s="12"/>
      <c r="C151" s="12" t="s">
        <v>65</v>
      </c>
      <c r="D151" s="12"/>
      <c r="E151" s="12">
        <v>43893</v>
      </c>
      <c r="F151" s="24"/>
      <c r="G151" s="24">
        <v>11817571</v>
      </c>
      <c r="H151" s="24"/>
      <c r="I151" s="24">
        <v>0</v>
      </c>
      <c r="J151" s="24"/>
      <c r="K151" s="24">
        <v>12160857</v>
      </c>
      <c r="L151" s="24"/>
      <c r="M151" s="24">
        <v>6900</v>
      </c>
      <c r="N151" s="24"/>
      <c r="O151" s="24">
        <v>123721</v>
      </c>
      <c r="P151" s="24"/>
      <c r="Q151" s="24">
        <v>507848</v>
      </c>
      <c r="R151" s="24"/>
      <c r="S151" s="24">
        <v>0</v>
      </c>
      <c r="T151" s="24"/>
      <c r="U151" s="24">
        <v>57062</v>
      </c>
      <c r="V151" s="24"/>
      <c r="W151" s="24">
        <f>396682+88854</f>
        <v>485536</v>
      </c>
      <c r="X151" s="24"/>
      <c r="Y151" s="38">
        <f t="shared" si="24"/>
        <v>25159495</v>
      </c>
      <c r="Z151" s="24"/>
      <c r="AA151" s="24">
        <v>0</v>
      </c>
      <c r="AB151" s="24"/>
      <c r="AC151" s="24">
        <v>0</v>
      </c>
      <c r="AD151" s="24"/>
      <c r="AE151" s="24">
        <v>0</v>
      </c>
      <c r="AF151" s="24"/>
      <c r="AG151" s="24">
        <v>0</v>
      </c>
      <c r="AH151" s="24"/>
      <c r="AI151" s="24">
        <v>0</v>
      </c>
      <c r="AJ151" s="24"/>
      <c r="AK151" s="24">
        <v>0</v>
      </c>
      <c r="AL151" s="24"/>
      <c r="AM151" s="24">
        <v>0</v>
      </c>
      <c r="AN151" s="24"/>
      <c r="AO151" s="38">
        <f t="shared" si="23"/>
        <v>0</v>
      </c>
      <c r="AP151" s="24"/>
      <c r="AQ151" s="38">
        <f t="shared" si="18"/>
        <v>25159495</v>
      </c>
      <c r="AR151" s="38"/>
      <c r="AS151" s="7"/>
      <c r="AT151" s="7" t="str">
        <f t="shared" si="21"/>
        <v>Dover City SD</v>
      </c>
      <c r="AU151" s="7" t="str">
        <f>'Gov Fd BS'!A151</f>
        <v>Dover City SD</v>
      </c>
      <c r="AV151" s="7" t="b">
        <f t="shared" si="22"/>
        <v>1</v>
      </c>
      <c r="AW151" s="7" t="str">
        <f t="shared" si="20"/>
        <v>Tuscarawas</v>
      </c>
      <c r="AX151" s="7" t="b">
        <f>C151='Gov Fd BS'!C151</f>
        <v>1</v>
      </c>
    </row>
    <row r="152" spans="1:50">
      <c r="A152" s="12" t="s">
        <v>308</v>
      </c>
      <c r="B152" s="12"/>
      <c r="C152" s="12" t="s">
        <v>27</v>
      </c>
      <c r="D152" s="12"/>
      <c r="E152" s="12">
        <v>47027</v>
      </c>
      <c r="F152" s="24"/>
      <c r="G152" s="24">
        <v>145000774</v>
      </c>
      <c r="H152" s="24"/>
      <c r="I152" s="24">
        <v>0</v>
      </c>
      <c r="J152" s="24"/>
      <c r="K152" s="24">
        <f>37048999+7045297</f>
        <v>44094296</v>
      </c>
      <c r="L152" s="24"/>
      <c r="M152" s="24">
        <v>1040477</v>
      </c>
      <c r="N152" s="24"/>
      <c r="O152" s="24">
        <v>571520</v>
      </c>
      <c r="P152" s="24"/>
      <c r="Q152" s="24">
        <v>0</v>
      </c>
      <c r="R152" s="24"/>
      <c r="S152" s="24">
        <v>0</v>
      </c>
      <c r="T152" s="24"/>
      <c r="U152" s="24">
        <v>0</v>
      </c>
      <c r="V152" s="24"/>
      <c r="W152" s="24">
        <f>3201032+101573</f>
        <v>3302605</v>
      </c>
      <c r="X152" s="24"/>
      <c r="Y152" s="38">
        <f>SUM(G152:W152)</f>
        <v>194009672</v>
      </c>
      <c r="Z152" s="24"/>
      <c r="AA152" s="24">
        <v>67921</v>
      </c>
      <c r="AB152" s="24"/>
      <c r="AC152" s="24">
        <v>0</v>
      </c>
      <c r="AD152" s="24"/>
      <c r="AE152" s="24">
        <f>1186745+23699978+5500000</f>
        <v>30386723</v>
      </c>
      <c r="AF152" s="24"/>
      <c r="AG152" s="24">
        <v>0</v>
      </c>
      <c r="AH152" s="24"/>
      <c r="AI152" s="24">
        <v>0</v>
      </c>
      <c r="AJ152" s="24"/>
      <c r="AK152" s="24">
        <v>0</v>
      </c>
      <c r="AL152" s="24"/>
      <c r="AM152" s="24">
        <v>0</v>
      </c>
      <c r="AN152" s="24"/>
      <c r="AO152" s="38">
        <f>SUM(AA152:AM152)</f>
        <v>30454644</v>
      </c>
      <c r="AP152" s="24"/>
      <c r="AQ152" s="38">
        <f t="shared" si="18"/>
        <v>224464316</v>
      </c>
      <c r="AR152" s="38"/>
      <c r="AS152" s="7"/>
      <c r="AT152" s="7" t="str">
        <f t="shared" si="21"/>
        <v>Dublin City SD</v>
      </c>
      <c r="AU152" s="7" t="str">
        <f>'Gov Fd BS'!A152</f>
        <v>Dublin City SD</v>
      </c>
      <c r="AV152" s="7" t="b">
        <f t="shared" si="22"/>
        <v>1</v>
      </c>
      <c r="AW152" s="7" t="str">
        <f t="shared" si="20"/>
        <v>Franklin</v>
      </c>
      <c r="AX152" s="7" t="b">
        <f>C152='Gov Fd BS'!C152</f>
        <v>1</v>
      </c>
    </row>
    <row r="153" spans="1:50">
      <c r="A153" s="12" t="s">
        <v>272</v>
      </c>
      <c r="B153" s="12"/>
      <c r="C153" s="12" t="s">
        <v>20</v>
      </c>
      <c r="D153" s="12"/>
      <c r="E153" s="12">
        <v>43901</v>
      </c>
      <c r="F153" s="24"/>
      <c r="G153" s="24">
        <v>8168240</v>
      </c>
      <c r="H153" s="24"/>
      <c r="I153" s="24">
        <v>0</v>
      </c>
      <c r="J153" s="24"/>
      <c r="K153" s="24">
        <v>51423144</v>
      </c>
      <c r="L153" s="24"/>
      <c r="M153" s="24">
        <v>299320</v>
      </c>
      <c r="N153" s="24"/>
      <c r="O153" s="24">
        <v>4283098</v>
      </c>
      <c r="P153" s="24"/>
      <c r="Q153" s="24">
        <v>42978</v>
      </c>
      <c r="R153" s="24"/>
      <c r="S153" s="24">
        <v>0</v>
      </c>
      <c r="T153" s="24"/>
      <c r="U153" s="24">
        <v>144044</v>
      </c>
      <c r="V153" s="24"/>
      <c r="W153" s="24">
        <f>18100+1535+1071186</f>
        <v>1090821</v>
      </c>
      <c r="X153" s="24"/>
      <c r="Y153" s="38">
        <f>SUM(G153:W153)</f>
        <v>65451645</v>
      </c>
      <c r="Z153" s="24"/>
      <c r="AA153" s="24">
        <v>45000</v>
      </c>
      <c r="AB153" s="24"/>
      <c r="AC153" s="24">
        <v>0</v>
      </c>
      <c r="AD153" s="24"/>
      <c r="AE153" s="24">
        <v>0</v>
      </c>
      <c r="AF153" s="24"/>
      <c r="AG153" s="24">
        <v>0</v>
      </c>
      <c r="AH153" s="24"/>
      <c r="AI153" s="24">
        <v>0</v>
      </c>
      <c r="AJ153" s="24"/>
      <c r="AK153" s="24">
        <v>0</v>
      </c>
      <c r="AL153" s="24"/>
      <c r="AM153" s="24">
        <v>0</v>
      </c>
      <c r="AN153" s="24"/>
      <c r="AO153" s="38">
        <f>AK153+AE153+AA153</f>
        <v>45000</v>
      </c>
      <c r="AP153" s="24"/>
      <c r="AQ153" s="38">
        <f t="shared" si="18"/>
        <v>65496645</v>
      </c>
      <c r="AR153" s="38"/>
      <c r="AS153" s="7" t="s">
        <v>843</v>
      </c>
      <c r="AT153" s="7" t="str">
        <f t="shared" si="21"/>
        <v>East Cleveland City SD</v>
      </c>
      <c r="AU153" s="7" t="str">
        <f>'Gov Fd BS'!A153</f>
        <v>East Cleveland City SD</v>
      </c>
      <c r="AV153" s="7" t="b">
        <f t="shared" si="22"/>
        <v>1</v>
      </c>
      <c r="AW153" s="7" t="str">
        <f t="shared" si="20"/>
        <v>Cuyahoga</v>
      </c>
      <c r="AX153" s="7" t="b">
        <f>C153='Gov Fd BS'!C153</f>
        <v>1</v>
      </c>
    </row>
    <row r="154" spans="1:50">
      <c r="A154" s="12" t="s">
        <v>250</v>
      </c>
      <c r="B154" s="12"/>
      <c r="C154" s="12" t="s">
        <v>18</v>
      </c>
      <c r="D154" s="12"/>
      <c r="E154" s="12">
        <v>46409</v>
      </c>
      <c r="F154" s="24"/>
      <c r="G154" s="24">
        <v>2901431</v>
      </c>
      <c r="H154" s="24"/>
      <c r="I154" s="24">
        <v>0</v>
      </c>
      <c r="J154" s="24"/>
      <c r="K154" s="24">
        <v>10326708</v>
      </c>
      <c r="L154" s="24"/>
      <c r="M154" s="24">
        <v>66539</v>
      </c>
      <c r="N154" s="24"/>
      <c r="O154" s="24">
        <v>581231</v>
      </c>
      <c r="P154" s="24"/>
      <c r="Q154" s="24">
        <v>94747</v>
      </c>
      <c r="R154" s="24"/>
      <c r="S154" s="24">
        <v>0</v>
      </c>
      <c r="T154" s="24"/>
      <c r="U154" s="24">
        <v>0</v>
      </c>
      <c r="V154" s="24"/>
      <c r="W154" s="24">
        <f>2925+266739+76739</f>
        <v>346403</v>
      </c>
      <c r="X154" s="24"/>
      <c r="Y154" s="38">
        <f>SUM(G154:W154)</f>
        <v>14317059</v>
      </c>
      <c r="Z154" s="24"/>
      <c r="AA154" s="24">
        <v>19</v>
      </c>
      <c r="AB154" s="24"/>
      <c r="AC154" s="24">
        <v>0</v>
      </c>
      <c r="AD154" s="24"/>
      <c r="AE154" s="24">
        <v>0</v>
      </c>
      <c r="AF154" s="24"/>
      <c r="AG154" s="24">
        <v>0</v>
      </c>
      <c r="AH154" s="24"/>
      <c r="AI154" s="24">
        <v>0</v>
      </c>
      <c r="AJ154" s="24"/>
      <c r="AK154" s="24">
        <v>7485</v>
      </c>
      <c r="AL154" s="24"/>
      <c r="AM154" s="24">
        <v>0</v>
      </c>
      <c r="AN154" s="24"/>
      <c r="AO154" s="38">
        <f>AK154+AE154+AA154</f>
        <v>7504</v>
      </c>
      <c r="AP154" s="24"/>
      <c r="AQ154" s="38">
        <f t="shared" si="18"/>
        <v>14324563</v>
      </c>
      <c r="AR154" s="38"/>
      <c r="AS154" s="7"/>
      <c r="AT154" s="7" t="str">
        <f t="shared" si="21"/>
        <v>East Clinton Local SD</v>
      </c>
      <c r="AU154" s="7" t="str">
        <f>'Gov Fd BS'!A154</f>
        <v>East Clinton Local SD</v>
      </c>
      <c r="AV154" s="7" t="b">
        <f t="shared" si="22"/>
        <v>1</v>
      </c>
      <c r="AW154" s="7" t="str">
        <f t="shared" si="20"/>
        <v>Clinton</v>
      </c>
      <c r="AX154" s="7" t="b">
        <f>C154='Gov Fd BS'!C154</f>
        <v>1</v>
      </c>
    </row>
    <row r="155" spans="1:50">
      <c r="A155" s="12" t="s">
        <v>328</v>
      </c>
      <c r="B155" s="12"/>
      <c r="C155" s="12" t="s">
        <v>31</v>
      </c>
      <c r="D155" s="12"/>
      <c r="E155" s="12">
        <v>69682</v>
      </c>
      <c r="F155" s="24"/>
      <c r="G155" s="24">
        <v>3374571</v>
      </c>
      <c r="H155" s="24"/>
      <c r="I155" s="24">
        <v>0</v>
      </c>
      <c r="J155" s="24"/>
      <c r="K155" s="24">
        <v>8608025</v>
      </c>
      <c r="L155" s="24"/>
      <c r="M155" s="24">
        <v>8867</v>
      </c>
      <c r="N155" s="24"/>
      <c r="O155" s="24">
        <v>993726</v>
      </c>
      <c r="P155" s="24"/>
      <c r="Q155" s="24">
        <v>203003</v>
      </c>
      <c r="R155" s="24"/>
      <c r="S155" s="24">
        <v>0</v>
      </c>
      <c r="T155" s="24"/>
      <c r="U155" s="24">
        <v>50094</v>
      </c>
      <c r="V155" s="24"/>
      <c r="W155" s="24">
        <f>2283+139593+75369</f>
        <v>217245</v>
      </c>
      <c r="X155" s="24"/>
      <c r="Y155" s="38">
        <f t="shared" ref="Y155:Y217" si="25">SUM(G155:W155)</f>
        <v>13455531</v>
      </c>
      <c r="Z155" s="24"/>
      <c r="AA155" s="24">
        <v>88732</v>
      </c>
      <c r="AB155" s="24"/>
      <c r="AC155" s="24">
        <v>0</v>
      </c>
      <c r="AD155" s="24"/>
      <c r="AE155" s="24">
        <f>1520000+18375</f>
        <v>1538375</v>
      </c>
      <c r="AF155" s="24"/>
      <c r="AG155" s="24">
        <v>0</v>
      </c>
      <c r="AH155" s="24"/>
      <c r="AI155" s="24">
        <v>0</v>
      </c>
      <c r="AJ155" s="24"/>
      <c r="AK155" s="24">
        <v>0</v>
      </c>
      <c r="AL155" s="24"/>
      <c r="AM155" s="24">
        <v>0</v>
      </c>
      <c r="AN155" s="24"/>
      <c r="AO155" s="38">
        <f>SUM(AA155:AM155)</f>
        <v>1627107</v>
      </c>
      <c r="AP155" s="24"/>
      <c r="AQ155" s="38">
        <f t="shared" si="18"/>
        <v>15082638</v>
      </c>
      <c r="AR155" s="38"/>
      <c r="AS155" s="7"/>
      <c r="AT155" s="7" t="str">
        <f t="shared" si="21"/>
        <v>East Guernsey Local SD</v>
      </c>
      <c r="AU155" s="7" t="str">
        <f>'Gov Fd BS'!A155</f>
        <v>East Guernsey Local SD</v>
      </c>
      <c r="AV155" s="7" t="b">
        <f t="shared" si="22"/>
        <v>1</v>
      </c>
      <c r="AW155" s="7" t="str">
        <f t="shared" si="20"/>
        <v>Guernsey</v>
      </c>
      <c r="AX155" s="7" t="b">
        <f>C155='Gov Fd BS'!C155</f>
        <v>1</v>
      </c>
    </row>
    <row r="156" spans="1:50">
      <c r="A156" s="12" t="s">
        <v>363</v>
      </c>
      <c r="B156" s="12"/>
      <c r="C156" s="12" t="s">
        <v>36</v>
      </c>
      <c r="D156" s="12"/>
      <c r="E156" s="12">
        <v>47688</v>
      </c>
      <c r="F156" s="24"/>
      <c r="G156" s="24">
        <v>8249594</v>
      </c>
      <c r="H156" s="24"/>
      <c r="I156" s="24">
        <v>0</v>
      </c>
      <c r="J156" s="24"/>
      <c r="K156" s="24">
        <v>9357430</v>
      </c>
      <c r="L156" s="24"/>
      <c r="M156" s="24">
        <v>71619</v>
      </c>
      <c r="N156" s="24"/>
      <c r="O156" s="24">
        <v>689214</v>
      </c>
      <c r="P156" s="24"/>
      <c r="Q156" s="24">
        <v>388896</v>
      </c>
      <c r="R156" s="24"/>
      <c r="S156" s="24">
        <v>0</v>
      </c>
      <c r="T156" s="24"/>
      <c r="U156" s="24">
        <v>21837</v>
      </c>
      <c r="V156" s="24"/>
      <c r="W156" s="24">
        <f>8291+376540+108993</f>
        <v>493824</v>
      </c>
      <c r="X156" s="24"/>
      <c r="Y156" s="38">
        <f t="shared" si="25"/>
        <v>19272414</v>
      </c>
      <c r="Z156" s="24"/>
      <c r="AA156" s="24">
        <v>0</v>
      </c>
      <c r="AB156" s="24"/>
      <c r="AC156" s="24">
        <v>0</v>
      </c>
      <c r="AD156" s="24"/>
      <c r="AE156" s="24">
        <v>0</v>
      </c>
      <c r="AF156" s="24"/>
      <c r="AG156" s="24">
        <v>0</v>
      </c>
      <c r="AH156" s="24"/>
      <c r="AI156" s="24">
        <v>0</v>
      </c>
      <c r="AJ156" s="24"/>
      <c r="AK156" s="24">
        <v>6821</v>
      </c>
      <c r="AL156" s="24"/>
      <c r="AM156" s="24">
        <v>0</v>
      </c>
      <c r="AN156" s="24"/>
      <c r="AO156" s="38">
        <f>AK156+AE156+AA156</f>
        <v>6821</v>
      </c>
      <c r="AP156" s="24"/>
      <c r="AQ156" s="38">
        <f t="shared" si="18"/>
        <v>19279235</v>
      </c>
      <c r="AR156" s="38"/>
      <c r="AS156" s="7" t="s">
        <v>843</v>
      </c>
      <c r="AT156" s="7" t="str">
        <f t="shared" si="21"/>
        <v>East Holmes Local SD</v>
      </c>
      <c r="AU156" s="7" t="str">
        <f>'Gov Fd BS'!A156</f>
        <v>East Holmes Local SD</v>
      </c>
      <c r="AV156" s="7" t="b">
        <f t="shared" si="22"/>
        <v>1</v>
      </c>
      <c r="AW156" s="7" t="str">
        <f t="shared" si="20"/>
        <v>Holmes</v>
      </c>
      <c r="AX156" s="7" t="b">
        <f>C156='Gov Fd BS'!C156</f>
        <v>1</v>
      </c>
    </row>
    <row r="157" spans="1:50" hidden="1">
      <c r="A157" s="12" t="s">
        <v>691</v>
      </c>
      <c r="B157" s="12"/>
      <c r="C157" s="12" t="s">
        <v>40</v>
      </c>
      <c r="D157" s="12"/>
      <c r="E157" s="12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38">
        <f t="shared" si="25"/>
        <v>0</v>
      </c>
      <c r="Z157" s="24"/>
      <c r="AA157" s="24"/>
      <c r="AB157" s="24"/>
      <c r="AC157" s="24">
        <v>0</v>
      </c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38"/>
      <c r="AP157" s="24"/>
      <c r="AQ157" s="38">
        <f t="shared" si="18"/>
        <v>0</v>
      </c>
      <c r="AR157" s="38"/>
      <c r="AS157" s="7" t="s">
        <v>839</v>
      </c>
      <c r="AT157" s="7" t="str">
        <f t="shared" si="21"/>
        <v>East Knox Local SD (CASH)</v>
      </c>
      <c r="AU157" s="7" t="str">
        <f>'Gov Fd BS'!A157</f>
        <v>East Knox Local SD (CASH)</v>
      </c>
      <c r="AV157" s="7" t="b">
        <f t="shared" si="22"/>
        <v>1</v>
      </c>
      <c r="AW157" s="7" t="str">
        <f t="shared" si="20"/>
        <v>Knox</v>
      </c>
      <c r="AX157" s="7" t="b">
        <f>C157='Gov Fd BS'!C157</f>
        <v>1</v>
      </c>
    </row>
    <row r="158" spans="1:50">
      <c r="A158" s="12" t="s">
        <v>254</v>
      </c>
      <c r="B158" s="12"/>
      <c r="C158" s="12" t="s">
        <v>112</v>
      </c>
      <c r="D158" s="12"/>
      <c r="E158" s="12">
        <v>43919</v>
      </c>
      <c r="F158" s="24"/>
      <c r="G158" s="24">
        <v>3727563</v>
      </c>
      <c r="H158" s="24"/>
      <c r="I158" s="24">
        <v>0</v>
      </c>
      <c r="J158" s="24"/>
      <c r="K158" s="24">
        <v>23472928</v>
      </c>
      <c r="L158" s="24"/>
      <c r="M158" s="24">
        <v>190258</v>
      </c>
      <c r="N158" s="24"/>
      <c r="O158" s="24">
        <v>694899</v>
      </c>
      <c r="P158" s="24"/>
      <c r="Q158" s="24">
        <v>149169</v>
      </c>
      <c r="R158" s="24"/>
      <c r="S158" s="24">
        <v>0</v>
      </c>
      <c r="T158" s="24"/>
      <c r="U158" s="24">
        <v>18457</v>
      </c>
      <c r="V158" s="24"/>
      <c r="W158" s="24">
        <f>252322+6659+89930</f>
        <v>348911</v>
      </c>
      <c r="X158" s="24"/>
      <c r="Y158" s="38">
        <f t="shared" si="25"/>
        <v>28602185</v>
      </c>
      <c r="Z158" s="24"/>
      <c r="AA158" s="24">
        <v>603000</v>
      </c>
      <c r="AB158" s="24"/>
      <c r="AC158" s="24">
        <v>0</v>
      </c>
      <c r="AD158" s="24"/>
      <c r="AE158" s="24">
        <v>2000000</v>
      </c>
      <c r="AF158" s="24"/>
      <c r="AG158" s="24">
        <v>0</v>
      </c>
      <c r="AH158" s="24"/>
      <c r="AI158" s="24">
        <v>0</v>
      </c>
      <c r="AJ158" s="24"/>
      <c r="AK158" s="24">
        <v>16006</v>
      </c>
      <c r="AL158" s="24"/>
      <c r="AM158" s="24">
        <v>0</v>
      </c>
      <c r="AN158" s="24"/>
      <c r="AO158" s="38">
        <f t="shared" ref="AO158:AO164" si="26">AK158+AE158+AA158</f>
        <v>2619006</v>
      </c>
      <c r="AP158" s="24"/>
      <c r="AQ158" s="38">
        <f t="shared" si="18"/>
        <v>31221191</v>
      </c>
      <c r="AR158" s="38"/>
      <c r="AS158" s="7"/>
      <c r="AT158" s="7" t="str">
        <f t="shared" si="21"/>
        <v>East Liverpool City SD</v>
      </c>
      <c r="AU158" s="7" t="str">
        <f>'Gov Fd BS'!A158</f>
        <v>East Liverpool City SD</v>
      </c>
      <c r="AV158" s="7" t="b">
        <f t="shared" si="22"/>
        <v>1</v>
      </c>
      <c r="AW158" s="7" t="str">
        <f t="shared" si="20"/>
        <v>Columbiana</v>
      </c>
      <c r="AX158" s="7" t="b">
        <f>C158='Gov Fd BS'!C158</f>
        <v>1</v>
      </c>
    </row>
    <row r="159" spans="1:50">
      <c r="A159" s="12" t="s">
        <v>456</v>
      </c>
      <c r="B159" s="12"/>
      <c r="C159" s="12" t="s">
        <v>51</v>
      </c>
      <c r="D159" s="12"/>
      <c r="E159" s="12">
        <v>48835</v>
      </c>
      <c r="F159" s="24"/>
      <c r="G159" s="24">
        <v>6755363</v>
      </c>
      <c r="H159" s="24"/>
      <c r="I159" s="24">
        <v>0</v>
      </c>
      <c r="J159" s="24"/>
      <c r="K159" s="24">
        <v>12244665</v>
      </c>
      <c r="L159" s="24"/>
      <c r="M159" s="24">
        <v>80194</v>
      </c>
      <c r="N159" s="24"/>
      <c r="O159" s="24">
        <v>1372644</v>
      </c>
      <c r="P159" s="24"/>
      <c r="Q159" s="24">
        <v>216804</v>
      </c>
      <c r="R159" s="24"/>
      <c r="S159" s="24">
        <v>80563</v>
      </c>
      <c r="T159" s="24"/>
      <c r="U159" s="24">
        <v>6225</v>
      </c>
      <c r="V159" s="24"/>
      <c r="W159" s="24">
        <f>8479+496909+102917</f>
        <v>608305</v>
      </c>
      <c r="X159" s="24"/>
      <c r="Y159" s="38">
        <f t="shared" si="25"/>
        <v>21364763</v>
      </c>
      <c r="Z159" s="24"/>
      <c r="AA159" s="24">
        <v>0</v>
      </c>
      <c r="AB159" s="24"/>
      <c r="AC159" s="24">
        <v>0</v>
      </c>
      <c r="AD159" s="24"/>
      <c r="AE159" s="24">
        <v>9513</v>
      </c>
      <c r="AF159" s="24"/>
      <c r="AG159" s="24">
        <v>0</v>
      </c>
      <c r="AH159" s="24"/>
      <c r="AI159" s="24">
        <v>0</v>
      </c>
      <c r="AJ159" s="24"/>
      <c r="AK159" s="24">
        <v>0</v>
      </c>
      <c r="AL159" s="24"/>
      <c r="AM159" s="24">
        <v>0</v>
      </c>
      <c r="AN159" s="24"/>
      <c r="AO159" s="38">
        <f t="shared" si="26"/>
        <v>9513</v>
      </c>
      <c r="AP159" s="24"/>
      <c r="AQ159" s="38">
        <f t="shared" si="18"/>
        <v>21374276</v>
      </c>
      <c r="AR159" s="38"/>
      <c r="AS159" s="7"/>
      <c r="AT159" s="7" t="str">
        <f t="shared" si="21"/>
        <v>East Muskingum Local SD</v>
      </c>
      <c r="AU159" s="7" t="str">
        <f>'Gov Fd BS'!A159</f>
        <v>East Muskingum Local SD</v>
      </c>
      <c r="AV159" s="7" t="b">
        <f t="shared" si="22"/>
        <v>1</v>
      </c>
      <c r="AW159" s="7" t="str">
        <f t="shared" si="20"/>
        <v>Muskingum</v>
      </c>
      <c r="AX159" s="7" t="b">
        <f>C159='Gov Fd BS'!C159</f>
        <v>1</v>
      </c>
    </row>
    <row r="160" spans="1:50">
      <c r="A160" s="12" t="s">
        <v>255</v>
      </c>
      <c r="B160" s="12"/>
      <c r="C160" s="12" t="s">
        <v>112</v>
      </c>
      <c r="D160" s="12"/>
      <c r="E160" s="12">
        <v>43927</v>
      </c>
      <c r="F160" s="24"/>
      <c r="G160" s="24">
        <v>2948262</v>
      </c>
      <c r="H160" s="24"/>
      <c r="I160" s="24">
        <v>0</v>
      </c>
      <c r="J160" s="24"/>
      <c r="K160" s="24">
        <v>9045831</v>
      </c>
      <c r="L160" s="24"/>
      <c r="M160" s="24">
        <v>10390</v>
      </c>
      <c r="N160" s="24"/>
      <c r="O160" s="24">
        <v>346602</v>
      </c>
      <c r="P160" s="24"/>
      <c r="Q160" s="24">
        <v>153344</v>
      </c>
      <c r="R160" s="24"/>
      <c r="S160" s="24">
        <v>0</v>
      </c>
      <c r="T160" s="24"/>
      <c r="U160" s="24">
        <v>188743</v>
      </c>
      <c r="V160" s="24"/>
      <c r="W160" s="24">
        <f>242827+31325</f>
        <v>274152</v>
      </c>
      <c r="X160" s="24"/>
      <c r="Y160" s="38">
        <f t="shared" si="25"/>
        <v>12967324</v>
      </c>
      <c r="Z160" s="24"/>
      <c r="AA160" s="24">
        <v>344871</v>
      </c>
      <c r="AB160" s="24"/>
      <c r="AC160" s="24">
        <v>0</v>
      </c>
      <c r="AD160" s="24"/>
      <c r="AE160" s="24">
        <v>0</v>
      </c>
      <c r="AF160" s="24"/>
      <c r="AG160" s="24">
        <v>0</v>
      </c>
      <c r="AH160" s="24"/>
      <c r="AI160" s="24">
        <v>0</v>
      </c>
      <c r="AJ160" s="24"/>
      <c r="AK160" s="24">
        <v>0</v>
      </c>
      <c r="AL160" s="24"/>
      <c r="AM160" s="24">
        <v>0</v>
      </c>
      <c r="AN160" s="24"/>
      <c r="AO160" s="38">
        <f t="shared" si="26"/>
        <v>344871</v>
      </c>
      <c r="AP160" s="24"/>
      <c r="AQ160" s="38">
        <f t="shared" si="18"/>
        <v>13312195</v>
      </c>
      <c r="AR160" s="38"/>
      <c r="AS160" s="7"/>
      <c r="AT160" s="7" t="str">
        <f t="shared" si="21"/>
        <v>East Palestine City SD</v>
      </c>
      <c r="AU160" s="7" t="str">
        <f>'Gov Fd BS'!A160</f>
        <v>East Palestine City SD</v>
      </c>
      <c r="AV160" s="7" t="b">
        <f t="shared" si="22"/>
        <v>1</v>
      </c>
      <c r="AW160" s="7" t="str">
        <f t="shared" si="20"/>
        <v>Columbiana</v>
      </c>
      <c r="AX160" s="7" t="b">
        <f>C160='Gov Fd BS'!C160</f>
        <v>1</v>
      </c>
    </row>
    <row r="161" spans="1:50">
      <c r="A161" s="12" t="s">
        <v>220</v>
      </c>
      <c r="B161" s="12"/>
      <c r="C161" s="12" t="s">
        <v>77</v>
      </c>
      <c r="D161" s="12"/>
      <c r="E161" s="12">
        <v>46037</v>
      </c>
      <c r="F161" s="24"/>
      <c r="G161" s="24">
        <v>4049019</v>
      </c>
      <c r="H161" s="24"/>
      <c r="I161" s="24">
        <v>0</v>
      </c>
      <c r="J161" s="24"/>
      <c r="K161" s="24">
        <v>14980263</v>
      </c>
      <c r="L161" s="24"/>
      <c r="M161" s="24">
        <v>6301</v>
      </c>
      <c r="N161" s="24"/>
      <c r="O161" s="24">
        <v>671429</v>
      </c>
      <c r="P161" s="24"/>
      <c r="Q161" s="24">
        <v>78195</v>
      </c>
      <c r="R161" s="24"/>
      <c r="S161" s="24">
        <v>53380</v>
      </c>
      <c r="T161" s="24"/>
      <c r="U161" s="24">
        <v>19538</v>
      </c>
      <c r="V161" s="24"/>
      <c r="W161" s="24">
        <f>14302+271510+80021</f>
        <v>365833</v>
      </c>
      <c r="X161" s="24"/>
      <c r="Y161" s="38">
        <f t="shared" si="25"/>
        <v>20223958</v>
      </c>
      <c r="Z161" s="24"/>
      <c r="AA161" s="24">
        <v>0</v>
      </c>
      <c r="AB161" s="24"/>
      <c r="AC161" s="24">
        <v>0</v>
      </c>
      <c r="AD161" s="24"/>
      <c r="AE161" s="24">
        <v>0</v>
      </c>
      <c r="AF161" s="24"/>
      <c r="AG161" s="24">
        <v>0</v>
      </c>
      <c r="AH161" s="24"/>
      <c r="AI161" s="24">
        <v>0</v>
      </c>
      <c r="AJ161" s="24"/>
      <c r="AK161" s="24">
        <v>0</v>
      </c>
      <c r="AL161" s="24"/>
      <c r="AM161" s="24">
        <v>0</v>
      </c>
      <c r="AN161" s="24"/>
      <c r="AO161" s="38">
        <f t="shared" si="26"/>
        <v>0</v>
      </c>
      <c r="AP161" s="24"/>
      <c r="AQ161" s="38">
        <f t="shared" si="18"/>
        <v>20223958</v>
      </c>
      <c r="AR161" s="38"/>
      <c r="AS161" s="7"/>
      <c r="AT161" s="7" t="str">
        <f t="shared" si="21"/>
        <v>Eastern Local SD</v>
      </c>
      <c r="AU161" s="7" t="str">
        <f>'Gov Fd BS'!A161</f>
        <v>Eastern Local SD</v>
      </c>
      <c r="AV161" s="7" t="b">
        <f t="shared" si="22"/>
        <v>1</v>
      </c>
      <c r="AW161" s="7" t="str">
        <f t="shared" si="20"/>
        <v>Brown</v>
      </c>
      <c r="AX161" s="7" t="b">
        <f>C161='Gov Fd BS'!C161</f>
        <v>1</v>
      </c>
    </row>
    <row r="162" spans="1:50">
      <c r="A162" s="12" t="s">
        <v>220</v>
      </c>
      <c r="B162" s="12"/>
      <c r="C162" s="12" t="s">
        <v>433</v>
      </c>
      <c r="D162" s="12"/>
      <c r="E162" s="12">
        <v>48512</v>
      </c>
      <c r="F162" s="24"/>
      <c r="G162" s="24">
        <v>1707766</v>
      </c>
      <c r="H162" s="24"/>
      <c r="I162" s="24">
        <v>0</v>
      </c>
      <c r="J162" s="24"/>
      <c r="K162" s="24">
        <v>6474639</v>
      </c>
      <c r="L162" s="24"/>
      <c r="M162" s="24">
        <v>9403</v>
      </c>
      <c r="N162" s="24"/>
      <c r="O162" s="24">
        <v>616993</v>
      </c>
      <c r="P162" s="24"/>
      <c r="Q162" s="24">
        <v>58738</v>
      </c>
      <c r="R162" s="24"/>
      <c r="S162" s="24">
        <v>0</v>
      </c>
      <c r="T162" s="24"/>
      <c r="U162" s="24">
        <v>290082</v>
      </c>
      <c r="V162" s="24"/>
      <c r="W162" s="24">
        <f>26418+171978+27098</f>
        <v>225494</v>
      </c>
      <c r="X162" s="24"/>
      <c r="Y162" s="38">
        <f t="shared" si="25"/>
        <v>9383115</v>
      </c>
      <c r="Z162" s="24"/>
      <c r="AA162" s="24">
        <v>0</v>
      </c>
      <c r="AB162" s="24"/>
      <c r="AC162" s="24">
        <v>0</v>
      </c>
      <c r="AD162" s="24"/>
      <c r="AE162" s="24">
        <v>0</v>
      </c>
      <c r="AF162" s="24"/>
      <c r="AG162" s="24">
        <v>0</v>
      </c>
      <c r="AH162" s="24"/>
      <c r="AI162" s="24">
        <v>0</v>
      </c>
      <c r="AJ162" s="24"/>
      <c r="AK162" s="24">
        <v>0</v>
      </c>
      <c r="AL162" s="24"/>
      <c r="AM162" s="24">
        <v>0</v>
      </c>
      <c r="AN162" s="24"/>
      <c r="AO162" s="38">
        <f t="shared" si="26"/>
        <v>0</v>
      </c>
      <c r="AP162" s="24"/>
      <c r="AQ162" s="38">
        <f t="shared" si="18"/>
        <v>9383115</v>
      </c>
      <c r="AR162" s="38"/>
      <c r="AS162" s="7"/>
      <c r="AT162" s="7" t="str">
        <f t="shared" si="21"/>
        <v>Eastern Local SD</v>
      </c>
      <c r="AU162" s="7" t="str">
        <f>'Gov Fd BS'!A162</f>
        <v>Eastern Local SD</v>
      </c>
      <c r="AV162" s="7" t="b">
        <f t="shared" si="22"/>
        <v>1</v>
      </c>
      <c r="AW162" s="7" t="str">
        <f t="shared" si="20"/>
        <v>Meigs</v>
      </c>
      <c r="AX162" s="7" t="b">
        <f>C162='Gov Fd BS'!C162</f>
        <v>1</v>
      </c>
    </row>
    <row r="163" spans="1:50" hidden="1">
      <c r="A163" s="12" t="s">
        <v>692</v>
      </c>
      <c r="B163" s="12"/>
      <c r="C163" s="12" t="s">
        <v>55</v>
      </c>
      <c r="D163" s="12"/>
      <c r="E163" s="12">
        <v>49122</v>
      </c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38">
        <f t="shared" si="25"/>
        <v>0</v>
      </c>
      <c r="Z163" s="24"/>
      <c r="AA163" s="24"/>
      <c r="AB163" s="24"/>
      <c r="AC163" s="24">
        <v>0</v>
      </c>
      <c r="AD163" s="24"/>
      <c r="AE163" s="24"/>
      <c r="AF163" s="24"/>
      <c r="AG163" s="24">
        <v>0</v>
      </c>
      <c r="AH163" s="24"/>
      <c r="AI163" s="24">
        <v>0</v>
      </c>
      <c r="AJ163" s="24"/>
      <c r="AK163" s="24"/>
      <c r="AL163" s="24"/>
      <c r="AM163" s="24">
        <v>0</v>
      </c>
      <c r="AN163" s="24"/>
      <c r="AO163" s="38">
        <f t="shared" si="26"/>
        <v>0</v>
      </c>
      <c r="AP163" s="24"/>
      <c r="AQ163" s="38">
        <f t="shared" si="18"/>
        <v>0</v>
      </c>
      <c r="AR163" s="38"/>
      <c r="AS163" s="7" t="s">
        <v>839</v>
      </c>
      <c r="AT163" s="7" t="str">
        <f t="shared" si="21"/>
        <v>Eastern Local SD (CASH)</v>
      </c>
      <c r="AU163" s="7" t="str">
        <f>'Gov Fd BS'!A163</f>
        <v>Eastern Local SD (CASH)</v>
      </c>
      <c r="AV163" s="7" t="b">
        <f t="shared" si="22"/>
        <v>1</v>
      </c>
      <c r="AW163" s="7" t="str">
        <f t="shared" si="20"/>
        <v>Pike</v>
      </c>
      <c r="AX163" s="7" t="b">
        <f>C163='Gov Fd BS'!C163</f>
        <v>1</v>
      </c>
    </row>
    <row r="164" spans="1:50">
      <c r="A164" s="12" t="s">
        <v>573</v>
      </c>
      <c r="B164" s="12"/>
      <c r="C164" s="12" t="s">
        <v>72</v>
      </c>
      <c r="D164" s="12"/>
      <c r="E164" s="12">
        <v>50674</v>
      </c>
      <c r="F164" s="24"/>
      <c r="G164" s="24">
        <v>5353283</v>
      </c>
      <c r="H164" s="24"/>
      <c r="I164" s="24">
        <v>1721819</v>
      </c>
      <c r="J164" s="24"/>
      <c r="K164" s="24">
        <v>8765032</v>
      </c>
      <c r="L164" s="24"/>
      <c r="M164" s="24">
        <v>125905</v>
      </c>
      <c r="N164" s="24"/>
      <c r="O164" s="24">
        <v>494029</v>
      </c>
      <c r="P164" s="24"/>
      <c r="Q164" s="24">
        <v>353118</v>
      </c>
      <c r="R164" s="24"/>
      <c r="S164" s="24">
        <v>480000</v>
      </c>
      <c r="T164" s="24"/>
      <c r="U164" s="24">
        <v>270</v>
      </c>
      <c r="V164" s="24"/>
      <c r="W164" s="24">
        <f>485295+6610</f>
        <v>491905</v>
      </c>
      <c r="X164" s="24"/>
      <c r="Y164" s="38">
        <f t="shared" si="25"/>
        <v>17785361</v>
      </c>
      <c r="Z164" s="24"/>
      <c r="AA164" s="24">
        <v>18240</v>
      </c>
      <c r="AB164" s="24"/>
      <c r="AC164" s="24">
        <v>0</v>
      </c>
      <c r="AD164" s="24"/>
      <c r="AE164" s="24">
        <v>0</v>
      </c>
      <c r="AF164" s="24"/>
      <c r="AG164" s="24">
        <v>0</v>
      </c>
      <c r="AH164" s="24"/>
      <c r="AI164" s="24">
        <v>0</v>
      </c>
      <c r="AJ164" s="24"/>
      <c r="AK164" s="24">
        <v>0</v>
      </c>
      <c r="AL164" s="24"/>
      <c r="AM164" s="24">
        <v>0</v>
      </c>
      <c r="AN164" s="24"/>
      <c r="AO164" s="38">
        <f t="shared" si="26"/>
        <v>18240</v>
      </c>
      <c r="AP164" s="24"/>
      <c r="AQ164" s="38">
        <f t="shared" si="18"/>
        <v>17803601</v>
      </c>
      <c r="AR164" s="38"/>
      <c r="AS164" s="7" t="s">
        <v>845</v>
      </c>
      <c r="AT164" s="7" t="str">
        <f t="shared" si="21"/>
        <v>Eastwood Local SD</v>
      </c>
      <c r="AU164" s="7" t="str">
        <f>'Gov Fd BS'!A164</f>
        <v>Eastwood Local SD</v>
      </c>
      <c r="AV164" s="7" t="b">
        <f t="shared" si="22"/>
        <v>1</v>
      </c>
      <c r="AW164" s="7" t="str">
        <f t="shared" si="20"/>
        <v>Wood</v>
      </c>
      <c r="AX164" s="7" t="b">
        <f>C164='Gov Fd BS'!C164</f>
        <v>1</v>
      </c>
    </row>
    <row r="165" spans="1:50">
      <c r="A165" s="12" t="s">
        <v>712</v>
      </c>
      <c r="B165" s="12"/>
      <c r="C165" s="12" t="s">
        <v>57</v>
      </c>
      <c r="D165" s="12"/>
      <c r="E165" s="12">
        <v>43935</v>
      </c>
      <c r="F165" s="24"/>
      <c r="G165" s="24">
        <v>11013824</v>
      </c>
      <c r="H165" s="24"/>
      <c r="I165" s="24">
        <v>0</v>
      </c>
      <c r="J165" s="24"/>
      <c r="K165" s="24">
        <f>14529983+2055734</f>
        <v>16585717</v>
      </c>
      <c r="L165" s="24"/>
      <c r="M165" s="24">
        <v>93269</v>
      </c>
      <c r="N165" s="24"/>
      <c r="O165" s="24">
        <f>222441+9159+66815</f>
        <v>298415</v>
      </c>
      <c r="P165" s="24"/>
      <c r="Q165" s="24">
        <v>333755</v>
      </c>
      <c r="R165" s="24"/>
      <c r="S165" s="24">
        <v>0</v>
      </c>
      <c r="T165" s="24"/>
      <c r="U165" s="24">
        <v>0</v>
      </c>
      <c r="V165" s="24"/>
      <c r="W165" s="24">
        <f>26721+95120</f>
        <v>121841</v>
      </c>
      <c r="X165" s="24"/>
      <c r="Y165" s="38">
        <f t="shared" si="25"/>
        <v>28446821</v>
      </c>
      <c r="Z165" s="24"/>
      <c r="AA165" s="24">
        <v>0</v>
      </c>
      <c r="AB165" s="24"/>
      <c r="AC165" s="24">
        <v>0</v>
      </c>
      <c r="AD165" s="24"/>
      <c r="AE165" s="24">
        <v>8880000</v>
      </c>
      <c r="AF165" s="24"/>
      <c r="AG165" s="24">
        <v>0</v>
      </c>
      <c r="AH165" s="24"/>
      <c r="AI165" s="24">
        <v>0</v>
      </c>
      <c r="AJ165" s="24"/>
      <c r="AK165" s="24">
        <v>1968</v>
      </c>
      <c r="AL165" s="24"/>
      <c r="AM165" s="24">
        <v>0</v>
      </c>
      <c r="AN165" s="24"/>
      <c r="AO165" s="38">
        <f>SUM(AA165:AM165)</f>
        <v>8881968</v>
      </c>
      <c r="AP165" s="24"/>
      <c r="AQ165" s="38">
        <f t="shared" si="18"/>
        <v>37328789</v>
      </c>
      <c r="AR165" s="38"/>
      <c r="AS165" s="7" t="s">
        <v>846</v>
      </c>
      <c r="AT165" s="7" t="str">
        <f t="shared" si="21"/>
        <v>Eaton Community SD</v>
      </c>
      <c r="AU165" s="7" t="str">
        <f>'Gov Fd BS'!A165</f>
        <v>Eaton Community SD</v>
      </c>
      <c r="AV165" s="7" t="b">
        <f t="shared" si="22"/>
        <v>1</v>
      </c>
      <c r="AW165" s="7" t="str">
        <f t="shared" si="20"/>
        <v>Preble</v>
      </c>
      <c r="AX165" s="7" t="b">
        <f>C165='Gov Fd BS'!C165</f>
        <v>1</v>
      </c>
    </row>
    <row r="166" spans="1:50" hidden="1">
      <c r="A166" s="12" t="s">
        <v>693</v>
      </c>
      <c r="B166" s="12"/>
      <c r="C166" s="12" t="s">
        <v>570</v>
      </c>
      <c r="D166" s="12"/>
      <c r="E166" s="12">
        <v>50617</v>
      </c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38">
        <f t="shared" si="25"/>
        <v>0</v>
      </c>
      <c r="Z166" s="24"/>
      <c r="AA166" s="24"/>
      <c r="AB166" s="24"/>
      <c r="AC166" s="24">
        <v>0</v>
      </c>
      <c r="AD166" s="24"/>
      <c r="AE166" s="24"/>
      <c r="AF166" s="24"/>
      <c r="AG166" s="24"/>
      <c r="AH166" s="24"/>
      <c r="AI166" s="24"/>
      <c r="AJ166" s="24"/>
      <c r="AK166" s="24"/>
      <c r="AL166" s="24"/>
      <c r="AM166" s="24">
        <v>0</v>
      </c>
      <c r="AN166" s="24"/>
      <c r="AO166" s="38">
        <f>AK166+AE166+AA166</f>
        <v>0</v>
      </c>
      <c r="AP166" s="24"/>
      <c r="AQ166" s="38">
        <f t="shared" si="18"/>
        <v>0</v>
      </c>
      <c r="AR166" s="38"/>
      <c r="AS166" s="7" t="s">
        <v>839</v>
      </c>
      <c r="AT166" s="7" t="str">
        <f t="shared" si="21"/>
        <v>Edgerton Local SD (CASH)</v>
      </c>
      <c r="AU166" s="7" t="str">
        <f>'Gov Fd BS'!A166</f>
        <v>Edgerton Local SD (CASH)</v>
      </c>
      <c r="AV166" s="7" t="b">
        <f t="shared" si="22"/>
        <v>1</v>
      </c>
      <c r="AW166" s="7" t="str">
        <f t="shared" si="20"/>
        <v>Williams</v>
      </c>
      <c r="AX166" s="7" t="b">
        <f>C166='Gov Fd BS'!C166</f>
        <v>1</v>
      </c>
    </row>
    <row r="167" spans="1:50">
      <c r="A167" s="12" t="s">
        <v>694</v>
      </c>
      <c r="B167" s="12"/>
      <c r="C167" s="12" t="s">
        <v>223</v>
      </c>
      <c r="D167" s="12"/>
      <c r="E167" s="12">
        <v>46094</v>
      </c>
      <c r="F167" s="24"/>
      <c r="G167" s="24">
        <v>14000530</v>
      </c>
      <c r="H167" s="24"/>
      <c r="I167" s="24">
        <v>0</v>
      </c>
      <c r="J167" s="24"/>
      <c r="K167" s="24">
        <f>23818321+3794199</f>
        <v>27612520</v>
      </c>
      <c r="L167" s="24"/>
      <c r="M167" s="24">
        <v>80645</v>
      </c>
      <c r="N167" s="24"/>
      <c r="O167" s="24">
        <f>377109+2654+271618</f>
        <v>651381</v>
      </c>
      <c r="P167" s="24"/>
      <c r="Q167" s="24">
        <v>279311</v>
      </c>
      <c r="R167" s="24"/>
      <c r="S167" s="24">
        <v>686505</v>
      </c>
      <c r="T167" s="24"/>
      <c r="U167" s="24">
        <v>39442</v>
      </c>
      <c r="V167" s="24"/>
      <c r="W167" s="24">
        <f>180186+14297+685+769085</f>
        <v>964253</v>
      </c>
      <c r="X167" s="24"/>
      <c r="Y167" s="38">
        <f t="shared" si="25"/>
        <v>44314587</v>
      </c>
      <c r="Z167" s="24"/>
      <c r="AA167" s="24">
        <v>0</v>
      </c>
      <c r="AB167" s="24"/>
      <c r="AC167" s="24">
        <v>0</v>
      </c>
      <c r="AD167" s="24"/>
      <c r="AE167" s="24">
        <v>2990000</v>
      </c>
      <c r="AF167" s="24"/>
      <c r="AG167" s="24">
        <v>0</v>
      </c>
      <c r="AH167" s="24"/>
      <c r="AI167" s="24">
        <v>0</v>
      </c>
      <c r="AJ167" s="24"/>
      <c r="AK167" s="24">
        <f>2011+9415</f>
        <v>11426</v>
      </c>
      <c r="AL167" s="24"/>
      <c r="AM167" s="24">
        <v>0</v>
      </c>
      <c r="AN167" s="24"/>
      <c r="AO167" s="38">
        <f>AK167+AE167+AA167</f>
        <v>3001426</v>
      </c>
      <c r="AP167" s="24"/>
      <c r="AQ167" s="38">
        <f t="shared" si="18"/>
        <v>47316013</v>
      </c>
      <c r="AR167" s="38"/>
      <c r="AS167" s="7"/>
      <c r="AT167" s="7" t="str">
        <f t="shared" si="21"/>
        <v xml:space="preserve">Edgewood City SD </v>
      </c>
      <c r="AU167" s="7" t="str">
        <f>'Gov Fd BS'!A167</f>
        <v xml:space="preserve">Edgewood City SD </v>
      </c>
      <c r="AV167" s="7" t="b">
        <f t="shared" si="22"/>
        <v>1</v>
      </c>
      <c r="AW167" s="7" t="str">
        <f t="shared" si="20"/>
        <v>Butler</v>
      </c>
      <c r="AX167" s="7" t="b">
        <f>C167='Gov Fd BS'!C167</f>
        <v>1</v>
      </c>
    </row>
    <row r="168" spans="1:50">
      <c r="A168" s="12" t="s">
        <v>372</v>
      </c>
      <c r="B168" s="12"/>
      <c r="C168" s="12" t="s">
        <v>39</v>
      </c>
      <c r="D168" s="12"/>
      <c r="E168" s="12">
        <v>47795</v>
      </c>
      <c r="F168" s="24"/>
      <c r="G168" s="24">
        <v>7482002</v>
      </c>
      <c r="H168" s="24"/>
      <c r="I168" s="24">
        <v>0</v>
      </c>
      <c r="J168" s="24"/>
      <c r="K168" s="24">
        <f>9350241+2949903</f>
        <v>12300144</v>
      </c>
      <c r="L168" s="24"/>
      <c r="M168" s="24">
        <v>2477</v>
      </c>
      <c r="N168" s="24"/>
      <c r="O168" s="24">
        <f>895909+17496+232584</f>
        <v>1145989</v>
      </c>
      <c r="P168" s="24"/>
      <c r="Q168" s="24">
        <v>151615</v>
      </c>
      <c r="R168" s="24"/>
      <c r="S168" s="24">
        <v>0</v>
      </c>
      <c r="T168" s="24"/>
      <c r="U168" s="24">
        <v>72787</v>
      </c>
      <c r="V168" s="24"/>
      <c r="W168" s="24">
        <f>2425+769+104403</f>
        <v>107597</v>
      </c>
      <c r="X168" s="24"/>
      <c r="Y168" s="38">
        <f t="shared" si="25"/>
        <v>21262611</v>
      </c>
      <c r="Z168" s="24"/>
      <c r="AA168" s="24">
        <v>272735</v>
      </c>
      <c r="AB168" s="24"/>
      <c r="AC168" s="24">
        <v>0</v>
      </c>
      <c r="AD168" s="24"/>
      <c r="AE168" s="24">
        <v>221313</v>
      </c>
      <c r="AF168" s="24"/>
      <c r="AG168" s="24">
        <v>0</v>
      </c>
      <c r="AH168" s="24"/>
      <c r="AI168" s="24">
        <v>0</v>
      </c>
      <c r="AJ168" s="24"/>
      <c r="AK168" s="24">
        <v>0</v>
      </c>
      <c r="AL168" s="24"/>
      <c r="AM168" s="24">
        <v>0</v>
      </c>
      <c r="AN168" s="24"/>
      <c r="AO168" s="38">
        <f>AK168+AE168+AA168</f>
        <v>494048</v>
      </c>
      <c r="AP168" s="24"/>
      <c r="AQ168" s="38">
        <f t="shared" si="18"/>
        <v>21756659</v>
      </c>
      <c r="AR168" s="38"/>
      <c r="AS168" s="38"/>
      <c r="AT168" s="7" t="str">
        <f t="shared" si="21"/>
        <v>Edison Local SD</v>
      </c>
      <c r="AU168" s="7" t="str">
        <f>'Gov Fd BS'!A168</f>
        <v>Edison Local SD</v>
      </c>
      <c r="AV168" s="7" t="b">
        <f t="shared" si="22"/>
        <v>1</v>
      </c>
      <c r="AW168" s="7" t="str">
        <f t="shared" si="20"/>
        <v>Jefferson</v>
      </c>
      <c r="AX168" s="7" t="b">
        <f>C168='Gov Fd BS'!C168</f>
        <v>1</v>
      </c>
    </row>
    <row r="169" spans="1:50" hidden="1">
      <c r="A169" s="12" t="s">
        <v>847</v>
      </c>
      <c r="B169" s="12"/>
      <c r="C169" s="12" t="s">
        <v>570</v>
      </c>
      <c r="D169" s="12"/>
      <c r="E169" s="12">
        <v>50625</v>
      </c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38">
        <f t="shared" si="25"/>
        <v>0</v>
      </c>
      <c r="Z169" s="24"/>
      <c r="AA169" s="24"/>
      <c r="AB169" s="24"/>
      <c r="AC169" s="24">
        <v>0</v>
      </c>
      <c r="AD169" s="24"/>
      <c r="AE169" s="24"/>
      <c r="AF169" s="24"/>
      <c r="AG169" s="24"/>
      <c r="AH169" s="24"/>
      <c r="AI169" s="24"/>
      <c r="AJ169" s="24"/>
      <c r="AK169" s="24"/>
      <c r="AL169" s="24"/>
      <c r="AM169" s="24">
        <v>0</v>
      </c>
      <c r="AN169" s="24"/>
      <c r="AO169" s="38">
        <f>AK169+AE169+AA169</f>
        <v>0</v>
      </c>
      <c r="AP169" s="24"/>
      <c r="AQ169" s="38">
        <f t="shared" si="18"/>
        <v>0</v>
      </c>
      <c r="AR169" s="38"/>
      <c r="AS169" s="7" t="s">
        <v>837</v>
      </c>
      <c r="AT169" s="7" t="str">
        <f t="shared" si="21"/>
        <v>Edon-Northwest Local SD (CASH)</v>
      </c>
      <c r="AU169" s="7" t="str">
        <f>'Gov Fd BS'!A169</f>
        <v>Edon-Northwest Local SD (CASH)</v>
      </c>
      <c r="AV169" s="7" t="b">
        <f t="shared" si="22"/>
        <v>1</v>
      </c>
      <c r="AW169" s="7" t="str">
        <f t="shared" si="20"/>
        <v>Williams</v>
      </c>
      <c r="AX169" s="7" t="b">
        <f>C169='Gov Fd BS'!C169</f>
        <v>1</v>
      </c>
    </row>
    <row r="170" spans="1:50" hidden="1">
      <c r="A170" s="12" t="s">
        <v>695</v>
      </c>
      <c r="B170" s="12"/>
      <c r="C170" s="12" t="s">
        <v>10</v>
      </c>
      <c r="D170" s="12"/>
      <c r="E170" s="12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38">
        <f t="shared" si="25"/>
        <v>0</v>
      </c>
      <c r="Z170" s="24"/>
      <c r="AA170" s="24"/>
      <c r="AB170" s="24"/>
      <c r="AC170" s="24">
        <v>0</v>
      </c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38"/>
      <c r="AP170" s="24"/>
      <c r="AQ170" s="38">
        <f t="shared" si="18"/>
        <v>0</v>
      </c>
      <c r="AR170" s="38"/>
      <c r="AS170" s="7" t="s">
        <v>839</v>
      </c>
      <c r="AT170" s="7" t="str">
        <f t="shared" si="21"/>
        <v>Elida Local SD (CASH)</v>
      </c>
      <c r="AU170" s="7" t="str">
        <f>'Gov Fd BS'!A170</f>
        <v>Elida Local SD (CASH)</v>
      </c>
      <c r="AV170" s="7" t="b">
        <f t="shared" si="22"/>
        <v>1</v>
      </c>
      <c r="AW170" s="7" t="str">
        <f t="shared" si="20"/>
        <v>Allen</v>
      </c>
      <c r="AX170" s="7" t="b">
        <f>C170='Gov Fd BS'!C170</f>
        <v>1</v>
      </c>
    </row>
    <row r="171" spans="1:50">
      <c r="A171" s="12" t="s">
        <v>713</v>
      </c>
      <c r="B171" s="12"/>
      <c r="C171" s="12" t="s">
        <v>46</v>
      </c>
      <c r="D171" s="12"/>
      <c r="E171" s="12">
        <v>48413</v>
      </c>
      <c r="F171" s="24"/>
      <c r="G171" s="24">
        <v>4437646</v>
      </c>
      <c r="H171" s="24"/>
      <c r="I171" s="24">
        <v>752754</v>
      </c>
      <c r="J171" s="24"/>
      <c r="K171" s="24">
        <v>12658511</v>
      </c>
      <c r="L171" s="24"/>
      <c r="M171" s="24">
        <v>101359</v>
      </c>
      <c r="N171" s="24"/>
      <c r="O171" s="24">
        <v>1332151</v>
      </c>
      <c r="P171" s="24"/>
      <c r="Q171" s="24">
        <v>127933</v>
      </c>
      <c r="R171" s="24"/>
      <c r="S171" s="24">
        <v>28000</v>
      </c>
      <c r="T171" s="24"/>
      <c r="U171" s="24">
        <v>10567</v>
      </c>
      <c r="V171" s="24"/>
      <c r="W171" s="24">
        <f>255743+185512</f>
        <v>441255</v>
      </c>
      <c r="X171" s="24"/>
      <c r="Y171" s="38">
        <f t="shared" ref="Y171:Y172" si="27">SUM(G171:W171)</f>
        <v>19890176</v>
      </c>
      <c r="Z171" s="24"/>
      <c r="AA171" s="24">
        <v>16719308</v>
      </c>
      <c r="AB171" s="24"/>
      <c r="AC171" s="24">
        <v>0</v>
      </c>
      <c r="AD171" s="24"/>
      <c r="AE171" s="24">
        <f>248308+16630000+297819</f>
        <v>17176127</v>
      </c>
      <c r="AF171" s="24"/>
      <c r="AG171" s="24">
        <v>0</v>
      </c>
      <c r="AH171" s="24"/>
      <c r="AI171" s="24">
        <v>0</v>
      </c>
      <c r="AJ171" s="24"/>
      <c r="AK171" s="24">
        <v>1454</v>
      </c>
      <c r="AL171" s="24"/>
      <c r="AM171" s="24">
        <v>0</v>
      </c>
      <c r="AN171" s="24"/>
      <c r="AO171" s="38">
        <f>SUM(AA171:AM171)</f>
        <v>33896889</v>
      </c>
      <c r="AP171" s="24"/>
      <c r="AQ171" s="38">
        <f t="shared" si="18"/>
        <v>53787065</v>
      </c>
      <c r="AR171" s="38"/>
      <c r="AS171" s="38"/>
      <c r="AT171" s="7" t="str">
        <f t="shared" ref="AT171" si="28">A171</f>
        <v xml:space="preserve">Elgin Local SD </v>
      </c>
      <c r="AU171" s="7" t="str">
        <f>'Gov Fd BS'!A171</f>
        <v xml:space="preserve">Elgin Local SD </v>
      </c>
      <c r="AV171" s="7" t="b">
        <f>AT171=AU171</f>
        <v>1</v>
      </c>
      <c r="AW171" s="7" t="str">
        <f t="shared" si="20"/>
        <v>Marion</v>
      </c>
      <c r="AX171" s="7" t="b">
        <f>C171='Gov Fd BS'!C171</f>
        <v>1</v>
      </c>
    </row>
    <row r="172" spans="1:50" hidden="1">
      <c r="A172" s="12" t="s">
        <v>728</v>
      </c>
      <c r="B172" s="12"/>
      <c r="C172" s="12" t="s">
        <v>72</v>
      </c>
      <c r="D172" s="12"/>
      <c r="E172" s="12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38">
        <f t="shared" si="27"/>
        <v>0</v>
      </c>
      <c r="Z172" s="24"/>
      <c r="AA172" s="24"/>
      <c r="AB172" s="24"/>
      <c r="AC172" s="24">
        <v>0</v>
      </c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38">
        <f>SUM(AA172:AM172)</f>
        <v>0</v>
      </c>
      <c r="AP172" s="24"/>
      <c r="AQ172" s="38">
        <f t="shared" ref="AQ172:AQ235" si="29">Y172+AO172</f>
        <v>0</v>
      </c>
      <c r="AR172" s="38"/>
      <c r="AS172" s="7" t="s">
        <v>839</v>
      </c>
      <c r="AT172" s="7" t="str">
        <f t="shared" si="21"/>
        <v>Elmwood Local SD (CASH)</v>
      </c>
      <c r="AU172" s="7" t="str">
        <f>'Gov Fd BS'!A172</f>
        <v>Elmwood Local SD (CASH)</v>
      </c>
      <c r="AV172" s="7" t="b">
        <f t="shared" si="22"/>
        <v>1</v>
      </c>
      <c r="AW172" s="7" t="str">
        <f t="shared" si="20"/>
        <v>Wood</v>
      </c>
      <c r="AX172" s="7" t="b">
        <f>C172='Gov Fd BS'!C172</f>
        <v>1</v>
      </c>
    </row>
    <row r="173" spans="1:50">
      <c r="A173" s="12" t="s">
        <v>396</v>
      </c>
      <c r="B173" s="12"/>
      <c r="C173" s="12" t="s">
        <v>44</v>
      </c>
      <c r="D173" s="12"/>
      <c r="E173" s="12">
        <v>43943</v>
      </c>
      <c r="F173" s="24"/>
      <c r="G173" s="24">
        <v>32065632</v>
      </c>
      <c r="H173" s="24"/>
      <c r="I173" s="24">
        <v>0</v>
      </c>
      <c r="J173" s="24"/>
      <c r="K173" s="24">
        <v>54617582</v>
      </c>
      <c r="L173" s="24"/>
      <c r="M173" s="24">
        <v>136125</v>
      </c>
      <c r="N173" s="24"/>
      <c r="O173" s="24">
        <v>1591906</v>
      </c>
      <c r="P173" s="24"/>
      <c r="Q173" s="24">
        <v>260053</v>
      </c>
      <c r="R173" s="24"/>
      <c r="S173" s="24">
        <v>0</v>
      </c>
      <c r="T173" s="24"/>
      <c r="U173" s="24">
        <v>450744</v>
      </c>
      <c r="V173" s="24"/>
      <c r="W173" s="24">
        <f>75965+592730</f>
        <v>668695</v>
      </c>
      <c r="X173" s="24"/>
      <c r="Y173" s="38">
        <f t="shared" si="25"/>
        <v>89790737</v>
      </c>
      <c r="Z173" s="24"/>
      <c r="AA173" s="24">
        <v>0</v>
      </c>
      <c r="AB173" s="24"/>
      <c r="AC173" s="24">
        <v>0</v>
      </c>
      <c r="AD173" s="24"/>
      <c r="AE173" s="24">
        <v>0</v>
      </c>
      <c r="AF173" s="24"/>
      <c r="AG173" s="24">
        <v>0</v>
      </c>
      <c r="AH173" s="24"/>
      <c r="AI173" s="24">
        <v>0</v>
      </c>
      <c r="AJ173" s="24"/>
      <c r="AK173" s="24">
        <v>0</v>
      </c>
      <c r="AL173" s="24"/>
      <c r="AM173" s="24">
        <v>1034795</v>
      </c>
      <c r="AN173" s="24"/>
      <c r="AO173" s="38">
        <f>AK173+AE173+AA173+AM173</f>
        <v>1034795</v>
      </c>
      <c r="AP173" s="24"/>
      <c r="AQ173" s="38">
        <f t="shared" si="29"/>
        <v>90825532</v>
      </c>
      <c r="AR173" s="38"/>
      <c r="AS173" s="38"/>
      <c r="AT173" s="7" t="str">
        <f t="shared" si="21"/>
        <v>Elyria City SD</v>
      </c>
      <c r="AU173" s="7" t="str">
        <f>'Gov Fd BS'!A173</f>
        <v>Elyria City SD</v>
      </c>
      <c r="AV173" s="7" t="b">
        <f t="shared" si="22"/>
        <v>1</v>
      </c>
      <c r="AW173" s="7" t="str">
        <f t="shared" si="20"/>
        <v>Lorain</v>
      </c>
      <c r="AX173" s="7" t="b">
        <f>C173='Gov Fd BS'!C173</f>
        <v>1</v>
      </c>
    </row>
    <row r="174" spans="1:50">
      <c r="A174" s="12" t="s">
        <v>273</v>
      </c>
      <c r="B174" s="12"/>
      <c r="C174" s="12" t="s">
        <v>20</v>
      </c>
      <c r="D174" s="12"/>
      <c r="E174" s="12">
        <v>43950</v>
      </c>
      <c r="F174" s="24"/>
      <c r="G174" s="24">
        <v>45534100</v>
      </c>
      <c r="H174" s="24"/>
      <c r="I174" s="24">
        <v>0</v>
      </c>
      <c r="J174" s="24"/>
      <c r="K174" s="24">
        <v>46584339</v>
      </c>
      <c r="L174" s="24"/>
      <c r="M174" s="24">
        <v>356411</v>
      </c>
      <c r="N174" s="24"/>
      <c r="O174" s="24">
        <f>461653+122415</f>
        <v>584068</v>
      </c>
      <c r="P174" s="24"/>
      <c r="Q174" s="24">
        <v>272073</v>
      </c>
      <c r="R174" s="24"/>
      <c r="S174" s="24">
        <v>0</v>
      </c>
      <c r="T174" s="24"/>
      <c r="U174" s="24">
        <v>0</v>
      </c>
      <c r="V174" s="24"/>
      <c r="W174" s="24">
        <f>104477+74057</f>
        <v>178534</v>
      </c>
      <c r="X174" s="24"/>
      <c r="Y174" s="38">
        <f t="shared" si="25"/>
        <v>93509525</v>
      </c>
      <c r="Z174" s="24"/>
      <c r="AA174" s="24">
        <v>304732</v>
      </c>
      <c r="AB174" s="24"/>
      <c r="AC174" s="24">
        <v>0</v>
      </c>
      <c r="AD174" s="24"/>
      <c r="AE174" s="24">
        <v>0</v>
      </c>
      <c r="AF174" s="24"/>
      <c r="AG174" s="24">
        <v>0</v>
      </c>
      <c r="AH174" s="24"/>
      <c r="AI174" s="24">
        <v>0</v>
      </c>
      <c r="AJ174" s="24"/>
      <c r="AK174" s="24">
        <v>6007</v>
      </c>
      <c r="AL174" s="24"/>
      <c r="AM174" s="24">
        <v>0</v>
      </c>
      <c r="AN174" s="24"/>
      <c r="AO174" s="38">
        <f t="shared" ref="AO174:AO196" si="30">AK174+AE174+AA174</f>
        <v>310739</v>
      </c>
      <c r="AP174" s="24"/>
      <c r="AQ174" s="38">
        <f t="shared" si="29"/>
        <v>93820264</v>
      </c>
      <c r="AR174" s="38"/>
      <c r="AS174" s="38"/>
      <c r="AT174" s="7" t="str">
        <f t="shared" si="21"/>
        <v>Euclid City SD</v>
      </c>
      <c r="AU174" s="7" t="str">
        <f>'Gov Fd BS'!A174</f>
        <v>Euclid City SD</v>
      </c>
      <c r="AV174" s="7" t="b">
        <f t="shared" si="22"/>
        <v>1</v>
      </c>
      <c r="AW174" s="7" t="str">
        <f t="shared" si="20"/>
        <v>Cuyahoga</v>
      </c>
      <c r="AX174" s="7" t="b">
        <f>C174='Gov Fd BS'!C174</f>
        <v>1</v>
      </c>
    </row>
    <row r="175" spans="1:50" hidden="1">
      <c r="A175" s="12" t="s">
        <v>646</v>
      </c>
      <c r="B175" s="12"/>
      <c r="C175" s="12" t="s">
        <v>28</v>
      </c>
      <c r="D175" s="12"/>
      <c r="E175" s="12">
        <v>47050</v>
      </c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38">
        <f t="shared" si="25"/>
        <v>0</v>
      </c>
      <c r="Z175" s="24"/>
      <c r="AA175" s="24"/>
      <c r="AB175" s="24"/>
      <c r="AC175" s="24">
        <v>0</v>
      </c>
      <c r="AD175" s="24"/>
      <c r="AE175" s="24"/>
      <c r="AF175" s="24"/>
      <c r="AG175" s="24"/>
      <c r="AH175" s="24"/>
      <c r="AI175" s="24"/>
      <c r="AJ175" s="24"/>
      <c r="AK175" s="24"/>
      <c r="AL175" s="24"/>
      <c r="AM175" s="24">
        <v>0</v>
      </c>
      <c r="AN175" s="24"/>
      <c r="AO175" s="38">
        <f t="shared" si="30"/>
        <v>0</v>
      </c>
      <c r="AP175" s="24"/>
      <c r="AQ175" s="38">
        <f t="shared" si="29"/>
        <v>0</v>
      </c>
      <c r="AR175" s="38"/>
      <c r="AS175" s="7" t="s">
        <v>839</v>
      </c>
      <c r="AT175" s="7" t="str">
        <f t="shared" si="21"/>
        <v>Evergreen Local SD (CASH)</v>
      </c>
      <c r="AU175" s="7" t="str">
        <f>'Gov Fd BS'!A175</f>
        <v>Evergreen Local SD (CASH)</v>
      </c>
      <c r="AV175" s="7" t="b">
        <f t="shared" si="22"/>
        <v>1</v>
      </c>
      <c r="AW175" s="7" t="str">
        <f t="shared" si="20"/>
        <v>Fulton</v>
      </c>
      <c r="AX175" s="7" t="b">
        <f>C175='Gov Fd BS'!C175</f>
        <v>1</v>
      </c>
    </row>
    <row r="176" spans="1:50">
      <c r="A176" s="12" t="s">
        <v>555</v>
      </c>
      <c r="B176" s="12"/>
      <c r="C176" s="12" t="s">
        <v>66</v>
      </c>
      <c r="D176" s="12"/>
      <c r="E176" s="12">
        <v>50328</v>
      </c>
      <c r="F176" s="24"/>
      <c r="G176" s="24">
        <v>7500263</v>
      </c>
      <c r="H176" s="24"/>
      <c r="I176" s="24">
        <v>0</v>
      </c>
      <c r="J176" s="24"/>
      <c r="K176" s="24">
        <f>1931+3332705+675311</f>
        <v>4009947</v>
      </c>
      <c r="L176" s="24"/>
      <c r="M176" s="24">
        <v>37066</v>
      </c>
      <c r="N176" s="24"/>
      <c r="O176" s="24">
        <f>93587+10886+34780</f>
        <v>139253</v>
      </c>
      <c r="P176" s="24"/>
      <c r="Q176" s="24">
        <v>83818</v>
      </c>
      <c r="R176" s="24"/>
      <c r="S176" s="24">
        <v>0</v>
      </c>
      <c r="T176" s="24"/>
      <c r="U176" s="24">
        <v>0</v>
      </c>
      <c r="V176" s="24"/>
      <c r="W176" s="24">
        <f>239901+73924</f>
        <v>313825</v>
      </c>
      <c r="X176" s="24"/>
      <c r="Y176" s="38">
        <f t="shared" si="25"/>
        <v>12084172</v>
      </c>
      <c r="Z176" s="24"/>
      <c r="AA176" s="24">
        <v>368467</v>
      </c>
      <c r="AB176" s="24"/>
      <c r="AC176" s="24">
        <v>0</v>
      </c>
      <c r="AD176" s="24"/>
      <c r="AE176" s="24">
        <v>0</v>
      </c>
      <c r="AF176" s="24"/>
      <c r="AG176" s="24">
        <v>0</v>
      </c>
      <c r="AH176" s="24"/>
      <c r="AI176" s="24">
        <v>0</v>
      </c>
      <c r="AJ176" s="24"/>
      <c r="AK176" s="24">
        <v>0</v>
      </c>
      <c r="AL176" s="24"/>
      <c r="AM176" s="24">
        <v>0</v>
      </c>
      <c r="AN176" s="24"/>
      <c r="AO176" s="38">
        <f t="shared" si="30"/>
        <v>368467</v>
      </c>
      <c r="AP176" s="24"/>
      <c r="AQ176" s="38">
        <f t="shared" si="29"/>
        <v>12452639</v>
      </c>
      <c r="AR176" s="38"/>
      <c r="AS176" s="38"/>
      <c r="AT176" s="7" t="str">
        <f t="shared" si="21"/>
        <v>Fairbanks Local SD</v>
      </c>
      <c r="AU176" s="7" t="str">
        <f>'Gov Fd BS'!A176</f>
        <v>Fairbanks Local SD</v>
      </c>
      <c r="AV176" s="7" t="b">
        <f t="shared" si="22"/>
        <v>1</v>
      </c>
      <c r="AW176" s="7" t="str">
        <f t="shared" si="20"/>
        <v>Union</v>
      </c>
      <c r="AX176" s="7" t="b">
        <f>C176='Gov Fd BS'!C176</f>
        <v>1</v>
      </c>
    </row>
    <row r="177" spans="1:50">
      <c r="A177" s="12" t="s">
        <v>653</v>
      </c>
      <c r="B177" s="12"/>
      <c r="C177" s="12" t="s">
        <v>114</v>
      </c>
      <c r="D177" s="12"/>
      <c r="E177" s="12">
        <v>46102</v>
      </c>
      <c r="F177" s="24"/>
      <c r="G177" s="24">
        <v>20922736</v>
      </c>
      <c r="H177" s="24"/>
      <c r="I177" s="24">
        <v>0</v>
      </c>
      <c r="J177" s="24"/>
      <c r="K177" s="24">
        <v>27194906</v>
      </c>
      <c r="L177" s="24"/>
      <c r="M177" s="24">
        <v>86120</v>
      </c>
      <c r="N177" s="24"/>
      <c r="O177" s="24">
        <v>541026</v>
      </c>
      <c r="P177" s="24"/>
      <c r="Q177" s="24">
        <v>271898</v>
      </c>
      <c r="R177" s="24"/>
      <c r="S177" s="24">
        <v>194446</v>
      </c>
      <c r="T177" s="24"/>
      <c r="U177" s="24">
        <v>0</v>
      </c>
      <c r="V177" s="24"/>
      <c r="W177" s="24">
        <f>792860+297921</f>
        <v>1090781</v>
      </c>
      <c r="X177" s="24"/>
      <c r="Y177" s="38">
        <f t="shared" si="25"/>
        <v>50301913</v>
      </c>
      <c r="Z177" s="24"/>
      <c r="AA177" s="24">
        <v>243875</v>
      </c>
      <c r="AB177" s="24"/>
      <c r="AC177" s="24">
        <v>0</v>
      </c>
      <c r="AD177" s="24"/>
      <c r="AE177" s="24">
        <v>0</v>
      </c>
      <c r="AF177" s="24"/>
      <c r="AG177" s="24">
        <v>0</v>
      </c>
      <c r="AH177" s="24"/>
      <c r="AI177" s="24">
        <v>0</v>
      </c>
      <c r="AJ177" s="24"/>
      <c r="AK177" s="24">
        <v>0</v>
      </c>
      <c r="AL177" s="24"/>
      <c r="AM177" s="24">
        <v>0</v>
      </c>
      <c r="AN177" s="24"/>
      <c r="AO177" s="38">
        <f t="shared" si="30"/>
        <v>243875</v>
      </c>
      <c r="AP177" s="24"/>
      <c r="AQ177" s="38">
        <f t="shared" si="29"/>
        <v>50545788</v>
      </c>
      <c r="AR177" s="38"/>
      <c r="AS177" s="38"/>
      <c r="AT177" s="7" t="str">
        <f t="shared" si="21"/>
        <v>Fairborn City SD</v>
      </c>
      <c r="AU177" s="7" t="str">
        <f>'Gov Fd BS'!A177</f>
        <v>Fairborn City SD</v>
      </c>
      <c r="AV177" s="7" t="b">
        <f t="shared" si="22"/>
        <v>1</v>
      </c>
      <c r="AW177" s="7" t="str">
        <f t="shared" si="20"/>
        <v>Greene</v>
      </c>
      <c r="AX177" s="7" t="b">
        <f>C177='Gov Fd BS'!C177</f>
        <v>1</v>
      </c>
    </row>
    <row r="178" spans="1:50">
      <c r="A178" s="12" t="s">
        <v>224</v>
      </c>
      <c r="B178" s="12"/>
      <c r="C178" s="12" t="s">
        <v>223</v>
      </c>
      <c r="D178" s="12"/>
      <c r="E178" s="12">
        <v>46102</v>
      </c>
      <c r="F178" s="24"/>
      <c r="G178" s="24">
        <v>39519620</v>
      </c>
      <c r="H178" s="24"/>
      <c r="I178" s="24">
        <v>0</v>
      </c>
      <c r="J178" s="24"/>
      <c r="K178" s="24">
        <v>42062024</v>
      </c>
      <c r="L178" s="24"/>
      <c r="M178" s="24">
        <v>40062</v>
      </c>
      <c r="N178" s="24"/>
      <c r="O178" s="24">
        <v>1901613</v>
      </c>
      <c r="P178" s="24"/>
      <c r="Q178" s="24">
        <v>475488</v>
      </c>
      <c r="R178" s="24"/>
      <c r="S178" s="24">
        <v>1645045</v>
      </c>
      <c r="T178" s="24"/>
      <c r="U178" s="24">
        <v>0</v>
      </c>
      <c r="V178" s="24"/>
      <c r="W178" s="24">
        <f>2680611+766000</f>
        <v>3446611</v>
      </c>
      <c r="X178" s="24"/>
      <c r="Y178" s="38">
        <f t="shared" si="25"/>
        <v>89090463</v>
      </c>
      <c r="Z178" s="24"/>
      <c r="AA178" s="24">
        <v>0</v>
      </c>
      <c r="AB178" s="24"/>
      <c r="AC178" s="24">
        <v>0</v>
      </c>
      <c r="AD178" s="24"/>
      <c r="AE178" s="24">
        <v>4175000</v>
      </c>
      <c r="AF178" s="24"/>
      <c r="AG178" s="24">
        <v>0</v>
      </c>
      <c r="AH178" s="24"/>
      <c r="AI178" s="24">
        <v>0</v>
      </c>
      <c r="AJ178" s="24"/>
      <c r="AK178" s="24">
        <v>1580</v>
      </c>
      <c r="AL178" s="24"/>
      <c r="AM178" s="24">
        <v>0</v>
      </c>
      <c r="AN178" s="24"/>
      <c r="AO178" s="38">
        <f t="shared" si="30"/>
        <v>4176580</v>
      </c>
      <c r="AP178" s="24"/>
      <c r="AQ178" s="38">
        <f t="shared" si="29"/>
        <v>93267043</v>
      </c>
      <c r="AR178" s="38"/>
      <c r="AS178" s="38"/>
      <c r="AT178" s="7" t="str">
        <f t="shared" si="21"/>
        <v>Fairfield City SD</v>
      </c>
      <c r="AU178" s="7" t="str">
        <f>'Gov Fd BS'!A178</f>
        <v>Fairfield City SD</v>
      </c>
      <c r="AV178" s="7" t="b">
        <f t="shared" si="22"/>
        <v>1</v>
      </c>
      <c r="AW178" s="7" t="str">
        <f t="shared" si="20"/>
        <v>Butler</v>
      </c>
      <c r="AX178" s="7" t="b">
        <f>C178='Gov Fd BS'!C178</f>
        <v>1</v>
      </c>
    </row>
    <row r="179" spans="1:50">
      <c r="A179" s="12" t="s">
        <v>359</v>
      </c>
      <c r="B179" s="12"/>
      <c r="C179" s="12" t="s">
        <v>358</v>
      </c>
      <c r="D179" s="12"/>
      <c r="E179" s="12">
        <v>47621</v>
      </c>
      <c r="F179" s="24"/>
      <c r="G179" s="24">
        <v>1651529</v>
      </c>
      <c r="H179" s="24"/>
      <c r="I179" s="24">
        <v>0</v>
      </c>
      <c r="J179" s="24"/>
      <c r="K179" s="24">
        <v>6059206</v>
      </c>
      <c r="L179" s="24"/>
      <c r="M179" s="24">
        <v>14429</v>
      </c>
      <c r="N179" s="24"/>
      <c r="O179" s="24">
        <v>409181</v>
      </c>
      <c r="P179" s="24"/>
      <c r="Q179" s="24">
        <v>65421</v>
      </c>
      <c r="R179" s="24"/>
      <c r="S179" s="24">
        <v>0</v>
      </c>
      <c r="T179" s="24"/>
      <c r="U179" s="24">
        <v>20214</v>
      </c>
      <c r="V179" s="24"/>
      <c r="W179" s="24">
        <f>240621+2393+30880</f>
        <v>273894</v>
      </c>
      <c r="X179" s="24"/>
      <c r="Y179" s="38">
        <f t="shared" si="25"/>
        <v>8493874</v>
      </c>
      <c r="Z179" s="24"/>
      <c r="AA179" s="24">
        <v>0</v>
      </c>
      <c r="AB179" s="24"/>
      <c r="AC179" s="24">
        <v>0</v>
      </c>
      <c r="AD179" s="24"/>
      <c r="AE179" s="24">
        <v>0</v>
      </c>
      <c r="AF179" s="24"/>
      <c r="AG179" s="24">
        <v>0</v>
      </c>
      <c r="AH179" s="24"/>
      <c r="AI179" s="24">
        <v>0</v>
      </c>
      <c r="AJ179" s="24"/>
      <c r="AK179" s="24">
        <v>0</v>
      </c>
      <c r="AL179" s="24"/>
      <c r="AM179" s="24">
        <v>0</v>
      </c>
      <c r="AN179" s="24"/>
      <c r="AO179" s="38">
        <f t="shared" si="30"/>
        <v>0</v>
      </c>
      <c r="AP179" s="24"/>
      <c r="AQ179" s="38">
        <f t="shared" si="29"/>
        <v>8493874</v>
      </c>
      <c r="AR179" s="38"/>
      <c r="AS179" s="38"/>
      <c r="AT179" s="7" t="str">
        <f t="shared" si="21"/>
        <v>Fairfield Local SD</v>
      </c>
      <c r="AU179" s="7" t="str">
        <f>'Gov Fd BS'!A179</f>
        <v>Fairfield Local SD</v>
      </c>
      <c r="AV179" s="7" t="b">
        <f t="shared" si="22"/>
        <v>1</v>
      </c>
      <c r="AW179" s="7" t="str">
        <f t="shared" si="20"/>
        <v>Highland</v>
      </c>
      <c r="AX179" s="7" t="b">
        <f>C179='Gov Fd BS'!C179</f>
        <v>1</v>
      </c>
    </row>
    <row r="180" spans="1:50">
      <c r="A180" s="12" t="s">
        <v>300</v>
      </c>
      <c r="B180" s="12"/>
      <c r="C180" s="12" t="s">
        <v>25</v>
      </c>
      <c r="D180" s="12"/>
      <c r="E180" s="12">
        <v>46870</v>
      </c>
      <c r="F180" s="24"/>
      <c r="G180" s="24">
        <v>4764430</v>
      </c>
      <c r="H180" s="24"/>
      <c r="I180" s="24">
        <v>4461209</v>
      </c>
      <c r="J180" s="24"/>
      <c r="K180" s="8">
        <f>10469874+2077794</f>
        <v>12547668</v>
      </c>
      <c r="L180" s="24"/>
      <c r="M180" s="24">
        <v>176994</v>
      </c>
      <c r="N180" s="24"/>
      <c r="O180" s="24">
        <f>1237756+44656</f>
        <v>1282412</v>
      </c>
      <c r="P180" s="24"/>
      <c r="Q180" s="24">
        <v>270803</v>
      </c>
      <c r="R180" s="24"/>
      <c r="S180" s="24">
        <v>0</v>
      </c>
      <c r="T180" s="24"/>
      <c r="U180" s="24">
        <v>6958</v>
      </c>
      <c r="V180" s="24"/>
      <c r="W180" s="24">
        <f>422593+15807+89204</f>
        <v>527604</v>
      </c>
      <c r="X180" s="24"/>
      <c r="Y180" s="38">
        <f t="shared" si="25"/>
        <v>24038078</v>
      </c>
      <c r="Z180" s="24"/>
      <c r="AA180" s="24">
        <v>1578525</v>
      </c>
      <c r="AB180" s="24"/>
      <c r="AC180" s="24">
        <v>0</v>
      </c>
      <c r="AD180" s="24"/>
      <c r="AE180" s="24">
        <v>0</v>
      </c>
      <c r="AF180" s="24"/>
      <c r="AG180" s="24">
        <v>0</v>
      </c>
      <c r="AH180" s="24"/>
      <c r="AI180" s="24">
        <v>0</v>
      </c>
      <c r="AJ180" s="24"/>
      <c r="AK180" s="24">
        <v>8049</v>
      </c>
      <c r="AL180" s="24"/>
      <c r="AM180" s="24">
        <v>0</v>
      </c>
      <c r="AN180" s="24"/>
      <c r="AO180" s="38">
        <f t="shared" si="30"/>
        <v>1586574</v>
      </c>
      <c r="AP180" s="24"/>
      <c r="AQ180" s="38">
        <f t="shared" si="29"/>
        <v>25624652</v>
      </c>
      <c r="AR180" s="38"/>
      <c r="AS180" s="38"/>
      <c r="AT180" s="7" t="str">
        <f t="shared" si="21"/>
        <v>Fairfield Union Local SD</v>
      </c>
      <c r="AU180" s="7" t="str">
        <f>'Gov Fd BS'!A180</f>
        <v>Fairfield Union Local SD</v>
      </c>
      <c r="AV180" s="7" t="b">
        <f t="shared" si="22"/>
        <v>1</v>
      </c>
      <c r="AW180" s="7" t="str">
        <f t="shared" si="20"/>
        <v>Fairfield</v>
      </c>
      <c r="AX180" s="7" t="b">
        <f>C180='Gov Fd BS'!C180</f>
        <v>1</v>
      </c>
    </row>
    <row r="181" spans="1:50" s="32" customFormat="1">
      <c r="A181" s="31" t="s">
        <v>379</v>
      </c>
      <c r="B181" s="31"/>
      <c r="C181" s="31" t="s">
        <v>377</v>
      </c>
      <c r="D181" s="31"/>
      <c r="E181" s="31">
        <v>47936</v>
      </c>
      <c r="F181" s="35"/>
      <c r="G181" s="35">
        <v>3264936</v>
      </c>
      <c r="H181" s="35"/>
      <c r="I181" s="35">
        <v>0</v>
      </c>
      <c r="J181" s="35"/>
      <c r="K181" s="35">
        <v>11739114</v>
      </c>
      <c r="L181" s="35"/>
      <c r="M181" s="35">
        <v>28899</v>
      </c>
      <c r="N181" s="35"/>
      <c r="O181" s="35">
        <v>842158</v>
      </c>
      <c r="P181" s="35"/>
      <c r="Q181" s="35">
        <v>153175</v>
      </c>
      <c r="R181" s="35"/>
      <c r="S181" s="35">
        <v>0</v>
      </c>
      <c r="T181" s="35"/>
      <c r="U181" s="35">
        <v>19409</v>
      </c>
      <c r="V181" s="35"/>
      <c r="W181" s="35">
        <f>293549+21942</f>
        <v>315491</v>
      </c>
      <c r="X181" s="35"/>
      <c r="Y181" s="53">
        <f t="shared" si="25"/>
        <v>16363182</v>
      </c>
      <c r="Z181" s="35"/>
      <c r="AA181" s="35">
        <v>15972</v>
      </c>
      <c r="AB181" s="35"/>
      <c r="AC181" s="35">
        <v>0</v>
      </c>
      <c r="AD181" s="35"/>
      <c r="AE181" s="35">
        <v>0</v>
      </c>
      <c r="AF181" s="35"/>
      <c r="AG181" s="35">
        <v>0</v>
      </c>
      <c r="AH181" s="35"/>
      <c r="AI181" s="35">
        <v>0</v>
      </c>
      <c r="AJ181" s="35"/>
      <c r="AK181" s="35">
        <v>1255</v>
      </c>
      <c r="AL181" s="35"/>
      <c r="AM181" s="35">
        <v>16759</v>
      </c>
      <c r="AN181" s="35"/>
      <c r="AO181" s="53">
        <f>AK181+AE181+AA181+AM181</f>
        <v>33986</v>
      </c>
      <c r="AP181" s="35"/>
      <c r="AQ181" s="53">
        <f t="shared" si="29"/>
        <v>16397168</v>
      </c>
      <c r="AR181" s="53"/>
      <c r="AS181" s="53"/>
      <c r="AT181" s="32" t="str">
        <f t="shared" si="21"/>
        <v>Fairland Local SD</v>
      </c>
      <c r="AU181" s="32" t="str">
        <f>'Gov Fd BS'!A181</f>
        <v>Fairland Local SD</v>
      </c>
      <c r="AV181" s="32" t="b">
        <f t="shared" si="22"/>
        <v>1</v>
      </c>
      <c r="AW181" s="32" t="str">
        <f t="shared" si="20"/>
        <v>Lawrence</v>
      </c>
      <c r="AX181" s="32" t="b">
        <f>C181='Gov Fd BS'!C181</f>
        <v>1</v>
      </c>
    </row>
    <row r="182" spans="1:50" hidden="1">
      <c r="A182" s="12" t="s">
        <v>647</v>
      </c>
      <c r="B182" s="12"/>
      <c r="C182" s="12" t="s">
        <v>61</v>
      </c>
      <c r="D182" s="12"/>
      <c r="E182" s="12">
        <v>49775</v>
      </c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38">
        <f t="shared" si="25"/>
        <v>0</v>
      </c>
      <c r="Z182" s="24"/>
      <c r="AA182" s="24"/>
      <c r="AB182" s="24"/>
      <c r="AC182" s="24">
        <v>0</v>
      </c>
      <c r="AD182" s="24"/>
      <c r="AE182" s="24"/>
      <c r="AF182" s="24"/>
      <c r="AG182" s="24"/>
      <c r="AH182" s="24"/>
      <c r="AI182" s="24"/>
      <c r="AJ182" s="24"/>
      <c r="AK182" s="24"/>
      <c r="AL182" s="24"/>
      <c r="AM182" s="24">
        <v>0</v>
      </c>
      <c r="AN182" s="24"/>
      <c r="AO182" s="38">
        <f t="shared" si="30"/>
        <v>0</v>
      </c>
      <c r="AP182" s="24"/>
      <c r="AQ182" s="38">
        <f t="shared" si="29"/>
        <v>0</v>
      </c>
      <c r="AR182" s="38"/>
      <c r="AS182" s="7" t="s">
        <v>839</v>
      </c>
      <c r="AT182" s="7" t="str">
        <f t="shared" si="21"/>
        <v>Fairlawn Local SD (CASH)</v>
      </c>
      <c r="AU182" s="7" t="str">
        <f>'Gov Fd BS'!A182</f>
        <v>Fairlawn Local SD (CASH)</v>
      </c>
      <c r="AV182" s="7" t="b">
        <f t="shared" si="22"/>
        <v>1</v>
      </c>
      <c r="AW182" s="7" t="str">
        <f t="shared" si="20"/>
        <v>Shelby</v>
      </c>
      <c r="AX182" s="7" t="b">
        <f>C182='Gov Fd BS'!C182</f>
        <v>1</v>
      </c>
    </row>
    <row r="183" spans="1:50">
      <c r="A183" s="12" t="s">
        <v>511</v>
      </c>
      <c r="B183" s="12"/>
      <c r="C183" s="12" t="s">
        <v>62</v>
      </c>
      <c r="D183" s="12"/>
      <c r="E183" s="12">
        <v>49841</v>
      </c>
      <c r="F183" s="24"/>
      <c r="G183" s="24">
        <v>6724484</v>
      </c>
      <c r="H183" s="24"/>
      <c r="I183" s="24">
        <v>0</v>
      </c>
      <c r="J183" s="24"/>
      <c r="K183" s="24">
        <f>9258485+2060440</f>
        <v>11318925</v>
      </c>
      <c r="L183" s="24"/>
      <c r="M183" s="24">
        <v>6033</v>
      </c>
      <c r="N183" s="24"/>
      <c r="O183" s="24">
        <f>516458+45196</f>
        <v>561654</v>
      </c>
      <c r="P183" s="24"/>
      <c r="Q183" s="24">
        <v>203757</v>
      </c>
      <c r="R183" s="24"/>
      <c r="S183" s="24">
        <v>0</v>
      </c>
      <c r="T183" s="24"/>
      <c r="U183" s="24">
        <v>420</v>
      </c>
      <c r="V183" s="24"/>
      <c r="W183" s="24">
        <f>279120+37000+242352</f>
        <v>558472</v>
      </c>
      <c r="X183" s="24"/>
      <c r="Y183" s="38">
        <f t="shared" si="25"/>
        <v>19373745</v>
      </c>
      <c r="Z183" s="24"/>
      <c r="AA183" s="24">
        <v>115713</v>
      </c>
      <c r="AB183" s="24"/>
      <c r="AC183" s="24">
        <v>0</v>
      </c>
      <c r="AD183" s="24"/>
      <c r="AE183" s="24">
        <v>0</v>
      </c>
      <c r="AF183" s="24"/>
      <c r="AG183" s="24">
        <v>0</v>
      </c>
      <c r="AH183" s="24"/>
      <c r="AI183" s="24">
        <v>0</v>
      </c>
      <c r="AJ183" s="24"/>
      <c r="AK183" s="24">
        <v>0</v>
      </c>
      <c r="AL183" s="24"/>
      <c r="AM183" s="24">
        <v>0</v>
      </c>
      <c r="AN183" s="24"/>
      <c r="AO183" s="38">
        <f t="shared" si="30"/>
        <v>115713</v>
      </c>
      <c r="AP183" s="24"/>
      <c r="AQ183" s="38">
        <f t="shared" si="29"/>
        <v>19489458</v>
      </c>
      <c r="AR183" s="38"/>
      <c r="AS183" s="38"/>
      <c r="AT183" s="7" t="str">
        <f t="shared" si="21"/>
        <v>Fairless Local SD</v>
      </c>
      <c r="AU183" s="7" t="str">
        <f>'Gov Fd BS'!A183</f>
        <v>Fairless Local SD</v>
      </c>
      <c r="AV183" s="7" t="b">
        <f t="shared" si="22"/>
        <v>1</v>
      </c>
      <c r="AW183" s="7" t="str">
        <f t="shared" si="20"/>
        <v>Stark</v>
      </c>
      <c r="AX183" s="7" t="b">
        <f>C183='Gov Fd BS'!C183</f>
        <v>1</v>
      </c>
    </row>
    <row r="184" spans="1:50" hidden="1">
      <c r="A184" s="12" t="s">
        <v>711</v>
      </c>
      <c r="B184" s="12"/>
      <c r="C184" s="12" t="s">
        <v>41</v>
      </c>
      <c r="D184" s="12"/>
      <c r="E184" s="12">
        <v>45369</v>
      </c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38">
        <f t="shared" si="25"/>
        <v>0</v>
      </c>
      <c r="Z184" s="24"/>
      <c r="AA184" s="24"/>
      <c r="AB184" s="24"/>
      <c r="AC184" s="24">
        <v>0</v>
      </c>
      <c r="AD184" s="24"/>
      <c r="AE184" s="24"/>
      <c r="AF184" s="24"/>
      <c r="AG184" s="24">
        <v>0</v>
      </c>
      <c r="AH184" s="24"/>
      <c r="AI184" s="24">
        <v>0</v>
      </c>
      <c r="AJ184" s="24"/>
      <c r="AK184" s="24"/>
      <c r="AL184" s="24"/>
      <c r="AM184" s="24">
        <v>0</v>
      </c>
      <c r="AN184" s="24"/>
      <c r="AO184" s="38">
        <f t="shared" si="30"/>
        <v>0</v>
      </c>
      <c r="AP184" s="24"/>
      <c r="AQ184" s="38">
        <f t="shared" si="29"/>
        <v>0</v>
      </c>
      <c r="AR184" s="38"/>
      <c r="AS184" s="7" t="s">
        <v>848</v>
      </c>
      <c r="AT184" s="7" t="str">
        <f t="shared" si="21"/>
        <v>Fairport Harbor Ex Vill SD - Two Year Audit</v>
      </c>
      <c r="AU184" s="7" t="str">
        <f>'Gov Fd BS'!A184</f>
        <v>Fairport Harbor Ex Vill SD - Two Year Audit</v>
      </c>
      <c r="AV184" s="7" t="b">
        <f t="shared" si="22"/>
        <v>1</v>
      </c>
      <c r="AW184" s="7" t="str">
        <f t="shared" si="20"/>
        <v>Lake</v>
      </c>
      <c r="AX184" s="7" t="b">
        <f>C184='Gov Fd BS'!C184</f>
        <v>1</v>
      </c>
    </row>
    <row r="185" spans="1:50">
      <c r="A185" s="12" t="s">
        <v>274</v>
      </c>
      <c r="B185" s="12"/>
      <c r="C185" s="12" t="s">
        <v>20</v>
      </c>
      <c r="D185" s="12"/>
      <c r="E185" s="12">
        <v>43976</v>
      </c>
      <c r="F185" s="24"/>
      <c r="G185" s="24">
        <v>17064594</v>
      </c>
      <c r="H185" s="24"/>
      <c r="I185" s="24">
        <v>0</v>
      </c>
      <c r="J185" s="24"/>
      <c r="K185" s="24">
        <f>14938+5631632+1089444</f>
        <v>6736014</v>
      </c>
      <c r="L185" s="24"/>
      <c r="M185" s="24">
        <v>121957</v>
      </c>
      <c r="N185" s="24"/>
      <c r="O185" s="24">
        <f>195792+21541+136074</f>
        <v>353407</v>
      </c>
      <c r="P185" s="24"/>
      <c r="Q185" s="24">
        <v>160095</v>
      </c>
      <c r="R185" s="24"/>
      <c r="S185" s="24">
        <v>0</v>
      </c>
      <c r="T185" s="24"/>
      <c r="U185" s="24">
        <v>11041</v>
      </c>
      <c r="V185" s="24"/>
      <c r="W185" s="24">
        <f>103635+57879</f>
        <v>161514</v>
      </c>
      <c r="X185" s="24"/>
      <c r="Y185" s="38">
        <f t="shared" si="25"/>
        <v>24608622</v>
      </c>
      <c r="Z185" s="24"/>
      <c r="AA185" s="24">
        <v>1126578</v>
      </c>
      <c r="AB185" s="24"/>
      <c r="AC185" s="24">
        <v>0</v>
      </c>
      <c r="AD185" s="24"/>
      <c r="AE185" s="24">
        <v>0</v>
      </c>
      <c r="AF185" s="24"/>
      <c r="AG185" s="24">
        <v>0</v>
      </c>
      <c r="AH185" s="24"/>
      <c r="AI185" s="24">
        <v>0</v>
      </c>
      <c r="AJ185" s="24"/>
      <c r="AK185" s="24">
        <v>0</v>
      </c>
      <c r="AL185" s="24"/>
      <c r="AM185" s="24">
        <v>0</v>
      </c>
      <c r="AN185" s="24"/>
      <c r="AO185" s="38">
        <f t="shared" si="30"/>
        <v>1126578</v>
      </c>
      <c r="AP185" s="24"/>
      <c r="AQ185" s="38">
        <f t="shared" si="29"/>
        <v>25735200</v>
      </c>
      <c r="AR185" s="38"/>
      <c r="AS185" s="38"/>
      <c r="AT185" s="7" t="str">
        <f t="shared" si="21"/>
        <v>Fairview Park City SD</v>
      </c>
      <c r="AU185" s="7" t="str">
        <f>'Gov Fd BS'!A185</f>
        <v>Fairview Park City SD</v>
      </c>
      <c r="AV185" s="7" t="b">
        <f t="shared" si="22"/>
        <v>1</v>
      </c>
      <c r="AW185" s="7" t="str">
        <f t="shared" si="20"/>
        <v>Cuyahoga</v>
      </c>
      <c r="AX185" s="7" t="b">
        <f>C185='Gov Fd BS'!C185</f>
        <v>1</v>
      </c>
    </row>
    <row r="186" spans="1:50" hidden="1">
      <c r="A186" s="12" t="s">
        <v>849</v>
      </c>
      <c r="B186" s="12"/>
      <c r="C186" s="12" t="s">
        <v>28</v>
      </c>
      <c r="D186" s="12"/>
      <c r="E186" s="12">
        <v>47068</v>
      </c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38">
        <f t="shared" si="25"/>
        <v>0</v>
      </c>
      <c r="Z186" s="24"/>
      <c r="AA186" s="24"/>
      <c r="AB186" s="24"/>
      <c r="AC186" s="24">
        <v>0</v>
      </c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38">
        <f t="shared" si="30"/>
        <v>0</v>
      </c>
      <c r="AP186" s="24"/>
      <c r="AQ186" s="38">
        <f t="shared" si="29"/>
        <v>0</v>
      </c>
      <c r="AR186" s="38"/>
      <c r="AS186" s="7" t="s">
        <v>837</v>
      </c>
      <c r="AT186" s="7" t="str">
        <f t="shared" si="21"/>
        <v>Fayette Local SD (CASH)</v>
      </c>
      <c r="AU186" s="7" t="str">
        <f>'Gov Fd BS'!A186</f>
        <v>Fayette Local SD (CASH)</v>
      </c>
      <c r="AV186" s="7" t="b">
        <f t="shared" si="22"/>
        <v>1</v>
      </c>
      <c r="AW186" s="7" t="str">
        <f t="shared" si="20"/>
        <v>Fulton</v>
      </c>
      <c r="AX186" s="7" t="b">
        <f>C186='Gov Fd BS'!C186</f>
        <v>1</v>
      </c>
    </row>
    <row r="187" spans="1:50">
      <c r="A187" s="12" t="s">
        <v>221</v>
      </c>
      <c r="B187" s="12"/>
      <c r="C187" s="12" t="s">
        <v>77</v>
      </c>
      <c r="D187" s="12"/>
      <c r="E187" s="12">
        <v>46045</v>
      </c>
      <c r="F187" s="24"/>
      <c r="G187" s="24">
        <v>2667213</v>
      </c>
      <c r="H187" s="24"/>
      <c r="I187" s="24">
        <v>0</v>
      </c>
      <c r="J187" s="24"/>
      <c r="K187" s="24">
        <v>6306817</v>
      </c>
      <c r="L187" s="24"/>
      <c r="M187" s="24">
        <v>23449</v>
      </c>
      <c r="N187" s="24"/>
      <c r="O187" s="24">
        <v>953515</v>
      </c>
      <c r="P187" s="24"/>
      <c r="Q187" s="24">
        <v>47632</v>
      </c>
      <c r="R187" s="24"/>
      <c r="S187" s="24">
        <v>0</v>
      </c>
      <c r="T187" s="24"/>
      <c r="U187" s="24">
        <v>20089</v>
      </c>
      <c r="V187" s="24"/>
      <c r="W187" s="24">
        <f>216742+89256</f>
        <v>305998</v>
      </c>
      <c r="X187" s="24"/>
      <c r="Y187" s="38">
        <f t="shared" si="25"/>
        <v>10324713</v>
      </c>
      <c r="Z187" s="24"/>
      <c r="AA187" s="24">
        <v>0</v>
      </c>
      <c r="AB187" s="24"/>
      <c r="AC187" s="24">
        <v>0</v>
      </c>
      <c r="AD187" s="24"/>
      <c r="AE187" s="24">
        <v>0</v>
      </c>
      <c r="AF187" s="24"/>
      <c r="AG187" s="24">
        <v>0</v>
      </c>
      <c r="AH187" s="24"/>
      <c r="AI187" s="24">
        <v>0</v>
      </c>
      <c r="AJ187" s="24"/>
      <c r="AK187" s="24">
        <v>0</v>
      </c>
      <c r="AL187" s="24"/>
      <c r="AM187" s="24">
        <v>0</v>
      </c>
      <c r="AN187" s="24"/>
      <c r="AO187" s="38">
        <f t="shared" si="30"/>
        <v>0</v>
      </c>
      <c r="AP187" s="24"/>
      <c r="AQ187" s="38">
        <f t="shared" si="29"/>
        <v>10324713</v>
      </c>
      <c r="AR187" s="38"/>
      <c r="AS187" s="7" t="s">
        <v>850</v>
      </c>
      <c r="AT187" s="7" t="str">
        <f t="shared" si="21"/>
        <v>Fayetteville-Perry Local SD</v>
      </c>
      <c r="AU187" s="7" t="str">
        <f>'Gov Fd BS'!A187</f>
        <v>Fayetteville-Perry Local SD</v>
      </c>
      <c r="AV187" s="7" t="b">
        <f t="shared" si="22"/>
        <v>1</v>
      </c>
      <c r="AW187" s="7" t="str">
        <f t="shared" si="20"/>
        <v>Brown</v>
      </c>
      <c r="AX187" s="7" t="b">
        <f>C187='Gov Fd BS'!C187</f>
        <v>1</v>
      </c>
    </row>
    <row r="188" spans="1:50">
      <c r="A188" s="12" t="s">
        <v>841</v>
      </c>
      <c r="B188" s="12"/>
      <c r="C188" s="12" t="s">
        <v>13</v>
      </c>
      <c r="D188" s="12"/>
      <c r="E188" s="12"/>
      <c r="F188" s="24"/>
      <c r="G188" s="24">
        <v>3086745</v>
      </c>
      <c r="H188" s="24"/>
      <c r="I188" s="24">
        <v>0</v>
      </c>
      <c r="J188" s="24"/>
      <c r="K188" s="24">
        <v>11360295</v>
      </c>
      <c r="L188" s="24"/>
      <c r="M188" s="24">
        <v>2653</v>
      </c>
      <c r="N188" s="24"/>
      <c r="O188" s="24">
        <v>397885</v>
      </c>
      <c r="P188" s="24"/>
      <c r="Q188" s="24">
        <v>65096</v>
      </c>
      <c r="R188" s="24"/>
      <c r="S188" s="24">
        <v>0</v>
      </c>
      <c r="T188" s="24"/>
      <c r="U188" s="24">
        <v>51735</v>
      </c>
      <c r="V188" s="24"/>
      <c r="W188" s="24">
        <f>5418+93176+5097</f>
        <v>103691</v>
      </c>
      <c r="X188" s="24"/>
      <c r="Y188" s="38">
        <f t="shared" si="25"/>
        <v>15068100</v>
      </c>
      <c r="Z188" s="24"/>
      <c r="AA188" s="24">
        <v>0</v>
      </c>
      <c r="AB188" s="24"/>
      <c r="AC188" s="24">
        <v>0</v>
      </c>
      <c r="AD188" s="24"/>
      <c r="AE188" s="24">
        <v>0</v>
      </c>
      <c r="AF188" s="24"/>
      <c r="AG188" s="24">
        <v>0</v>
      </c>
      <c r="AH188" s="24"/>
      <c r="AI188" s="24">
        <v>0</v>
      </c>
      <c r="AJ188" s="24"/>
      <c r="AK188" s="24">
        <v>4103</v>
      </c>
      <c r="AL188" s="24"/>
      <c r="AM188" s="24">
        <v>0</v>
      </c>
      <c r="AN188" s="24"/>
      <c r="AO188" s="38">
        <f t="shared" si="30"/>
        <v>4103</v>
      </c>
      <c r="AP188" s="24"/>
      <c r="AQ188" s="38">
        <f t="shared" si="29"/>
        <v>15072203</v>
      </c>
      <c r="AR188" s="38"/>
      <c r="AS188" s="38"/>
      <c r="AT188" s="7" t="str">
        <f t="shared" si="21"/>
        <v>Federal Hocking Local SD</v>
      </c>
      <c r="AU188" s="7" t="str">
        <f>'Gov Fd BS'!A188</f>
        <v>Federal Hocking Local SD</v>
      </c>
      <c r="AV188" s="7" t="b">
        <f t="shared" si="22"/>
        <v>1</v>
      </c>
      <c r="AW188" s="7" t="str">
        <f t="shared" si="20"/>
        <v>Athens</v>
      </c>
      <c r="AX188" s="7" t="b">
        <f>C188='Gov Fd BS'!C188</f>
        <v>1</v>
      </c>
    </row>
    <row r="189" spans="1:50" s="24" customFormat="1">
      <c r="A189" s="12" t="s">
        <v>244</v>
      </c>
      <c r="B189" s="12"/>
      <c r="C189" s="12" t="s">
        <v>113</v>
      </c>
      <c r="D189" s="12"/>
      <c r="E189" s="12">
        <v>46334</v>
      </c>
      <c r="G189" s="24">
        <v>1867769</v>
      </c>
      <c r="I189" s="24">
        <v>0</v>
      </c>
      <c r="K189" s="24">
        <v>9127313</v>
      </c>
      <c r="M189" s="24">
        <v>7227</v>
      </c>
      <c r="O189" s="24">
        <v>461897</v>
      </c>
      <c r="Q189" s="24">
        <v>0</v>
      </c>
      <c r="S189" s="24">
        <v>0</v>
      </c>
      <c r="U189" s="24">
        <v>0</v>
      </c>
      <c r="W189" s="24">
        <f>170800+321382</f>
        <v>492182</v>
      </c>
      <c r="Y189" s="38">
        <f t="shared" si="25"/>
        <v>11956388</v>
      </c>
      <c r="AA189" s="24">
        <v>0</v>
      </c>
      <c r="AC189" s="24">
        <v>0</v>
      </c>
      <c r="AE189" s="24">
        <v>54730</v>
      </c>
      <c r="AG189" s="24">
        <v>0</v>
      </c>
      <c r="AI189" s="24">
        <v>0</v>
      </c>
      <c r="AK189" s="24">
        <v>0</v>
      </c>
      <c r="AM189" s="24">
        <v>0</v>
      </c>
      <c r="AO189" s="38">
        <f t="shared" si="30"/>
        <v>54730</v>
      </c>
      <c r="AQ189" s="38">
        <f t="shared" si="29"/>
        <v>12011118</v>
      </c>
      <c r="AR189" s="38"/>
      <c r="AS189" s="38"/>
      <c r="AT189" s="7" t="str">
        <f t="shared" si="21"/>
        <v>Felicity-Franklin Local SD</v>
      </c>
      <c r="AU189" s="7" t="str">
        <f>'Gov Fd BS'!A189</f>
        <v>Felicity-Franklin Local SD</v>
      </c>
      <c r="AV189" s="7" t="b">
        <f t="shared" si="22"/>
        <v>1</v>
      </c>
      <c r="AW189" s="7" t="str">
        <f t="shared" si="20"/>
        <v>Clermont</v>
      </c>
      <c r="AX189" s="7" t="b">
        <f>C189='Gov Fd BS'!C189</f>
        <v>1</v>
      </c>
    </row>
    <row r="190" spans="1:50">
      <c r="A190" s="12" t="s">
        <v>760</v>
      </c>
      <c r="B190" s="12"/>
      <c r="C190" s="12" t="s">
        <v>56</v>
      </c>
      <c r="D190" s="12"/>
      <c r="E190" s="12">
        <v>49197</v>
      </c>
      <c r="F190" s="24"/>
      <c r="G190" s="24">
        <v>8662396</v>
      </c>
      <c r="H190" s="24"/>
      <c r="I190" s="24">
        <v>0</v>
      </c>
      <c r="J190" s="24"/>
      <c r="K190" s="24">
        <v>10316556</v>
      </c>
      <c r="L190" s="24"/>
      <c r="M190" s="24">
        <v>4925</v>
      </c>
      <c r="N190" s="24"/>
      <c r="O190" s="24">
        <v>1343268</v>
      </c>
      <c r="P190" s="24"/>
      <c r="Q190" s="24">
        <v>89589</v>
      </c>
      <c r="R190" s="24"/>
      <c r="S190" s="24">
        <v>501598</v>
      </c>
      <c r="T190" s="24"/>
      <c r="U190" s="24">
        <v>8984</v>
      </c>
      <c r="V190" s="24"/>
      <c r="W190" s="24">
        <f>758456+74154+146559</f>
        <v>979169</v>
      </c>
      <c r="X190" s="24"/>
      <c r="Y190" s="38">
        <f t="shared" si="25"/>
        <v>21906485</v>
      </c>
      <c r="Z190" s="24"/>
      <c r="AA190" s="24">
        <v>0</v>
      </c>
      <c r="AB190" s="24"/>
      <c r="AC190" s="24">
        <v>0</v>
      </c>
      <c r="AD190" s="24"/>
      <c r="AE190" s="24">
        <v>1140000</v>
      </c>
      <c r="AF190" s="24"/>
      <c r="AG190" s="24">
        <v>0</v>
      </c>
      <c r="AH190" s="24"/>
      <c r="AI190" s="24">
        <v>0</v>
      </c>
      <c r="AJ190" s="24"/>
      <c r="AK190" s="24">
        <v>0</v>
      </c>
      <c r="AL190" s="24"/>
      <c r="AM190" s="24">
        <v>0</v>
      </c>
      <c r="AN190" s="24"/>
      <c r="AO190" s="38">
        <f t="shared" si="30"/>
        <v>1140000</v>
      </c>
      <c r="AP190" s="24"/>
      <c r="AQ190" s="38">
        <f t="shared" si="29"/>
        <v>23046485</v>
      </c>
      <c r="AR190" s="38"/>
      <c r="AS190" s="7" t="s">
        <v>850</v>
      </c>
      <c r="AT190" s="7" t="str">
        <f t="shared" si="21"/>
        <v xml:space="preserve">Field Local SD </v>
      </c>
      <c r="AU190" s="7" t="str">
        <f>'Gov Fd BS'!A190</f>
        <v xml:space="preserve">Field Local SD </v>
      </c>
      <c r="AV190" s="7" t="b">
        <f t="shared" si="22"/>
        <v>1</v>
      </c>
      <c r="AW190" s="7" t="str">
        <f t="shared" si="20"/>
        <v>Portage</v>
      </c>
      <c r="AX190" s="7" t="b">
        <f>C190='Gov Fd BS'!C190</f>
        <v>1</v>
      </c>
    </row>
    <row r="191" spans="1:50">
      <c r="A191" s="12" t="s">
        <v>346</v>
      </c>
      <c r="B191" s="12"/>
      <c r="C191" s="12" t="s">
        <v>33</v>
      </c>
      <c r="D191" s="12"/>
      <c r="E191" s="12">
        <v>43984</v>
      </c>
      <c r="F191" s="24"/>
      <c r="G191" s="24">
        <v>29657440</v>
      </c>
      <c r="H191" s="24"/>
      <c r="I191" s="24">
        <v>0</v>
      </c>
      <c r="J191" s="24"/>
      <c r="K191" s="24">
        <f>41535537+7994456</f>
        <v>49529993</v>
      </c>
      <c r="L191" s="24"/>
      <c r="M191" s="24">
        <v>692126</v>
      </c>
      <c r="N191" s="24"/>
      <c r="O191" s="24">
        <f>2922363+372291</f>
        <v>3294654</v>
      </c>
      <c r="P191" s="24"/>
      <c r="Q191" s="24">
        <v>533387</v>
      </c>
      <c r="R191" s="24"/>
      <c r="S191" s="24">
        <v>160004</v>
      </c>
      <c r="T191" s="24"/>
      <c r="U191" s="24">
        <v>377333</v>
      </c>
      <c r="V191" s="24"/>
      <c r="W191" s="24">
        <f>736579+165277+45454+438692</f>
        <v>1386002</v>
      </c>
      <c r="X191" s="24"/>
      <c r="Y191" s="38">
        <f t="shared" si="25"/>
        <v>85630939</v>
      </c>
      <c r="Z191" s="24"/>
      <c r="AA191" s="24">
        <v>348273</v>
      </c>
      <c r="AB191" s="24"/>
      <c r="AC191" s="24">
        <v>0</v>
      </c>
      <c r="AD191" s="24"/>
      <c r="AE191" s="24">
        <v>0</v>
      </c>
      <c r="AF191" s="24"/>
      <c r="AG191" s="24">
        <v>0</v>
      </c>
      <c r="AH191" s="24"/>
      <c r="AI191" s="24">
        <v>0</v>
      </c>
      <c r="AJ191" s="24"/>
      <c r="AK191" s="24">
        <v>20</v>
      </c>
      <c r="AL191" s="24"/>
      <c r="AM191" s="24">
        <v>0</v>
      </c>
      <c r="AN191" s="24"/>
      <c r="AO191" s="38">
        <f t="shared" si="30"/>
        <v>348293</v>
      </c>
      <c r="AP191" s="24"/>
      <c r="AQ191" s="38">
        <f t="shared" si="29"/>
        <v>85979232</v>
      </c>
      <c r="AR191" s="38"/>
      <c r="AS191" s="38"/>
      <c r="AT191" s="7" t="str">
        <f t="shared" si="21"/>
        <v>Findlay City SD</v>
      </c>
      <c r="AU191" s="7" t="str">
        <f>'Gov Fd BS'!A191</f>
        <v>Findlay City SD</v>
      </c>
      <c r="AV191" s="7" t="b">
        <f t="shared" si="22"/>
        <v>1</v>
      </c>
      <c r="AW191" s="7" t="str">
        <f t="shared" si="20"/>
        <v>Hancock</v>
      </c>
      <c r="AX191" s="7" t="b">
        <f>C191='Gov Fd BS'!C191</f>
        <v>1</v>
      </c>
    </row>
    <row r="192" spans="1:50">
      <c r="A192" s="12" t="s">
        <v>330</v>
      </c>
      <c r="B192" s="12"/>
      <c r="C192" s="12" t="s">
        <v>32</v>
      </c>
      <c r="D192" s="12"/>
      <c r="E192" s="12">
        <v>47332</v>
      </c>
      <c r="F192" s="24"/>
      <c r="G192" s="24">
        <v>11346807</v>
      </c>
      <c r="H192" s="24"/>
      <c r="I192" s="24">
        <v>0</v>
      </c>
      <c r="J192" s="24"/>
      <c r="K192" s="24">
        <v>10257605</v>
      </c>
      <c r="L192" s="24"/>
      <c r="M192" s="24">
        <v>12869</v>
      </c>
      <c r="N192" s="24"/>
      <c r="O192" s="24">
        <v>453893</v>
      </c>
      <c r="P192" s="24"/>
      <c r="Q192" s="24">
        <v>133881</v>
      </c>
      <c r="R192" s="24"/>
      <c r="S192" s="24">
        <v>161333</v>
      </c>
      <c r="T192" s="24"/>
      <c r="U192" s="24">
        <v>0</v>
      </c>
      <c r="V192" s="24"/>
      <c r="W192" s="24">
        <f>251417+207202</f>
        <v>458619</v>
      </c>
      <c r="X192" s="24"/>
      <c r="Y192" s="38">
        <f t="shared" si="25"/>
        <v>22825007</v>
      </c>
      <c r="Z192" s="24"/>
      <c r="AA192" s="24">
        <v>5542</v>
      </c>
      <c r="AB192" s="24"/>
      <c r="AC192" s="24">
        <v>0</v>
      </c>
      <c r="AD192" s="24"/>
      <c r="AE192" s="24">
        <f>3960000+123076</f>
        <v>4083076</v>
      </c>
      <c r="AF192" s="24"/>
      <c r="AG192" s="24">
        <v>0</v>
      </c>
      <c r="AH192" s="24"/>
      <c r="AI192" s="24">
        <v>0</v>
      </c>
      <c r="AJ192" s="24"/>
      <c r="AK192" s="24">
        <v>33652</v>
      </c>
      <c r="AL192" s="24"/>
      <c r="AM192" s="24">
        <v>0</v>
      </c>
      <c r="AN192" s="24"/>
      <c r="AO192" s="38">
        <f t="shared" si="30"/>
        <v>4122270</v>
      </c>
      <c r="AP192" s="24"/>
      <c r="AQ192" s="38">
        <f t="shared" si="29"/>
        <v>26947277</v>
      </c>
      <c r="AR192" s="38"/>
      <c r="AS192" s="7" t="s">
        <v>850</v>
      </c>
      <c r="AT192" s="7" t="str">
        <f t="shared" si="21"/>
        <v>Finneytown Local SD</v>
      </c>
      <c r="AU192" s="7" t="str">
        <f>'Gov Fd BS'!A192</f>
        <v>Finneytown Local SD</v>
      </c>
      <c r="AV192" s="7" t="b">
        <f t="shared" si="22"/>
        <v>1</v>
      </c>
      <c r="AW192" s="7" t="str">
        <f t="shared" si="20"/>
        <v>Hamilton</v>
      </c>
      <c r="AX192" s="7" t="b">
        <f>C192='Gov Fd BS'!C192</f>
        <v>1</v>
      </c>
    </row>
    <row r="193" spans="1:50">
      <c r="A193" s="12" t="s">
        <v>397</v>
      </c>
      <c r="B193" s="12"/>
      <c r="C193" s="12" t="s">
        <v>44</v>
      </c>
      <c r="D193" s="12"/>
      <c r="E193" s="12">
        <v>48157</v>
      </c>
      <c r="F193" s="24"/>
      <c r="G193" s="24">
        <v>7065779</v>
      </c>
      <c r="H193" s="24"/>
      <c r="I193" s="24">
        <v>0</v>
      </c>
      <c r="J193" s="24"/>
      <c r="K193" s="24">
        <f>8509629+1650586</f>
        <v>10160215</v>
      </c>
      <c r="L193" s="24"/>
      <c r="M193" s="24">
        <v>56114</v>
      </c>
      <c r="N193" s="24"/>
      <c r="O193" s="24">
        <f>775696+11064+82300</f>
        <v>869060</v>
      </c>
      <c r="P193" s="24"/>
      <c r="Q193" s="24">
        <v>281766</v>
      </c>
      <c r="R193" s="24"/>
      <c r="S193" s="24">
        <v>0</v>
      </c>
      <c r="T193" s="24"/>
      <c r="U193" s="24">
        <v>7708</v>
      </c>
      <c r="V193" s="24"/>
      <c r="W193" s="24">
        <f>29977+400407+2850+133366</f>
        <v>566600</v>
      </c>
      <c r="X193" s="24"/>
      <c r="Y193" s="38">
        <f t="shared" si="25"/>
        <v>19007242</v>
      </c>
      <c r="Z193" s="24"/>
      <c r="AA193" s="24">
        <v>0</v>
      </c>
      <c r="AB193" s="24"/>
      <c r="AC193" s="24">
        <v>0</v>
      </c>
      <c r="AD193" s="24"/>
      <c r="AE193" s="24">
        <f>84022+1060000</f>
        <v>1144022</v>
      </c>
      <c r="AF193" s="24"/>
      <c r="AG193" s="24">
        <v>0</v>
      </c>
      <c r="AH193" s="24"/>
      <c r="AI193" s="24">
        <v>0</v>
      </c>
      <c r="AJ193" s="24"/>
      <c r="AK193" s="24">
        <v>0</v>
      </c>
      <c r="AL193" s="24"/>
      <c r="AM193" s="24">
        <v>0</v>
      </c>
      <c r="AN193" s="24"/>
      <c r="AO193" s="38">
        <f>SUM(AA193:AM193)</f>
        <v>1144022</v>
      </c>
      <c r="AP193" s="24"/>
      <c r="AQ193" s="38">
        <f t="shared" si="29"/>
        <v>20151264</v>
      </c>
      <c r="AR193" s="38"/>
      <c r="AS193" s="38"/>
      <c r="AT193" s="7" t="str">
        <f t="shared" si="21"/>
        <v>Firelands Local SD</v>
      </c>
      <c r="AU193" s="7" t="str">
        <f>'Gov Fd BS'!A193</f>
        <v>Firelands Local SD</v>
      </c>
      <c r="AV193" s="7" t="b">
        <f t="shared" si="22"/>
        <v>1</v>
      </c>
      <c r="AW193" s="7" t="str">
        <f t="shared" si="20"/>
        <v>Lorain</v>
      </c>
      <c r="AX193" s="7" t="b">
        <f>C193='Gov Fd BS'!C193</f>
        <v>1</v>
      </c>
    </row>
    <row r="194" spans="1:50">
      <c r="A194" s="12" t="s">
        <v>331</v>
      </c>
      <c r="B194" s="12"/>
      <c r="C194" s="12" t="s">
        <v>32</v>
      </c>
      <c r="D194" s="12"/>
      <c r="E194" s="12">
        <v>47340</v>
      </c>
      <c r="F194" s="24"/>
      <c r="G194" s="24">
        <v>39843241</v>
      </c>
      <c r="H194" s="24"/>
      <c r="I194" s="24">
        <v>0</v>
      </c>
      <c r="J194" s="24"/>
      <c r="K194" s="24">
        <v>30065729</v>
      </c>
      <c r="L194" s="24"/>
      <c r="M194" s="24">
        <v>37412</v>
      </c>
      <c r="N194" s="24"/>
      <c r="O194" s="24">
        <v>1096365</v>
      </c>
      <c r="P194" s="24"/>
      <c r="Q194" s="24">
        <v>0</v>
      </c>
      <c r="R194" s="24"/>
      <c r="S194" s="24">
        <v>6812051</v>
      </c>
      <c r="T194" s="24"/>
      <c r="U194" s="24">
        <v>0</v>
      </c>
      <c r="V194" s="24"/>
      <c r="W194" s="24">
        <f>1655701+1530972</f>
        <v>3186673</v>
      </c>
      <c r="X194" s="24"/>
      <c r="Y194" s="38">
        <f t="shared" si="25"/>
        <v>81041471</v>
      </c>
      <c r="Z194" s="24"/>
      <c r="AA194" s="24">
        <v>233430</v>
      </c>
      <c r="AB194" s="24"/>
      <c r="AC194" s="24">
        <v>0</v>
      </c>
      <c r="AD194" s="24"/>
      <c r="AE194" s="24">
        <v>0</v>
      </c>
      <c r="AF194" s="24"/>
      <c r="AG194" s="24">
        <v>0</v>
      </c>
      <c r="AH194" s="24"/>
      <c r="AI194" s="24">
        <v>0</v>
      </c>
      <c r="AJ194" s="24"/>
      <c r="AK194" s="24">
        <v>8520</v>
      </c>
      <c r="AL194" s="24"/>
      <c r="AM194" s="24">
        <v>0</v>
      </c>
      <c r="AN194" s="24"/>
      <c r="AO194" s="38">
        <f t="shared" si="30"/>
        <v>241950</v>
      </c>
      <c r="AP194" s="24"/>
      <c r="AQ194" s="38">
        <f t="shared" si="29"/>
        <v>81283421</v>
      </c>
      <c r="AR194" s="38"/>
      <c r="AS194" s="105" t="s">
        <v>852</v>
      </c>
      <c r="AT194" s="7" t="str">
        <f t="shared" si="21"/>
        <v>Forest Hills Local SD</v>
      </c>
      <c r="AU194" s="7" t="str">
        <f>'Gov Fd BS'!A194</f>
        <v>Forest Hills Local SD</v>
      </c>
      <c r="AV194" s="7" t="b">
        <f t="shared" si="22"/>
        <v>1</v>
      </c>
      <c r="AW194" s="7" t="str">
        <f t="shared" si="20"/>
        <v>Hamilton</v>
      </c>
      <c r="AX194" s="7" t="b">
        <f>C194='Gov Fd BS'!C194</f>
        <v>1</v>
      </c>
    </row>
    <row r="195" spans="1:50" hidden="1">
      <c r="A195" s="12" t="s">
        <v>642</v>
      </c>
      <c r="B195" s="12"/>
      <c r="C195" s="12" t="s">
        <v>70</v>
      </c>
      <c r="D195" s="12"/>
      <c r="E195" s="12">
        <v>50484</v>
      </c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38">
        <f t="shared" si="25"/>
        <v>0</v>
      </c>
      <c r="Z195" s="24"/>
      <c r="AA195" s="24"/>
      <c r="AB195" s="24"/>
      <c r="AC195" s="24">
        <v>0</v>
      </c>
      <c r="AD195" s="24"/>
      <c r="AE195" s="24"/>
      <c r="AF195" s="24"/>
      <c r="AG195" s="24"/>
      <c r="AH195" s="24"/>
      <c r="AI195" s="24"/>
      <c r="AJ195" s="24"/>
      <c r="AK195" s="24"/>
      <c r="AL195" s="24"/>
      <c r="AM195" s="24">
        <v>0</v>
      </c>
      <c r="AN195" s="24"/>
      <c r="AO195" s="38">
        <f t="shared" si="30"/>
        <v>0</v>
      </c>
      <c r="AP195" s="24"/>
      <c r="AQ195" s="38">
        <f t="shared" si="29"/>
        <v>0</v>
      </c>
      <c r="AR195" s="38"/>
      <c r="AS195" s="7" t="s">
        <v>839</v>
      </c>
      <c r="AT195" s="7" t="str">
        <f t="shared" si="21"/>
        <v>Fort Frye Local SD (CASH)</v>
      </c>
      <c r="AU195" s="7" t="str">
        <f>'Gov Fd BS'!A195</f>
        <v>Fort Frye Local SD (CASH)</v>
      </c>
      <c r="AV195" s="7" t="b">
        <f t="shared" si="22"/>
        <v>1</v>
      </c>
      <c r="AW195" s="7" t="str">
        <f t="shared" si="20"/>
        <v>Washington</v>
      </c>
      <c r="AX195" s="7" t="b">
        <f>C195='Gov Fd BS'!C195</f>
        <v>1</v>
      </c>
    </row>
    <row r="196" spans="1:50">
      <c r="A196" s="12" t="s">
        <v>505</v>
      </c>
      <c r="B196" s="12"/>
      <c r="C196" s="12" t="s">
        <v>61</v>
      </c>
      <c r="D196" s="12"/>
      <c r="E196" s="12">
        <v>49783</v>
      </c>
      <c r="F196" s="24"/>
      <c r="G196" s="24">
        <v>2336492</v>
      </c>
      <c r="H196" s="24"/>
      <c r="I196" s="24">
        <v>1453279</v>
      </c>
      <c r="J196" s="24"/>
      <c r="K196" s="24">
        <v>4434550</v>
      </c>
      <c r="L196" s="24"/>
      <c r="M196" s="24">
        <v>13930</v>
      </c>
      <c r="N196" s="24"/>
      <c r="O196" s="24">
        <v>110713</v>
      </c>
      <c r="P196" s="24"/>
      <c r="Q196" s="24">
        <v>222686</v>
      </c>
      <c r="R196" s="24"/>
      <c r="S196" s="24">
        <v>0</v>
      </c>
      <c r="T196" s="24"/>
      <c r="U196" s="24">
        <v>30115</v>
      </c>
      <c r="V196" s="24"/>
      <c r="W196" s="24">
        <f>291709+11553</f>
        <v>303262</v>
      </c>
      <c r="X196" s="24"/>
      <c r="Y196" s="38">
        <f t="shared" si="25"/>
        <v>8905027</v>
      </c>
      <c r="Z196" s="24"/>
      <c r="AA196" s="24">
        <v>50105</v>
      </c>
      <c r="AB196" s="24"/>
      <c r="AC196" s="24">
        <v>0</v>
      </c>
      <c r="AD196" s="24"/>
      <c r="AE196" s="24">
        <v>1110000</v>
      </c>
      <c r="AF196" s="24"/>
      <c r="AG196" s="24">
        <v>0</v>
      </c>
      <c r="AH196" s="24"/>
      <c r="AI196" s="24">
        <v>0</v>
      </c>
      <c r="AJ196" s="24"/>
      <c r="AK196" s="24">
        <v>0</v>
      </c>
      <c r="AL196" s="24"/>
      <c r="AM196" s="24">
        <v>0</v>
      </c>
      <c r="AN196" s="24"/>
      <c r="AO196" s="38">
        <f t="shared" si="30"/>
        <v>1160105</v>
      </c>
      <c r="AP196" s="24"/>
      <c r="AQ196" s="38">
        <f t="shared" si="29"/>
        <v>10065132</v>
      </c>
      <c r="AR196" s="38"/>
      <c r="AS196" s="7" t="s">
        <v>853</v>
      </c>
      <c r="AT196" s="7" t="str">
        <f t="shared" si="21"/>
        <v>Fort Loramie Local SD</v>
      </c>
      <c r="AU196" s="7" t="str">
        <f>'Gov Fd BS'!A196</f>
        <v>Fort Loramie Local SD</v>
      </c>
      <c r="AV196" s="7" t="b">
        <f t="shared" si="22"/>
        <v>1</v>
      </c>
      <c r="AW196" s="7" t="str">
        <f t="shared" si="20"/>
        <v>Shelby</v>
      </c>
      <c r="AX196" s="7" t="b">
        <f>C196='Gov Fd BS'!C196</f>
        <v>1</v>
      </c>
    </row>
    <row r="197" spans="1:50" hidden="1">
      <c r="A197" s="12" t="s">
        <v>873</v>
      </c>
      <c r="B197" s="12"/>
      <c r="C197" s="12" t="s">
        <v>435</v>
      </c>
      <c r="D197" s="12"/>
      <c r="E197" s="12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38">
        <f t="shared" si="25"/>
        <v>0</v>
      </c>
      <c r="Z197" s="24"/>
      <c r="AA197" s="24"/>
      <c r="AB197" s="24"/>
      <c r="AC197" s="24">
        <v>0</v>
      </c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38"/>
      <c r="AP197" s="24"/>
      <c r="AQ197" s="38">
        <f t="shared" si="29"/>
        <v>0</v>
      </c>
      <c r="AR197" s="38"/>
      <c r="AS197" s="7" t="s">
        <v>839</v>
      </c>
      <c r="AT197" s="7" t="str">
        <f t="shared" si="21"/>
        <v>Fort Recovery Local SD (CASH)</v>
      </c>
      <c r="AU197" s="7" t="str">
        <f>'Gov Fd BS'!A197</f>
        <v>Fort Recovery Local SD (CASH)</v>
      </c>
      <c r="AV197" s="7" t="b">
        <f t="shared" si="22"/>
        <v>1</v>
      </c>
      <c r="AW197" s="7" t="str">
        <f t="shared" si="20"/>
        <v>Mercer</v>
      </c>
      <c r="AX197" s="7" t="b">
        <f>C197='Gov Fd BS'!C197</f>
        <v>1</v>
      </c>
    </row>
    <row r="198" spans="1:50" hidden="1">
      <c r="A198" s="12" t="s">
        <v>854</v>
      </c>
      <c r="B198" s="12"/>
      <c r="C198" s="12" t="s">
        <v>60</v>
      </c>
      <c r="D198" s="12"/>
      <c r="E198" s="12">
        <v>43992</v>
      </c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38">
        <f t="shared" si="25"/>
        <v>0</v>
      </c>
      <c r="Z198" s="24"/>
      <c r="AA198" s="24"/>
      <c r="AB198" s="24"/>
      <c r="AC198" s="24">
        <v>0</v>
      </c>
      <c r="AD198" s="24"/>
      <c r="AE198" s="24"/>
      <c r="AF198" s="24"/>
      <c r="AG198" s="24"/>
      <c r="AH198" s="24"/>
      <c r="AI198" s="24"/>
      <c r="AJ198" s="24"/>
      <c r="AK198" s="24"/>
      <c r="AL198" s="24"/>
      <c r="AM198" s="24">
        <v>0</v>
      </c>
      <c r="AN198" s="24"/>
      <c r="AO198" s="38">
        <f t="shared" ref="AO198:AO229" si="31">AK198+AE198+AA198</f>
        <v>0</v>
      </c>
      <c r="AP198" s="24"/>
      <c r="AQ198" s="38">
        <f t="shared" si="29"/>
        <v>0</v>
      </c>
      <c r="AR198" s="38"/>
      <c r="AS198" s="7" t="s">
        <v>855</v>
      </c>
      <c r="AT198" s="7" t="str">
        <f t="shared" si="21"/>
        <v>Fostoria City SD (CASH)</v>
      </c>
      <c r="AU198" s="7" t="str">
        <f>'Gov Fd BS'!A198</f>
        <v>Fostoria City SD (CASH)</v>
      </c>
      <c r="AV198" s="7" t="b">
        <f t="shared" si="22"/>
        <v>1</v>
      </c>
      <c r="AW198" s="7" t="str">
        <f t="shared" si="20"/>
        <v>Seneca</v>
      </c>
      <c r="AX198" s="7" t="b">
        <f>C198='Gov Fd BS'!C198</f>
        <v>1</v>
      </c>
    </row>
    <row r="199" spans="1:50">
      <c r="A199" s="12" t="s">
        <v>561</v>
      </c>
      <c r="B199" s="12"/>
      <c r="C199" s="12" t="s">
        <v>69</v>
      </c>
      <c r="D199" s="12"/>
      <c r="E199" s="12">
        <v>44008</v>
      </c>
      <c r="F199" s="24"/>
      <c r="G199" s="24">
        <v>12376798</v>
      </c>
      <c r="H199" s="24"/>
      <c r="I199" s="24">
        <v>0</v>
      </c>
      <c r="J199" s="24"/>
      <c r="K199" s="24">
        <v>17630455</v>
      </c>
      <c r="L199" s="24"/>
      <c r="M199" s="24">
        <v>22516</v>
      </c>
      <c r="N199" s="24"/>
      <c r="O199" s="24">
        <v>902438</v>
      </c>
      <c r="P199" s="24"/>
      <c r="Q199" s="24">
        <v>190285</v>
      </c>
      <c r="R199" s="24"/>
      <c r="S199" s="24">
        <v>203075</v>
      </c>
      <c r="T199" s="24"/>
      <c r="U199" s="24">
        <v>89684</v>
      </c>
      <c r="V199" s="24"/>
      <c r="W199" s="24">
        <f>478518+5238+92973</f>
        <v>576729</v>
      </c>
      <c r="X199" s="24"/>
      <c r="Y199" s="38">
        <f t="shared" si="25"/>
        <v>31991980</v>
      </c>
      <c r="Z199" s="24"/>
      <c r="AA199" s="24">
        <v>0</v>
      </c>
      <c r="AB199" s="24"/>
      <c r="AC199" s="24">
        <v>0</v>
      </c>
      <c r="AD199" s="24"/>
      <c r="AE199" s="24">
        <f>959000+1054</f>
        <v>960054</v>
      </c>
      <c r="AF199" s="24"/>
      <c r="AG199" s="24">
        <v>0</v>
      </c>
      <c r="AH199" s="24"/>
      <c r="AI199" s="24">
        <v>0</v>
      </c>
      <c r="AJ199" s="24"/>
      <c r="AK199" s="24">
        <v>717</v>
      </c>
      <c r="AL199" s="24"/>
      <c r="AM199" s="24">
        <v>0</v>
      </c>
      <c r="AN199" s="24"/>
      <c r="AO199" s="38">
        <f>SUM(AA199:AM199)</f>
        <v>960771</v>
      </c>
      <c r="AP199" s="24"/>
      <c r="AQ199" s="38">
        <f t="shared" si="29"/>
        <v>32952751</v>
      </c>
      <c r="AR199" s="38"/>
      <c r="AS199" s="7"/>
      <c r="AT199" s="7" t="str">
        <f t="shared" si="21"/>
        <v>Franklin City SD</v>
      </c>
      <c r="AU199" s="7" t="str">
        <f>'Gov Fd BS'!A199</f>
        <v>Franklin City SD</v>
      </c>
      <c r="AV199" s="7" t="b">
        <f t="shared" si="22"/>
        <v>1</v>
      </c>
      <c r="AW199" s="7" t="str">
        <f t="shared" si="20"/>
        <v>Warren</v>
      </c>
      <c r="AX199" s="7" t="b">
        <f>C199='Gov Fd BS'!C199</f>
        <v>1</v>
      </c>
    </row>
    <row r="200" spans="1:50">
      <c r="A200" s="12" t="s">
        <v>457</v>
      </c>
      <c r="B200" s="12"/>
      <c r="C200" s="12" t="s">
        <v>51</v>
      </c>
      <c r="D200" s="12"/>
      <c r="E200" s="12">
        <v>48843</v>
      </c>
      <c r="F200" s="24"/>
      <c r="G200" s="24">
        <v>5479921</v>
      </c>
      <c r="H200" s="24"/>
      <c r="I200" s="24">
        <v>0</v>
      </c>
      <c r="J200" s="24"/>
      <c r="K200" s="24">
        <v>17178080</v>
      </c>
      <c r="L200" s="24"/>
      <c r="M200" s="24">
        <v>197364</v>
      </c>
      <c r="N200" s="24"/>
      <c r="O200" s="24">
        <v>1186495</v>
      </c>
      <c r="P200" s="24"/>
      <c r="Q200" s="24">
        <v>246906</v>
      </c>
      <c r="R200" s="24"/>
      <c r="S200" s="24">
        <v>2170</v>
      </c>
      <c r="T200" s="24"/>
      <c r="U200" s="24">
        <v>55738</v>
      </c>
      <c r="V200" s="24"/>
      <c r="W200" s="24">
        <f>204+395875</f>
        <v>396079</v>
      </c>
      <c r="X200" s="24"/>
      <c r="Y200" s="38">
        <f t="shared" si="25"/>
        <v>24742753</v>
      </c>
      <c r="Z200" s="24"/>
      <c r="AA200" s="24">
        <v>283000</v>
      </c>
      <c r="AB200" s="24"/>
      <c r="AC200" s="24">
        <v>0</v>
      </c>
      <c r="AD200" s="24"/>
      <c r="AE200" s="24">
        <v>0</v>
      </c>
      <c r="AF200" s="24"/>
      <c r="AG200" s="24">
        <v>0</v>
      </c>
      <c r="AH200" s="24"/>
      <c r="AI200" s="24">
        <v>0</v>
      </c>
      <c r="AJ200" s="24"/>
      <c r="AK200" s="24">
        <v>5906</v>
      </c>
      <c r="AL200" s="24"/>
      <c r="AM200" s="24">
        <v>0</v>
      </c>
      <c r="AN200" s="24"/>
      <c r="AO200" s="38">
        <f t="shared" si="31"/>
        <v>288906</v>
      </c>
      <c r="AP200" s="24"/>
      <c r="AQ200" s="38">
        <f t="shared" si="29"/>
        <v>25031659</v>
      </c>
      <c r="AR200" s="38"/>
      <c r="AS200" s="7"/>
      <c r="AT200" s="7" t="str">
        <f t="shared" si="21"/>
        <v>Franklin Local SD</v>
      </c>
      <c r="AU200" s="7" t="str">
        <f>'Gov Fd BS'!A200</f>
        <v>Franklin Local SD</v>
      </c>
      <c r="AV200" s="7" t="b">
        <f t="shared" si="22"/>
        <v>1</v>
      </c>
      <c r="AW200" s="7" t="str">
        <f t="shared" si="20"/>
        <v>Muskingum</v>
      </c>
      <c r="AX200" s="7" t="b">
        <f>C200='Gov Fd BS'!C200</f>
        <v>1</v>
      </c>
    </row>
    <row r="201" spans="1:50" hidden="1">
      <c r="A201" s="12" t="s">
        <v>641</v>
      </c>
      <c r="B201" s="12"/>
      <c r="C201" s="12" t="s">
        <v>21</v>
      </c>
      <c r="D201" s="12"/>
      <c r="E201" s="12">
        <v>46649</v>
      </c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38">
        <f t="shared" si="25"/>
        <v>0</v>
      </c>
      <c r="Z201" s="24"/>
      <c r="AA201" s="24"/>
      <c r="AB201" s="24"/>
      <c r="AC201" s="24">
        <v>0</v>
      </c>
      <c r="AD201" s="24"/>
      <c r="AE201" s="24"/>
      <c r="AF201" s="24"/>
      <c r="AG201" s="24"/>
      <c r="AH201" s="24"/>
      <c r="AI201" s="24"/>
      <c r="AJ201" s="24"/>
      <c r="AK201" s="24"/>
      <c r="AL201" s="24"/>
      <c r="AM201" s="24">
        <v>0</v>
      </c>
      <c r="AN201" s="24"/>
      <c r="AO201" s="38">
        <f t="shared" si="31"/>
        <v>0</v>
      </c>
      <c r="AP201" s="24"/>
      <c r="AQ201" s="38">
        <f t="shared" si="29"/>
        <v>0</v>
      </c>
      <c r="AR201" s="38"/>
      <c r="AS201" s="7" t="s">
        <v>839</v>
      </c>
      <c r="AT201" s="7" t="str">
        <f t="shared" si="21"/>
        <v>Franklin Monroe Local SD (CASH)</v>
      </c>
      <c r="AU201" s="7" t="str">
        <f>'Gov Fd BS'!A201</f>
        <v>Franklin Monroe Local SD (CASH)</v>
      </c>
      <c r="AV201" s="7" t="b">
        <f t="shared" si="22"/>
        <v>1</v>
      </c>
      <c r="AW201" s="7" t="str">
        <f t="shared" si="20"/>
        <v>Darke</v>
      </c>
      <c r="AX201" s="7" t="b">
        <f>C201='Gov Fd BS'!C201</f>
        <v>1</v>
      </c>
    </row>
    <row r="202" spans="1:50" hidden="1">
      <c r="A202" s="12" t="s">
        <v>696</v>
      </c>
      <c r="B202" s="12"/>
      <c r="C202" s="12" t="s">
        <v>40</v>
      </c>
      <c r="D202" s="12"/>
      <c r="E202" s="12">
        <v>47852</v>
      </c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38">
        <f t="shared" si="25"/>
        <v>0</v>
      </c>
      <c r="Z202" s="24"/>
      <c r="AA202" s="24"/>
      <c r="AB202" s="24"/>
      <c r="AC202" s="24">
        <v>0</v>
      </c>
      <c r="AD202" s="24"/>
      <c r="AE202" s="24"/>
      <c r="AF202" s="24"/>
      <c r="AG202" s="24"/>
      <c r="AH202" s="24"/>
      <c r="AI202" s="24"/>
      <c r="AJ202" s="24"/>
      <c r="AK202" s="24"/>
      <c r="AL202" s="24"/>
      <c r="AM202" s="24">
        <v>0</v>
      </c>
      <c r="AN202" s="24"/>
      <c r="AO202" s="38">
        <f t="shared" si="31"/>
        <v>0</v>
      </c>
      <c r="AP202" s="24"/>
      <c r="AQ202" s="38">
        <f t="shared" si="29"/>
        <v>0</v>
      </c>
      <c r="AR202" s="38"/>
      <c r="AS202" s="7" t="s">
        <v>839</v>
      </c>
      <c r="AT202" s="7" t="str">
        <f t="shared" si="21"/>
        <v>Fredericktown Local SD (CASH)</v>
      </c>
      <c r="AU202" s="7" t="str">
        <f>'Gov Fd BS'!A202</f>
        <v>Fredericktown Local SD (CASH)</v>
      </c>
      <c r="AV202" s="7" t="b">
        <f t="shared" si="22"/>
        <v>1</v>
      </c>
      <c r="AW202" s="7" t="str">
        <f t="shared" si="20"/>
        <v>Knox</v>
      </c>
      <c r="AX202" s="7" t="b">
        <f>C202='Gov Fd BS'!C202</f>
        <v>1</v>
      </c>
    </row>
    <row r="203" spans="1:50">
      <c r="A203" s="12" t="s">
        <v>673</v>
      </c>
      <c r="B203" s="12"/>
      <c r="C203" s="12" t="s">
        <v>79</v>
      </c>
      <c r="D203" s="12"/>
      <c r="E203" s="12">
        <v>44016</v>
      </c>
      <c r="F203" s="24"/>
      <c r="G203" s="24">
        <v>12220215</v>
      </c>
      <c r="H203" s="24"/>
      <c r="I203" s="24">
        <v>6232621</v>
      </c>
      <c r="J203" s="24"/>
      <c r="K203" s="24">
        <v>29033361</v>
      </c>
      <c r="L203" s="24"/>
      <c r="M203" s="24">
        <v>385132</v>
      </c>
      <c r="N203" s="24"/>
      <c r="O203" s="24">
        <v>585075</v>
      </c>
      <c r="P203" s="24"/>
      <c r="Q203" s="24">
        <v>341440</v>
      </c>
      <c r="R203" s="24"/>
      <c r="S203" s="24">
        <v>846984</v>
      </c>
      <c r="T203" s="24"/>
      <c r="U203" s="24">
        <v>10311</v>
      </c>
      <c r="V203" s="24"/>
      <c r="W203" s="24">
        <f>558528+16315+132697</f>
        <v>707540</v>
      </c>
      <c r="X203" s="24"/>
      <c r="Y203" s="38">
        <f t="shared" si="25"/>
        <v>50362679</v>
      </c>
      <c r="Z203" s="24"/>
      <c r="AA203" s="24">
        <v>321292</v>
      </c>
      <c r="AB203" s="24"/>
      <c r="AC203" s="24">
        <v>0</v>
      </c>
      <c r="AD203" s="24"/>
      <c r="AE203" s="24">
        <f>16401+9499877+127682</f>
        <v>9643960</v>
      </c>
      <c r="AF203" s="24"/>
      <c r="AG203" s="24">
        <v>0</v>
      </c>
      <c r="AH203" s="24"/>
      <c r="AI203" s="24">
        <v>0</v>
      </c>
      <c r="AJ203" s="24"/>
      <c r="AK203" s="24">
        <v>0</v>
      </c>
      <c r="AL203" s="24"/>
      <c r="AM203" s="24">
        <v>0</v>
      </c>
      <c r="AN203" s="24"/>
      <c r="AO203" s="38">
        <f>SUM(AA203:AM203)</f>
        <v>9965252</v>
      </c>
      <c r="AP203" s="24"/>
      <c r="AQ203" s="38">
        <f t="shared" si="29"/>
        <v>60327931</v>
      </c>
      <c r="AR203" s="38"/>
      <c r="AS203" s="7"/>
      <c r="AT203" s="7" t="str">
        <f t="shared" si="21"/>
        <v xml:space="preserve">Fremont City SD </v>
      </c>
      <c r="AU203" s="7" t="str">
        <f>'Gov Fd BS'!A203</f>
        <v xml:space="preserve">Fremont City SD </v>
      </c>
      <c r="AV203" s="7" t="b">
        <f t="shared" si="22"/>
        <v>1</v>
      </c>
      <c r="AW203" s="7" t="str">
        <f t="shared" si="20"/>
        <v>Sandusky</v>
      </c>
      <c r="AX203" s="7" t="b">
        <f>C203='Gov Fd BS'!C203</f>
        <v>1</v>
      </c>
    </row>
    <row r="204" spans="1:50">
      <c r="A204" s="12" t="s">
        <v>565</v>
      </c>
      <c r="B204" s="12"/>
      <c r="C204" s="12" t="s">
        <v>70</v>
      </c>
      <c r="D204" s="12"/>
      <c r="E204" s="12">
        <v>50492</v>
      </c>
      <c r="F204" s="24"/>
      <c r="G204" s="24">
        <v>1319182</v>
      </c>
      <c r="H204" s="24"/>
      <c r="I204" s="24">
        <v>0</v>
      </c>
      <c r="J204" s="24"/>
      <c r="K204" s="24">
        <f>76887+5260604+2344957</f>
        <v>7682448</v>
      </c>
      <c r="L204" s="24"/>
      <c r="M204" s="24">
        <v>13053</v>
      </c>
      <c r="N204" s="24"/>
      <c r="O204" s="24">
        <f>158272+13533</f>
        <v>171805</v>
      </c>
      <c r="P204" s="24"/>
      <c r="Q204" s="24">
        <v>51340</v>
      </c>
      <c r="R204" s="24"/>
      <c r="S204" s="24">
        <v>0</v>
      </c>
      <c r="T204" s="24"/>
      <c r="U204" s="24">
        <v>10495</v>
      </c>
      <c r="V204" s="24"/>
      <c r="W204" s="24">
        <f>11260+80709</f>
        <v>91969</v>
      </c>
      <c r="X204" s="24"/>
      <c r="Y204" s="38">
        <f t="shared" si="25"/>
        <v>9340292</v>
      </c>
      <c r="Z204" s="24"/>
      <c r="AA204" s="24">
        <v>45000</v>
      </c>
      <c r="AB204" s="24"/>
      <c r="AC204" s="24">
        <v>0</v>
      </c>
      <c r="AD204" s="24"/>
      <c r="AE204" s="24">
        <f>45146+500000</f>
        <v>545146</v>
      </c>
      <c r="AF204" s="24"/>
      <c r="AG204" s="24">
        <v>0</v>
      </c>
      <c r="AH204" s="24"/>
      <c r="AI204" s="24">
        <v>0</v>
      </c>
      <c r="AJ204" s="24"/>
      <c r="AK204" s="24">
        <v>0</v>
      </c>
      <c r="AL204" s="24"/>
      <c r="AM204" s="24">
        <v>0</v>
      </c>
      <c r="AN204" s="24"/>
      <c r="AO204" s="38">
        <f t="shared" si="31"/>
        <v>590146</v>
      </c>
      <c r="AP204" s="24"/>
      <c r="AQ204" s="38">
        <f t="shared" si="29"/>
        <v>9930438</v>
      </c>
      <c r="AR204" s="38"/>
      <c r="AS204" s="7"/>
      <c r="AT204" s="7" t="str">
        <f t="shared" si="21"/>
        <v>Frontier Local SD</v>
      </c>
      <c r="AU204" s="7" t="str">
        <f>'Gov Fd BS'!A204</f>
        <v>Frontier Local SD</v>
      </c>
      <c r="AV204" s="7" t="b">
        <f t="shared" si="22"/>
        <v>1</v>
      </c>
      <c r="AW204" s="7" t="str">
        <f t="shared" ref="AW204:AW267" si="32">C204</f>
        <v>Washington</v>
      </c>
      <c r="AX204" s="7" t="b">
        <f>C204='Gov Fd BS'!C204</f>
        <v>1</v>
      </c>
    </row>
    <row r="205" spans="1:50">
      <c r="A205" s="12" t="s">
        <v>670</v>
      </c>
      <c r="B205" s="12"/>
      <c r="C205" s="12" t="s">
        <v>27</v>
      </c>
      <c r="D205" s="12"/>
      <c r="E205" s="12">
        <v>46961</v>
      </c>
      <c r="F205" s="24"/>
      <c r="G205" s="24">
        <v>48514070</v>
      </c>
      <c r="H205" s="24"/>
      <c r="I205" s="24">
        <v>0</v>
      </c>
      <c r="J205" s="24"/>
      <c r="K205" s="24">
        <f>23188046+4182227</f>
        <v>27370273</v>
      </c>
      <c r="L205" s="24"/>
      <c r="M205" s="24">
        <v>86447</v>
      </c>
      <c r="N205" s="24"/>
      <c r="O205" s="24">
        <v>165944</v>
      </c>
      <c r="P205" s="24"/>
      <c r="Q205" s="24">
        <v>0</v>
      </c>
      <c r="R205" s="24"/>
      <c r="S205" s="24">
        <v>5381328</v>
      </c>
      <c r="T205" s="24"/>
      <c r="U205" s="24">
        <v>0</v>
      </c>
      <c r="V205" s="24"/>
      <c r="W205" s="24">
        <v>2874763</v>
      </c>
      <c r="X205" s="24"/>
      <c r="Y205" s="38">
        <f t="shared" si="25"/>
        <v>84392825</v>
      </c>
      <c r="Z205" s="24"/>
      <c r="AA205" s="24">
        <v>1751314</v>
      </c>
      <c r="AB205" s="24"/>
      <c r="AC205" s="24">
        <v>0</v>
      </c>
      <c r="AD205" s="24"/>
      <c r="AE205" s="24">
        <v>2350330</v>
      </c>
      <c r="AF205" s="24"/>
      <c r="AG205" s="24">
        <v>0</v>
      </c>
      <c r="AH205" s="24"/>
      <c r="AI205" s="24">
        <v>0</v>
      </c>
      <c r="AJ205" s="24"/>
      <c r="AK205" s="24">
        <v>85420</v>
      </c>
      <c r="AL205" s="24"/>
      <c r="AM205" s="24">
        <v>0</v>
      </c>
      <c r="AN205" s="24"/>
      <c r="AO205" s="38">
        <f t="shared" si="31"/>
        <v>4187064</v>
      </c>
      <c r="AP205" s="24"/>
      <c r="AQ205" s="38">
        <f t="shared" si="29"/>
        <v>88579889</v>
      </c>
      <c r="AR205" s="38"/>
      <c r="AS205" s="7"/>
      <c r="AT205" s="7" t="str">
        <f t="shared" ref="AT205:AT268" si="33">A205</f>
        <v xml:space="preserve">Gahanna-Jefferson City SD </v>
      </c>
      <c r="AU205" s="7" t="str">
        <f>'Gov Fd BS'!A205</f>
        <v xml:space="preserve">Gahanna-Jefferson City SD </v>
      </c>
      <c r="AV205" s="7" t="b">
        <f t="shared" ref="AV205:AV268" si="34">AT205=AU205</f>
        <v>1</v>
      </c>
      <c r="AW205" s="7" t="str">
        <f t="shared" si="32"/>
        <v>Franklin</v>
      </c>
      <c r="AX205" s="7" t="b">
        <f>C205='Gov Fd BS'!C205</f>
        <v>1</v>
      </c>
    </row>
    <row r="206" spans="1:50">
      <c r="A206" s="12" t="s">
        <v>265</v>
      </c>
      <c r="B206" s="12"/>
      <c r="C206" s="12" t="s">
        <v>111</v>
      </c>
      <c r="D206" s="12"/>
      <c r="E206" s="12">
        <v>44024</v>
      </c>
      <c r="F206" s="24"/>
      <c r="G206" s="24">
        <v>5502742</v>
      </c>
      <c r="H206" s="24"/>
      <c r="I206" s="24">
        <v>0</v>
      </c>
      <c r="J206" s="24"/>
      <c r="K206" s="24">
        <v>14887763</v>
      </c>
      <c r="L206" s="24"/>
      <c r="M206" s="24">
        <v>8847</v>
      </c>
      <c r="N206" s="24"/>
      <c r="O206" s="24">
        <v>466388</v>
      </c>
      <c r="P206" s="24"/>
      <c r="Q206" s="24">
        <v>143123</v>
      </c>
      <c r="R206" s="24"/>
      <c r="S206" s="24">
        <v>36756</v>
      </c>
      <c r="T206" s="24"/>
      <c r="U206" s="24">
        <v>28953</v>
      </c>
      <c r="V206" s="24"/>
      <c r="W206" s="24">
        <f>145904+296940</f>
        <v>442844</v>
      </c>
      <c r="X206" s="24"/>
      <c r="Y206" s="38">
        <f t="shared" si="25"/>
        <v>21517416</v>
      </c>
      <c r="Z206" s="24"/>
      <c r="AA206" s="24">
        <v>50182</v>
      </c>
      <c r="AB206" s="24"/>
      <c r="AC206" s="24">
        <v>0</v>
      </c>
      <c r="AD206" s="24"/>
      <c r="AE206" s="24">
        <v>566044</v>
      </c>
      <c r="AF206" s="24"/>
      <c r="AG206" s="24">
        <v>0</v>
      </c>
      <c r="AH206" s="24"/>
      <c r="AI206" s="24">
        <v>0</v>
      </c>
      <c r="AJ206" s="24"/>
      <c r="AK206" s="24">
        <v>0</v>
      </c>
      <c r="AL206" s="24"/>
      <c r="AM206" s="24">
        <v>0</v>
      </c>
      <c r="AN206" s="24"/>
      <c r="AO206" s="38">
        <f>SUM(AA206:AM206)</f>
        <v>616226</v>
      </c>
      <c r="AP206" s="24"/>
      <c r="AQ206" s="38">
        <f t="shared" si="29"/>
        <v>22133642</v>
      </c>
      <c r="AR206" s="38"/>
      <c r="AS206" s="7"/>
      <c r="AT206" s="7" t="str">
        <f t="shared" si="33"/>
        <v>Galion City SD</v>
      </c>
      <c r="AU206" s="7" t="str">
        <f>'Gov Fd BS'!A206</f>
        <v>Galion City SD</v>
      </c>
      <c r="AV206" s="7" t="b">
        <f t="shared" si="34"/>
        <v>1</v>
      </c>
      <c r="AW206" s="7" t="str">
        <f t="shared" si="32"/>
        <v>Crawford</v>
      </c>
      <c r="AX206" s="7" t="b">
        <f>C206='Gov Fd BS'!C206</f>
        <v>1</v>
      </c>
    </row>
    <row r="207" spans="1:50" hidden="1">
      <c r="A207" s="12" t="s">
        <v>671</v>
      </c>
      <c r="B207" s="12"/>
      <c r="C207" s="12" t="s">
        <v>29</v>
      </c>
      <c r="D207" s="12"/>
      <c r="E207" s="12">
        <v>65680</v>
      </c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38">
        <f t="shared" si="25"/>
        <v>0</v>
      </c>
      <c r="Z207" s="24"/>
      <c r="AA207" s="24"/>
      <c r="AB207" s="24"/>
      <c r="AC207" s="24">
        <v>0</v>
      </c>
      <c r="AD207" s="24"/>
      <c r="AE207" s="24"/>
      <c r="AF207" s="24"/>
      <c r="AG207" s="24"/>
      <c r="AH207" s="24"/>
      <c r="AI207" s="24"/>
      <c r="AJ207" s="24"/>
      <c r="AK207" s="24"/>
      <c r="AL207" s="24"/>
      <c r="AM207" s="24">
        <v>0</v>
      </c>
      <c r="AN207" s="24"/>
      <c r="AO207" s="38">
        <f t="shared" si="31"/>
        <v>0</v>
      </c>
      <c r="AP207" s="24"/>
      <c r="AQ207" s="38">
        <f t="shared" si="29"/>
        <v>0</v>
      </c>
      <c r="AR207" s="38"/>
      <c r="AS207" s="7" t="s">
        <v>856</v>
      </c>
      <c r="AT207" s="7" t="str">
        <f t="shared" si="33"/>
        <v xml:space="preserve">Gallia County Local SD </v>
      </c>
      <c r="AU207" s="7" t="str">
        <f>'Gov Fd BS'!A207</f>
        <v xml:space="preserve">Gallia County Local SD </v>
      </c>
      <c r="AV207" s="7" t="b">
        <f t="shared" si="34"/>
        <v>1</v>
      </c>
      <c r="AW207" s="7" t="str">
        <f t="shared" si="32"/>
        <v>Gallia</v>
      </c>
      <c r="AX207" s="7" t="b">
        <f>C207='Gov Fd BS'!C207</f>
        <v>1</v>
      </c>
    </row>
    <row r="208" spans="1:50">
      <c r="A208" s="12" t="s">
        <v>320</v>
      </c>
      <c r="B208" s="12"/>
      <c r="C208" s="12" t="s">
        <v>29</v>
      </c>
      <c r="D208" s="12"/>
      <c r="E208" s="12">
        <v>44032</v>
      </c>
      <c r="F208" s="24"/>
      <c r="G208" s="24">
        <v>6110916</v>
      </c>
      <c r="H208" s="24"/>
      <c r="I208" s="24">
        <v>0</v>
      </c>
      <c r="J208" s="24"/>
      <c r="K208" s="24">
        <f>18935780+3768062</f>
        <v>22703842</v>
      </c>
      <c r="L208" s="24"/>
      <c r="M208" s="24">
        <v>386246</v>
      </c>
      <c r="N208" s="24"/>
      <c r="O208" s="24">
        <f>1237196+94263+33454</f>
        <v>1364913</v>
      </c>
      <c r="P208" s="24"/>
      <c r="Q208" s="24">
        <v>207507</v>
      </c>
      <c r="R208" s="24"/>
      <c r="S208" s="24">
        <v>0</v>
      </c>
      <c r="T208" s="24"/>
      <c r="U208" s="24">
        <v>131773</v>
      </c>
      <c r="V208" s="24"/>
      <c r="W208" s="24">
        <f>291293+87007</f>
        <v>378300</v>
      </c>
      <c r="X208" s="24"/>
      <c r="Y208" s="38">
        <f t="shared" si="25"/>
        <v>31283497</v>
      </c>
      <c r="Z208" s="24"/>
      <c r="AA208" s="24">
        <v>0</v>
      </c>
      <c r="AB208" s="24"/>
      <c r="AC208" s="24">
        <v>0</v>
      </c>
      <c r="AD208" s="24"/>
      <c r="AE208" s="24">
        <v>0</v>
      </c>
      <c r="AF208" s="24"/>
      <c r="AG208" s="24">
        <v>0</v>
      </c>
      <c r="AH208" s="24"/>
      <c r="AI208" s="24">
        <v>0</v>
      </c>
      <c r="AJ208" s="24"/>
      <c r="AK208" s="24">
        <v>267003</v>
      </c>
      <c r="AL208" s="24"/>
      <c r="AM208" s="24">
        <v>0</v>
      </c>
      <c r="AN208" s="24"/>
      <c r="AO208" s="38">
        <f t="shared" si="31"/>
        <v>267003</v>
      </c>
      <c r="AP208" s="24"/>
      <c r="AQ208" s="38">
        <f t="shared" si="29"/>
        <v>31550500</v>
      </c>
      <c r="AR208" s="38"/>
      <c r="AS208" s="7"/>
      <c r="AT208" s="7" t="str">
        <f t="shared" si="33"/>
        <v>Gallipolis City SD</v>
      </c>
      <c r="AU208" s="7" t="str">
        <f>'Gov Fd BS'!A208</f>
        <v>Gallipolis City SD</v>
      </c>
      <c r="AV208" s="7" t="b">
        <f t="shared" si="34"/>
        <v>1</v>
      </c>
      <c r="AW208" s="7" t="str">
        <f t="shared" si="32"/>
        <v>Gallia</v>
      </c>
      <c r="AX208" s="7" t="b">
        <f>C208='Gov Fd BS'!C208</f>
        <v>1</v>
      </c>
    </row>
    <row r="209" spans="1:50">
      <c r="A209" s="12" t="s">
        <v>551</v>
      </c>
      <c r="B209" s="12"/>
      <c r="C209" s="12" t="s">
        <v>65</v>
      </c>
      <c r="D209" s="12"/>
      <c r="E209" s="12">
        <v>50278</v>
      </c>
      <c r="F209" s="24"/>
      <c r="G209" s="24">
        <v>5353797</v>
      </c>
      <c r="H209" s="24"/>
      <c r="I209" s="24">
        <v>0</v>
      </c>
      <c r="J209" s="24"/>
      <c r="K209" s="24">
        <f>4597111+1432825</f>
        <v>6029936</v>
      </c>
      <c r="L209" s="24"/>
      <c r="M209" s="24">
        <v>8823</v>
      </c>
      <c r="N209" s="24"/>
      <c r="O209" s="24">
        <f>607598+47508+57638</f>
        <v>712744</v>
      </c>
      <c r="P209" s="24"/>
      <c r="Q209" s="24">
        <v>145068</v>
      </c>
      <c r="R209" s="24"/>
      <c r="S209" s="24">
        <v>0</v>
      </c>
      <c r="T209" s="24"/>
      <c r="U209" s="24">
        <v>4120</v>
      </c>
      <c r="V209" s="24"/>
      <c r="W209" s="24">
        <f>211241+434+27908</f>
        <v>239583</v>
      </c>
      <c r="X209" s="24"/>
      <c r="Y209" s="38">
        <f t="shared" si="25"/>
        <v>12494071</v>
      </c>
      <c r="Z209" s="24"/>
      <c r="AA209" s="24">
        <v>10000</v>
      </c>
      <c r="AB209" s="24"/>
      <c r="AC209" s="24">
        <v>0</v>
      </c>
      <c r="AD209" s="24"/>
      <c r="AE209" s="24">
        <v>0</v>
      </c>
      <c r="AF209" s="24"/>
      <c r="AG209" s="24">
        <v>0</v>
      </c>
      <c r="AH209" s="24"/>
      <c r="AI209" s="24">
        <v>0</v>
      </c>
      <c r="AJ209" s="24"/>
      <c r="AK209" s="24">
        <v>0</v>
      </c>
      <c r="AL209" s="24"/>
      <c r="AM209" s="24">
        <v>0</v>
      </c>
      <c r="AN209" s="24"/>
      <c r="AO209" s="38">
        <f t="shared" si="31"/>
        <v>10000</v>
      </c>
      <c r="AP209" s="24"/>
      <c r="AQ209" s="38">
        <f t="shared" si="29"/>
        <v>12504071</v>
      </c>
      <c r="AR209" s="38"/>
      <c r="AS209" s="7"/>
      <c r="AT209" s="7" t="str">
        <f t="shared" si="33"/>
        <v>Garaway Local SD</v>
      </c>
      <c r="AU209" s="7" t="str">
        <f>'Gov Fd BS'!A209</f>
        <v>Garaway Local SD</v>
      </c>
      <c r="AV209" s="7" t="b">
        <f t="shared" si="34"/>
        <v>1</v>
      </c>
      <c r="AW209" s="7" t="str">
        <f t="shared" si="32"/>
        <v>Tuscarawas</v>
      </c>
      <c r="AX209" s="7" t="b">
        <f>C209='Gov Fd BS'!C209</f>
        <v>1</v>
      </c>
    </row>
    <row r="210" spans="1:50">
      <c r="A210" s="12" t="s">
        <v>714</v>
      </c>
      <c r="B210" s="12"/>
      <c r="C210" s="12" t="s">
        <v>20</v>
      </c>
      <c r="D210" s="12"/>
      <c r="E210" s="12">
        <v>44040</v>
      </c>
      <c r="F210" s="24"/>
      <c r="G210" s="24">
        <v>16501147</v>
      </c>
      <c r="H210" s="24"/>
      <c r="I210" s="24">
        <v>0</v>
      </c>
      <c r="J210" s="24"/>
      <c r="K210" s="24">
        <v>39693831</v>
      </c>
      <c r="L210" s="24"/>
      <c r="M210" s="24">
        <v>166284</v>
      </c>
      <c r="N210" s="24"/>
      <c r="O210" s="24">
        <v>370020</v>
      </c>
      <c r="P210" s="24"/>
      <c r="Q210" s="24">
        <v>84928</v>
      </c>
      <c r="R210" s="24"/>
      <c r="S210" s="24">
        <v>0</v>
      </c>
      <c r="T210" s="24"/>
      <c r="U210" s="24">
        <v>13899</v>
      </c>
      <c r="V210" s="24"/>
      <c r="W210" s="24">
        <f>414722+23844+51968</f>
        <v>490534</v>
      </c>
      <c r="X210" s="24"/>
      <c r="Y210" s="38">
        <f t="shared" si="25"/>
        <v>57320643</v>
      </c>
      <c r="Z210" s="24"/>
      <c r="AA210" s="24">
        <v>0</v>
      </c>
      <c r="AB210" s="24"/>
      <c r="AC210" s="24">
        <v>0</v>
      </c>
      <c r="AD210" s="24"/>
      <c r="AE210" s="24">
        <v>0</v>
      </c>
      <c r="AF210" s="24"/>
      <c r="AG210" s="24">
        <v>0</v>
      </c>
      <c r="AH210" s="24"/>
      <c r="AI210" s="24">
        <v>0</v>
      </c>
      <c r="AJ210" s="24"/>
      <c r="AK210" s="24">
        <v>0</v>
      </c>
      <c r="AL210" s="24"/>
      <c r="AM210" s="24">
        <v>0</v>
      </c>
      <c r="AN210" s="24"/>
      <c r="AO210" s="38">
        <f t="shared" si="31"/>
        <v>0</v>
      </c>
      <c r="AP210" s="24"/>
      <c r="AQ210" s="38">
        <f t="shared" si="29"/>
        <v>57320643</v>
      </c>
      <c r="AR210" s="38"/>
      <c r="AS210" s="7" t="s">
        <v>850</v>
      </c>
      <c r="AT210" s="7" t="str">
        <f t="shared" si="33"/>
        <v xml:space="preserve">Garfield Heights City SD </v>
      </c>
      <c r="AU210" s="7" t="str">
        <f>'Gov Fd BS'!A210</f>
        <v xml:space="preserve">Garfield Heights City SD </v>
      </c>
      <c r="AV210" s="7" t="b">
        <f t="shared" si="34"/>
        <v>1</v>
      </c>
      <c r="AW210" s="7" t="str">
        <f t="shared" si="32"/>
        <v>Cuyahoga</v>
      </c>
      <c r="AX210" s="7" t="b">
        <f>C210='Gov Fd BS'!C210</f>
        <v>1</v>
      </c>
    </row>
    <row r="211" spans="1:50">
      <c r="A211" s="12" t="s">
        <v>672</v>
      </c>
      <c r="B211" s="12"/>
      <c r="C211" s="12" t="s">
        <v>12</v>
      </c>
      <c r="D211" s="12"/>
      <c r="E211" s="12">
        <v>44057</v>
      </c>
      <c r="F211" s="24"/>
      <c r="G211" s="24">
        <v>8375362</v>
      </c>
      <c r="H211" s="24"/>
      <c r="I211" s="24">
        <v>0</v>
      </c>
      <c r="J211" s="24"/>
      <c r="K211" s="24">
        <v>39498518</v>
      </c>
      <c r="L211" s="24"/>
      <c r="M211" s="24">
        <v>263425</v>
      </c>
      <c r="N211" s="24"/>
      <c r="O211" s="24">
        <v>1467440</v>
      </c>
      <c r="P211" s="24"/>
      <c r="Q211" s="24">
        <v>144179</v>
      </c>
      <c r="R211" s="24"/>
      <c r="S211" s="24">
        <v>141103</v>
      </c>
      <c r="T211" s="24"/>
      <c r="U211" s="24">
        <v>19917</v>
      </c>
      <c r="V211" s="24"/>
      <c r="W211" s="24">
        <f>103460+510+370066</f>
        <v>474036</v>
      </c>
      <c r="X211" s="24"/>
      <c r="Y211" s="38">
        <f t="shared" si="25"/>
        <v>50383980</v>
      </c>
      <c r="Z211" s="24"/>
      <c r="AA211" s="24">
        <v>55243</v>
      </c>
      <c r="AB211" s="24"/>
      <c r="AC211" s="24">
        <v>0</v>
      </c>
      <c r="AD211" s="24"/>
      <c r="AE211" s="24">
        <v>0</v>
      </c>
      <c r="AF211" s="24"/>
      <c r="AG211" s="24">
        <v>0</v>
      </c>
      <c r="AH211" s="24"/>
      <c r="AI211" s="24">
        <v>0</v>
      </c>
      <c r="AJ211" s="24"/>
      <c r="AK211" s="24">
        <v>0</v>
      </c>
      <c r="AL211" s="24"/>
      <c r="AM211" s="24">
        <v>0</v>
      </c>
      <c r="AN211" s="24"/>
      <c r="AO211" s="38">
        <f t="shared" si="31"/>
        <v>55243</v>
      </c>
      <c r="AP211" s="24"/>
      <c r="AQ211" s="38">
        <f t="shared" si="29"/>
        <v>50439223</v>
      </c>
      <c r="AR211" s="38"/>
      <c r="AS211" s="7"/>
      <c r="AT211" s="7" t="str">
        <f t="shared" si="33"/>
        <v>Geneva Area City SD</v>
      </c>
      <c r="AU211" s="7" t="str">
        <f>'Gov Fd BS'!A211</f>
        <v>Geneva Area City SD</v>
      </c>
      <c r="AV211" s="7" t="b">
        <f t="shared" si="34"/>
        <v>1</v>
      </c>
      <c r="AW211" s="7" t="str">
        <f t="shared" si="32"/>
        <v>Ashtabula</v>
      </c>
      <c r="AX211" s="7" t="b">
        <f>C211='Gov Fd BS'!C211</f>
        <v>1</v>
      </c>
    </row>
    <row r="212" spans="1:50" hidden="1">
      <c r="A212" s="12" t="s">
        <v>983</v>
      </c>
      <c r="B212" s="12"/>
      <c r="C212" s="12" t="s">
        <v>53</v>
      </c>
      <c r="D212" s="12"/>
      <c r="E212" s="12">
        <v>48942</v>
      </c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38">
        <f t="shared" si="25"/>
        <v>0</v>
      </c>
      <c r="Z212" s="24"/>
      <c r="AA212" s="24"/>
      <c r="AB212" s="24"/>
      <c r="AC212" s="24">
        <v>0</v>
      </c>
      <c r="AD212" s="24"/>
      <c r="AE212" s="24"/>
      <c r="AF212" s="24"/>
      <c r="AG212" s="24"/>
      <c r="AH212" s="24"/>
      <c r="AI212" s="24"/>
      <c r="AJ212" s="24"/>
      <c r="AK212" s="24"/>
      <c r="AL212" s="24"/>
      <c r="AM212" s="24">
        <v>0</v>
      </c>
      <c r="AN212" s="24"/>
      <c r="AO212" s="38">
        <f t="shared" si="31"/>
        <v>0</v>
      </c>
      <c r="AP212" s="24"/>
      <c r="AQ212" s="38">
        <f t="shared" si="29"/>
        <v>0</v>
      </c>
      <c r="AR212" s="38"/>
      <c r="AS212" s="7" t="s">
        <v>984</v>
      </c>
      <c r="AT212" s="7" t="str">
        <f t="shared" si="33"/>
        <v>Genoa Area Local SD (CASH)</v>
      </c>
      <c r="AU212" s="7" t="str">
        <f>'Gov Fd BS'!A212</f>
        <v>Genoa Area Local SD (CASH)</v>
      </c>
      <c r="AV212" s="7" t="b">
        <f t="shared" si="34"/>
        <v>1</v>
      </c>
      <c r="AW212" s="7" t="str">
        <f t="shared" si="32"/>
        <v>Ottawa</v>
      </c>
      <c r="AX212" s="7" t="b">
        <f>C212='Gov Fd BS'!C212</f>
        <v>1</v>
      </c>
    </row>
    <row r="213" spans="1:50" hidden="1">
      <c r="A213" s="12" t="s">
        <v>697</v>
      </c>
      <c r="B213" s="12"/>
      <c r="C213" s="12" t="s">
        <v>77</v>
      </c>
      <c r="D213" s="12"/>
      <c r="E213" s="12">
        <v>45377</v>
      </c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38">
        <f t="shared" si="25"/>
        <v>0</v>
      </c>
      <c r="Z213" s="24"/>
      <c r="AA213" s="24"/>
      <c r="AB213" s="24"/>
      <c r="AC213" s="24">
        <v>0</v>
      </c>
      <c r="AD213" s="24"/>
      <c r="AE213" s="24"/>
      <c r="AF213" s="24"/>
      <c r="AG213" s="24"/>
      <c r="AH213" s="24"/>
      <c r="AI213" s="24"/>
      <c r="AJ213" s="24"/>
      <c r="AK213" s="24"/>
      <c r="AL213" s="24"/>
      <c r="AM213" s="24">
        <v>0</v>
      </c>
      <c r="AN213" s="24"/>
      <c r="AO213" s="38">
        <f t="shared" si="31"/>
        <v>0</v>
      </c>
      <c r="AP213" s="24"/>
      <c r="AQ213" s="38">
        <f t="shared" si="29"/>
        <v>0</v>
      </c>
      <c r="AR213" s="38"/>
      <c r="AS213" s="7" t="s">
        <v>839</v>
      </c>
      <c r="AT213" s="7" t="str">
        <f t="shared" si="33"/>
        <v>Georgetown Exempted Village SD (CASH)</v>
      </c>
      <c r="AU213" s="7" t="str">
        <f>'Gov Fd BS'!A213</f>
        <v>Georgetown Exempted Village SD (CASH)</v>
      </c>
      <c r="AV213" s="7" t="b">
        <f t="shared" si="34"/>
        <v>1</v>
      </c>
      <c r="AW213" s="7" t="str">
        <f t="shared" si="32"/>
        <v>Brown</v>
      </c>
      <c r="AX213" s="7" t="b">
        <f>C213='Gov Fd BS'!C213</f>
        <v>1</v>
      </c>
    </row>
    <row r="214" spans="1:50">
      <c r="A214" s="12" t="s">
        <v>857</v>
      </c>
      <c r="B214" s="12"/>
      <c r="C214" s="12" t="s">
        <v>79</v>
      </c>
      <c r="D214" s="12"/>
      <c r="E214" s="12">
        <v>45385</v>
      </c>
      <c r="F214" s="24"/>
      <c r="G214" s="24">
        <v>2567718</v>
      </c>
      <c r="H214" s="24"/>
      <c r="I214" s="24">
        <v>0</v>
      </c>
      <c r="J214" s="24"/>
      <c r="K214" s="24">
        <f>5690678+1493695</f>
        <v>7184373</v>
      </c>
      <c r="L214" s="24"/>
      <c r="M214" s="24">
        <v>13704</v>
      </c>
      <c r="N214" s="24"/>
      <c r="O214" s="24">
        <f>454295+39162</f>
        <v>493457</v>
      </c>
      <c r="P214" s="24"/>
      <c r="Q214" s="24">
        <v>93650</v>
      </c>
      <c r="R214" s="24"/>
      <c r="S214" s="24">
        <v>0</v>
      </c>
      <c r="T214" s="24"/>
      <c r="U214" s="24">
        <v>23727</v>
      </c>
      <c r="V214" s="24"/>
      <c r="W214" s="24">
        <f>255079+990+11607</f>
        <v>267676</v>
      </c>
      <c r="X214" s="24"/>
      <c r="Y214" s="38">
        <f t="shared" si="25"/>
        <v>10644305</v>
      </c>
      <c r="Z214" s="24"/>
      <c r="AA214" s="24">
        <v>63555</v>
      </c>
      <c r="AB214" s="24"/>
      <c r="AC214" s="24">
        <v>0</v>
      </c>
      <c r="AD214" s="24"/>
      <c r="AE214" s="24">
        <v>0</v>
      </c>
      <c r="AF214" s="24"/>
      <c r="AG214" s="24">
        <v>0</v>
      </c>
      <c r="AH214" s="24"/>
      <c r="AI214" s="24">
        <v>0</v>
      </c>
      <c r="AJ214" s="24"/>
      <c r="AK214" s="24">
        <v>0</v>
      </c>
      <c r="AL214" s="24"/>
      <c r="AM214" s="24">
        <v>0</v>
      </c>
      <c r="AN214" s="24"/>
      <c r="AO214" s="38">
        <f t="shared" si="31"/>
        <v>63555</v>
      </c>
      <c r="AP214" s="24"/>
      <c r="AQ214" s="38">
        <f t="shared" si="29"/>
        <v>10707860</v>
      </c>
      <c r="AR214" s="38"/>
      <c r="AS214" s="7"/>
      <c r="AT214" s="7" t="str">
        <f t="shared" si="33"/>
        <v>Gibsonburg Exempted Village SD</v>
      </c>
      <c r="AU214" s="7" t="str">
        <f>'Gov Fd BS'!A214</f>
        <v>Gibsonburg Exempted Village SD</v>
      </c>
      <c r="AV214" s="7" t="b">
        <f t="shared" si="34"/>
        <v>1</v>
      </c>
      <c r="AW214" s="7" t="str">
        <f t="shared" si="32"/>
        <v>Sandusky</v>
      </c>
      <c r="AX214" s="7" t="b">
        <f>C214='Gov Fd BS'!C214</f>
        <v>1</v>
      </c>
    </row>
    <row r="215" spans="1:50">
      <c r="A215" s="12" t="s">
        <v>537</v>
      </c>
      <c r="B215" s="12"/>
      <c r="C215" s="12" t="s">
        <v>64</v>
      </c>
      <c r="D215" s="12"/>
      <c r="E215" s="12">
        <v>44065</v>
      </c>
      <c r="F215" s="24"/>
      <c r="G215" s="24">
        <v>4665765</v>
      </c>
      <c r="H215" s="24"/>
      <c r="I215" s="24">
        <v>0</v>
      </c>
      <c r="J215" s="24"/>
      <c r="K215" s="24">
        <f>9516782+2486216</f>
        <v>12002998</v>
      </c>
      <c r="L215" s="24"/>
      <c r="M215" s="24">
        <v>53812</v>
      </c>
      <c r="N215" s="24"/>
      <c r="O215" s="24">
        <f>448450+11341+4378</f>
        <v>464169</v>
      </c>
      <c r="P215" s="24"/>
      <c r="Q215" s="24">
        <v>121242</v>
      </c>
      <c r="R215" s="24"/>
      <c r="S215" s="24">
        <v>0</v>
      </c>
      <c r="T215" s="24"/>
      <c r="U215" s="24">
        <v>0</v>
      </c>
      <c r="V215" s="24"/>
      <c r="W215" s="24">
        <f>164893+147301</f>
        <v>312194</v>
      </c>
      <c r="X215" s="24"/>
      <c r="Y215" s="38">
        <f t="shared" si="25"/>
        <v>17620180</v>
      </c>
      <c r="Z215" s="24"/>
      <c r="AA215" s="24">
        <v>0</v>
      </c>
      <c r="AB215" s="24"/>
      <c r="AC215" s="24">
        <v>0</v>
      </c>
      <c r="AD215" s="24"/>
      <c r="AE215" s="24">
        <v>0</v>
      </c>
      <c r="AF215" s="24"/>
      <c r="AG215" s="24">
        <v>0</v>
      </c>
      <c r="AH215" s="24"/>
      <c r="AI215" s="24">
        <v>0</v>
      </c>
      <c r="AJ215" s="24"/>
      <c r="AK215" s="24">
        <v>43316</v>
      </c>
      <c r="AL215" s="24"/>
      <c r="AM215" s="24">
        <v>0</v>
      </c>
      <c r="AN215" s="24"/>
      <c r="AO215" s="38">
        <f t="shared" si="31"/>
        <v>43316</v>
      </c>
      <c r="AP215" s="24"/>
      <c r="AQ215" s="38">
        <f t="shared" si="29"/>
        <v>17663496</v>
      </c>
      <c r="AR215" s="38"/>
      <c r="AS215" s="7"/>
      <c r="AT215" s="7" t="str">
        <f t="shared" si="33"/>
        <v>Girard City SD</v>
      </c>
      <c r="AU215" s="7" t="str">
        <f>'Gov Fd BS'!A215</f>
        <v>Girard City SD</v>
      </c>
      <c r="AV215" s="7" t="b">
        <f t="shared" si="34"/>
        <v>1</v>
      </c>
      <c r="AW215" s="7" t="str">
        <f t="shared" si="32"/>
        <v>Trumbull</v>
      </c>
      <c r="AX215" s="7" t="b">
        <f>C215='Gov Fd BS'!C215</f>
        <v>1</v>
      </c>
    </row>
    <row r="216" spans="1:50" hidden="1">
      <c r="A216" s="12" t="s">
        <v>735</v>
      </c>
      <c r="B216" s="12"/>
      <c r="C216" s="12" t="s">
        <v>28</v>
      </c>
      <c r="D216" s="12"/>
      <c r="E216" s="12">
        <v>47068</v>
      </c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38">
        <f t="shared" si="25"/>
        <v>0</v>
      </c>
      <c r="Z216" s="24"/>
      <c r="AA216" s="24"/>
      <c r="AB216" s="24"/>
      <c r="AC216" s="24">
        <v>0</v>
      </c>
      <c r="AD216" s="24"/>
      <c r="AE216" s="24"/>
      <c r="AF216" s="24"/>
      <c r="AG216" s="24"/>
      <c r="AH216" s="24"/>
      <c r="AI216" s="24"/>
      <c r="AJ216" s="24"/>
      <c r="AK216" s="24"/>
      <c r="AL216" s="24"/>
      <c r="AM216" s="24">
        <v>0</v>
      </c>
      <c r="AN216" s="24"/>
      <c r="AO216" s="38">
        <f t="shared" si="31"/>
        <v>0</v>
      </c>
      <c r="AP216" s="24"/>
      <c r="AQ216" s="38">
        <f t="shared" si="29"/>
        <v>0</v>
      </c>
      <c r="AR216" s="38"/>
      <c r="AS216" s="7" t="s">
        <v>787</v>
      </c>
      <c r="AT216" s="7" t="str">
        <f t="shared" si="33"/>
        <v>Gorham Fayette Local SD - name changed to Fayette Local.  See below</v>
      </c>
      <c r="AU216" s="7" t="str">
        <f>'Gov Fd BS'!A216</f>
        <v>Gorham Fayette Local SD - name changed to Fayette Local.  See below</v>
      </c>
      <c r="AV216" s="7" t="b">
        <f t="shared" si="34"/>
        <v>1</v>
      </c>
      <c r="AW216" s="7" t="str">
        <f t="shared" si="32"/>
        <v>Fulton</v>
      </c>
      <c r="AX216" s="7" t="b">
        <f>C216='Gov Fd BS'!C216</f>
        <v>1</v>
      </c>
    </row>
    <row r="217" spans="1:50">
      <c r="A217" s="12" t="s">
        <v>245</v>
      </c>
      <c r="B217" s="12"/>
      <c r="C217" s="12" t="s">
        <v>113</v>
      </c>
      <c r="D217" s="12"/>
      <c r="E217" s="12">
        <v>46342</v>
      </c>
      <c r="F217" s="24"/>
      <c r="G217" s="24">
        <v>7139083</v>
      </c>
      <c r="H217" s="24"/>
      <c r="I217" s="24">
        <v>2745933</v>
      </c>
      <c r="J217" s="24"/>
      <c r="K217" s="24">
        <v>16348540</v>
      </c>
      <c r="L217" s="24"/>
      <c r="M217" s="24">
        <v>11180</v>
      </c>
      <c r="N217" s="24"/>
      <c r="O217" s="24">
        <v>1319096</v>
      </c>
      <c r="P217" s="24"/>
      <c r="Q217" s="24">
        <v>196000</v>
      </c>
      <c r="R217" s="24"/>
      <c r="S217" s="24">
        <v>66476</v>
      </c>
      <c r="T217" s="24"/>
      <c r="U217" s="24">
        <v>0</v>
      </c>
      <c r="V217" s="24"/>
      <c r="W217" s="24">
        <f>21620+430897+339369</f>
        <v>791886</v>
      </c>
      <c r="X217" s="24"/>
      <c r="Y217" s="38">
        <f t="shared" si="25"/>
        <v>28618194</v>
      </c>
      <c r="Z217" s="24"/>
      <c r="AA217" s="24">
        <v>19881</v>
      </c>
      <c r="AB217" s="24"/>
      <c r="AC217" s="24">
        <v>0</v>
      </c>
      <c r="AD217" s="24"/>
      <c r="AE217" s="24">
        <v>0</v>
      </c>
      <c r="AF217" s="24"/>
      <c r="AG217" s="24">
        <v>0</v>
      </c>
      <c r="AH217" s="24"/>
      <c r="AI217" s="24">
        <v>0</v>
      </c>
      <c r="AJ217" s="24"/>
      <c r="AK217" s="24">
        <v>0</v>
      </c>
      <c r="AL217" s="24"/>
      <c r="AM217" s="24">
        <v>0</v>
      </c>
      <c r="AN217" s="24"/>
      <c r="AO217" s="38">
        <f t="shared" si="31"/>
        <v>19881</v>
      </c>
      <c r="AP217" s="24"/>
      <c r="AQ217" s="38">
        <f t="shared" si="29"/>
        <v>28638075</v>
      </c>
      <c r="AR217" s="38"/>
      <c r="AS217" s="7"/>
      <c r="AT217" s="7" t="str">
        <f t="shared" si="33"/>
        <v>Goshen Local SD</v>
      </c>
      <c r="AU217" s="7" t="str">
        <f>'Gov Fd BS'!A217</f>
        <v>Goshen Local SD</v>
      </c>
      <c r="AV217" s="7" t="b">
        <f t="shared" si="34"/>
        <v>1</v>
      </c>
      <c r="AW217" s="7" t="str">
        <f t="shared" si="32"/>
        <v>Clermont</v>
      </c>
      <c r="AX217" s="7" t="b">
        <f>C217='Gov Fd BS'!C217</f>
        <v>1</v>
      </c>
    </row>
    <row r="218" spans="1:50" hidden="1">
      <c r="A218" s="12" t="s">
        <v>902</v>
      </c>
      <c r="B218" s="12"/>
      <c r="C218" s="12" t="s">
        <v>232</v>
      </c>
      <c r="D218" s="12"/>
      <c r="E218" s="12">
        <v>46193</v>
      </c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38">
        <f t="shared" ref="Y218:Y283" si="35">SUM(G218:W218)</f>
        <v>0</v>
      </c>
      <c r="Z218" s="24"/>
      <c r="AA218" s="24"/>
      <c r="AB218" s="24"/>
      <c r="AC218" s="24">
        <v>0</v>
      </c>
      <c r="AD218" s="24"/>
      <c r="AE218" s="24"/>
      <c r="AF218" s="24"/>
      <c r="AG218" s="24"/>
      <c r="AH218" s="24"/>
      <c r="AI218" s="24"/>
      <c r="AJ218" s="24"/>
      <c r="AK218" s="24"/>
      <c r="AL218" s="24"/>
      <c r="AM218" s="24">
        <v>0</v>
      </c>
      <c r="AN218" s="24"/>
      <c r="AO218" s="38">
        <f t="shared" si="31"/>
        <v>0</v>
      </c>
      <c r="AP218" s="24"/>
      <c r="AQ218" s="38">
        <f t="shared" si="29"/>
        <v>0</v>
      </c>
      <c r="AR218" s="38"/>
      <c r="AS218" s="7" t="s">
        <v>901</v>
      </c>
      <c r="AT218" s="7" t="str">
        <f t="shared" si="33"/>
        <v>Graham Local SD (CASH)</v>
      </c>
      <c r="AU218" s="7" t="str">
        <f>'Gov Fd BS'!A218</f>
        <v>Graham Local SD (CASH)</v>
      </c>
      <c r="AV218" s="7" t="b">
        <f t="shared" si="34"/>
        <v>1</v>
      </c>
      <c r="AW218" s="7" t="str">
        <f t="shared" si="32"/>
        <v>Champaign</v>
      </c>
      <c r="AX218" s="7" t="b">
        <f>C218='Gov Fd BS'!C218</f>
        <v>1</v>
      </c>
    </row>
    <row r="219" spans="1:50">
      <c r="A219" s="12" t="s">
        <v>209</v>
      </c>
      <c r="B219" s="12"/>
      <c r="C219" s="12" t="s">
        <v>12</v>
      </c>
      <c r="D219" s="12"/>
      <c r="E219" s="12">
        <v>45864</v>
      </c>
      <c r="F219" s="24"/>
      <c r="G219" s="24">
        <v>4361575</v>
      </c>
      <c r="H219" s="24"/>
      <c r="I219" s="24">
        <v>0</v>
      </c>
      <c r="J219" s="24"/>
      <c r="K219" s="24">
        <v>8244383</v>
      </c>
      <c r="L219" s="24"/>
      <c r="M219" s="24">
        <v>45629</v>
      </c>
      <c r="N219" s="24"/>
      <c r="O219" s="24">
        <v>640548</v>
      </c>
      <c r="P219" s="24"/>
      <c r="Q219" s="24">
        <v>112781</v>
      </c>
      <c r="R219" s="24"/>
      <c r="S219" s="24">
        <v>0</v>
      </c>
      <c r="T219" s="24"/>
      <c r="U219" s="24">
        <v>3409</v>
      </c>
      <c r="V219" s="24"/>
      <c r="W219" s="24">
        <f>196769+18457+95922</f>
        <v>311148</v>
      </c>
      <c r="X219" s="24"/>
      <c r="Y219" s="38">
        <f t="shared" si="35"/>
        <v>13719473</v>
      </c>
      <c r="Z219" s="24"/>
      <c r="AA219" s="24">
        <v>10000</v>
      </c>
      <c r="AB219" s="24"/>
      <c r="AC219" s="24">
        <v>0</v>
      </c>
      <c r="AD219" s="24"/>
      <c r="AE219" s="24">
        <v>0</v>
      </c>
      <c r="AF219" s="24"/>
      <c r="AG219" s="24">
        <v>0</v>
      </c>
      <c r="AH219" s="24"/>
      <c r="AI219" s="24">
        <v>0</v>
      </c>
      <c r="AJ219" s="24"/>
      <c r="AK219" s="24">
        <v>0</v>
      </c>
      <c r="AL219" s="24"/>
      <c r="AM219" s="24">
        <v>0</v>
      </c>
      <c r="AN219" s="24"/>
      <c r="AO219" s="38">
        <f t="shared" si="31"/>
        <v>10000</v>
      </c>
      <c r="AP219" s="24"/>
      <c r="AQ219" s="38">
        <f t="shared" si="29"/>
        <v>13729473</v>
      </c>
      <c r="AR219" s="38"/>
      <c r="AS219" s="7"/>
      <c r="AT219" s="7" t="str">
        <f t="shared" si="33"/>
        <v>Grand Valley Local SD</v>
      </c>
      <c r="AU219" s="7" t="str">
        <f>'Gov Fd BS'!A219</f>
        <v>Grand Valley Local SD</v>
      </c>
      <c r="AV219" s="7" t="b">
        <f t="shared" si="34"/>
        <v>1</v>
      </c>
      <c r="AW219" s="7" t="str">
        <f t="shared" si="32"/>
        <v>Ashtabula</v>
      </c>
      <c r="AX219" s="7" t="b">
        <f>C219='Gov Fd BS'!C219</f>
        <v>1</v>
      </c>
    </row>
    <row r="220" spans="1:50">
      <c r="A220" s="12" t="s">
        <v>309</v>
      </c>
      <c r="B220" s="12"/>
      <c r="C220" s="12" t="s">
        <v>27</v>
      </c>
      <c r="D220" s="12"/>
      <c r="E220" s="12">
        <v>44073</v>
      </c>
      <c r="F220" s="24"/>
      <c r="G220" s="24">
        <v>12684096</v>
      </c>
      <c r="H220" s="24"/>
      <c r="I220" s="24">
        <v>0</v>
      </c>
      <c r="J220" s="24"/>
      <c r="K220" s="24">
        <f>4612974+698404</f>
        <v>5311378</v>
      </c>
      <c r="L220" s="24"/>
      <c r="M220" s="24">
        <v>29271</v>
      </c>
      <c r="N220" s="24"/>
      <c r="O220" s="24">
        <v>225747</v>
      </c>
      <c r="P220" s="24"/>
      <c r="Q220" s="24">
        <v>0</v>
      </c>
      <c r="R220" s="24"/>
      <c r="S220" s="24">
        <v>0</v>
      </c>
      <c r="T220" s="24"/>
      <c r="U220" s="24">
        <v>0</v>
      </c>
      <c r="V220" s="24"/>
      <c r="W220" s="24">
        <v>321314</v>
      </c>
      <c r="X220" s="24"/>
      <c r="Y220" s="38">
        <f t="shared" si="35"/>
        <v>18571806</v>
      </c>
      <c r="Z220" s="24"/>
      <c r="AA220" s="24">
        <v>35140</v>
      </c>
      <c r="AB220" s="24"/>
      <c r="AC220" s="24">
        <v>0</v>
      </c>
      <c r="AD220" s="24"/>
      <c r="AE220" s="24">
        <v>0</v>
      </c>
      <c r="AF220" s="24"/>
      <c r="AG220" s="24">
        <v>0</v>
      </c>
      <c r="AH220" s="24"/>
      <c r="AI220" s="24">
        <v>0</v>
      </c>
      <c r="AJ220" s="24"/>
      <c r="AK220" s="24">
        <v>241064</v>
      </c>
      <c r="AL220" s="24"/>
      <c r="AM220" s="24">
        <v>0</v>
      </c>
      <c r="AN220" s="24"/>
      <c r="AO220" s="38">
        <f t="shared" si="31"/>
        <v>276204</v>
      </c>
      <c r="AP220" s="24"/>
      <c r="AQ220" s="38">
        <f t="shared" si="29"/>
        <v>18848010</v>
      </c>
      <c r="AR220" s="38"/>
      <c r="AS220" s="7"/>
      <c r="AT220" s="7" t="str">
        <f t="shared" si="33"/>
        <v>Grandview Heights City SD</v>
      </c>
      <c r="AU220" s="7" t="str">
        <f>'Gov Fd BS'!A220</f>
        <v>Grandview Heights City SD</v>
      </c>
      <c r="AV220" s="7" t="b">
        <f t="shared" si="34"/>
        <v>1</v>
      </c>
      <c r="AW220" s="7" t="str">
        <f t="shared" si="32"/>
        <v>Franklin</v>
      </c>
      <c r="AX220" s="7" t="b">
        <f>C220='Gov Fd BS'!C220</f>
        <v>1</v>
      </c>
    </row>
    <row r="221" spans="1:50">
      <c r="A221" s="12" t="s">
        <v>698</v>
      </c>
      <c r="B221" s="12"/>
      <c r="C221" s="12" t="s">
        <v>42</v>
      </c>
      <c r="D221" s="12"/>
      <c r="E221" s="12">
        <v>45393</v>
      </c>
      <c r="F221" s="24"/>
      <c r="G221" s="24">
        <v>16012594</v>
      </c>
      <c r="H221" s="24"/>
      <c r="I221" s="24">
        <v>0</v>
      </c>
      <c r="J221" s="24"/>
      <c r="K221" s="24">
        <v>9974078</v>
      </c>
      <c r="L221" s="24"/>
      <c r="M221" s="24">
        <v>37475</v>
      </c>
      <c r="N221" s="24"/>
      <c r="O221" s="24">
        <v>148049</v>
      </c>
      <c r="P221" s="24"/>
      <c r="Q221" s="24">
        <v>411049</v>
      </c>
      <c r="R221" s="24"/>
      <c r="S221" s="24">
        <v>98410</v>
      </c>
      <c r="T221" s="24"/>
      <c r="U221" s="24">
        <v>82991</v>
      </c>
      <c r="V221" s="24"/>
      <c r="W221" s="24">
        <f>645551+161166</f>
        <v>806717</v>
      </c>
      <c r="X221" s="24"/>
      <c r="Y221" s="38">
        <f t="shared" si="35"/>
        <v>27571363</v>
      </c>
      <c r="Z221" s="24"/>
      <c r="AA221" s="24">
        <v>0</v>
      </c>
      <c r="AB221" s="24"/>
      <c r="AC221" s="24">
        <v>0</v>
      </c>
      <c r="AD221" s="24"/>
      <c r="AE221" s="24">
        <v>0</v>
      </c>
      <c r="AF221" s="24"/>
      <c r="AG221" s="24">
        <v>0</v>
      </c>
      <c r="AH221" s="24"/>
      <c r="AI221" s="24">
        <v>0</v>
      </c>
      <c r="AJ221" s="24"/>
      <c r="AK221" s="24">
        <v>5116</v>
      </c>
      <c r="AL221" s="24"/>
      <c r="AM221" s="24">
        <v>0</v>
      </c>
      <c r="AN221" s="24"/>
      <c r="AO221" s="38">
        <f t="shared" si="31"/>
        <v>5116</v>
      </c>
      <c r="AP221" s="24"/>
      <c r="AQ221" s="38">
        <f t="shared" si="29"/>
        <v>27576479</v>
      </c>
      <c r="AR221" s="38"/>
      <c r="AS221" s="7"/>
      <c r="AT221" s="7" t="str">
        <f t="shared" si="33"/>
        <v>Granville Exempted Village SD</v>
      </c>
      <c r="AU221" s="7" t="str">
        <f>'Gov Fd BS'!A221</f>
        <v>Granville Exempted Village SD</v>
      </c>
      <c r="AV221" s="7" t="b">
        <f t="shared" si="34"/>
        <v>1</v>
      </c>
      <c r="AW221" s="7" t="str">
        <f t="shared" si="32"/>
        <v>Licking</v>
      </c>
      <c r="AX221" s="7" t="b">
        <f>C221='Gov Fd BS'!C221</f>
        <v>1</v>
      </c>
    </row>
    <row r="222" spans="1:50">
      <c r="A222" s="12" t="s">
        <v>496</v>
      </c>
      <c r="B222" s="12"/>
      <c r="C222" s="12" t="s">
        <v>59</v>
      </c>
      <c r="D222" s="12"/>
      <c r="E222" s="12">
        <v>49619</v>
      </c>
      <c r="F222" s="24"/>
      <c r="G222" s="24">
        <v>1254469</v>
      </c>
      <c r="H222" s="24"/>
      <c r="I222" s="24">
        <v>0</v>
      </c>
      <c r="J222" s="24"/>
      <c r="K222" s="24">
        <v>4839849</v>
      </c>
      <c r="L222" s="24"/>
      <c r="M222" s="24">
        <v>1433</v>
      </c>
      <c r="N222" s="24"/>
      <c r="O222" s="24">
        <v>435689</v>
      </c>
      <c r="P222" s="24"/>
      <c r="Q222" s="24">
        <v>71230</v>
      </c>
      <c r="R222" s="24"/>
      <c r="S222" s="24">
        <v>105699</v>
      </c>
      <c r="T222" s="24"/>
      <c r="U222" s="24">
        <v>28949</v>
      </c>
      <c r="V222" s="24"/>
      <c r="W222" s="24">
        <f>24588+73213+181815</f>
        <v>279616</v>
      </c>
      <c r="X222" s="24"/>
      <c r="Y222" s="38">
        <f t="shared" si="35"/>
        <v>7016934</v>
      </c>
      <c r="Z222" s="24"/>
      <c r="AA222" s="24">
        <v>0</v>
      </c>
      <c r="AB222" s="24"/>
      <c r="AC222" s="24">
        <v>0</v>
      </c>
      <c r="AD222" s="24"/>
      <c r="AE222" s="24">
        <v>182961</v>
      </c>
      <c r="AF222" s="24"/>
      <c r="AG222" s="24">
        <v>0</v>
      </c>
      <c r="AH222" s="24"/>
      <c r="AI222" s="24">
        <v>0</v>
      </c>
      <c r="AJ222" s="24"/>
      <c r="AK222" s="24">
        <v>0</v>
      </c>
      <c r="AL222" s="24"/>
      <c r="AM222" s="24">
        <v>0</v>
      </c>
      <c r="AN222" s="24"/>
      <c r="AO222" s="38">
        <f t="shared" si="31"/>
        <v>182961</v>
      </c>
      <c r="AP222" s="24"/>
      <c r="AQ222" s="38">
        <f t="shared" si="29"/>
        <v>7199895</v>
      </c>
      <c r="AR222" s="38"/>
      <c r="AS222" s="7"/>
      <c r="AT222" s="7" t="str">
        <f t="shared" si="33"/>
        <v>Green Local SD</v>
      </c>
      <c r="AU222" s="7" t="str">
        <f>'Gov Fd BS'!A222</f>
        <v>Green Local SD</v>
      </c>
      <c r="AV222" s="7" t="b">
        <f t="shared" si="34"/>
        <v>1</v>
      </c>
      <c r="AW222" s="7" t="str">
        <f t="shared" si="32"/>
        <v>Scioto</v>
      </c>
      <c r="AX222" s="7" t="b">
        <f>C222='Gov Fd BS'!C222</f>
        <v>1</v>
      </c>
    </row>
    <row r="223" spans="1:50">
      <c r="A223" s="12" t="s">
        <v>496</v>
      </c>
      <c r="B223" s="12"/>
      <c r="C223" s="12" t="s">
        <v>63</v>
      </c>
      <c r="D223" s="12"/>
      <c r="E223" s="12">
        <v>50013</v>
      </c>
      <c r="F223" s="24"/>
      <c r="G223" s="24">
        <v>21332094</v>
      </c>
      <c r="H223" s="24"/>
      <c r="I223" s="24">
        <v>0</v>
      </c>
      <c r="J223" s="24"/>
      <c r="K223" s="24">
        <v>18230995</v>
      </c>
      <c r="L223" s="24"/>
      <c r="M223" s="24">
        <v>9379</v>
      </c>
      <c r="N223" s="24"/>
      <c r="O223" s="24">
        <f>951250+16872+820683</f>
        <v>1788805</v>
      </c>
      <c r="P223" s="24"/>
      <c r="Q223" s="24">
        <v>561912</v>
      </c>
      <c r="R223" s="24"/>
      <c r="S223" s="24">
        <v>0</v>
      </c>
      <c r="T223" s="24"/>
      <c r="U223" s="24">
        <v>17000</v>
      </c>
      <c r="V223" s="24"/>
      <c r="W223" s="24">
        <v>127744</v>
      </c>
      <c r="X223" s="24"/>
      <c r="Y223" s="38">
        <f t="shared" si="35"/>
        <v>42067929</v>
      </c>
      <c r="Z223" s="24"/>
      <c r="AA223" s="24">
        <v>2094</v>
      </c>
      <c r="AB223" s="24"/>
      <c r="AC223" s="24">
        <v>0</v>
      </c>
      <c r="AD223" s="24"/>
      <c r="AE223" s="24">
        <v>0</v>
      </c>
      <c r="AF223" s="24"/>
      <c r="AG223" s="24">
        <v>0</v>
      </c>
      <c r="AH223" s="24"/>
      <c r="AI223" s="24">
        <v>0</v>
      </c>
      <c r="AJ223" s="24"/>
      <c r="AK223" s="24">
        <v>2421</v>
      </c>
      <c r="AL223" s="24"/>
      <c r="AM223" s="24">
        <v>0</v>
      </c>
      <c r="AN223" s="24"/>
      <c r="AO223" s="38">
        <f t="shared" si="31"/>
        <v>4515</v>
      </c>
      <c r="AP223" s="24"/>
      <c r="AQ223" s="38">
        <f t="shared" si="29"/>
        <v>42072444</v>
      </c>
      <c r="AR223" s="38"/>
      <c r="AS223" s="7"/>
      <c r="AT223" s="7" t="str">
        <f t="shared" si="33"/>
        <v>Green Local SD</v>
      </c>
      <c r="AU223" s="7" t="str">
        <f>'Gov Fd BS'!A223</f>
        <v>Green Local SD</v>
      </c>
      <c r="AV223" s="7" t="b">
        <f t="shared" si="34"/>
        <v>1</v>
      </c>
      <c r="AW223" s="7" t="str">
        <f t="shared" si="32"/>
        <v>Summit</v>
      </c>
      <c r="AX223" s="7" t="b">
        <f>C223='Gov Fd BS'!C223</f>
        <v>1</v>
      </c>
    </row>
    <row r="224" spans="1:50" hidden="1">
      <c r="A224" s="12" t="s">
        <v>496</v>
      </c>
      <c r="B224" s="12"/>
      <c r="C224" s="12" t="s">
        <v>71</v>
      </c>
      <c r="D224" s="12"/>
      <c r="E224" s="12">
        <v>50559</v>
      </c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38">
        <f t="shared" si="35"/>
        <v>0</v>
      </c>
      <c r="Z224" s="24"/>
      <c r="AA224" s="24"/>
      <c r="AB224" s="24"/>
      <c r="AC224" s="24">
        <v>0</v>
      </c>
      <c r="AD224" s="24"/>
      <c r="AE224" s="24"/>
      <c r="AF224" s="24"/>
      <c r="AG224" s="24"/>
      <c r="AH224" s="24"/>
      <c r="AI224" s="24"/>
      <c r="AJ224" s="24"/>
      <c r="AK224" s="24"/>
      <c r="AL224" s="24"/>
      <c r="AM224" s="24">
        <v>0</v>
      </c>
      <c r="AN224" s="24"/>
      <c r="AO224" s="38">
        <f t="shared" si="31"/>
        <v>0</v>
      </c>
      <c r="AP224" s="24"/>
      <c r="AQ224" s="38">
        <f t="shared" si="29"/>
        <v>0</v>
      </c>
      <c r="AR224" s="38"/>
      <c r="AS224" s="7" t="s">
        <v>839</v>
      </c>
      <c r="AT224" s="7" t="str">
        <f t="shared" si="33"/>
        <v>Green Local SD</v>
      </c>
      <c r="AU224" s="7" t="str">
        <f>'Gov Fd BS'!A224</f>
        <v>Green Local SD</v>
      </c>
      <c r="AV224" s="7" t="b">
        <f t="shared" si="34"/>
        <v>1</v>
      </c>
      <c r="AW224" s="7" t="str">
        <f t="shared" si="32"/>
        <v>Wayne</v>
      </c>
      <c r="AX224" s="7" t="b">
        <f>C224='Gov Fd BS'!C224</f>
        <v>1</v>
      </c>
    </row>
    <row r="225" spans="1:50">
      <c r="A225" s="12" t="s">
        <v>326</v>
      </c>
      <c r="B225" s="12"/>
      <c r="C225" s="12" t="s">
        <v>114</v>
      </c>
      <c r="D225" s="12"/>
      <c r="E225" s="12">
        <v>47266</v>
      </c>
      <c r="F225" s="24"/>
      <c r="G225" s="24">
        <v>4227739</v>
      </c>
      <c r="H225" s="24"/>
      <c r="I225" s="24">
        <v>1638158</v>
      </c>
      <c r="J225" s="24"/>
      <c r="K225" s="24">
        <v>17608788</v>
      </c>
      <c r="L225" s="24"/>
      <c r="M225" s="24">
        <v>40174</v>
      </c>
      <c r="N225" s="24"/>
      <c r="O225" s="24">
        <f>675194+222074+6383</f>
        <v>903651</v>
      </c>
      <c r="P225" s="24"/>
      <c r="Q225" s="24">
        <v>209121</v>
      </c>
      <c r="R225" s="24"/>
      <c r="S225" s="24">
        <v>0</v>
      </c>
      <c r="T225" s="24"/>
      <c r="U225" s="24">
        <v>36865</v>
      </c>
      <c r="V225" s="24"/>
      <c r="W225" s="24">
        <v>26138</v>
      </c>
      <c r="X225" s="24"/>
      <c r="Y225" s="38">
        <f t="shared" si="35"/>
        <v>24690634</v>
      </c>
      <c r="Z225" s="24"/>
      <c r="AA225" s="24">
        <v>0</v>
      </c>
      <c r="AB225" s="24"/>
      <c r="AC225" s="24">
        <v>0</v>
      </c>
      <c r="AD225" s="24"/>
      <c r="AE225" s="24">
        <v>0</v>
      </c>
      <c r="AF225" s="24"/>
      <c r="AG225" s="24">
        <v>0</v>
      </c>
      <c r="AH225" s="24"/>
      <c r="AI225" s="24">
        <v>0</v>
      </c>
      <c r="AJ225" s="24"/>
      <c r="AK225" s="24">
        <v>2762</v>
      </c>
      <c r="AL225" s="24"/>
      <c r="AM225" s="24">
        <v>0</v>
      </c>
      <c r="AN225" s="24"/>
      <c r="AO225" s="38">
        <f t="shared" si="31"/>
        <v>2762</v>
      </c>
      <c r="AP225" s="24"/>
      <c r="AQ225" s="38">
        <f t="shared" si="29"/>
        <v>24693396</v>
      </c>
      <c r="AR225" s="38"/>
      <c r="AS225" s="7"/>
      <c r="AT225" s="7" t="str">
        <f t="shared" si="33"/>
        <v>Greeneview Local SD</v>
      </c>
      <c r="AU225" s="7" t="str">
        <f>'Gov Fd BS'!A225</f>
        <v>Greeneview Local SD</v>
      </c>
      <c r="AV225" s="7" t="b">
        <f t="shared" si="34"/>
        <v>1</v>
      </c>
      <c r="AW225" s="7" t="str">
        <f t="shared" si="32"/>
        <v>Greene</v>
      </c>
      <c r="AX225" s="7" t="b">
        <f>C225='Gov Fd BS'!C225</f>
        <v>1</v>
      </c>
    </row>
    <row r="226" spans="1:50">
      <c r="A226" s="12" t="s">
        <v>869</v>
      </c>
      <c r="B226" s="12"/>
      <c r="C226" s="12" t="s">
        <v>358</v>
      </c>
      <c r="D226" s="12"/>
      <c r="E226" s="12">
        <v>45401</v>
      </c>
      <c r="F226" s="24"/>
      <c r="G226" s="24">
        <v>3301710</v>
      </c>
      <c r="H226" s="24"/>
      <c r="I226" s="24">
        <v>1616251</v>
      </c>
      <c r="J226" s="24"/>
      <c r="K226" s="24">
        <v>15614163</v>
      </c>
      <c r="L226" s="24"/>
      <c r="M226" s="24">
        <v>117560</v>
      </c>
      <c r="N226" s="24"/>
      <c r="O226" s="24">
        <f>607934+3020+219118</f>
        <v>830072</v>
      </c>
      <c r="P226" s="24"/>
      <c r="Q226" s="24">
        <v>124045</v>
      </c>
      <c r="R226" s="24"/>
      <c r="S226" s="24">
        <v>0</v>
      </c>
      <c r="T226" s="24"/>
      <c r="U226" s="24">
        <v>8000</v>
      </c>
      <c r="V226" s="24"/>
      <c r="W226" s="24">
        <v>247971</v>
      </c>
      <c r="X226" s="24"/>
      <c r="Y226" s="38">
        <f t="shared" si="35"/>
        <v>21859772</v>
      </c>
      <c r="Z226" s="24"/>
      <c r="AA226" s="24">
        <v>242049</v>
      </c>
      <c r="AB226" s="24"/>
      <c r="AC226" s="24">
        <v>0</v>
      </c>
      <c r="AD226" s="24"/>
      <c r="AE226" s="24">
        <v>0</v>
      </c>
      <c r="AF226" s="24"/>
      <c r="AG226" s="24">
        <v>0</v>
      </c>
      <c r="AH226" s="24"/>
      <c r="AI226" s="24">
        <v>0</v>
      </c>
      <c r="AJ226" s="24"/>
      <c r="AK226" s="24">
        <v>0</v>
      </c>
      <c r="AL226" s="24"/>
      <c r="AM226" s="24">
        <v>0</v>
      </c>
      <c r="AN226" s="24"/>
      <c r="AO226" s="38">
        <f t="shared" si="31"/>
        <v>242049</v>
      </c>
      <c r="AP226" s="24"/>
      <c r="AQ226" s="38">
        <f t="shared" si="29"/>
        <v>22101821</v>
      </c>
      <c r="AR226" s="38"/>
      <c r="AS226" s="7"/>
      <c r="AT226" s="7" t="str">
        <f t="shared" si="33"/>
        <v>Greenfield Exempted Village SD</v>
      </c>
      <c r="AU226" s="7" t="str">
        <f>'Gov Fd BS'!A226</f>
        <v>Greenfield Exempted Village SD</v>
      </c>
      <c r="AV226" s="7" t="b">
        <f t="shared" si="34"/>
        <v>1</v>
      </c>
      <c r="AW226" s="7" t="str">
        <f t="shared" si="32"/>
        <v>Highland</v>
      </c>
      <c r="AX226" s="7" t="b">
        <f>C226='Gov Fd BS'!C226</f>
        <v>1</v>
      </c>
    </row>
    <row r="227" spans="1:50">
      <c r="A227" s="12" t="s">
        <v>237</v>
      </c>
      <c r="B227" s="12"/>
      <c r="C227" s="12" t="s">
        <v>17</v>
      </c>
      <c r="D227" s="12"/>
      <c r="E227" s="12">
        <v>46235</v>
      </c>
      <c r="F227" s="24"/>
      <c r="G227" s="24">
        <v>6936039</v>
      </c>
      <c r="H227" s="24"/>
      <c r="I227" s="24">
        <v>0</v>
      </c>
      <c r="J227" s="24"/>
      <c r="K227" s="24">
        <v>9657689</v>
      </c>
      <c r="L227" s="24"/>
      <c r="M227" s="24">
        <v>11663</v>
      </c>
      <c r="N227" s="24"/>
      <c r="O227" s="24">
        <f>417773+677965+9945</f>
        <v>1105683</v>
      </c>
      <c r="P227" s="24"/>
      <c r="Q227" s="24">
        <v>322998</v>
      </c>
      <c r="R227" s="24"/>
      <c r="S227" s="24">
        <v>0</v>
      </c>
      <c r="T227" s="24"/>
      <c r="U227" s="24">
        <v>47832</v>
      </c>
      <c r="V227" s="24"/>
      <c r="W227" s="24">
        <v>31433</v>
      </c>
      <c r="X227" s="24"/>
      <c r="Y227" s="38">
        <f t="shared" si="35"/>
        <v>18113337</v>
      </c>
      <c r="Z227" s="24"/>
      <c r="AA227" s="24">
        <v>0</v>
      </c>
      <c r="AB227" s="24"/>
      <c r="AC227" s="24">
        <v>0</v>
      </c>
      <c r="AD227" s="24"/>
      <c r="AE227" s="24">
        <v>0</v>
      </c>
      <c r="AF227" s="24"/>
      <c r="AG227" s="24">
        <v>0</v>
      </c>
      <c r="AH227" s="24"/>
      <c r="AI227" s="24">
        <v>0</v>
      </c>
      <c r="AJ227" s="24"/>
      <c r="AK227" s="24">
        <v>13293</v>
      </c>
      <c r="AL227" s="24"/>
      <c r="AM227" s="24">
        <v>0</v>
      </c>
      <c r="AN227" s="24"/>
      <c r="AO227" s="38">
        <f t="shared" si="31"/>
        <v>13293</v>
      </c>
      <c r="AP227" s="24"/>
      <c r="AQ227" s="38">
        <f t="shared" si="29"/>
        <v>18126630</v>
      </c>
      <c r="AR227" s="38"/>
      <c r="AS227" s="7"/>
      <c r="AT227" s="7" t="str">
        <f t="shared" si="33"/>
        <v>Greenon Local SD</v>
      </c>
      <c r="AU227" s="7" t="str">
        <f>'Gov Fd BS'!A227</f>
        <v>Greenon Local SD</v>
      </c>
      <c r="AV227" s="7" t="b">
        <f t="shared" si="34"/>
        <v>1</v>
      </c>
      <c r="AW227" s="7" t="str">
        <f t="shared" si="32"/>
        <v>Clark</v>
      </c>
      <c r="AX227" s="7" t="b">
        <f>C227='Gov Fd BS'!C227</f>
        <v>1</v>
      </c>
    </row>
    <row r="228" spans="1:50">
      <c r="A228" s="12" t="s">
        <v>288</v>
      </c>
      <c r="B228" s="12"/>
      <c r="C228" s="12" t="s">
        <v>21</v>
      </c>
      <c r="D228" s="12"/>
      <c r="E228" s="12">
        <v>44099</v>
      </c>
      <c r="F228" s="24"/>
      <c r="G228" s="24">
        <v>10090074</v>
      </c>
      <c r="H228" s="24"/>
      <c r="I228" s="24">
        <v>1767661</v>
      </c>
      <c r="J228" s="24"/>
      <c r="K228" s="24">
        <v>17511009</v>
      </c>
      <c r="L228" s="24"/>
      <c r="M228" s="24">
        <v>18194</v>
      </c>
      <c r="N228" s="24"/>
      <c r="O228" s="24">
        <f>556958+342313+13846</f>
        <v>913117</v>
      </c>
      <c r="P228" s="24"/>
      <c r="Q228" s="24">
        <v>320282</v>
      </c>
      <c r="R228" s="24"/>
      <c r="S228" s="24">
        <v>41706</v>
      </c>
      <c r="T228" s="24"/>
      <c r="U228" s="24">
        <v>39514</v>
      </c>
      <c r="V228" s="24"/>
      <c r="W228" s="24">
        <v>93156</v>
      </c>
      <c r="X228" s="24"/>
      <c r="Y228" s="38">
        <f t="shared" si="35"/>
        <v>30794713</v>
      </c>
      <c r="Z228" s="24"/>
      <c r="AA228" s="24">
        <v>203000</v>
      </c>
      <c r="AB228" s="24"/>
      <c r="AC228" s="24">
        <v>0</v>
      </c>
      <c r="AD228" s="24"/>
      <c r="AE228" s="24">
        <v>0</v>
      </c>
      <c r="AF228" s="24"/>
      <c r="AG228" s="24">
        <v>0</v>
      </c>
      <c r="AH228" s="24"/>
      <c r="AI228" s="24">
        <v>0</v>
      </c>
      <c r="AJ228" s="24"/>
      <c r="AK228" s="24">
        <v>7539</v>
      </c>
      <c r="AL228" s="24"/>
      <c r="AM228" s="24">
        <v>0</v>
      </c>
      <c r="AN228" s="24"/>
      <c r="AO228" s="38">
        <f t="shared" si="31"/>
        <v>210539</v>
      </c>
      <c r="AP228" s="24"/>
      <c r="AQ228" s="38">
        <f t="shared" si="29"/>
        <v>31005252</v>
      </c>
      <c r="AR228" s="38"/>
      <c r="AS228" s="7"/>
      <c r="AT228" s="7" t="str">
        <f t="shared" si="33"/>
        <v>Greenville City SD</v>
      </c>
      <c r="AU228" s="7" t="str">
        <f>'Gov Fd BS'!A228</f>
        <v>Greenville City SD</v>
      </c>
      <c r="AV228" s="7" t="b">
        <f t="shared" si="34"/>
        <v>1</v>
      </c>
      <c r="AW228" s="7" t="str">
        <f t="shared" si="32"/>
        <v>Darke</v>
      </c>
      <c r="AX228" s="7" t="b">
        <f>C228='Gov Fd BS'!C228</f>
        <v>1</v>
      </c>
    </row>
    <row r="229" spans="1:50">
      <c r="A229" s="12" t="s">
        <v>310</v>
      </c>
      <c r="B229" s="12"/>
      <c r="C229" s="12" t="s">
        <v>27</v>
      </c>
      <c r="D229" s="12"/>
      <c r="E229" s="12">
        <v>46979</v>
      </c>
      <c r="F229" s="24"/>
      <c r="G229" s="24">
        <v>28603249</v>
      </c>
      <c r="H229" s="24"/>
      <c r="I229" s="24">
        <v>0</v>
      </c>
      <c r="J229" s="24"/>
      <c r="K229" s="24">
        <v>42971235</v>
      </c>
      <c r="L229" s="24"/>
      <c r="M229" s="24">
        <v>5427</v>
      </c>
      <c r="N229" s="24"/>
      <c r="O229" s="24">
        <f>655110+1227883</f>
        <v>1882993</v>
      </c>
      <c r="P229" s="24"/>
      <c r="Q229" s="24">
        <v>227938</v>
      </c>
      <c r="R229" s="24"/>
      <c r="S229" s="24">
        <v>1183299</v>
      </c>
      <c r="T229" s="24"/>
      <c r="U229" s="24">
        <v>29354</v>
      </c>
      <c r="V229" s="24"/>
      <c r="W229" s="24">
        <v>317988</v>
      </c>
      <c r="X229" s="24"/>
      <c r="Y229" s="38">
        <f t="shared" si="35"/>
        <v>75221483</v>
      </c>
      <c r="Z229" s="24"/>
      <c r="AA229" s="24">
        <v>331398</v>
      </c>
      <c r="AB229" s="24"/>
      <c r="AC229" s="24">
        <v>0</v>
      </c>
      <c r="AD229" s="24"/>
      <c r="AE229" s="24">
        <v>0</v>
      </c>
      <c r="AF229" s="24"/>
      <c r="AG229" s="24">
        <v>0</v>
      </c>
      <c r="AH229" s="24"/>
      <c r="AI229" s="24">
        <v>0</v>
      </c>
      <c r="AJ229" s="24"/>
      <c r="AK229" s="24">
        <v>3300</v>
      </c>
      <c r="AL229" s="24"/>
      <c r="AM229" s="24">
        <v>0</v>
      </c>
      <c r="AN229" s="24"/>
      <c r="AO229" s="38">
        <f t="shared" si="31"/>
        <v>334698</v>
      </c>
      <c r="AP229" s="24"/>
      <c r="AQ229" s="38">
        <f t="shared" si="29"/>
        <v>75556181</v>
      </c>
      <c r="AR229" s="38"/>
      <c r="AS229" s="7"/>
      <c r="AT229" s="7" t="str">
        <f t="shared" si="33"/>
        <v>Groveport Madison Local SD</v>
      </c>
      <c r="AU229" s="7" t="str">
        <f>'Gov Fd BS'!A229</f>
        <v>Groveport Madison Local SD</v>
      </c>
      <c r="AV229" s="7" t="b">
        <f t="shared" si="34"/>
        <v>1</v>
      </c>
      <c r="AW229" s="7" t="str">
        <f t="shared" si="32"/>
        <v>Franklin</v>
      </c>
      <c r="AX229" s="7" t="b">
        <f>C229='Gov Fd BS'!C229</f>
        <v>1</v>
      </c>
    </row>
    <row r="230" spans="1:50" hidden="1">
      <c r="A230" s="12" t="s">
        <v>225</v>
      </c>
      <c r="B230" s="12"/>
      <c r="C230" s="12" t="s">
        <v>223</v>
      </c>
      <c r="D230" s="12"/>
      <c r="E230" s="12">
        <v>44107</v>
      </c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38">
        <f t="shared" si="35"/>
        <v>0</v>
      </c>
      <c r="Z230" s="24"/>
      <c r="AA230" s="24"/>
      <c r="AB230" s="24"/>
      <c r="AC230" s="24">
        <v>0</v>
      </c>
      <c r="AD230" s="24"/>
      <c r="AE230" s="24"/>
      <c r="AF230" s="24"/>
      <c r="AG230" s="24"/>
      <c r="AH230" s="24"/>
      <c r="AI230" s="24"/>
      <c r="AJ230" s="24"/>
      <c r="AK230" s="24"/>
      <c r="AL230" s="24"/>
      <c r="AM230" s="24">
        <v>0</v>
      </c>
      <c r="AN230" s="24"/>
      <c r="AO230" s="38">
        <f t="shared" ref="AO230:AO251" si="36">AK230+AE230+AA230</f>
        <v>0</v>
      </c>
      <c r="AP230" s="24"/>
      <c r="AQ230" s="38">
        <f t="shared" si="29"/>
        <v>0</v>
      </c>
      <c r="AR230" s="38"/>
      <c r="AS230" s="7" t="s">
        <v>903</v>
      </c>
      <c r="AT230" s="7" t="str">
        <f t="shared" si="33"/>
        <v>Hamilton City SD</v>
      </c>
      <c r="AU230" s="7" t="str">
        <f>'Gov Fd BS'!A230</f>
        <v>Hamilton City SD</v>
      </c>
      <c r="AV230" s="7" t="b">
        <f t="shared" si="34"/>
        <v>1</v>
      </c>
      <c r="AW230" s="7" t="str">
        <f t="shared" si="32"/>
        <v>Butler</v>
      </c>
      <c r="AX230" s="7" t="b">
        <f>C230='Gov Fd BS'!C230</f>
        <v>1</v>
      </c>
    </row>
    <row r="231" spans="1:50">
      <c r="A231" s="12" t="s">
        <v>925</v>
      </c>
      <c r="B231" s="12"/>
      <c r="C231" s="12" t="s">
        <v>27</v>
      </c>
      <c r="D231" s="12"/>
      <c r="E231" s="12">
        <v>46953</v>
      </c>
      <c r="F231" s="24"/>
      <c r="G231" s="24">
        <v>6859962</v>
      </c>
      <c r="H231" s="24"/>
      <c r="I231" s="24">
        <v>0</v>
      </c>
      <c r="J231" s="24"/>
      <c r="K231" s="24">
        <v>22562857</v>
      </c>
      <c r="L231" s="24"/>
      <c r="M231" s="24">
        <v>16124</v>
      </c>
      <c r="N231" s="24"/>
      <c r="O231" s="24">
        <f>412816+20785</f>
        <v>433601</v>
      </c>
      <c r="P231" s="24"/>
      <c r="Q231" s="24">
        <v>370116</v>
      </c>
      <c r="R231" s="24"/>
      <c r="S231" s="24">
        <v>0</v>
      </c>
      <c r="T231" s="24"/>
      <c r="U231" s="24">
        <v>54581</v>
      </c>
      <c r="V231" s="24"/>
      <c r="W231" s="24">
        <v>243832</v>
      </c>
      <c r="X231" s="24"/>
      <c r="Y231" s="38">
        <f t="shared" si="35"/>
        <v>30541073</v>
      </c>
      <c r="Z231" s="24"/>
      <c r="AA231" s="24">
        <v>112174</v>
      </c>
      <c r="AB231" s="24"/>
      <c r="AC231" s="24">
        <v>0</v>
      </c>
      <c r="AD231" s="24"/>
      <c r="AE231" s="24">
        <f>3632703+258224</f>
        <v>3890927</v>
      </c>
      <c r="AF231" s="24"/>
      <c r="AG231" s="24">
        <v>0</v>
      </c>
      <c r="AH231" s="24"/>
      <c r="AI231" s="24">
        <v>0</v>
      </c>
      <c r="AJ231" s="24"/>
      <c r="AK231" s="24">
        <v>0</v>
      </c>
      <c r="AL231" s="24"/>
      <c r="AM231" s="24">
        <v>0</v>
      </c>
      <c r="AN231" s="24"/>
      <c r="AO231" s="38">
        <f t="shared" si="36"/>
        <v>4003101</v>
      </c>
      <c r="AP231" s="24"/>
      <c r="AQ231" s="38">
        <f t="shared" si="29"/>
        <v>34544174</v>
      </c>
      <c r="AR231" s="38"/>
      <c r="AS231" s="7"/>
      <c r="AT231" s="7" t="str">
        <f t="shared" si="33"/>
        <v>Hamilton Local SD</v>
      </c>
      <c r="AU231" s="7" t="str">
        <f>'Gov Fd BS'!A231</f>
        <v>Hamilton Local SD</v>
      </c>
      <c r="AV231" s="7" t="b">
        <f t="shared" si="34"/>
        <v>1</v>
      </c>
      <c r="AW231" s="7" t="str">
        <f t="shared" si="32"/>
        <v>Franklin</v>
      </c>
      <c r="AX231" s="7" t="b">
        <f>C231='Gov Fd BS'!C231</f>
        <v>1</v>
      </c>
    </row>
    <row r="232" spans="1:50" ht="12" customHeight="1">
      <c r="A232" s="12" t="s">
        <v>349</v>
      </c>
      <c r="B232" s="12"/>
      <c r="C232" s="12" t="s">
        <v>348</v>
      </c>
      <c r="D232" s="12"/>
      <c r="E232" s="12">
        <v>47498</v>
      </c>
      <c r="F232" s="24"/>
      <c r="G232" s="24">
        <v>1296821</v>
      </c>
      <c r="H232" s="24"/>
      <c r="I232" s="24">
        <v>852004</v>
      </c>
      <c r="J232" s="24"/>
      <c r="K232" s="24">
        <v>3196990</v>
      </c>
      <c r="L232" s="24"/>
      <c r="M232" s="24">
        <v>2539</v>
      </c>
      <c r="N232" s="24"/>
      <c r="O232" s="24">
        <f>407317+77569+13253</f>
        <v>498139</v>
      </c>
      <c r="P232" s="24"/>
      <c r="Q232" s="24">
        <v>59157</v>
      </c>
      <c r="R232" s="24"/>
      <c r="S232" s="24">
        <v>0</v>
      </c>
      <c r="T232" s="24"/>
      <c r="U232" s="24">
        <v>0</v>
      </c>
      <c r="V232" s="24"/>
      <c r="W232" s="24">
        <v>22357</v>
      </c>
      <c r="X232" s="24"/>
      <c r="Y232" s="38">
        <f t="shared" si="35"/>
        <v>5928007</v>
      </c>
      <c r="Z232" s="24"/>
      <c r="AA232" s="24">
        <v>27800</v>
      </c>
      <c r="AB232" s="24"/>
      <c r="AC232" s="24">
        <v>0</v>
      </c>
      <c r="AD232" s="24"/>
      <c r="AE232" s="24">
        <v>0</v>
      </c>
      <c r="AF232" s="24"/>
      <c r="AG232" s="24">
        <v>0</v>
      </c>
      <c r="AH232" s="24"/>
      <c r="AI232" s="24">
        <v>0</v>
      </c>
      <c r="AJ232" s="24"/>
      <c r="AK232" s="24">
        <v>0</v>
      </c>
      <c r="AL232" s="24"/>
      <c r="AM232" s="24">
        <v>0</v>
      </c>
      <c r="AN232" s="24"/>
      <c r="AO232" s="38">
        <f t="shared" si="36"/>
        <v>27800</v>
      </c>
      <c r="AP232" s="24"/>
      <c r="AQ232" s="38">
        <f t="shared" si="29"/>
        <v>5955807</v>
      </c>
      <c r="AR232" s="38"/>
      <c r="AS232" s="7"/>
      <c r="AT232" s="7" t="str">
        <f t="shared" si="33"/>
        <v>Hardin Northern Local SD</v>
      </c>
      <c r="AU232" s="7" t="str">
        <f>'Gov Fd BS'!A232</f>
        <v>Hardin Northern Local SD</v>
      </c>
      <c r="AV232" s="7" t="b">
        <f t="shared" si="34"/>
        <v>1</v>
      </c>
      <c r="AW232" s="7" t="str">
        <f t="shared" si="32"/>
        <v>Hardin</v>
      </c>
      <c r="AX232" s="7" t="b">
        <f>C232='Gov Fd BS'!C232</f>
        <v>1</v>
      </c>
    </row>
    <row r="233" spans="1:50">
      <c r="A233" s="12" t="s">
        <v>506</v>
      </c>
      <c r="B233" s="12"/>
      <c r="C233" s="12" t="s">
        <v>61</v>
      </c>
      <c r="D233" s="12"/>
      <c r="E233" s="12">
        <v>49791</v>
      </c>
      <c r="F233" s="24"/>
      <c r="G233" s="24">
        <v>2135009</v>
      </c>
      <c r="H233" s="24"/>
      <c r="I233" s="24">
        <v>660502</v>
      </c>
      <c r="J233" s="24"/>
      <c r="K233" s="24">
        <v>6191939</v>
      </c>
      <c r="L233" s="24"/>
      <c r="M233" s="24">
        <v>89808</v>
      </c>
      <c r="N233" s="24"/>
      <c r="O233" s="24">
        <f>805536+5150+143653</f>
        <v>954339</v>
      </c>
      <c r="P233" s="24"/>
      <c r="Q233" s="24">
        <v>84093</v>
      </c>
      <c r="R233" s="24"/>
      <c r="S233" s="24">
        <v>0</v>
      </c>
      <c r="T233" s="24"/>
      <c r="U233" s="24">
        <v>3735</v>
      </c>
      <c r="V233" s="24"/>
      <c r="W233" s="24">
        <v>38555</v>
      </c>
      <c r="X233" s="24"/>
      <c r="Y233" s="38">
        <f t="shared" si="35"/>
        <v>10157980</v>
      </c>
      <c r="Z233" s="24"/>
      <c r="AA233" s="24">
        <v>300000</v>
      </c>
      <c r="AB233" s="24"/>
      <c r="AC233" s="24">
        <v>0</v>
      </c>
      <c r="AD233" s="24"/>
      <c r="AE233" s="24">
        <v>0</v>
      </c>
      <c r="AF233" s="24"/>
      <c r="AG233" s="24">
        <v>0</v>
      </c>
      <c r="AH233" s="24"/>
      <c r="AI233" s="24">
        <v>0</v>
      </c>
      <c r="AJ233" s="24"/>
      <c r="AK233" s="24">
        <v>53241</v>
      </c>
      <c r="AL233" s="24"/>
      <c r="AM233" s="24">
        <v>0</v>
      </c>
      <c r="AN233" s="24"/>
      <c r="AO233" s="38">
        <f t="shared" si="36"/>
        <v>353241</v>
      </c>
      <c r="AP233" s="24"/>
      <c r="AQ233" s="38">
        <f t="shared" si="29"/>
        <v>10511221</v>
      </c>
      <c r="AR233" s="38"/>
      <c r="AS233" s="7"/>
      <c r="AT233" s="7" t="str">
        <f t="shared" si="33"/>
        <v>Hardin-Houston Local SD</v>
      </c>
      <c r="AU233" s="7" t="str">
        <f>'Gov Fd BS'!A233</f>
        <v>Hardin-Houston Local SD</v>
      </c>
      <c r="AV233" s="7" t="b">
        <f t="shared" si="34"/>
        <v>1</v>
      </c>
      <c r="AW233" s="7" t="str">
        <f t="shared" si="32"/>
        <v>Shelby</v>
      </c>
      <c r="AX233" s="7" t="b">
        <f>C233='Gov Fd BS'!C233</f>
        <v>1</v>
      </c>
    </row>
    <row r="234" spans="1:50" hidden="1">
      <c r="A234" s="12" t="s">
        <v>353</v>
      </c>
      <c r="B234" s="12"/>
      <c r="C234" s="12" t="s">
        <v>352</v>
      </c>
      <c r="D234" s="12"/>
      <c r="E234" s="12">
        <v>45245</v>
      </c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38">
        <f t="shared" si="35"/>
        <v>0</v>
      </c>
      <c r="Z234" s="24"/>
      <c r="AA234" s="24"/>
      <c r="AB234" s="24"/>
      <c r="AC234" s="24">
        <v>0</v>
      </c>
      <c r="AD234" s="24"/>
      <c r="AE234" s="24"/>
      <c r="AF234" s="24"/>
      <c r="AG234" s="24"/>
      <c r="AH234" s="24"/>
      <c r="AI234" s="24"/>
      <c r="AJ234" s="24"/>
      <c r="AK234" s="24"/>
      <c r="AL234" s="24"/>
      <c r="AM234" s="24">
        <v>0</v>
      </c>
      <c r="AN234" s="24"/>
      <c r="AO234" s="38">
        <f t="shared" si="36"/>
        <v>0</v>
      </c>
      <c r="AP234" s="24"/>
      <c r="AQ234" s="38">
        <f t="shared" si="29"/>
        <v>0</v>
      </c>
      <c r="AR234" s="38"/>
      <c r="AS234" s="7" t="s">
        <v>903</v>
      </c>
      <c r="AT234" s="7" t="str">
        <f t="shared" si="33"/>
        <v>Harrison Hills City SD</v>
      </c>
      <c r="AU234" s="7" t="str">
        <f>'Gov Fd BS'!A234</f>
        <v>Harrison Hills City SD</v>
      </c>
      <c r="AV234" s="7" t="b">
        <f t="shared" si="34"/>
        <v>1</v>
      </c>
      <c r="AW234" s="7" t="str">
        <f t="shared" si="32"/>
        <v>Harrison</v>
      </c>
      <c r="AX234" s="7" t="b">
        <f>C234='Gov Fd BS'!C234</f>
        <v>1</v>
      </c>
    </row>
    <row r="235" spans="1:50">
      <c r="A235" s="12" t="s">
        <v>384</v>
      </c>
      <c r="B235" s="12"/>
      <c r="C235" s="12" t="s">
        <v>42</v>
      </c>
      <c r="D235" s="12"/>
      <c r="E235" s="12">
        <v>44115</v>
      </c>
      <c r="F235" s="24"/>
      <c r="G235" s="24">
        <v>8188824</v>
      </c>
      <c r="H235" s="24"/>
      <c r="I235" s="24">
        <v>0</v>
      </c>
      <c r="J235" s="24"/>
      <c r="K235" s="24">
        <f>6375408+1736676</f>
        <v>8112084</v>
      </c>
      <c r="L235" s="24"/>
      <c r="M235" s="24">
        <v>11841</v>
      </c>
      <c r="N235" s="24"/>
      <c r="O235" s="24">
        <f>86905+243667+72703</f>
        <v>403275</v>
      </c>
      <c r="P235" s="24"/>
      <c r="Q235" s="24">
        <v>115755</v>
      </c>
      <c r="R235" s="24"/>
      <c r="S235" s="24">
        <v>0</v>
      </c>
      <c r="T235" s="24"/>
      <c r="U235" s="24">
        <v>0</v>
      </c>
      <c r="V235" s="24"/>
      <c r="W235" s="24">
        <v>571270</v>
      </c>
      <c r="X235" s="24"/>
      <c r="Y235" s="38">
        <f t="shared" si="35"/>
        <v>17403049</v>
      </c>
      <c r="Z235" s="24"/>
      <c r="AA235" s="24">
        <v>0</v>
      </c>
      <c r="AB235" s="24"/>
      <c r="AC235" s="24">
        <v>0</v>
      </c>
      <c r="AD235" s="24"/>
      <c r="AE235" s="24">
        <v>0</v>
      </c>
      <c r="AF235" s="24"/>
      <c r="AG235" s="24">
        <v>0</v>
      </c>
      <c r="AH235" s="24"/>
      <c r="AI235" s="24">
        <v>0</v>
      </c>
      <c r="AJ235" s="24"/>
      <c r="AK235" s="24">
        <v>0</v>
      </c>
      <c r="AL235" s="24"/>
      <c r="AM235" s="24">
        <v>0</v>
      </c>
      <c r="AN235" s="24"/>
      <c r="AO235" s="38">
        <f t="shared" si="36"/>
        <v>0</v>
      </c>
      <c r="AP235" s="24"/>
      <c r="AQ235" s="38">
        <f t="shared" si="29"/>
        <v>17403049</v>
      </c>
      <c r="AR235" s="38"/>
      <c r="AS235" s="7"/>
      <c r="AT235" s="7" t="str">
        <f t="shared" si="33"/>
        <v>Heath City SD</v>
      </c>
      <c r="AU235" s="7" t="str">
        <f>'Gov Fd BS'!A235</f>
        <v>Heath City SD</v>
      </c>
      <c r="AV235" s="7" t="b">
        <f t="shared" si="34"/>
        <v>1</v>
      </c>
      <c r="AW235" s="7" t="str">
        <f t="shared" si="32"/>
        <v>Licking</v>
      </c>
      <c r="AX235" s="7" t="b">
        <f>C235='Gov Fd BS'!C235</f>
        <v>1</v>
      </c>
    </row>
    <row r="236" spans="1:50" hidden="1">
      <c r="A236" s="12" t="s">
        <v>699</v>
      </c>
      <c r="B236" s="12"/>
      <c r="C236" s="12" t="s">
        <v>22</v>
      </c>
      <c r="D236" s="12"/>
      <c r="E236" s="12">
        <v>45419</v>
      </c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38">
        <f t="shared" si="35"/>
        <v>0</v>
      </c>
      <c r="Z236" s="24"/>
      <c r="AA236" s="24"/>
      <c r="AB236" s="24"/>
      <c r="AC236" s="24">
        <v>0</v>
      </c>
      <c r="AD236" s="24"/>
      <c r="AE236" s="24"/>
      <c r="AF236" s="24"/>
      <c r="AG236" s="24"/>
      <c r="AH236" s="24"/>
      <c r="AI236" s="24"/>
      <c r="AJ236" s="24"/>
      <c r="AK236" s="24"/>
      <c r="AL236" s="24"/>
      <c r="AM236" s="24">
        <v>0</v>
      </c>
      <c r="AN236" s="24"/>
      <c r="AO236" s="38">
        <f t="shared" si="36"/>
        <v>0</v>
      </c>
      <c r="AP236" s="24"/>
      <c r="AQ236" s="38">
        <f t="shared" ref="AQ236:AQ285" si="37">Y236+AO236</f>
        <v>0</v>
      </c>
      <c r="AR236" s="38"/>
      <c r="AS236" s="7" t="s">
        <v>904</v>
      </c>
      <c r="AT236" s="7" t="str">
        <f t="shared" si="33"/>
        <v>Hicksville Ex Vill SD  (CASH)</v>
      </c>
      <c r="AU236" s="7" t="str">
        <f>'Gov Fd BS'!A236</f>
        <v>Hicksville Ex Vill SD  (CASH)</v>
      </c>
      <c r="AV236" s="7" t="b">
        <f t="shared" si="34"/>
        <v>1</v>
      </c>
      <c r="AW236" s="7" t="str">
        <f t="shared" si="32"/>
        <v>Defiance</v>
      </c>
      <c r="AX236" s="7" t="b">
        <f>C236='Gov Fd BS'!C236</f>
        <v>1</v>
      </c>
    </row>
    <row r="237" spans="1:50">
      <c r="A237" s="12" t="s">
        <v>430</v>
      </c>
      <c r="B237" s="12"/>
      <c r="C237" s="12" t="s">
        <v>47</v>
      </c>
      <c r="D237" s="12"/>
      <c r="E237" s="12">
        <v>48496</v>
      </c>
      <c r="F237" s="24"/>
      <c r="G237" s="24">
        <v>17201552</v>
      </c>
      <c r="H237" s="24"/>
      <c r="I237" s="24">
        <v>0</v>
      </c>
      <c r="J237" s="24"/>
      <c r="K237" s="24">
        <v>10810822</v>
      </c>
      <c r="L237" s="24"/>
      <c r="M237" s="24">
        <v>72742</v>
      </c>
      <c r="N237" s="24"/>
      <c r="O237" s="24">
        <f>656457+903561+29362</f>
        <v>1589380</v>
      </c>
      <c r="P237" s="24"/>
      <c r="Q237" s="24">
        <v>501945</v>
      </c>
      <c r="R237" s="24"/>
      <c r="S237" s="24">
        <v>0</v>
      </c>
      <c r="T237" s="24"/>
      <c r="U237" s="24">
        <v>205602</v>
      </c>
      <c r="V237" s="24"/>
      <c r="W237" s="24">
        <v>79630</v>
      </c>
      <c r="X237" s="24"/>
      <c r="Y237" s="38">
        <f t="shared" si="35"/>
        <v>30461673</v>
      </c>
      <c r="Z237" s="24"/>
      <c r="AA237" s="24">
        <v>0</v>
      </c>
      <c r="AB237" s="24"/>
      <c r="AC237" s="24">
        <v>0</v>
      </c>
      <c r="AD237" s="24"/>
      <c r="AE237" s="24">
        <v>0</v>
      </c>
      <c r="AF237" s="24"/>
      <c r="AG237" s="24">
        <v>0</v>
      </c>
      <c r="AH237" s="24"/>
      <c r="AI237" s="24">
        <v>0</v>
      </c>
      <c r="AJ237" s="24"/>
      <c r="AK237" s="24">
        <v>6200</v>
      </c>
      <c r="AL237" s="24"/>
      <c r="AM237" s="24">
        <v>0</v>
      </c>
      <c r="AN237" s="24"/>
      <c r="AO237" s="38">
        <f t="shared" si="36"/>
        <v>6200</v>
      </c>
      <c r="AP237" s="24"/>
      <c r="AQ237" s="38">
        <f t="shared" si="37"/>
        <v>30467873</v>
      </c>
      <c r="AR237" s="38"/>
      <c r="AS237" s="7"/>
      <c r="AT237" s="7" t="str">
        <f t="shared" si="33"/>
        <v>Highland Local SD</v>
      </c>
      <c r="AU237" s="7" t="str">
        <f>'Gov Fd BS'!A237</f>
        <v>Highland Local SD</v>
      </c>
      <c r="AV237" s="7" t="b">
        <f t="shared" si="34"/>
        <v>1</v>
      </c>
      <c r="AW237" s="7" t="str">
        <f t="shared" si="32"/>
        <v>Medina</v>
      </c>
      <c r="AX237" s="7" t="b">
        <f>C237='Gov Fd BS'!C237</f>
        <v>1</v>
      </c>
    </row>
    <row r="238" spans="1:50">
      <c r="A238" s="12" t="s">
        <v>430</v>
      </c>
      <c r="B238" s="12"/>
      <c r="C238" s="12" t="s">
        <v>78</v>
      </c>
      <c r="D238" s="12"/>
      <c r="E238" s="12">
        <v>48801</v>
      </c>
      <c r="F238" s="24"/>
      <c r="G238" s="24">
        <v>4383046</v>
      </c>
      <c r="H238" s="24"/>
      <c r="I238" s="24">
        <v>920591</v>
      </c>
      <c r="J238" s="24"/>
      <c r="K238" s="24">
        <v>13790325</v>
      </c>
      <c r="L238" s="24"/>
      <c r="M238" s="24">
        <v>77602</v>
      </c>
      <c r="N238" s="24"/>
      <c r="O238" s="24">
        <f>28471+303179</f>
        <v>331650</v>
      </c>
      <c r="P238" s="24"/>
      <c r="Q238" s="24">
        <v>139345</v>
      </c>
      <c r="R238" s="24"/>
      <c r="S238" s="24">
        <v>0</v>
      </c>
      <c r="T238" s="24"/>
      <c r="U238" s="24">
        <v>6415</v>
      </c>
      <c r="V238" s="24"/>
      <c r="W238" s="24">
        <v>434457</v>
      </c>
      <c r="X238" s="24"/>
      <c r="Y238" s="38">
        <f t="shared" si="35"/>
        <v>20083431</v>
      </c>
      <c r="Z238" s="24"/>
      <c r="AA238" s="24">
        <v>0</v>
      </c>
      <c r="AB238" s="24"/>
      <c r="AC238" s="24">
        <v>0</v>
      </c>
      <c r="AD238" s="24"/>
      <c r="AE238" s="24">
        <v>0</v>
      </c>
      <c r="AF238" s="24"/>
      <c r="AG238" s="24">
        <v>0</v>
      </c>
      <c r="AH238" s="24"/>
      <c r="AI238" s="24">
        <v>0</v>
      </c>
      <c r="AJ238" s="24"/>
      <c r="AK238" s="24">
        <v>56345</v>
      </c>
      <c r="AL238" s="24"/>
      <c r="AM238" s="24">
        <v>0</v>
      </c>
      <c r="AN238" s="24"/>
      <c r="AO238" s="38">
        <f t="shared" si="36"/>
        <v>56345</v>
      </c>
      <c r="AP238" s="24"/>
      <c r="AQ238" s="38">
        <f t="shared" si="37"/>
        <v>20139776</v>
      </c>
      <c r="AR238" s="38"/>
      <c r="AS238" s="7"/>
      <c r="AT238" s="7" t="str">
        <f t="shared" si="33"/>
        <v>Highland Local SD</v>
      </c>
      <c r="AU238" s="7" t="str">
        <f>'Gov Fd BS'!A238</f>
        <v>Highland Local SD</v>
      </c>
      <c r="AV238" s="7" t="b">
        <f t="shared" si="34"/>
        <v>1</v>
      </c>
      <c r="AW238" s="7" t="str">
        <f t="shared" si="32"/>
        <v>Morrow</v>
      </c>
      <c r="AX238" s="7" t="b">
        <f>C238='Gov Fd BS'!C238</f>
        <v>1</v>
      </c>
    </row>
    <row r="239" spans="1:50">
      <c r="A239" s="12" t="s">
        <v>311</v>
      </c>
      <c r="B239" s="12"/>
      <c r="C239" s="12" t="s">
        <v>27</v>
      </c>
      <c r="D239" s="12"/>
      <c r="E239" s="12">
        <v>47019</v>
      </c>
      <c r="F239" s="24"/>
      <c r="G239" s="24">
        <v>111760961</v>
      </c>
      <c r="H239" s="24"/>
      <c r="I239" s="24">
        <v>0</v>
      </c>
      <c r="J239" s="24"/>
      <c r="K239" s="24">
        <f>58970417+11940550</f>
        <v>70910967</v>
      </c>
      <c r="L239" s="24"/>
      <c r="M239" s="24">
        <v>263188</v>
      </c>
      <c r="N239" s="24"/>
      <c r="O239" s="24">
        <f>2819341+934866</f>
        <v>3754207</v>
      </c>
      <c r="P239" s="24"/>
      <c r="Q239" s="24">
        <v>669710</v>
      </c>
      <c r="R239" s="24"/>
      <c r="S239" s="24">
        <v>0</v>
      </c>
      <c r="T239" s="24"/>
      <c r="U239" s="24">
        <v>0</v>
      </c>
      <c r="V239" s="24"/>
      <c r="W239" s="24">
        <f>3815281+3415428</f>
        <v>7230709</v>
      </c>
      <c r="X239" s="24"/>
      <c r="Y239" s="38">
        <f t="shared" si="35"/>
        <v>194589742</v>
      </c>
      <c r="Z239" s="24"/>
      <c r="AA239" s="24">
        <v>0</v>
      </c>
      <c r="AB239" s="24"/>
      <c r="AC239" s="24">
        <v>0</v>
      </c>
      <c r="AD239" s="24"/>
      <c r="AE239" s="24">
        <v>5000000</v>
      </c>
      <c r="AF239" s="24"/>
      <c r="AG239" s="24">
        <v>0</v>
      </c>
      <c r="AH239" s="24"/>
      <c r="AI239" s="24">
        <v>0</v>
      </c>
      <c r="AJ239" s="24"/>
      <c r="AK239" s="24">
        <v>221719</v>
      </c>
      <c r="AL239" s="24"/>
      <c r="AM239" s="24">
        <v>22370</v>
      </c>
      <c r="AN239" s="24"/>
      <c r="AO239" s="38">
        <f>AK239+AE239+AA239+AM239</f>
        <v>5244089</v>
      </c>
      <c r="AP239" s="24"/>
      <c r="AQ239" s="38">
        <f t="shared" si="37"/>
        <v>199833831</v>
      </c>
      <c r="AR239" s="38"/>
      <c r="AS239" s="7"/>
      <c r="AT239" s="7" t="str">
        <f t="shared" si="33"/>
        <v>Hilliard City SD</v>
      </c>
      <c r="AU239" s="7" t="str">
        <f>'Gov Fd BS'!A239</f>
        <v>Hilliard City SD</v>
      </c>
      <c r="AV239" s="7" t="b">
        <f t="shared" si="34"/>
        <v>1</v>
      </c>
      <c r="AW239" s="7" t="str">
        <f t="shared" si="32"/>
        <v>Franklin</v>
      </c>
      <c r="AX239" s="7" t="b">
        <f>C239='Gov Fd BS'!C239</f>
        <v>1</v>
      </c>
    </row>
    <row r="240" spans="1:50">
      <c r="A240" s="12" t="s">
        <v>360</v>
      </c>
      <c r="B240" s="12"/>
      <c r="C240" s="12" t="s">
        <v>358</v>
      </c>
      <c r="D240" s="12"/>
      <c r="E240" s="12">
        <v>44123</v>
      </c>
      <c r="F240" s="24"/>
      <c r="G240" s="24">
        <v>6003032</v>
      </c>
      <c r="H240" s="24"/>
      <c r="I240" s="24">
        <v>2273943</v>
      </c>
      <c r="J240" s="24"/>
      <c r="K240" s="24">
        <v>17209708</v>
      </c>
      <c r="L240" s="24"/>
      <c r="M240" s="24">
        <v>116809</v>
      </c>
      <c r="N240" s="24"/>
      <c r="O240" s="24">
        <f>1198657+443561+14170</f>
        <v>1656388</v>
      </c>
      <c r="P240" s="24"/>
      <c r="Q240" s="24">
        <v>182361</v>
      </c>
      <c r="R240" s="24"/>
      <c r="S240" s="24">
        <v>0</v>
      </c>
      <c r="T240" s="24"/>
      <c r="U240" s="24">
        <v>22005</v>
      </c>
      <c r="V240" s="24"/>
      <c r="W240" s="24">
        <v>632780</v>
      </c>
      <c r="X240" s="24"/>
      <c r="Y240" s="38">
        <f t="shared" si="35"/>
        <v>28097026</v>
      </c>
      <c r="Z240" s="24"/>
      <c r="AA240" s="24">
        <v>406241</v>
      </c>
      <c r="AB240" s="24"/>
      <c r="AC240" s="24">
        <v>0</v>
      </c>
      <c r="AD240" s="24"/>
      <c r="AE240" s="24">
        <f>5830000+243468</f>
        <v>6073468</v>
      </c>
      <c r="AF240" s="24"/>
      <c r="AG240" s="24">
        <v>0</v>
      </c>
      <c r="AH240" s="24"/>
      <c r="AI240" s="24">
        <v>0</v>
      </c>
      <c r="AJ240" s="24"/>
      <c r="AK240" s="24">
        <v>0</v>
      </c>
      <c r="AL240" s="24"/>
      <c r="AM240" s="24">
        <v>0</v>
      </c>
      <c r="AN240" s="24"/>
      <c r="AO240" s="38">
        <f t="shared" si="36"/>
        <v>6479709</v>
      </c>
      <c r="AP240" s="24"/>
      <c r="AQ240" s="38">
        <f t="shared" si="37"/>
        <v>34576735</v>
      </c>
      <c r="AR240" s="38"/>
      <c r="AS240" s="7"/>
      <c r="AT240" s="7" t="str">
        <f t="shared" si="33"/>
        <v>Hillsboro City SD</v>
      </c>
      <c r="AU240" s="7" t="str">
        <f>'Gov Fd BS'!A240</f>
        <v>Hillsboro City SD</v>
      </c>
      <c r="AV240" s="7" t="b">
        <f t="shared" si="34"/>
        <v>1</v>
      </c>
      <c r="AW240" s="7" t="str">
        <f t="shared" si="32"/>
        <v>Highland</v>
      </c>
      <c r="AX240" s="7" t="b">
        <f>C240='Gov Fd BS'!C240</f>
        <v>1</v>
      </c>
    </row>
    <row r="241" spans="1:50">
      <c r="A241" s="12" t="s">
        <v>205</v>
      </c>
      <c r="B241" s="12"/>
      <c r="C241" s="12" t="s">
        <v>11</v>
      </c>
      <c r="D241" s="12"/>
      <c r="E241" s="12">
        <v>45823</v>
      </c>
      <c r="F241" s="24"/>
      <c r="G241" s="24">
        <v>4225009</v>
      </c>
      <c r="H241" s="24"/>
      <c r="I241" s="24">
        <v>0</v>
      </c>
      <c r="J241" s="24"/>
      <c r="K241" s="24">
        <f>789+4564651+993080</f>
        <v>5558520</v>
      </c>
      <c r="L241" s="24"/>
      <c r="M241" s="24">
        <v>5487</v>
      </c>
      <c r="N241" s="24"/>
      <c r="O241" s="24">
        <f>333717+212792+36644</f>
        <v>583153</v>
      </c>
      <c r="P241" s="24"/>
      <c r="Q241" s="24">
        <v>234032</v>
      </c>
      <c r="R241" s="24"/>
      <c r="S241" s="24">
        <v>0</v>
      </c>
      <c r="T241" s="24"/>
      <c r="U241" s="24">
        <v>75560</v>
      </c>
      <c r="V241" s="24"/>
      <c r="W241" s="24">
        <v>65771</v>
      </c>
      <c r="X241" s="24"/>
      <c r="Y241" s="38">
        <f t="shared" si="35"/>
        <v>10747532</v>
      </c>
      <c r="Z241" s="24"/>
      <c r="AA241" s="24">
        <v>47429</v>
      </c>
      <c r="AB241" s="24"/>
      <c r="AC241" s="24">
        <v>0</v>
      </c>
      <c r="AD241" s="24"/>
      <c r="AE241" s="24">
        <v>135000</v>
      </c>
      <c r="AF241" s="24"/>
      <c r="AG241" s="24">
        <v>0</v>
      </c>
      <c r="AH241" s="24"/>
      <c r="AI241" s="24">
        <v>0</v>
      </c>
      <c r="AJ241" s="24"/>
      <c r="AK241" s="24">
        <v>0</v>
      </c>
      <c r="AL241" s="24"/>
      <c r="AM241" s="24">
        <v>0</v>
      </c>
      <c r="AN241" s="24"/>
      <c r="AO241" s="38">
        <f t="shared" si="36"/>
        <v>182429</v>
      </c>
      <c r="AP241" s="24"/>
      <c r="AQ241" s="38">
        <f t="shared" si="37"/>
        <v>10929961</v>
      </c>
      <c r="AR241" s="38"/>
      <c r="AS241" s="7"/>
      <c r="AT241" s="7" t="str">
        <f t="shared" si="33"/>
        <v>Hillsdale Local SD</v>
      </c>
      <c r="AU241" s="7" t="str">
        <f>'Gov Fd BS'!A241</f>
        <v>Hillsdale Local SD</v>
      </c>
      <c r="AV241" s="7" t="b">
        <f t="shared" si="34"/>
        <v>1</v>
      </c>
      <c r="AW241" s="7" t="str">
        <f t="shared" si="32"/>
        <v>Ashland</v>
      </c>
      <c r="AX241" s="7" t="b">
        <f>C241='Gov Fd BS'!C241</f>
        <v>1</v>
      </c>
    </row>
    <row r="242" spans="1:50">
      <c r="A242" s="12" t="s">
        <v>354</v>
      </c>
      <c r="B242" s="12"/>
      <c r="C242" s="12" t="s">
        <v>34</v>
      </c>
      <c r="D242" s="12"/>
      <c r="E242" s="12">
        <v>47571</v>
      </c>
      <c r="F242" s="24"/>
      <c r="G242" s="24">
        <v>1143716</v>
      </c>
      <c r="H242" s="24"/>
      <c r="I242" s="24">
        <v>689446</v>
      </c>
      <c r="J242" s="24"/>
      <c r="K242" s="24">
        <v>3263738</v>
      </c>
      <c r="L242" s="24"/>
      <c r="M242" s="24">
        <v>31019</v>
      </c>
      <c r="N242" s="24"/>
      <c r="O242" s="24">
        <f>418972+128207</f>
        <v>547179</v>
      </c>
      <c r="P242" s="24"/>
      <c r="Q242" s="24">
        <v>84201</v>
      </c>
      <c r="R242" s="24"/>
      <c r="S242" s="24">
        <v>1653</v>
      </c>
      <c r="T242" s="24"/>
      <c r="U242" s="24">
        <v>1415</v>
      </c>
      <c r="V242" s="24"/>
      <c r="W242" s="24">
        <v>66667</v>
      </c>
      <c r="X242" s="24"/>
      <c r="Y242" s="38">
        <f t="shared" si="35"/>
        <v>5829034</v>
      </c>
      <c r="Z242" s="24"/>
      <c r="AA242" s="24">
        <v>0</v>
      </c>
      <c r="AB242" s="24"/>
      <c r="AC242" s="24">
        <v>0</v>
      </c>
      <c r="AD242" s="24"/>
      <c r="AE242" s="24">
        <v>125000</v>
      </c>
      <c r="AF242" s="24"/>
      <c r="AG242" s="24">
        <v>0</v>
      </c>
      <c r="AH242" s="24"/>
      <c r="AI242" s="24">
        <v>0</v>
      </c>
      <c r="AJ242" s="24"/>
      <c r="AK242" s="24">
        <v>500000</v>
      </c>
      <c r="AL242" s="24"/>
      <c r="AM242" s="24">
        <v>0</v>
      </c>
      <c r="AN242" s="24"/>
      <c r="AO242" s="38">
        <f t="shared" si="36"/>
        <v>625000</v>
      </c>
      <c r="AP242" s="24"/>
      <c r="AQ242" s="38">
        <f t="shared" si="37"/>
        <v>6454034</v>
      </c>
      <c r="AR242" s="38"/>
      <c r="AS242" s="7"/>
      <c r="AT242" s="7" t="str">
        <f t="shared" si="33"/>
        <v>Holgate Local SD</v>
      </c>
      <c r="AU242" s="7" t="str">
        <f>'Gov Fd BS'!A242</f>
        <v>Holgate Local SD</v>
      </c>
      <c r="AV242" s="7" t="b">
        <f t="shared" si="34"/>
        <v>1</v>
      </c>
      <c r="AW242" s="7" t="str">
        <f t="shared" si="32"/>
        <v>Henry</v>
      </c>
      <c r="AX242" s="7" t="b">
        <f>C242='Gov Fd BS'!C242</f>
        <v>1</v>
      </c>
    </row>
    <row r="243" spans="1:50">
      <c r="A243" s="12" t="s">
        <v>538</v>
      </c>
      <c r="B243" s="12"/>
      <c r="C243" s="12" t="s">
        <v>64</v>
      </c>
      <c r="D243" s="12"/>
      <c r="E243" s="12">
        <v>50161</v>
      </c>
      <c r="F243" s="24"/>
      <c r="G243" s="24">
        <v>16720356</v>
      </c>
      <c r="H243" s="24"/>
      <c r="I243" s="24">
        <v>0</v>
      </c>
      <c r="J243" s="24"/>
      <c r="K243" s="24">
        <f>11340829+2428725</f>
        <v>13769554</v>
      </c>
      <c r="L243" s="24"/>
      <c r="M243" s="24">
        <v>16044</v>
      </c>
      <c r="N243" s="24"/>
      <c r="O243" s="24">
        <f>1341469+17800+473062+74471+700</f>
        <v>1907502</v>
      </c>
      <c r="P243" s="24"/>
      <c r="Q243" s="24">
        <v>263777</v>
      </c>
      <c r="R243" s="24"/>
      <c r="S243" s="24">
        <v>0</v>
      </c>
      <c r="T243" s="24"/>
      <c r="U243" s="24">
        <v>32947</v>
      </c>
      <c r="V243" s="24"/>
      <c r="W243" s="24">
        <v>125388</v>
      </c>
      <c r="X243" s="24"/>
      <c r="Y243" s="38">
        <f t="shared" si="35"/>
        <v>32835568</v>
      </c>
      <c r="Z243" s="24"/>
      <c r="AA243" s="24">
        <v>118100</v>
      </c>
      <c r="AB243" s="24"/>
      <c r="AC243" s="24">
        <v>0</v>
      </c>
      <c r="AD243" s="24"/>
      <c r="AE243" s="24">
        <v>1390277</v>
      </c>
      <c r="AF243" s="24"/>
      <c r="AG243" s="24">
        <v>0</v>
      </c>
      <c r="AH243" s="24"/>
      <c r="AI243" s="24">
        <v>0</v>
      </c>
      <c r="AJ243" s="24"/>
      <c r="AK243" s="24">
        <v>0</v>
      </c>
      <c r="AL243" s="24"/>
      <c r="AM243" s="24">
        <v>0</v>
      </c>
      <c r="AN243" s="24"/>
      <c r="AO243" s="38">
        <f t="shared" si="36"/>
        <v>1508377</v>
      </c>
      <c r="AP243" s="24"/>
      <c r="AQ243" s="38">
        <f t="shared" si="37"/>
        <v>34343945</v>
      </c>
      <c r="AR243" s="38"/>
      <c r="AS243" s="7"/>
      <c r="AT243" s="7" t="str">
        <f t="shared" si="33"/>
        <v>Howland Local SD</v>
      </c>
      <c r="AU243" s="7" t="str">
        <f>'Gov Fd BS'!A243</f>
        <v>Howland Local SD</v>
      </c>
      <c r="AV243" s="7" t="b">
        <f t="shared" si="34"/>
        <v>1</v>
      </c>
      <c r="AW243" s="7" t="str">
        <f t="shared" si="32"/>
        <v>Trumbull</v>
      </c>
      <c r="AX243" s="7" t="b">
        <f>C243='Gov Fd BS'!C243</f>
        <v>1</v>
      </c>
    </row>
    <row r="244" spans="1:50">
      <c r="A244" s="12" t="s">
        <v>870</v>
      </c>
      <c r="B244" s="12"/>
      <c r="C244" s="12" t="s">
        <v>64</v>
      </c>
      <c r="D244" s="12"/>
      <c r="E244" s="12">
        <v>45427</v>
      </c>
      <c r="F244" s="24"/>
      <c r="G244" s="24">
        <v>6794677</v>
      </c>
      <c r="H244" s="24"/>
      <c r="I244" s="24">
        <v>0</v>
      </c>
      <c r="J244" s="24"/>
      <c r="K244" s="24">
        <v>14637006</v>
      </c>
      <c r="L244" s="24"/>
      <c r="M244" s="24">
        <v>301369</v>
      </c>
      <c r="N244" s="24"/>
      <c r="O244" s="24">
        <f>1116428+353245+52223</f>
        <v>1521896</v>
      </c>
      <c r="P244" s="24"/>
      <c r="Q244" s="24">
        <v>143219</v>
      </c>
      <c r="R244" s="24"/>
      <c r="S244" s="24">
        <v>0</v>
      </c>
      <c r="T244" s="24"/>
      <c r="U244" s="24">
        <v>88793</v>
      </c>
      <c r="V244" s="24"/>
      <c r="W244" s="24">
        <v>452432</v>
      </c>
      <c r="X244" s="24"/>
      <c r="Y244" s="38">
        <f t="shared" si="35"/>
        <v>23939392</v>
      </c>
      <c r="Z244" s="24"/>
      <c r="AA244" s="24">
        <v>1053904</v>
      </c>
      <c r="AB244" s="24"/>
      <c r="AC244" s="24">
        <v>0</v>
      </c>
      <c r="AD244" s="24"/>
      <c r="AE244" s="24">
        <v>0</v>
      </c>
      <c r="AF244" s="24"/>
      <c r="AG244" s="24">
        <v>0</v>
      </c>
      <c r="AH244" s="24"/>
      <c r="AI244" s="24">
        <v>0</v>
      </c>
      <c r="AJ244" s="24"/>
      <c r="AK244" s="24">
        <v>0</v>
      </c>
      <c r="AL244" s="24"/>
      <c r="AM244" s="24">
        <v>0</v>
      </c>
      <c r="AN244" s="24"/>
      <c r="AO244" s="38">
        <f t="shared" si="36"/>
        <v>1053904</v>
      </c>
      <c r="AP244" s="24"/>
      <c r="AQ244" s="38">
        <f t="shared" si="37"/>
        <v>24993296</v>
      </c>
      <c r="AR244" s="38"/>
      <c r="AS244" s="7"/>
      <c r="AT244" s="7" t="str">
        <f t="shared" si="33"/>
        <v>Hubbard Exempted Village SD</v>
      </c>
      <c r="AU244" s="7" t="str">
        <f>'Gov Fd BS'!A244</f>
        <v>Hubbard Exempted Village SD</v>
      </c>
      <c r="AV244" s="7" t="b">
        <f t="shared" si="34"/>
        <v>1</v>
      </c>
      <c r="AW244" s="7" t="str">
        <f t="shared" si="32"/>
        <v>Trumbull</v>
      </c>
      <c r="AX244" s="7" t="b">
        <f>C244='Gov Fd BS'!C244</f>
        <v>1</v>
      </c>
    </row>
    <row r="245" spans="1:50" ht="12.6" customHeight="1">
      <c r="A245" s="12" t="s">
        <v>443</v>
      </c>
      <c r="B245" s="12"/>
      <c r="C245" s="12" t="s">
        <v>50</v>
      </c>
      <c r="D245" s="12"/>
      <c r="E245" s="12">
        <v>48751</v>
      </c>
      <c r="F245" s="24"/>
      <c r="G245" s="24">
        <v>32248272</v>
      </c>
      <c r="H245" s="24"/>
      <c r="I245" s="24">
        <v>0</v>
      </c>
      <c r="J245" s="24"/>
      <c r="K245" s="24">
        <f>75584085+8744631</f>
        <v>84328716</v>
      </c>
      <c r="L245" s="24"/>
      <c r="M245" s="24">
        <v>328612</v>
      </c>
      <c r="N245" s="24"/>
      <c r="O245" s="24">
        <f>609846+1116092+304334</f>
        <v>2030272</v>
      </c>
      <c r="P245" s="24"/>
      <c r="Q245" s="24">
        <v>869301</v>
      </c>
      <c r="R245" s="24"/>
      <c r="S245" s="24">
        <v>0</v>
      </c>
      <c r="T245" s="24"/>
      <c r="U245" s="24">
        <v>0</v>
      </c>
      <c r="V245" s="24"/>
      <c r="W245" s="24">
        <v>318081</v>
      </c>
      <c r="X245" s="24"/>
      <c r="Y245" s="38">
        <f t="shared" si="35"/>
        <v>120123254</v>
      </c>
      <c r="Z245" s="24"/>
      <c r="AA245" s="24">
        <v>2839744</v>
      </c>
      <c r="AB245" s="24"/>
      <c r="AC245" s="24">
        <v>0</v>
      </c>
      <c r="AD245" s="24"/>
      <c r="AE245" s="24">
        <v>142652</v>
      </c>
      <c r="AF245" s="24"/>
      <c r="AG245" s="24">
        <v>0</v>
      </c>
      <c r="AH245" s="24"/>
      <c r="AI245" s="24">
        <v>0</v>
      </c>
      <c r="AJ245" s="24"/>
      <c r="AK245" s="24">
        <v>0</v>
      </c>
      <c r="AL245" s="24"/>
      <c r="AM245" s="24">
        <v>0</v>
      </c>
      <c r="AN245" s="24"/>
      <c r="AO245" s="38">
        <f t="shared" si="36"/>
        <v>2982396</v>
      </c>
      <c r="AP245" s="24"/>
      <c r="AQ245" s="38">
        <f t="shared" si="37"/>
        <v>123105650</v>
      </c>
      <c r="AR245" s="38"/>
      <c r="AS245" s="7"/>
      <c r="AT245" s="7" t="str">
        <f t="shared" si="33"/>
        <v>Huber Heights City SD</v>
      </c>
      <c r="AU245" s="7" t="str">
        <f>'Gov Fd BS'!A245</f>
        <v>Huber Heights City SD</v>
      </c>
      <c r="AV245" s="7" t="b">
        <f t="shared" si="34"/>
        <v>1</v>
      </c>
      <c r="AW245" s="7" t="str">
        <f t="shared" si="32"/>
        <v>Montgomery</v>
      </c>
      <c r="AX245" s="7" t="b">
        <f>C245='Gov Fd BS'!C245</f>
        <v>1</v>
      </c>
    </row>
    <row r="246" spans="1:50">
      <c r="A246" s="12" t="s">
        <v>525</v>
      </c>
      <c r="B246" s="12"/>
      <c r="C246" s="12" t="s">
        <v>63</v>
      </c>
      <c r="D246" s="12"/>
      <c r="E246" s="12">
        <v>50021</v>
      </c>
      <c r="F246" s="24"/>
      <c r="G246" s="24">
        <v>40697004</v>
      </c>
      <c r="H246" s="24"/>
      <c r="I246" s="24">
        <v>0</v>
      </c>
      <c r="J246" s="24"/>
      <c r="K246" s="24">
        <f>1260719+21447166+3752699</f>
        <v>26460584</v>
      </c>
      <c r="L246" s="24"/>
      <c r="M246" s="24">
        <v>221277</v>
      </c>
      <c r="N246" s="24"/>
      <c r="O246" s="24">
        <f>102236+33815+1378231+302976</f>
        <v>1817258</v>
      </c>
      <c r="P246" s="24"/>
      <c r="Q246" s="24">
        <v>911328</v>
      </c>
      <c r="R246" s="24"/>
      <c r="S246" s="24">
        <v>314000</v>
      </c>
      <c r="T246" s="24"/>
      <c r="U246" s="24">
        <v>0</v>
      </c>
      <c r="V246" s="24"/>
      <c r="W246" s="24">
        <v>332259</v>
      </c>
      <c r="X246" s="24"/>
      <c r="Y246" s="38">
        <f t="shared" si="35"/>
        <v>70753710</v>
      </c>
      <c r="Z246" s="24"/>
      <c r="AA246" s="24">
        <v>1229317</v>
      </c>
      <c r="AB246" s="24"/>
      <c r="AC246" s="24">
        <v>0</v>
      </c>
      <c r="AD246" s="24"/>
      <c r="AE246" s="24">
        <v>854187</v>
      </c>
      <c r="AF246" s="24"/>
      <c r="AG246" s="24">
        <v>0</v>
      </c>
      <c r="AH246" s="24"/>
      <c r="AI246" s="24">
        <v>0</v>
      </c>
      <c r="AJ246" s="24"/>
      <c r="AK246" s="24">
        <v>61291</v>
      </c>
      <c r="AL246" s="24"/>
      <c r="AM246" s="24">
        <v>0</v>
      </c>
      <c r="AN246" s="24"/>
      <c r="AO246" s="38">
        <f t="shared" si="36"/>
        <v>2144795</v>
      </c>
      <c r="AP246" s="24"/>
      <c r="AQ246" s="38">
        <f t="shared" si="37"/>
        <v>72898505</v>
      </c>
      <c r="AR246" s="38"/>
      <c r="AS246" s="7"/>
      <c r="AT246" s="7" t="str">
        <f t="shared" si="33"/>
        <v>Hudson City SD</v>
      </c>
      <c r="AU246" s="7" t="str">
        <f>'Gov Fd BS'!A246</f>
        <v>Hudson City SD</v>
      </c>
      <c r="AV246" s="7" t="b">
        <f t="shared" si="34"/>
        <v>1</v>
      </c>
      <c r="AW246" s="7" t="str">
        <f t="shared" si="32"/>
        <v>Summit</v>
      </c>
      <c r="AX246" s="7" t="b">
        <f>C246='Gov Fd BS'!C246</f>
        <v>1</v>
      </c>
    </row>
    <row r="247" spans="1:50">
      <c r="A247" s="12" t="s">
        <v>489</v>
      </c>
      <c r="B247" s="12"/>
      <c r="C247" s="12" t="s">
        <v>58</v>
      </c>
      <c r="D247" s="12"/>
      <c r="E247" s="12">
        <v>49502</v>
      </c>
      <c r="F247" s="24"/>
      <c r="G247" s="24">
        <v>1313074</v>
      </c>
      <c r="H247" s="24"/>
      <c r="I247" s="24">
        <v>0</v>
      </c>
      <c r="J247" s="24"/>
      <c r="K247" s="24">
        <v>11738052</v>
      </c>
      <c r="L247" s="24"/>
      <c r="M247" s="24">
        <v>5233</v>
      </c>
      <c r="N247" s="24"/>
      <c r="O247" s="24">
        <f>9678+8700+196318</f>
        <v>214696</v>
      </c>
      <c r="P247" s="24"/>
      <c r="Q247" s="24">
        <v>119008</v>
      </c>
      <c r="R247" s="24"/>
      <c r="S247" s="24">
        <v>0</v>
      </c>
      <c r="T247" s="24"/>
      <c r="U247" s="24">
        <v>0</v>
      </c>
      <c r="V247" s="24"/>
      <c r="W247" s="24">
        <v>70842</v>
      </c>
      <c r="X247" s="24"/>
      <c r="Y247" s="38">
        <f t="shared" si="35"/>
        <v>13460905</v>
      </c>
      <c r="Z247" s="24"/>
      <c r="AA247" s="24">
        <v>8738</v>
      </c>
      <c r="AB247" s="24"/>
      <c r="AC247" s="24">
        <v>0</v>
      </c>
      <c r="AD247" s="24"/>
      <c r="AE247" s="24">
        <v>2090</v>
      </c>
      <c r="AF247" s="24"/>
      <c r="AG247" s="24">
        <v>0</v>
      </c>
      <c r="AH247" s="24"/>
      <c r="AI247" s="24">
        <v>0</v>
      </c>
      <c r="AJ247" s="24"/>
      <c r="AK247" s="24">
        <v>0</v>
      </c>
      <c r="AL247" s="24"/>
      <c r="AM247" s="24">
        <v>0</v>
      </c>
      <c r="AN247" s="24"/>
      <c r="AO247" s="38">
        <f t="shared" si="36"/>
        <v>10828</v>
      </c>
      <c r="AP247" s="24"/>
      <c r="AQ247" s="38">
        <f t="shared" si="37"/>
        <v>13471733</v>
      </c>
      <c r="AR247" s="38"/>
      <c r="AS247" s="7"/>
      <c r="AT247" s="7" t="str">
        <f t="shared" si="33"/>
        <v>Huntington Local SD</v>
      </c>
      <c r="AU247" s="7" t="str">
        <f>'Gov Fd BS'!A247</f>
        <v>Huntington Local SD</v>
      </c>
      <c r="AV247" s="7" t="b">
        <f t="shared" si="34"/>
        <v>1</v>
      </c>
      <c r="AW247" s="7" t="str">
        <f t="shared" si="32"/>
        <v>Ross</v>
      </c>
      <c r="AX247" s="7" t="b">
        <f>C247='Gov Fd BS'!C247</f>
        <v>1</v>
      </c>
    </row>
    <row r="248" spans="1:50">
      <c r="A248" s="12" t="s">
        <v>292</v>
      </c>
      <c r="B248" s="12"/>
      <c r="C248" s="12" t="s">
        <v>24</v>
      </c>
      <c r="D248" s="12"/>
      <c r="E248" s="12">
        <v>44131</v>
      </c>
      <c r="F248" s="24"/>
      <c r="G248" s="24">
        <v>10527536</v>
      </c>
      <c r="H248" s="24"/>
      <c r="I248" s="24">
        <v>0</v>
      </c>
      <c r="J248" s="24"/>
      <c r="K248" s="24">
        <f>5638173+1041819</f>
        <v>6679992</v>
      </c>
      <c r="L248" s="24"/>
      <c r="M248" s="24">
        <v>41836</v>
      </c>
      <c r="N248" s="24"/>
      <c r="O248" s="24">
        <f>223684+370474+55088+58438</f>
        <v>707684</v>
      </c>
      <c r="P248" s="24"/>
      <c r="Q248" s="24">
        <v>294753</v>
      </c>
      <c r="R248" s="24"/>
      <c r="S248" s="24">
        <v>0</v>
      </c>
      <c r="T248" s="24"/>
      <c r="U248" s="24">
        <v>97032</v>
      </c>
      <c r="V248" s="24"/>
      <c r="W248" s="24">
        <v>156235</v>
      </c>
      <c r="X248" s="24"/>
      <c r="Y248" s="38">
        <f t="shared" si="35"/>
        <v>18505068</v>
      </c>
      <c r="Z248" s="24"/>
      <c r="AA248" s="24">
        <v>36184</v>
      </c>
      <c r="AB248" s="24"/>
      <c r="AC248" s="24">
        <v>0</v>
      </c>
      <c r="AD248" s="24"/>
      <c r="AE248" s="24">
        <v>0</v>
      </c>
      <c r="AF248" s="24"/>
      <c r="AG248" s="24">
        <v>0</v>
      </c>
      <c r="AH248" s="24"/>
      <c r="AI248" s="24">
        <v>0</v>
      </c>
      <c r="AJ248" s="24"/>
      <c r="AK248" s="24">
        <v>0</v>
      </c>
      <c r="AL248" s="24"/>
      <c r="AM248" s="24">
        <v>0</v>
      </c>
      <c r="AN248" s="24"/>
      <c r="AO248" s="38">
        <f t="shared" si="36"/>
        <v>36184</v>
      </c>
      <c r="AP248" s="24"/>
      <c r="AQ248" s="38">
        <f t="shared" si="37"/>
        <v>18541252</v>
      </c>
      <c r="AR248" s="38"/>
      <c r="AS248" s="7"/>
      <c r="AT248" s="7" t="str">
        <f t="shared" si="33"/>
        <v>Huron City SD</v>
      </c>
      <c r="AU248" s="7" t="str">
        <f>'Gov Fd BS'!A248</f>
        <v>Huron City SD</v>
      </c>
      <c r="AV248" s="7" t="b">
        <f t="shared" si="34"/>
        <v>1</v>
      </c>
      <c r="AW248" s="7" t="str">
        <f t="shared" si="32"/>
        <v>Erie</v>
      </c>
      <c r="AX248" s="7" t="b">
        <f>C248='Gov Fd BS'!C248</f>
        <v>1</v>
      </c>
    </row>
    <row r="249" spans="1:50">
      <c r="A249" s="12" t="s">
        <v>275</v>
      </c>
      <c r="B249" s="12"/>
      <c r="C249" s="12" t="s">
        <v>20</v>
      </c>
      <c r="D249" s="12"/>
      <c r="E249" s="12">
        <v>46565</v>
      </c>
      <c r="F249" s="24"/>
      <c r="G249" s="24">
        <v>15020513</v>
      </c>
      <c r="H249" s="24"/>
      <c r="I249" s="24">
        <v>0</v>
      </c>
      <c r="J249" s="24"/>
      <c r="K249" s="24">
        <v>3669115</v>
      </c>
      <c r="L249" s="24"/>
      <c r="M249" s="24">
        <v>24750</v>
      </c>
      <c r="N249" s="24"/>
      <c r="O249" s="24">
        <f>141708+45618+236369</f>
        <v>423695</v>
      </c>
      <c r="P249" s="24"/>
      <c r="Q249" s="24">
        <v>153491</v>
      </c>
      <c r="R249" s="24"/>
      <c r="S249" s="24">
        <v>0</v>
      </c>
      <c r="T249" s="24"/>
      <c r="U249" s="24">
        <v>1388</v>
      </c>
      <c r="V249" s="24"/>
      <c r="W249" s="24">
        <v>83499</v>
      </c>
      <c r="X249" s="24"/>
      <c r="Y249" s="38">
        <f t="shared" si="35"/>
        <v>19376451</v>
      </c>
      <c r="Z249" s="24"/>
      <c r="AA249" s="24">
        <v>67970</v>
      </c>
      <c r="AB249" s="24"/>
      <c r="AC249" s="24">
        <v>0</v>
      </c>
      <c r="AD249" s="24"/>
      <c r="AE249" s="24">
        <v>0</v>
      </c>
      <c r="AF249" s="24"/>
      <c r="AG249" s="24">
        <v>0</v>
      </c>
      <c r="AH249" s="24"/>
      <c r="AI249" s="24">
        <v>0</v>
      </c>
      <c r="AJ249" s="24"/>
      <c r="AK249" s="24">
        <v>133</v>
      </c>
      <c r="AL249" s="24"/>
      <c r="AM249" s="24">
        <v>0</v>
      </c>
      <c r="AN249" s="24"/>
      <c r="AO249" s="38">
        <f t="shared" si="36"/>
        <v>68103</v>
      </c>
      <c r="AP249" s="24"/>
      <c r="AQ249" s="38">
        <f t="shared" si="37"/>
        <v>19444554</v>
      </c>
      <c r="AR249" s="38"/>
      <c r="AS249" s="7"/>
      <c r="AT249" s="7" t="str">
        <f t="shared" si="33"/>
        <v>Independence Local SD</v>
      </c>
      <c r="AU249" s="7" t="str">
        <f>'Gov Fd BS'!A249</f>
        <v>Independence Local SD</v>
      </c>
      <c r="AV249" s="7" t="b">
        <f t="shared" si="34"/>
        <v>1</v>
      </c>
      <c r="AW249" s="7" t="str">
        <f t="shared" si="32"/>
        <v>Cuyahoga</v>
      </c>
      <c r="AX249" s="7" t="b">
        <f>C249='Gov Fd BS'!C249</f>
        <v>1</v>
      </c>
    </row>
    <row r="250" spans="1:50" ht="13.15" customHeight="1">
      <c r="A250" s="12" t="s">
        <v>373</v>
      </c>
      <c r="B250" s="12"/>
      <c r="C250" s="12" t="s">
        <v>39</v>
      </c>
      <c r="D250" s="12"/>
      <c r="E250" s="12">
        <v>47803</v>
      </c>
      <c r="F250" s="24"/>
      <c r="G250" s="24">
        <v>7430906</v>
      </c>
      <c r="H250" s="24"/>
      <c r="I250" s="24">
        <v>0</v>
      </c>
      <c r="J250" s="24"/>
      <c r="K250" s="24">
        <v>13500902</v>
      </c>
      <c r="L250" s="24"/>
      <c r="M250" s="24">
        <v>54899</v>
      </c>
      <c r="N250" s="24"/>
      <c r="O250" s="24">
        <f>311326+1953427+50</f>
        <v>2264803</v>
      </c>
      <c r="P250" s="24"/>
      <c r="Q250" s="24">
        <v>191726</v>
      </c>
      <c r="R250" s="24"/>
      <c r="S250" s="24">
        <v>0</v>
      </c>
      <c r="T250" s="24"/>
      <c r="U250" s="24">
        <v>116153</v>
      </c>
      <c r="V250" s="24"/>
      <c r="W250" s="24">
        <v>83990</v>
      </c>
      <c r="X250" s="24"/>
      <c r="Y250" s="38">
        <f t="shared" si="35"/>
        <v>23643379</v>
      </c>
      <c r="Z250" s="24"/>
      <c r="AA250" s="24">
        <v>668787</v>
      </c>
      <c r="AB250" s="24"/>
      <c r="AC250" s="24">
        <v>0</v>
      </c>
      <c r="AD250" s="24"/>
      <c r="AE250" s="24">
        <v>0</v>
      </c>
      <c r="AF250" s="24"/>
      <c r="AG250" s="24">
        <v>0</v>
      </c>
      <c r="AH250" s="24"/>
      <c r="AI250" s="24">
        <v>0</v>
      </c>
      <c r="AJ250" s="24"/>
      <c r="AK250" s="24">
        <v>0</v>
      </c>
      <c r="AL250" s="24"/>
      <c r="AM250" s="24">
        <v>0</v>
      </c>
      <c r="AN250" s="24"/>
      <c r="AO250" s="38">
        <f t="shared" si="36"/>
        <v>668787</v>
      </c>
      <c r="AP250" s="24"/>
      <c r="AQ250" s="38">
        <f t="shared" si="37"/>
        <v>24312166</v>
      </c>
      <c r="AR250" s="38"/>
      <c r="AS250" s="7"/>
      <c r="AT250" s="7" t="str">
        <f t="shared" si="33"/>
        <v>Indian Creek Local SD</v>
      </c>
      <c r="AU250" s="7" t="str">
        <f>'Gov Fd BS'!A250</f>
        <v>Indian Creek Local SD</v>
      </c>
      <c r="AV250" s="7" t="b">
        <f t="shared" si="34"/>
        <v>1</v>
      </c>
      <c r="AW250" s="7" t="str">
        <f t="shared" si="32"/>
        <v>Jefferson</v>
      </c>
      <c r="AX250" s="7" t="b">
        <f>C250='Gov Fd BS'!C250</f>
        <v>1</v>
      </c>
    </row>
    <row r="251" spans="1:50">
      <c r="A251" s="12" t="s">
        <v>871</v>
      </c>
      <c r="B251" s="12"/>
      <c r="C251" s="12" t="s">
        <v>32</v>
      </c>
      <c r="D251" s="12"/>
      <c r="E251" s="12">
        <v>45435</v>
      </c>
      <c r="F251" s="24"/>
      <c r="G251" s="24">
        <v>28538630</v>
      </c>
      <c r="H251" s="24"/>
      <c r="I251" s="24">
        <v>0</v>
      </c>
      <c r="J251" s="24"/>
      <c r="K251" s="24">
        <f>6670348+1196695</f>
        <v>7867043</v>
      </c>
      <c r="L251" s="24"/>
      <c r="M251" s="24">
        <v>155051</v>
      </c>
      <c r="N251" s="24"/>
      <c r="O251" s="8">
        <f>19050+604673+8500</f>
        <v>632223</v>
      </c>
      <c r="P251" s="24"/>
      <c r="Q251" s="24">
        <v>179691</v>
      </c>
      <c r="R251" s="24"/>
      <c r="S251" s="24">
        <v>3567780</v>
      </c>
      <c r="T251" s="24"/>
      <c r="U251" s="24">
        <v>6538</v>
      </c>
      <c r="V251" s="24"/>
      <c r="W251" s="24">
        <v>28075</v>
      </c>
      <c r="X251" s="24"/>
      <c r="Y251" s="38">
        <f t="shared" si="35"/>
        <v>40975031</v>
      </c>
      <c r="Z251" s="24"/>
      <c r="AA251" s="24">
        <v>0</v>
      </c>
      <c r="AB251" s="24"/>
      <c r="AC251" s="24">
        <v>0</v>
      </c>
      <c r="AD251" s="24"/>
      <c r="AE251" s="24">
        <v>591000</v>
      </c>
      <c r="AF251" s="24"/>
      <c r="AG251" s="24">
        <v>0</v>
      </c>
      <c r="AH251" s="24"/>
      <c r="AI251" s="24">
        <v>0</v>
      </c>
      <c r="AJ251" s="24"/>
      <c r="AK251" s="24">
        <v>0</v>
      </c>
      <c r="AL251" s="24"/>
      <c r="AM251" s="24">
        <v>0</v>
      </c>
      <c r="AN251" s="24"/>
      <c r="AO251" s="38">
        <f t="shared" si="36"/>
        <v>591000</v>
      </c>
      <c r="AP251" s="24"/>
      <c r="AQ251" s="38">
        <f t="shared" si="37"/>
        <v>41566031</v>
      </c>
      <c r="AR251" s="38"/>
      <c r="AS251" s="7"/>
      <c r="AT251" s="7" t="str">
        <f t="shared" si="33"/>
        <v>Indian Hill Exempted Village SD</v>
      </c>
      <c r="AU251" s="7" t="str">
        <f>'Gov Fd BS'!A251</f>
        <v>Indian Hill Exempted Village SD</v>
      </c>
      <c r="AV251" s="7" t="b">
        <f t="shared" si="34"/>
        <v>1</v>
      </c>
      <c r="AW251" s="7" t="str">
        <f t="shared" si="32"/>
        <v>Hamilton</v>
      </c>
      <c r="AX251" s="7" t="b">
        <f>C251='Gov Fd BS'!C251</f>
        <v>1</v>
      </c>
    </row>
    <row r="252" spans="1:50" hidden="1">
      <c r="A252" s="12" t="s">
        <v>909</v>
      </c>
      <c r="B252" s="12"/>
      <c r="C252" s="12" t="s">
        <v>43</v>
      </c>
      <c r="D252" s="12"/>
      <c r="E252" s="12"/>
      <c r="F252" s="24"/>
      <c r="G252" s="24"/>
      <c r="H252" s="24"/>
      <c r="I252" s="24"/>
      <c r="J252" s="24"/>
      <c r="K252" s="24"/>
      <c r="L252" s="24"/>
      <c r="M252" s="24"/>
      <c r="N252" s="24"/>
      <c r="P252" s="24"/>
      <c r="Q252" s="24"/>
      <c r="R252" s="24"/>
      <c r="S252" s="24"/>
      <c r="T252" s="24"/>
      <c r="U252" s="24"/>
      <c r="V252" s="24"/>
      <c r="W252" s="24"/>
      <c r="X252" s="24"/>
      <c r="Y252" s="38">
        <f t="shared" si="35"/>
        <v>0</v>
      </c>
      <c r="Z252" s="24"/>
      <c r="AA252" s="24"/>
      <c r="AB252" s="24"/>
      <c r="AC252" s="24">
        <v>0</v>
      </c>
      <c r="AD252" s="24"/>
      <c r="AE252" s="24"/>
      <c r="AF252" s="24"/>
      <c r="AG252" s="24">
        <v>0</v>
      </c>
      <c r="AH252" s="24"/>
      <c r="AI252" s="24">
        <v>0</v>
      </c>
      <c r="AJ252" s="24"/>
      <c r="AK252" s="24"/>
      <c r="AL252" s="24"/>
      <c r="AM252" s="24"/>
      <c r="AN252" s="24"/>
      <c r="AO252" s="38"/>
      <c r="AP252" s="24"/>
      <c r="AQ252" s="38">
        <f t="shared" si="37"/>
        <v>0</v>
      </c>
      <c r="AR252" s="38"/>
      <c r="AS252" s="7" t="s">
        <v>904</v>
      </c>
      <c r="AT252" s="7" t="str">
        <f t="shared" si="33"/>
        <v>Indian Lake Local SD (CASH)</v>
      </c>
      <c r="AU252" s="7" t="str">
        <f>'Gov Fd BS'!A252</f>
        <v>Indian Lake Local SD (CASH)</v>
      </c>
      <c r="AV252" s="7" t="b">
        <f t="shared" si="34"/>
        <v>1</v>
      </c>
      <c r="AW252" s="7" t="str">
        <f t="shared" si="32"/>
        <v>Logan</v>
      </c>
      <c r="AX252" s="7" t="b">
        <f>C252='Gov Fd BS'!C252</f>
        <v>1</v>
      </c>
    </row>
    <row r="253" spans="1:50">
      <c r="A253" s="12" t="s">
        <v>552</v>
      </c>
      <c r="B253" s="12"/>
      <c r="C253" s="12" t="s">
        <v>65</v>
      </c>
      <c r="D253" s="12"/>
      <c r="E253" s="12">
        <v>50286</v>
      </c>
      <c r="F253" s="24"/>
      <c r="G253" s="24">
        <v>4843303</v>
      </c>
      <c r="H253" s="24"/>
      <c r="I253" s="24">
        <v>0</v>
      </c>
      <c r="J253" s="24"/>
      <c r="K253" s="24">
        <v>11650564</v>
      </c>
      <c r="L253" s="24"/>
      <c r="M253" s="24">
        <v>6430</v>
      </c>
      <c r="N253" s="24"/>
      <c r="O253" s="24">
        <f>1620358+5178+389950</f>
        <v>2015486</v>
      </c>
      <c r="P253" s="24"/>
      <c r="Q253" s="24">
        <v>180806</v>
      </c>
      <c r="R253" s="24"/>
      <c r="S253" s="24">
        <v>0</v>
      </c>
      <c r="T253" s="24"/>
      <c r="U253" s="24">
        <v>93325</v>
      </c>
      <c r="V253" s="24"/>
      <c r="W253" s="24">
        <v>8303</v>
      </c>
      <c r="X253" s="24"/>
      <c r="Y253" s="38">
        <f t="shared" si="35"/>
        <v>18798217</v>
      </c>
      <c r="Z253" s="24"/>
      <c r="AA253" s="24">
        <v>157300</v>
      </c>
      <c r="AB253" s="24"/>
      <c r="AC253" s="24">
        <v>0</v>
      </c>
      <c r="AD253" s="24"/>
      <c r="AE253" s="24">
        <v>114800</v>
      </c>
      <c r="AF253" s="24"/>
      <c r="AG253" s="24">
        <v>0</v>
      </c>
      <c r="AH253" s="24"/>
      <c r="AI253" s="24">
        <v>0</v>
      </c>
      <c r="AJ253" s="24"/>
      <c r="AK253" s="24">
        <v>0</v>
      </c>
      <c r="AL253" s="24"/>
      <c r="AM253" s="24">
        <v>0</v>
      </c>
      <c r="AN253" s="24"/>
      <c r="AO253" s="38">
        <f t="shared" ref="AO253:AO262" si="38">AK253+AE253+AA253</f>
        <v>272100</v>
      </c>
      <c r="AP253" s="24"/>
      <c r="AQ253" s="38">
        <f t="shared" si="37"/>
        <v>19070317</v>
      </c>
      <c r="AR253" s="38"/>
      <c r="AS253" s="7"/>
      <c r="AT253" s="7" t="str">
        <f t="shared" si="33"/>
        <v>Indian Valley Local SD</v>
      </c>
      <c r="AU253" s="7" t="str">
        <f>'Gov Fd BS'!A253</f>
        <v>Indian Valley Local SD</v>
      </c>
      <c r="AV253" s="7" t="b">
        <f t="shared" si="34"/>
        <v>1</v>
      </c>
      <c r="AW253" s="7" t="str">
        <f t="shared" si="32"/>
        <v>Tuscarawas</v>
      </c>
      <c r="AX253" s="7" t="b">
        <f>C253='Gov Fd BS'!C253</f>
        <v>1</v>
      </c>
    </row>
    <row r="254" spans="1:50">
      <c r="A254" s="12" t="s">
        <v>380</v>
      </c>
      <c r="B254" s="12"/>
      <c r="C254" s="12" t="s">
        <v>377</v>
      </c>
      <c r="D254" s="12"/>
      <c r="E254" s="12">
        <v>44149</v>
      </c>
      <c r="F254" s="24"/>
      <c r="G254" s="24">
        <v>3094669</v>
      </c>
      <c r="H254" s="24"/>
      <c r="I254" s="24">
        <v>0</v>
      </c>
      <c r="J254" s="24"/>
      <c r="K254" s="24">
        <v>11672769</v>
      </c>
      <c r="L254" s="24"/>
      <c r="M254" s="24">
        <v>23415</v>
      </c>
      <c r="N254" s="24"/>
      <c r="O254" s="24">
        <f>1214512+16905+247365</f>
        <v>1478782</v>
      </c>
      <c r="P254" s="24"/>
      <c r="Q254" s="24">
        <v>341636</v>
      </c>
      <c r="R254" s="24"/>
      <c r="S254" s="24">
        <v>0</v>
      </c>
      <c r="T254" s="24"/>
      <c r="U254" s="24">
        <v>0</v>
      </c>
      <c r="V254" s="24"/>
      <c r="W254" s="24">
        <v>43885</v>
      </c>
      <c r="X254" s="24"/>
      <c r="Y254" s="38">
        <f t="shared" si="35"/>
        <v>16655156</v>
      </c>
      <c r="Z254" s="24"/>
      <c r="AA254" s="24">
        <v>75035</v>
      </c>
      <c r="AB254" s="24"/>
      <c r="AC254" s="24">
        <v>0</v>
      </c>
      <c r="AD254" s="24"/>
      <c r="AE254" s="24">
        <v>0</v>
      </c>
      <c r="AF254" s="24"/>
      <c r="AG254" s="24">
        <v>0</v>
      </c>
      <c r="AH254" s="24"/>
      <c r="AI254" s="24">
        <v>0</v>
      </c>
      <c r="AJ254" s="24"/>
      <c r="AK254" s="24">
        <v>55750</v>
      </c>
      <c r="AL254" s="24"/>
      <c r="AM254" s="24">
        <v>0</v>
      </c>
      <c r="AN254" s="24"/>
      <c r="AO254" s="38">
        <f t="shared" si="38"/>
        <v>130785</v>
      </c>
      <c r="AP254" s="24"/>
      <c r="AQ254" s="38">
        <f t="shared" si="37"/>
        <v>16785941</v>
      </c>
      <c r="AR254" s="38"/>
      <c r="AS254" s="7"/>
      <c r="AT254" s="7" t="str">
        <f t="shared" si="33"/>
        <v>Ironton City SD</v>
      </c>
      <c r="AU254" s="7" t="str">
        <f>'Gov Fd BS'!A254</f>
        <v>Ironton City SD</v>
      </c>
      <c r="AV254" s="7" t="b">
        <f t="shared" si="34"/>
        <v>1</v>
      </c>
      <c r="AW254" s="7" t="str">
        <f t="shared" si="32"/>
        <v>Lawrence</v>
      </c>
      <c r="AX254" s="7" t="b">
        <f>C254='Gov Fd BS'!C254</f>
        <v>1</v>
      </c>
    </row>
    <row r="255" spans="1:50" hidden="1">
      <c r="A255" s="12" t="s">
        <v>700</v>
      </c>
      <c r="B255" s="12"/>
      <c r="C255" s="12" t="s">
        <v>61</v>
      </c>
      <c r="D255" s="12"/>
      <c r="E255" s="12">
        <v>49809</v>
      </c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38">
        <f t="shared" si="35"/>
        <v>0</v>
      </c>
      <c r="Z255" s="24"/>
      <c r="AA255" s="24"/>
      <c r="AB255" s="24"/>
      <c r="AC255" s="24">
        <v>0</v>
      </c>
      <c r="AD255" s="24"/>
      <c r="AE255" s="24"/>
      <c r="AF255" s="24"/>
      <c r="AG255" s="24">
        <v>0</v>
      </c>
      <c r="AH255" s="24"/>
      <c r="AI255" s="24">
        <v>0</v>
      </c>
      <c r="AJ255" s="24"/>
      <c r="AK255" s="24"/>
      <c r="AL255" s="24"/>
      <c r="AM255" s="24">
        <v>0</v>
      </c>
      <c r="AN255" s="24"/>
      <c r="AO255" s="38">
        <f t="shared" si="38"/>
        <v>0</v>
      </c>
      <c r="AP255" s="24"/>
      <c r="AQ255" s="38">
        <f t="shared" si="37"/>
        <v>0</v>
      </c>
      <c r="AR255" s="38"/>
      <c r="AS255" s="7" t="s">
        <v>904</v>
      </c>
      <c r="AT255" s="7" t="str">
        <f t="shared" si="33"/>
        <v>Jackson Center Local SD (CASH)</v>
      </c>
      <c r="AU255" s="7" t="str">
        <f>'Gov Fd BS'!A255</f>
        <v>Jackson Center Local SD (CASH)</v>
      </c>
      <c r="AV255" s="7" t="b">
        <f t="shared" si="34"/>
        <v>1</v>
      </c>
      <c r="AW255" s="7" t="str">
        <f t="shared" si="32"/>
        <v>Shelby</v>
      </c>
      <c r="AX255" s="7" t="b">
        <f>C255='Gov Fd BS'!C255</f>
        <v>1</v>
      </c>
    </row>
    <row r="256" spans="1:50" hidden="1">
      <c r="A256" s="12" t="s">
        <v>715</v>
      </c>
      <c r="B256" s="12"/>
      <c r="C256" s="12" t="s">
        <v>38</v>
      </c>
      <c r="D256" s="12"/>
      <c r="E256" s="12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38">
        <f>SUM(G256:W256)</f>
        <v>0</v>
      </c>
      <c r="Z256" s="24"/>
      <c r="AA256" s="24"/>
      <c r="AB256" s="24"/>
      <c r="AC256" s="24">
        <v>0</v>
      </c>
      <c r="AD256" s="24"/>
      <c r="AE256" s="24"/>
      <c r="AF256" s="24"/>
      <c r="AG256" s="24">
        <v>0</v>
      </c>
      <c r="AH256" s="24"/>
      <c r="AI256" s="24">
        <v>0</v>
      </c>
      <c r="AJ256" s="24"/>
      <c r="AK256" s="24"/>
      <c r="AL256" s="24"/>
      <c r="AM256" s="24">
        <v>0</v>
      </c>
      <c r="AN256" s="24"/>
      <c r="AO256" s="38">
        <f t="shared" si="38"/>
        <v>0</v>
      </c>
      <c r="AP256" s="24"/>
      <c r="AQ256" s="38">
        <f t="shared" si="37"/>
        <v>0</v>
      </c>
      <c r="AR256" s="38"/>
      <c r="AS256" s="7" t="s">
        <v>904</v>
      </c>
      <c r="AT256" s="7" t="str">
        <f t="shared" si="33"/>
        <v>Jackson City SD (CASH)</v>
      </c>
      <c r="AU256" s="7" t="str">
        <f>'Gov Fd BS'!A256</f>
        <v>Jackson City SD (CASH)</v>
      </c>
      <c r="AV256" s="7" t="b">
        <f t="shared" si="34"/>
        <v>1</v>
      </c>
      <c r="AW256" s="7" t="str">
        <f t="shared" si="32"/>
        <v>Jackson</v>
      </c>
      <c r="AX256" s="7" t="b">
        <f>C256='Gov Fd BS'!C256</f>
        <v>1</v>
      </c>
    </row>
    <row r="257" spans="1:50">
      <c r="A257" s="12" t="s">
        <v>512</v>
      </c>
      <c r="B257" s="12"/>
      <c r="C257" s="12" t="s">
        <v>62</v>
      </c>
      <c r="D257" s="12"/>
      <c r="E257" s="12">
        <v>49858</v>
      </c>
      <c r="F257" s="24"/>
      <c r="G257" s="24">
        <v>47805725</v>
      </c>
      <c r="H257" s="24"/>
      <c r="I257" s="24">
        <v>0</v>
      </c>
      <c r="J257" s="24"/>
      <c r="K257" s="24">
        <f>32823+14522631+2865600</f>
        <v>17421054</v>
      </c>
      <c r="L257" s="24"/>
      <c r="M257" s="24">
        <v>114607</v>
      </c>
      <c r="N257" s="24"/>
      <c r="O257" s="24">
        <f>344913+11653+1265863+238878+24303+211141</f>
        <v>2096751</v>
      </c>
      <c r="P257" s="24"/>
      <c r="Q257" s="24">
        <v>717109</v>
      </c>
      <c r="R257" s="24"/>
      <c r="S257" s="24">
        <v>50918</v>
      </c>
      <c r="T257" s="24"/>
      <c r="U257" s="24">
        <v>131139</v>
      </c>
      <c r="V257" s="24"/>
      <c r="W257" s="24">
        <v>180975</v>
      </c>
      <c r="X257" s="24"/>
      <c r="Y257" s="38">
        <f t="shared" si="35"/>
        <v>68518278</v>
      </c>
      <c r="Z257" s="24"/>
      <c r="AA257" s="24">
        <v>0</v>
      </c>
      <c r="AB257" s="24"/>
      <c r="AC257" s="24">
        <v>0</v>
      </c>
      <c r="AD257" s="24"/>
      <c r="AE257" s="24">
        <v>0</v>
      </c>
      <c r="AF257" s="24"/>
      <c r="AG257" s="24">
        <v>0</v>
      </c>
      <c r="AH257" s="24"/>
      <c r="AI257" s="24">
        <v>0</v>
      </c>
      <c r="AJ257" s="24"/>
      <c r="AK257" s="24">
        <f>7620+64092</f>
        <v>71712</v>
      </c>
      <c r="AL257" s="24"/>
      <c r="AM257" s="24">
        <v>0</v>
      </c>
      <c r="AN257" s="24"/>
      <c r="AO257" s="38">
        <f t="shared" si="38"/>
        <v>71712</v>
      </c>
      <c r="AP257" s="24"/>
      <c r="AQ257" s="38">
        <f t="shared" si="37"/>
        <v>68589990</v>
      </c>
      <c r="AR257" s="38"/>
      <c r="AS257" s="7"/>
      <c r="AT257" s="7" t="str">
        <f t="shared" si="33"/>
        <v>Jackson Local SD</v>
      </c>
      <c r="AU257" s="7" t="str">
        <f>'Gov Fd BS'!A257</f>
        <v>Jackson Local SD</v>
      </c>
      <c r="AV257" s="7" t="b">
        <f t="shared" si="34"/>
        <v>1</v>
      </c>
      <c r="AW257" s="7" t="str">
        <f t="shared" si="32"/>
        <v>Stark</v>
      </c>
      <c r="AX257" s="7" t="b">
        <f>C257='Gov Fd BS'!C257</f>
        <v>1</v>
      </c>
    </row>
    <row r="258" spans="1:50">
      <c r="A258" s="12" t="s">
        <v>417</v>
      </c>
      <c r="B258" s="12"/>
      <c r="C258" s="12" t="s">
        <v>45</v>
      </c>
      <c r="D258" s="12"/>
      <c r="E258" s="12">
        <v>48322</v>
      </c>
      <c r="F258" s="24"/>
      <c r="G258" s="24">
        <v>5220997</v>
      </c>
      <c r="H258" s="24"/>
      <c r="I258" s="24">
        <v>0</v>
      </c>
      <c r="J258" s="24"/>
      <c r="K258" s="24">
        <f>20262+3785422+1063158</f>
        <v>4868842</v>
      </c>
      <c r="L258" s="24"/>
      <c r="M258" s="24">
        <v>2520</v>
      </c>
      <c r="N258" s="24"/>
      <c r="O258" s="24">
        <f>421068+188357+9345</f>
        <v>618770</v>
      </c>
      <c r="P258" s="24"/>
      <c r="Q258" s="24">
        <v>85284</v>
      </c>
      <c r="R258" s="24"/>
      <c r="S258" s="24">
        <v>0</v>
      </c>
      <c r="T258" s="24"/>
      <c r="U258" s="24">
        <v>28969</v>
      </c>
      <c r="V258" s="24"/>
      <c r="W258" s="24">
        <v>97705</v>
      </c>
      <c r="X258" s="24"/>
      <c r="Y258" s="38">
        <f t="shared" si="35"/>
        <v>10923087</v>
      </c>
      <c r="Z258" s="24"/>
      <c r="AA258" s="24">
        <v>129172</v>
      </c>
      <c r="AB258" s="24"/>
      <c r="AC258" s="24">
        <v>0</v>
      </c>
      <c r="AD258" s="24"/>
      <c r="AE258" s="24">
        <v>0</v>
      </c>
      <c r="AF258" s="24"/>
      <c r="AG258" s="24">
        <v>0</v>
      </c>
      <c r="AH258" s="24"/>
      <c r="AI258" s="24">
        <v>0</v>
      </c>
      <c r="AJ258" s="24"/>
      <c r="AK258" s="24">
        <v>0</v>
      </c>
      <c r="AL258" s="24"/>
      <c r="AM258" s="24">
        <v>0</v>
      </c>
      <c r="AN258" s="24"/>
      <c r="AO258" s="38">
        <f t="shared" si="38"/>
        <v>129172</v>
      </c>
      <c r="AP258" s="24"/>
      <c r="AQ258" s="38">
        <f t="shared" si="37"/>
        <v>11052259</v>
      </c>
      <c r="AR258" s="38"/>
      <c r="AS258" s="7"/>
      <c r="AT258" s="7" t="str">
        <f t="shared" si="33"/>
        <v>Jackson-Milton Local SD</v>
      </c>
      <c r="AU258" s="7" t="str">
        <f>'Gov Fd BS'!A258</f>
        <v>Jackson-Milton Local SD</v>
      </c>
      <c r="AV258" s="7" t="b">
        <f t="shared" si="34"/>
        <v>1</v>
      </c>
      <c r="AW258" s="7" t="str">
        <f t="shared" si="32"/>
        <v>Mahoning</v>
      </c>
      <c r="AX258" s="7" t="b">
        <f>C258='Gov Fd BS'!C258</f>
        <v>1</v>
      </c>
    </row>
    <row r="259" spans="1:50">
      <c r="A259" s="12" t="s">
        <v>475</v>
      </c>
      <c r="B259" s="12"/>
      <c r="C259" s="12" t="s">
        <v>56</v>
      </c>
      <c r="D259" s="12"/>
      <c r="E259" s="12">
        <v>49205</v>
      </c>
      <c r="F259" s="24"/>
      <c r="G259" s="24">
        <v>3877412</v>
      </c>
      <c r="H259" s="24"/>
      <c r="I259" s="24">
        <v>0</v>
      </c>
      <c r="J259" s="24"/>
      <c r="K259" s="24">
        <f>6423597+1513317</f>
        <v>7936914</v>
      </c>
      <c r="L259" s="24"/>
      <c r="M259" s="24">
        <v>17554</v>
      </c>
      <c r="N259" s="24"/>
      <c r="O259" s="24">
        <f>1128902+2930+290042+16062</f>
        <v>1437936</v>
      </c>
      <c r="P259" s="24"/>
      <c r="Q259" s="24">
        <v>152621</v>
      </c>
      <c r="R259" s="24"/>
      <c r="S259" s="24">
        <v>0</v>
      </c>
      <c r="T259" s="24"/>
      <c r="U259" s="24">
        <v>0</v>
      </c>
      <c r="V259" s="24"/>
      <c r="W259" s="24">
        <v>77604</v>
      </c>
      <c r="X259" s="24"/>
      <c r="Y259" s="38">
        <f t="shared" si="35"/>
        <v>13500041</v>
      </c>
      <c r="Z259" s="24"/>
      <c r="AA259" s="24">
        <v>0</v>
      </c>
      <c r="AB259" s="24"/>
      <c r="AC259" s="24">
        <v>0</v>
      </c>
      <c r="AD259" s="24"/>
      <c r="AE259" s="24">
        <v>0</v>
      </c>
      <c r="AF259" s="24"/>
      <c r="AG259" s="24">
        <v>0</v>
      </c>
      <c r="AH259" s="24"/>
      <c r="AI259" s="24">
        <v>0</v>
      </c>
      <c r="AJ259" s="24"/>
      <c r="AK259" s="24">
        <v>1922</v>
      </c>
      <c r="AL259" s="24"/>
      <c r="AM259" s="24">
        <v>0</v>
      </c>
      <c r="AN259" s="24"/>
      <c r="AO259" s="38">
        <f t="shared" si="38"/>
        <v>1922</v>
      </c>
      <c r="AP259" s="24"/>
      <c r="AQ259" s="38">
        <f t="shared" si="37"/>
        <v>13501963</v>
      </c>
      <c r="AR259" s="38"/>
      <c r="AS259" s="7"/>
      <c r="AT259" s="7" t="str">
        <f t="shared" si="33"/>
        <v>James A Garfield Local SD</v>
      </c>
      <c r="AU259" s="7" t="str">
        <f>'Gov Fd BS'!A259</f>
        <v>James A Garfield Local SD</v>
      </c>
      <c r="AV259" s="7" t="b">
        <f t="shared" si="34"/>
        <v>1</v>
      </c>
      <c r="AW259" s="7" t="str">
        <f t="shared" si="32"/>
        <v>Portage</v>
      </c>
      <c r="AX259" s="7" t="b">
        <f>C259='Gov Fd BS'!C259</f>
        <v>1</v>
      </c>
    </row>
    <row r="260" spans="1:50">
      <c r="A260" s="12" t="s">
        <v>210</v>
      </c>
      <c r="B260" s="12"/>
      <c r="C260" s="12" t="s">
        <v>12</v>
      </c>
      <c r="D260" s="12"/>
      <c r="E260" s="12">
        <v>45872</v>
      </c>
      <c r="F260" s="24"/>
      <c r="G260" s="24">
        <v>6787860</v>
      </c>
      <c r="H260" s="24"/>
      <c r="I260" s="24">
        <v>0</v>
      </c>
      <c r="J260" s="24"/>
      <c r="K260" s="24">
        <v>11125593</v>
      </c>
      <c r="L260" s="24"/>
      <c r="M260" s="24">
        <v>9004</v>
      </c>
      <c r="N260" s="24"/>
      <c r="O260" s="24">
        <f>1491049+272269</f>
        <v>1763318</v>
      </c>
      <c r="P260" s="24"/>
      <c r="Q260" s="24">
        <v>114722</v>
      </c>
      <c r="R260" s="24"/>
      <c r="S260" s="24">
        <v>0</v>
      </c>
      <c r="T260" s="24"/>
      <c r="U260" s="24">
        <v>5100</v>
      </c>
      <c r="V260" s="24"/>
      <c r="W260" s="24">
        <v>266849</v>
      </c>
      <c r="X260" s="24"/>
      <c r="Y260" s="38">
        <f t="shared" si="35"/>
        <v>20072446</v>
      </c>
      <c r="Z260" s="24"/>
      <c r="AA260" s="24">
        <v>562105</v>
      </c>
      <c r="AB260" s="24"/>
      <c r="AC260" s="24">
        <v>0</v>
      </c>
      <c r="AD260" s="24"/>
      <c r="AE260" s="24">
        <v>0</v>
      </c>
      <c r="AF260" s="24"/>
      <c r="AG260" s="24">
        <v>0</v>
      </c>
      <c r="AH260" s="24"/>
      <c r="AI260" s="24">
        <v>0</v>
      </c>
      <c r="AJ260" s="24"/>
      <c r="AK260" s="24">
        <v>0</v>
      </c>
      <c r="AL260" s="24"/>
      <c r="AM260" s="24">
        <v>0</v>
      </c>
      <c r="AN260" s="24"/>
      <c r="AO260" s="38">
        <f t="shared" si="38"/>
        <v>562105</v>
      </c>
      <c r="AP260" s="24"/>
      <c r="AQ260" s="38">
        <f t="shared" si="37"/>
        <v>20634551</v>
      </c>
      <c r="AR260" s="38"/>
      <c r="AS260" s="7"/>
      <c r="AT260" s="7" t="str">
        <f t="shared" si="33"/>
        <v>Jefferson Area Local SD</v>
      </c>
      <c r="AU260" s="7" t="str">
        <f>'Gov Fd BS'!A260</f>
        <v>Jefferson Area Local SD</v>
      </c>
      <c r="AV260" s="7" t="b">
        <f t="shared" si="34"/>
        <v>1</v>
      </c>
      <c r="AW260" s="7" t="str">
        <f t="shared" si="32"/>
        <v>Ashtabula</v>
      </c>
      <c r="AX260" s="7" t="b">
        <f>C260='Gov Fd BS'!C260</f>
        <v>1</v>
      </c>
    </row>
    <row r="261" spans="1:50">
      <c r="A261" s="12" t="s">
        <v>410</v>
      </c>
      <c r="B261" s="12"/>
      <c r="C261" s="12" t="s">
        <v>411</v>
      </c>
      <c r="D261" s="12"/>
      <c r="E261" s="12">
        <v>48256</v>
      </c>
      <c r="F261" s="24"/>
      <c r="G261" s="24">
        <v>5078257</v>
      </c>
      <c r="H261" s="24"/>
      <c r="I261" s="24">
        <v>729591</v>
      </c>
      <c r="J261" s="24"/>
      <c r="K261" s="24">
        <f>1801+4920844+1270246</f>
        <v>6192891</v>
      </c>
      <c r="L261" s="24"/>
      <c r="M261" s="24">
        <v>8708</v>
      </c>
      <c r="N261" s="24"/>
      <c r="O261" s="24">
        <f>714767+316856+30791+4324</f>
        <v>1066738</v>
      </c>
      <c r="P261" s="24"/>
      <c r="Q261" s="24">
        <v>238475</v>
      </c>
      <c r="R261" s="24"/>
      <c r="S261" s="24">
        <v>602841</v>
      </c>
      <c r="T261" s="24"/>
      <c r="U261" s="24">
        <v>22789</v>
      </c>
      <c r="V261" s="24"/>
      <c r="W261" s="24">
        <v>5534</v>
      </c>
      <c r="X261" s="24"/>
      <c r="Y261" s="38">
        <f t="shared" si="35"/>
        <v>13945824</v>
      </c>
      <c r="Z261" s="24"/>
      <c r="AA261" s="24">
        <v>166193</v>
      </c>
      <c r="AB261" s="24"/>
      <c r="AC261" s="24">
        <v>0</v>
      </c>
      <c r="AD261" s="24"/>
      <c r="AE261" s="24">
        <f>900000+8910</f>
        <v>908910</v>
      </c>
      <c r="AF261" s="24"/>
      <c r="AG261" s="24">
        <v>0</v>
      </c>
      <c r="AH261" s="24"/>
      <c r="AI261" s="24">
        <v>0</v>
      </c>
      <c r="AJ261" s="24"/>
      <c r="AK261" s="24">
        <v>0</v>
      </c>
      <c r="AL261" s="24"/>
      <c r="AM261" s="24">
        <v>0</v>
      </c>
      <c r="AN261" s="24"/>
      <c r="AO261" s="38">
        <f t="shared" si="38"/>
        <v>1075103</v>
      </c>
      <c r="AP261" s="24"/>
      <c r="AQ261" s="38">
        <f t="shared" si="37"/>
        <v>15020927</v>
      </c>
      <c r="AR261" s="38"/>
      <c r="AS261" s="7"/>
      <c r="AT261" s="7" t="str">
        <f t="shared" si="33"/>
        <v>Jefferson Local SD</v>
      </c>
      <c r="AU261" s="7" t="str">
        <f>'Gov Fd BS'!A261</f>
        <v>Jefferson Local SD</v>
      </c>
      <c r="AV261" s="7" t="b">
        <f t="shared" si="34"/>
        <v>1</v>
      </c>
      <c r="AW261" s="7" t="str">
        <f t="shared" si="32"/>
        <v>Madison</v>
      </c>
      <c r="AX261" s="7" t="b">
        <f>C261='Gov Fd BS'!C261</f>
        <v>1</v>
      </c>
    </row>
    <row r="262" spans="1:50">
      <c r="A262" s="12" t="s">
        <v>716</v>
      </c>
      <c r="B262" s="12"/>
      <c r="C262" s="12" t="s">
        <v>50</v>
      </c>
      <c r="D262" s="12"/>
      <c r="E262" s="12">
        <v>48686</v>
      </c>
      <c r="F262" s="24"/>
      <c r="G262" s="24">
        <v>2892067</v>
      </c>
      <c r="H262" s="24"/>
      <c r="I262" s="24">
        <v>0</v>
      </c>
      <c r="J262" s="24"/>
      <c r="K262" s="24">
        <f>4394176+1371956</f>
        <v>5766132</v>
      </c>
      <c r="L262" s="24"/>
      <c r="M262" s="24">
        <v>2750</v>
      </c>
      <c r="N262" s="24"/>
      <c r="O262" s="24">
        <f>457313+17941+2750</f>
        <v>478004</v>
      </c>
      <c r="P262" s="24"/>
      <c r="Q262" s="24">
        <v>19145</v>
      </c>
      <c r="R262" s="24"/>
      <c r="S262" s="24">
        <v>6462</v>
      </c>
      <c r="T262" s="24"/>
      <c r="U262" s="24">
        <v>19090</v>
      </c>
      <c r="V262" s="24"/>
      <c r="W262" s="24">
        <v>96030</v>
      </c>
      <c r="X262" s="24"/>
      <c r="Y262" s="38">
        <f t="shared" si="35"/>
        <v>9279680</v>
      </c>
      <c r="Z262" s="24"/>
      <c r="AA262" s="24">
        <v>11402</v>
      </c>
      <c r="AB262" s="24"/>
      <c r="AC262" s="24">
        <v>0</v>
      </c>
      <c r="AD262" s="24"/>
      <c r="AE262" s="24">
        <v>0</v>
      </c>
      <c r="AF262" s="24"/>
      <c r="AG262" s="24">
        <v>0</v>
      </c>
      <c r="AH262" s="24"/>
      <c r="AI262" s="24">
        <v>0</v>
      </c>
      <c r="AJ262" s="24"/>
      <c r="AK262" s="24">
        <v>0</v>
      </c>
      <c r="AL262" s="24"/>
      <c r="AM262" s="24">
        <v>0</v>
      </c>
      <c r="AN262" s="24"/>
      <c r="AO262" s="38">
        <f t="shared" si="38"/>
        <v>11402</v>
      </c>
      <c r="AP262" s="24"/>
      <c r="AQ262" s="38">
        <f t="shared" si="37"/>
        <v>9291082</v>
      </c>
      <c r="AR262" s="38"/>
      <c r="AS262" s="7"/>
      <c r="AT262" s="7" t="str">
        <f t="shared" si="33"/>
        <v xml:space="preserve">Jefferson Township Local SD </v>
      </c>
      <c r="AU262" s="7" t="str">
        <f>'Gov Fd BS'!A262</f>
        <v xml:space="preserve">Jefferson Township Local SD </v>
      </c>
      <c r="AV262" s="7" t="b">
        <f t="shared" si="34"/>
        <v>1</v>
      </c>
      <c r="AW262" s="7" t="str">
        <f t="shared" si="32"/>
        <v>Montgomery</v>
      </c>
      <c r="AX262" s="7" t="b">
        <f>C262='Gov Fd BS'!C262</f>
        <v>1</v>
      </c>
    </row>
    <row r="263" spans="1:50" hidden="1">
      <c r="A263" s="12" t="s">
        <v>910</v>
      </c>
      <c r="B263" s="12"/>
      <c r="C263" s="12" t="s">
        <v>482</v>
      </c>
      <c r="D263" s="12"/>
      <c r="E263" s="12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38">
        <f t="shared" si="35"/>
        <v>0</v>
      </c>
      <c r="Z263" s="24"/>
      <c r="AA263" s="24"/>
      <c r="AB263" s="24"/>
      <c r="AC263" s="24">
        <v>0</v>
      </c>
      <c r="AD263" s="24"/>
      <c r="AE263" s="24"/>
      <c r="AF263" s="24"/>
      <c r="AG263" s="24">
        <v>0</v>
      </c>
      <c r="AH263" s="24"/>
      <c r="AI263" s="24">
        <v>0</v>
      </c>
      <c r="AJ263" s="24"/>
      <c r="AK263" s="24"/>
      <c r="AL263" s="24"/>
      <c r="AM263" s="24"/>
      <c r="AN263" s="24"/>
      <c r="AO263" s="38"/>
      <c r="AP263" s="24"/>
      <c r="AQ263" s="38">
        <f t="shared" si="37"/>
        <v>0</v>
      </c>
      <c r="AR263" s="38"/>
      <c r="AS263" s="7" t="s">
        <v>904</v>
      </c>
      <c r="AT263" s="7" t="str">
        <f t="shared" si="33"/>
        <v xml:space="preserve">Jennings Local SD (CASH) </v>
      </c>
      <c r="AU263" s="7" t="str">
        <f>'Gov Fd BS'!A263</f>
        <v xml:space="preserve">Jennings Local SD (CASH) </v>
      </c>
      <c r="AV263" s="7" t="b">
        <f t="shared" si="34"/>
        <v>1</v>
      </c>
      <c r="AW263" s="7" t="str">
        <f t="shared" si="32"/>
        <v>Putnam</v>
      </c>
      <c r="AX263" s="7" t="b">
        <f>C263='Gov Fd BS'!C263</f>
        <v>1</v>
      </c>
    </row>
    <row r="264" spans="1:50">
      <c r="A264" s="12" t="s">
        <v>385</v>
      </c>
      <c r="B264" s="12"/>
      <c r="C264" s="12" t="s">
        <v>42</v>
      </c>
      <c r="D264" s="12"/>
      <c r="E264" s="12">
        <v>47985</v>
      </c>
      <c r="F264" s="24"/>
      <c r="G264" s="24">
        <v>5409487</v>
      </c>
      <c r="H264" s="24"/>
      <c r="I264" s="24">
        <v>2184088</v>
      </c>
      <c r="J264" s="24"/>
      <c r="K264" s="24">
        <f>19774+5607555+1215004</f>
        <v>6842333</v>
      </c>
      <c r="L264" s="24"/>
      <c r="M264" s="24">
        <v>22002</v>
      </c>
      <c r="N264" s="24"/>
      <c r="O264" s="24">
        <f>196088+68859+259536+94229+2385</f>
        <v>621097</v>
      </c>
      <c r="P264" s="24"/>
      <c r="Q264" s="24">
        <v>162170</v>
      </c>
      <c r="R264" s="24"/>
      <c r="S264" s="24">
        <v>0</v>
      </c>
      <c r="T264" s="24"/>
      <c r="U264" s="24">
        <v>22956</v>
      </c>
      <c r="V264" s="24"/>
      <c r="W264" s="24">
        <v>36055</v>
      </c>
      <c r="X264" s="24"/>
      <c r="Y264" s="38">
        <f t="shared" si="35"/>
        <v>15300188</v>
      </c>
      <c r="Z264" s="24"/>
      <c r="AA264" s="24">
        <v>131229</v>
      </c>
      <c r="AB264" s="24"/>
      <c r="AC264" s="24">
        <v>0</v>
      </c>
      <c r="AD264" s="24"/>
      <c r="AE264" s="24">
        <v>0</v>
      </c>
      <c r="AF264" s="24"/>
      <c r="AG264" s="24">
        <v>0</v>
      </c>
      <c r="AH264" s="24"/>
      <c r="AI264" s="24">
        <v>0</v>
      </c>
      <c r="AJ264" s="24"/>
      <c r="AK264" s="24">
        <v>981</v>
      </c>
      <c r="AL264" s="24"/>
      <c r="AM264" s="24">
        <v>0</v>
      </c>
      <c r="AN264" s="24"/>
      <c r="AO264" s="38">
        <f t="shared" ref="AO264:AO285" si="39">AK264+AE264+AA264</f>
        <v>132210</v>
      </c>
      <c r="AP264" s="24"/>
      <c r="AQ264" s="38">
        <f t="shared" si="37"/>
        <v>15432398</v>
      </c>
      <c r="AR264" s="38"/>
      <c r="AS264" s="7"/>
      <c r="AT264" s="7" t="str">
        <f t="shared" si="33"/>
        <v>Johnstown-Monroe Local SD</v>
      </c>
      <c r="AU264" s="7" t="str">
        <f>'Gov Fd BS'!A264</f>
        <v>Johnstown-Monroe Local SD</v>
      </c>
      <c r="AV264" s="7" t="b">
        <f t="shared" si="34"/>
        <v>1</v>
      </c>
      <c r="AW264" s="7" t="str">
        <f t="shared" si="32"/>
        <v>Licking</v>
      </c>
      <c r="AX264" s="7" t="b">
        <f>C264='Gov Fd BS'!C264</f>
        <v>1</v>
      </c>
    </row>
    <row r="265" spans="1:50">
      <c r="A265" s="12" t="s">
        <v>412</v>
      </c>
      <c r="B265" s="12"/>
      <c r="C265" s="12" t="s">
        <v>411</v>
      </c>
      <c r="D265" s="12"/>
      <c r="E265" s="12">
        <v>48264</v>
      </c>
      <c r="F265" s="24"/>
      <c r="G265" s="24">
        <v>7124736</v>
      </c>
      <c r="H265" s="24"/>
      <c r="I265" s="24">
        <v>1952963</v>
      </c>
      <c r="J265" s="24"/>
      <c r="K265" s="24">
        <f>3153+19442992+1719409</f>
        <v>21165554</v>
      </c>
      <c r="L265" s="24"/>
      <c r="M265" s="24">
        <v>12735</v>
      </c>
      <c r="N265" s="24"/>
      <c r="O265" s="24">
        <f>957111+491700+101313+6140</f>
        <v>1556264</v>
      </c>
      <c r="P265" s="24"/>
      <c r="Q265" s="24">
        <v>471566</v>
      </c>
      <c r="R265" s="24"/>
      <c r="S265" s="24">
        <v>0</v>
      </c>
      <c r="T265" s="24"/>
      <c r="U265" s="24">
        <v>0</v>
      </c>
      <c r="V265" s="24"/>
      <c r="W265" s="24">
        <v>77758</v>
      </c>
      <c r="X265" s="24"/>
      <c r="Y265" s="38">
        <f t="shared" si="35"/>
        <v>32361576</v>
      </c>
      <c r="Z265" s="24"/>
      <c r="AA265" s="24">
        <v>139254</v>
      </c>
      <c r="AB265" s="24"/>
      <c r="AC265" s="24">
        <v>0</v>
      </c>
      <c r="AD265" s="24"/>
      <c r="AE265" s="24">
        <v>0</v>
      </c>
      <c r="AF265" s="24"/>
      <c r="AG265" s="24">
        <v>0</v>
      </c>
      <c r="AH265" s="24"/>
      <c r="AI265" s="24">
        <v>0</v>
      </c>
      <c r="AJ265" s="24"/>
      <c r="AK265" s="24">
        <v>0</v>
      </c>
      <c r="AL265" s="24"/>
      <c r="AM265" s="24">
        <v>0</v>
      </c>
      <c r="AN265" s="24"/>
      <c r="AO265" s="38">
        <f t="shared" si="39"/>
        <v>139254</v>
      </c>
      <c r="AP265" s="24"/>
      <c r="AQ265" s="38">
        <f t="shared" si="37"/>
        <v>32500830</v>
      </c>
      <c r="AR265" s="38"/>
      <c r="AS265" s="7"/>
      <c r="AT265" s="7" t="str">
        <f t="shared" si="33"/>
        <v>Jonathan Alder Local SD</v>
      </c>
      <c r="AU265" s="7" t="str">
        <f>'Gov Fd BS'!A265</f>
        <v>Jonathan Alder Local SD</v>
      </c>
      <c r="AV265" s="7" t="b">
        <f t="shared" si="34"/>
        <v>1</v>
      </c>
      <c r="AW265" s="7" t="str">
        <f t="shared" si="32"/>
        <v>Madison</v>
      </c>
      <c r="AX265" s="7" t="b">
        <f>C265='Gov Fd BS'!C265</f>
        <v>1</v>
      </c>
    </row>
    <row r="266" spans="1:50">
      <c r="A266" s="12" t="s">
        <v>539</v>
      </c>
      <c r="B266" s="12"/>
      <c r="C266" s="12" t="s">
        <v>64</v>
      </c>
      <c r="D266" s="12"/>
      <c r="E266" s="12">
        <v>50179</v>
      </c>
      <c r="F266" s="24"/>
      <c r="G266" s="24">
        <v>3338042</v>
      </c>
      <c r="H266" s="24"/>
      <c r="I266" s="24">
        <v>0</v>
      </c>
      <c r="J266" s="24"/>
      <c r="K266" s="24">
        <v>5652385</v>
      </c>
      <c r="L266" s="24"/>
      <c r="M266" s="24">
        <v>9415</v>
      </c>
      <c r="N266" s="24"/>
      <c r="O266" s="24">
        <f>256825+11792</f>
        <v>268617</v>
      </c>
      <c r="P266" s="24"/>
      <c r="Q266" s="24">
        <v>57833</v>
      </c>
      <c r="R266" s="24"/>
      <c r="S266" s="24">
        <v>0</v>
      </c>
      <c r="T266" s="24"/>
      <c r="U266" s="24">
        <v>16339</v>
      </c>
      <c r="V266" s="24"/>
      <c r="W266" s="24">
        <v>68812</v>
      </c>
      <c r="X266" s="24"/>
      <c r="Y266" s="38">
        <f t="shared" si="35"/>
        <v>9411443</v>
      </c>
      <c r="Z266" s="24"/>
      <c r="AA266" s="24">
        <v>1914</v>
      </c>
      <c r="AB266" s="24"/>
      <c r="AC266" s="24">
        <v>0</v>
      </c>
      <c r="AD266" s="24"/>
      <c r="AE266" s="24">
        <v>0</v>
      </c>
      <c r="AF266" s="24"/>
      <c r="AG266" s="24">
        <v>0</v>
      </c>
      <c r="AH266" s="24"/>
      <c r="AI266" s="24">
        <v>0</v>
      </c>
      <c r="AJ266" s="24"/>
      <c r="AK266" s="24">
        <v>0</v>
      </c>
      <c r="AL266" s="24"/>
      <c r="AM266" s="24">
        <v>0</v>
      </c>
      <c r="AN266" s="24"/>
      <c r="AO266" s="38">
        <f t="shared" si="39"/>
        <v>1914</v>
      </c>
      <c r="AP266" s="24"/>
      <c r="AQ266" s="38">
        <f t="shared" si="37"/>
        <v>9413357</v>
      </c>
      <c r="AR266" s="38"/>
      <c r="AS266" s="7"/>
      <c r="AT266" s="7" t="str">
        <f t="shared" si="33"/>
        <v>Joseph Badger Local SD</v>
      </c>
      <c r="AU266" s="7" t="str">
        <f>'Gov Fd BS'!A266</f>
        <v>Joseph Badger Local SD</v>
      </c>
      <c r="AV266" s="7" t="b">
        <f t="shared" si="34"/>
        <v>1</v>
      </c>
      <c r="AW266" s="7" t="str">
        <f t="shared" si="32"/>
        <v>Trumbull</v>
      </c>
      <c r="AX266" s="7" t="b">
        <f>C266='Gov Fd BS'!C266</f>
        <v>1</v>
      </c>
    </row>
    <row r="267" spans="1:50">
      <c r="A267" s="12" t="s">
        <v>293</v>
      </c>
      <c r="B267" s="12"/>
      <c r="C267" s="12" t="s">
        <v>24</v>
      </c>
      <c r="D267" s="12"/>
      <c r="E267" s="12">
        <v>46797</v>
      </c>
      <c r="F267" s="24"/>
      <c r="G267" s="24">
        <v>952997</v>
      </c>
      <c r="H267" s="24"/>
      <c r="I267" s="24">
        <v>0</v>
      </c>
      <c r="J267" s="24"/>
      <c r="K267" s="24">
        <f>134746+26659</f>
        <v>161405</v>
      </c>
      <c r="L267" s="24"/>
      <c r="M267" s="24">
        <v>6202</v>
      </c>
      <c r="N267" s="24"/>
      <c r="O267" s="24">
        <v>0</v>
      </c>
      <c r="P267" s="24"/>
      <c r="Q267" s="24">
        <v>0</v>
      </c>
      <c r="R267" s="24"/>
      <c r="S267" s="24">
        <v>0</v>
      </c>
      <c r="T267" s="24"/>
      <c r="U267" s="24">
        <v>0</v>
      </c>
      <c r="V267" s="24"/>
      <c r="W267" s="24">
        <v>15</v>
      </c>
      <c r="X267" s="24"/>
      <c r="Y267" s="38">
        <f t="shared" si="35"/>
        <v>1120619</v>
      </c>
      <c r="Z267" s="24"/>
      <c r="AA267" s="24">
        <v>155410</v>
      </c>
      <c r="AB267" s="24"/>
      <c r="AC267" s="24">
        <v>0</v>
      </c>
      <c r="AD267" s="24"/>
      <c r="AE267" s="24">
        <v>0</v>
      </c>
      <c r="AF267" s="24"/>
      <c r="AG267" s="24">
        <v>0</v>
      </c>
      <c r="AH267" s="24"/>
      <c r="AI267" s="24">
        <v>0</v>
      </c>
      <c r="AJ267" s="24"/>
      <c r="AK267" s="24">
        <v>0</v>
      </c>
      <c r="AL267" s="24"/>
      <c r="AM267" s="24">
        <v>0</v>
      </c>
      <c r="AN267" s="24"/>
      <c r="AO267" s="38">
        <f t="shared" si="39"/>
        <v>155410</v>
      </c>
      <c r="AP267" s="24"/>
      <c r="AQ267" s="38">
        <f t="shared" si="37"/>
        <v>1276029</v>
      </c>
      <c r="AR267" s="38"/>
      <c r="AS267" s="7"/>
      <c r="AT267" s="7" t="str">
        <f t="shared" si="33"/>
        <v>Kelleys Island Local SD</v>
      </c>
      <c r="AU267" s="7" t="str">
        <f>'Gov Fd BS'!A267</f>
        <v>Kelleys Island Local SD</v>
      </c>
      <c r="AV267" s="7" t="b">
        <f t="shared" si="34"/>
        <v>1</v>
      </c>
      <c r="AW267" s="7" t="str">
        <f t="shared" si="32"/>
        <v>Erie</v>
      </c>
      <c r="AX267" s="7" t="b">
        <f>C267='Gov Fd BS'!C267</f>
        <v>1</v>
      </c>
    </row>
    <row r="268" spans="1:50">
      <c r="A268" s="12" t="s">
        <v>321</v>
      </c>
      <c r="B268" s="12"/>
      <c r="C268" s="12" t="s">
        <v>30</v>
      </c>
      <c r="D268" s="12"/>
      <c r="E268" s="12">
        <v>47191</v>
      </c>
      <c r="F268" s="24"/>
      <c r="G268" s="24">
        <v>27159405</v>
      </c>
      <c r="H268" s="24"/>
      <c r="I268" s="24">
        <v>0</v>
      </c>
      <c r="J268" s="24"/>
      <c r="K268" s="24">
        <v>12307241</v>
      </c>
      <c r="L268" s="24"/>
      <c r="M268" s="24">
        <v>61275</v>
      </c>
      <c r="N268" s="24"/>
      <c r="O268" s="24">
        <v>161709</v>
      </c>
      <c r="P268" s="24"/>
      <c r="Q268" s="24">
        <v>700616</v>
      </c>
      <c r="R268" s="24"/>
      <c r="S268" s="24">
        <v>0</v>
      </c>
      <c r="T268" s="24"/>
      <c r="U268" s="24">
        <v>0</v>
      </c>
      <c r="V268" s="24"/>
      <c r="W268" s="24">
        <v>189309</v>
      </c>
      <c r="X268" s="24"/>
      <c r="Y268" s="38">
        <f t="shared" si="35"/>
        <v>40579555</v>
      </c>
      <c r="Z268" s="24"/>
      <c r="AA268" s="24">
        <v>111815</v>
      </c>
      <c r="AB268" s="24"/>
      <c r="AC268" s="24">
        <v>0</v>
      </c>
      <c r="AD268" s="24"/>
      <c r="AE268" s="24">
        <v>0</v>
      </c>
      <c r="AF268" s="24"/>
      <c r="AG268" s="24">
        <v>0</v>
      </c>
      <c r="AH268" s="24"/>
      <c r="AI268" s="24">
        <v>0</v>
      </c>
      <c r="AJ268" s="24"/>
      <c r="AK268" s="24">
        <f>10000+47</f>
        <v>10047</v>
      </c>
      <c r="AL268" s="24"/>
      <c r="AM268" s="24">
        <v>0</v>
      </c>
      <c r="AN268" s="24"/>
      <c r="AO268" s="38">
        <f t="shared" si="39"/>
        <v>121862</v>
      </c>
      <c r="AP268" s="24"/>
      <c r="AQ268" s="38">
        <f t="shared" si="37"/>
        <v>40701417</v>
      </c>
      <c r="AR268" s="38"/>
      <c r="AS268" s="7"/>
      <c r="AT268" s="7" t="str">
        <f t="shared" si="33"/>
        <v>Kenston Local SD</v>
      </c>
      <c r="AU268" s="7" t="str">
        <f>'Gov Fd BS'!A268</f>
        <v>Kenston Local SD</v>
      </c>
      <c r="AV268" s="7" t="b">
        <f t="shared" si="34"/>
        <v>1</v>
      </c>
      <c r="AW268" s="7" t="str">
        <f t="shared" ref="AW268:AW332" si="40">C268</f>
        <v>Geauga</v>
      </c>
      <c r="AX268" s="7" t="b">
        <f>C268='Gov Fd BS'!C268</f>
        <v>1</v>
      </c>
    </row>
    <row r="269" spans="1:50">
      <c r="A269" s="12" t="s">
        <v>476</v>
      </c>
      <c r="B269" s="12"/>
      <c r="C269" s="12" t="s">
        <v>56</v>
      </c>
      <c r="D269" s="12"/>
      <c r="E269" s="12">
        <v>44164</v>
      </c>
      <c r="F269" s="24"/>
      <c r="G269" s="24">
        <v>20547382</v>
      </c>
      <c r="H269" s="24"/>
      <c r="I269" s="24">
        <v>0</v>
      </c>
      <c r="J269" s="24"/>
      <c r="K269" s="24">
        <v>22851330</v>
      </c>
      <c r="L269" s="24"/>
      <c r="M269" s="24">
        <v>32504</v>
      </c>
      <c r="N269" s="24"/>
      <c r="O269" s="24">
        <f>3150334+645238+180480</f>
        <v>3976052</v>
      </c>
      <c r="P269" s="24"/>
      <c r="Q269" s="24">
        <v>387417</v>
      </c>
      <c r="R269" s="24"/>
      <c r="S269" s="24">
        <v>0</v>
      </c>
      <c r="T269" s="24"/>
      <c r="U269" s="24">
        <v>115001</v>
      </c>
      <c r="V269" s="24"/>
      <c r="W269" s="24">
        <v>113021</v>
      </c>
      <c r="X269" s="24"/>
      <c r="Y269" s="38">
        <f t="shared" si="35"/>
        <v>48022707</v>
      </c>
      <c r="Z269" s="24"/>
      <c r="AA269" s="24">
        <v>454350</v>
      </c>
      <c r="AB269" s="24"/>
      <c r="AC269" s="24">
        <v>0</v>
      </c>
      <c r="AD269" s="24"/>
      <c r="AE269" s="24">
        <v>0</v>
      </c>
      <c r="AF269" s="24"/>
      <c r="AG269" s="24">
        <v>0</v>
      </c>
      <c r="AH269" s="24"/>
      <c r="AI269" s="24">
        <v>0</v>
      </c>
      <c r="AJ269" s="24"/>
      <c r="AK269" s="24">
        <v>0</v>
      </c>
      <c r="AL269" s="24"/>
      <c r="AM269" s="24">
        <v>0</v>
      </c>
      <c r="AN269" s="24"/>
      <c r="AO269" s="38">
        <f t="shared" si="39"/>
        <v>454350</v>
      </c>
      <c r="AP269" s="24"/>
      <c r="AQ269" s="38">
        <f t="shared" si="37"/>
        <v>48477057</v>
      </c>
      <c r="AR269" s="38"/>
      <c r="AS269" s="7"/>
      <c r="AT269" s="7" t="str">
        <f t="shared" ref="AT269:AT334" si="41">A269</f>
        <v>Kent City SD</v>
      </c>
      <c r="AU269" s="7" t="str">
        <f>'Gov Fd BS'!A269</f>
        <v>Kent City SD</v>
      </c>
      <c r="AV269" s="7" t="b">
        <f t="shared" ref="AV269:AV334" si="42">AT269=AU269</f>
        <v>1</v>
      </c>
      <c r="AW269" s="7" t="str">
        <f t="shared" si="40"/>
        <v>Portage</v>
      </c>
      <c r="AX269" s="7" t="b">
        <f>C269='Gov Fd BS'!C269</f>
        <v>1</v>
      </c>
    </row>
    <row r="270" spans="1:50">
      <c r="A270" s="12" t="s">
        <v>350</v>
      </c>
      <c r="B270" s="12"/>
      <c r="C270" s="12" t="s">
        <v>348</v>
      </c>
      <c r="D270" s="12"/>
      <c r="E270" s="12">
        <v>44172</v>
      </c>
      <c r="F270" s="24"/>
      <c r="G270" s="24">
        <v>3490258</v>
      </c>
      <c r="H270" s="24"/>
      <c r="I270" s="24">
        <v>1921556</v>
      </c>
      <c r="J270" s="24"/>
      <c r="K270" s="24">
        <v>12569694</v>
      </c>
      <c r="L270" s="24"/>
      <c r="M270" s="24">
        <v>8356</v>
      </c>
      <c r="N270" s="24"/>
      <c r="O270" s="24">
        <f>757858+330248</f>
        <v>1088106</v>
      </c>
      <c r="P270" s="24"/>
      <c r="Q270" s="24">
        <v>295210</v>
      </c>
      <c r="R270" s="24"/>
      <c r="S270" s="24">
        <v>0</v>
      </c>
      <c r="T270" s="24"/>
      <c r="U270" s="24">
        <v>3664</v>
      </c>
      <c r="V270" s="24"/>
      <c r="W270" s="24">
        <v>201778</v>
      </c>
      <c r="X270" s="24"/>
      <c r="Y270" s="38">
        <f t="shared" si="35"/>
        <v>19578622</v>
      </c>
      <c r="Z270" s="24"/>
      <c r="AA270" s="24">
        <v>0</v>
      </c>
      <c r="AB270" s="24"/>
      <c r="AC270" s="24">
        <v>0</v>
      </c>
      <c r="AD270" s="24"/>
      <c r="AE270" s="24">
        <v>0</v>
      </c>
      <c r="AF270" s="24"/>
      <c r="AG270" s="24">
        <v>0</v>
      </c>
      <c r="AH270" s="24"/>
      <c r="AI270" s="24">
        <v>0</v>
      </c>
      <c r="AJ270" s="24"/>
      <c r="AK270" s="24">
        <v>319</v>
      </c>
      <c r="AL270" s="24"/>
      <c r="AM270" s="24">
        <v>0</v>
      </c>
      <c r="AN270" s="24"/>
      <c r="AO270" s="38">
        <f t="shared" si="39"/>
        <v>319</v>
      </c>
      <c r="AP270" s="24"/>
      <c r="AQ270" s="38">
        <f t="shared" si="37"/>
        <v>19578941</v>
      </c>
      <c r="AR270" s="38"/>
      <c r="AS270" s="7"/>
      <c r="AT270" s="7" t="str">
        <f t="shared" si="41"/>
        <v>Kenton City SD</v>
      </c>
      <c r="AU270" s="7" t="str">
        <f>'Gov Fd BS'!A270</f>
        <v>Kenton City SD</v>
      </c>
      <c r="AV270" s="7" t="b">
        <f t="shared" si="42"/>
        <v>1</v>
      </c>
      <c r="AW270" s="7" t="str">
        <f t="shared" si="40"/>
        <v>Hardin</v>
      </c>
      <c r="AX270" s="7" t="b">
        <f>C270='Gov Fd BS'!C270</f>
        <v>1</v>
      </c>
    </row>
    <row r="271" spans="1:50" s="32" customFormat="1">
      <c r="A271" s="31" t="s">
        <v>444</v>
      </c>
      <c r="B271" s="31"/>
      <c r="C271" s="31" t="s">
        <v>50</v>
      </c>
      <c r="D271" s="31"/>
      <c r="E271" s="31">
        <v>44180</v>
      </c>
      <c r="F271" s="35"/>
      <c r="G271" s="35">
        <v>61900078</v>
      </c>
      <c r="H271" s="35"/>
      <c r="I271" s="35">
        <v>0</v>
      </c>
      <c r="J271" s="35"/>
      <c r="K271" s="35">
        <v>36084298</v>
      </c>
      <c r="L271" s="35"/>
      <c r="M271" s="35">
        <v>73241</v>
      </c>
      <c r="N271" s="35"/>
      <c r="O271" s="35">
        <f>715907+36955+1585503+179143</f>
        <v>2517508</v>
      </c>
      <c r="P271" s="35"/>
      <c r="Q271" s="35">
        <v>678487</v>
      </c>
      <c r="R271" s="35"/>
      <c r="S271" s="35">
        <v>0</v>
      </c>
      <c r="T271" s="35"/>
      <c r="U271" s="35">
        <v>0</v>
      </c>
      <c r="V271" s="35"/>
      <c r="W271" s="35">
        <v>1361743</v>
      </c>
      <c r="X271" s="35"/>
      <c r="Y271" s="53">
        <f t="shared" si="35"/>
        <v>102615355</v>
      </c>
      <c r="Z271" s="35"/>
      <c r="AA271" s="35">
        <v>13500</v>
      </c>
      <c r="AB271" s="35"/>
      <c r="AC271" s="35">
        <v>0</v>
      </c>
      <c r="AD271" s="35"/>
      <c r="AE271" s="35">
        <v>0</v>
      </c>
      <c r="AF271" s="35"/>
      <c r="AG271" s="35">
        <v>0</v>
      </c>
      <c r="AH271" s="35"/>
      <c r="AI271" s="35">
        <v>0</v>
      </c>
      <c r="AJ271" s="35"/>
      <c r="AK271" s="35">
        <v>0</v>
      </c>
      <c r="AL271" s="35"/>
      <c r="AM271" s="35">
        <v>0</v>
      </c>
      <c r="AN271" s="35"/>
      <c r="AO271" s="53">
        <f t="shared" si="39"/>
        <v>13500</v>
      </c>
      <c r="AP271" s="35"/>
      <c r="AQ271" s="53">
        <f t="shared" si="37"/>
        <v>102628855</v>
      </c>
      <c r="AR271" s="53"/>
      <c r="AT271" s="32" t="str">
        <f t="shared" si="41"/>
        <v>Kettering City SD</v>
      </c>
      <c r="AU271" s="32" t="str">
        <f>'Gov Fd BS'!A271</f>
        <v>Kettering City SD</v>
      </c>
      <c r="AV271" s="32" t="b">
        <f t="shared" si="42"/>
        <v>1</v>
      </c>
      <c r="AW271" s="32" t="str">
        <f t="shared" si="40"/>
        <v>Montgomery</v>
      </c>
      <c r="AX271" s="32" t="b">
        <f>C271='Gov Fd BS'!C271</f>
        <v>1</v>
      </c>
    </row>
    <row r="272" spans="1:50">
      <c r="A272" s="12" t="s">
        <v>666</v>
      </c>
      <c r="B272" s="12"/>
      <c r="C272" s="12" t="s">
        <v>44</v>
      </c>
      <c r="D272" s="12"/>
      <c r="E272" s="12">
        <v>48165</v>
      </c>
      <c r="F272" s="24"/>
      <c r="G272" s="24">
        <v>6811405</v>
      </c>
      <c r="H272" s="24"/>
      <c r="I272" s="24">
        <v>0</v>
      </c>
      <c r="J272" s="24"/>
      <c r="K272" s="24">
        <f>10055+7650851+1890678</f>
        <v>9551584</v>
      </c>
      <c r="L272" s="24"/>
      <c r="M272" s="24">
        <v>48229</v>
      </c>
      <c r="N272" s="24"/>
      <c r="O272" s="24">
        <f>603722+343880+62951+5826+7888</f>
        <v>1024267</v>
      </c>
      <c r="P272" s="24"/>
      <c r="Q272" s="24">
        <v>89324</v>
      </c>
      <c r="R272" s="24"/>
      <c r="S272" s="24">
        <v>0</v>
      </c>
      <c r="T272" s="24"/>
      <c r="U272" s="24">
        <v>3654</v>
      </c>
      <c r="V272" s="24"/>
      <c r="W272" s="24">
        <v>345605</v>
      </c>
      <c r="X272" s="24"/>
      <c r="Y272" s="38">
        <f t="shared" si="35"/>
        <v>17874068</v>
      </c>
      <c r="Z272" s="24"/>
      <c r="AA272" s="24">
        <v>17096</v>
      </c>
      <c r="AB272" s="24"/>
      <c r="AC272" s="24">
        <v>0</v>
      </c>
      <c r="AD272" s="24"/>
      <c r="AE272" s="24">
        <f>11499987+226875+372368</f>
        <v>12099230</v>
      </c>
      <c r="AF272" s="24"/>
      <c r="AG272" s="24">
        <v>0</v>
      </c>
      <c r="AH272" s="24"/>
      <c r="AI272" s="24">
        <v>0</v>
      </c>
      <c r="AJ272" s="24"/>
      <c r="AK272" s="24">
        <v>0</v>
      </c>
      <c r="AL272" s="24"/>
      <c r="AM272" s="24">
        <v>0</v>
      </c>
      <c r="AN272" s="24"/>
      <c r="AO272" s="38">
        <f t="shared" si="39"/>
        <v>12116326</v>
      </c>
      <c r="AP272" s="24"/>
      <c r="AQ272" s="38">
        <f t="shared" si="37"/>
        <v>29990394</v>
      </c>
      <c r="AR272" s="38"/>
      <c r="AS272" s="7"/>
      <c r="AT272" s="7" t="str">
        <f t="shared" si="41"/>
        <v xml:space="preserve">Keystone Local SD </v>
      </c>
      <c r="AU272" s="7" t="str">
        <f>'Gov Fd BS'!A272</f>
        <v xml:space="preserve">Keystone Local SD </v>
      </c>
      <c r="AV272" s="7" t="b">
        <f t="shared" si="42"/>
        <v>1</v>
      </c>
      <c r="AW272" s="7" t="str">
        <f t="shared" si="40"/>
        <v>Lorain</v>
      </c>
      <c r="AX272" s="7" t="b">
        <f>C272='Gov Fd BS'!C272</f>
        <v>1</v>
      </c>
    </row>
    <row r="273" spans="1:50">
      <c r="A273" s="12" t="s">
        <v>761</v>
      </c>
      <c r="B273" s="12"/>
      <c r="C273" s="12" t="s">
        <v>69</v>
      </c>
      <c r="D273" s="12"/>
      <c r="E273" s="12">
        <v>50435</v>
      </c>
      <c r="F273" s="24"/>
      <c r="G273" s="24">
        <v>26797124</v>
      </c>
      <c r="H273" s="24"/>
      <c r="I273" s="24">
        <v>0</v>
      </c>
      <c r="J273" s="24"/>
      <c r="K273" s="24">
        <v>16704122</v>
      </c>
      <c r="L273" s="24"/>
      <c r="M273" s="24">
        <v>16987</v>
      </c>
      <c r="N273" s="24"/>
      <c r="O273" s="24">
        <f>631865+128407+18584</f>
        <v>778856</v>
      </c>
      <c r="P273" s="24"/>
      <c r="Q273" s="24">
        <v>129627</v>
      </c>
      <c r="R273" s="24"/>
      <c r="S273" s="24">
        <v>1914186</v>
      </c>
      <c r="T273" s="24"/>
      <c r="U273" s="24">
        <v>156013</v>
      </c>
      <c r="V273" s="24"/>
      <c r="W273" s="24">
        <v>354730</v>
      </c>
      <c r="X273" s="24"/>
      <c r="Y273" s="38">
        <f t="shared" si="35"/>
        <v>46851645</v>
      </c>
      <c r="Z273" s="24"/>
      <c r="AA273" s="24">
        <v>0</v>
      </c>
      <c r="AB273" s="24"/>
      <c r="AC273" s="24">
        <v>0</v>
      </c>
      <c r="AD273" s="24"/>
      <c r="AE273" s="24">
        <v>0</v>
      </c>
      <c r="AF273" s="24"/>
      <c r="AG273" s="24">
        <v>0</v>
      </c>
      <c r="AH273" s="24"/>
      <c r="AI273" s="24">
        <v>0</v>
      </c>
      <c r="AJ273" s="24"/>
      <c r="AK273" s="24">
        <v>0</v>
      </c>
      <c r="AL273" s="24"/>
      <c r="AM273" s="24">
        <v>0</v>
      </c>
      <c r="AN273" s="24"/>
      <c r="AO273" s="38">
        <f t="shared" si="39"/>
        <v>0</v>
      </c>
      <c r="AP273" s="24"/>
      <c r="AQ273" s="38">
        <f t="shared" si="37"/>
        <v>46851645</v>
      </c>
      <c r="AR273" s="38"/>
      <c r="AS273" s="7"/>
      <c r="AT273" s="7" t="str">
        <f t="shared" si="41"/>
        <v xml:space="preserve">Kings Local SD  </v>
      </c>
      <c r="AU273" s="7" t="str">
        <f>'Gov Fd BS'!A273</f>
        <v xml:space="preserve">Kings Local SD  </v>
      </c>
      <c r="AV273" s="7" t="b">
        <f t="shared" si="42"/>
        <v>1</v>
      </c>
      <c r="AW273" s="7" t="str">
        <f t="shared" si="40"/>
        <v>Warren</v>
      </c>
      <c r="AX273" s="7" t="b">
        <f>C273='Gov Fd BS'!C273</f>
        <v>1</v>
      </c>
    </row>
    <row r="274" spans="1:50" hidden="1">
      <c r="A274" s="12" t="s">
        <v>729</v>
      </c>
      <c r="B274" s="12"/>
      <c r="C274" s="12" t="s">
        <v>41</v>
      </c>
      <c r="D274" s="12"/>
      <c r="E274" s="12">
        <v>47878</v>
      </c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38">
        <f t="shared" si="35"/>
        <v>0</v>
      </c>
      <c r="Z274" s="24"/>
      <c r="AA274" s="24"/>
      <c r="AB274" s="24"/>
      <c r="AC274" s="24">
        <v>0</v>
      </c>
      <c r="AD274" s="24"/>
      <c r="AE274" s="24"/>
      <c r="AF274" s="24"/>
      <c r="AG274" s="24">
        <v>0</v>
      </c>
      <c r="AH274" s="24"/>
      <c r="AI274" s="24">
        <v>0</v>
      </c>
      <c r="AJ274" s="24"/>
      <c r="AK274" s="24"/>
      <c r="AL274" s="24"/>
      <c r="AM274" s="24">
        <v>0</v>
      </c>
      <c r="AN274" s="24"/>
      <c r="AO274" s="38">
        <f t="shared" si="39"/>
        <v>0</v>
      </c>
      <c r="AP274" s="24"/>
      <c r="AQ274" s="38">
        <f t="shared" si="37"/>
        <v>0</v>
      </c>
      <c r="AR274" s="38"/>
      <c r="AS274" s="7" t="s">
        <v>911</v>
      </c>
      <c r="AT274" s="7" t="str">
        <f t="shared" si="41"/>
        <v>Kirtland Local SD (CASH)</v>
      </c>
      <c r="AU274" s="7" t="str">
        <f>'Gov Fd BS'!A274</f>
        <v>Kirtland Local SD (CASH)</v>
      </c>
      <c r="AV274" s="7" t="b">
        <f t="shared" si="42"/>
        <v>1</v>
      </c>
      <c r="AW274" s="7" t="str">
        <f t="shared" si="40"/>
        <v>Lake</v>
      </c>
      <c r="AX274" s="7" t="b">
        <f>C274='Gov Fd BS'!C274</f>
        <v>1</v>
      </c>
    </row>
    <row r="275" spans="1:50">
      <c r="A275" s="12" t="s">
        <v>540</v>
      </c>
      <c r="B275" s="12"/>
      <c r="C275" s="12" t="s">
        <v>64</v>
      </c>
      <c r="D275" s="12"/>
      <c r="E275" s="12">
        <v>50245</v>
      </c>
      <c r="F275" s="24"/>
      <c r="G275" s="24">
        <v>3163051</v>
      </c>
      <c r="H275" s="24"/>
      <c r="I275" s="24">
        <v>0</v>
      </c>
      <c r="J275" s="24"/>
      <c r="K275" s="24">
        <f>8310936+2565301</f>
        <v>10876237</v>
      </c>
      <c r="L275" s="24"/>
      <c r="M275" s="24">
        <v>16023</v>
      </c>
      <c r="N275" s="24"/>
      <c r="O275" s="24">
        <f>1212643+183809+29941+50215+4000</f>
        <v>1480608</v>
      </c>
      <c r="P275" s="24"/>
      <c r="Q275" s="24">
        <v>195491</v>
      </c>
      <c r="R275" s="24"/>
      <c r="S275" s="24">
        <v>0</v>
      </c>
      <c r="T275" s="24"/>
      <c r="U275" s="24">
        <v>15377</v>
      </c>
      <c r="V275" s="24"/>
      <c r="W275" s="24">
        <v>70988</v>
      </c>
      <c r="X275" s="24"/>
      <c r="Y275" s="38">
        <f t="shared" si="35"/>
        <v>15817775</v>
      </c>
      <c r="Z275" s="24"/>
      <c r="AA275" s="24">
        <v>0</v>
      </c>
      <c r="AB275" s="24"/>
      <c r="AC275" s="24">
        <v>0</v>
      </c>
      <c r="AD275" s="24"/>
      <c r="AE275" s="24">
        <v>0</v>
      </c>
      <c r="AF275" s="24"/>
      <c r="AG275" s="24">
        <v>0</v>
      </c>
      <c r="AH275" s="24"/>
      <c r="AI275" s="24">
        <v>0</v>
      </c>
      <c r="AJ275" s="24"/>
      <c r="AK275" s="24">
        <v>0</v>
      </c>
      <c r="AL275" s="24"/>
      <c r="AM275" s="24">
        <v>0</v>
      </c>
      <c r="AN275" s="24"/>
      <c r="AO275" s="38">
        <f t="shared" si="39"/>
        <v>0</v>
      </c>
      <c r="AP275" s="24"/>
      <c r="AQ275" s="38">
        <f t="shared" si="37"/>
        <v>15817775</v>
      </c>
      <c r="AR275" s="38"/>
      <c r="AS275" s="7"/>
      <c r="AT275" s="7" t="str">
        <f t="shared" si="41"/>
        <v>LaBrae Local SD</v>
      </c>
      <c r="AU275" s="7" t="str">
        <f>'Gov Fd BS'!A275</f>
        <v>LaBrae Local SD</v>
      </c>
      <c r="AV275" s="7" t="b">
        <f t="shared" si="42"/>
        <v>1</v>
      </c>
      <c r="AW275" s="7" t="str">
        <f t="shared" si="40"/>
        <v>Trumbull</v>
      </c>
      <c r="AX275" s="7" t="b">
        <f>C275='Gov Fd BS'!C275</f>
        <v>1</v>
      </c>
    </row>
    <row r="276" spans="1:50">
      <c r="A276" s="12" t="s">
        <v>513</v>
      </c>
      <c r="B276" s="12"/>
      <c r="C276" s="12" t="s">
        <v>62</v>
      </c>
      <c r="D276" s="12"/>
      <c r="E276" s="12">
        <v>49866</v>
      </c>
      <c r="F276" s="24"/>
      <c r="G276" s="24">
        <v>15688190</v>
      </c>
      <c r="H276" s="24"/>
      <c r="I276" s="24">
        <v>0</v>
      </c>
      <c r="J276" s="24"/>
      <c r="K276" s="24">
        <v>19418429</v>
      </c>
      <c r="L276" s="24"/>
      <c r="M276" s="24">
        <v>10814</v>
      </c>
      <c r="N276" s="24"/>
      <c r="O276" s="24">
        <f>252448+140488</f>
        <v>392936</v>
      </c>
      <c r="P276" s="24"/>
      <c r="Q276" s="24">
        <v>399424</v>
      </c>
      <c r="R276" s="24"/>
      <c r="S276" s="24">
        <v>0</v>
      </c>
      <c r="T276" s="24"/>
      <c r="U276" s="24">
        <v>665653</v>
      </c>
      <c r="V276" s="24"/>
      <c r="W276" s="24">
        <v>28074</v>
      </c>
      <c r="X276" s="24"/>
      <c r="Y276" s="38">
        <f t="shared" si="35"/>
        <v>36603520</v>
      </c>
      <c r="Z276" s="24"/>
      <c r="AA276" s="24">
        <v>0</v>
      </c>
      <c r="AB276" s="24"/>
      <c r="AC276" s="24">
        <v>0</v>
      </c>
      <c r="AD276" s="24"/>
      <c r="AE276" s="24">
        <v>0</v>
      </c>
      <c r="AF276" s="24"/>
      <c r="AG276" s="24">
        <v>0</v>
      </c>
      <c r="AH276" s="24"/>
      <c r="AI276" s="24">
        <v>0</v>
      </c>
      <c r="AJ276" s="24"/>
      <c r="AK276" s="24">
        <v>21350</v>
      </c>
      <c r="AL276" s="24"/>
      <c r="AM276" s="24">
        <v>0</v>
      </c>
      <c r="AN276" s="24"/>
      <c r="AO276" s="38">
        <f t="shared" si="39"/>
        <v>21350</v>
      </c>
      <c r="AP276" s="24"/>
      <c r="AQ276" s="38">
        <f t="shared" si="37"/>
        <v>36624870</v>
      </c>
      <c r="AR276" s="38"/>
      <c r="AS276" s="7"/>
      <c r="AT276" s="7" t="str">
        <f t="shared" si="41"/>
        <v>Lake Local SD</v>
      </c>
      <c r="AU276" s="7" t="str">
        <f>'Gov Fd BS'!A276</f>
        <v>Lake Local SD</v>
      </c>
      <c r="AV276" s="7" t="b">
        <f t="shared" si="42"/>
        <v>1</v>
      </c>
      <c r="AW276" s="7" t="str">
        <f t="shared" si="40"/>
        <v>Stark</v>
      </c>
      <c r="AX276" s="7" t="b">
        <f>C276='Gov Fd BS'!C276</f>
        <v>1</v>
      </c>
    </row>
    <row r="277" spans="1:50" hidden="1">
      <c r="A277" s="12" t="s">
        <v>913</v>
      </c>
      <c r="B277" s="12"/>
      <c r="C277" s="12" t="s">
        <v>72</v>
      </c>
      <c r="D277" s="12"/>
      <c r="E277" s="12">
        <v>50690</v>
      </c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38">
        <f t="shared" si="35"/>
        <v>0</v>
      </c>
      <c r="Z277" s="24"/>
      <c r="AA277" s="24"/>
      <c r="AB277" s="24"/>
      <c r="AC277" s="24">
        <v>0</v>
      </c>
      <c r="AD277" s="24"/>
      <c r="AE277" s="24"/>
      <c r="AF277" s="24"/>
      <c r="AG277" s="24">
        <v>0</v>
      </c>
      <c r="AH277" s="24"/>
      <c r="AI277" s="24">
        <v>0</v>
      </c>
      <c r="AJ277" s="24"/>
      <c r="AK277" s="24"/>
      <c r="AL277" s="24"/>
      <c r="AM277" s="24">
        <v>0</v>
      </c>
      <c r="AN277" s="24"/>
      <c r="AO277" s="38">
        <f t="shared" si="39"/>
        <v>0</v>
      </c>
      <c r="AP277" s="24"/>
      <c r="AQ277" s="38">
        <f t="shared" si="37"/>
        <v>0</v>
      </c>
      <c r="AR277" s="38"/>
      <c r="AS277" s="7" t="s">
        <v>912</v>
      </c>
      <c r="AT277" s="7" t="str">
        <f t="shared" si="41"/>
        <v>Lake Local SD (CASH)</v>
      </c>
      <c r="AU277" s="7" t="str">
        <f>'Gov Fd BS'!A277</f>
        <v>Lake Local SD (CASH)</v>
      </c>
      <c r="AV277" s="7" t="b">
        <f t="shared" si="42"/>
        <v>1</v>
      </c>
      <c r="AW277" s="7" t="str">
        <f t="shared" si="40"/>
        <v>Wood</v>
      </c>
      <c r="AX277" s="7" t="b">
        <f>C277='Gov Fd BS'!C277</f>
        <v>1</v>
      </c>
    </row>
    <row r="278" spans="1:50">
      <c r="A278" s="12" t="s">
        <v>541</v>
      </c>
      <c r="B278" s="12"/>
      <c r="C278" s="12" t="s">
        <v>64</v>
      </c>
      <c r="D278" s="12"/>
      <c r="E278" s="12">
        <v>50187</v>
      </c>
      <c r="F278" s="24"/>
      <c r="G278" s="24">
        <v>6523150</v>
      </c>
      <c r="H278" s="24"/>
      <c r="I278" s="24">
        <v>0</v>
      </c>
      <c r="J278" s="24"/>
      <c r="K278" s="24">
        <v>9620139</v>
      </c>
      <c r="L278" s="24"/>
      <c r="M278" s="24">
        <v>10845</v>
      </c>
      <c r="N278" s="24"/>
      <c r="O278" s="24">
        <f>680042+339644+8106</f>
        <v>1027792</v>
      </c>
      <c r="P278" s="24"/>
      <c r="Q278" s="24">
        <v>195204</v>
      </c>
      <c r="R278" s="24"/>
      <c r="S278" s="24">
        <v>0</v>
      </c>
      <c r="T278" s="24"/>
      <c r="U278" s="24">
        <v>24629</v>
      </c>
      <c r="V278" s="24"/>
      <c r="W278" s="24">
        <v>21004</v>
      </c>
      <c r="X278" s="24"/>
      <c r="Y278" s="38">
        <f t="shared" si="35"/>
        <v>17422763</v>
      </c>
      <c r="Z278" s="24"/>
      <c r="AA278" s="24">
        <v>80</v>
      </c>
      <c r="AB278" s="24"/>
      <c r="AC278" s="24">
        <v>0</v>
      </c>
      <c r="AD278" s="24"/>
      <c r="AE278" s="24">
        <v>0</v>
      </c>
      <c r="AF278" s="24"/>
      <c r="AG278" s="24">
        <v>0</v>
      </c>
      <c r="AH278" s="24"/>
      <c r="AI278" s="24">
        <v>0</v>
      </c>
      <c r="AJ278" s="24"/>
      <c r="AK278" s="24">
        <v>0</v>
      </c>
      <c r="AL278" s="24"/>
      <c r="AM278" s="24">
        <v>0</v>
      </c>
      <c r="AN278" s="24"/>
      <c r="AO278" s="38">
        <f t="shared" si="39"/>
        <v>80</v>
      </c>
      <c r="AP278" s="24"/>
      <c r="AQ278" s="38">
        <f t="shared" si="37"/>
        <v>17422843</v>
      </c>
      <c r="AR278" s="38"/>
      <c r="AS278" s="7"/>
      <c r="AT278" s="7" t="str">
        <f t="shared" si="41"/>
        <v>Lakeview Local SD</v>
      </c>
      <c r="AU278" s="7" t="str">
        <f>'Gov Fd BS'!A278</f>
        <v>Lakeview Local SD</v>
      </c>
      <c r="AV278" s="7" t="b">
        <f t="shared" si="42"/>
        <v>1</v>
      </c>
      <c r="AW278" s="7" t="str">
        <f t="shared" si="40"/>
        <v>Trumbull</v>
      </c>
      <c r="AX278" s="7" t="b">
        <f>C278='Gov Fd BS'!C278</f>
        <v>1</v>
      </c>
    </row>
    <row r="279" spans="1:50">
      <c r="A279" s="12" t="s">
        <v>276</v>
      </c>
      <c r="B279" s="12"/>
      <c r="C279" s="12" t="s">
        <v>20</v>
      </c>
      <c r="D279" s="12"/>
      <c r="E279" s="12">
        <v>44198</v>
      </c>
      <c r="F279" s="24"/>
      <c r="G279" s="24">
        <v>46003155</v>
      </c>
      <c r="H279" s="24"/>
      <c r="I279" s="24">
        <v>0</v>
      </c>
      <c r="J279" s="24"/>
      <c r="K279" s="24">
        <f>19566+27097203+8317358</f>
        <v>35434127</v>
      </c>
      <c r="L279" s="24"/>
      <c r="M279" s="24">
        <v>177393</v>
      </c>
      <c r="N279" s="24"/>
      <c r="O279" s="24">
        <f>2299013+163260+304712+1081462</f>
        <v>3848447</v>
      </c>
      <c r="P279" s="24"/>
      <c r="Q279" s="24">
        <v>1036795</v>
      </c>
      <c r="R279" s="24"/>
      <c r="S279" s="24">
        <v>67210</v>
      </c>
      <c r="T279" s="24"/>
      <c r="U279" s="24">
        <v>37913</v>
      </c>
      <c r="V279" s="24"/>
      <c r="W279" s="24">
        <v>115908</v>
      </c>
      <c r="X279" s="24"/>
      <c r="Y279" s="38">
        <f t="shared" si="35"/>
        <v>86720948</v>
      </c>
      <c r="Z279" s="24"/>
      <c r="AA279" s="24">
        <v>20000</v>
      </c>
      <c r="AB279" s="24"/>
      <c r="AC279" s="24">
        <v>0</v>
      </c>
      <c r="AD279" s="24"/>
      <c r="AE279" s="24">
        <v>1191929</v>
      </c>
      <c r="AF279" s="24"/>
      <c r="AG279" s="24">
        <v>0</v>
      </c>
      <c r="AH279" s="24"/>
      <c r="AI279" s="24">
        <v>0</v>
      </c>
      <c r="AJ279" s="24"/>
      <c r="AK279" s="24">
        <v>0</v>
      </c>
      <c r="AL279" s="24"/>
      <c r="AM279" s="24">
        <v>0</v>
      </c>
      <c r="AN279" s="24"/>
      <c r="AO279" s="38">
        <f t="shared" si="39"/>
        <v>1211929</v>
      </c>
      <c r="AP279" s="24"/>
      <c r="AQ279" s="38">
        <f t="shared" si="37"/>
        <v>87932877</v>
      </c>
      <c r="AR279" s="38"/>
      <c r="AS279" s="7" t="s">
        <v>914</v>
      </c>
      <c r="AT279" s="7" t="str">
        <f t="shared" si="41"/>
        <v>Lakewood City SD</v>
      </c>
      <c r="AU279" s="7" t="str">
        <f>'Gov Fd BS'!A279</f>
        <v>Lakewood City SD</v>
      </c>
      <c r="AV279" s="7" t="b">
        <f t="shared" si="42"/>
        <v>1</v>
      </c>
      <c r="AW279" s="7" t="str">
        <f t="shared" si="40"/>
        <v>Cuyahoga</v>
      </c>
      <c r="AX279" s="7" t="b">
        <f>C279='Gov Fd BS'!C279</f>
        <v>1</v>
      </c>
    </row>
    <row r="280" spans="1:50">
      <c r="A280" s="12" t="s">
        <v>657</v>
      </c>
      <c r="B280" s="12"/>
      <c r="C280" s="12" t="s">
        <v>42</v>
      </c>
      <c r="D280" s="12"/>
      <c r="E280" s="12">
        <v>47993</v>
      </c>
      <c r="F280" s="24"/>
      <c r="G280" s="24">
        <v>10884473</v>
      </c>
      <c r="H280" s="24"/>
      <c r="I280" s="24">
        <v>0</v>
      </c>
      <c r="J280" s="24"/>
      <c r="K280" s="24">
        <f>8830092+1531114</f>
        <v>10361206</v>
      </c>
      <c r="L280" s="24"/>
      <c r="M280" s="24">
        <v>36866</v>
      </c>
      <c r="N280" s="24"/>
      <c r="O280" s="24">
        <f>337206+46764</f>
        <v>383970</v>
      </c>
      <c r="P280" s="24"/>
      <c r="Q280" s="24">
        <v>139843</v>
      </c>
      <c r="R280" s="24"/>
      <c r="S280" s="24">
        <v>0</v>
      </c>
      <c r="T280" s="24"/>
      <c r="U280" s="24">
        <v>0</v>
      </c>
      <c r="V280" s="24"/>
      <c r="W280" s="24">
        <f>2963+172373</f>
        <v>175336</v>
      </c>
      <c r="X280" s="24"/>
      <c r="Y280" s="38">
        <f t="shared" si="35"/>
        <v>21981694</v>
      </c>
      <c r="Z280" s="24"/>
      <c r="AA280" s="24">
        <v>0</v>
      </c>
      <c r="AB280" s="24"/>
      <c r="AC280" s="24">
        <v>0</v>
      </c>
      <c r="AD280" s="24"/>
      <c r="AE280" s="24">
        <v>58218</v>
      </c>
      <c r="AF280" s="24"/>
      <c r="AG280" s="24">
        <v>0</v>
      </c>
      <c r="AH280" s="24"/>
      <c r="AI280" s="24">
        <v>0</v>
      </c>
      <c r="AJ280" s="24"/>
      <c r="AK280" s="24">
        <v>19614</v>
      </c>
      <c r="AL280" s="24"/>
      <c r="AM280" s="24">
        <v>0</v>
      </c>
      <c r="AN280" s="24"/>
      <c r="AO280" s="38">
        <f t="shared" si="39"/>
        <v>77832</v>
      </c>
      <c r="AP280" s="24"/>
      <c r="AQ280" s="38">
        <f t="shared" si="37"/>
        <v>22059526</v>
      </c>
      <c r="AR280" s="38"/>
      <c r="AS280" s="7"/>
      <c r="AT280" s="7" t="str">
        <f t="shared" si="41"/>
        <v>Lakewood Local  SD</v>
      </c>
      <c r="AU280" s="7" t="str">
        <f>'Gov Fd BS'!A280</f>
        <v>Lakewood Local  SD</v>
      </c>
      <c r="AV280" s="7" t="b">
        <f t="shared" si="42"/>
        <v>1</v>
      </c>
      <c r="AW280" s="7" t="str">
        <f t="shared" si="40"/>
        <v>Licking</v>
      </c>
      <c r="AX280" s="7" t="b">
        <f>C280='Gov Fd BS'!C280</f>
        <v>1</v>
      </c>
    </row>
    <row r="281" spans="1:50">
      <c r="A281" s="12" t="s">
        <v>226</v>
      </c>
      <c r="B281" s="12"/>
      <c r="C281" s="12" t="s">
        <v>223</v>
      </c>
      <c r="D281" s="12"/>
      <c r="E281" s="12">
        <v>46110</v>
      </c>
      <c r="F281" s="24"/>
      <c r="G281" s="24">
        <v>80952105</v>
      </c>
      <c r="H281" s="24"/>
      <c r="I281" s="24">
        <v>0</v>
      </c>
      <c r="J281" s="24"/>
      <c r="K281" s="24">
        <v>72825089</v>
      </c>
      <c r="L281" s="24"/>
      <c r="M281" s="24">
        <v>93272</v>
      </c>
      <c r="N281" s="24"/>
      <c r="O281" s="24">
        <f>865429+4865460</f>
        <v>5730889</v>
      </c>
      <c r="P281" s="24"/>
      <c r="Q281" s="24">
        <v>2471629</v>
      </c>
      <c r="R281" s="24"/>
      <c r="S281" s="24">
        <v>11824742</v>
      </c>
      <c r="T281" s="24"/>
      <c r="U281" s="24">
        <v>0</v>
      </c>
      <c r="V281" s="24"/>
      <c r="W281" s="24">
        <v>958635</v>
      </c>
      <c r="X281" s="24"/>
      <c r="Y281" s="38">
        <f t="shared" si="35"/>
        <v>174856361</v>
      </c>
      <c r="Z281" s="24"/>
      <c r="AA281" s="24">
        <v>1500000</v>
      </c>
      <c r="AB281" s="24"/>
      <c r="AC281" s="24">
        <v>0</v>
      </c>
      <c r="AD281" s="24"/>
      <c r="AE281" s="24">
        <v>0</v>
      </c>
      <c r="AF281" s="24"/>
      <c r="AG281" s="24">
        <v>0</v>
      </c>
      <c r="AH281" s="24"/>
      <c r="AI281" s="24">
        <v>0</v>
      </c>
      <c r="AJ281" s="24"/>
      <c r="AK281" s="24">
        <v>203980</v>
      </c>
      <c r="AL281" s="24"/>
      <c r="AM281" s="24">
        <v>0</v>
      </c>
      <c r="AN281" s="24"/>
      <c r="AO281" s="38">
        <f t="shared" si="39"/>
        <v>1703980</v>
      </c>
      <c r="AP281" s="24"/>
      <c r="AQ281" s="38">
        <f t="shared" si="37"/>
        <v>176560341</v>
      </c>
      <c r="AR281" s="38"/>
      <c r="AS281" s="7"/>
      <c r="AT281" s="7" t="str">
        <f t="shared" si="41"/>
        <v>Lakota Local SD</v>
      </c>
      <c r="AU281" s="7" t="str">
        <f>'Gov Fd BS'!A281</f>
        <v>Lakota Local SD</v>
      </c>
      <c r="AV281" s="7" t="b">
        <f t="shared" si="42"/>
        <v>1</v>
      </c>
      <c r="AW281" s="7" t="str">
        <f t="shared" si="40"/>
        <v>Butler</v>
      </c>
      <c r="AX281" s="7" t="b">
        <f>C281='Gov Fd BS'!C281</f>
        <v>1</v>
      </c>
    </row>
    <row r="282" spans="1:50" hidden="1">
      <c r="A282" s="12" t="s">
        <v>915</v>
      </c>
      <c r="B282" s="12"/>
      <c r="C282" s="12" t="s">
        <v>79</v>
      </c>
      <c r="D282" s="12"/>
      <c r="E282" s="12">
        <v>49569</v>
      </c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38">
        <f t="shared" si="35"/>
        <v>0</v>
      </c>
      <c r="Z282" s="24"/>
      <c r="AA282" s="24"/>
      <c r="AB282" s="24"/>
      <c r="AC282" s="24">
        <v>0</v>
      </c>
      <c r="AD282" s="24"/>
      <c r="AE282" s="24"/>
      <c r="AF282" s="24"/>
      <c r="AG282" s="24">
        <v>0</v>
      </c>
      <c r="AH282" s="24"/>
      <c r="AI282" s="24">
        <v>0</v>
      </c>
      <c r="AJ282" s="24"/>
      <c r="AK282" s="24"/>
      <c r="AL282" s="24"/>
      <c r="AM282" s="24">
        <v>0</v>
      </c>
      <c r="AN282" s="24"/>
      <c r="AO282" s="38">
        <f t="shared" si="39"/>
        <v>0</v>
      </c>
      <c r="AP282" s="24"/>
      <c r="AQ282" s="38">
        <f t="shared" si="37"/>
        <v>0</v>
      </c>
      <c r="AR282" s="38"/>
      <c r="AS282" s="7" t="s">
        <v>903</v>
      </c>
      <c r="AT282" s="7" t="str">
        <f t="shared" si="41"/>
        <v>Lakota Local SD (CASH)</v>
      </c>
      <c r="AU282" s="7" t="str">
        <f>'Gov Fd BS'!A282</f>
        <v>Lakota Local SD (CASH)</v>
      </c>
      <c r="AV282" s="7" t="b">
        <f t="shared" si="42"/>
        <v>1</v>
      </c>
      <c r="AW282" s="7" t="str">
        <f t="shared" si="40"/>
        <v>Sandusky</v>
      </c>
      <c r="AX282" s="7" t="b">
        <f>C282='Gov Fd BS'!C282</f>
        <v>1</v>
      </c>
    </row>
    <row r="283" spans="1:50">
      <c r="A283" s="12" t="s">
        <v>301</v>
      </c>
      <c r="B283" s="12"/>
      <c r="C283" s="12" t="s">
        <v>25</v>
      </c>
      <c r="D283" s="12"/>
      <c r="E283" s="12">
        <v>44206</v>
      </c>
      <c r="F283" s="24"/>
      <c r="G283" s="24">
        <v>19451956</v>
      </c>
      <c r="H283" s="24"/>
      <c r="I283" s="24">
        <v>9992256</v>
      </c>
      <c r="J283" s="24"/>
      <c r="K283" s="24">
        <v>34494059</v>
      </c>
      <c r="L283" s="24"/>
      <c r="M283" s="24">
        <v>195117</v>
      </c>
      <c r="N283" s="24"/>
      <c r="O283" s="24">
        <f>1046528+759368+126770</f>
        <v>1932666</v>
      </c>
      <c r="P283" s="24"/>
      <c r="Q283" s="24">
        <v>537008</v>
      </c>
      <c r="R283" s="24"/>
      <c r="S283" s="24">
        <v>104608</v>
      </c>
      <c r="T283" s="24"/>
      <c r="U283" s="24">
        <v>47028</v>
      </c>
      <c r="V283" s="24"/>
      <c r="W283" s="24">
        <v>157225</v>
      </c>
      <c r="X283" s="24"/>
      <c r="Y283" s="38">
        <f t="shared" si="35"/>
        <v>66911923</v>
      </c>
      <c r="Z283" s="24"/>
      <c r="AA283" s="24">
        <v>14427</v>
      </c>
      <c r="AB283" s="24"/>
      <c r="AC283" s="24">
        <v>0</v>
      </c>
      <c r="AD283" s="24"/>
      <c r="AE283" s="24">
        <v>0</v>
      </c>
      <c r="AF283" s="24"/>
      <c r="AG283" s="24">
        <v>0</v>
      </c>
      <c r="AH283" s="24"/>
      <c r="AI283" s="24">
        <v>0</v>
      </c>
      <c r="AJ283" s="24"/>
      <c r="AK283" s="24">
        <v>11898</v>
      </c>
      <c r="AL283" s="24"/>
      <c r="AM283" s="24">
        <v>0</v>
      </c>
      <c r="AN283" s="24"/>
      <c r="AO283" s="38">
        <f t="shared" si="39"/>
        <v>26325</v>
      </c>
      <c r="AP283" s="24"/>
      <c r="AQ283" s="38">
        <f t="shared" si="37"/>
        <v>66938248</v>
      </c>
      <c r="AR283" s="38"/>
      <c r="AS283" s="7"/>
      <c r="AT283" s="7" t="str">
        <f t="shared" si="41"/>
        <v>Lancaster City SD</v>
      </c>
      <c r="AU283" s="7" t="str">
        <f>'Gov Fd BS'!A283</f>
        <v>Lancaster City SD</v>
      </c>
      <c r="AV283" s="7" t="b">
        <f t="shared" si="42"/>
        <v>1</v>
      </c>
      <c r="AW283" s="7" t="str">
        <f t="shared" si="40"/>
        <v>Fairfield</v>
      </c>
      <c r="AX283" s="7" t="b">
        <f>C283='Gov Fd BS'!C283</f>
        <v>1</v>
      </c>
    </row>
    <row r="284" spans="1:50" hidden="1">
      <c r="A284" s="12" t="s">
        <v>771</v>
      </c>
      <c r="B284" s="12"/>
      <c r="C284" s="12" t="s">
        <v>69</v>
      </c>
      <c r="D284" s="12"/>
      <c r="E284" s="12">
        <v>44214</v>
      </c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38">
        <f t="shared" ref="Y284:Y353" si="43">SUM(G284:W284)</f>
        <v>0</v>
      </c>
      <c r="Z284" s="24"/>
      <c r="AA284" s="24"/>
      <c r="AB284" s="24"/>
      <c r="AC284" s="24">
        <v>0</v>
      </c>
      <c r="AD284" s="24"/>
      <c r="AE284" s="24"/>
      <c r="AF284" s="24"/>
      <c r="AG284" s="24">
        <v>0</v>
      </c>
      <c r="AH284" s="24"/>
      <c r="AI284" s="24">
        <v>0</v>
      </c>
      <c r="AJ284" s="24"/>
      <c r="AK284" s="24"/>
      <c r="AL284" s="24"/>
      <c r="AM284" s="24">
        <v>0</v>
      </c>
      <c r="AN284" s="24"/>
      <c r="AO284" s="38">
        <f t="shared" si="39"/>
        <v>0</v>
      </c>
      <c r="AP284" s="24"/>
      <c r="AQ284" s="38">
        <f t="shared" si="37"/>
        <v>0</v>
      </c>
      <c r="AR284" s="38"/>
      <c r="AS284" s="7" t="s">
        <v>839</v>
      </c>
      <c r="AT284" s="7" t="str">
        <f t="shared" si="41"/>
        <v xml:space="preserve">Lebanon City SD (CASH) </v>
      </c>
      <c r="AU284" s="7" t="str">
        <f>'Gov Fd BS'!A284</f>
        <v xml:space="preserve">Lebanon City SD (CASH) </v>
      </c>
      <c r="AV284" s="7" t="b">
        <f t="shared" si="42"/>
        <v>1</v>
      </c>
      <c r="AW284" s="7" t="str">
        <f t="shared" si="40"/>
        <v>Warren</v>
      </c>
      <c r="AX284" s="7" t="b">
        <f>C284='Gov Fd BS'!C284</f>
        <v>1</v>
      </c>
    </row>
    <row r="285" spans="1:50">
      <c r="A285" s="12" t="s">
        <v>322</v>
      </c>
      <c r="B285" s="12"/>
      <c r="C285" s="12" t="s">
        <v>30</v>
      </c>
      <c r="D285" s="12"/>
      <c r="E285" s="12">
        <v>47209</v>
      </c>
      <c r="F285" s="24"/>
      <c r="G285" s="24">
        <v>1955625</v>
      </c>
      <c r="H285" s="24"/>
      <c r="I285" s="24">
        <v>220984</v>
      </c>
      <c r="J285" s="24"/>
      <c r="K285" s="24">
        <v>3205622</v>
      </c>
      <c r="L285" s="24"/>
      <c r="M285" s="24">
        <v>1315</v>
      </c>
      <c r="N285" s="24"/>
      <c r="O285" s="24">
        <f>202001+108322+87067</f>
        <v>397390</v>
      </c>
      <c r="P285" s="24"/>
      <c r="Q285" s="24">
        <v>65945</v>
      </c>
      <c r="R285" s="24"/>
      <c r="S285" s="24">
        <v>0</v>
      </c>
      <c r="T285" s="24"/>
      <c r="U285" s="24">
        <v>7962</v>
      </c>
      <c r="V285" s="24"/>
      <c r="W285" s="24">
        <v>10780</v>
      </c>
      <c r="X285" s="24"/>
      <c r="Y285" s="38">
        <f t="shared" si="43"/>
        <v>5865623</v>
      </c>
      <c r="Z285" s="24"/>
      <c r="AA285" s="24">
        <v>1350</v>
      </c>
      <c r="AB285" s="24"/>
      <c r="AC285" s="24">
        <v>0</v>
      </c>
      <c r="AD285" s="24"/>
      <c r="AE285" s="24">
        <v>0</v>
      </c>
      <c r="AF285" s="24"/>
      <c r="AG285" s="24">
        <v>0</v>
      </c>
      <c r="AH285" s="24"/>
      <c r="AI285" s="24">
        <v>0</v>
      </c>
      <c r="AJ285" s="24"/>
      <c r="AK285" s="24">
        <v>0</v>
      </c>
      <c r="AL285" s="24"/>
      <c r="AM285" s="24">
        <v>0</v>
      </c>
      <c r="AN285" s="24"/>
      <c r="AO285" s="38">
        <f t="shared" si="39"/>
        <v>1350</v>
      </c>
      <c r="AP285" s="24"/>
      <c r="AQ285" s="38">
        <f t="shared" si="37"/>
        <v>5866973</v>
      </c>
      <c r="AR285" s="38"/>
      <c r="AS285" s="38"/>
      <c r="AT285" s="7" t="str">
        <f t="shared" si="41"/>
        <v>Ledgemont Local SD</v>
      </c>
      <c r="AU285" s="7" t="str">
        <f>'Gov Fd BS'!A285</f>
        <v>Ledgemont Local SD</v>
      </c>
      <c r="AV285" s="7" t="b">
        <f t="shared" si="42"/>
        <v>1</v>
      </c>
      <c r="AW285" s="7" t="str">
        <f t="shared" si="40"/>
        <v>Geauga</v>
      </c>
      <c r="AX285" s="7" t="b">
        <f>C285='Gov Fd BS'!C285</f>
        <v>1</v>
      </c>
    </row>
    <row r="286" spans="1:50" hidden="1">
      <c r="A286" s="12" t="s">
        <v>872</v>
      </c>
      <c r="B286" s="12"/>
      <c r="C286" s="12" t="s">
        <v>112</v>
      </c>
      <c r="D286" s="12"/>
      <c r="E286" s="12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38"/>
      <c r="Z286" s="24"/>
      <c r="AA286" s="24"/>
      <c r="AB286" s="24"/>
      <c r="AC286" s="24">
        <v>0</v>
      </c>
      <c r="AD286" s="24"/>
      <c r="AE286" s="24"/>
      <c r="AF286" s="24"/>
      <c r="AG286" s="24">
        <v>0</v>
      </c>
      <c r="AH286" s="24"/>
      <c r="AI286" s="24">
        <v>0</v>
      </c>
      <c r="AJ286" s="24"/>
      <c r="AK286" s="24"/>
      <c r="AL286" s="24"/>
      <c r="AM286" s="24"/>
      <c r="AN286" s="24"/>
      <c r="AO286" s="38"/>
      <c r="AP286" s="24"/>
      <c r="AQ286" s="38"/>
      <c r="AR286" s="38"/>
      <c r="AS286" s="7" t="s">
        <v>917</v>
      </c>
      <c r="AT286" s="7" t="str">
        <f t="shared" ref="AT286" si="44">A286</f>
        <v>Leetonia Exempted Village SD (CASH)</v>
      </c>
      <c r="AU286" s="7" t="str">
        <f>'Gov Fd BS'!A286</f>
        <v>Leetonia Exempted Village SD (CASH)</v>
      </c>
      <c r="AV286" s="7" t="b">
        <f t="shared" ref="AV286" si="45">AT286=AU286</f>
        <v>1</v>
      </c>
      <c r="AW286" s="7" t="str">
        <f t="shared" si="40"/>
        <v>Columbiana</v>
      </c>
      <c r="AX286" s="7" t="b">
        <f>C286='Gov Fd BS'!C286</f>
        <v>1</v>
      </c>
    </row>
    <row r="287" spans="1:50" hidden="1">
      <c r="A287" s="12" t="s">
        <v>717</v>
      </c>
      <c r="B287" s="12"/>
      <c r="C287" s="12" t="s">
        <v>482</v>
      </c>
      <c r="D287" s="12"/>
      <c r="E287" s="12">
        <v>49353</v>
      </c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38">
        <f t="shared" si="43"/>
        <v>0</v>
      </c>
      <c r="Z287" s="24"/>
      <c r="AA287" s="24"/>
      <c r="AB287" s="24"/>
      <c r="AC287" s="24">
        <v>0</v>
      </c>
      <c r="AD287" s="24"/>
      <c r="AE287" s="24"/>
      <c r="AF287" s="24"/>
      <c r="AG287" s="24">
        <v>0</v>
      </c>
      <c r="AH287" s="24"/>
      <c r="AI287" s="24">
        <v>0</v>
      </c>
      <c r="AJ287" s="24"/>
      <c r="AK287" s="24"/>
      <c r="AL287" s="24"/>
      <c r="AM287" s="24">
        <v>0</v>
      </c>
      <c r="AN287" s="24"/>
      <c r="AO287" s="38">
        <f t="shared" ref="AO287:AO313" si="46">AK287+AE287+AA287</f>
        <v>0</v>
      </c>
      <c r="AP287" s="24"/>
      <c r="AQ287" s="38">
        <f t="shared" ref="AQ287:AQ319" si="47">Y287+AO287</f>
        <v>0</v>
      </c>
      <c r="AR287" s="38"/>
      <c r="AS287" s="7" t="s">
        <v>839</v>
      </c>
      <c r="AT287" s="7" t="str">
        <f t="shared" si="41"/>
        <v>Leipsic Local SD (CASH)</v>
      </c>
      <c r="AU287" s="7" t="str">
        <f>'Gov Fd BS'!A287</f>
        <v>Leipsic Local SD (CASH)</v>
      </c>
      <c r="AV287" s="7" t="b">
        <f t="shared" si="42"/>
        <v>1</v>
      </c>
      <c r="AW287" s="7" t="str">
        <f t="shared" si="40"/>
        <v>Putnam</v>
      </c>
      <c r="AX287" s="7" t="b">
        <f>C287='Gov Fd BS'!C287</f>
        <v>1</v>
      </c>
    </row>
    <row r="288" spans="1:50" hidden="1">
      <c r="A288" s="12" t="s">
        <v>918</v>
      </c>
      <c r="B288" s="12"/>
      <c r="C288" s="12" t="s">
        <v>110</v>
      </c>
      <c r="D288" s="12"/>
      <c r="E288" s="12">
        <v>49437</v>
      </c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38">
        <f t="shared" si="43"/>
        <v>0</v>
      </c>
      <c r="Z288" s="24"/>
      <c r="AA288" s="24"/>
      <c r="AB288" s="24"/>
      <c r="AC288" s="24">
        <v>0</v>
      </c>
      <c r="AD288" s="24"/>
      <c r="AE288" s="24"/>
      <c r="AF288" s="24"/>
      <c r="AG288" s="24">
        <v>0</v>
      </c>
      <c r="AH288" s="24"/>
      <c r="AI288" s="24">
        <v>0</v>
      </c>
      <c r="AJ288" s="24"/>
      <c r="AK288" s="24"/>
      <c r="AL288" s="24"/>
      <c r="AM288" s="24">
        <v>0</v>
      </c>
      <c r="AN288" s="24"/>
      <c r="AO288" s="38">
        <f t="shared" si="46"/>
        <v>0</v>
      </c>
      <c r="AP288" s="24"/>
      <c r="AQ288" s="38">
        <f t="shared" si="47"/>
        <v>0</v>
      </c>
      <c r="AR288" s="38"/>
      <c r="AS288" s="7" t="s">
        <v>912</v>
      </c>
      <c r="AT288" s="7" t="str">
        <f t="shared" si="41"/>
        <v>Lexington Local SD (CASH)</v>
      </c>
      <c r="AU288" s="7" t="str">
        <f>'Gov Fd BS'!A288</f>
        <v>Lexington Local SD (CASH)</v>
      </c>
      <c r="AV288" s="7" t="b">
        <f t="shared" si="42"/>
        <v>1</v>
      </c>
      <c r="AW288" s="7" t="str">
        <f t="shared" si="40"/>
        <v>Richland</v>
      </c>
      <c r="AX288" s="7" t="b">
        <f>C288='Gov Fd BS'!C288</f>
        <v>1</v>
      </c>
    </row>
    <row r="289" spans="1:50">
      <c r="A289" s="12" t="s">
        <v>920</v>
      </c>
      <c r="B289" s="12"/>
      <c r="C289" s="12" t="s">
        <v>33</v>
      </c>
      <c r="D289" s="12"/>
      <c r="E289" s="12">
        <v>47449</v>
      </c>
      <c r="F289" s="24"/>
      <c r="G289" s="24">
        <v>4623767</v>
      </c>
      <c r="H289" s="24"/>
      <c r="I289" s="24">
        <v>1280244</v>
      </c>
      <c r="J289" s="24"/>
      <c r="K289" s="24">
        <v>6903455</v>
      </c>
      <c r="L289" s="24"/>
      <c r="M289" s="24">
        <v>13042</v>
      </c>
      <c r="N289" s="24"/>
      <c r="O289" s="24">
        <f>853807+313829</f>
        <v>1167636</v>
      </c>
      <c r="P289" s="24"/>
      <c r="Q289" s="24">
        <v>95054</v>
      </c>
      <c r="R289" s="24"/>
      <c r="S289" s="24">
        <v>13148</v>
      </c>
      <c r="T289" s="24"/>
      <c r="U289" s="24">
        <v>19570</v>
      </c>
      <c r="V289" s="24"/>
      <c r="W289" s="24">
        <v>81982</v>
      </c>
      <c r="X289" s="24"/>
      <c r="Y289" s="38">
        <f>SUM(G289:W289)</f>
        <v>14197898</v>
      </c>
      <c r="Z289" s="24"/>
      <c r="AA289" s="24">
        <v>159301</v>
      </c>
      <c r="AB289" s="24"/>
      <c r="AC289" s="24">
        <v>0</v>
      </c>
      <c r="AD289" s="24"/>
      <c r="AE289" s="24">
        <v>0</v>
      </c>
      <c r="AF289" s="24"/>
      <c r="AG289" s="24">
        <v>0</v>
      </c>
      <c r="AH289" s="24"/>
      <c r="AI289" s="24">
        <v>0</v>
      </c>
      <c r="AJ289" s="24"/>
      <c r="AK289" s="24">
        <v>0</v>
      </c>
      <c r="AL289" s="24"/>
      <c r="AM289" s="24">
        <v>0</v>
      </c>
      <c r="AN289" s="24"/>
      <c r="AO289" s="38">
        <f>AK289+AE289+AA289</f>
        <v>159301</v>
      </c>
      <c r="AP289" s="24"/>
      <c r="AQ289" s="38">
        <f>Y289+AO289</f>
        <v>14357199</v>
      </c>
      <c r="AR289" s="38"/>
      <c r="AS289" s="7"/>
      <c r="AT289" s="7" t="str">
        <f>A289</f>
        <v>Liberty Benton Local SD</v>
      </c>
      <c r="AU289" s="7" t="str">
        <f>'Gov Fd BS'!A289</f>
        <v>Liberty Benton Local SD</v>
      </c>
      <c r="AV289" s="7" t="b">
        <f>AT289=AU289</f>
        <v>1</v>
      </c>
      <c r="AW289" s="7" t="str">
        <f>C289</f>
        <v>Hancock</v>
      </c>
      <c r="AX289" s="7" t="b">
        <f>C289='Gov Fd BS'!C289</f>
        <v>1</v>
      </c>
    </row>
    <row r="290" spans="1:50">
      <c r="A290" s="12" t="s">
        <v>355</v>
      </c>
      <c r="B290" s="12"/>
      <c r="C290" s="12" t="s">
        <v>34</v>
      </c>
      <c r="D290" s="12"/>
      <c r="E290" s="12">
        <v>47589</v>
      </c>
      <c r="F290" s="24"/>
      <c r="G290" s="24">
        <v>2796064</v>
      </c>
      <c r="H290" s="24"/>
      <c r="I290" s="24">
        <v>1899127</v>
      </c>
      <c r="J290" s="24"/>
      <c r="K290" s="24">
        <v>7166043</v>
      </c>
      <c r="L290" s="24"/>
      <c r="M290" s="24">
        <v>52683</v>
      </c>
      <c r="N290" s="24"/>
      <c r="O290" s="24">
        <f>1222218+48673+259678</f>
        <v>1530569</v>
      </c>
      <c r="P290" s="24"/>
      <c r="Q290" s="24">
        <v>157920</v>
      </c>
      <c r="R290" s="24"/>
      <c r="S290" s="24">
        <v>0</v>
      </c>
      <c r="T290" s="24"/>
      <c r="U290" s="24">
        <v>231961</v>
      </c>
      <c r="V290" s="24"/>
      <c r="W290" s="24">
        <v>31457</v>
      </c>
      <c r="X290" s="24"/>
      <c r="Y290" s="38">
        <f t="shared" si="43"/>
        <v>13865824</v>
      </c>
      <c r="Z290" s="24"/>
      <c r="AA290" s="24">
        <v>0</v>
      </c>
      <c r="AB290" s="24"/>
      <c r="AC290" s="24">
        <v>0</v>
      </c>
      <c r="AD290" s="24"/>
      <c r="AE290" s="24">
        <v>936270</v>
      </c>
      <c r="AF290" s="24"/>
      <c r="AG290" s="24">
        <v>0</v>
      </c>
      <c r="AH290" s="24"/>
      <c r="AI290" s="24">
        <v>0</v>
      </c>
      <c r="AJ290" s="24"/>
      <c r="AK290" s="24">
        <v>0</v>
      </c>
      <c r="AL290" s="24"/>
      <c r="AM290" s="24">
        <v>0</v>
      </c>
      <c r="AN290" s="24"/>
      <c r="AO290" s="38">
        <f t="shared" si="46"/>
        <v>936270</v>
      </c>
      <c r="AP290" s="24"/>
      <c r="AQ290" s="38">
        <f t="shared" si="47"/>
        <v>14802094</v>
      </c>
      <c r="AR290" s="38"/>
      <c r="AS290" s="7"/>
      <c r="AT290" s="7" t="str">
        <f t="shared" si="41"/>
        <v>Liberty Center Local SD</v>
      </c>
      <c r="AU290" s="7" t="str">
        <f>'Gov Fd BS'!A290</f>
        <v>Liberty Center Local SD</v>
      </c>
      <c r="AV290" s="7" t="b">
        <f t="shared" si="42"/>
        <v>1</v>
      </c>
      <c r="AW290" s="7" t="str">
        <f t="shared" si="40"/>
        <v>Henry</v>
      </c>
      <c r="AX290" s="7" t="b">
        <f>C290='Gov Fd BS'!C290</f>
        <v>1</v>
      </c>
    </row>
    <row r="291" spans="1:50">
      <c r="A291" s="12" t="s">
        <v>542</v>
      </c>
      <c r="B291" s="12"/>
      <c r="C291" s="12" t="s">
        <v>64</v>
      </c>
      <c r="D291" s="12"/>
      <c r="E291" s="12">
        <v>50195</v>
      </c>
      <c r="F291" s="24"/>
      <c r="G291" s="24">
        <v>8571749</v>
      </c>
      <c r="H291" s="24"/>
      <c r="I291" s="24">
        <v>0</v>
      </c>
      <c r="J291" s="24"/>
      <c r="K291" s="24">
        <f>6982679+1908641</f>
        <v>8891320</v>
      </c>
      <c r="L291" s="24"/>
      <c r="M291" s="24">
        <v>17553</v>
      </c>
      <c r="N291" s="24"/>
      <c r="O291" s="24">
        <f>576829+200612+56984</f>
        <v>834425</v>
      </c>
      <c r="P291" s="24"/>
      <c r="Q291" s="24">
        <v>99530</v>
      </c>
      <c r="R291" s="24"/>
      <c r="S291" s="24">
        <v>0</v>
      </c>
      <c r="T291" s="24"/>
      <c r="U291" s="24">
        <v>800</v>
      </c>
      <c r="V291" s="24"/>
      <c r="W291" s="24">
        <v>185839</v>
      </c>
      <c r="X291" s="24"/>
      <c r="Y291" s="38">
        <f t="shared" si="43"/>
        <v>18601216</v>
      </c>
      <c r="Z291" s="24"/>
      <c r="AA291" s="24">
        <v>41795</v>
      </c>
      <c r="AB291" s="24"/>
      <c r="AC291" s="24">
        <v>0</v>
      </c>
      <c r="AD291" s="24"/>
      <c r="AE291" s="24">
        <v>2327350</v>
      </c>
      <c r="AF291" s="24"/>
      <c r="AG291" s="24">
        <v>0</v>
      </c>
      <c r="AH291" s="24"/>
      <c r="AI291" s="24">
        <v>0</v>
      </c>
      <c r="AJ291" s="24"/>
      <c r="AK291" s="24">
        <v>0</v>
      </c>
      <c r="AL291" s="24"/>
      <c r="AM291" s="24">
        <v>0</v>
      </c>
      <c r="AN291" s="24"/>
      <c r="AO291" s="38">
        <f t="shared" si="46"/>
        <v>2369145</v>
      </c>
      <c r="AP291" s="24"/>
      <c r="AQ291" s="38">
        <f t="shared" si="47"/>
        <v>20970361</v>
      </c>
      <c r="AR291" s="38"/>
      <c r="AS291" s="7"/>
      <c r="AT291" s="7" t="str">
        <f t="shared" si="41"/>
        <v>Liberty Local SD</v>
      </c>
      <c r="AU291" s="7" t="str">
        <f>'Gov Fd BS'!A291</f>
        <v>Liberty Local SD</v>
      </c>
      <c r="AV291" s="7" t="b">
        <f t="shared" si="42"/>
        <v>1</v>
      </c>
      <c r="AW291" s="7" t="str">
        <f t="shared" si="40"/>
        <v>Trumbull</v>
      </c>
      <c r="AX291" s="7" t="b">
        <f>C291='Gov Fd BS'!C291</f>
        <v>1</v>
      </c>
    </row>
    <row r="292" spans="1:50">
      <c r="A292" s="12" t="s">
        <v>842</v>
      </c>
      <c r="B292" s="12"/>
      <c r="C292" s="12" t="s">
        <v>25</v>
      </c>
      <c r="D292" s="12"/>
      <c r="E292" s="12">
        <v>46888</v>
      </c>
      <c r="F292" s="24"/>
      <c r="G292" s="24">
        <v>4082547</v>
      </c>
      <c r="H292" s="24"/>
      <c r="I292" s="24">
        <v>2842895</v>
      </c>
      <c r="J292" s="24"/>
      <c r="K292" s="24">
        <v>15177052</v>
      </c>
      <c r="L292" s="24"/>
      <c r="M292" s="24">
        <v>51009</v>
      </c>
      <c r="N292" s="24"/>
      <c r="O292" s="24">
        <f>378246+369714</f>
        <v>747960</v>
      </c>
      <c r="P292" s="24"/>
      <c r="Q292" s="24">
        <v>289354</v>
      </c>
      <c r="R292" s="24"/>
      <c r="S292" s="24">
        <v>0</v>
      </c>
      <c r="T292" s="24"/>
      <c r="U292" s="24">
        <v>94627</v>
      </c>
      <c r="V292" s="24"/>
      <c r="W292" s="24">
        <v>104743</v>
      </c>
      <c r="X292" s="24"/>
      <c r="Y292" s="38">
        <f t="shared" si="43"/>
        <v>23390187</v>
      </c>
      <c r="Z292" s="24"/>
      <c r="AA292" s="24">
        <v>0</v>
      </c>
      <c r="AB292" s="24"/>
      <c r="AC292" s="24">
        <v>0</v>
      </c>
      <c r="AD292" s="24"/>
      <c r="AE292" s="24">
        <f>4674994+375771</f>
        <v>5050765</v>
      </c>
      <c r="AF292" s="24"/>
      <c r="AG292" s="24">
        <v>0</v>
      </c>
      <c r="AH292" s="24"/>
      <c r="AI292" s="24">
        <v>0</v>
      </c>
      <c r="AJ292" s="24"/>
      <c r="AK292" s="24">
        <v>0</v>
      </c>
      <c r="AL292" s="24"/>
      <c r="AM292" s="24">
        <v>0</v>
      </c>
      <c r="AN292" s="24"/>
      <c r="AO292" s="38">
        <f t="shared" si="46"/>
        <v>5050765</v>
      </c>
      <c r="AP292" s="24"/>
      <c r="AQ292" s="38">
        <f t="shared" si="47"/>
        <v>28440952</v>
      </c>
      <c r="AR292" s="38"/>
      <c r="AS292" s="7"/>
      <c r="AT292" s="7" t="str">
        <f t="shared" si="41"/>
        <v>Liberty Union-Thurston Local SD</v>
      </c>
      <c r="AU292" s="7" t="str">
        <f>'Gov Fd BS'!A292</f>
        <v>Liberty Union-Thurston Local SD</v>
      </c>
      <c r="AV292" s="7" t="b">
        <f t="shared" si="42"/>
        <v>1</v>
      </c>
      <c r="AW292" s="7" t="str">
        <f t="shared" si="40"/>
        <v>Fairfield</v>
      </c>
      <c r="AX292" s="7" t="b">
        <f>C292='Gov Fd BS'!C292</f>
        <v>1</v>
      </c>
    </row>
    <row r="293" spans="1:50">
      <c r="A293" s="12" t="s">
        <v>386</v>
      </c>
      <c r="B293" s="12"/>
      <c r="C293" s="12" t="s">
        <v>42</v>
      </c>
      <c r="D293" s="12"/>
      <c r="E293" s="12">
        <v>48009</v>
      </c>
      <c r="F293" s="24"/>
      <c r="G293" s="24">
        <v>15704879</v>
      </c>
      <c r="H293" s="24"/>
      <c r="I293" s="24">
        <v>0</v>
      </c>
      <c r="J293" s="24"/>
      <c r="K293" s="24">
        <v>12924645</v>
      </c>
      <c r="L293" s="24"/>
      <c r="M293" s="24">
        <v>24072</v>
      </c>
      <c r="N293" s="24"/>
      <c r="O293" s="24">
        <f>390031+17075+644032</f>
        <v>1051138</v>
      </c>
      <c r="P293" s="24"/>
      <c r="Q293" s="24">
        <v>240502</v>
      </c>
      <c r="R293" s="24"/>
      <c r="S293" s="24">
        <v>2671150</v>
      </c>
      <c r="T293" s="24"/>
      <c r="U293" s="24">
        <v>90541</v>
      </c>
      <c r="V293" s="24"/>
      <c r="W293" s="24">
        <v>41357</v>
      </c>
      <c r="X293" s="24"/>
      <c r="Y293" s="38">
        <f t="shared" si="43"/>
        <v>32748284</v>
      </c>
      <c r="Z293" s="24"/>
      <c r="AA293" s="24">
        <v>104378</v>
      </c>
      <c r="AB293" s="24"/>
      <c r="AC293" s="24">
        <v>0</v>
      </c>
      <c r="AD293" s="24"/>
      <c r="AE293" s="24">
        <f>10230000+38446</f>
        <v>10268446</v>
      </c>
      <c r="AF293" s="24"/>
      <c r="AG293" s="24">
        <v>0</v>
      </c>
      <c r="AH293" s="24"/>
      <c r="AI293" s="24">
        <v>0</v>
      </c>
      <c r="AJ293" s="24"/>
      <c r="AK293" s="24">
        <f>13048+5297</f>
        <v>18345</v>
      </c>
      <c r="AL293" s="24"/>
      <c r="AM293" s="24">
        <v>0</v>
      </c>
      <c r="AN293" s="24"/>
      <c r="AO293" s="38">
        <f t="shared" si="46"/>
        <v>10391169</v>
      </c>
      <c r="AP293" s="24"/>
      <c r="AQ293" s="38">
        <f t="shared" si="47"/>
        <v>43139453</v>
      </c>
      <c r="AR293" s="38"/>
      <c r="AS293" s="7"/>
      <c r="AT293" s="7" t="str">
        <f t="shared" si="41"/>
        <v>Licking Heights Local SD</v>
      </c>
      <c r="AU293" s="7" t="str">
        <f>'Gov Fd BS'!A293</f>
        <v>Licking Heights Local SD</v>
      </c>
      <c r="AV293" s="7" t="b">
        <f t="shared" si="42"/>
        <v>1</v>
      </c>
      <c r="AW293" s="7" t="str">
        <f t="shared" si="40"/>
        <v>Licking</v>
      </c>
      <c r="AX293" s="7" t="b">
        <f>C293='Gov Fd BS'!C293</f>
        <v>1</v>
      </c>
    </row>
    <row r="294" spans="1:50">
      <c r="A294" s="12" t="s">
        <v>387</v>
      </c>
      <c r="B294" s="12"/>
      <c r="C294" s="12" t="s">
        <v>42</v>
      </c>
      <c r="D294" s="12"/>
      <c r="E294" s="12">
        <v>48017</v>
      </c>
      <c r="F294" s="24"/>
      <c r="G294" s="24">
        <v>4167167</v>
      </c>
      <c r="H294" s="24"/>
      <c r="I294" s="24">
        <v>1870661</v>
      </c>
      <c r="J294" s="24"/>
      <c r="K294" s="24">
        <v>11780666</v>
      </c>
      <c r="L294" s="24"/>
      <c r="M294" s="24">
        <v>12533</v>
      </c>
      <c r="N294" s="24"/>
      <c r="O294" s="24">
        <f>825834+458670</f>
        <v>1284504</v>
      </c>
      <c r="P294" s="24"/>
      <c r="Q294" s="24">
        <v>294005</v>
      </c>
      <c r="R294" s="24"/>
      <c r="S294" s="24">
        <v>41302</v>
      </c>
      <c r="T294" s="24"/>
      <c r="U294" s="24">
        <v>57788</v>
      </c>
      <c r="V294" s="24"/>
      <c r="W294" s="24">
        <v>133651</v>
      </c>
      <c r="X294" s="24"/>
      <c r="Y294" s="38">
        <f t="shared" si="43"/>
        <v>19642277</v>
      </c>
      <c r="Z294" s="24"/>
      <c r="AA294" s="24">
        <v>188529</v>
      </c>
      <c r="AB294" s="24"/>
      <c r="AC294" s="24">
        <v>0</v>
      </c>
      <c r="AD294" s="24"/>
      <c r="AE294" s="24">
        <v>0</v>
      </c>
      <c r="AF294" s="24"/>
      <c r="AG294" s="24">
        <v>0</v>
      </c>
      <c r="AH294" s="24"/>
      <c r="AI294" s="24">
        <v>0</v>
      </c>
      <c r="AJ294" s="24"/>
      <c r="AK294" s="24">
        <f>151281+442728+119341</f>
        <v>713350</v>
      </c>
      <c r="AL294" s="24"/>
      <c r="AM294" s="24">
        <v>0</v>
      </c>
      <c r="AN294" s="24"/>
      <c r="AO294" s="38">
        <f t="shared" si="46"/>
        <v>901879</v>
      </c>
      <c r="AP294" s="24"/>
      <c r="AQ294" s="38">
        <f t="shared" si="47"/>
        <v>20544156</v>
      </c>
      <c r="AR294" s="38"/>
      <c r="AS294" s="97"/>
      <c r="AT294" s="7" t="str">
        <f t="shared" si="41"/>
        <v>Licking Valley Local SD</v>
      </c>
      <c r="AU294" s="7" t="str">
        <f>'Gov Fd BS'!A294</f>
        <v>Licking Valley Local SD</v>
      </c>
      <c r="AV294" s="7" t="b">
        <f t="shared" si="42"/>
        <v>1</v>
      </c>
      <c r="AW294" s="7" t="str">
        <f t="shared" si="40"/>
        <v>Licking</v>
      </c>
      <c r="AX294" s="7" t="b">
        <f>C294='Gov Fd BS'!C294</f>
        <v>1</v>
      </c>
    </row>
    <row r="295" spans="1:50" hidden="1">
      <c r="A295" s="12" t="s">
        <v>718</v>
      </c>
      <c r="B295" s="12"/>
      <c r="C295" s="12" t="s">
        <v>10</v>
      </c>
      <c r="D295" s="12"/>
      <c r="E295" s="12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38">
        <f t="shared" si="43"/>
        <v>0</v>
      </c>
      <c r="Z295" s="24"/>
      <c r="AA295" s="24"/>
      <c r="AB295" s="24"/>
      <c r="AC295" s="24">
        <v>0</v>
      </c>
      <c r="AD295" s="24"/>
      <c r="AE295" s="24"/>
      <c r="AF295" s="24"/>
      <c r="AG295" s="24">
        <v>0</v>
      </c>
      <c r="AH295" s="24"/>
      <c r="AI295" s="24">
        <v>0</v>
      </c>
      <c r="AJ295" s="24"/>
      <c r="AK295" s="24"/>
      <c r="AL295" s="24"/>
      <c r="AM295" s="24"/>
      <c r="AN295" s="24"/>
      <c r="AO295" s="38">
        <f t="shared" si="46"/>
        <v>0</v>
      </c>
      <c r="AP295" s="24"/>
      <c r="AQ295" s="38">
        <f t="shared" si="47"/>
        <v>0</v>
      </c>
      <c r="AR295" s="38"/>
      <c r="AS295" s="7" t="s">
        <v>921</v>
      </c>
      <c r="AT295" s="7" t="str">
        <f t="shared" si="41"/>
        <v>Lima City School District (CASH)</v>
      </c>
      <c r="AU295" s="7" t="str">
        <f>'Gov Fd BS'!A295</f>
        <v>Lima City School District (CASH)</v>
      </c>
      <c r="AV295" s="7" t="b">
        <f t="shared" si="42"/>
        <v>1</v>
      </c>
      <c r="AW295" s="7" t="str">
        <f t="shared" si="40"/>
        <v>Allen</v>
      </c>
      <c r="AX295" s="7" t="b">
        <f>C295='Gov Fd BS'!C295</f>
        <v>1</v>
      </c>
    </row>
    <row r="296" spans="1:50">
      <c r="A296" s="12" t="s">
        <v>557</v>
      </c>
      <c r="B296" s="12"/>
      <c r="C296" s="12" t="s">
        <v>67</v>
      </c>
      <c r="D296" s="12"/>
      <c r="E296" s="12">
        <v>50369</v>
      </c>
      <c r="F296" s="24"/>
      <c r="G296" s="24">
        <v>2953606</v>
      </c>
      <c r="H296" s="24"/>
      <c r="I296" s="24">
        <v>0</v>
      </c>
      <c r="J296" s="24"/>
      <c r="K296" s="24">
        <f>1692+4319395+1041657</f>
        <v>5362744</v>
      </c>
      <c r="L296" s="24"/>
      <c r="M296" s="24">
        <v>82341</v>
      </c>
      <c r="N296" s="24"/>
      <c r="O296" s="24">
        <f>2069116+184714+43893</f>
        <v>2297723</v>
      </c>
      <c r="P296" s="24"/>
      <c r="Q296" s="24">
        <v>84244</v>
      </c>
      <c r="R296" s="24"/>
      <c r="S296" s="24">
        <v>0</v>
      </c>
      <c r="T296" s="24"/>
      <c r="U296" s="24">
        <v>0</v>
      </c>
      <c r="V296" s="24"/>
      <c r="W296" s="24">
        <v>208182</v>
      </c>
      <c r="X296" s="24"/>
      <c r="Y296" s="38">
        <f t="shared" si="43"/>
        <v>10988840</v>
      </c>
      <c r="Z296" s="24"/>
      <c r="AA296" s="24">
        <v>0</v>
      </c>
      <c r="AB296" s="24"/>
      <c r="AC296" s="24">
        <v>0</v>
      </c>
      <c r="AD296" s="24"/>
      <c r="AE296" s="24">
        <v>0</v>
      </c>
      <c r="AF296" s="24"/>
      <c r="AG296" s="24">
        <v>0</v>
      </c>
      <c r="AH296" s="24"/>
      <c r="AI296" s="24">
        <v>0</v>
      </c>
      <c r="AJ296" s="24"/>
      <c r="AK296" s="24">
        <v>0</v>
      </c>
      <c r="AL296" s="24"/>
      <c r="AM296" s="24">
        <v>0</v>
      </c>
      <c r="AN296" s="24"/>
      <c r="AO296" s="38">
        <f t="shared" si="46"/>
        <v>0</v>
      </c>
      <c r="AP296" s="24"/>
      <c r="AQ296" s="38">
        <f t="shared" si="47"/>
        <v>10988840</v>
      </c>
      <c r="AR296" s="38"/>
      <c r="AS296" s="7"/>
      <c r="AT296" s="7" t="str">
        <f t="shared" si="41"/>
        <v>Lincolnview Local SD</v>
      </c>
      <c r="AU296" s="7" t="str">
        <f>'Gov Fd BS'!A296</f>
        <v>Lincolnview Local SD</v>
      </c>
      <c r="AV296" s="7" t="b">
        <f t="shared" si="42"/>
        <v>1</v>
      </c>
      <c r="AW296" s="7" t="str">
        <f t="shared" si="40"/>
        <v>Van Wert</v>
      </c>
      <c r="AX296" s="7" t="b">
        <f>C296='Gov Fd BS'!C296</f>
        <v>1</v>
      </c>
    </row>
    <row r="297" spans="1:50">
      <c r="A297" s="12" t="s">
        <v>875</v>
      </c>
      <c r="B297" s="12"/>
      <c r="C297" s="12" t="s">
        <v>112</v>
      </c>
      <c r="D297" s="12"/>
      <c r="E297" s="12">
        <v>45450</v>
      </c>
      <c r="F297" s="24"/>
      <c r="G297" s="24">
        <v>2019197</v>
      </c>
      <c r="H297" s="24"/>
      <c r="I297" s="24">
        <v>0</v>
      </c>
      <c r="J297" s="24"/>
      <c r="K297" s="24">
        <v>7067319</v>
      </c>
      <c r="L297" s="24"/>
      <c r="M297" s="24">
        <v>87090</v>
      </c>
      <c r="N297" s="24"/>
      <c r="O297" s="24">
        <f>349329+1093759+20527</f>
        <v>1463615</v>
      </c>
      <c r="P297" s="24"/>
      <c r="Q297" s="24">
        <v>113991</v>
      </c>
      <c r="R297" s="24"/>
      <c r="S297" s="24">
        <v>0</v>
      </c>
      <c r="T297" s="24"/>
      <c r="U297" s="24">
        <v>89910</v>
      </c>
      <c r="V297" s="24"/>
      <c r="W297" s="24">
        <v>0</v>
      </c>
      <c r="X297" s="24"/>
      <c r="Y297" s="38">
        <f t="shared" si="43"/>
        <v>10841122</v>
      </c>
      <c r="Z297" s="24"/>
      <c r="AA297" s="24">
        <v>0</v>
      </c>
      <c r="AB297" s="24"/>
      <c r="AC297" s="24">
        <v>0</v>
      </c>
      <c r="AD297" s="24"/>
      <c r="AE297" s="24">
        <v>1215000</v>
      </c>
      <c r="AF297" s="24"/>
      <c r="AG297" s="24">
        <v>0</v>
      </c>
      <c r="AH297" s="24"/>
      <c r="AI297" s="24">
        <v>0</v>
      </c>
      <c r="AJ297" s="24"/>
      <c r="AK297" s="24">
        <v>0</v>
      </c>
      <c r="AL297" s="24"/>
      <c r="AM297" s="24">
        <v>0</v>
      </c>
      <c r="AN297" s="24"/>
      <c r="AO297" s="38">
        <f t="shared" si="46"/>
        <v>1215000</v>
      </c>
      <c r="AP297" s="24"/>
      <c r="AQ297" s="38">
        <f t="shared" si="47"/>
        <v>12056122</v>
      </c>
      <c r="AR297" s="38"/>
      <c r="AS297" s="7"/>
      <c r="AT297" s="7" t="str">
        <f t="shared" si="41"/>
        <v>Lisbon Exempted Village SD</v>
      </c>
      <c r="AU297" s="7" t="str">
        <f>'Gov Fd BS'!A297</f>
        <v>Lisbon Exempted Village SD</v>
      </c>
      <c r="AV297" s="7" t="b">
        <f t="shared" si="42"/>
        <v>1</v>
      </c>
      <c r="AW297" s="7" t="str">
        <f t="shared" si="40"/>
        <v>Columbiana</v>
      </c>
      <c r="AX297" s="7" t="b">
        <f>C297='Gov Fd BS'!C297</f>
        <v>1</v>
      </c>
    </row>
    <row r="298" spans="1:50">
      <c r="A298" s="12" t="s">
        <v>562</v>
      </c>
      <c r="B298" s="12"/>
      <c r="C298" s="12" t="s">
        <v>69</v>
      </c>
      <c r="D298" s="12"/>
      <c r="E298" s="12">
        <v>50443</v>
      </c>
      <c r="F298" s="24"/>
      <c r="G298" s="24">
        <v>22535644</v>
      </c>
      <c r="H298" s="24"/>
      <c r="I298" s="24">
        <v>0</v>
      </c>
      <c r="J298" s="24"/>
      <c r="K298" s="24">
        <v>15647565</v>
      </c>
      <c r="L298" s="24"/>
      <c r="M298" s="24">
        <v>22454</v>
      </c>
      <c r="N298" s="24"/>
      <c r="O298" s="24">
        <f>567229+1030845</f>
        <v>1598074</v>
      </c>
      <c r="P298" s="24"/>
      <c r="Q298" s="24">
        <v>641898</v>
      </c>
      <c r="R298" s="24"/>
      <c r="S298" s="24">
        <v>0</v>
      </c>
      <c r="T298" s="24"/>
      <c r="U298" s="24">
        <v>0</v>
      </c>
      <c r="V298" s="24"/>
      <c r="W298" s="24">
        <v>320075</v>
      </c>
      <c r="X298" s="24"/>
      <c r="Y298" s="38">
        <f t="shared" si="43"/>
        <v>40765710</v>
      </c>
      <c r="Z298" s="24"/>
      <c r="AA298" s="24">
        <v>2683370</v>
      </c>
      <c r="AB298" s="24"/>
      <c r="AC298" s="24">
        <v>0</v>
      </c>
      <c r="AD298" s="24"/>
      <c r="AE298" s="24">
        <v>5980000</v>
      </c>
      <c r="AF298" s="24"/>
      <c r="AG298" s="24">
        <v>0</v>
      </c>
      <c r="AH298" s="24"/>
      <c r="AI298" s="24">
        <v>0</v>
      </c>
      <c r="AJ298" s="24"/>
      <c r="AK298" s="24">
        <v>0</v>
      </c>
      <c r="AL298" s="24"/>
      <c r="AM298" s="24">
        <v>0</v>
      </c>
      <c r="AN298" s="24"/>
      <c r="AO298" s="38">
        <f t="shared" si="46"/>
        <v>8663370</v>
      </c>
      <c r="AP298" s="24"/>
      <c r="AQ298" s="38">
        <f t="shared" si="47"/>
        <v>49429080</v>
      </c>
      <c r="AR298" s="38"/>
      <c r="AS298" s="97"/>
      <c r="AT298" s="7" t="str">
        <f t="shared" si="41"/>
        <v>Little Miami Local SD</v>
      </c>
      <c r="AU298" s="7" t="str">
        <f>'Gov Fd BS'!A298</f>
        <v>Little Miami Local SD</v>
      </c>
      <c r="AV298" s="7" t="b">
        <f t="shared" si="42"/>
        <v>1</v>
      </c>
      <c r="AW298" s="7" t="str">
        <f t="shared" si="40"/>
        <v>Warren</v>
      </c>
      <c r="AX298" s="7" t="b">
        <f>C298='Gov Fd BS'!C298</f>
        <v>1</v>
      </c>
    </row>
    <row r="299" spans="1:50" hidden="1">
      <c r="A299" s="12" t="s">
        <v>922</v>
      </c>
      <c r="B299" s="12"/>
      <c r="C299" s="12" t="s">
        <v>32</v>
      </c>
      <c r="D299" s="12"/>
      <c r="E299" s="12">
        <v>44230</v>
      </c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38">
        <f t="shared" si="43"/>
        <v>0</v>
      </c>
      <c r="Z299" s="24"/>
      <c r="AA299" s="24"/>
      <c r="AB299" s="24"/>
      <c r="AC299" s="24">
        <v>0</v>
      </c>
      <c r="AD299" s="24"/>
      <c r="AE299" s="24"/>
      <c r="AF299" s="24"/>
      <c r="AG299" s="24">
        <v>0</v>
      </c>
      <c r="AH299" s="24"/>
      <c r="AI299" s="24">
        <v>0</v>
      </c>
      <c r="AJ299" s="24"/>
      <c r="AK299" s="24"/>
      <c r="AL299" s="24"/>
      <c r="AM299" s="24">
        <v>0</v>
      </c>
      <c r="AN299" s="24"/>
      <c r="AO299" s="38">
        <f t="shared" si="46"/>
        <v>0</v>
      </c>
      <c r="AP299" s="24"/>
      <c r="AQ299" s="38">
        <f t="shared" si="47"/>
        <v>0</v>
      </c>
      <c r="AR299" s="38"/>
      <c r="AS299" s="7" t="s">
        <v>839</v>
      </c>
      <c r="AT299" s="7" t="str">
        <f t="shared" si="41"/>
        <v>Lockland Local SD (CASH)</v>
      </c>
      <c r="AU299" s="7" t="str">
        <f>'Gov Fd BS'!A299</f>
        <v>Lockland Local SD (CASH)</v>
      </c>
      <c r="AV299" s="7" t="b">
        <f t="shared" si="42"/>
        <v>1</v>
      </c>
      <c r="AW299" s="7" t="str">
        <f t="shared" si="40"/>
        <v>Hamilton</v>
      </c>
      <c r="AX299" s="7" t="b">
        <f>C299='Gov Fd BS'!C299</f>
        <v>1</v>
      </c>
    </row>
    <row r="300" spans="1:50">
      <c r="A300" s="12" t="s">
        <v>468</v>
      </c>
      <c r="B300" s="12"/>
      <c r="C300" s="12" t="s">
        <v>54</v>
      </c>
      <c r="D300" s="12"/>
      <c r="E300" s="12">
        <v>49080</v>
      </c>
      <c r="F300" s="24"/>
      <c r="G300" s="24">
        <v>7270371</v>
      </c>
      <c r="H300" s="24"/>
      <c r="I300" s="24">
        <v>2392754</v>
      </c>
      <c r="J300" s="24"/>
      <c r="K300" s="24">
        <f>9365801+2555257</f>
        <v>11921058</v>
      </c>
      <c r="L300" s="24"/>
      <c r="M300" s="24">
        <v>22601</v>
      </c>
      <c r="N300" s="24"/>
      <c r="O300" s="24">
        <f>711691+9403+427042+41278+2208</f>
        <v>1191622</v>
      </c>
      <c r="P300" s="24"/>
      <c r="Q300" s="24">
        <v>331415</v>
      </c>
      <c r="R300" s="24"/>
      <c r="S300" s="24">
        <v>0</v>
      </c>
      <c r="T300" s="24"/>
      <c r="U300" s="24">
        <v>20224</v>
      </c>
      <c r="V300" s="24"/>
      <c r="W300" s="24">
        <v>31156</v>
      </c>
      <c r="X300" s="24"/>
      <c r="Y300" s="38">
        <f t="shared" si="43"/>
        <v>23181201</v>
      </c>
      <c r="Z300" s="24"/>
      <c r="AA300" s="24">
        <v>2500000</v>
      </c>
      <c r="AB300" s="24"/>
      <c r="AC300" s="24">
        <v>0</v>
      </c>
      <c r="AD300" s="24"/>
      <c r="AE300" s="24">
        <v>0</v>
      </c>
      <c r="AF300" s="24"/>
      <c r="AG300" s="24">
        <v>0</v>
      </c>
      <c r="AH300" s="24"/>
      <c r="AI300" s="24">
        <v>0</v>
      </c>
      <c r="AJ300" s="24"/>
      <c r="AK300" s="24">
        <v>0</v>
      </c>
      <c r="AL300" s="24"/>
      <c r="AM300" s="24">
        <v>0</v>
      </c>
      <c r="AN300" s="24"/>
      <c r="AO300" s="38">
        <f t="shared" si="46"/>
        <v>2500000</v>
      </c>
      <c r="AP300" s="24"/>
      <c r="AQ300" s="38">
        <f t="shared" si="47"/>
        <v>25681201</v>
      </c>
      <c r="AR300" s="38"/>
      <c r="AS300" s="7"/>
      <c r="AT300" s="7" t="str">
        <f t="shared" si="41"/>
        <v>Logan Elm Local SD</v>
      </c>
      <c r="AU300" s="7" t="str">
        <f>'Gov Fd BS'!A300</f>
        <v>Logan Elm Local SD</v>
      </c>
      <c r="AV300" s="7" t="b">
        <f t="shared" si="42"/>
        <v>1</v>
      </c>
      <c r="AW300" s="7" t="str">
        <f t="shared" si="40"/>
        <v>Pickaway</v>
      </c>
      <c r="AX300" s="7" t="b">
        <f>C300='Gov Fd BS'!C300</f>
        <v>1</v>
      </c>
    </row>
    <row r="301" spans="1:50">
      <c r="A301" s="12" t="s">
        <v>362</v>
      </c>
      <c r="B301" s="12"/>
      <c r="C301" s="12" t="s">
        <v>35</v>
      </c>
      <c r="D301" s="12"/>
      <c r="E301" s="12">
        <v>44248</v>
      </c>
      <c r="F301" s="24"/>
      <c r="G301" s="24">
        <v>13047837</v>
      </c>
      <c r="H301" s="24"/>
      <c r="I301" s="24">
        <v>0</v>
      </c>
      <c r="J301" s="24"/>
      <c r="K301" s="24">
        <f>21966295+5533870</f>
        <v>27500165</v>
      </c>
      <c r="L301" s="24"/>
      <c r="M301" s="24">
        <v>428575</v>
      </c>
      <c r="N301" s="24"/>
      <c r="O301" s="24">
        <f>1128425+4122</f>
        <v>1132547</v>
      </c>
      <c r="P301" s="24"/>
      <c r="Q301" s="24">
        <v>335832</v>
      </c>
      <c r="R301" s="24"/>
      <c r="S301" s="24">
        <v>0</v>
      </c>
      <c r="T301" s="24"/>
      <c r="U301" s="24">
        <v>0</v>
      </c>
      <c r="V301" s="24"/>
      <c r="W301" s="24">
        <f>90426+78083</f>
        <v>168509</v>
      </c>
      <c r="X301" s="24"/>
      <c r="Y301" s="38">
        <f t="shared" si="43"/>
        <v>42613465</v>
      </c>
      <c r="Z301" s="24"/>
      <c r="AA301" s="24">
        <v>1363549</v>
      </c>
      <c r="AB301" s="24"/>
      <c r="AC301" s="24">
        <v>0</v>
      </c>
      <c r="AD301" s="24"/>
      <c r="AE301" s="24">
        <v>0</v>
      </c>
      <c r="AF301" s="24"/>
      <c r="AG301" s="24">
        <v>0</v>
      </c>
      <c r="AH301" s="24"/>
      <c r="AI301" s="24">
        <v>0</v>
      </c>
      <c r="AJ301" s="24"/>
      <c r="AK301" s="24">
        <v>5084</v>
      </c>
      <c r="AL301" s="24"/>
      <c r="AM301" s="24">
        <v>0</v>
      </c>
      <c r="AN301" s="24"/>
      <c r="AO301" s="38">
        <f t="shared" si="46"/>
        <v>1368633</v>
      </c>
      <c r="AP301" s="24"/>
      <c r="AQ301" s="38">
        <f t="shared" si="47"/>
        <v>43982098</v>
      </c>
      <c r="AR301" s="38"/>
      <c r="AS301" s="7"/>
      <c r="AT301" s="7" t="str">
        <f t="shared" si="41"/>
        <v>Logan-Hocking Local SD</v>
      </c>
      <c r="AU301" s="7" t="str">
        <f>'Gov Fd BS'!A301</f>
        <v>Logan-Hocking Local SD</v>
      </c>
      <c r="AV301" s="7" t="b">
        <f t="shared" si="42"/>
        <v>1</v>
      </c>
      <c r="AW301" s="7" t="str">
        <f t="shared" si="40"/>
        <v>Hocking</v>
      </c>
      <c r="AX301" s="7" t="b">
        <f>C301='Gov Fd BS'!C301</f>
        <v>1</v>
      </c>
    </row>
    <row r="302" spans="1:50">
      <c r="A302" s="12" t="s">
        <v>413</v>
      </c>
      <c r="B302" s="12"/>
      <c r="C302" s="12" t="s">
        <v>411</v>
      </c>
      <c r="D302" s="12"/>
      <c r="E302" s="12">
        <v>44255</v>
      </c>
      <c r="F302" s="24"/>
      <c r="G302" s="24">
        <v>9092120</v>
      </c>
      <c r="H302" s="24"/>
      <c r="I302" s="24">
        <v>2819864</v>
      </c>
      <c r="J302" s="24"/>
      <c r="K302" s="24">
        <v>25215341</v>
      </c>
      <c r="L302" s="24"/>
      <c r="M302" s="24">
        <v>25922</v>
      </c>
      <c r="N302" s="24"/>
      <c r="O302" s="24">
        <f>471725+2125989+4010</f>
        <v>2601724</v>
      </c>
      <c r="P302" s="24"/>
      <c r="Q302" s="24">
        <v>188242</v>
      </c>
      <c r="R302" s="24"/>
      <c r="S302" s="24">
        <v>231927</v>
      </c>
      <c r="T302" s="24"/>
      <c r="U302" s="24">
        <v>58139</v>
      </c>
      <c r="V302" s="24"/>
      <c r="W302" s="24">
        <v>152555</v>
      </c>
      <c r="X302" s="24"/>
      <c r="Y302" s="38">
        <f t="shared" si="43"/>
        <v>40385834</v>
      </c>
      <c r="Z302" s="24"/>
      <c r="AA302" s="24">
        <v>75177</v>
      </c>
      <c r="AB302" s="24"/>
      <c r="AC302" s="24">
        <v>0</v>
      </c>
      <c r="AD302" s="24"/>
      <c r="AE302" s="24">
        <v>257337</v>
      </c>
      <c r="AF302" s="24"/>
      <c r="AG302" s="24">
        <v>0</v>
      </c>
      <c r="AH302" s="24"/>
      <c r="AI302" s="24">
        <v>0</v>
      </c>
      <c r="AJ302" s="24"/>
      <c r="AK302" s="24">
        <v>0</v>
      </c>
      <c r="AL302" s="24"/>
      <c r="AM302" s="24">
        <v>0</v>
      </c>
      <c r="AN302" s="24"/>
      <c r="AO302" s="38">
        <f t="shared" si="46"/>
        <v>332514</v>
      </c>
      <c r="AP302" s="24"/>
      <c r="AQ302" s="38">
        <f t="shared" si="47"/>
        <v>40718348</v>
      </c>
      <c r="AR302" s="38"/>
      <c r="AS302" s="7"/>
      <c r="AT302" s="7" t="str">
        <f t="shared" si="41"/>
        <v>London City SD</v>
      </c>
      <c r="AU302" s="7" t="str">
        <f>'Gov Fd BS'!A302</f>
        <v>London City SD</v>
      </c>
      <c r="AV302" s="7" t="b">
        <f t="shared" si="42"/>
        <v>1</v>
      </c>
      <c r="AW302" s="7" t="str">
        <f t="shared" si="40"/>
        <v>Madison</v>
      </c>
      <c r="AX302" s="7" t="b">
        <f>C302='Gov Fd BS'!C302</f>
        <v>1</v>
      </c>
    </row>
    <row r="303" spans="1:50">
      <c r="A303" s="12" t="s">
        <v>398</v>
      </c>
      <c r="B303" s="12"/>
      <c r="C303" s="12" t="s">
        <v>44</v>
      </c>
      <c r="D303" s="12"/>
      <c r="E303" s="12">
        <v>44263</v>
      </c>
      <c r="F303" s="24"/>
      <c r="G303" s="24">
        <v>19099832</v>
      </c>
      <c r="H303" s="24"/>
      <c r="I303" s="24">
        <v>0</v>
      </c>
      <c r="J303" s="24"/>
      <c r="K303" s="24">
        <v>114555690</v>
      </c>
      <c r="L303" s="24"/>
      <c r="M303" s="24">
        <v>463164</v>
      </c>
      <c r="N303" s="24"/>
      <c r="O303" s="24">
        <f>1155567+389314+24385</f>
        <v>1569266</v>
      </c>
      <c r="P303" s="24"/>
      <c r="Q303" s="24">
        <v>250241</v>
      </c>
      <c r="R303" s="24"/>
      <c r="S303" s="24">
        <v>0</v>
      </c>
      <c r="T303" s="24"/>
      <c r="U303" s="24">
        <v>662822</v>
      </c>
      <c r="V303" s="24"/>
      <c r="W303" s="24">
        <v>231547</v>
      </c>
      <c r="X303" s="24"/>
      <c r="Y303" s="38">
        <f t="shared" si="43"/>
        <v>136832562</v>
      </c>
      <c r="Z303" s="24"/>
      <c r="AA303" s="24">
        <v>389816</v>
      </c>
      <c r="AB303" s="24"/>
      <c r="AC303" s="24">
        <v>0</v>
      </c>
      <c r="AD303" s="24"/>
      <c r="AE303" s="24">
        <v>0</v>
      </c>
      <c r="AF303" s="24"/>
      <c r="AG303" s="24">
        <v>0</v>
      </c>
      <c r="AH303" s="24"/>
      <c r="AI303" s="24">
        <v>0</v>
      </c>
      <c r="AJ303" s="24"/>
      <c r="AK303" s="24">
        <v>8252</v>
      </c>
      <c r="AL303" s="24"/>
      <c r="AM303" s="24">
        <v>0</v>
      </c>
      <c r="AN303" s="24"/>
      <c r="AO303" s="38">
        <f t="shared" si="46"/>
        <v>398068</v>
      </c>
      <c r="AP303" s="24"/>
      <c r="AQ303" s="38">
        <f t="shared" si="47"/>
        <v>137230630</v>
      </c>
      <c r="AR303" s="38"/>
      <c r="AS303" s="97"/>
      <c r="AT303" s="7" t="str">
        <f t="shared" si="41"/>
        <v>Lorain City SD</v>
      </c>
      <c r="AU303" s="7" t="str">
        <f>'Gov Fd BS'!A303</f>
        <v>Lorain City SD</v>
      </c>
      <c r="AV303" s="7" t="b">
        <f t="shared" si="42"/>
        <v>1</v>
      </c>
      <c r="AW303" s="7" t="str">
        <f t="shared" si="40"/>
        <v>Lorain</v>
      </c>
      <c r="AX303" s="7" t="b">
        <f>C303='Gov Fd BS'!C303</f>
        <v>1</v>
      </c>
    </row>
    <row r="304" spans="1:50">
      <c r="A304" s="12" t="s">
        <v>543</v>
      </c>
      <c r="B304" s="12"/>
      <c r="C304" s="12" t="s">
        <v>64</v>
      </c>
      <c r="D304" s="12"/>
      <c r="E304" s="12">
        <v>50203</v>
      </c>
      <c r="F304" s="24"/>
      <c r="G304" s="24">
        <v>2462193</v>
      </c>
      <c r="H304" s="24"/>
      <c r="I304" s="24">
        <v>0</v>
      </c>
      <c r="J304" s="24"/>
      <c r="K304" s="24">
        <f>2754788+411153</f>
        <v>3165941</v>
      </c>
      <c r="L304" s="24"/>
      <c r="M304" s="24">
        <v>1780</v>
      </c>
      <c r="N304" s="24"/>
      <c r="O304" s="24">
        <f>411743+106372+13514+63535+660</f>
        <v>595824</v>
      </c>
      <c r="P304" s="24"/>
      <c r="Q304" s="24">
        <v>17441</v>
      </c>
      <c r="R304" s="24"/>
      <c r="S304" s="24">
        <v>0</v>
      </c>
      <c r="T304" s="24"/>
      <c r="U304" s="24">
        <v>70</v>
      </c>
      <c r="V304" s="24"/>
      <c r="W304" s="24">
        <v>173635</v>
      </c>
      <c r="X304" s="24"/>
      <c r="Y304" s="38">
        <f t="shared" si="43"/>
        <v>6416884</v>
      </c>
      <c r="Z304" s="24"/>
      <c r="AA304" s="24">
        <v>933</v>
      </c>
      <c r="AB304" s="24"/>
      <c r="AC304" s="24">
        <v>0</v>
      </c>
      <c r="AD304" s="24"/>
      <c r="AE304" s="24">
        <v>1800000</v>
      </c>
      <c r="AF304" s="24"/>
      <c r="AG304" s="24">
        <v>0</v>
      </c>
      <c r="AH304" s="24"/>
      <c r="AI304" s="24">
        <v>0</v>
      </c>
      <c r="AJ304" s="24"/>
      <c r="AK304" s="24">
        <v>0</v>
      </c>
      <c r="AL304" s="24"/>
      <c r="AM304" s="24">
        <v>0</v>
      </c>
      <c r="AN304" s="24"/>
      <c r="AO304" s="38">
        <f t="shared" si="46"/>
        <v>1800933</v>
      </c>
      <c r="AP304" s="24"/>
      <c r="AQ304" s="38">
        <f t="shared" si="47"/>
        <v>8217817</v>
      </c>
      <c r="AR304" s="38"/>
      <c r="AS304" s="7"/>
      <c r="AT304" s="7" t="str">
        <f t="shared" si="41"/>
        <v>Lordstown Local SD</v>
      </c>
      <c r="AU304" s="7" t="str">
        <f>'Gov Fd BS'!A304</f>
        <v>Lordstown Local SD</v>
      </c>
      <c r="AV304" s="7" t="b">
        <f t="shared" si="42"/>
        <v>1</v>
      </c>
      <c r="AW304" s="7" t="str">
        <f t="shared" si="40"/>
        <v>Trumbull</v>
      </c>
      <c r="AX304" s="7" t="b">
        <f>C304='Gov Fd BS'!C304</f>
        <v>1</v>
      </c>
    </row>
    <row r="305" spans="1:50">
      <c r="A305" s="12" t="s">
        <v>719</v>
      </c>
      <c r="B305" s="12"/>
      <c r="C305" s="12" t="s">
        <v>11</v>
      </c>
      <c r="D305" s="12"/>
      <c r="E305" s="12">
        <v>45468</v>
      </c>
      <c r="F305" s="24"/>
      <c r="G305" s="24">
        <v>4745984</v>
      </c>
      <c r="H305" s="24"/>
      <c r="I305" s="24">
        <v>1460253</v>
      </c>
      <c r="J305" s="24"/>
      <c r="K305" s="24">
        <f>5065188+1490536</f>
        <v>6555724</v>
      </c>
      <c r="L305" s="24"/>
      <c r="M305" s="24">
        <v>40864</v>
      </c>
      <c r="N305" s="24"/>
      <c r="O305" s="24">
        <f>439248+2750+213293+34948+822</f>
        <v>691061</v>
      </c>
      <c r="P305" s="24"/>
      <c r="Q305" s="24">
        <v>161113</v>
      </c>
      <c r="R305" s="24"/>
      <c r="S305" s="24">
        <v>0</v>
      </c>
      <c r="T305" s="24"/>
      <c r="U305" s="24">
        <v>51008</v>
      </c>
      <c r="V305" s="24"/>
      <c r="W305" s="24">
        <v>42466</v>
      </c>
      <c r="X305" s="24"/>
      <c r="Y305" s="38">
        <f t="shared" si="43"/>
        <v>13748473</v>
      </c>
      <c r="Z305" s="24"/>
      <c r="AA305" s="24">
        <v>0</v>
      </c>
      <c r="AB305" s="24"/>
      <c r="AC305" s="24">
        <v>0</v>
      </c>
      <c r="AD305" s="24"/>
      <c r="AE305" s="24">
        <v>0</v>
      </c>
      <c r="AF305" s="24"/>
      <c r="AG305" s="24">
        <v>0</v>
      </c>
      <c r="AH305" s="24"/>
      <c r="AI305" s="24">
        <v>0</v>
      </c>
      <c r="AJ305" s="24"/>
      <c r="AK305" s="24">
        <v>2092</v>
      </c>
      <c r="AL305" s="24"/>
      <c r="AM305" s="24">
        <v>0</v>
      </c>
      <c r="AN305" s="24"/>
      <c r="AO305" s="38">
        <f t="shared" si="46"/>
        <v>2092</v>
      </c>
      <c r="AP305" s="24"/>
      <c r="AQ305" s="38">
        <f t="shared" si="47"/>
        <v>13750565</v>
      </c>
      <c r="AR305" s="38"/>
      <c r="AS305" s="7" t="s">
        <v>914</v>
      </c>
      <c r="AT305" s="7" t="str">
        <f t="shared" si="41"/>
        <v>Loudonville-Perrysville Exempted Village SD</v>
      </c>
      <c r="AU305" s="7" t="str">
        <f>'Gov Fd BS'!A305</f>
        <v>Loudonville-Perrysville Exempted Village SD</v>
      </c>
      <c r="AV305" s="7" t="b">
        <f t="shared" si="42"/>
        <v>1</v>
      </c>
      <c r="AW305" s="7" t="str">
        <f t="shared" si="40"/>
        <v>Ashland</v>
      </c>
      <c r="AX305" s="7" t="b">
        <f>C305='Gov Fd BS'!C305</f>
        <v>1</v>
      </c>
    </row>
    <row r="306" spans="1:50">
      <c r="A306" s="12" t="s">
        <v>514</v>
      </c>
      <c r="B306" s="12"/>
      <c r="C306" s="12" t="s">
        <v>62</v>
      </c>
      <c r="D306" s="12"/>
      <c r="E306" s="12">
        <v>49874</v>
      </c>
      <c r="F306" s="24"/>
      <c r="G306" s="24">
        <v>8852489</v>
      </c>
      <c r="H306" s="24"/>
      <c r="I306" s="24">
        <v>0</v>
      </c>
      <c r="J306" s="24"/>
      <c r="K306" s="24">
        <v>38729747</v>
      </c>
      <c r="L306" s="24"/>
      <c r="M306" s="24">
        <v>81036</v>
      </c>
      <c r="N306" s="24"/>
      <c r="O306" s="24">
        <f>618895+738717+34339</f>
        <v>1391951</v>
      </c>
      <c r="P306" s="24"/>
      <c r="Q306" s="24">
        <v>416501</v>
      </c>
      <c r="R306" s="24"/>
      <c r="S306" s="24">
        <v>35527</v>
      </c>
      <c r="T306" s="24"/>
      <c r="U306" s="24">
        <v>76572</v>
      </c>
      <c r="V306" s="24"/>
      <c r="W306" s="24">
        <v>109816</v>
      </c>
      <c r="X306" s="24"/>
      <c r="Y306" s="38">
        <f t="shared" si="43"/>
        <v>49693639</v>
      </c>
      <c r="Z306" s="24"/>
      <c r="AA306" s="24">
        <v>54700</v>
      </c>
      <c r="AB306" s="24"/>
      <c r="AC306" s="24">
        <v>0</v>
      </c>
      <c r="AD306" s="24"/>
      <c r="AE306" s="24">
        <f>21970000+1272270</f>
        <v>23242270</v>
      </c>
      <c r="AF306" s="24"/>
      <c r="AG306" s="24">
        <v>0</v>
      </c>
      <c r="AH306" s="24"/>
      <c r="AI306" s="24">
        <v>0</v>
      </c>
      <c r="AJ306" s="24"/>
      <c r="AK306" s="24">
        <v>0</v>
      </c>
      <c r="AL306" s="24"/>
      <c r="AM306" s="24">
        <v>0</v>
      </c>
      <c r="AN306" s="24"/>
      <c r="AO306" s="38">
        <f t="shared" si="46"/>
        <v>23296970</v>
      </c>
      <c r="AP306" s="24"/>
      <c r="AQ306" s="38">
        <f t="shared" si="47"/>
        <v>72990609</v>
      </c>
      <c r="AR306" s="38"/>
      <c r="AS306" s="7" t="s">
        <v>923</v>
      </c>
      <c r="AT306" s="7" t="str">
        <f t="shared" si="41"/>
        <v>Louisville City SD</v>
      </c>
      <c r="AU306" s="7" t="str">
        <f>'Gov Fd BS'!A306</f>
        <v>Louisville City SD</v>
      </c>
      <c r="AV306" s="7" t="b">
        <f t="shared" si="42"/>
        <v>1</v>
      </c>
      <c r="AW306" s="7" t="str">
        <f t="shared" si="40"/>
        <v>Stark</v>
      </c>
      <c r="AX306" s="7" t="b">
        <f>C306='Gov Fd BS'!C306</f>
        <v>1</v>
      </c>
    </row>
    <row r="307" spans="1:50">
      <c r="A307" s="12" t="s">
        <v>332</v>
      </c>
      <c r="B307" s="12"/>
      <c r="C307" s="12" t="s">
        <v>32</v>
      </c>
      <c r="D307" s="12"/>
      <c r="E307" s="12">
        <v>44271</v>
      </c>
      <c r="F307" s="24"/>
      <c r="G307" s="24">
        <v>29979032</v>
      </c>
      <c r="H307" s="24"/>
      <c r="I307" s="24">
        <v>0</v>
      </c>
      <c r="J307" s="24"/>
      <c r="K307" s="24">
        <v>19482810</v>
      </c>
      <c r="L307" s="24"/>
      <c r="M307" s="24">
        <v>24373</v>
      </c>
      <c r="N307" s="24"/>
      <c r="O307" s="24">
        <f>736703+1136824</f>
        <v>1873527</v>
      </c>
      <c r="P307" s="24"/>
      <c r="Q307" s="24">
        <v>464842</v>
      </c>
      <c r="R307" s="24"/>
      <c r="S307" s="24">
        <v>67765</v>
      </c>
      <c r="T307" s="24"/>
      <c r="U307" s="24">
        <v>0</v>
      </c>
      <c r="V307" s="24"/>
      <c r="W307" s="24">
        <v>168954</v>
      </c>
      <c r="X307" s="24"/>
      <c r="Y307" s="38">
        <f t="shared" si="43"/>
        <v>52061303</v>
      </c>
      <c r="Z307" s="24"/>
      <c r="AA307" s="24">
        <v>36226</v>
      </c>
      <c r="AB307" s="24"/>
      <c r="AC307" s="24">
        <v>0</v>
      </c>
      <c r="AD307" s="24"/>
      <c r="AE307" s="24">
        <v>0</v>
      </c>
      <c r="AF307" s="24"/>
      <c r="AG307" s="24">
        <v>0</v>
      </c>
      <c r="AH307" s="24"/>
      <c r="AI307" s="24">
        <v>0</v>
      </c>
      <c r="AJ307" s="24"/>
      <c r="AK307" s="24">
        <v>1467</v>
      </c>
      <c r="AL307" s="24"/>
      <c r="AM307" s="24">
        <v>0</v>
      </c>
      <c r="AN307" s="24"/>
      <c r="AO307" s="38">
        <f t="shared" si="46"/>
        <v>37693</v>
      </c>
      <c r="AP307" s="24"/>
      <c r="AQ307" s="38">
        <f t="shared" si="47"/>
        <v>52098996</v>
      </c>
      <c r="AR307" s="38"/>
      <c r="AS307" s="7"/>
      <c r="AT307" s="7" t="str">
        <f t="shared" si="41"/>
        <v>Loveland City SD</v>
      </c>
      <c r="AU307" s="7" t="str">
        <f>'Gov Fd BS'!A307</f>
        <v>Loveland City SD</v>
      </c>
      <c r="AV307" s="7" t="b">
        <f t="shared" si="42"/>
        <v>1</v>
      </c>
      <c r="AW307" s="7" t="str">
        <f t="shared" si="40"/>
        <v>Hamilton</v>
      </c>
      <c r="AX307" s="7" t="b">
        <f>C307='Gov Fd BS'!C307</f>
        <v>1</v>
      </c>
    </row>
    <row r="308" spans="1:50">
      <c r="A308" s="12" t="s">
        <v>720</v>
      </c>
      <c r="B308" s="12"/>
      <c r="C308" s="12" t="s">
        <v>45</v>
      </c>
      <c r="D308" s="12"/>
      <c r="E308" s="12">
        <v>48330</v>
      </c>
      <c r="F308" s="24"/>
      <c r="G308" s="24">
        <v>989319</v>
      </c>
      <c r="H308" s="24"/>
      <c r="I308" s="24">
        <v>0</v>
      </c>
      <c r="J308" s="24"/>
      <c r="K308" s="24">
        <f>2367091+628092</f>
        <v>2995183</v>
      </c>
      <c r="L308" s="24"/>
      <c r="M308" s="24">
        <v>46253</v>
      </c>
      <c r="N308" s="24"/>
      <c r="O308" s="24">
        <f>1414117+140937+620</f>
        <v>1555674</v>
      </c>
      <c r="P308" s="24"/>
      <c r="Q308" s="24">
        <v>139672</v>
      </c>
      <c r="R308" s="24"/>
      <c r="S308" s="24">
        <v>0</v>
      </c>
      <c r="T308" s="24"/>
      <c r="U308" s="24">
        <v>38074</v>
      </c>
      <c r="V308" s="24"/>
      <c r="W308" s="24">
        <v>22450</v>
      </c>
      <c r="X308" s="24"/>
      <c r="Y308" s="38">
        <f t="shared" si="43"/>
        <v>5786625</v>
      </c>
      <c r="Z308" s="24"/>
      <c r="AA308" s="24">
        <v>33767</v>
      </c>
      <c r="AB308" s="24"/>
      <c r="AC308" s="24">
        <v>0</v>
      </c>
      <c r="AD308" s="24"/>
      <c r="AE308" s="24">
        <v>0</v>
      </c>
      <c r="AF308" s="24"/>
      <c r="AG308" s="24">
        <v>0</v>
      </c>
      <c r="AH308" s="24"/>
      <c r="AI308" s="24">
        <v>0</v>
      </c>
      <c r="AJ308" s="24"/>
      <c r="AK308" s="24">
        <v>0</v>
      </c>
      <c r="AL308" s="24"/>
      <c r="AM308" s="24">
        <v>0</v>
      </c>
      <c r="AN308" s="24"/>
      <c r="AO308" s="38">
        <f t="shared" si="46"/>
        <v>33767</v>
      </c>
      <c r="AP308" s="24"/>
      <c r="AQ308" s="38">
        <f t="shared" si="47"/>
        <v>5820392</v>
      </c>
      <c r="AR308" s="38"/>
      <c r="AS308" s="7"/>
      <c r="AT308" s="7" t="str">
        <f t="shared" si="41"/>
        <v xml:space="preserve">Lowellville Local SD </v>
      </c>
      <c r="AU308" s="7" t="str">
        <f>'Gov Fd BS'!A308</f>
        <v xml:space="preserve">Lowellville Local SD </v>
      </c>
      <c r="AV308" s="7" t="b">
        <f t="shared" si="42"/>
        <v>1</v>
      </c>
      <c r="AW308" s="7" t="str">
        <f t="shared" si="40"/>
        <v>Mahoning</v>
      </c>
      <c r="AX308" s="7" t="b">
        <f>C308='Gov Fd BS'!C308</f>
        <v>1</v>
      </c>
    </row>
    <row r="309" spans="1:50">
      <c r="A309" s="12" t="s">
        <v>924</v>
      </c>
      <c r="B309" s="12"/>
      <c r="C309" s="12" t="s">
        <v>110</v>
      </c>
      <c r="D309" s="12"/>
      <c r="E309" s="12">
        <v>49445</v>
      </c>
      <c r="F309" s="24"/>
      <c r="G309" s="24">
        <v>3060986</v>
      </c>
      <c r="H309" s="24"/>
      <c r="I309" s="24">
        <v>0</v>
      </c>
      <c r="J309" s="24"/>
      <c r="K309" s="24">
        <f>10912+2382750+726797</f>
        <v>3120459</v>
      </c>
      <c r="L309" s="24"/>
      <c r="M309" s="24">
        <v>919</v>
      </c>
      <c r="N309" s="24"/>
      <c r="O309" s="24">
        <f>118402+122299+16067+1558</f>
        <v>258326</v>
      </c>
      <c r="P309" s="24"/>
      <c r="Q309" s="24">
        <v>90745</v>
      </c>
      <c r="R309" s="24"/>
      <c r="S309" s="24">
        <v>0</v>
      </c>
      <c r="T309" s="24"/>
      <c r="U309" s="24">
        <v>19355</v>
      </c>
      <c r="V309" s="24"/>
      <c r="W309" s="24">
        <v>6539</v>
      </c>
      <c r="X309" s="24"/>
      <c r="Y309" s="38">
        <f t="shared" si="43"/>
        <v>6557329</v>
      </c>
      <c r="Z309" s="24"/>
      <c r="AA309" s="24">
        <v>25000</v>
      </c>
      <c r="AB309" s="24"/>
      <c r="AC309" s="24">
        <v>0</v>
      </c>
      <c r="AD309" s="24"/>
      <c r="AE309" s="24">
        <v>553055</v>
      </c>
      <c r="AF309" s="24"/>
      <c r="AG309" s="24">
        <v>0</v>
      </c>
      <c r="AH309" s="24"/>
      <c r="AI309" s="24">
        <v>0</v>
      </c>
      <c r="AJ309" s="24"/>
      <c r="AK309" s="24">
        <v>0</v>
      </c>
      <c r="AL309" s="24"/>
      <c r="AM309" s="24">
        <v>0</v>
      </c>
      <c r="AN309" s="24"/>
      <c r="AO309" s="38">
        <f t="shared" si="46"/>
        <v>578055</v>
      </c>
      <c r="AP309" s="24"/>
      <c r="AQ309" s="38">
        <f t="shared" si="47"/>
        <v>7135384</v>
      </c>
      <c r="AR309" s="38"/>
      <c r="AS309" s="7"/>
      <c r="AT309" s="7" t="str">
        <f t="shared" si="41"/>
        <v>Lucas Local SD</v>
      </c>
      <c r="AU309" s="7" t="str">
        <f>'Gov Fd BS'!A309</f>
        <v>Lucas Local SD</v>
      </c>
      <c r="AV309" s="7" t="b">
        <f t="shared" si="42"/>
        <v>1</v>
      </c>
      <c r="AW309" s="7" t="str">
        <f t="shared" si="40"/>
        <v>Richland</v>
      </c>
      <c r="AX309" s="7" t="b">
        <f>C309='Gov Fd BS'!C309</f>
        <v>1</v>
      </c>
    </row>
    <row r="310" spans="1:50">
      <c r="A310" s="12" t="s">
        <v>361</v>
      </c>
      <c r="B310" s="12"/>
      <c r="C310" s="12" t="s">
        <v>358</v>
      </c>
      <c r="D310" s="12"/>
      <c r="E310" s="12">
        <v>47639</v>
      </c>
      <c r="F310" s="24"/>
      <c r="G310" s="24">
        <v>1853912</v>
      </c>
      <c r="H310" s="24"/>
      <c r="I310" s="24">
        <v>0</v>
      </c>
      <c r="J310" s="24"/>
      <c r="K310" s="24">
        <v>9503203</v>
      </c>
      <c r="L310" s="24"/>
      <c r="M310" s="24">
        <v>97100</v>
      </c>
      <c r="N310" s="24"/>
      <c r="O310" s="24">
        <f>688222+9000+266611</f>
        <v>963833</v>
      </c>
      <c r="P310" s="24"/>
      <c r="Q310" s="24">
        <v>85435</v>
      </c>
      <c r="R310" s="24"/>
      <c r="S310" s="24">
        <v>0</v>
      </c>
      <c r="T310" s="24"/>
      <c r="U310" s="24">
        <v>40239</v>
      </c>
      <c r="V310" s="24"/>
      <c r="W310" s="24">
        <v>108268</v>
      </c>
      <c r="X310" s="24"/>
      <c r="Y310" s="38">
        <f t="shared" si="43"/>
        <v>12651990</v>
      </c>
      <c r="Z310" s="24"/>
      <c r="AA310" s="24">
        <v>98632</v>
      </c>
      <c r="AB310" s="24"/>
      <c r="AC310" s="24">
        <v>0</v>
      </c>
      <c r="AD310" s="24"/>
      <c r="AE310" s="24">
        <v>0</v>
      </c>
      <c r="AF310" s="24"/>
      <c r="AG310" s="24">
        <v>0</v>
      </c>
      <c r="AH310" s="24"/>
      <c r="AI310" s="24">
        <v>0</v>
      </c>
      <c r="AJ310" s="24"/>
      <c r="AK310" s="24">
        <f>359922+11546</f>
        <v>371468</v>
      </c>
      <c r="AL310" s="24"/>
      <c r="AM310" s="24">
        <v>0</v>
      </c>
      <c r="AN310" s="24"/>
      <c r="AO310" s="38">
        <f t="shared" si="46"/>
        <v>470100</v>
      </c>
      <c r="AP310" s="24"/>
      <c r="AQ310" s="38">
        <f t="shared" si="47"/>
        <v>13122090</v>
      </c>
      <c r="AR310" s="38"/>
      <c r="AS310" s="7" t="s">
        <v>927</v>
      </c>
      <c r="AT310" s="7" t="str">
        <f t="shared" si="41"/>
        <v>Lynchburg-Clay Local SD</v>
      </c>
      <c r="AU310" s="7" t="str">
        <f>'Gov Fd BS'!A310</f>
        <v>Lynchburg-Clay Local SD</v>
      </c>
      <c r="AV310" s="7" t="b">
        <f t="shared" si="42"/>
        <v>1</v>
      </c>
      <c r="AW310" s="7" t="str">
        <f t="shared" si="40"/>
        <v>Highland</v>
      </c>
      <c r="AX310" s="7" t="b">
        <f>C310='Gov Fd BS'!C310</f>
        <v>1</v>
      </c>
    </row>
    <row r="311" spans="1:50">
      <c r="A311" s="12" t="s">
        <v>750</v>
      </c>
      <c r="B311" s="12"/>
      <c r="C311" s="12" t="s">
        <v>50</v>
      </c>
      <c r="D311" s="12"/>
      <c r="E311" s="12">
        <v>48702</v>
      </c>
      <c r="F311" s="24"/>
      <c r="G311" s="24">
        <v>9812253</v>
      </c>
      <c r="H311" s="24"/>
      <c r="I311" s="24">
        <v>0</v>
      </c>
      <c r="J311" s="24"/>
      <c r="K311" s="24">
        <v>30349017</v>
      </c>
      <c r="L311" s="24"/>
      <c r="M311" s="24">
        <v>74361</v>
      </c>
      <c r="N311" s="24"/>
      <c r="O311" s="24">
        <f>554854+821411</f>
        <v>1376265</v>
      </c>
      <c r="P311" s="24"/>
      <c r="Q311" s="24">
        <v>234728</v>
      </c>
      <c r="R311" s="24"/>
      <c r="S311" s="24">
        <v>0</v>
      </c>
      <c r="T311" s="24"/>
      <c r="U311" s="24">
        <v>0</v>
      </c>
      <c r="V311" s="24"/>
      <c r="W311" s="24">
        <v>210845</v>
      </c>
      <c r="X311" s="24"/>
      <c r="Y311" s="38">
        <f t="shared" si="43"/>
        <v>42057469</v>
      </c>
      <c r="Z311" s="24"/>
      <c r="AA311" s="24">
        <v>0</v>
      </c>
      <c r="AB311" s="24"/>
      <c r="AC311" s="24">
        <v>0</v>
      </c>
      <c r="AD311" s="24"/>
      <c r="AE311" s="24">
        <v>0</v>
      </c>
      <c r="AF311" s="24"/>
      <c r="AG311" s="24"/>
      <c r="AH311" s="24"/>
      <c r="AI311" s="24"/>
      <c r="AJ311" s="24"/>
      <c r="AK311" s="24">
        <v>40268</v>
      </c>
      <c r="AL311" s="24"/>
      <c r="AM311" s="24">
        <v>0</v>
      </c>
      <c r="AN311" s="24"/>
      <c r="AO311" s="38">
        <f t="shared" si="46"/>
        <v>40268</v>
      </c>
      <c r="AP311" s="24"/>
      <c r="AQ311" s="38">
        <f t="shared" si="47"/>
        <v>42097737</v>
      </c>
      <c r="AR311" s="38"/>
      <c r="AS311" s="7"/>
      <c r="AT311" s="7" t="str">
        <f t="shared" si="41"/>
        <v xml:space="preserve">Mad River Local SD </v>
      </c>
      <c r="AU311" s="7" t="str">
        <f>'Gov Fd BS'!A311</f>
        <v xml:space="preserve">Mad River Local SD </v>
      </c>
      <c r="AV311" s="7" t="b">
        <f t="shared" si="42"/>
        <v>1</v>
      </c>
      <c r="AW311" s="7" t="str">
        <f t="shared" si="40"/>
        <v>Montgomery</v>
      </c>
      <c r="AX311" s="7" t="b">
        <f>C311='Gov Fd BS'!C311</f>
        <v>1</v>
      </c>
    </row>
    <row r="312" spans="1:50">
      <c r="A312" s="12" t="s">
        <v>333</v>
      </c>
      <c r="B312" s="12"/>
      <c r="C312" s="12" t="s">
        <v>32</v>
      </c>
      <c r="D312" s="12"/>
      <c r="E312" s="12">
        <v>44289</v>
      </c>
      <c r="F312" s="24"/>
      <c r="G312" s="24">
        <v>12644863</v>
      </c>
      <c r="H312" s="24"/>
      <c r="I312" s="24">
        <v>0</v>
      </c>
      <c r="J312" s="24"/>
      <c r="K312" s="24">
        <v>5968950</v>
      </c>
      <c r="L312" s="24"/>
      <c r="M312" s="24">
        <v>13390</v>
      </c>
      <c r="N312" s="24"/>
      <c r="O312" s="24">
        <f>144818+598641</f>
        <v>743459</v>
      </c>
      <c r="P312" s="24"/>
      <c r="Q312" s="24">
        <v>349059</v>
      </c>
      <c r="R312" s="24"/>
      <c r="S312" s="24">
        <v>383076</v>
      </c>
      <c r="T312" s="24"/>
      <c r="U312" s="24">
        <v>0</v>
      </c>
      <c r="V312" s="24"/>
      <c r="W312" s="24">
        <v>215883</v>
      </c>
      <c r="X312" s="24"/>
      <c r="Y312" s="38">
        <f t="shared" si="43"/>
        <v>20318680</v>
      </c>
      <c r="Z312" s="24"/>
      <c r="AA312" s="24">
        <v>40000</v>
      </c>
      <c r="AB312" s="24"/>
      <c r="AC312" s="24">
        <v>0</v>
      </c>
      <c r="AD312" s="24"/>
      <c r="AE312" s="24">
        <v>220000</v>
      </c>
      <c r="AF312" s="24"/>
      <c r="AG312" s="24"/>
      <c r="AH312" s="24"/>
      <c r="AI312" s="24"/>
      <c r="AJ312" s="24"/>
      <c r="AK312" s="24">
        <v>0</v>
      </c>
      <c r="AL312" s="24"/>
      <c r="AM312" s="24">
        <v>0</v>
      </c>
      <c r="AN312" s="24"/>
      <c r="AO312" s="38">
        <f t="shared" si="46"/>
        <v>260000</v>
      </c>
      <c r="AP312" s="24"/>
      <c r="AQ312" s="38">
        <f t="shared" si="47"/>
        <v>20578680</v>
      </c>
      <c r="AR312" s="38"/>
      <c r="AS312" s="7"/>
      <c r="AT312" s="7" t="str">
        <f t="shared" si="41"/>
        <v>Madeira City SD</v>
      </c>
      <c r="AU312" s="7" t="str">
        <f>'Gov Fd BS'!A312</f>
        <v>Madeira City SD</v>
      </c>
      <c r="AV312" s="7" t="b">
        <f t="shared" si="42"/>
        <v>1</v>
      </c>
      <c r="AW312" s="7" t="str">
        <f t="shared" si="40"/>
        <v>Hamilton</v>
      </c>
      <c r="AX312" s="7" t="b">
        <f>C312='Gov Fd BS'!C312</f>
        <v>1</v>
      </c>
    </row>
    <row r="313" spans="1:50">
      <c r="A313" s="12" t="s">
        <v>227</v>
      </c>
      <c r="B313" s="12"/>
      <c r="C313" s="12" t="s">
        <v>223</v>
      </c>
      <c r="D313" s="12"/>
      <c r="E313" s="12">
        <v>46128</v>
      </c>
      <c r="F313" s="24"/>
      <c r="G313" s="24">
        <v>4981570</v>
      </c>
      <c r="H313" s="24"/>
      <c r="I313" s="24">
        <v>0</v>
      </c>
      <c r="J313" s="24"/>
      <c r="K313" s="24">
        <f>6568196+1554569</f>
        <v>8122765</v>
      </c>
      <c r="L313" s="24"/>
      <c r="M313" s="24">
        <v>13409</v>
      </c>
      <c r="N313" s="24"/>
      <c r="O313" s="24">
        <f>914740+462168+53693</f>
        <v>1430601</v>
      </c>
      <c r="P313" s="24"/>
      <c r="Q313" s="24">
        <v>147536</v>
      </c>
      <c r="R313" s="24"/>
      <c r="S313" s="24">
        <v>0</v>
      </c>
      <c r="T313" s="24"/>
      <c r="U313" s="24">
        <v>0</v>
      </c>
      <c r="V313" s="24"/>
      <c r="W313" s="24">
        <f>27618+509358</f>
        <v>536976</v>
      </c>
      <c r="X313" s="24"/>
      <c r="Y313" s="38">
        <f t="shared" si="43"/>
        <v>15232857</v>
      </c>
      <c r="Z313" s="24"/>
      <c r="AA313" s="24">
        <v>16102</v>
      </c>
      <c r="AB313" s="24"/>
      <c r="AC313" s="24">
        <v>0</v>
      </c>
      <c r="AD313" s="24"/>
      <c r="AE313" s="24">
        <v>0</v>
      </c>
      <c r="AF313" s="24"/>
      <c r="AG313" s="24"/>
      <c r="AH313" s="24"/>
      <c r="AI313" s="24"/>
      <c r="AJ313" s="24"/>
      <c r="AK313" s="24">
        <v>0</v>
      </c>
      <c r="AL313" s="24"/>
      <c r="AM313" s="24">
        <v>0</v>
      </c>
      <c r="AN313" s="24"/>
      <c r="AO313" s="38">
        <f t="shared" si="46"/>
        <v>16102</v>
      </c>
      <c r="AP313" s="24"/>
      <c r="AQ313" s="38">
        <f t="shared" si="47"/>
        <v>15248959</v>
      </c>
      <c r="AR313" s="38"/>
      <c r="AS313" s="7"/>
      <c r="AT313" s="7" t="str">
        <f t="shared" si="41"/>
        <v>Madison Local SD</v>
      </c>
      <c r="AU313" s="7" t="str">
        <f>'Gov Fd BS'!A313</f>
        <v>Madison Local SD</v>
      </c>
      <c r="AV313" s="7" t="b">
        <f t="shared" si="42"/>
        <v>1</v>
      </c>
      <c r="AW313" s="7" t="str">
        <f t="shared" si="40"/>
        <v>Butler</v>
      </c>
      <c r="AX313" s="7" t="b">
        <f>C313='Gov Fd BS'!C313</f>
        <v>1</v>
      </c>
    </row>
    <row r="314" spans="1:50" hidden="1">
      <c r="A314" s="12" t="s">
        <v>772</v>
      </c>
      <c r="B314" s="12"/>
      <c r="C314" s="12" t="s">
        <v>41</v>
      </c>
      <c r="D314" s="12"/>
      <c r="E314" s="12"/>
      <c r="F314" s="24"/>
      <c r="G314" s="24"/>
      <c r="H314" s="24"/>
      <c r="I314" s="24">
        <v>0</v>
      </c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38">
        <f t="shared" si="43"/>
        <v>0</v>
      </c>
      <c r="Z314" s="24"/>
      <c r="AA314" s="24"/>
      <c r="AB314" s="24"/>
      <c r="AC314" s="24">
        <v>0</v>
      </c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38"/>
      <c r="AP314" s="24"/>
      <c r="AQ314" s="38">
        <f t="shared" si="47"/>
        <v>0</v>
      </c>
      <c r="AR314" s="38"/>
      <c r="AS314" s="7" t="s">
        <v>839</v>
      </c>
      <c r="AT314" s="7" t="str">
        <f t="shared" si="41"/>
        <v xml:space="preserve">Madison Local SD (CASH)  </v>
      </c>
      <c r="AU314" s="7" t="str">
        <f>'Gov Fd BS'!A314</f>
        <v xml:space="preserve">Madison Local SD (CASH)  </v>
      </c>
      <c r="AV314" s="7" t="b">
        <f t="shared" si="42"/>
        <v>1</v>
      </c>
      <c r="AW314" s="7" t="str">
        <f t="shared" si="40"/>
        <v>Lake</v>
      </c>
      <c r="AX314" s="7" t="b">
        <f>C314='Gov Fd BS'!C314</f>
        <v>1</v>
      </c>
    </row>
    <row r="315" spans="1:50">
      <c r="A315" s="12" t="s">
        <v>227</v>
      </c>
      <c r="B315" s="12"/>
      <c r="C315" s="12" t="s">
        <v>110</v>
      </c>
      <c r="D315" s="12"/>
      <c r="E315" s="12">
        <v>49452</v>
      </c>
      <c r="F315" s="24"/>
      <c r="G315" s="24">
        <v>10311860</v>
      </c>
      <c r="H315" s="24"/>
      <c r="I315" s="24">
        <v>0</v>
      </c>
      <c r="J315" s="24"/>
      <c r="K315" s="24">
        <f>19747542+4917780</f>
        <v>24665322</v>
      </c>
      <c r="L315" s="24"/>
      <c r="M315" s="24">
        <v>159330</v>
      </c>
      <c r="N315" s="24"/>
      <c r="O315" s="24">
        <f>1555383+20140+397253+112454+3950+100459</f>
        <v>2189639</v>
      </c>
      <c r="P315" s="24"/>
      <c r="Q315" s="24">
        <v>136306</v>
      </c>
      <c r="R315" s="24"/>
      <c r="S315" s="24">
        <v>233634</v>
      </c>
      <c r="T315" s="24"/>
      <c r="U315" s="24">
        <v>44824</v>
      </c>
      <c r="V315" s="24"/>
      <c r="W315" s="24">
        <v>227685</v>
      </c>
      <c r="X315" s="24"/>
      <c r="Y315" s="38">
        <f t="shared" si="43"/>
        <v>37968600</v>
      </c>
      <c r="Z315" s="24"/>
      <c r="AA315" s="24">
        <v>0</v>
      </c>
      <c r="AB315" s="24"/>
      <c r="AC315" s="24">
        <v>0</v>
      </c>
      <c r="AD315" s="24"/>
      <c r="AE315" s="24">
        <f>25800138+2281586</f>
        <v>28081724</v>
      </c>
      <c r="AF315" s="24"/>
      <c r="AG315" s="24"/>
      <c r="AH315" s="24"/>
      <c r="AI315" s="24"/>
      <c r="AJ315" s="24"/>
      <c r="AK315" s="24">
        <v>30362</v>
      </c>
      <c r="AL315" s="24"/>
      <c r="AM315" s="24">
        <v>0</v>
      </c>
      <c r="AN315" s="24"/>
      <c r="AO315" s="38">
        <f t="shared" ref="AO315:AO326" si="48">AK315+AE315+AA315</f>
        <v>28112086</v>
      </c>
      <c r="AP315" s="24"/>
      <c r="AQ315" s="38">
        <f t="shared" si="47"/>
        <v>66080686</v>
      </c>
      <c r="AR315" s="38"/>
      <c r="AS315" s="7"/>
      <c r="AT315" s="7" t="str">
        <f t="shared" si="41"/>
        <v>Madison Local SD</v>
      </c>
      <c r="AU315" s="7" t="str">
        <f>'Gov Fd BS'!A315</f>
        <v>Madison Local SD</v>
      </c>
      <c r="AV315" s="7" t="b">
        <f t="shared" si="42"/>
        <v>1</v>
      </c>
      <c r="AW315" s="7" t="str">
        <f t="shared" si="40"/>
        <v>Richland</v>
      </c>
      <c r="AX315" s="7" t="b">
        <f>C315='Gov Fd BS'!C315</f>
        <v>1</v>
      </c>
    </row>
    <row r="316" spans="1:50">
      <c r="A316" s="12" t="s">
        <v>730</v>
      </c>
      <c r="B316" s="12"/>
      <c r="C316" s="12" t="s">
        <v>411</v>
      </c>
      <c r="D316" s="12"/>
      <c r="E316" s="12"/>
      <c r="F316" s="24"/>
      <c r="G316" s="24">
        <v>6159875</v>
      </c>
      <c r="H316" s="24"/>
      <c r="I316" s="24">
        <v>0</v>
      </c>
      <c r="J316" s="24"/>
      <c r="K316" s="24">
        <v>7787511</v>
      </c>
      <c r="L316" s="24"/>
      <c r="M316" s="24">
        <v>54637</v>
      </c>
      <c r="N316" s="24"/>
      <c r="O316" s="24">
        <f>937335+225+351412</f>
        <v>1288972</v>
      </c>
      <c r="P316" s="24"/>
      <c r="Q316" s="24">
        <v>156817</v>
      </c>
      <c r="R316" s="24"/>
      <c r="S316" s="24">
        <v>19519</v>
      </c>
      <c r="T316" s="24"/>
      <c r="U316" s="24">
        <v>14769</v>
      </c>
      <c r="V316" s="24"/>
      <c r="W316" s="24">
        <v>276909</v>
      </c>
      <c r="X316" s="24"/>
      <c r="Y316" s="38">
        <f t="shared" si="43"/>
        <v>15759009</v>
      </c>
      <c r="Z316" s="24"/>
      <c r="AA316" s="24">
        <v>1026450</v>
      </c>
      <c r="AB316" s="24"/>
      <c r="AC316" s="24">
        <v>0</v>
      </c>
      <c r="AD316" s="24"/>
      <c r="AE316" s="24">
        <f>2100000+15393</f>
        <v>2115393</v>
      </c>
      <c r="AF316" s="24"/>
      <c r="AG316" s="24"/>
      <c r="AH316" s="24"/>
      <c r="AI316" s="24"/>
      <c r="AJ316" s="24"/>
      <c r="AK316" s="24">
        <v>0</v>
      </c>
      <c r="AL316" s="24"/>
      <c r="AM316" s="24">
        <v>0</v>
      </c>
      <c r="AN316" s="24"/>
      <c r="AO316" s="38">
        <f t="shared" si="48"/>
        <v>3141843</v>
      </c>
      <c r="AP316" s="24"/>
      <c r="AQ316" s="38">
        <f t="shared" si="47"/>
        <v>18900852</v>
      </c>
      <c r="AR316" s="38"/>
      <c r="AS316" s="7"/>
      <c r="AT316" s="7" t="str">
        <f t="shared" si="41"/>
        <v xml:space="preserve">Madison Plains Local SD </v>
      </c>
      <c r="AU316" s="7" t="str">
        <f>'Gov Fd BS'!A316</f>
        <v xml:space="preserve">Madison Plains Local SD </v>
      </c>
      <c r="AV316" s="7" t="b">
        <f t="shared" si="42"/>
        <v>1</v>
      </c>
      <c r="AW316" s="7" t="str">
        <f t="shared" si="40"/>
        <v>Madison</v>
      </c>
      <c r="AX316" s="7" t="b">
        <f>C316='Gov Fd BS'!C316</f>
        <v>1</v>
      </c>
    </row>
    <row r="317" spans="1:50">
      <c r="A317" s="12" t="s">
        <v>630</v>
      </c>
      <c r="B317" s="12"/>
      <c r="C317" s="12" t="s">
        <v>201</v>
      </c>
      <c r="D317" s="12"/>
      <c r="E317" s="12"/>
      <c r="F317" s="24"/>
      <c r="G317" s="24">
        <v>7922760</v>
      </c>
      <c r="H317" s="24"/>
      <c r="I317" s="24">
        <v>0</v>
      </c>
      <c r="J317" s="24"/>
      <c r="K317" s="24">
        <v>7038272</v>
      </c>
      <c r="L317" s="24"/>
      <c r="M317" s="24">
        <v>57159</v>
      </c>
      <c r="N317" s="24"/>
      <c r="O317" s="24">
        <f>460380+146272+140</f>
        <v>606792</v>
      </c>
      <c r="P317" s="24"/>
      <c r="Q317" s="24">
        <v>124537</v>
      </c>
      <c r="R317" s="24"/>
      <c r="S317" s="24">
        <v>0</v>
      </c>
      <c r="T317" s="24"/>
      <c r="U317" s="24">
        <v>20314</v>
      </c>
      <c r="V317" s="24"/>
      <c r="W317" s="24">
        <v>77280</v>
      </c>
      <c r="X317" s="24"/>
      <c r="Y317" s="38">
        <f t="shared" si="43"/>
        <v>15847114</v>
      </c>
      <c r="Z317" s="24"/>
      <c r="AA317" s="24">
        <v>1746307</v>
      </c>
      <c r="AB317" s="24"/>
      <c r="AC317" s="24">
        <v>0</v>
      </c>
      <c r="AD317" s="24"/>
      <c r="AE317" s="24">
        <f>500000+175610</f>
        <v>675610</v>
      </c>
      <c r="AF317" s="24"/>
      <c r="AG317" s="24"/>
      <c r="AH317" s="24"/>
      <c r="AI317" s="24"/>
      <c r="AJ317" s="24"/>
      <c r="AK317" s="24">
        <v>8952</v>
      </c>
      <c r="AL317" s="24"/>
      <c r="AM317" s="24">
        <v>0</v>
      </c>
      <c r="AN317" s="24"/>
      <c r="AO317" s="38">
        <f t="shared" si="48"/>
        <v>2430869</v>
      </c>
      <c r="AP317" s="24"/>
      <c r="AQ317" s="38">
        <f t="shared" si="47"/>
        <v>18277983</v>
      </c>
      <c r="AR317" s="38"/>
      <c r="AS317" s="7"/>
      <c r="AT317" s="7" t="str">
        <f t="shared" si="41"/>
        <v>Manchester Local SD</v>
      </c>
      <c r="AU317" s="7" t="str">
        <f>'Gov Fd BS'!A317</f>
        <v>Manchester Local SD</v>
      </c>
      <c r="AV317" s="7" t="b">
        <f t="shared" si="42"/>
        <v>1</v>
      </c>
      <c r="AW317" s="7" t="str">
        <f t="shared" si="40"/>
        <v>Adams</v>
      </c>
      <c r="AX317" s="7" t="b">
        <f>C317='Gov Fd BS'!C317</f>
        <v>1</v>
      </c>
    </row>
    <row r="318" spans="1:50" hidden="1">
      <c r="A318" s="12" t="s">
        <v>930</v>
      </c>
      <c r="B318" s="12"/>
      <c r="C318" s="12" t="s">
        <v>63</v>
      </c>
      <c r="D318" s="12"/>
      <c r="E318" s="12"/>
      <c r="F318" s="24"/>
      <c r="G318" s="24"/>
      <c r="H318" s="24"/>
      <c r="I318" s="24">
        <v>0</v>
      </c>
      <c r="J318" s="24"/>
      <c r="K318" s="24"/>
      <c r="L318" s="24"/>
      <c r="M318" s="24"/>
      <c r="N318" s="24"/>
      <c r="O318" s="24"/>
      <c r="P318" s="24"/>
      <c r="Q318" s="24"/>
      <c r="R318" s="24"/>
      <c r="S318" s="24">
        <v>0</v>
      </c>
      <c r="T318" s="24"/>
      <c r="U318" s="24"/>
      <c r="V318" s="24"/>
      <c r="W318" s="24"/>
      <c r="X318" s="24"/>
      <c r="Y318" s="38">
        <f t="shared" ref="Y318" si="49">SUM(G318:W318)</f>
        <v>0</v>
      </c>
      <c r="Z318" s="24"/>
      <c r="AA318" s="24"/>
      <c r="AB318" s="24"/>
      <c r="AC318" s="24">
        <v>0</v>
      </c>
      <c r="AD318" s="24"/>
      <c r="AE318" s="24"/>
      <c r="AF318" s="24"/>
      <c r="AG318" s="24"/>
      <c r="AH318" s="24"/>
      <c r="AI318" s="24"/>
      <c r="AJ318" s="24"/>
      <c r="AK318" s="24"/>
      <c r="AL318" s="24"/>
      <c r="AM318" s="24">
        <v>0</v>
      </c>
      <c r="AN318" s="24"/>
      <c r="AO318" s="38">
        <f t="shared" ref="AO318" si="50">AK318+AE318+AA318</f>
        <v>0</v>
      </c>
      <c r="AP318" s="24"/>
      <c r="AQ318" s="38">
        <f t="shared" ref="AQ318" si="51">Y318+AO318</f>
        <v>0</v>
      </c>
      <c r="AR318" s="38"/>
      <c r="AS318" s="7" t="s">
        <v>931</v>
      </c>
      <c r="AT318" s="7" t="str">
        <f t="shared" ref="AT318" si="52">A318</f>
        <v>Manchester Local SD (CASH)</v>
      </c>
      <c r="AU318" s="7" t="str">
        <f>'Gov Fd BS'!A318</f>
        <v>Manchester Local SD (CASH)</v>
      </c>
      <c r="AV318" s="7" t="b">
        <f t="shared" ref="AV318" si="53">AT318=AU318</f>
        <v>1</v>
      </c>
      <c r="AW318" s="7" t="str">
        <f t="shared" ref="AW318" si="54">C318</f>
        <v>Summit</v>
      </c>
      <c r="AX318" s="7" t="b">
        <f>C318='Gov Fd BS'!C318</f>
        <v>1</v>
      </c>
    </row>
    <row r="319" spans="1:50">
      <c r="A319" s="12" t="s">
        <v>484</v>
      </c>
      <c r="B319" s="12"/>
      <c r="C319" s="12" t="s">
        <v>110</v>
      </c>
      <c r="D319" s="12"/>
      <c r="E319" s="12">
        <v>44297</v>
      </c>
      <c r="F319" s="24"/>
      <c r="G319" s="24">
        <v>17292754</v>
      </c>
      <c r="H319" s="24"/>
      <c r="I319" s="24">
        <v>0</v>
      </c>
      <c r="J319" s="24"/>
      <c r="K319" s="24">
        <f>35042525+11409982</f>
        <v>46452507</v>
      </c>
      <c r="L319" s="24"/>
      <c r="M319" s="24">
        <v>147218</v>
      </c>
      <c r="N319" s="24"/>
      <c r="O319" s="24">
        <f>671862+74852+307809+75306+10041+93718</f>
        <v>1233588</v>
      </c>
      <c r="P319" s="24"/>
      <c r="Q319" s="24">
        <v>333235</v>
      </c>
      <c r="R319" s="24"/>
      <c r="S319" s="24">
        <v>0</v>
      </c>
      <c r="T319" s="24"/>
      <c r="U319" s="24">
        <v>40236</v>
      </c>
      <c r="V319" s="24"/>
      <c r="W319" s="24">
        <v>1495342</v>
      </c>
      <c r="X319" s="24"/>
      <c r="Y319" s="38">
        <f t="shared" si="43"/>
        <v>66994880</v>
      </c>
      <c r="Z319" s="24"/>
      <c r="AA319" s="24">
        <v>15000</v>
      </c>
      <c r="AB319" s="24"/>
      <c r="AC319" s="24">
        <v>0</v>
      </c>
      <c r="AD319" s="24"/>
      <c r="AE319" s="24">
        <v>52302</v>
      </c>
      <c r="AF319" s="24"/>
      <c r="AG319" s="24"/>
      <c r="AH319" s="24"/>
      <c r="AI319" s="24"/>
      <c r="AJ319" s="24"/>
      <c r="AK319" s="24">
        <v>2969</v>
      </c>
      <c r="AL319" s="24"/>
      <c r="AM319" s="24">
        <v>0</v>
      </c>
      <c r="AN319" s="24"/>
      <c r="AO319" s="38">
        <f t="shared" si="48"/>
        <v>70271</v>
      </c>
      <c r="AP319" s="24"/>
      <c r="AQ319" s="38">
        <f t="shared" si="47"/>
        <v>67065151</v>
      </c>
      <c r="AR319" s="38"/>
      <c r="AS319" s="7"/>
      <c r="AT319" s="7" t="str">
        <f t="shared" si="41"/>
        <v>Mansfield City SD</v>
      </c>
      <c r="AU319" s="7" t="str">
        <f>'Gov Fd BS'!A319</f>
        <v>Mansfield City SD</v>
      </c>
      <c r="AV319" s="7" t="b">
        <f t="shared" si="42"/>
        <v>1</v>
      </c>
      <c r="AW319" s="7" t="str">
        <f t="shared" si="40"/>
        <v>Richland</v>
      </c>
      <c r="AX319" s="7" t="b">
        <f>C319='Gov Fd BS'!C319</f>
        <v>1</v>
      </c>
    </row>
    <row r="320" spans="1:50">
      <c r="A320" s="12" t="s">
        <v>762</v>
      </c>
      <c r="B320" s="12"/>
      <c r="C320" s="12" t="s">
        <v>20</v>
      </c>
      <c r="D320" s="12"/>
      <c r="E320" s="12">
        <v>44305</v>
      </c>
      <c r="F320" s="24"/>
      <c r="G320" s="24">
        <v>17542797</v>
      </c>
      <c r="H320" s="24"/>
      <c r="I320" s="24">
        <v>0</v>
      </c>
      <c r="J320" s="24"/>
      <c r="K320" s="24">
        <v>36199266</v>
      </c>
      <c r="L320" s="24"/>
      <c r="M320" s="24">
        <v>428168</v>
      </c>
      <c r="N320" s="24"/>
      <c r="O320" s="24">
        <f>451349+1149140</f>
        <v>1600489</v>
      </c>
      <c r="P320" s="24"/>
      <c r="Q320" s="24">
        <v>85155</v>
      </c>
      <c r="R320" s="24"/>
      <c r="S320" s="24">
        <v>0</v>
      </c>
      <c r="T320" s="24"/>
      <c r="U320" s="24">
        <v>54545</v>
      </c>
      <c r="V320" s="24"/>
      <c r="W320" s="24">
        <v>285057</v>
      </c>
      <c r="X320" s="24"/>
      <c r="Y320" s="38">
        <f t="shared" si="43"/>
        <v>56195477</v>
      </c>
      <c r="Z320" s="24"/>
      <c r="AA320" s="24">
        <v>131094</v>
      </c>
      <c r="AB320" s="24"/>
      <c r="AC320" s="24">
        <v>0</v>
      </c>
      <c r="AD320" s="24"/>
      <c r="AE320" s="24">
        <v>0</v>
      </c>
      <c r="AF320" s="24"/>
      <c r="AG320" s="24"/>
      <c r="AH320" s="24"/>
      <c r="AI320" s="24"/>
      <c r="AJ320" s="24"/>
      <c r="AK320" s="24">
        <v>0</v>
      </c>
      <c r="AL320" s="24"/>
      <c r="AM320" s="24">
        <v>0</v>
      </c>
      <c r="AN320" s="24"/>
      <c r="AO320" s="38">
        <f t="shared" si="48"/>
        <v>131094</v>
      </c>
      <c r="AP320" s="24"/>
      <c r="AQ320" s="38">
        <f t="shared" ref="AQ320:AQ352" si="55">Y320+AO320</f>
        <v>56326571</v>
      </c>
      <c r="AR320" s="38"/>
      <c r="AS320" s="7"/>
      <c r="AT320" s="7" t="str">
        <f t="shared" si="41"/>
        <v xml:space="preserve">Maple Heights City SD </v>
      </c>
      <c r="AU320" s="7" t="str">
        <f>'Gov Fd BS'!A320</f>
        <v xml:space="preserve">Maple Heights City SD </v>
      </c>
      <c r="AV320" s="7" t="b">
        <f t="shared" si="42"/>
        <v>1</v>
      </c>
      <c r="AW320" s="7" t="str">
        <f t="shared" si="40"/>
        <v>Cuyahoga</v>
      </c>
      <c r="AX320" s="7" t="b">
        <f>C320='Gov Fd BS'!C320</f>
        <v>1</v>
      </c>
    </row>
    <row r="321" spans="1:50">
      <c r="A321" s="12" t="s">
        <v>206</v>
      </c>
      <c r="B321" s="12"/>
      <c r="C321" s="12" t="s">
        <v>11</v>
      </c>
      <c r="D321" s="12"/>
      <c r="E321" s="12">
        <v>45831</v>
      </c>
      <c r="F321" s="24"/>
      <c r="G321" s="24">
        <v>2879814</v>
      </c>
      <c r="H321" s="24"/>
      <c r="I321" s="24">
        <v>0</v>
      </c>
      <c r="J321" s="24"/>
      <c r="K321" s="24">
        <f>13560+4876884+1005819</f>
        <v>5896263</v>
      </c>
      <c r="L321" s="24"/>
      <c r="M321" s="24">
        <v>4268</v>
      </c>
      <c r="N321" s="24"/>
      <c r="O321" s="24">
        <f>605556+16641+162722+32036</f>
        <v>816955</v>
      </c>
      <c r="P321" s="24"/>
      <c r="Q321" s="24">
        <v>139333</v>
      </c>
      <c r="R321" s="24"/>
      <c r="S321" s="24">
        <v>0</v>
      </c>
      <c r="T321" s="24"/>
      <c r="U321" s="24">
        <v>44490</v>
      </c>
      <c r="V321" s="24"/>
      <c r="W321" s="24">
        <v>10716</v>
      </c>
      <c r="X321" s="24"/>
      <c r="Y321" s="38">
        <f t="shared" si="43"/>
        <v>9791839</v>
      </c>
      <c r="Z321" s="24"/>
      <c r="AA321" s="24">
        <v>0</v>
      </c>
      <c r="AB321" s="24"/>
      <c r="AC321" s="24">
        <v>0</v>
      </c>
      <c r="AD321" s="24"/>
      <c r="AE321" s="24">
        <f>141766+1484997</f>
        <v>1626763</v>
      </c>
      <c r="AF321" s="24"/>
      <c r="AG321" s="24"/>
      <c r="AH321" s="24"/>
      <c r="AI321" s="24"/>
      <c r="AJ321" s="24"/>
      <c r="AK321" s="24">
        <v>0</v>
      </c>
      <c r="AL321" s="24"/>
      <c r="AM321" s="24">
        <v>0</v>
      </c>
      <c r="AN321" s="24"/>
      <c r="AO321" s="38">
        <f t="shared" si="48"/>
        <v>1626763</v>
      </c>
      <c r="AP321" s="24"/>
      <c r="AQ321" s="38">
        <f t="shared" si="55"/>
        <v>11418602</v>
      </c>
      <c r="AR321" s="38"/>
      <c r="AS321" s="7"/>
      <c r="AT321" s="7" t="str">
        <f t="shared" si="41"/>
        <v>Mapleton Local SD</v>
      </c>
      <c r="AU321" s="7" t="str">
        <f>'Gov Fd BS'!A321</f>
        <v>Mapleton Local SD</v>
      </c>
      <c r="AV321" s="7" t="b">
        <f t="shared" si="42"/>
        <v>1</v>
      </c>
      <c r="AW321" s="7" t="str">
        <f t="shared" si="40"/>
        <v>Ashland</v>
      </c>
      <c r="AX321" s="7" t="b">
        <f>C321='Gov Fd BS'!C321</f>
        <v>1</v>
      </c>
    </row>
    <row r="322" spans="1:50">
      <c r="A322" s="12" t="s">
        <v>544</v>
      </c>
      <c r="B322" s="12"/>
      <c r="C322" s="12" t="s">
        <v>64</v>
      </c>
      <c r="D322" s="12"/>
      <c r="E322" s="12">
        <v>50211</v>
      </c>
      <c r="F322" s="24"/>
      <c r="G322" s="24">
        <v>2662208</v>
      </c>
      <c r="H322" s="24"/>
      <c r="I322" s="24">
        <v>0</v>
      </c>
      <c r="J322" s="24"/>
      <c r="K322" s="24">
        <v>7242877</v>
      </c>
      <c r="L322" s="24"/>
      <c r="M322" s="24">
        <v>17306</v>
      </c>
      <c r="N322" s="24"/>
      <c r="O322" s="24">
        <f>367683+148951</f>
        <v>516634</v>
      </c>
      <c r="P322" s="24"/>
      <c r="Q322" s="24">
        <v>72611</v>
      </c>
      <c r="R322" s="24"/>
      <c r="S322" s="24">
        <v>0</v>
      </c>
      <c r="T322" s="24"/>
      <c r="U322" s="7">
        <v>138881</v>
      </c>
      <c r="V322" s="24"/>
      <c r="W322" s="24">
        <v>52710</v>
      </c>
      <c r="X322" s="24"/>
      <c r="Y322" s="38">
        <f>SUM(G322:W322)</f>
        <v>10703227</v>
      </c>
      <c r="Z322" s="24"/>
      <c r="AA322" s="24">
        <v>9968</v>
      </c>
      <c r="AB322" s="24"/>
      <c r="AC322" s="24">
        <v>0</v>
      </c>
      <c r="AD322" s="24"/>
      <c r="AE322" s="24">
        <v>0</v>
      </c>
      <c r="AF322" s="24"/>
      <c r="AG322" s="24"/>
      <c r="AH322" s="24"/>
      <c r="AI322" s="24"/>
      <c r="AJ322" s="24"/>
      <c r="AK322" s="24">
        <v>0</v>
      </c>
      <c r="AL322" s="24"/>
      <c r="AM322" s="24">
        <v>0</v>
      </c>
      <c r="AN322" s="24"/>
      <c r="AO322" s="38">
        <f t="shared" si="48"/>
        <v>9968</v>
      </c>
      <c r="AP322" s="24"/>
      <c r="AQ322" s="38">
        <f t="shared" si="55"/>
        <v>10713195</v>
      </c>
      <c r="AR322" s="38"/>
      <c r="AS322" s="7"/>
      <c r="AT322" s="7" t="str">
        <f t="shared" si="41"/>
        <v>Maplewood Local SD</v>
      </c>
      <c r="AU322" s="7" t="str">
        <f>'Gov Fd BS'!A322</f>
        <v>Maplewood Local SD</v>
      </c>
      <c r="AV322" s="7" t="b">
        <f t="shared" si="42"/>
        <v>1</v>
      </c>
      <c r="AW322" s="7" t="str">
        <f t="shared" si="40"/>
        <v>Trumbull</v>
      </c>
      <c r="AX322" s="7" t="b">
        <f>C322='Gov Fd BS'!C322</f>
        <v>1</v>
      </c>
    </row>
    <row r="323" spans="1:50">
      <c r="A323" s="12" t="s">
        <v>294</v>
      </c>
      <c r="B323" s="12"/>
      <c r="C323" s="12" t="s">
        <v>24</v>
      </c>
      <c r="D323" s="12"/>
      <c r="E323" s="12">
        <v>46805</v>
      </c>
      <c r="F323" s="24"/>
      <c r="G323" s="24">
        <v>5522037</v>
      </c>
      <c r="H323" s="24"/>
      <c r="I323" s="24">
        <v>0</v>
      </c>
      <c r="J323" s="24"/>
      <c r="K323" s="24">
        <f>6564666+1197843</f>
        <v>7762509</v>
      </c>
      <c r="L323" s="24"/>
      <c r="M323" s="24">
        <v>944</v>
      </c>
      <c r="N323" s="24"/>
      <c r="O323" s="24">
        <f>509324+325985+45717+42520+22118</f>
        <v>945664</v>
      </c>
      <c r="P323" s="24"/>
      <c r="Q323" s="24">
        <v>325088</v>
      </c>
      <c r="R323" s="24"/>
      <c r="S323" s="24">
        <v>0</v>
      </c>
      <c r="T323" s="24"/>
      <c r="U323" s="24">
        <v>0</v>
      </c>
      <c r="V323" s="24"/>
      <c r="W323" s="24">
        <v>27969</v>
      </c>
      <c r="X323" s="24"/>
      <c r="Y323" s="38">
        <f t="shared" si="43"/>
        <v>14584211</v>
      </c>
      <c r="Z323" s="24"/>
      <c r="AA323" s="24">
        <v>172584</v>
      </c>
      <c r="AB323" s="24"/>
      <c r="AC323" s="24">
        <v>0</v>
      </c>
      <c r="AD323" s="24"/>
      <c r="AE323" s="24">
        <v>0</v>
      </c>
      <c r="AF323" s="24"/>
      <c r="AG323" s="24"/>
      <c r="AH323" s="24"/>
      <c r="AI323" s="24"/>
      <c r="AJ323" s="24"/>
      <c r="AK323" s="24">
        <v>0</v>
      </c>
      <c r="AL323" s="24"/>
      <c r="AM323" s="24">
        <v>0</v>
      </c>
      <c r="AN323" s="24"/>
      <c r="AO323" s="38">
        <f t="shared" si="48"/>
        <v>172584</v>
      </c>
      <c r="AP323" s="24"/>
      <c r="AQ323" s="38">
        <f t="shared" si="55"/>
        <v>14756795</v>
      </c>
      <c r="AR323" s="38"/>
      <c r="AS323" s="7"/>
      <c r="AT323" s="7" t="str">
        <f t="shared" si="41"/>
        <v>Margaretta Local SD</v>
      </c>
      <c r="AU323" s="7" t="str">
        <f>'Gov Fd BS'!A323</f>
        <v>Margaretta Local SD</v>
      </c>
      <c r="AV323" s="7" t="b">
        <f t="shared" si="42"/>
        <v>1</v>
      </c>
      <c r="AW323" s="7" t="str">
        <f t="shared" si="40"/>
        <v>Erie</v>
      </c>
      <c r="AX323" s="7" t="b">
        <f>C323='Gov Fd BS'!C323</f>
        <v>1</v>
      </c>
    </row>
    <row r="324" spans="1:50">
      <c r="A324" s="12" t="s">
        <v>334</v>
      </c>
      <c r="B324" s="12"/>
      <c r="C324" s="12" t="s">
        <v>32</v>
      </c>
      <c r="D324" s="12"/>
      <c r="E324" s="12">
        <v>44313</v>
      </c>
      <c r="F324" s="24"/>
      <c r="G324" s="24">
        <v>17001019</v>
      </c>
      <c r="H324" s="24"/>
      <c r="I324" s="24">
        <v>0</v>
      </c>
      <c r="J324" s="24"/>
      <c r="K324" s="24">
        <v>7547580</v>
      </c>
      <c r="L324" s="24"/>
      <c r="M324" s="24">
        <v>166982</v>
      </c>
      <c r="N324" s="24"/>
      <c r="O324" s="24">
        <f>308921+135973</f>
        <v>444894</v>
      </c>
      <c r="P324" s="24"/>
      <c r="Q324" s="24">
        <v>299261</v>
      </c>
      <c r="R324" s="24"/>
      <c r="S324" s="24">
        <v>0</v>
      </c>
      <c r="T324" s="24"/>
      <c r="U324" s="24">
        <v>0</v>
      </c>
      <c r="V324" s="24"/>
      <c r="W324" s="24">
        <v>119872</v>
      </c>
      <c r="X324" s="24"/>
      <c r="Y324" s="38">
        <f t="shared" si="43"/>
        <v>25579608</v>
      </c>
      <c r="Z324" s="24"/>
      <c r="AA324" s="24">
        <v>398000</v>
      </c>
      <c r="AB324" s="24"/>
      <c r="AC324" s="24">
        <v>0</v>
      </c>
      <c r="AD324" s="24"/>
      <c r="AE324" s="24">
        <f>39800000+706117</f>
        <v>40506117</v>
      </c>
      <c r="AF324" s="24"/>
      <c r="AG324" s="24"/>
      <c r="AH324" s="24"/>
      <c r="AI324" s="24"/>
      <c r="AJ324" s="24"/>
      <c r="AK324" s="24">
        <v>0</v>
      </c>
      <c r="AL324" s="24"/>
      <c r="AM324" s="24">
        <v>0</v>
      </c>
      <c r="AN324" s="24"/>
      <c r="AO324" s="38">
        <f t="shared" si="48"/>
        <v>40904117</v>
      </c>
      <c r="AP324" s="24"/>
      <c r="AQ324" s="38">
        <f t="shared" si="55"/>
        <v>66483725</v>
      </c>
      <c r="AR324" s="38"/>
      <c r="AS324" s="7" t="s">
        <v>914</v>
      </c>
      <c r="AT324" s="7" t="str">
        <f t="shared" si="41"/>
        <v>Mariemont City SD</v>
      </c>
      <c r="AU324" s="7" t="str">
        <f>'Gov Fd BS'!A324</f>
        <v>Mariemont City SD</v>
      </c>
      <c r="AV324" s="7" t="b">
        <f t="shared" si="42"/>
        <v>1</v>
      </c>
      <c r="AW324" s="7" t="str">
        <f t="shared" si="40"/>
        <v>Hamilton</v>
      </c>
      <c r="AX324" s="7" t="b">
        <f>C324='Gov Fd BS'!C324</f>
        <v>1</v>
      </c>
    </row>
    <row r="325" spans="1:50" hidden="1">
      <c r="A325" s="12" t="s">
        <v>638</v>
      </c>
      <c r="B325" s="12"/>
      <c r="C325" s="12" t="s">
        <v>70</v>
      </c>
      <c r="D325" s="12"/>
      <c r="E325" s="12">
        <v>44321</v>
      </c>
      <c r="F325" s="24"/>
      <c r="G325" s="24"/>
      <c r="H325" s="24"/>
      <c r="I325" s="24">
        <v>0</v>
      </c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38">
        <f t="shared" si="43"/>
        <v>0</v>
      </c>
      <c r="Z325" s="24"/>
      <c r="AA325" s="24"/>
      <c r="AB325" s="24"/>
      <c r="AC325" s="24">
        <v>0</v>
      </c>
      <c r="AD325" s="24"/>
      <c r="AE325" s="24"/>
      <c r="AF325" s="24"/>
      <c r="AG325" s="24"/>
      <c r="AH325" s="24"/>
      <c r="AI325" s="24"/>
      <c r="AJ325" s="24"/>
      <c r="AK325" s="24"/>
      <c r="AL325" s="24"/>
      <c r="AM325" s="24">
        <v>0</v>
      </c>
      <c r="AN325" s="24"/>
      <c r="AO325" s="38">
        <f t="shared" si="48"/>
        <v>0</v>
      </c>
      <c r="AP325" s="24"/>
      <c r="AQ325" s="38">
        <f t="shared" si="55"/>
        <v>0</v>
      </c>
      <c r="AR325" s="38"/>
      <c r="AS325" s="7" t="s">
        <v>839</v>
      </c>
      <c r="AT325" s="7" t="str">
        <f t="shared" si="41"/>
        <v>Marietta City SD (CASH)</v>
      </c>
      <c r="AU325" s="7" t="str">
        <f>'Gov Fd BS'!A325</f>
        <v>Marietta City SD (CASH)</v>
      </c>
      <c r="AV325" s="7" t="b">
        <f t="shared" si="42"/>
        <v>1</v>
      </c>
      <c r="AW325" s="7" t="str">
        <f t="shared" si="40"/>
        <v>Washington</v>
      </c>
      <c r="AX325" s="7" t="b">
        <f>C325='Gov Fd BS'!C325</f>
        <v>1</v>
      </c>
    </row>
    <row r="326" spans="1:50">
      <c r="A326" s="12" t="s">
        <v>423</v>
      </c>
      <c r="B326" s="12"/>
      <c r="C326" s="12" t="s">
        <v>46</v>
      </c>
      <c r="D326" s="12"/>
      <c r="E326" s="12">
        <v>44339</v>
      </c>
      <c r="F326" s="24"/>
      <c r="G326" s="24">
        <v>8787601</v>
      </c>
      <c r="H326" s="24"/>
      <c r="I326" s="24">
        <v>0</v>
      </c>
      <c r="J326" s="24"/>
      <c r="K326" s="24">
        <v>41951888</v>
      </c>
      <c r="L326" s="24"/>
      <c r="M326" s="24">
        <v>111827</v>
      </c>
      <c r="N326" s="24"/>
      <c r="O326" s="24">
        <f>1746095+917196</f>
        <v>2663291</v>
      </c>
      <c r="P326" s="24"/>
      <c r="Q326" s="24">
        <v>158058</v>
      </c>
      <c r="R326" s="24"/>
      <c r="S326" s="24">
        <v>93519</v>
      </c>
      <c r="T326" s="24"/>
      <c r="U326" s="24">
        <v>8447</v>
      </c>
      <c r="V326" s="24"/>
      <c r="W326" s="24">
        <v>396879</v>
      </c>
      <c r="X326" s="24"/>
      <c r="Y326" s="38">
        <f t="shared" si="43"/>
        <v>54171510</v>
      </c>
      <c r="Z326" s="24"/>
      <c r="AA326" s="24">
        <v>65000</v>
      </c>
      <c r="AB326" s="24"/>
      <c r="AC326" s="24">
        <v>0</v>
      </c>
      <c r="AD326" s="24"/>
      <c r="AE326" s="24">
        <v>0</v>
      </c>
      <c r="AF326" s="24"/>
      <c r="AG326" s="24"/>
      <c r="AH326" s="24"/>
      <c r="AI326" s="24"/>
      <c r="AJ326" s="24"/>
      <c r="AK326" s="24">
        <v>0</v>
      </c>
      <c r="AL326" s="24"/>
      <c r="AM326" s="24">
        <v>0</v>
      </c>
      <c r="AN326" s="24"/>
      <c r="AO326" s="38">
        <f t="shared" si="48"/>
        <v>65000</v>
      </c>
      <c r="AP326" s="24"/>
      <c r="AQ326" s="38">
        <f t="shared" si="55"/>
        <v>54236510</v>
      </c>
      <c r="AR326" s="38"/>
      <c r="AS326" s="7"/>
      <c r="AT326" s="7" t="str">
        <f t="shared" si="41"/>
        <v>Marion City SD</v>
      </c>
      <c r="AU326" s="7" t="str">
        <f>'Gov Fd BS'!A326</f>
        <v>Marion City SD</v>
      </c>
      <c r="AV326" s="7" t="b">
        <f t="shared" si="42"/>
        <v>1</v>
      </c>
      <c r="AW326" s="7" t="str">
        <f t="shared" si="40"/>
        <v>Marion</v>
      </c>
      <c r="AX326" s="7" t="b">
        <f>C326='Gov Fd BS'!C326</f>
        <v>1</v>
      </c>
    </row>
    <row r="327" spans="1:50" ht="11.25" hidden="1" customHeight="1">
      <c r="A327" s="12" t="s">
        <v>721</v>
      </c>
      <c r="B327" s="12"/>
      <c r="C327" s="12" t="s">
        <v>435</v>
      </c>
      <c r="D327" s="12"/>
      <c r="E327" s="12"/>
      <c r="F327" s="24"/>
      <c r="G327" s="24"/>
      <c r="H327" s="24"/>
      <c r="I327" s="24">
        <v>0</v>
      </c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38">
        <f t="shared" si="43"/>
        <v>0</v>
      </c>
      <c r="Z327" s="24"/>
      <c r="AA327" s="24"/>
      <c r="AB327" s="24"/>
      <c r="AC327" s="24">
        <v>0</v>
      </c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38"/>
      <c r="AP327" s="24"/>
      <c r="AQ327" s="38">
        <f t="shared" si="55"/>
        <v>0</v>
      </c>
      <c r="AR327" s="38"/>
      <c r="AS327" s="7" t="s">
        <v>839</v>
      </c>
      <c r="AT327" s="7" t="str">
        <f t="shared" si="41"/>
        <v>Marion Local SD (CASH)</v>
      </c>
      <c r="AU327" s="7" t="str">
        <f>'Gov Fd BS'!A327</f>
        <v>Marion Local SD (CASH)</v>
      </c>
      <c r="AV327" s="7" t="b">
        <f t="shared" si="42"/>
        <v>1</v>
      </c>
      <c r="AW327" s="7" t="str">
        <f t="shared" si="40"/>
        <v>Mercer</v>
      </c>
      <c r="AX327" s="7" t="b">
        <f>C327='Gov Fd BS'!C327</f>
        <v>1</v>
      </c>
    </row>
    <row r="328" spans="1:50">
      <c r="A328" s="12" t="s">
        <v>515</v>
      </c>
      <c r="B328" s="12"/>
      <c r="C328" s="12" t="s">
        <v>62</v>
      </c>
      <c r="D328" s="12"/>
      <c r="E328" s="12">
        <v>49882</v>
      </c>
      <c r="F328" s="24"/>
      <c r="G328" s="24">
        <v>9239261</v>
      </c>
      <c r="H328" s="24"/>
      <c r="I328" s="24">
        <v>0</v>
      </c>
      <c r="J328" s="24"/>
      <c r="K328" s="24">
        <f>20660+11951285+3144587</f>
        <v>15116532</v>
      </c>
      <c r="L328" s="24"/>
      <c r="M328" s="24">
        <v>39119</v>
      </c>
      <c r="N328" s="24"/>
      <c r="O328" s="24">
        <f>613060+503591+121043+19150</f>
        <v>1256844</v>
      </c>
      <c r="P328" s="24"/>
      <c r="Q328" s="24">
        <v>518767</v>
      </c>
      <c r="R328" s="24"/>
      <c r="S328" s="24">
        <v>0</v>
      </c>
      <c r="T328" s="24"/>
      <c r="U328" s="24">
        <v>66268</v>
      </c>
      <c r="V328" s="24"/>
      <c r="W328" s="24">
        <v>113026</v>
      </c>
      <c r="X328" s="24"/>
      <c r="Y328" s="38">
        <f t="shared" si="43"/>
        <v>26349817</v>
      </c>
      <c r="Z328" s="24"/>
      <c r="AA328" s="24">
        <v>991</v>
      </c>
      <c r="AB328" s="24"/>
      <c r="AC328" s="24">
        <v>0</v>
      </c>
      <c r="AD328" s="24"/>
      <c r="AE328" s="24">
        <v>0</v>
      </c>
      <c r="AF328" s="24"/>
      <c r="AG328" s="24"/>
      <c r="AH328" s="24"/>
      <c r="AI328" s="24"/>
      <c r="AJ328" s="24"/>
      <c r="AK328" s="24">
        <f>4088+75687</f>
        <v>79775</v>
      </c>
      <c r="AL328" s="24"/>
      <c r="AM328" s="24">
        <v>0</v>
      </c>
      <c r="AN328" s="24"/>
      <c r="AO328" s="38">
        <f t="shared" ref="AO328:AO366" si="56">AK328+AE328+AA328</f>
        <v>80766</v>
      </c>
      <c r="AP328" s="24"/>
      <c r="AQ328" s="38">
        <f t="shared" si="55"/>
        <v>26430583</v>
      </c>
      <c r="AR328" s="38"/>
      <c r="AS328" s="7"/>
      <c r="AT328" s="7" t="str">
        <f t="shared" si="41"/>
        <v>Marlington Local SD</v>
      </c>
      <c r="AU328" s="7" t="str">
        <f>'Gov Fd BS'!A328</f>
        <v>Marlington Local SD</v>
      </c>
      <c r="AV328" s="7" t="b">
        <f t="shared" si="42"/>
        <v>1</v>
      </c>
      <c r="AW328" s="7" t="str">
        <f t="shared" si="40"/>
        <v>Stark</v>
      </c>
      <c r="AX328" s="7" t="b">
        <f>C328='Gov Fd BS'!C328</f>
        <v>1</v>
      </c>
    </row>
    <row r="329" spans="1:50">
      <c r="A329" s="12" t="s">
        <v>217</v>
      </c>
      <c r="B329" s="12"/>
      <c r="C329" s="12" t="s">
        <v>15</v>
      </c>
      <c r="D329" s="12"/>
      <c r="E329" s="12">
        <v>44347</v>
      </c>
      <c r="F329" s="24"/>
      <c r="G329" s="24">
        <v>2842505</v>
      </c>
      <c r="H329" s="24"/>
      <c r="I329" s="24">
        <v>0</v>
      </c>
      <c r="J329" s="24"/>
      <c r="K329" s="24">
        <v>11335554</v>
      </c>
      <c r="L329" s="24"/>
      <c r="M329" s="24">
        <v>756</v>
      </c>
      <c r="N329" s="24"/>
      <c r="O329" s="24">
        <f>976295+273204</f>
        <v>1249499</v>
      </c>
      <c r="P329" s="24"/>
      <c r="Q329" s="24">
        <v>98739</v>
      </c>
      <c r="R329" s="24"/>
      <c r="S329" s="24">
        <v>0</v>
      </c>
      <c r="T329" s="24"/>
      <c r="U329" s="24">
        <v>5729</v>
      </c>
      <c r="V329" s="24"/>
      <c r="W329" s="24">
        <v>12847</v>
      </c>
      <c r="X329" s="24"/>
      <c r="Y329" s="38">
        <f t="shared" si="43"/>
        <v>15545629</v>
      </c>
      <c r="Z329" s="24"/>
      <c r="AA329" s="24">
        <v>1858</v>
      </c>
      <c r="AB329" s="24"/>
      <c r="AC329" s="24">
        <v>0</v>
      </c>
      <c r="AD329" s="24"/>
      <c r="AE329" s="24">
        <v>0</v>
      </c>
      <c r="AF329" s="24"/>
      <c r="AG329" s="24"/>
      <c r="AH329" s="24"/>
      <c r="AI329" s="24"/>
      <c r="AJ329" s="24"/>
      <c r="AK329" s="24">
        <v>0</v>
      </c>
      <c r="AL329" s="24"/>
      <c r="AM329" s="24">
        <v>0</v>
      </c>
      <c r="AN329" s="24"/>
      <c r="AO329" s="38">
        <f t="shared" si="56"/>
        <v>1858</v>
      </c>
      <c r="AP329" s="24"/>
      <c r="AQ329" s="38">
        <f t="shared" si="55"/>
        <v>15547487</v>
      </c>
      <c r="AR329" s="38"/>
      <c r="AS329" s="7"/>
      <c r="AT329" s="7" t="str">
        <f t="shared" si="41"/>
        <v>Martins Ferry City SD</v>
      </c>
      <c r="AU329" s="7" t="str">
        <f>'Gov Fd BS'!A329</f>
        <v>Martins Ferry City SD</v>
      </c>
      <c r="AV329" s="7" t="b">
        <f t="shared" si="42"/>
        <v>1</v>
      </c>
      <c r="AW329" s="7" t="str">
        <f t="shared" si="40"/>
        <v>Belmont</v>
      </c>
      <c r="AX329" s="7" t="b">
        <f>C329='Gov Fd BS'!C329</f>
        <v>1</v>
      </c>
    </row>
    <row r="330" spans="1:50">
      <c r="A330" s="12" t="s">
        <v>876</v>
      </c>
      <c r="B330" s="12"/>
      <c r="C330" s="12" t="s">
        <v>66</v>
      </c>
      <c r="D330" s="12"/>
      <c r="E330" s="12">
        <v>45476</v>
      </c>
      <c r="F330" s="24"/>
      <c r="G330" s="24">
        <v>24127430</v>
      </c>
      <c r="H330" s="24"/>
      <c r="I330" s="24">
        <v>0</v>
      </c>
      <c r="J330" s="24"/>
      <c r="K330" s="24">
        <f>26841885+4282712</f>
        <v>31124597</v>
      </c>
      <c r="L330" s="24"/>
      <c r="M330" s="24">
        <v>41540</v>
      </c>
      <c r="N330" s="24"/>
      <c r="O330" s="24">
        <f>345687+24285+1333512+259521+132263</f>
        <v>2095268</v>
      </c>
      <c r="P330" s="24"/>
      <c r="Q330" s="24">
        <v>592325</v>
      </c>
      <c r="R330" s="24"/>
      <c r="S330" s="24">
        <v>1289749</v>
      </c>
      <c r="T330" s="24"/>
      <c r="U330" s="24">
        <v>87532</v>
      </c>
      <c r="V330" s="24"/>
      <c r="W330" s="24">
        <v>231792</v>
      </c>
      <c r="X330" s="24"/>
      <c r="Y330" s="38">
        <f t="shared" si="43"/>
        <v>59590233</v>
      </c>
      <c r="Z330" s="24"/>
      <c r="AA330" s="24">
        <v>2831090</v>
      </c>
      <c r="AB330" s="24"/>
      <c r="AC330" s="24">
        <v>0</v>
      </c>
      <c r="AD330" s="24"/>
      <c r="AE330" s="24">
        <v>0</v>
      </c>
      <c r="AF330" s="24"/>
      <c r="AG330" s="24"/>
      <c r="AH330" s="24"/>
      <c r="AI330" s="24"/>
      <c r="AJ330" s="24"/>
      <c r="AK330" s="24">
        <v>49775</v>
      </c>
      <c r="AL330" s="24"/>
      <c r="AM330" s="24">
        <v>0</v>
      </c>
      <c r="AN330" s="24"/>
      <c r="AO330" s="38">
        <f t="shared" si="56"/>
        <v>2880865</v>
      </c>
      <c r="AP330" s="24"/>
      <c r="AQ330" s="38">
        <f t="shared" si="55"/>
        <v>62471098</v>
      </c>
      <c r="AR330" s="38"/>
      <c r="AS330" s="7"/>
      <c r="AT330" s="7" t="str">
        <f t="shared" si="41"/>
        <v>Marysville Exempted Village SD</v>
      </c>
      <c r="AU330" s="7" t="str">
        <f>'Gov Fd BS'!A330</f>
        <v>Marysville Exempted Village SD</v>
      </c>
      <c r="AV330" s="7" t="b">
        <f t="shared" si="42"/>
        <v>1</v>
      </c>
      <c r="AW330" s="7" t="str">
        <f t="shared" si="40"/>
        <v>Union</v>
      </c>
      <c r="AX330" s="7" t="b">
        <f>C330='Gov Fd BS'!C330</f>
        <v>1</v>
      </c>
    </row>
    <row r="331" spans="1:50">
      <c r="A331" s="12" t="s">
        <v>563</v>
      </c>
      <c r="B331" s="12"/>
      <c r="C331" s="12" t="s">
        <v>69</v>
      </c>
      <c r="D331" s="12"/>
      <c r="E331" s="12">
        <v>50450</v>
      </c>
      <c r="F331" s="24"/>
      <c r="G331" s="24">
        <v>63731625</v>
      </c>
      <c r="H331" s="24"/>
      <c r="I331" s="24">
        <v>0</v>
      </c>
      <c r="J331" s="24"/>
      <c r="K331" s="24">
        <v>52069359</v>
      </c>
      <c r="L331" s="24"/>
      <c r="M331" s="24">
        <v>199756</v>
      </c>
      <c r="N331" s="24"/>
      <c r="O331" s="24">
        <f>2329960+6669397</f>
        <v>8999357</v>
      </c>
      <c r="P331" s="24"/>
      <c r="Q331" s="24">
        <v>1439532</v>
      </c>
      <c r="R331" s="24"/>
      <c r="S331" s="24">
        <v>2239232</v>
      </c>
      <c r="T331" s="24"/>
      <c r="U331" s="24">
        <v>0</v>
      </c>
      <c r="V331" s="24"/>
      <c r="W331" s="24">
        <v>454073</v>
      </c>
      <c r="X331" s="24"/>
      <c r="Y331" s="38">
        <f t="shared" si="43"/>
        <v>129132934</v>
      </c>
      <c r="Z331" s="24"/>
      <c r="AA331" s="24">
        <v>18036569</v>
      </c>
      <c r="AB331" s="24"/>
      <c r="AC331" s="24">
        <v>0</v>
      </c>
      <c r="AD331" s="24"/>
      <c r="AE331" s="24">
        <v>0</v>
      </c>
      <c r="AF331" s="24"/>
      <c r="AG331" s="24"/>
      <c r="AH331" s="24"/>
      <c r="AI331" s="24"/>
      <c r="AJ331" s="24"/>
      <c r="AK331" s="24">
        <v>15221</v>
      </c>
      <c r="AL331" s="24"/>
      <c r="AM331" s="24">
        <v>0</v>
      </c>
      <c r="AN331" s="24"/>
      <c r="AO331" s="38">
        <f t="shared" si="56"/>
        <v>18051790</v>
      </c>
      <c r="AP331" s="24"/>
      <c r="AQ331" s="38">
        <f t="shared" si="55"/>
        <v>147184724</v>
      </c>
      <c r="AR331" s="38"/>
      <c r="AS331" s="7"/>
      <c r="AT331" s="7" t="str">
        <f t="shared" si="41"/>
        <v>Mason City SD</v>
      </c>
      <c r="AU331" s="7" t="str">
        <f>'Gov Fd BS'!A331</f>
        <v>Mason City SD</v>
      </c>
      <c r="AV331" s="7" t="b">
        <f t="shared" si="42"/>
        <v>1</v>
      </c>
      <c r="AW331" s="7" t="str">
        <f t="shared" si="40"/>
        <v>Warren</v>
      </c>
      <c r="AX331" s="7" t="b">
        <f>C331='Gov Fd BS'!C331</f>
        <v>1</v>
      </c>
    </row>
    <row r="332" spans="1:50">
      <c r="A332" s="12" t="s">
        <v>516</v>
      </c>
      <c r="B332" s="12"/>
      <c r="C332" s="12" t="s">
        <v>62</v>
      </c>
      <c r="D332" s="12"/>
      <c r="E332" s="12">
        <v>44354</v>
      </c>
      <c r="F332" s="24"/>
      <c r="G332" s="24">
        <v>15975303</v>
      </c>
      <c r="H332" s="24"/>
      <c r="I332" s="24">
        <v>21546</v>
      </c>
      <c r="J332" s="24"/>
      <c r="K332" s="24">
        <v>31951680</v>
      </c>
      <c r="L332" s="24"/>
      <c r="M332" s="24">
        <v>64096</v>
      </c>
      <c r="N332" s="24"/>
      <c r="O332" s="24">
        <f>1730817+43578+798266</f>
        <v>2572661</v>
      </c>
      <c r="P332" s="24"/>
      <c r="Q332" s="24">
        <v>626863</v>
      </c>
      <c r="R332" s="24"/>
      <c r="S332" s="24">
        <v>0</v>
      </c>
      <c r="T332" s="24"/>
      <c r="U332" s="24">
        <v>95719</v>
      </c>
      <c r="V332" s="24"/>
      <c r="W332" s="24">
        <v>127453</v>
      </c>
      <c r="X332" s="24"/>
      <c r="Y332" s="38">
        <f t="shared" si="43"/>
        <v>51435321</v>
      </c>
      <c r="Z332" s="24"/>
      <c r="AA332" s="24">
        <v>2981</v>
      </c>
      <c r="AB332" s="24"/>
      <c r="AC332" s="24">
        <v>0</v>
      </c>
      <c r="AD332" s="24"/>
      <c r="AE332" s="24">
        <f>2425000+8835</f>
        <v>2433835</v>
      </c>
      <c r="AF332" s="24"/>
      <c r="AG332" s="24"/>
      <c r="AH332" s="24"/>
      <c r="AI332" s="24"/>
      <c r="AJ332" s="24"/>
      <c r="AK332" s="24">
        <v>6756</v>
      </c>
      <c r="AL332" s="24"/>
      <c r="AM332" s="24">
        <v>0</v>
      </c>
      <c r="AN332" s="24"/>
      <c r="AO332" s="38">
        <f t="shared" si="56"/>
        <v>2443572</v>
      </c>
      <c r="AP332" s="24"/>
      <c r="AQ332" s="38">
        <f t="shared" si="55"/>
        <v>53878893</v>
      </c>
      <c r="AR332" s="38"/>
      <c r="AS332" s="7"/>
      <c r="AT332" s="7" t="str">
        <f t="shared" si="41"/>
        <v>Massillon City SD</v>
      </c>
      <c r="AU332" s="7" t="str">
        <f>'Gov Fd BS'!A332</f>
        <v>Massillon City SD</v>
      </c>
      <c r="AV332" s="7" t="b">
        <f t="shared" si="42"/>
        <v>1</v>
      </c>
      <c r="AW332" s="7" t="str">
        <f t="shared" si="40"/>
        <v>Stark</v>
      </c>
      <c r="AX332" s="7" t="b">
        <f>C332='Gov Fd BS'!C332</f>
        <v>1</v>
      </c>
    </row>
    <row r="333" spans="1:50" ht="11.25" customHeight="1">
      <c r="A333" s="12" t="s">
        <v>545</v>
      </c>
      <c r="B333" s="12"/>
      <c r="C333" s="12" t="s">
        <v>64</v>
      </c>
      <c r="D333" s="12"/>
      <c r="E333" s="12">
        <v>50153</v>
      </c>
      <c r="F333" s="24"/>
      <c r="G333" s="24">
        <v>4281733</v>
      </c>
      <c r="H333" s="24"/>
      <c r="I333" s="24">
        <v>0</v>
      </c>
      <c r="J333" s="24"/>
      <c r="K333" s="24">
        <f>8789+3712078+805811</f>
        <v>4526678</v>
      </c>
      <c r="L333" s="24"/>
      <c r="M333" s="24">
        <v>9411</v>
      </c>
      <c r="N333" s="24"/>
      <c r="O333" s="24">
        <f>477975+2848+171459+21867</f>
        <v>674149</v>
      </c>
      <c r="P333" s="24"/>
      <c r="Q333" s="24">
        <v>79241</v>
      </c>
      <c r="R333" s="24"/>
      <c r="S333" s="24">
        <v>0</v>
      </c>
      <c r="T333" s="24"/>
      <c r="U333" s="24">
        <v>0</v>
      </c>
      <c r="V333" s="24"/>
      <c r="W333" s="24">
        <v>42851</v>
      </c>
      <c r="X333" s="24"/>
      <c r="Y333" s="38">
        <f t="shared" si="43"/>
        <v>9614063</v>
      </c>
      <c r="Z333" s="24"/>
      <c r="AA333" s="24">
        <v>162533</v>
      </c>
      <c r="AB333" s="24"/>
      <c r="AC333" s="24">
        <v>0</v>
      </c>
      <c r="AD333" s="24"/>
      <c r="AE333" s="24">
        <v>0</v>
      </c>
      <c r="AF333" s="24"/>
      <c r="AG333" s="24"/>
      <c r="AH333" s="24"/>
      <c r="AI333" s="24"/>
      <c r="AJ333" s="24"/>
      <c r="AK333" s="24">
        <v>17877</v>
      </c>
      <c r="AL333" s="24"/>
      <c r="AM333" s="24">
        <v>0</v>
      </c>
      <c r="AN333" s="24"/>
      <c r="AO333" s="38">
        <f t="shared" si="56"/>
        <v>180410</v>
      </c>
      <c r="AP333" s="24"/>
      <c r="AQ333" s="38">
        <f t="shared" si="55"/>
        <v>9794473</v>
      </c>
      <c r="AR333" s="38"/>
      <c r="AS333" s="38"/>
      <c r="AT333" s="7" t="str">
        <f t="shared" si="41"/>
        <v>Mathews Local SD</v>
      </c>
      <c r="AU333" s="7" t="str">
        <f>'Gov Fd BS'!A333</f>
        <v>Mathews Local SD</v>
      </c>
      <c r="AV333" s="7" t="b">
        <f t="shared" si="42"/>
        <v>1</v>
      </c>
      <c r="AW333" s="7" t="str">
        <f t="shared" ref="AW333:AW397" si="57">C333</f>
        <v>Trumbull</v>
      </c>
      <c r="AX333" s="7" t="b">
        <f>C333='Gov Fd BS'!C333</f>
        <v>1</v>
      </c>
    </row>
    <row r="334" spans="1:50">
      <c r="A334" s="12" t="s">
        <v>403</v>
      </c>
      <c r="B334" s="12"/>
      <c r="C334" s="12" t="s">
        <v>115</v>
      </c>
      <c r="D334" s="12"/>
      <c r="E334" s="12">
        <v>44362</v>
      </c>
      <c r="F334" s="24"/>
      <c r="G334" s="24">
        <v>19822502</v>
      </c>
      <c r="H334" s="24"/>
      <c r="I334" s="24">
        <v>0</v>
      </c>
      <c r="J334" s="24"/>
      <c r="K334" s="24">
        <f>11110505+2391599</f>
        <v>13502104</v>
      </c>
      <c r="L334" s="24"/>
      <c r="M334" s="24">
        <v>25694</v>
      </c>
      <c r="N334" s="24"/>
      <c r="O334" s="24">
        <f>395629+437194+186879</f>
        <v>1019702</v>
      </c>
      <c r="P334" s="24"/>
      <c r="Q334" s="24">
        <v>169400</v>
      </c>
      <c r="R334" s="24"/>
      <c r="S334" s="24">
        <v>0</v>
      </c>
      <c r="T334" s="24"/>
      <c r="U334" s="24">
        <v>0</v>
      </c>
      <c r="V334" s="24"/>
      <c r="W334" s="24">
        <v>578501</v>
      </c>
      <c r="X334" s="24"/>
      <c r="Y334" s="38">
        <f t="shared" si="43"/>
        <v>35117903</v>
      </c>
      <c r="Z334" s="24"/>
      <c r="AA334" s="24">
        <v>20000</v>
      </c>
      <c r="AB334" s="24"/>
      <c r="AC334" s="24">
        <v>0</v>
      </c>
      <c r="AD334" s="24"/>
      <c r="AE334" s="24">
        <v>0</v>
      </c>
      <c r="AF334" s="24"/>
      <c r="AG334" s="24"/>
      <c r="AH334" s="24"/>
      <c r="AI334" s="24"/>
      <c r="AJ334" s="24"/>
      <c r="AK334" s="24">
        <v>236</v>
      </c>
      <c r="AL334" s="24"/>
      <c r="AM334" s="24">
        <v>0</v>
      </c>
      <c r="AN334" s="24"/>
      <c r="AO334" s="38">
        <f t="shared" si="56"/>
        <v>20236</v>
      </c>
      <c r="AP334" s="24"/>
      <c r="AQ334" s="38">
        <f t="shared" si="55"/>
        <v>35138139</v>
      </c>
      <c r="AR334" s="38"/>
      <c r="AS334" s="38"/>
      <c r="AT334" s="7" t="str">
        <f t="shared" si="41"/>
        <v>Maumee City SD</v>
      </c>
      <c r="AU334" s="7" t="str">
        <f>'Gov Fd BS'!A334</f>
        <v>Maumee City SD</v>
      </c>
      <c r="AV334" s="7" t="b">
        <f t="shared" si="42"/>
        <v>1</v>
      </c>
      <c r="AW334" s="7" t="str">
        <f t="shared" si="57"/>
        <v>Lucas</v>
      </c>
      <c r="AX334" s="7" t="b">
        <f>C334='Gov Fd BS'!C334</f>
        <v>1</v>
      </c>
    </row>
    <row r="335" spans="1:50">
      <c r="A335" s="12" t="s">
        <v>763</v>
      </c>
      <c r="B335" s="12"/>
      <c r="C335" s="12" t="s">
        <v>20</v>
      </c>
      <c r="D335" s="12"/>
      <c r="E335" s="12">
        <v>44370</v>
      </c>
      <c r="F335" s="24"/>
      <c r="G335" s="24">
        <v>48829197</v>
      </c>
      <c r="H335" s="24"/>
      <c r="I335" s="24">
        <v>0</v>
      </c>
      <c r="J335" s="24"/>
      <c r="K335" s="24">
        <v>21269333</v>
      </c>
      <c r="L335" s="24"/>
      <c r="M335" s="24">
        <v>428170</v>
      </c>
      <c r="N335" s="24"/>
      <c r="O335" s="24">
        <f>9113371+1280276+69691</f>
        <v>10463338</v>
      </c>
      <c r="P335" s="24"/>
      <c r="Q335" s="24">
        <v>120991</v>
      </c>
      <c r="R335" s="24"/>
      <c r="S335" s="24">
        <v>1815006</v>
      </c>
      <c r="T335" s="24"/>
      <c r="U335" s="24">
        <v>173317</v>
      </c>
      <c r="V335" s="24"/>
      <c r="W335" s="24">
        <v>2402731</v>
      </c>
      <c r="X335" s="24"/>
      <c r="Y335" s="38">
        <f t="shared" si="43"/>
        <v>85502083</v>
      </c>
      <c r="Z335" s="24"/>
      <c r="AA335" s="24">
        <v>3410404</v>
      </c>
      <c r="AB335" s="24"/>
      <c r="AC335" s="24">
        <v>0</v>
      </c>
      <c r="AD335" s="24"/>
      <c r="AE335" s="24">
        <v>4000000</v>
      </c>
      <c r="AF335" s="24"/>
      <c r="AG335" s="24"/>
      <c r="AH335" s="24"/>
      <c r="AI335" s="24"/>
      <c r="AJ335" s="24"/>
      <c r="AK335" s="24">
        <v>0</v>
      </c>
      <c r="AL335" s="24"/>
      <c r="AM335" s="24">
        <v>0</v>
      </c>
      <c r="AN335" s="24"/>
      <c r="AO335" s="38">
        <f t="shared" si="56"/>
        <v>7410404</v>
      </c>
      <c r="AP335" s="24"/>
      <c r="AQ335" s="38">
        <f t="shared" si="55"/>
        <v>92912487</v>
      </c>
      <c r="AR335" s="38"/>
      <c r="AS335" s="38"/>
      <c r="AT335" s="7" t="str">
        <f t="shared" ref="AT335:AT401" si="58">A335</f>
        <v xml:space="preserve">Mayfield City SD </v>
      </c>
      <c r="AU335" s="7" t="str">
        <f>'Gov Fd BS'!A335</f>
        <v xml:space="preserve">Mayfield City SD </v>
      </c>
      <c r="AV335" s="7" t="b">
        <f t="shared" ref="AV335:AV401" si="59">AT335=AU335</f>
        <v>1</v>
      </c>
      <c r="AW335" s="7" t="str">
        <f t="shared" si="57"/>
        <v>Cuyahoga</v>
      </c>
      <c r="AX335" s="7" t="b">
        <f>C335='Gov Fd BS'!C335</f>
        <v>1</v>
      </c>
    </row>
    <row r="336" spans="1:50">
      <c r="A336" s="12" t="s">
        <v>458</v>
      </c>
      <c r="B336" s="12"/>
      <c r="C336" s="12" t="s">
        <v>51</v>
      </c>
      <c r="D336" s="12"/>
      <c r="E336" s="12">
        <v>48850</v>
      </c>
      <c r="F336" s="24"/>
      <c r="G336" s="24">
        <v>3621531</v>
      </c>
      <c r="H336" s="24"/>
      <c r="I336" s="24">
        <v>0</v>
      </c>
      <c r="J336" s="24"/>
      <c r="K336" s="24">
        <v>15064455</v>
      </c>
      <c r="L336" s="24"/>
      <c r="M336" s="24">
        <v>389671</v>
      </c>
      <c r="N336" s="24"/>
      <c r="O336" s="24">
        <f>2434764+9646+1042432</f>
        <v>3486842</v>
      </c>
      <c r="P336" s="24"/>
      <c r="Q336" s="24">
        <v>214815</v>
      </c>
      <c r="R336" s="24"/>
      <c r="S336" s="24">
        <v>3546</v>
      </c>
      <c r="T336" s="24"/>
      <c r="U336" s="24">
        <v>25992</v>
      </c>
      <c r="V336" s="24"/>
      <c r="W336" s="24">
        <v>32570</v>
      </c>
      <c r="X336" s="24"/>
      <c r="Y336" s="38">
        <f t="shared" si="43"/>
        <v>22839422</v>
      </c>
      <c r="Z336" s="24"/>
      <c r="AA336" s="24">
        <v>0</v>
      </c>
      <c r="AB336" s="24"/>
      <c r="AC336" s="24">
        <v>0</v>
      </c>
      <c r="AD336" s="24"/>
      <c r="AE336" s="24">
        <v>0</v>
      </c>
      <c r="AF336" s="24"/>
      <c r="AG336" s="24"/>
      <c r="AH336" s="24"/>
      <c r="AI336" s="24"/>
      <c r="AJ336" s="24"/>
      <c r="AK336" s="24">
        <v>0</v>
      </c>
      <c r="AL336" s="24"/>
      <c r="AM336" s="24">
        <v>0</v>
      </c>
      <c r="AN336" s="24"/>
      <c r="AO336" s="38">
        <f t="shared" si="56"/>
        <v>0</v>
      </c>
      <c r="AP336" s="24"/>
      <c r="AQ336" s="38">
        <f t="shared" si="55"/>
        <v>22839422</v>
      </c>
      <c r="AR336" s="38"/>
      <c r="AS336" s="38"/>
      <c r="AT336" s="7" t="str">
        <f t="shared" si="58"/>
        <v>Maysville Local SD</v>
      </c>
      <c r="AU336" s="7" t="str">
        <f>'Gov Fd BS'!A336</f>
        <v>Maysville Local SD</v>
      </c>
      <c r="AV336" s="7" t="b">
        <f t="shared" si="59"/>
        <v>1</v>
      </c>
      <c r="AW336" s="7" t="str">
        <f t="shared" si="57"/>
        <v>Muskingum</v>
      </c>
      <c r="AX336" s="7" t="b">
        <f>C336='Gov Fd BS'!C336</f>
        <v>1</v>
      </c>
    </row>
    <row r="337" spans="1:50" hidden="1">
      <c r="A337" s="12" t="s">
        <v>932</v>
      </c>
      <c r="B337" s="12"/>
      <c r="C337" s="12" t="s">
        <v>33</v>
      </c>
      <c r="D337" s="12"/>
      <c r="E337" s="12">
        <v>47456</v>
      </c>
      <c r="F337" s="24"/>
      <c r="G337" s="24"/>
      <c r="H337" s="24"/>
      <c r="I337" s="24">
        <v>0</v>
      </c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38">
        <f t="shared" si="43"/>
        <v>0</v>
      </c>
      <c r="Z337" s="24"/>
      <c r="AA337" s="24"/>
      <c r="AB337" s="24"/>
      <c r="AC337" s="24">
        <v>0</v>
      </c>
      <c r="AD337" s="24"/>
      <c r="AE337" s="24"/>
      <c r="AF337" s="24"/>
      <c r="AG337" s="24"/>
      <c r="AH337" s="24"/>
      <c r="AI337" s="24"/>
      <c r="AJ337" s="24"/>
      <c r="AK337" s="24"/>
      <c r="AL337" s="24"/>
      <c r="AM337" s="24">
        <v>0</v>
      </c>
      <c r="AN337" s="24"/>
      <c r="AO337" s="38">
        <f t="shared" si="56"/>
        <v>0</v>
      </c>
      <c r="AP337" s="24"/>
      <c r="AQ337" s="38">
        <f t="shared" si="55"/>
        <v>0</v>
      </c>
      <c r="AR337" s="38"/>
      <c r="AS337" s="7" t="s">
        <v>839</v>
      </c>
      <c r="AT337" s="7" t="str">
        <f t="shared" si="58"/>
        <v>McComb Local SD (CASH)</v>
      </c>
      <c r="AU337" s="7" t="str">
        <f>'Gov Fd BS'!A337</f>
        <v>McComb Local SD (CASH)</v>
      </c>
      <c r="AV337" s="7" t="b">
        <f t="shared" si="59"/>
        <v>1</v>
      </c>
      <c r="AW337" s="7" t="str">
        <f t="shared" si="57"/>
        <v>Hancock</v>
      </c>
      <c r="AX337" s="7" t="b">
        <f>C337='Gov Fd BS'!C337</f>
        <v>1</v>
      </c>
    </row>
    <row r="338" spans="1:50">
      <c r="A338" s="12" t="s">
        <v>667</v>
      </c>
      <c r="B338" s="12"/>
      <c r="C338" s="12" t="s">
        <v>64</v>
      </c>
      <c r="D338" s="12"/>
      <c r="E338" s="12">
        <v>50229</v>
      </c>
      <c r="F338" s="24"/>
      <c r="G338" s="24">
        <v>1568707</v>
      </c>
      <c r="H338" s="24"/>
      <c r="I338" s="24">
        <v>0</v>
      </c>
      <c r="J338" s="24"/>
      <c r="K338" s="24">
        <v>4738705</v>
      </c>
      <c r="L338" s="24"/>
      <c r="M338" s="24">
        <v>2796</v>
      </c>
      <c r="N338" s="24"/>
      <c r="O338" s="24">
        <f>1034915+68689+250</f>
        <v>1103854</v>
      </c>
      <c r="P338" s="24"/>
      <c r="Q338" s="24">
        <v>124063</v>
      </c>
      <c r="R338" s="24"/>
      <c r="S338" s="24">
        <v>0</v>
      </c>
      <c r="T338" s="24"/>
      <c r="U338" s="24">
        <v>550</v>
      </c>
      <c r="V338" s="24"/>
      <c r="W338" s="24">
        <v>1695</v>
      </c>
      <c r="X338" s="24"/>
      <c r="Y338" s="38">
        <f t="shared" si="43"/>
        <v>7540370</v>
      </c>
      <c r="Z338" s="24"/>
      <c r="AA338" s="24">
        <v>0</v>
      </c>
      <c r="AB338" s="24"/>
      <c r="AC338" s="24">
        <v>0</v>
      </c>
      <c r="AD338" s="24"/>
      <c r="AE338" s="24">
        <v>98123</v>
      </c>
      <c r="AF338" s="24"/>
      <c r="AG338" s="24"/>
      <c r="AH338" s="24"/>
      <c r="AI338" s="24"/>
      <c r="AJ338" s="24"/>
      <c r="AK338" s="24">
        <v>0</v>
      </c>
      <c r="AL338" s="24"/>
      <c r="AM338" s="24">
        <v>0</v>
      </c>
      <c r="AN338" s="24"/>
      <c r="AO338" s="38">
        <f t="shared" si="56"/>
        <v>98123</v>
      </c>
      <c r="AP338" s="24"/>
      <c r="AQ338" s="38">
        <f t="shared" si="55"/>
        <v>7638493</v>
      </c>
      <c r="AR338" s="38"/>
      <c r="AS338" s="38"/>
      <c r="AT338" s="7" t="str">
        <f t="shared" si="58"/>
        <v>McDonald Local SD</v>
      </c>
      <c r="AU338" s="7" t="str">
        <f>'Gov Fd BS'!A338</f>
        <v>McDonald Local SD</v>
      </c>
      <c r="AV338" s="7" t="b">
        <f t="shared" si="59"/>
        <v>1</v>
      </c>
      <c r="AW338" s="7" t="str">
        <f t="shared" si="57"/>
        <v>Trumbull</v>
      </c>
      <c r="AX338" s="7" t="b">
        <f>C338='Gov Fd BS'!C338</f>
        <v>1</v>
      </c>
    </row>
    <row r="339" spans="1:50">
      <c r="A339" s="12" t="s">
        <v>877</v>
      </c>
      <c r="B339" s="12"/>
      <c r="C339" s="12" t="s">
        <v>232</v>
      </c>
      <c r="D339" s="12"/>
      <c r="E339" s="12">
        <v>45484</v>
      </c>
      <c r="F339" s="24"/>
      <c r="G339" s="24">
        <v>3589273</v>
      </c>
      <c r="H339" s="24"/>
      <c r="I339" s="24">
        <v>0</v>
      </c>
      <c r="J339" s="24"/>
      <c r="K339" s="24">
        <f>4540461+1085267</f>
        <v>5625728</v>
      </c>
      <c r="L339" s="24"/>
      <c r="M339" s="24">
        <v>7257</v>
      </c>
      <c r="N339" s="24"/>
      <c r="O339" s="24">
        <f>618505+146849+28998</f>
        <v>794352</v>
      </c>
      <c r="P339" s="24"/>
      <c r="Q339" s="24">
        <v>90536</v>
      </c>
      <c r="R339" s="24"/>
      <c r="S339" s="24">
        <v>0</v>
      </c>
      <c r="T339" s="24"/>
      <c r="U339" s="24">
        <v>0</v>
      </c>
      <c r="V339" s="24"/>
      <c r="W339" s="24">
        <v>375440</v>
      </c>
      <c r="X339" s="24"/>
      <c r="Y339" s="38">
        <f t="shared" si="43"/>
        <v>10482586</v>
      </c>
      <c r="Z339" s="24"/>
      <c r="AA339" s="24">
        <v>15000</v>
      </c>
      <c r="AB339" s="24"/>
      <c r="AC339" s="24">
        <v>0</v>
      </c>
      <c r="AD339" s="24"/>
      <c r="AE339" s="24">
        <v>715000</v>
      </c>
      <c r="AF339" s="24"/>
      <c r="AG339" s="24"/>
      <c r="AH339" s="24"/>
      <c r="AI339" s="24"/>
      <c r="AJ339" s="24"/>
      <c r="AK339" s="24">
        <v>14715</v>
      </c>
      <c r="AL339" s="24"/>
      <c r="AM339" s="24">
        <v>0</v>
      </c>
      <c r="AN339" s="24"/>
      <c r="AO339" s="38">
        <f t="shared" si="56"/>
        <v>744715</v>
      </c>
      <c r="AP339" s="24"/>
      <c r="AQ339" s="38">
        <f t="shared" si="55"/>
        <v>11227301</v>
      </c>
      <c r="AR339" s="38"/>
      <c r="AS339" s="38"/>
      <c r="AT339" s="7" t="str">
        <f t="shared" si="58"/>
        <v>Mechanicsburg Exempted Village SD</v>
      </c>
      <c r="AU339" s="7" t="str">
        <f>'Gov Fd BS'!A339</f>
        <v>Mechanicsburg Exempted Village SD</v>
      </c>
      <c r="AV339" s="7" t="b">
        <f t="shared" si="59"/>
        <v>1</v>
      </c>
      <c r="AW339" s="7" t="str">
        <f t="shared" si="57"/>
        <v>Champaign</v>
      </c>
      <c r="AX339" s="7" t="b">
        <f>C339='Gov Fd BS'!C339</f>
        <v>1</v>
      </c>
    </row>
    <row r="340" spans="1:50">
      <c r="A340" s="12" t="s">
        <v>431</v>
      </c>
      <c r="B340" s="12"/>
      <c r="C340" s="12" t="s">
        <v>47</v>
      </c>
      <c r="D340" s="12"/>
      <c r="E340" s="12">
        <v>44388</v>
      </c>
      <c r="F340" s="24"/>
      <c r="G340" s="24">
        <v>44917296</v>
      </c>
      <c r="H340" s="24"/>
      <c r="I340" s="24">
        <v>0</v>
      </c>
      <c r="J340" s="24"/>
      <c r="K340" s="24">
        <v>35845319</v>
      </c>
      <c r="L340" s="24"/>
      <c r="M340" s="24">
        <v>34043</v>
      </c>
      <c r="N340" s="24"/>
      <c r="O340" s="24">
        <f>1530518+1487102+470454</f>
        <v>3488074</v>
      </c>
      <c r="P340" s="24"/>
      <c r="Q340" s="24">
        <v>1381514</v>
      </c>
      <c r="R340" s="24"/>
      <c r="S340" s="24">
        <v>0</v>
      </c>
      <c r="T340" s="24"/>
      <c r="U340" s="24">
        <v>164039</v>
      </c>
      <c r="V340" s="24"/>
      <c r="W340" s="24">
        <v>314465</v>
      </c>
      <c r="X340" s="24"/>
      <c r="Y340" s="38">
        <f t="shared" si="43"/>
        <v>86144750</v>
      </c>
      <c r="Z340" s="24"/>
      <c r="AA340" s="24">
        <v>2911396</v>
      </c>
      <c r="AB340" s="24"/>
      <c r="AC340" s="24">
        <v>0</v>
      </c>
      <c r="AD340" s="24"/>
      <c r="AE340" s="24">
        <v>0</v>
      </c>
      <c r="AF340" s="24"/>
      <c r="AG340" s="24"/>
      <c r="AH340" s="24"/>
      <c r="AI340" s="24"/>
      <c r="AJ340" s="24"/>
      <c r="AK340" s="24">
        <v>75999</v>
      </c>
      <c r="AL340" s="24"/>
      <c r="AM340" s="24">
        <v>0</v>
      </c>
      <c r="AN340" s="24"/>
      <c r="AO340" s="38">
        <f t="shared" si="56"/>
        <v>2987395</v>
      </c>
      <c r="AP340" s="24"/>
      <c r="AQ340" s="38">
        <f t="shared" si="55"/>
        <v>89132145</v>
      </c>
      <c r="AR340" s="38"/>
      <c r="AS340" s="38"/>
      <c r="AT340" s="7" t="str">
        <f t="shared" si="58"/>
        <v>Medina City SD</v>
      </c>
      <c r="AU340" s="7" t="str">
        <f>'Gov Fd BS'!A340</f>
        <v>Medina City SD</v>
      </c>
      <c r="AV340" s="7" t="b">
        <f t="shared" si="59"/>
        <v>1</v>
      </c>
      <c r="AW340" s="7" t="str">
        <f t="shared" si="57"/>
        <v>Medina</v>
      </c>
      <c r="AX340" s="7" t="b">
        <f>C340='Gov Fd BS'!C340</f>
        <v>1</v>
      </c>
    </row>
    <row r="341" spans="1:50">
      <c r="A341" s="12" t="s">
        <v>434</v>
      </c>
      <c r="B341" s="12"/>
      <c r="C341" s="12" t="s">
        <v>433</v>
      </c>
      <c r="D341" s="12"/>
      <c r="E341" s="12">
        <v>48520</v>
      </c>
      <c r="F341" s="24"/>
      <c r="G341" s="24">
        <v>2980635</v>
      </c>
      <c r="H341" s="24"/>
      <c r="I341" s="24">
        <v>0</v>
      </c>
      <c r="J341" s="24"/>
      <c r="K341" s="24">
        <v>18850959</v>
      </c>
      <c r="L341" s="24"/>
      <c r="M341" s="24">
        <v>73376</v>
      </c>
      <c r="N341" s="24"/>
      <c r="O341" s="24">
        <f>661750+6543+303986</f>
        <v>972279</v>
      </c>
      <c r="P341" s="24"/>
      <c r="Q341" s="24">
        <v>121057</v>
      </c>
      <c r="R341" s="24"/>
      <c r="S341" s="24">
        <v>0</v>
      </c>
      <c r="T341" s="24"/>
      <c r="U341" s="24">
        <v>20599</v>
      </c>
      <c r="V341" s="24"/>
      <c r="W341" s="24">
        <v>38811</v>
      </c>
      <c r="X341" s="24"/>
      <c r="Y341" s="38">
        <f t="shared" si="43"/>
        <v>23057716</v>
      </c>
      <c r="Z341" s="24"/>
      <c r="AA341" s="24">
        <v>0</v>
      </c>
      <c r="AB341" s="24"/>
      <c r="AC341" s="24">
        <v>0</v>
      </c>
      <c r="AD341" s="24"/>
      <c r="AE341" s="24">
        <v>0</v>
      </c>
      <c r="AF341" s="24"/>
      <c r="AG341" s="24"/>
      <c r="AH341" s="24"/>
      <c r="AI341" s="24"/>
      <c r="AJ341" s="24"/>
      <c r="AK341" s="24">
        <v>2700</v>
      </c>
      <c r="AL341" s="24"/>
      <c r="AM341" s="24">
        <v>0</v>
      </c>
      <c r="AN341" s="24"/>
      <c r="AO341" s="38">
        <f t="shared" si="56"/>
        <v>2700</v>
      </c>
      <c r="AP341" s="24"/>
      <c r="AQ341" s="38">
        <f t="shared" si="55"/>
        <v>23060416</v>
      </c>
      <c r="AR341" s="38"/>
      <c r="AS341" s="7" t="s">
        <v>933</v>
      </c>
      <c r="AT341" s="7" t="str">
        <f t="shared" si="58"/>
        <v>Meigs Local SD</v>
      </c>
      <c r="AU341" s="7" t="str">
        <f>'Gov Fd BS'!A341</f>
        <v>Meigs Local SD</v>
      </c>
      <c r="AV341" s="7" t="b">
        <f t="shared" si="59"/>
        <v>1</v>
      </c>
      <c r="AW341" s="7" t="str">
        <f t="shared" si="57"/>
        <v>Meigs</v>
      </c>
      <c r="AX341" s="7" t="b">
        <f>C341='Gov Fd BS'!C341</f>
        <v>1</v>
      </c>
    </row>
    <row r="342" spans="1:50">
      <c r="A342" s="12" t="s">
        <v>878</v>
      </c>
      <c r="B342" s="12"/>
      <c r="C342" s="12" t="s">
        <v>41</v>
      </c>
      <c r="D342" s="12"/>
      <c r="E342" s="12">
        <v>45492</v>
      </c>
      <c r="F342" s="24"/>
      <c r="G342" s="24">
        <v>62021506</v>
      </c>
      <c r="H342" s="24"/>
      <c r="I342" s="24">
        <v>0</v>
      </c>
      <c r="J342" s="24"/>
      <c r="K342" s="24">
        <v>42025849</v>
      </c>
      <c r="L342" s="24"/>
      <c r="M342" s="24">
        <v>380642</v>
      </c>
      <c r="N342" s="24"/>
      <c r="O342" s="24">
        <f>1883959+1972470+81653</f>
        <v>3938082</v>
      </c>
      <c r="P342" s="24"/>
      <c r="Q342" s="24">
        <v>1351003</v>
      </c>
      <c r="R342" s="24"/>
      <c r="S342" s="24">
        <v>316236</v>
      </c>
      <c r="T342" s="24"/>
      <c r="U342" s="24">
        <v>271539</v>
      </c>
      <c r="V342" s="24"/>
      <c r="W342" s="24">
        <v>410972</v>
      </c>
      <c r="X342" s="24"/>
      <c r="Y342" s="38">
        <f t="shared" si="43"/>
        <v>110715829</v>
      </c>
      <c r="Z342" s="24"/>
      <c r="AA342" s="24">
        <v>429434</v>
      </c>
      <c r="AB342" s="24"/>
      <c r="AC342" s="24">
        <v>0</v>
      </c>
      <c r="AD342" s="24"/>
      <c r="AE342" s="24">
        <v>541334</v>
      </c>
      <c r="AF342" s="24"/>
      <c r="AG342" s="24"/>
      <c r="AH342" s="24"/>
      <c r="AI342" s="24"/>
      <c r="AJ342" s="24"/>
      <c r="AK342" s="24">
        <v>15578</v>
      </c>
      <c r="AL342" s="24"/>
      <c r="AM342" s="24">
        <v>0</v>
      </c>
      <c r="AN342" s="24"/>
      <c r="AO342" s="38">
        <f t="shared" si="56"/>
        <v>986346</v>
      </c>
      <c r="AP342" s="24"/>
      <c r="AQ342" s="38">
        <f t="shared" si="55"/>
        <v>111702175</v>
      </c>
      <c r="AR342" s="38"/>
      <c r="AS342" s="38"/>
      <c r="AT342" s="7" t="str">
        <f t="shared" si="58"/>
        <v>Mentor Exempted Village SD</v>
      </c>
      <c r="AU342" s="7" t="str">
        <f>'Gov Fd BS'!A342</f>
        <v>Mentor Exempted Village SD</v>
      </c>
      <c r="AV342" s="7" t="b">
        <f t="shared" si="59"/>
        <v>1</v>
      </c>
      <c r="AW342" s="7" t="str">
        <f t="shared" si="57"/>
        <v>Lake</v>
      </c>
      <c r="AX342" s="7" t="b">
        <f>C342='Gov Fd BS'!C342</f>
        <v>1</v>
      </c>
    </row>
    <row r="343" spans="1:50">
      <c r="A343" s="12" t="s">
        <v>437</v>
      </c>
      <c r="B343" s="12"/>
      <c r="C343" s="12" t="s">
        <v>48</v>
      </c>
      <c r="D343" s="12"/>
      <c r="E343" s="12">
        <v>48629</v>
      </c>
      <c r="F343" s="24"/>
      <c r="G343" s="24">
        <v>5083582</v>
      </c>
      <c r="H343" s="24"/>
      <c r="I343" s="24">
        <v>1747249</v>
      </c>
      <c r="J343" s="24"/>
      <c r="K343" s="24">
        <v>6715453</v>
      </c>
      <c r="L343" s="24"/>
      <c r="M343" s="24">
        <v>36624</v>
      </c>
      <c r="N343" s="24"/>
      <c r="O343" s="24">
        <f>613276+279549+13965</f>
        <v>906790</v>
      </c>
      <c r="P343" s="24"/>
      <c r="Q343" s="24">
        <v>121079</v>
      </c>
      <c r="R343" s="24"/>
      <c r="S343" s="24">
        <v>0</v>
      </c>
      <c r="T343" s="24"/>
      <c r="U343" s="24">
        <v>24897</v>
      </c>
      <c r="V343" s="24"/>
      <c r="W343" s="24">
        <v>68376</v>
      </c>
      <c r="X343" s="24"/>
      <c r="Y343" s="38">
        <f t="shared" si="43"/>
        <v>14704050</v>
      </c>
      <c r="Z343" s="24"/>
      <c r="AA343" s="24">
        <v>448105</v>
      </c>
      <c r="AB343" s="24"/>
      <c r="AC343" s="24">
        <v>0</v>
      </c>
      <c r="AD343" s="24"/>
      <c r="AE343" s="24">
        <v>0</v>
      </c>
      <c r="AF343" s="24"/>
      <c r="AG343" s="24"/>
      <c r="AH343" s="24"/>
      <c r="AI343" s="24"/>
      <c r="AJ343" s="24"/>
      <c r="AK343" s="24">
        <v>7388</v>
      </c>
      <c r="AL343" s="24"/>
      <c r="AM343" s="24">
        <v>0</v>
      </c>
      <c r="AN343" s="24"/>
      <c r="AO343" s="38">
        <f t="shared" si="56"/>
        <v>455493</v>
      </c>
      <c r="AP343" s="24"/>
      <c r="AQ343" s="38">
        <f t="shared" si="55"/>
        <v>15159543</v>
      </c>
      <c r="AR343" s="38"/>
      <c r="AS343" s="38"/>
      <c r="AT343" s="7" t="str">
        <f t="shared" si="58"/>
        <v>Miami East Local SD</v>
      </c>
      <c r="AU343" s="7" t="str">
        <f>'Gov Fd BS'!A343</f>
        <v>Miami East Local SD</v>
      </c>
      <c r="AV343" s="7" t="b">
        <f t="shared" si="59"/>
        <v>1</v>
      </c>
      <c r="AW343" s="7" t="str">
        <f t="shared" si="57"/>
        <v>Miami</v>
      </c>
      <c r="AX343" s="7" t="b">
        <f>C343='Gov Fd BS'!C343</f>
        <v>1</v>
      </c>
    </row>
    <row r="344" spans="1:50">
      <c r="A344" s="12" t="s">
        <v>303</v>
      </c>
      <c r="B344" s="12"/>
      <c r="C344" s="12" t="s">
        <v>26</v>
      </c>
      <c r="D344" s="12"/>
      <c r="E344" s="12">
        <v>46920</v>
      </c>
      <c r="F344" s="24"/>
      <c r="G344" s="24">
        <v>13655560</v>
      </c>
      <c r="H344" s="24"/>
      <c r="I344" s="24">
        <v>0</v>
      </c>
      <c r="J344" s="24"/>
      <c r="K344" s="24">
        <v>15068267</v>
      </c>
      <c r="L344" s="24"/>
      <c r="M344" s="24">
        <v>41237</v>
      </c>
      <c r="N344" s="24"/>
      <c r="O344" s="24">
        <f>1285990+508376</f>
        <v>1794366</v>
      </c>
      <c r="P344" s="24"/>
      <c r="Q344" s="24">
        <v>340388</v>
      </c>
      <c r="R344" s="24"/>
      <c r="S344" s="24">
        <v>0</v>
      </c>
      <c r="T344" s="24"/>
      <c r="U344" s="24">
        <v>0</v>
      </c>
      <c r="V344" s="24"/>
      <c r="W344" s="24">
        <v>619102</v>
      </c>
      <c r="X344" s="24"/>
      <c r="Y344" s="38">
        <f t="shared" si="43"/>
        <v>31518920</v>
      </c>
      <c r="Z344" s="24"/>
      <c r="AA344" s="24">
        <v>0</v>
      </c>
      <c r="AB344" s="24"/>
      <c r="AC344" s="24">
        <v>0</v>
      </c>
      <c r="AD344" s="24"/>
      <c r="AE344" s="24">
        <v>0</v>
      </c>
      <c r="AF344" s="24"/>
      <c r="AG344" s="24"/>
      <c r="AH344" s="24"/>
      <c r="AI344" s="24"/>
      <c r="AJ344" s="24"/>
      <c r="AK344" s="24">
        <v>41036</v>
      </c>
      <c r="AL344" s="24"/>
      <c r="AM344" s="24">
        <v>0</v>
      </c>
      <c r="AN344" s="24"/>
      <c r="AO344" s="38">
        <f t="shared" si="56"/>
        <v>41036</v>
      </c>
      <c r="AP344" s="24"/>
      <c r="AQ344" s="38">
        <f t="shared" si="55"/>
        <v>31559956</v>
      </c>
      <c r="AR344" s="38"/>
      <c r="AS344" s="38"/>
      <c r="AT344" s="7" t="str">
        <f t="shared" si="58"/>
        <v>Miami Trace Local SD</v>
      </c>
      <c r="AU344" s="7" t="str">
        <f>'Gov Fd BS'!A344</f>
        <v>Miami Trace Local SD</v>
      </c>
      <c r="AV344" s="7" t="b">
        <f t="shared" si="59"/>
        <v>1</v>
      </c>
      <c r="AW344" s="7" t="str">
        <f t="shared" si="57"/>
        <v>Fayette</v>
      </c>
      <c r="AX344" s="7" t="b">
        <f>C344='Gov Fd BS'!C344</f>
        <v>1</v>
      </c>
    </row>
    <row r="345" spans="1:50">
      <c r="A345" s="12" t="s">
        <v>445</v>
      </c>
      <c r="B345" s="12"/>
      <c r="C345" s="12" t="s">
        <v>50</v>
      </c>
      <c r="D345" s="12"/>
      <c r="E345" s="12">
        <v>44396</v>
      </c>
      <c r="F345" s="24"/>
      <c r="G345" s="24">
        <v>34929239</v>
      </c>
      <c r="H345" s="24"/>
      <c r="I345" s="24">
        <v>0</v>
      </c>
      <c r="J345" s="24"/>
      <c r="K345" s="24">
        <v>25821577</v>
      </c>
      <c r="L345" s="24"/>
      <c r="M345" s="24">
        <v>126473</v>
      </c>
      <c r="N345" s="24"/>
      <c r="O345" s="24">
        <f>556568+37993+1226589</f>
        <v>1821150</v>
      </c>
      <c r="P345" s="24"/>
      <c r="Q345" s="24">
        <v>248679</v>
      </c>
      <c r="R345" s="24"/>
      <c r="S345" s="24">
        <v>90237</v>
      </c>
      <c r="T345" s="24"/>
      <c r="U345" s="24">
        <v>52570</v>
      </c>
      <c r="V345" s="24"/>
      <c r="W345" s="24">
        <v>32810</v>
      </c>
      <c r="X345" s="24"/>
      <c r="Y345" s="38">
        <f t="shared" si="43"/>
        <v>63122735</v>
      </c>
      <c r="Z345" s="24"/>
      <c r="AA345" s="24">
        <v>1123867</v>
      </c>
      <c r="AB345" s="24"/>
      <c r="AC345" s="24">
        <v>0</v>
      </c>
      <c r="AD345" s="24"/>
      <c r="AE345" s="24">
        <v>16100000</v>
      </c>
      <c r="AF345" s="24"/>
      <c r="AG345" s="24"/>
      <c r="AH345" s="24"/>
      <c r="AI345" s="24"/>
      <c r="AJ345" s="24"/>
      <c r="AK345" s="24">
        <v>1046992</v>
      </c>
      <c r="AL345" s="24"/>
      <c r="AM345" s="24">
        <v>0</v>
      </c>
      <c r="AN345" s="24"/>
      <c r="AO345" s="38">
        <f t="shared" si="56"/>
        <v>18270859</v>
      </c>
      <c r="AP345" s="24"/>
      <c r="AQ345" s="38">
        <f t="shared" si="55"/>
        <v>81393594</v>
      </c>
      <c r="AR345" s="38"/>
      <c r="AS345" s="38"/>
      <c r="AT345" s="7" t="str">
        <f t="shared" si="58"/>
        <v>Miamisburg City SD</v>
      </c>
      <c r="AU345" s="7" t="str">
        <f>'Gov Fd BS'!A345</f>
        <v>Miamisburg City SD</v>
      </c>
      <c r="AV345" s="7" t="b">
        <f t="shared" si="59"/>
        <v>1</v>
      </c>
      <c r="AW345" s="7" t="str">
        <f t="shared" si="57"/>
        <v>Montgomery</v>
      </c>
      <c r="AX345" s="7" t="b">
        <f>C345='Gov Fd BS'!C345</f>
        <v>1</v>
      </c>
    </row>
    <row r="346" spans="1:50" hidden="1">
      <c r="A346" s="12" t="s">
        <v>942</v>
      </c>
      <c r="B346" s="12"/>
      <c r="C346" s="12" t="s">
        <v>53</v>
      </c>
      <c r="D346" s="12"/>
      <c r="E346" s="12"/>
      <c r="F346" s="24"/>
      <c r="G346" s="24"/>
      <c r="H346" s="24"/>
      <c r="I346" s="24">
        <v>0</v>
      </c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38">
        <f t="shared" si="43"/>
        <v>0</v>
      </c>
      <c r="Z346" s="24"/>
      <c r="AA346" s="24"/>
      <c r="AB346" s="24"/>
      <c r="AC346" s="24">
        <v>0</v>
      </c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38">
        <f t="shared" ref="AO346" si="60">AK346+AE346+AA346</f>
        <v>0</v>
      </c>
      <c r="AP346" s="24"/>
      <c r="AQ346" s="38">
        <f t="shared" ref="AQ346" si="61">Y346+AO346</f>
        <v>0</v>
      </c>
      <c r="AR346" s="38"/>
      <c r="AS346" s="7" t="s">
        <v>931</v>
      </c>
      <c r="AT346" s="7" t="str">
        <f t="shared" ref="AT346" si="62">A346</f>
        <v>Middle Bass Local SD (Two year Audit - CASH)</v>
      </c>
      <c r="AU346" s="7" t="str">
        <f>'Gov Fd BS'!A346</f>
        <v>Middle Bass Local SD (Two year Audit - CASH)</v>
      </c>
      <c r="AV346" s="7" t="b">
        <f t="shared" ref="AV346" si="63">AT346=AU346</f>
        <v>1</v>
      </c>
      <c r="AW346" s="7" t="str">
        <f t="shared" ref="AW346" si="64">C346</f>
        <v>Ottawa</v>
      </c>
      <c r="AX346" s="7" t="b">
        <f>C346='Gov Fd BS'!C346</f>
        <v>1</v>
      </c>
    </row>
    <row r="347" spans="1:50">
      <c r="A347" s="12" t="s">
        <v>228</v>
      </c>
      <c r="B347" s="12"/>
      <c r="C347" s="12" t="s">
        <v>223</v>
      </c>
      <c r="D347" s="12"/>
      <c r="E347" s="12">
        <v>44404</v>
      </c>
      <c r="F347" s="24"/>
      <c r="G347" s="24">
        <v>30834774</v>
      </c>
      <c r="H347" s="24"/>
      <c r="I347" s="24">
        <v>0</v>
      </c>
      <c r="J347" s="24"/>
      <c r="K347" s="24">
        <f>37024+36561029+15268688</f>
        <v>51866741</v>
      </c>
      <c r="L347" s="24"/>
      <c r="M347" s="24">
        <v>29126</v>
      </c>
      <c r="N347" s="24"/>
      <c r="O347" s="24">
        <f>525839+65664+561722+138801+2684+80454</f>
        <v>1375164</v>
      </c>
      <c r="P347" s="24"/>
      <c r="Q347" s="24">
        <v>320910</v>
      </c>
      <c r="R347" s="24"/>
      <c r="S347" s="24">
        <v>279392</v>
      </c>
      <c r="T347" s="24"/>
      <c r="U347" s="24">
        <v>35454</v>
      </c>
      <c r="V347" s="24"/>
      <c r="W347" s="24">
        <v>82080</v>
      </c>
      <c r="X347" s="24"/>
      <c r="Y347" s="38">
        <f t="shared" si="43"/>
        <v>84823641</v>
      </c>
      <c r="Z347" s="24"/>
      <c r="AA347" s="24">
        <v>692375</v>
      </c>
      <c r="AB347" s="24"/>
      <c r="AC347" s="24">
        <v>0</v>
      </c>
      <c r="AD347" s="24"/>
      <c r="AE347" s="24">
        <v>1348767</v>
      </c>
      <c r="AF347" s="24"/>
      <c r="AG347" s="24"/>
      <c r="AH347" s="24"/>
      <c r="AI347" s="24"/>
      <c r="AJ347" s="24"/>
      <c r="AK347" s="24">
        <v>46120</v>
      </c>
      <c r="AL347" s="24"/>
      <c r="AM347" s="24">
        <v>0</v>
      </c>
      <c r="AN347" s="24"/>
      <c r="AO347" s="38">
        <f t="shared" si="56"/>
        <v>2087262</v>
      </c>
      <c r="AP347" s="24"/>
      <c r="AQ347" s="38">
        <f t="shared" si="55"/>
        <v>86910903</v>
      </c>
      <c r="AR347" s="38"/>
      <c r="AS347" s="38"/>
      <c r="AT347" s="7" t="str">
        <f t="shared" si="58"/>
        <v>Middletown City SD</v>
      </c>
      <c r="AU347" s="7" t="str">
        <f>'Gov Fd BS'!A347</f>
        <v>Middletown City SD</v>
      </c>
      <c r="AV347" s="7" t="b">
        <f t="shared" si="59"/>
        <v>1</v>
      </c>
      <c r="AW347" s="7" t="str">
        <f t="shared" si="57"/>
        <v>Butler</v>
      </c>
      <c r="AX347" s="7" t="b">
        <f>C347='Gov Fd BS'!C347</f>
        <v>1</v>
      </c>
    </row>
    <row r="348" spans="1:50">
      <c r="A348" s="12" t="s">
        <v>399</v>
      </c>
      <c r="B348" s="12"/>
      <c r="C348" s="12" t="s">
        <v>44</v>
      </c>
      <c r="D348" s="12"/>
      <c r="E348" s="12">
        <v>48173</v>
      </c>
      <c r="F348" s="24"/>
      <c r="G348" s="24">
        <v>11778387</v>
      </c>
      <c r="H348" s="24"/>
      <c r="I348" s="24">
        <v>0</v>
      </c>
      <c r="J348" s="24"/>
      <c r="K348" s="24">
        <v>22469068</v>
      </c>
      <c r="L348" s="24"/>
      <c r="M348" s="24">
        <v>17932</v>
      </c>
      <c r="N348" s="24"/>
      <c r="O348" s="24">
        <v>257534</v>
      </c>
      <c r="P348" s="24"/>
      <c r="Q348" s="24">
        <v>506664</v>
      </c>
      <c r="R348" s="24"/>
      <c r="S348" s="24"/>
      <c r="T348" s="24"/>
      <c r="U348" s="24">
        <v>0</v>
      </c>
      <c r="V348" s="24"/>
      <c r="W348" s="24">
        <v>492998</v>
      </c>
      <c r="X348" s="24"/>
      <c r="Y348" s="38">
        <f t="shared" si="43"/>
        <v>35522583</v>
      </c>
      <c r="Z348" s="24"/>
      <c r="AA348" s="24">
        <v>250000</v>
      </c>
      <c r="AB348" s="24"/>
      <c r="AC348" s="24">
        <v>0</v>
      </c>
      <c r="AD348" s="24"/>
      <c r="AE348" s="24">
        <v>0</v>
      </c>
      <c r="AF348" s="24"/>
      <c r="AG348" s="24"/>
      <c r="AH348" s="24"/>
      <c r="AI348" s="24"/>
      <c r="AJ348" s="24"/>
      <c r="AK348" s="24">
        <v>30778</v>
      </c>
      <c r="AL348" s="24"/>
      <c r="AM348" s="24">
        <v>0</v>
      </c>
      <c r="AN348" s="24"/>
      <c r="AO348" s="38">
        <f t="shared" si="56"/>
        <v>280778</v>
      </c>
      <c r="AP348" s="24"/>
      <c r="AQ348" s="38">
        <f t="shared" si="55"/>
        <v>35803361</v>
      </c>
      <c r="AR348" s="38"/>
      <c r="AS348" s="7" t="s">
        <v>933</v>
      </c>
      <c r="AT348" s="7" t="str">
        <f t="shared" si="58"/>
        <v>Midview Local SD</v>
      </c>
      <c r="AU348" s="7" t="str">
        <f>'Gov Fd BS'!A348</f>
        <v>Midview Local SD</v>
      </c>
      <c r="AV348" s="7" t="b">
        <f t="shared" si="59"/>
        <v>1</v>
      </c>
      <c r="AW348" s="7" t="str">
        <f t="shared" si="57"/>
        <v>Lorain</v>
      </c>
      <c r="AX348" s="7" t="b">
        <f>C348='Gov Fd BS'!C348</f>
        <v>1</v>
      </c>
    </row>
    <row r="349" spans="1:50">
      <c r="A349" s="12" t="s">
        <v>879</v>
      </c>
      <c r="B349" s="12"/>
      <c r="C349" s="12" t="s">
        <v>113</v>
      </c>
      <c r="D349" s="12"/>
      <c r="E349" s="12">
        <v>45500</v>
      </c>
      <c r="F349" s="24"/>
      <c r="G349" s="24">
        <v>35067625</v>
      </c>
      <c r="H349" s="24"/>
      <c r="I349" s="24">
        <v>0</v>
      </c>
      <c r="J349" s="24"/>
      <c r="K349" s="24">
        <v>29035947</v>
      </c>
      <c r="L349" s="24"/>
      <c r="M349" s="24">
        <v>64972</v>
      </c>
      <c r="N349" s="24"/>
      <c r="O349" s="24">
        <f>2293849+1997319</f>
        <v>4291168</v>
      </c>
      <c r="P349" s="24"/>
      <c r="Q349" s="24">
        <v>363009</v>
      </c>
      <c r="R349" s="24"/>
      <c r="S349" s="24">
        <v>1632213</v>
      </c>
      <c r="T349" s="24"/>
      <c r="U349" s="24">
        <v>0</v>
      </c>
      <c r="V349" s="24"/>
      <c r="W349" s="24">
        <v>1081351</v>
      </c>
      <c r="X349" s="24"/>
      <c r="Y349" s="38">
        <f t="shared" si="43"/>
        <v>71536285</v>
      </c>
      <c r="Z349" s="24"/>
      <c r="AA349" s="24">
        <v>0</v>
      </c>
      <c r="AB349" s="24"/>
      <c r="AC349" s="24">
        <v>0</v>
      </c>
      <c r="AD349" s="24"/>
      <c r="AE349" s="24">
        <v>0</v>
      </c>
      <c r="AF349" s="24"/>
      <c r="AG349" s="24"/>
      <c r="AH349" s="24"/>
      <c r="AI349" s="24"/>
      <c r="AJ349" s="24"/>
      <c r="AK349" s="24">
        <v>92417</v>
      </c>
      <c r="AL349" s="24"/>
      <c r="AM349" s="24">
        <v>0</v>
      </c>
      <c r="AN349" s="24"/>
      <c r="AO349" s="38">
        <f t="shared" si="56"/>
        <v>92417</v>
      </c>
      <c r="AP349" s="24"/>
      <c r="AQ349" s="38">
        <f t="shared" si="55"/>
        <v>71628702</v>
      </c>
      <c r="AR349" s="38"/>
      <c r="AS349" s="38"/>
      <c r="AT349" s="7" t="str">
        <f t="shared" si="58"/>
        <v>Milford Exempted Village SD</v>
      </c>
      <c r="AU349" s="7" t="str">
        <f>'Gov Fd BS'!A349</f>
        <v>Milford Exempted Village SD</v>
      </c>
      <c r="AV349" s="7" t="b">
        <f t="shared" si="59"/>
        <v>1</v>
      </c>
      <c r="AW349" s="7" t="str">
        <f t="shared" si="57"/>
        <v>Clermont</v>
      </c>
      <c r="AX349" s="7" t="b">
        <f>C349='Gov Fd BS'!C349</f>
        <v>1</v>
      </c>
    </row>
    <row r="350" spans="1:50" hidden="1">
      <c r="A350" s="12" t="s">
        <v>639</v>
      </c>
      <c r="B350" s="12"/>
      <c r="C350" s="12" t="s">
        <v>570</v>
      </c>
      <c r="D350" s="12"/>
      <c r="E350" s="12">
        <v>50633</v>
      </c>
      <c r="F350" s="24"/>
      <c r="G350" s="24"/>
      <c r="H350" s="24"/>
      <c r="I350" s="24">
        <v>0</v>
      </c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38">
        <f t="shared" si="43"/>
        <v>0</v>
      </c>
      <c r="Z350" s="24"/>
      <c r="AA350" s="24"/>
      <c r="AB350" s="24"/>
      <c r="AC350" s="24">
        <v>0</v>
      </c>
      <c r="AD350" s="24"/>
      <c r="AE350" s="24"/>
      <c r="AF350" s="24"/>
      <c r="AG350" s="24"/>
      <c r="AH350" s="24"/>
      <c r="AI350" s="24"/>
      <c r="AJ350" s="24"/>
      <c r="AK350" s="24"/>
      <c r="AL350" s="24"/>
      <c r="AM350" s="24">
        <v>0</v>
      </c>
      <c r="AN350" s="24"/>
      <c r="AO350" s="38">
        <f t="shared" si="56"/>
        <v>0</v>
      </c>
      <c r="AP350" s="24"/>
      <c r="AQ350" s="38">
        <f t="shared" si="55"/>
        <v>0</v>
      </c>
      <c r="AR350" s="38"/>
      <c r="AS350" s="7" t="s">
        <v>839</v>
      </c>
      <c r="AT350" s="7" t="str">
        <f t="shared" si="58"/>
        <v>Millcreek-West Unity Local SD (CASH)</v>
      </c>
      <c r="AU350" s="7" t="str">
        <f>'Gov Fd BS'!A350</f>
        <v>Millcreek-West Unity Local SD (CASH)</v>
      </c>
      <c r="AV350" s="7" t="b">
        <f t="shared" si="59"/>
        <v>1</v>
      </c>
      <c r="AW350" s="7" t="str">
        <f t="shared" si="57"/>
        <v>Williams</v>
      </c>
      <c r="AX350" s="7" t="b">
        <f>C350='Gov Fd BS'!C350</f>
        <v>1</v>
      </c>
    </row>
    <row r="351" spans="1:50" hidden="1">
      <c r="A351" s="12" t="s">
        <v>934</v>
      </c>
      <c r="B351" s="12"/>
      <c r="C351" s="12" t="s">
        <v>482</v>
      </c>
      <c r="D351" s="12"/>
      <c r="E351" s="12">
        <v>49361</v>
      </c>
      <c r="F351" s="24"/>
      <c r="G351" s="24"/>
      <c r="H351" s="24"/>
      <c r="I351" s="24">
        <v>0</v>
      </c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38">
        <f t="shared" si="43"/>
        <v>0</v>
      </c>
      <c r="Z351" s="24"/>
      <c r="AA351" s="24"/>
      <c r="AB351" s="24"/>
      <c r="AC351" s="24">
        <v>0</v>
      </c>
      <c r="AD351" s="24"/>
      <c r="AE351" s="24"/>
      <c r="AF351" s="24"/>
      <c r="AG351" s="24"/>
      <c r="AH351" s="24"/>
      <c r="AI351" s="24"/>
      <c r="AJ351" s="24"/>
      <c r="AK351" s="24"/>
      <c r="AL351" s="24"/>
      <c r="AM351" s="24">
        <v>0</v>
      </c>
      <c r="AN351" s="24"/>
      <c r="AO351" s="38">
        <f t="shared" si="56"/>
        <v>0</v>
      </c>
      <c r="AP351" s="24"/>
      <c r="AQ351" s="38">
        <f t="shared" si="55"/>
        <v>0</v>
      </c>
      <c r="AR351" s="38"/>
      <c r="AS351" s="7" t="s">
        <v>839</v>
      </c>
      <c r="AT351" s="7" t="str">
        <f t="shared" si="58"/>
        <v>Miller City-New Cleveland Local (Two year Audit - CASH)</v>
      </c>
      <c r="AU351" s="7" t="str">
        <f>'Gov Fd BS'!A351</f>
        <v>Miller City-New Cleveland Local (Two year Audit - CASH)</v>
      </c>
      <c r="AV351" s="7" t="b">
        <f t="shared" si="59"/>
        <v>1</v>
      </c>
      <c r="AW351" s="7" t="str">
        <f t="shared" si="57"/>
        <v>Putnam</v>
      </c>
      <c r="AX351" s="7" t="b">
        <f>C351='Gov Fd BS'!C351</f>
        <v>1</v>
      </c>
    </row>
    <row r="352" spans="1:50" hidden="1">
      <c r="A352" s="12" t="s">
        <v>935</v>
      </c>
      <c r="B352" s="12"/>
      <c r="C352" s="12" t="s">
        <v>48</v>
      </c>
      <c r="D352" s="12"/>
      <c r="E352" s="12">
        <v>45518</v>
      </c>
      <c r="F352" s="24"/>
      <c r="G352" s="24"/>
      <c r="H352" s="24"/>
      <c r="I352" s="24">
        <v>0</v>
      </c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38">
        <f t="shared" si="43"/>
        <v>0</v>
      </c>
      <c r="Z352" s="24"/>
      <c r="AA352" s="24"/>
      <c r="AB352" s="24"/>
      <c r="AC352" s="24">
        <v>0</v>
      </c>
      <c r="AD352" s="24"/>
      <c r="AE352" s="24"/>
      <c r="AF352" s="24"/>
      <c r="AG352" s="24"/>
      <c r="AH352" s="24"/>
      <c r="AI352" s="24"/>
      <c r="AJ352" s="24"/>
      <c r="AK352" s="24"/>
      <c r="AL352" s="24"/>
      <c r="AM352" s="24">
        <v>0</v>
      </c>
      <c r="AN352" s="24"/>
      <c r="AO352" s="38">
        <f t="shared" si="56"/>
        <v>0</v>
      </c>
      <c r="AP352" s="24"/>
      <c r="AQ352" s="38">
        <f t="shared" si="55"/>
        <v>0</v>
      </c>
      <c r="AR352" s="38"/>
      <c r="AS352" s="7" t="s">
        <v>903</v>
      </c>
      <c r="AT352" s="7" t="str">
        <f t="shared" si="58"/>
        <v>Milton-Union Exempted Village SD (CASH)</v>
      </c>
      <c r="AU352" s="7" t="str">
        <f>'Gov Fd BS'!A352</f>
        <v>Milton-Union Exempted Village SD (CASH)</v>
      </c>
      <c r="AV352" s="7" t="b">
        <f t="shared" si="59"/>
        <v>1</v>
      </c>
      <c r="AW352" s="7" t="str">
        <f t="shared" si="57"/>
        <v>Miami</v>
      </c>
      <c r="AX352" s="7" t="b">
        <f>C352='Gov Fd BS'!C352</f>
        <v>1</v>
      </c>
    </row>
    <row r="353" spans="1:50">
      <c r="A353" s="12" t="s">
        <v>517</v>
      </c>
      <c r="B353" s="12"/>
      <c r="C353" s="12" t="s">
        <v>62</v>
      </c>
      <c r="D353" s="12"/>
      <c r="E353" s="12">
        <v>49890</v>
      </c>
      <c r="F353" s="24"/>
      <c r="G353" s="24">
        <v>6675001</v>
      </c>
      <c r="H353" s="24"/>
      <c r="I353" s="24">
        <v>0</v>
      </c>
      <c r="J353" s="24"/>
      <c r="K353" s="24">
        <v>12969641</v>
      </c>
      <c r="L353" s="24"/>
      <c r="M353" s="24">
        <v>6102</v>
      </c>
      <c r="N353" s="24"/>
      <c r="O353" s="24">
        <f>886960+14402+248172</f>
        <v>1149534</v>
      </c>
      <c r="P353" s="24"/>
      <c r="Q353" s="24">
        <v>251891</v>
      </c>
      <c r="R353" s="24"/>
      <c r="S353" s="24">
        <v>0</v>
      </c>
      <c r="T353" s="24"/>
      <c r="U353" s="24">
        <v>58030</v>
      </c>
      <c r="V353" s="24"/>
      <c r="W353" s="24">
        <v>73246</v>
      </c>
      <c r="X353" s="24"/>
      <c r="Y353" s="38">
        <f t="shared" si="43"/>
        <v>21183445</v>
      </c>
      <c r="Z353" s="24"/>
      <c r="AA353" s="24">
        <v>413677</v>
      </c>
      <c r="AB353" s="24"/>
      <c r="AC353" s="24">
        <v>0</v>
      </c>
      <c r="AD353" s="24"/>
      <c r="AE353" s="24">
        <v>208257</v>
      </c>
      <c r="AF353" s="24"/>
      <c r="AG353" s="24"/>
      <c r="AH353" s="24"/>
      <c r="AI353" s="24"/>
      <c r="AJ353" s="24"/>
      <c r="AK353" s="24">
        <v>0</v>
      </c>
      <c r="AL353" s="24"/>
      <c r="AM353" s="24">
        <v>0</v>
      </c>
      <c r="AN353" s="24"/>
      <c r="AO353" s="38">
        <f t="shared" si="56"/>
        <v>621934</v>
      </c>
      <c r="AP353" s="24"/>
      <c r="AQ353" s="38">
        <f t="shared" ref="AQ353:AQ366" si="65">Y353+AO353</f>
        <v>21805379</v>
      </c>
      <c r="AR353" s="38"/>
      <c r="AS353" s="38"/>
      <c r="AT353" s="7" t="str">
        <f t="shared" si="58"/>
        <v>Minerva Local SD</v>
      </c>
      <c r="AU353" s="7" t="str">
        <f>'Gov Fd BS'!A353</f>
        <v>Minerva Local SD</v>
      </c>
      <c r="AV353" s="7" t="b">
        <f t="shared" si="59"/>
        <v>1</v>
      </c>
      <c r="AW353" s="7" t="str">
        <f t="shared" si="57"/>
        <v>Stark</v>
      </c>
      <c r="AX353" s="7" t="b">
        <f>C353='Gov Fd BS'!C353</f>
        <v>1</v>
      </c>
    </row>
    <row r="354" spans="1:50">
      <c r="A354" s="12" t="s">
        <v>497</v>
      </c>
      <c r="B354" s="12"/>
      <c r="C354" s="12" t="s">
        <v>59</v>
      </c>
      <c r="D354" s="12"/>
      <c r="E354" s="12">
        <v>49627</v>
      </c>
      <c r="F354" s="24"/>
      <c r="G354" s="24">
        <v>1810692</v>
      </c>
      <c r="H354" s="24"/>
      <c r="I354" s="24">
        <v>0</v>
      </c>
      <c r="J354" s="24"/>
      <c r="K354" s="24">
        <v>12154012</v>
      </c>
      <c r="L354" s="24"/>
      <c r="M354" s="24"/>
      <c r="N354" s="24"/>
      <c r="O354" s="24">
        <f>1825106+885+258218</f>
        <v>2084209</v>
      </c>
      <c r="P354" s="24"/>
      <c r="Q354" s="24">
        <v>196588</v>
      </c>
      <c r="R354" s="24"/>
      <c r="S354" s="24">
        <v>0</v>
      </c>
      <c r="T354" s="24"/>
      <c r="U354" s="24">
        <v>6474</v>
      </c>
      <c r="V354" s="24"/>
      <c r="W354" s="24">
        <v>128203</v>
      </c>
      <c r="X354" s="24"/>
      <c r="Y354" s="38">
        <f t="shared" ref="Y354:Y422" si="66">SUM(G354:W354)</f>
        <v>16380178</v>
      </c>
      <c r="Z354" s="24"/>
      <c r="AA354" s="24">
        <v>0</v>
      </c>
      <c r="AB354" s="24"/>
      <c r="AC354" s="24">
        <v>0</v>
      </c>
      <c r="AD354" s="24"/>
      <c r="AE354" s="24">
        <v>0</v>
      </c>
      <c r="AF354" s="24"/>
      <c r="AG354" s="24"/>
      <c r="AH354" s="24"/>
      <c r="AI354" s="24"/>
      <c r="AJ354" s="24"/>
      <c r="AK354" s="24">
        <v>2151</v>
      </c>
      <c r="AL354" s="24"/>
      <c r="AM354" s="24">
        <v>0</v>
      </c>
      <c r="AN354" s="24"/>
      <c r="AO354" s="38">
        <f t="shared" si="56"/>
        <v>2151</v>
      </c>
      <c r="AP354" s="24"/>
      <c r="AQ354" s="38">
        <f t="shared" si="65"/>
        <v>16382329</v>
      </c>
      <c r="AR354" s="38"/>
      <c r="AS354" s="38"/>
      <c r="AT354" s="7" t="str">
        <f t="shared" si="58"/>
        <v>Minford Local SD</v>
      </c>
      <c r="AU354" s="7" t="str">
        <f>'Gov Fd BS'!A354</f>
        <v>Minford Local SD</v>
      </c>
      <c r="AV354" s="7" t="b">
        <f t="shared" si="59"/>
        <v>1</v>
      </c>
      <c r="AW354" s="7" t="str">
        <f t="shared" si="57"/>
        <v>Scioto</v>
      </c>
      <c r="AX354" s="7" t="b">
        <f>C354='Gov Fd BS'!C354</f>
        <v>1</v>
      </c>
    </row>
    <row r="355" spans="1:50">
      <c r="A355" s="12" t="s">
        <v>214</v>
      </c>
      <c r="B355" s="12"/>
      <c r="C355" s="12" t="s">
        <v>14</v>
      </c>
      <c r="D355" s="12"/>
      <c r="E355" s="12">
        <v>45948</v>
      </c>
      <c r="F355" s="24"/>
      <c r="G355" s="24">
        <v>4025616</v>
      </c>
      <c r="H355" s="24"/>
      <c r="I355" s="24">
        <v>553667</v>
      </c>
      <c r="J355" s="24"/>
      <c r="K355" s="24">
        <v>4702625</v>
      </c>
      <c r="L355" s="24"/>
      <c r="M355" s="24">
        <v>6690</v>
      </c>
      <c r="N355" s="24"/>
      <c r="O355" s="24">
        <f>82738+254466</f>
        <v>337204</v>
      </c>
      <c r="P355" s="24"/>
      <c r="Q355" s="24">
        <v>135667</v>
      </c>
      <c r="R355" s="24"/>
      <c r="S355" s="24">
        <v>0</v>
      </c>
      <c r="T355" s="24"/>
      <c r="U355" s="24">
        <v>41313</v>
      </c>
      <c r="V355" s="24"/>
      <c r="W355" s="24">
        <v>133840</v>
      </c>
      <c r="X355" s="24"/>
      <c r="Y355" s="38">
        <f t="shared" si="66"/>
        <v>9936622</v>
      </c>
      <c r="Z355" s="24"/>
      <c r="AA355" s="24">
        <v>0</v>
      </c>
      <c r="AB355" s="24"/>
      <c r="AC355" s="24">
        <v>0</v>
      </c>
      <c r="AD355" s="24"/>
      <c r="AE355" s="24">
        <v>0</v>
      </c>
      <c r="AF355" s="24"/>
      <c r="AG355" s="24"/>
      <c r="AH355" s="24"/>
      <c r="AI355" s="24"/>
      <c r="AJ355" s="24"/>
      <c r="AK355" s="24">
        <v>0</v>
      </c>
      <c r="AL355" s="24"/>
      <c r="AM355" s="24">
        <v>0</v>
      </c>
      <c r="AN355" s="24"/>
      <c r="AO355" s="38">
        <f t="shared" si="56"/>
        <v>0</v>
      </c>
      <c r="AP355" s="24"/>
      <c r="AQ355" s="38">
        <f t="shared" si="65"/>
        <v>9936622</v>
      </c>
      <c r="AR355" s="38"/>
      <c r="AS355" s="38"/>
      <c r="AT355" s="7" t="str">
        <f t="shared" si="58"/>
        <v>Minster Local SD</v>
      </c>
      <c r="AU355" s="7" t="str">
        <f>'Gov Fd BS'!A355</f>
        <v>Minster Local SD</v>
      </c>
      <c r="AV355" s="7" t="b">
        <f t="shared" si="59"/>
        <v>1</v>
      </c>
      <c r="AW355" s="7" t="str">
        <f t="shared" si="57"/>
        <v>Auglaize</v>
      </c>
      <c r="AX355" s="7" t="b">
        <f>C355='Gov Fd BS'!C355</f>
        <v>1</v>
      </c>
    </row>
    <row r="356" spans="1:50" hidden="1">
      <c r="A356" s="12" t="s">
        <v>669</v>
      </c>
      <c r="B356" s="12"/>
      <c r="C356" s="12" t="s">
        <v>21</v>
      </c>
      <c r="D356" s="12"/>
      <c r="E356" s="12">
        <v>46672</v>
      </c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>
        <v>0</v>
      </c>
      <c r="T356" s="24"/>
      <c r="U356" s="24"/>
      <c r="V356" s="24"/>
      <c r="W356" s="24"/>
      <c r="X356" s="24"/>
      <c r="Y356" s="38">
        <f t="shared" si="66"/>
        <v>0</v>
      </c>
      <c r="Z356" s="24"/>
      <c r="AA356" s="24"/>
      <c r="AB356" s="24"/>
      <c r="AC356" s="24">
        <v>0</v>
      </c>
      <c r="AD356" s="24"/>
      <c r="AE356" s="24"/>
      <c r="AF356" s="24"/>
      <c r="AG356" s="24"/>
      <c r="AH356" s="24"/>
      <c r="AI356" s="24"/>
      <c r="AJ356" s="24"/>
      <c r="AK356" s="24"/>
      <c r="AL356" s="24"/>
      <c r="AM356" s="24">
        <v>0</v>
      </c>
      <c r="AN356" s="24"/>
      <c r="AO356" s="38">
        <f t="shared" si="56"/>
        <v>0</v>
      </c>
      <c r="AP356" s="24"/>
      <c r="AQ356" s="38">
        <f t="shared" si="65"/>
        <v>0</v>
      </c>
      <c r="AR356" s="38"/>
      <c r="AS356" s="7" t="s">
        <v>839</v>
      </c>
      <c r="AT356" s="7" t="str">
        <f t="shared" si="58"/>
        <v>Mississinawa Valley Local SD  (CASH)</v>
      </c>
      <c r="AU356" s="7" t="str">
        <f>'Gov Fd BS'!A356</f>
        <v>Mississinawa Valley Local SD  (CASH)</v>
      </c>
      <c r="AV356" s="7" t="b">
        <f t="shared" si="59"/>
        <v>1</v>
      </c>
      <c r="AW356" s="7" t="str">
        <f t="shared" si="57"/>
        <v>Darke</v>
      </c>
      <c r="AX356" s="7" t="b">
        <f>C356='Gov Fd BS'!C356</f>
        <v>1</v>
      </c>
    </row>
    <row r="357" spans="1:50">
      <c r="A357" s="12" t="s">
        <v>526</v>
      </c>
      <c r="B357" s="12"/>
      <c r="C357" s="12" t="s">
        <v>63</v>
      </c>
      <c r="D357" s="12"/>
      <c r="E357" s="12">
        <v>50039</v>
      </c>
      <c r="F357" s="24"/>
      <c r="G357" s="24">
        <v>3076277</v>
      </c>
      <c r="H357" s="24"/>
      <c r="I357" s="24">
        <v>0</v>
      </c>
      <c r="J357" s="24"/>
      <c r="K357" s="24">
        <v>5107266</v>
      </c>
      <c r="L357" s="24"/>
      <c r="M357" s="24">
        <v>91409</v>
      </c>
      <c r="N357" s="24"/>
      <c r="O357" s="24">
        <f>1242290+164213</f>
        <v>1406503</v>
      </c>
      <c r="P357" s="24"/>
      <c r="Q357" s="24">
        <v>149445</v>
      </c>
      <c r="R357" s="24"/>
      <c r="S357" s="24">
        <v>0</v>
      </c>
      <c r="T357" s="24"/>
      <c r="U357" s="24">
        <v>9774</v>
      </c>
      <c r="V357" s="24"/>
      <c r="W357" s="24">
        <v>15429</v>
      </c>
      <c r="X357" s="24"/>
      <c r="Y357" s="38">
        <f t="shared" si="66"/>
        <v>9856103</v>
      </c>
      <c r="Z357" s="24"/>
      <c r="AA357" s="24">
        <v>180812</v>
      </c>
      <c r="AB357" s="24"/>
      <c r="AC357" s="24">
        <v>0</v>
      </c>
      <c r="AD357" s="24"/>
      <c r="AE357" s="24">
        <v>0</v>
      </c>
      <c r="AF357" s="24"/>
      <c r="AG357" s="24"/>
      <c r="AH357" s="24"/>
      <c r="AI357" s="24"/>
      <c r="AJ357" s="24"/>
      <c r="AK357" s="24">
        <v>0</v>
      </c>
      <c r="AL357" s="24"/>
      <c r="AM357" s="24">
        <v>0</v>
      </c>
      <c r="AN357" s="24"/>
      <c r="AO357" s="38">
        <f t="shared" si="56"/>
        <v>180812</v>
      </c>
      <c r="AP357" s="24"/>
      <c r="AQ357" s="38">
        <f t="shared" si="65"/>
        <v>10036915</v>
      </c>
      <c r="AR357" s="38"/>
      <c r="AS357" s="38"/>
      <c r="AT357" s="7" t="str">
        <f t="shared" si="58"/>
        <v>Mogadore Local SD</v>
      </c>
      <c r="AU357" s="7" t="str">
        <f>'Gov Fd BS'!A357</f>
        <v>Mogadore Local SD</v>
      </c>
      <c r="AV357" s="7" t="b">
        <f t="shared" si="59"/>
        <v>1</v>
      </c>
      <c r="AW357" s="7" t="str">
        <f t="shared" si="57"/>
        <v>Summit</v>
      </c>
      <c r="AX357" s="7" t="b">
        <f>C357='Gov Fd BS'!C357</f>
        <v>1</v>
      </c>
    </row>
    <row r="358" spans="1:50" hidden="1">
      <c r="A358" s="12" t="s">
        <v>648</v>
      </c>
      <c r="B358" s="12"/>
      <c r="C358" s="12" t="s">
        <v>577</v>
      </c>
      <c r="D358" s="12"/>
      <c r="E358" s="12">
        <v>50740</v>
      </c>
      <c r="F358" s="24"/>
      <c r="G358" s="24"/>
      <c r="H358" s="24"/>
      <c r="I358" s="24">
        <v>0</v>
      </c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38">
        <f t="shared" si="66"/>
        <v>0</v>
      </c>
      <c r="Z358" s="24"/>
      <c r="AA358" s="24"/>
      <c r="AB358" s="24"/>
      <c r="AC358" s="24">
        <v>0</v>
      </c>
      <c r="AD358" s="24"/>
      <c r="AE358" s="24"/>
      <c r="AF358" s="24"/>
      <c r="AG358" s="24"/>
      <c r="AH358" s="24"/>
      <c r="AI358" s="24"/>
      <c r="AJ358" s="24"/>
      <c r="AK358" s="24"/>
      <c r="AL358" s="24"/>
      <c r="AM358" s="24">
        <v>0</v>
      </c>
      <c r="AN358" s="24"/>
      <c r="AO358" s="38">
        <f t="shared" si="56"/>
        <v>0</v>
      </c>
      <c r="AP358" s="24"/>
      <c r="AQ358" s="38">
        <f t="shared" si="65"/>
        <v>0</v>
      </c>
      <c r="AR358" s="38"/>
      <c r="AS358" s="7" t="s">
        <v>839</v>
      </c>
      <c r="AT358" s="7" t="str">
        <f t="shared" si="58"/>
        <v>Mohawk Local SD (CASH)</v>
      </c>
      <c r="AU358" s="7" t="str">
        <f>'Gov Fd BS'!A358</f>
        <v>Mohawk Local SD (CASH)</v>
      </c>
      <c r="AV358" s="7" t="b">
        <f t="shared" si="59"/>
        <v>1</v>
      </c>
      <c r="AW358" s="7" t="str">
        <f t="shared" si="57"/>
        <v>Wyandot</v>
      </c>
      <c r="AX358" s="7" t="b">
        <f>C358='Gov Fd BS'!C358</f>
        <v>1</v>
      </c>
    </row>
    <row r="359" spans="1:50">
      <c r="A359" s="12" t="s">
        <v>229</v>
      </c>
      <c r="B359" s="12"/>
      <c r="C359" s="12" t="s">
        <v>223</v>
      </c>
      <c r="D359" s="12"/>
      <c r="E359" s="12">
        <v>139303</v>
      </c>
      <c r="F359" s="24"/>
      <c r="G359" s="24">
        <v>10701611</v>
      </c>
      <c r="H359" s="24"/>
      <c r="I359" s="24">
        <v>0</v>
      </c>
      <c r="J359" s="24"/>
      <c r="K359" s="24">
        <v>8642874</v>
      </c>
      <c r="L359" s="24"/>
      <c r="M359" s="24">
        <v>4664</v>
      </c>
      <c r="N359" s="24"/>
      <c r="O359" s="24">
        <f>567006+528937</f>
        <v>1095943</v>
      </c>
      <c r="P359" s="24"/>
      <c r="Q359" s="24">
        <v>273587</v>
      </c>
      <c r="R359" s="24"/>
      <c r="S359" s="24">
        <v>1679193</v>
      </c>
      <c r="T359" s="24"/>
      <c r="U359" s="24">
        <v>0</v>
      </c>
      <c r="V359" s="24"/>
      <c r="W359" s="24">
        <v>145473</v>
      </c>
      <c r="X359" s="24"/>
      <c r="Y359" s="38">
        <f t="shared" si="66"/>
        <v>22543345</v>
      </c>
      <c r="Z359" s="24"/>
      <c r="AA359" s="7">
        <v>709463</v>
      </c>
      <c r="AB359" s="24"/>
      <c r="AC359" s="24">
        <v>0</v>
      </c>
      <c r="AD359" s="24"/>
      <c r="AE359" s="24">
        <v>0</v>
      </c>
      <c r="AF359" s="24"/>
      <c r="AG359" s="24"/>
      <c r="AH359" s="24"/>
      <c r="AI359" s="24"/>
      <c r="AJ359" s="24"/>
      <c r="AK359" s="24">
        <v>0</v>
      </c>
      <c r="AL359" s="24"/>
      <c r="AM359" s="24">
        <v>0</v>
      </c>
      <c r="AN359" s="24"/>
      <c r="AO359" s="38">
        <f t="shared" si="56"/>
        <v>709463</v>
      </c>
      <c r="AP359" s="24"/>
      <c r="AQ359" s="38">
        <f t="shared" si="65"/>
        <v>23252808</v>
      </c>
      <c r="AR359" s="38"/>
      <c r="AS359" s="7" t="s">
        <v>936</v>
      </c>
      <c r="AT359" s="7" t="str">
        <f t="shared" si="58"/>
        <v>Monroe Local SD</v>
      </c>
      <c r="AU359" s="7" t="str">
        <f>'Gov Fd BS'!A359</f>
        <v>Monroe Local SD</v>
      </c>
      <c r="AV359" s="7" t="b">
        <f t="shared" si="59"/>
        <v>1</v>
      </c>
      <c r="AW359" s="7" t="str">
        <f t="shared" si="57"/>
        <v>Butler</v>
      </c>
      <c r="AX359" s="7" t="b">
        <f>C359='Gov Fd BS'!C359</f>
        <v>1</v>
      </c>
    </row>
    <row r="360" spans="1:50" s="32" customFormat="1">
      <c r="A360" s="31" t="s">
        <v>366</v>
      </c>
      <c r="B360" s="31"/>
      <c r="C360" s="31" t="s">
        <v>37</v>
      </c>
      <c r="D360" s="31"/>
      <c r="E360" s="31">
        <v>47712</v>
      </c>
      <c r="F360" s="35"/>
      <c r="G360" s="35">
        <v>3264527</v>
      </c>
      <c r="H360" s="35"/>
      <c r="I360" s="35">
        <v>0</v>
      </c>
      <c r="J360" s="35"/>
      <c r="K360" s="35">
        <f>2859344+597838</f>
        <v>3457182</v>
      </c>
      <c r="L360" s="35"/>
      <c r="M360" s="35">
        <v>2137</v>
      </c>
      <c r="N360" s="35"/>
      <c r="O360" s="35">
        <f>319256+150202+44686</f>
        <v>514144</v>
      </c>
      <c r="P360" s="35"/>
      <c r="Q360" s="35">
        <v>72718</v>
      </c>
      <c r="R360" s="35"/>
      <c r="S360" s="35">
        <v>0</v>
      </c>
      <c r="T360" s="35"/>
      <c r="U360" s="35">
        <v>0</v>
      </c>
      <c r="V360" s="35"/>
      <c r="W360" s="35">
        <v>66668</v>
      </c>
      <c r="X360" s="35"/>
      <c r="Y360" s="53">
        <f t="shared" si="66"/>
        <v>7377376</v>
      </c>
      <c r="Z360" s="35"/>
      <c r="AA360" s="35">
        <v>761</v>
      </c>
      <c r="AB360" s="35"/>
      <c r="AC360" s="35">
        <v>0</v>
      </c>
      <c r="AD360" s="35"/>
      <c r="AE360" s="35">
        <f>89791+770000</f>
        <v>859791</v>
      </c>
      <c r="AF360" s="35"/>
      <c r="AG360" s="35"/>
      <c r="AH360" s="35"/>
      <c r="AI360" s="35"/>
      <c r="AJ360" s="35"/>
      <c r="AK360" s="35">
        <v>0</v>
      </c>
      <c r="AL360" s="35"/>
      <c r="AM360" s="35">
        <v>0</v>
      </c>
      <c r="AN360" s="35"/>
      <c r="AO360" s="53">
        <f t="shared" si="56"/>
        <v>860552</v>
      </c>
      <c r="AP360" s="35"/>
      <c r="AQ360" s="53">
        <f t="shared" si="65"/>
        <v>8237928</v>
      </c>
      <c r="AR360" s="53"/>
      <c r="AS360" s="53"/>
      <c r="AT360" s="32" t="str">
        <f t="shared" si="58"/>
        <v>Monroeville Local SD</v>
      </c>
      <c r="AU360" s="32" t="str">
        <f>'Gov Fd BS'!A360</f>
        <v>Monroeville Local SD</v>
      </c>
      <c r="AV360" s="32" t="b">
        <f t="shared" si="59"/>
        <v>1</v>
      </c>
      <c r="AW360" s="32" t="str">
        <f t="shared" si="57"/>
        <v>Huron</v>
      </c>
      <c r="AX360" s="32" t="b">
        <f>C360='Gov Fd BS'!C360</f>
        <v>1</v>
      </c>
    </row>
    <row r="361" spans="1:50" hidden="1">
      <c r="A361" s="12" t="s">
        <v>937</v>
      </c>
      <c r="B361" s="12"/>
      <c r="C361" s="12" t="s">
        <v>570</v>
      </c>
      <c r="D361" s="12"/>
      <c r="E361" s="12">
        <v>45526</v>
      </c>
      <c r="F361" s="24"/>
      <c r="G361" s="24"/>
      <c r="H361" s="24"/>
      <c r="I361" s="24">
        <v>0</v>
      </c>
      <c r="J361" s="24"/>
      <c r="K361" s="24"/>
      <c r="L361" s="24"/>
      <c r="M361" s="24"/>
      <c r="N361" s="24"/>
      <c r="O361" s="24"/>
      <c r="P361" s="24"/>
      <c r="Q361" s="24"/>
      <c r="R361" s="24"/>
      <c r="S361" s="24">
        <v>0</v>
      </c>
      <c r="T361" s="24"/>
      <c r="U361" s="24"/>
      <c r="V361" s="24"/>
      <c r="W361" s="24"/>
      <c r="X361" s="24"/>
      <c r="Y361" s="38">
        <f t="shared" si="66"/>
        <v>0</v>
      </c>
      <c r="Z361" s="24"/>
      <c r="AA361" s="24"/>
      <c r="AB361" s="24"/>
      <c r="AC361" s="24">
        <v>0</v>
      </c>
      <c r="AD361" s="24"/>
      <c r="AE361" s="24"/>
      <c r="AF361" s="24"/>
      <c r="AG361" s="24"/>
      <c r="AH361" s="24"/>
      <c r="AI361" s="24"/>
      <c r="AJ361" s="24"/>
      <c r="AK361" s="24"/>
      <c r="AL361" s="24"/>
      <c r="AM361" s="24">
        <v>0</v>
      </c>
      <c r="AN361" s="24"/>
      <c r="AO361" s="38">
        <f t="shared" si="56"/>
        <v>0</v>
      </c>
      <c r="AP361" s="24"/>
      <c r="AQ361" s="38">
        <f t="shared" si="65"/>
        <v>0</v>
      </c>
      <c r="AR361" s="38"/>
      <c r="AS361" s="7" t="s">
        <v>912</v>
      </c>
      <c r="AT361" s="7" t="str">
        <f t="shared" si="58"/>
        <v>Montpelier Exempted Village SD (CASH)</v>
      </c>
      <c r="AU361" s="7" t="str">
        <f>'Gov Fd BS'!A361</f>
        <v>Montpelier Exempted Village SD (CASH)</v>
      </c>
      <c r="AV361" s="7" t="b">
        <f t="shared" si="59"/>
        <v>1</v>
      </c>
      <c r="AW361" s="7" t="str">
        <f t="shared" si="57"/>
        <v>Williams</v>
      </c>
      <c r="AX361" s="7" t="b">
        <f>C361='Gov Fd BS'!C361</f>
        <v>1</v>
      </c>
    </row>
    <row r="362" spans="1:50">
      <c r="A362" s="12" t="s">
        <v>452</v>
      </c>
      <c r="B362" s="12"/>
      <c r="C362" s="12" t="s">
        <v>453</v>
      </c>
      <c r="D362" s="12"/>
      <c r="E362" s="12">
        <v>48777</v>
      </c>
      <c r="F362" s="24"/>
      <c r="G362" s="24">
        <v>4505393</v>
      </c>
      <c r="H362" s="24"/>
      <c r="I362" s="24">
        <v>0</v>
      </c>
      <c r="J362" s="24"/>
      <c r="K362" s="24">
        <v>19909582</v>
      </c>
      <c r="L362" s="24"/>
      <c r="M362" s="24">
        <v>118663</v>
      </c>
      <c r="N362" s="24"/>
      <c r="O362" s="24">
        <f>348112+370126+1626</f>
        <v>719864</v>
      </c>
      <c r="P362" s="24"/>
      <c r="Q362" s="24">
        <v>65804</v>
      </c>
      <c r="R362" s="24"/>
      <c r="S362" s="24">
        <v>0</v>
      </c>
      <c r="T362" s="24"/>
      <c r="U362" s="24">
        <v>12771</v>
      </c>
      <c r="V362" s="24"/>
      <c r="W362" s="24">
        <v>145186</v>
      </c>
      <c r="X362" s="24"/>
      <c r="Y362" s="38">
        <f t="shared" si="66"/>
        <v>25477263</v>
      </c>
      <c r="Z362" s="24"/>
      <c r="AA362" s="24">
        <v>622093</v>
      </c>
      <c r="AB362" s="24"/>
      <c r="AC362" s="24">
        <v>0</v>
      </c>
      <c r="AD362" s="24"/>
      <c r="AE362" s="24">
        <v>0</v>
      </c>
      <c r="AF362" s="24"/>
      <c r="AG362" s="24"/>
      <c r="AH362" s="24"/>
      <c r="AI362" s="24"/>
      <c r="AJ362" s="24"/>
      <c r="AK362" s="24">
        <v>250</v>
      </c>
      <c r="AL362" s="24"/>
      <c r="AM362" s="24">
        <v>0</v>
      </c>
      <c r="AN362" s="24"/>
      <c r="AO362" s="38">
        <f t="shared" si="56"/>
        <v>622343</v>
      </c>
      <c r="AP362" s="24"/>
      <c r="AQ362" s="38">
        <f t="shared" si="65"/>
        <v>26099606</v>
      </c>
      <c r="AR362" s="38"/>
      <c r="AS362" s="38"/>
      <c r="AT362" s="7" t="str">
        <f t="shared" si="58"/>
        <v>Morgan Local SD</v>
      </c>
      <c r="AU362" s="7" t="str">
        <f>'Gov Fd BS'!A362</f>
        <v>Morgan Local SD</v>
      </c>
      <c r="AV362" s="7" t="b">
        <f t="shared" si="59"/>
        <v>1</v>
      </c>
      <c r="AW362" s="7" t="str">
        <f t="shared" si="57"/>
        <v>Morgan</v>
      </c>
      <c r="AX362" s="7" t="b">
        <f>C362='Gov Fd BS'!C362</f>
        <v>1</v>
      </c>
    </row>
    <row r="363" spans="1:50">
      <c r="A363" s="12" t="s">
        <v>880</v>
      </c>
      <c r="B363" s="12"/>
      <c r="C363" s="12" t="s">
        <v>78</v>
      </c>
      <c r="D363" s="12"/>
      <c r="E363" s="12">
        <v>45534</v>
      </c>
      <c r="F363" s="24"/>
      <c r="G363" s="24">
        <v>4589663</v>
      </c>
      <c r="H363" s="24"/>
      <c r="I363" s="24">
        <v>0</v>
      </c>
      <c r="J363" s="24"/>
      <c r="K363" s="24">
        <v>7959013</v>
      </c>
      <c r="L363" s="24"/>
      <c r="M363" s="24">
        <v>17970</v>
      </c>
      <c r="N363" s="24"/>
      <c r="O363" s="24">
        <f>851277+267496</f>
        <v>1118773</v>
      </c>
      <c r="P363" s="24"/>
      <c r="Q363" s="24">
        <v>187886</v>
      </c>
      <c r="R363" s="24"/>
      <c r="S363" s="24">
        <v>0</v>
      </c>
      <c r="T363" s="24"/>
      <c r="U363" s="24">
        <v>0</v>
      </c>
      <c r="V363" s="24"/>
      <c r="W363" s="24">
        <v>662572</v>
      </c>
      <c r="X363" s="24"/>
      <c r="Y363" s="38">
        <f t="shared" si="66"/>
        <v>14535877</v>
      </c>
      <c r="Z363" s="24"/>
      <c r="AA363" s="24">
        <v>233043</v>
      </c>
      <c r="AB363" s="24"/>
      <c r="AC363" s="24">
        <v>0</v>
      </c>
      <c r="AD363" s="24"/>
      <c r="AE363" s="24">
        <v>0</v>
      </c>
      <c r="AF363" s="24"/>
      <c r="AG363" s="24"/>
      <c r="AH363" s="24"/>
      <c r="AI363" s="24"/>
      <c r="AJ363" s="24"/>
      <c r="AK363" s="24">
        <v>0</v>
      </c>
      <c r="AL363" s="24"/>
      <c r="AM363" s="24">
        <v>0</v>
      </c>
      <c r="AN363" s="24"/>
      <c r="AO363" s="38">
        <f t="shared" si="56"/>
        <v>233043</v>
      </c>
      <c r="AP363" s="24"/>
      <c r="AQ363" s="38">
        <f t="shared" si="65"/>
        <v>14768920</v>
      </c>
      <c r="AR363" s="38"/>
      <c r="AS363" s="38"/>
      <c r="AT363" s="7" t="str">
        <f t="shared" si="58"/>
        <v>Mount Gilead Exempted Village SD</v>
      </c>
      <c r="AU363" s="7" t="str">
        <f>'Gov Fd BS'!A363</f>
        <v>Mount Gilead Exempted Village SD</v>
      </c>
      <c r="AV363" s="7" t="b">
        <f t="shared" si="59"/>
        <v>1</v>
      </c>
      <c r="AW363" s="7" t="str">
        <f t="shared" si="57"/>
        <v>Morrow</v>
      </c>
      <c r="AX363" s="7" t="b">
        <f>C363='Gov Fd BS'!C363</f>
        <v>1</v>
      </c>
    </row>
    <row r="364" spans="1:50">
      <c r="A364" s="12" t="s">
        <v>375</v>
      </c>
      <c r="B364" s="12"/>
      <c r="C364" s="12" t="s">
        <v>40</v>
      </c>
      <c r="D364" s="12"/>
      <c r="E364" s="12">
        <v>44420</v>
      </c>
      <c r="F364" s="24"/>
      <c r="G364" s="24">
        <v>13702716</v>
      </c>
      <c r="H364" s="24"/>
      <c r="I364" s="24">
        <v>0</v>
      </c>
      <c r="J364" s="24"/>
      <c r="K364" s="24">
        <f>16730132+4963230</f>
        <v>21693362</v>
      </c>
      <c r="L364" s="24"/>
      <c r="M364" s="24">
        <v>15104</v>
      </c>
      <c r="N364" s="24"/>
      <c r="O364" s="24">
        <f>1474771+2439+485172+99054+21507</f>
        <v>2082943</v>
      </c>
      <c r="P364" s="24"/>
      <c r="Q364" s="24">
        <v>161675</v>
      </c>
      <c r="R364" s="24"/>
      <c r="S364" s="24">
        <v>446185</v>
      </c>
      <c r="T364" s="24"/>
      <c r="U364" s="24">
        <v>20346</v>
      </c>
      <c r="V364" s="24"/>
      <c r="W364" s="24">
        <v>32219</v>
      </c>
      <c r="X364" s="24"/>
      <c r="Y364" s="38">
        <f t="shared" si="66"/>
        <v>38154550</v>
      </c>
      <c r="Z364" s="24"/>
      <c r="AA364" s="24">
        <v>89592</v>
      </c>
      <c r="AB364" s="24"/>
      <c r="AC364" s="24">
        <v>0</v>
      </c>
      <c r="AD364" s="24"/>
      <c r="AE364" s="24">
        <v>22623</v>
      </c>
      <c r="AF364" s="24"/>
      <c r="AG364" s="24"/>
      <c r="AH364" s="24"/>
      <c r="AI364" s="24"/>
      <c r="AJ364" s="24"/>
      <c r="AK364" s="24">
        <v>0</v>
      </c>
      <c r="AL364" s="24"/>
      <c r="AM364" s="24">
        <v>0</v>
      </c>
      <c r="AN364" s="24"/>
      <c r="AO364" s="38">
        <f t="shared" si="56"/>
        <v>112215</v>
      </c>
      <c r="AP364" s="24"/>
      <c r="AQ364" s="38">
        <f t="shared" si="65"/>
        <v>38266765</v>
      </c>
      <c r="AR364" s="38"/>
      <c r="AS364" s="38"/>
      <c r="AT364" s="7" t="str">
        <f t="shared" si="58"/>
        <v>Mount Vernon City SD</v>
      </c>
      <c r="AU364" s="7" t="str">
        <f>'Gov Fd BS'!A364</f>
        <v>Mount Vernon City SD</v>
      </c>
      <c r="AV364" s="7" t="b">
        <f t="shared" si="59"/>
        <v>1</v>
      </c>
      <c r="AW364" s="7" t="str">
        <f t="shared" si="57"/>
        <v>Knox</v>
      </c>
      <c r="AX364" s="7" t="b">
        <f>C364='Gov Fd BS'!C364</f>
        <v>1</v>
      </c>
    </row>
    <row r="365" spans="1:50">
      <c r="A365" s="12" t="s">
        <v>751</v>
      </c>
      <c r="B365" s="12"/>
      <c r="C365" s="12" t="s">
        <v>32</v>
      </c>
      <c r="D365" s="12"/>
      <c r="E365" s="12">
        <v>44412</v>
      </c>
      <c r="F365" s="24"/>
      <c r="G365" s="24">
        <v>13533976</v>
      </c>
      <c r="H365" s="24"/>
      <c r="I365" s="24">
        <v>0</v>
      </c>
      <c r="J365" s="24"/>
      <c r="K365" s="24">
        <v>31640295</v>
      </c>
      <c r="L365" s="24"/>
      <c r="M365" s="24">
        <v>75451</v>
      </c>
      <c r="N365" s="24"/>
      <c r="O365" s="24">
        <f>818107+281750</f>
        <v>1099857</v>
      </c>
      <c r="P365" s="24"/>
      <c r="Q365" s="24">
        <v>159114</v>
      </c>
      <c r="R365" s="24"/>
      <c r="S365" s="24">
        <v>0</v>
      </c>
      <c r="T365" s="24"/>
      <c r="U365" s="24">
        <v>0</v>
      </c>
      <c r="V365" s="24"/>
      <c r="W365" s="24">
        <v>282763</v>
      </c>
      <c r="X365" s="24"/>
      <c r="Y365" s="38">
        <f t="shared" si="66"/>
        <v>46791456</v>
      </c>
      <c r="Z365" s="24"/>
      <c r="AA365" s="24">
        <v>0</v>
      </c>
      <c r="AB365" s="24"/>
      <c r="AC365" s="24">
        <v>0</v>
      </c>
      <c r="AD365" s="24"/>
      <c r="AE365" s="24">
        <v>0</v>
      </c>
      <c r="AF365" s="24"/>
      <c r="AG365" s="24"/>
      <c r="AH365" s="24"/>
      <c r="AI365" s="24"/>
      <c r="AJ365" s="24"/>
      <c r="AK365" s="24">
        <v>666573</v>
      </c>
      <c r="AL365" s="24"/>
      <c r="AM365" s="24">
        <v>0</v>
      </c>
      <c r="AN365" s="24"/>
      <c r="AO365" s="38">
        <f t="shared" si="56"/>
        <v>666573</v>
      </c>
      <c r="AP365" s="24"/>
      <c r="AQ365" s="38">
        <f t="shared" si="65"/>
        <v>47458029</v>
      </c>
      <c r="AR365" s="38"/>
      <c r="AS365" s="38"/>
      <c r="AT365" s="7" t="str">
        <f t="shared" si="58"/>
        <v xml:space="preserve">Mt. Healthy City SD </v>
      </c>
      <c r="AU365" s="7" t="str">
        <f>'Gov Fd BS'!A365</f>
        <v xml:space="preserve">Mt. Healthy City SD </v>
      </c>
      <c r="AV365" s="7" t="b">
        <f t="shared" si="59"/>
        <v>1</v>
      </c>
      <c r="AW365" s="7" t="str">
        <f t="shared" si="57"/>
        <v>Hamilton</v>
      </c>
      <c r="AX365" s="7" t="b">
        <f>C365='Gov Fd BS'!C365</f>
        <v>1</v>
      </c>
    </row>
    <row r="366" spans="1:50">
      <c r="A366" s="12" t="s">
        <v>356</v>
      </c>
      <c r="B366" s="12"/>
      <c r="C366" s="12" t="s">
        <v>34</v>
      </c>
      <c r="D366" s="12"/>
      <c r="E366" s="12">
        <v>44438</v>
      </c>
      <c r="F366" s="24"/>
      <c r="G366" s="24">
        <v>8260452</v>
      </c>
      <c r="H366" s="24"/>
      <c r="I366" s="24">
        <v>0</v>
      </c>
      <c r="J366" s="24"/>
      <c r="K366" s="24">
        <v>14013812</v>
      </c>
      <c r="L366" s="24"/>
      <c r="M366" s="24">
        <v>88110</v>
      </c>
      <c r="N366" s="24"/>
      <c r="O366" s="24">
        <f>811141+7055+460132</f>
        <v>1278328</v>
      </c>
      <c r="P366" s="24"/>
      <c r="Q366" s="24">
        <v>338923</v>
      </c>
      <c r="R366" s="24"/>
      <c r="S366" s="24">
        <v>226639</v>
      </c>
      <c r="T366" s="24"/>
      <c r="U366" s="24">
        <v>142048</v>
      </c>
      <c r="V366" s="24"/>
      <c r="W366" s="24">
        <v>49378</v>
      </c>
      <c r="X366" s="24"/>
      <c r="Y366" s="38">
        <f t="shared" ref="Y366:Y393" si="67">SUM(G366:W366)</f>
        <v>24397690</v>
      </c>
      <c r="Z366" s="24"/>
      <c r="AA366" s="24">
        <v>273538</v>
      </c>
      <c r="AB366" s="24"/>
      <c r="AC366" s="24">
        <v>0</v>
      </c>
      <c r="AD366" s="24"/>
      <c r="AE366" s="24">
        <v>0</v>
      </c>
      <c r="AF366" s="24"/>
      <c r="AG366" s="24"/>
      <c r="AH366" s="24"/>
      <c r="AI366" s="24"/>
      <c r="AJ366" s="24"/>
      <c r="AK366" s="24">
        <v>0</v>
      </c>
      <c r="AL366" s="24"/>
      <c r="AM366" s="24">
        <v>0</v>
      </c>
      <c r="AN366" s="24"/>
      <c r="AO366" s="38">
        <f t="shared" si="56"/>
        <v>273538</v>
      </c>
      <c r="AP366" s="24"/>
      <c r="AQ366" s="38">
        <f t="shared" si="65"/>
        <v>24671228</v>
      </c>
      <c r="AR366" s="38"/>
      <c r="AS366" s="38"/>
      <c r="AT366" s="7" t="str">
        <f t="shared" si="58"/>
        <v>Napoleon Area City SD</v>
      </c>
      <c r="AU366" s="7" t="str">
        <f>'Gov Fd BS'!A366</f>
        <v>Napoleon Area City SD</v>
      </c>
      <c r="AV366" s="7" t="b">
        <f t="shared" si="59"/>
        <v>1</v>
      </c>
      <c r="AW366" s="7" t="str">
        <f t="shared" si="57"/>
        <v>Henry</v>
      </c>
      <c r="AX366" s="7" t="b">
        <f>C366='Gov Fd BS'!C366</f>
        <v>1</v>
      </c>
    </row>
    <row r="367" spans="1:50" hidden="1">
      <c r="A367" s="12" t="s">
        <v>874</v>
      </c>
      <c r="B367" s="12"/>
      <c r="C367" s="12" t="s">
        <v>57</v>
      </c>
      <c r="D367" s="12"/>
      <c r="E367" s="12"/>
      <c r="F367" s="24"/>
      <c r="G367" s="24"/>
      <c r="H367" s="24"/>
      <c r="I367" s="24">
        <v>0</v>
      </c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38"/>
      <c r="Z367" s="24"/>
      <c r="AA367" s="24"/>
      <c r="AB367" s="24"/>
      <c r="AC367" s="24">
        <v>0</v>
      </c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38"/>
      <c r="AP367" s="24"/>
      <c r="AQ367" s="38"/>
      <c r="AR367" s="38"/>
      <c r="AS367" s="7" t="s">
        <v>938</v>
      </c>
      <c r="AT367" s="7" t="str">
        <f t="shared" ref="AT367" si="68">A367</f>
        <v>National Trail Local SD (CASH)</v>
      </c>
      <c r="AU367" s="7" t="str">
        <f>'Gov Fd BS'!A367</f>
        <v>National Trail Local SD (CASH)</v>
      </c>
      <c r="AV367" s="7" t="b">
        <f t="shared" ref="AV367" si="69">AT367=AU367</f>
        <v>1</v>
      </c>
      <c r="AW367" s="7" t="str">
        <f t="shared" si="57"/>
        <v>Preble</v>
      </c>
      <c r="AX367" s="7" t="b">
        <f>C367='Gov Fd BS'!C367</f>
        <v>1</v>
      </c>
    </row>
    <row r="368" spans="1:50">
      <c r="A368" s="12" t="s">
        <v>212</v>
      </c>
      <c r="B368" s="12"/>
      <c r="C368" s="12" t="s">
        <v>13</v>
      </c>
      <c r="D368" s="12"/>
      <c r="E368" s="12">
        <v>44446</v>
      </c>
      <c r="F368" s="24"/>
      <c r="G368" s="24">
        <v>2496450</v>
      </c>
      <c r="H368" s="24"/>
      <c r="I368" s="24">
        <v>0</v>
      </c>
      <c r="J368" s="24"/>
      <c r="K368" s="24">
        <v>11725277</v>
      </c>
      <c r="L368" s="24"/>
      <c r="M368" s="24">
        <v>9065</v>
      </c>
      <c r="N368" s="24"/>
      <c r="O368" s="24">
        <f>501420+136795</f>
        <v>638215</v>
      </c>
      <c r="P368" s="24"/>
      <c r="Q368" s="24">
        <v>83279</v>
      </c>
      <c r="R368" s="24"/>
      <c r="S368" s="24">
        <v>0</v>
      </c>
      <c r="T368" s="24"/>
      <c r="U368" s="24">
        <v>50140</v>
      </c>
      <c r="V368" s="24"/>
      <c r="W368" s="24">
        <v>56754</v>
      </c>
      <c r="X368" s="24"/>
      <c r="Y368" s="38">
        <f t="shared" si="67"/>
        <v>15059180</v>
      </c>
      <c r="Z368" s="24"/>
      <c r="AA368" s="24">
        <v>244798</v>
      </c>
      <c r="AB368" s="24"/>
      <c r="AC368" s="24">
        <v>0</v>
      </c>
      <c r="AD368" s="24"/>
      <c r="AE368" s="24">
        <v>0</v>
      </c>
      <c r="AF368" s="24"/>
      <c r="AG368" s="24"/>
      <c r="AH368" s="24"/>
      <c r="AI368" s="24"/>
      <c r="AJ368" s="24"/>
      <c r="AK368" s="24">
        <v>0</v>
      </c>
      <c r="AL368" s="24"/>
      <c r="AM368" s="24">
        <v>0</v>
      </c>
      <c r="AN368" s="24"/>
      <c r="AO368" s="38">
        <f t="shared" ref="AO368:AO397" si="70">AK368+AE368+AA368</f>
        <v>244798</v>
      </c>
      <c r="AP368" s="24"/>
      <c r="AQ368" s="38">
        <f t="shared" ref="AQ368:AQ408" si="71">Y368+AO368</f>
        <v>15303978</v>
      </c>
      <c r="AR368" s="38"/>
      <c r="AS368" s="7"/>
      <c r="AT368" s="7" t="str">
        <f t="shared" si="58"/>
        <v>Nelsonville-York City SD</v>
      </c>
      <c r="AU368" s="7" t="str">
        <f>'Gov Fd BS'!A368</f>
        <v>Nelsonville-York City SD</v>
      </c>
      <c r="AV368" s="7" t="b">
        <f t="shared" si="59"/>
        <v>1</v>
      </c>
      <c r="AW368" s="7" t="str">
        <f t="shared" si="57"/>
        <v>Athens</v>
      </c>
      <c r="AX368" s="7" t="b">
        <f>C368='Gov Fd BS'!C368</f>
        <v>1</v>
      </c>
    </row>
    <row r="369" spans="1:50">
      <c r="A369" s="12" t="s">
        <v>633</v>
      </c>
      <c r="B369" s="12"/>
      <c r="C369" s="12" t="s">
        <v>27</v>
      </c>
      <c r="D369" s="12"/>
      <c r="E369" s="12">
        <v>44461</v>
      </c>
      <c r="F369" s="24"/>
      <c r="G369" s="24">
        <v>47753664</v>
      </c>
      <c r="H369" s="24"/>
      <c r="I369" s="24">
        <v>0</v>
      </c>
      <c r="J369" s="24"/>
      <c r="K369" s="24">
        <f>1551059+8381042+76654</f>
        <v>10008755</v>
      </c>
      <c r="L369" s="24"/>
      <c r="M369" s="24">
        <v>74091</v>
      </c>
      <c r="N369" s="24"/>
      <c r="O369" s="24">
        <f>1506531+439124</f>
        <v>1945655</v>
      </c>
      <c r="P369" s="24"/>
      <c r="Q369" s="24">
        <v>671810</v>
      </c>
      <c r="R369" s="24"/>
      <c r="S369" s="24">
        <v>0</v>
      </c>
      <c r="T369" s="24"/>
      <c r="U369" s="24">
        <v>0</v>
      </c>
      <c r="V369" s="24"/>
      <c r="W369" s="24">
        <v>460754</v>
      </c>
      <c r="X369" s="24"/>
      <c r="Y369" s="38">
        <f t="shared" si="67"/>
        <v>60914729</v>
      </c>
      <c r="Z369" s="24"/>
      <c r="AA369" s="24">
        <v>274488</v>
      </c>
      <c r="AB369" s="24"/>
      <c r="AC369" s="24">
        <v>0</v>
      </c>
      <c r="AD369" s="24"/>
      <c r="AE369" s="24">
        <f>703000+8140000</f>
        <v>8843000</v>
      </c>
      <c r="AF369" s="24"/>
      <c r="AG369" s="24"/>
      <c r="AH369" s="24"/>
      <c r="AI369" s="24"/>
      <c r="AJ369" s="24"/>
      <c r="AK369" s="24">
        <v>0</v>
      </c>
      <c r="AL369" s="24"/>
      <c r="AM369" s="24">
        <v>0</v>
      </c>
      <c r="AN369" s="24"/>
      <c r="AO369" s="38">
        <f t="shared" si="70"/>
        <v>9117488</v>
      </c>
      <c r="AP369" s="24"/>
      <c r="AQ369" s="38">
        <f t="shared" si="71"/>
        <v>70032217</v>
      </c>
      <c r="AR369" s="38"/>
      <c r="AS369" s="7"/>
      <c r="AT369" s="7" t="str">
        <f t="shared" si="58"/>
        <v>New Albany-Plain Local SD</v>
      </c>
      <c r="AU369" s="7" t="str">
        <f>'Gov Fd BS'!A369</f>
        <v>New Albany-Plain Local SD</v>
      </c>
      <c r="AV369" s="7" t="b">
        <f t="shared" si="59"/>
        <v>1</v>
      </c>
      <c r="AW369" s="7" t="str">
        <f t="shared" si="57"/>
        <v>Franklin</v>
      </c>
      <c r="AX369" s="7" t="b">
        <f>C369='Gov Fd BS'!C369</f>
        <v>1</v>
      </c>
    </row>
    <row r="370" spans="1:50">
      <c r="A370" s="12" t="s">
        <v>498</v>
      </c>
      <c r="B370" s="12"/>
      <c r="C370" s="12" t="s">
        <v>59</v>
      </c>
      <c r="D370" s="12"/>
      <c r="E370" s="12">
        <v>44461</v>
      </c>
      <c r="F370" s="24"/>
      <c r="G370" s="24">
        <v>1052021</v>
      </c>
      <c r="H370" s="24"/>
      <c r="I370" s="24">
        <v>0</v>
      </c>
      <c r="J370" s="24"/>
      <c r="K370" s="24">
        <v>9399307</v>
      </c>
      <c r="L370" s="24"/>
      <c r="M370" s="24">
        <v>152547</v>
      </c>
      <c r="N370" s="24"/>
      <c r="O370" s="24">
        <f>1052970+36000+11366</f>
        <v>1100336</v>
      </c>
      <c r="P370" s="24"/>
      <c r="Q370" s="24">
        <v>32199</v>
      </c>
      <c r="R370" s="24"/>
      <c r="S370" s="24">
        <v>0</v>
      </c>
      <c r="T370" s="24"/>
      <c r="U370" s="24">
        <v>12047</v>
      </c>
      <c r="V370" s="24"/>
      <c r="W370" s="24">
        <v>184599</v>
      </c>
      <c r="X370" s="24"/>
      <c r="Y370" s="38">
        <f t="shared" si="67"/>
        <v>11933056</v>
      </c>
      <c r="Z370" s="24"/>
      <c r="AA370" s="24">
        <v>0</v>
      </c>
      <c r="AB370" s="24"/>
      <c r="AC370" s="24">
        <v>0</v>
      </c>
      <c r="AD370" s="24"/>
      <c r="AE370" s="24">
        <v>0</v>
      </c>
      <c r="AF370" s="24"/>
      <c r="AG370" s="24"/>
      <c r="AH370" s="24"/>
      <c r="AI370" s="24"/>
      <c r="AJ370" s="24"/>
      <c r="AK370" s="24">
        <v>0</v>
      </c>
      <c r="AL370" s="24"/>
      <c r="AM370" s="24">
        <v>0</v>
      </c>
      <c r="AN370" s="24"/>
      <c r="AO370" s="38">
        <f t="shared" si="70"/>
        <v>0</v>
      </c>
      <c r="AP370" s="24"/>
      <c r="AQ370" s="38">
        <f t="shared" si="71"/>
        <v>11933056</v>
      </c>
      <c r="AR370" s="38"/>
      <c r="AS370" s="7"/>
      <c r="AT370" s="7" t="str">
        <f t="shared" si="58"/>
        <v>New Boston Local SD</v>
      </c>
      <c r="AU370" s="7" t="str">
        <f>'Gov Fd BS'!A370</f>
        <v>New Boston Local SD</v>
      </c>
      <c r="AV370" s="7" t="b">
        <f t="shared" si="59"/>
        <v>1</v>
      </c>
      <c r="AW370" s="7" t="str">
        <f t="shared" si="57"/>
        <v>Scioto</v>
      </c>
      <c r="AX370" s="7" t="b">
        <f>C370='Gov Fd BS'!C370</f>
        <v>1</v>
      </c>
    </row>
    <row r="371" spans="1:50">
      <c r="A371" s="12" t="s">
        <v>215</v>
      </c>
      <c r="B371" s="12"/>
      <c r="C371" s="12" t="s">
        <v>14</v>
      </c>
      <c r="D371" s="12"/>
      <c r="E371" s="12">
        <v>45955</v>
      </c>
      <c r="F371" s="24"/>
      <c r="G371" s="24">
        <v>2620825</v>
      </c>
      <c r="H371" s="24"/>
      <c r="I371" s="24">
        <v>1626600</v>
      </c>
      <c r="J371" s="24"/>
      <c r="K371" s="24">
        <v>5123610</v>
      </c>
      <c r="L371" s="24"/>
      <c r="M371" s="24">
        <v>77589</v>
      </c>
      <c r="N371" s="24"/>
      <c r="O371" s="24">
        <f>275954+247081</f>
        <v>523035</v>
      </c>
      <c r="P371" s="24"/>
      <c r="Q371" s="24">
        <v>152860</v>
      </c>
      <c r="R371" s="24"/>
      <c r="S371" s="24">
        <v>30952</v>
      </c>
      <c r="T371" s="24"/>
      <c r="U371" s="24">
        <v>171170</v>
      </c>
      <c r="V371" s="24"/>
      <c r="W371" s="24">
        <v>33579</v>
      </c>
      <c r="X371" s="24"/>
      <c r="Y371" s="38">
        <f t="shared" si="67"/>
        <v>10360220</v>
      </c>
      <c r="Z371" s="24"/>
      <c r="AA371" s="24">
        <v>20000</v>
      </c>
      <c r="AB371" s="24"/>
      <c r="AC371" s="24">
        <v>0</v>
      </c>
      <c r="AD371" s="24"/>
      <c r="AE371" s="24">
        <v>0</v>
      </c>
      <c r="AF371" s="24"/>
      <c r="AG371" s="24"/>
      <c r="AH371" s="24"/>
      <c r="AI371" s="24"/>
      <c r="AJ371" s="24"/>
      <c r="AK371" s="24">
        <v>0</v>
      </c>
      <c r="AL371" s="24"/>
      <c r="AM371" s="24">
        <v>0</v>
      </c>
      <c r="AN371" s="24"/>
      <c r="AO371" s="38">
        <f t="shared" si="70"/>
        <v>20000</v>
      </c>
      <c r="AP371" s="24"/>
      <c r="AQ371" s="38">
        <f t="shared" si="71"/>
        <v>10380220</v>
      </c>
      <c r="AR371" s="38"/>
      <c r="AS371" s="7"/>
      <c r="AT371" s="7" t="str">
        <f t="shared" si="58"/>
        <v>New Bremen Local SD</v>
      </c>
      <c r="AU371" s="7" t="str">
        <f>'Gov Fd BS'!A371</f>
        <v>New Bremen Local SD</v>
      </c>
      <c r="AV371" s="7" t="b">
        <f t="shared" si="59"/>
        <v>1</v>
      </c>
      <c r="AW371" s="7" t="str">
        <f t="shared" si="57"/>
        <v>Auglaize</v>
      </c>
      <c r="AX371" s="7" t="b">
        <f>C371='Gov Fd BS'!C371</f>
        <v>1</v>
      </c>
    </row>
    <row r="372" spans="1:50" hidden="1">
      <c r="A372" s="12" t="s">
        <v>745</v>
      </c>
      <c r="B372" s="12"/>
      <c r="C372" s="12" t="s">
        <v>14</v>
      </c>
      <c r="D372" s="12"/>
      <c r="E372" s="12">
        <v>45963</v>
      </c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38">
        <f t="shared" si="67"/>
        <v>0</v>
      </c>
      <c r="Z372" s="24"/>
      <c r="AA372" s="24"/>
      <c r="AB372" s="24"/>
      <c r="AC372" s="24">
        <v>0</v>
      </c>
      <c r="AD372" s="24"/>
      <c r="AE372" s="24"/>
      <c r="AF372" s="24"/>
      <c r="AG372" s="24"/>
      <c r="AH372" s="24"/>
      <c r="AI372" s="24"/>
      <c r="AJ372" s="24"/>
      <c r="AK372" s="24"/>
      <c r="AL372" s="24"/>
      <c r="AM372" s="24">
        <v>0</v>
      </c>
      <c r="AN372" s="24"/>
      <c r="AO372" s="38">
        <f t="shared" si="70"/>
        <v>0</v>
      </c>
      <c r="AP372" s="24"/>
      <c r="AQ372" s="38">
        <f t="shared" si="71"/>
        <v>0</v>
      </c>
      <c r="AR372" s="38"/>
      <c r="AS372" s="7" t="s">
        <v>839</v>
      </c>
      <c r="AT372" s="7" t="str">
        <f t="shared" si="58"/>
        <v>New Knoxville Local SD (CASH)</v>
      </c>
      <c r="AU372" s="7" t="str">
        <f>'Gov Fd BS'!A372</f>
        <v>New Knoxville Local SD (CASH)</v>
      </c>
      <c r="AV372" s="7" t="b">
        <f t="shared" si="59"/>
        <v>1</v>
      </c>
      <c r="AW372" s="7" t="str">
        <f t="shared" si="57"/>
        <v>Auglaize</v>
      </c>
      <c r="AX372" s="7" t="b">
        <f>C372='Gov Fd BS'!C372</f>
        <v>1</v>
      </c>
    </row>
    <row r="373" spans="1:50">
      <c r="A373" s="12" t="s">
        <v>446</v>
      </c>
      <c r="B373" s="12"/>
      <c r="C373" s="12" t="s">
        <v>50</v>
      </c>
      <c r="D373" s="12"/>
      <c r="E373" s="12">
        <v>48710</v>
      </c>
      <c r="F373" s="24"/>
      <c r="G373" s="24">
        <v>4199041</v>
      </c>
      <c r="H373" s="24"/>
      <c r="I373" s="24">
        <v>0</v>
      </c>
      <c r="J373" s="24"/>
      <c r="K373" s="24">
        <f>10480+6159507+1785640</f>
        <v>7955627</v>
      </c>
      <c r="L373" s="24"/>
      <c r="M373" s="24">
        <v>11467</v>
      </c>
      <c r="N373" s="24"/>
      <c r="O373" s="24">
        <f>478488+37014+209432</f>
        <v>724934</v>
      </c>
      <c r="P373" s="24"/>
      <c r="Q373" s="24">
        <v>96258</v>
      </c>
      <c r="R373" s="24"/>
      <c r="S373" s="24">
        <v>0</v>
      </c>
      <c r="T373" s="24"/>
      <c r="U373" s="24">
        <v>0</v>
      </c>
      <c r="V373" s="24"/>
      <c r="W373" s="24">
        <v>104666</v>
      </c>
      <c r="X373" s="24"/>
      <c r="Y373" s="38">
        <f t="shared" si="67"/>
        <v>13091993</v>
      </c>
      <c r="Z373" s="24"/>
      <c r="AA373" s="24">
        <v>317319</v>
      </c>
      <c r="AB373" s="24"/>
      <c r="AC373" s="24">
        <v>0</v>
      </c>
      <c r="AD373" s="24"/>
      <c r="AE373" s="24">
        <v>0</v>
      </c>
      <c r="AF373" s="24"/>
      <c r="AG373" s="24"/>
      <c r="AH373" s="24"/>
      <c r="AI373" s="24"/>
      <c r="AJ373" s="24"/>
      <c r="AK373" s="24">
        <v>0</v>
      </c>
      <c r="AL373" s="24"/>
      <c r="AM373" s="24">
        <v>0</v>
      </c>
      <c r="AN373" s="24"/>
      <c r="AO373" s="38">
        <f t="shared" si="70"/>
        <v>317319</v>
      </c>
      <c r="AP373" s="24"/>
      <c r="AQ373" s="38">
        <f t="shared" si="71"/>
        <v>13409312</v>
      </c>
      <c r="AR373" s="38"/>
      <c r="AS373" s="7"/>
      <c r="AT373" s="7" t="str">
        <f t="shared" si="58"/>
        <v>New Lebanon Local SD</v>
      </c>
      <c r="AU373" s="7" t="str">
        <f>'Gov Fd BS'!A373</f>
        <v>New Lebanon Local SD</v>
      </c>
      <c r="AV373" s="7" t="b">
        <f t="shared" si="59"/>
        <v>1</v>
      </c>
      <c r="AW373" s="7" t="str">
        <f t="shared" si="57"/>
        <v>Montgomery</v>
      </c>
      <c r="AX373" s="7" t="b">
        <f>C373='Gov Fd BS'!C373</f>
        <v>1</v>
      </c>
    </row>
    <row r="374" spans="1:50" hidden="1">
      <c r="A374" s="12" t="s">
        <v>939</v>
      </c>
      <c r="B374" s="12"/>
      <c r="C374" s="12" t="s">
        <v>466</v>
      </c>
      <c r="D374" s="12"/>
      <c r="E374" s="12">
        <v>44479</v>
      </c>
      <c r="F374" s="24"/>
      <c r="G374" s="24"/>
      <c r="H374" s="24"/>
      <c r="I374" s="24">
        <v>0</v>
      </c>
      <c r="J374" s="24"/>
      <c r="K374" s="24"/>
      <c r="L374" s="24"/>
      <c r="M374" s="24"/>
      <c r="N374" s="24"/>
      <c r="O374" s="24"/>
      <c r="P374" s="24"/>
      <c r="Q374" s="24"/>
      <c r="R374" s="24"/>
      <c r="S374" s="24">
        <v>0</v>
      </c>
      <c r="T374" s="24"/>
      <c r="U374" s="24">
        <v>0</v>
      </c>
      <c r="V374" s="24"/>
      <c r="W374" s="24"/>
      <c r="X374" s="24"/>
      <c r="Y374" s="38">
        <f t="shared" si="67"/>
        <v>0</v>
      </c>
      <c r="Z374" s="24"/>
      <c r="AA374" s="24"/>
      <c r="AB374" s="24"/>
      <c r="AC374" s="24">
        <v>0</v>
      </c>
      <c r="AD374" s="24"/>
      <c r="AE374" s="24"/>
      <c r="AF374" s="24"/>
      <c r="AG374" s="24"/>
      <c r="AH374" s="24"/>
      <c r="AI374" s="24"/>
      <c r="AJ374" s="24"/>
      <c r="AK374" s="24"/>
      <c r="AL374" s="24"/>
      <c r="AM374" s="24">
        <v>0</v>
      </c>
      <c r="AN374" s="24"/>
      <c r="AO374" s="38">
        <f t="shared" si="70"/>
        <v>0</v>
      </c>
      <c r="AP374" s="24"/>
      <c r="AQ374" s="38">
        <f t="shared" si="71"/>
        <v>0</v>
      </c>
      <c r="AR374" s="38"/>
      <c r="AS374" s="7" t="s">
        <v>839</v>
      </c>
      <c r="AT374" s="7" t="str">
        <f t="shared" si="58"/>
        <v>New Lexington City SD (CASH)</v>
      </c>
      <c r="AU374" s="7" t="str">
        <f>'Gov Fd BS'!A374</f>
        <v>New Lexington City SD (CASH)</v>
      </c>
      <c r="AV374" s="7" t="b">
        <f t="shared" si="59"/>
        <v>1</v>
      </c>
      <c r="AW374" s="7" t="str">
        <f t="shared" si="57"/>
        <v>Perry</v>
      </c>
      <c r="AX374" s="7" t="b">
        <f>C374='Gov Fd BS'!C374</f>
        <v>1</v>
      </c>
    </row>
    <row r="375" spans="1:50">
      <c r="A375" s="12" t="s">
        <v>367</v>
      </c>
      <c r="B375" s="12"/>
      <c r="C375" s="12" t="s">
        <v>37</v>
      </c>
      <c r="D375" s="12"/>
      <c r="E375" s="12">
        <v>47720</v>
      </c>
      <c r="F375" s="24"/>
      <c r="G375" s="24">
        <v>3253460</v>
      </c>
      <c r="H375" s="24"/>
      <c r="I375" s="24">
        <v>0</v>
      </c>
      <c r="J375" s="24"/>
      <c r="K375" s="24">
        <f>5762686+1295520</f>
        <v>7058206</v>
      </c>
      <c r="L375" s="24"/>
      <c r="M375" s="24">
        <v>22757</v>
      </c>
      <c r="N375" s="24"/>
      <c r="O375" s="24">
        <f>381030+151327+29209</f>
        <v>561566</v>
      </c>
      <c r="P375" s="24"/>
      <c r="Q375" s="24">
        <v>213506</v>
      </c>
      <c r="R375" s="24"/>
      <c r="S375" s="24">
        <v>0</v>
      </c>
      <c r="T375" s="24"/>
      <c r="U375" s="24">
        <v>0</v>
      </c>
      <c r="V375" s="24"/>
      <c r="W375" s="24">
        <v>15371</v>
      </c>
      <c r="X375" s="24"/>
      <c r="Y375" s="38">
        <f t="shared" si="67"/>
        <v>11124866</v>
      </c>
      <c r="Z375" s="24"/>
      <c r="AA375" s="24">
        <v>0</v>
      </c>
      <c r="AB375" s="24"/>
      <c r="AC375" s="24">
        <v>0</v>
      </c>
      <c r="AD375" s="24"/>
      <c r="AE375" s="24">
        <v>39400</v>
      </c>
      <c r="AF375" s="24"/>
      <c r="AG375" s="24"/>
      <c r="AH375" s="24"/>
      <c r="AI375" s="24"/>
      <c r="AJ375" s="24"/>
      <c r="AK375" s="24">
        <v>0</v>
      </c>
      <c r="AL375" s="24"/>
      <c r="AM375" s="24">
        <v>0</v>
      </c>
      <c r="AN375" s="24"/>
      <c r="AO375" s="38">
        <f t="shared" si="70"/>
        <v>39400</v>
      </c>
      <c r="AP375" s="24"/>
      <c r="AQ375" s="38">
        <f t="shared" si="71"/>
        <v>11164266</v>
      </c>
      <c r="AR375" s="38"/>
      <c r="AS375" s="7"/>
      <c r="AT375" s="7" t="str">
        <f t="shared" si="58"/>
        <v>New London Local SD</v>
      </c>
      <c r="AU375" s="7" t="str">
        <f>'Gov Fd BS'!A375</f>
        <v>New London Local SD</v>
      </c>
      <c r="AV375" s="7" t="b">
        <f t="shared" si="59"/>
        <v>1</v>
      </c>
      <c r="AW375" s="7" t="str">
        <f t="shared" si="57"/>
        <v>Huron</v>
      </c>
      <c r="AX375" s="7" t="b">
        <f>C375='Gov Fd BS'!C375</f>
        <v>1</v>
      </c>
    </row>
    <row r="376" spans="1:50">
      <c r="A376" s="12" t="s">
        <v>230</v>
      </c>
      <c r="B376" s="12"/>
      <c r="C376" s="12" t="s">
        <v>223</v>
      </c>
      <c r="D376" s="12"/>
      <c r="E376" s="12">
        <v>46136</v>
      </c>
      <c r="F376" s="24"/>
      <c r="G376" s="24">
        <v>1571362</v>
      </c>
      <c r="H376" s="24"/>
      <c r="I376" s="24">
        <v>0</v>
      </c>
      <c r="J376" s="24"/>
      <c r="K376" s="24">
        <v>6202051</v>
      </c>
      <c r="L376" s="24"/>
      <c r="M376" s="24">
        <v>7833</v>
      </c>
      <c r="N376" s="24"/>
      <c r="O376" s="24">
        <f>14262+76151</f>
        <v>90413</v>
      </c>
      <c r="P376" s="24"/>
      <c r="Q376" s="24">
        <v>0</v>
      </c>
      <c r="R376" s="24"/>
      <c r="S376" s="24">
        <v>0</v>
      </c>
      <c r="T376" s="24"/>
      <c r="U376" s="24">
        <v>0</v>
      </c>
      <c r="V376" s="24"/>
      <c r="W376" s="24">
        <v>136986</v>
      </c>
      <c r="X376" s="24"/>
      <c r="Y376" s="38">
        <f t="shared" si="67"/>
        <v>8008645</v>
      </c>
      <c r="Z376" s="24"/>
      <c r="AA376" s="24">
        <v>56553</v>
      </c>
      <c r="AB376" s="24"/>
      <c r="AC376" s="24">
        <v>0</v>
      </c>
      <c r="AD376" s="24"/>
      <c r="AE376" s="24">
        <v>0</v>
      </c>
      <c r="AF376" s="24"/>
      <c r="AG376" s="24"/>
      <c r="AH376" s="24"/>
      <c r="AI376" s="24"/>
      <c r="AJ376" s="24"/>
      <c r="AK376" s="24">
        <v>0</v>
      </c>
      <c r="AL376" s="24"/>
      <c r="AM376" s="24">
        <v>0</v>
      </c>
      <c r="AN376" s="24"/>
      <c r="AO376" s="38">
        <f t="shared" si="70"/>
        <v>56553</v>
      </c>
      <c r="AP376" s="24"/>
      <c r="AQ376" s="38">
        <f t="shared" si="71"/>
        <v>8065198</v>
      </c>
      <c r="AR376" s="38"/>
      <c r="AS376" s="7"/>
      <c r="AT376" s="7" t="str">
        <f t="shared" si="58"/>
        <v>New Miami Local SD</v>
      </c>
      <c r="AU376" s="7" t="str">
        <f>'Gov Fd BS'!A376</f>
        <v>New Miami Local SD</v>
      </c>
      <c r="AV376" s="7" t="b">
        <f t="shared" si="59"/>
        <v>1</v>
      </c>
      <c r="AW376" s="7" t="str">
        <f t="shared" si="57"/>
        <v>Butler</v>
      </c>
      <c r="AX376" s="7" t="b">
        <f>C376='Gov Fd BS'!C376</f>
        <v>1</v>
      </c>
    </row>
    <row r="377" spans="1:50">
      <c r="A377" s="12" t="s">
        <v>553</v>
      </c>
      <c r="B377" s="12"/>
      <c r="C377" s="12" t="s">
        <v>65</v>
      </c>
      <c r="D377" s="12"/>
      <c r="E377" s="12">
        <v>44487</v>
      </c>
      <c r="F377" s="24"/>
      <c r="G377" s="24">
        <v>11521028</v>
      </c>
      <c r="H377" s="24"/>
      <c r="I377" s="24">
        <v>0</v>
      </c>
      <c r="J377" s="24"/>
      <c r="K377" s="24">
        <v>14263779</v>
      </c>
      <c r="L377" s="24"/>
      <c r="M377" s="24">
        <v>45873</v>
      </c>
      <c r="N377" s="24"/>
      <c r="O377" s="24">
        <f>417768+326279</f>
        <v>744047</v>
      </c>
      <c r="P377" s="24"/>
      <c r="Q377" s="24">
        <v>653063</v>
      </c>
      <c r="R377" s="24"/>
      <c r="S377" s="24">
        <v>0</v>
      </c>
      <c r="T377" s="24"/>
      <c r="U377" s="24">
        <v>81666</v>
      </c>
      <c r="V377" s="24"/>
      <c r="W377" s="24">
        <v>583857</v>
      </c>
      <c r="X377" s="24"/>
      <c r="Y377" s="38">
        <f t="shared" si="67"/>
        <v>27893313</v>
      </c>
      <c r="Z377" s="24"/>
      <c r="AA377" s="24">
        <v>185000</v>
      </c>
      <c r="AB377" s="24"/>
      <c r="AC377" s="24">
        <v>0</v>
      </c>
      <c r="AD377" s="24"/>
      <c r="AE377" s="24">
        <v>0</v>
      </c>
      <c r="AF377" s="24"/>
      <c r="AG377" s="24"/>
      <c r="AH377" s="24"/>
      <c r="AI377" s="24"/>
      <c r="AJ377" s="24"/>
      <c r="AK377" s="24">
        <v>0</v>
      </c>
      <c r="AL377" s="24"/>
      <c r="AM377" s="24">
        <v>0</v>
      </c>
      <c r="AN377" s="24"/>
      <c r="AO377" s="38">
        <f t="shared" si="70"/>
        <v>185000</v>
      </c>
      <c r="AP377" s="24"/>
      <c r="AQ377" s="38">
        <f t="shared" si="71"/>
        <v>28078313</v>
      </c>
      <c r="AR377" s="38"/>
      <c r="AS377" s="7"/>
      <c r="AT377" s="7" t="str">
        <f t="shared" si="58"/>
        <v>New Philadelphia City SD</v>
      </c>
      <c r="AU377" s="7" t="str">
        <f>'Gov Fd BS'!A377</f>
        <v>New Philadelphia City SD</v>
      </c>
      <c r="AV377" s="7" t="b">
        <f t="shared" si="59"/>
        <v>1</v>
      </c>
      <c r="AW377" s="7" t="str">
        <f t="shared" si="57"/>
        <v>Tuscarawas</v>
      </c>
      <c r="AX377" s="7" t="b">
        <f>C377='Gov Fd BS'!C377</f>
        <v>1</v>
      </c>
    </row>
    <row r="378" spans="1:50">
      <c r="A378" s="12" t="s">
        <v>881</v>
      </c>
      <c r="B378" s="12"/>
      <c r="C378" s="12" t="s">
        <v>113</v>
      </c>
      <c r="D378" s="12"/>
      <c r="E378" s="12">
        <v>45559</v>
      </c>
      <c r="F378" s="24"/>
      <c r="G378" s="24">
        <v>14149048</v>
      </c>
      <c r="H378" s="24"/>
      <c r="I378" s="24">
        <v>0</v>
      </c>
      <c r="J378" s="24"/>
      <c r="K378" s="24">
        <v>15986704</v>
      </c>
      <c r="L378" s="24"/>
      <c r="M378" s="24">
        <v>117056</v>
      </c>
      <c r="N378" s="24"/>
      <c r="O378" s="24">
        <v>1142294</v>
      </c>
      <c r="P378" s="24"/>
      <c r="Q378" s="24">
        <v>0</v>
      </c>
      <c r="R378" s="24"/>
      <c r="S378" s="24">
        <v>0</v>
      </c>
      <c r="T378" s="24"/>
      <c r="U378" s="24">
        <v>0</v>
      </c>
      <c r="V378" s="24"/>
      <c r="W378" s="24">
        <v>524132</v>
      </c>
      <c r="X378" s="24"/>
      <c r="Y378" s="38">
        <f t="shared" si="67"/>
        <v>31919234</v>
      </c>
      <c r="Z378" s="24"/>
      <c r="AA378" s="24">
        <v>447638</v>
      </c>
      <c r="AB378" s="24"/>
      <c r="AC378" s="24">
        <v>0</v>
      </c>
      <c r="AD378" s="24"/>
      <c r="AE378" s="24">
        <v>0</v>
      </c>
      <c r="AF378" s="24"/>
      <c r="AG378" s="24"/>
      <c r="AH378" s="24"/>
      <c r="AI378" s="24"/>
      <c r="AJ378" s="24"/>
      <c r="AK378" s="24">
        <v>0</v>
      </c>
      <c r="AL378" s="24"/>
      <c r="AM378" s="24">
        <v>0</v>
      </c>
      <c r="AN378" s="24"/>
      <c r="AO378" s="38">
        <f t="shared" si="70"/>
        <v>447638</v>
      </c>
      <c r="AP378" s="24"/>
      <c r="AQ378" s="38">
        <f t="shared" si="71"/>
        <v>32366872</v>
      </c>
      <c r="AR378" s="38"/>
      <c r="AS378" s="7"/>
      <c r="AT378" s="7" t="str">
        <f t="shared" si="58"/>
        <v>New Richmond Exempted Village SD</v>
      </c>
      <c r="AU378" s="7" t="str">
        <f>'Gov Fd BS'!A378</f>
        <v>New Richmond Exempted Village SD</v>
      </c>
      <c r="AV378" s="7" t="b">
        <f t="shared" si="59"/>
        <v>1</v>
      </c>
      <c r="AW378" s="7" t="str">
        <f t="shared" si="57"/>
        <v>Clermont</v>
      </c>
      <c r="AX378" s="7" t="b">
        <f>C378='Gov Fd BS'!C378</f>
        <v>1</v>
      </c>
    </row>
    <row r="379" spans="1:50" hidden="1">
      <c r="A379" s="12" t="s">
        <v>940</v>
      </c>
      <c r="B379" s="12"/>
      <c r="C379" s="12" t="s">
        <v>60</v>
      </c>
      <c r="D379" s="12"/>
      <c r="E379" s="12">
        <v>49718</v>
      </c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38">
        <f t="shared" si="67"/>
        <v>0</v>
      </c>
      <c r="Z379" s="24"/>
      <c r="AA379" s="24"/>
      <c r="AB379" s="24"/>
      <c r="AC379" s="24">
        <v>0</v>
      </c>
      <c r="AD379" s="24"/>
      <c r="AE379" s="24"/>
      <c r="AF379" s="24"/>
      <c r="AG379" s="24"/>
      <c r="AH379" s="24"/>
      <c r="AI379" s="24"/>
      <c r="AJ379" s="24"/>
      <c r="AK379" s="24"/>
      <c r="AL379" s="24"/>
      <c r="AM379" s="24">
        <v>0</v>
      </c>
      <c r="AN379" s="24"/>
      <c r="AO379" s="38">
        <f t="shared" si="70"/>
        <v>0</v>
      </c>
      <c r="AP379" s="24"/>
      <c r="AQ379" s="38">
        <f t="shared" si="71"/>
        <v>0</v>
      </c>
      <c r="AR379" s="38"/>
      <c r="AS379" s="7" t="s">
        <v>839</v>
      </c>
      <c r="AT379" s="7" t="str">
        <f t="shared" si="58"/>
        <v>New Riegel Local SD (CASH)</v>
      </c>
      <c r="AU379" s="7" t="str">
        <f>'Gov Fd BS'!A379</f>
        <v>New Riegel Local SD (CASH)</v>
      </c>
      <c r="AV379" s="7" t="b">
        <f t="shared" si="59"/>
        <v>1</v>
      </c>
      <c r="AW379" s="7" t="str">
        <f t="shared" si="57"/>
        <v>Seneca</v>
      </c>
      <c r="AX379" s="7" t="b">
        <f>C379='Gov Fd BS'!C379</f>
        <v>1</v>
      </c>
    </row>
    <row r="380" spans="1:50">
      <c r="A380" s="12" t="s">
        <v>388</v>
      </c>
      <c r="B380" s="12"/>
      <c r="C380" s="12" t="s">
        <v>42</v>
      </c>
      <c r="D380" s="12"/>
      <c r="E380" s="12">
        <v>44453</v>
      </c>
      <c r="F380" s="24"/>
      <c r="G380" s="24">
        <v>22288474</v>
      </c>
      <c r="H380" s="24"/>
      <c r="I380" s="24">
        <v>7461866</v>
      </c>
      <c r="J380" s="24"/>
      <c r="K380" s="24">
        <f>57690931+10809399</f>
        <v>68500330</v>
      </c>
      <c r="L380" s="24"/>
      <c r="M380" s="24">
        <v>94901</v>
      </c>
      <c r="N380" s="24"/>
      <c r="O380" s="24">
        <f>655273+102270+570499+141145+22290+22408</f>
        <v>1513885</v>
      </c>
      <c r="P380" s="24"/>
      <c r="Q380" s="24">
        <v>400659</v>
      </c>
      <c r="R380" s="24"/>
      <c r="S380" s="24">
        <v>7884</v>
      </c>
      <c r="T380" s="24"/>
      <c r="U380" s="24">
        <v>384683</v>
      </c>
      <c r="V380" s="24"/>
      <c r="W380" s="24">
        <v>408914</v>
      </c>
      <c r="X380" s="24"/>
      <c r="Y380" s="38">
        <f t="shared" si="67"/>
        <v>101061596</v>
      </c>
      <c r="Z380" s="24"/>
      <c r="AA380" s="24">
        <v>78975</v>
      </c>
      <c r="AB380" s="24"/>
      <c r="AC380" s="24">
        <v>0</v>
      </c>
      <c r="AD380" s="24"/>
      <c r="AE380" s="24">
        <v>0</v>
      </c>
      <c r="AF380" s="24"/>
      <c r="AG380" s="24"/>
      <c r="AH380" s="24"/>
      <c r="AI380" s="24"/>
      <c r="AJ380" s="24"/>
      <c r="AK380" s="24">
        <v>885419</v>
      </c>
      <c r="AL380" s="24"/>
      <c r="AM380" s="24">
        <v>0</v>
      </c>
      <c r="AN380" s="24"/>
      <c r="AO380" s="38">
        <f t="shared" si="70"/>
        <v>964394</v>
      </c>
      <c r="AP380" s="24"/>
      <c r="AQ380" s="38">
        <f t="shared" si="71"/>
        <v>102025990</v>
      </c>
      <c r="AR380" s="38"/>
      <c r="AS380" s="7"/>
      <c r="AT380" s="7" t="str">
        <f t="shared" si="58"/>
        <v>Newark City SD</v>
      </c>
      <c r="AU380" s="7" t="str">
        <f>'Gov Fd BS'!A380</f>
        <v>Newark City SD</v>
      </c>
      <c r="AV380" s="7" t="b">
        <f t="shared" si="59"/>
        <v>1</v>
      </c>
      <c r="AW380" s="7" t="str">
        <f t="shared" si="57"/>
        <v>Licking</v>
      </c>
      <c r="AX380" s="7" t="b">
        <f>C380='Gov Fd BS'!C380</f>
        <v>1</v>
      </c>
    </row>
    <row r="381" spans="1:50">
      <c r="A381" s="12" t="s">
        <v>323</v>
      </c>
      <c r="B381" s="12"/>
      <c r="C381" s="12" t="s">
        <v>30</v>
      </c>
      <c r="D381" s="12"/>
      <c r="E381" s="12">
        <v>47217</v>
      </c>
      <c r="F381" s="24"/>
      <c r="G381" s="24">
        <v>5002781</v>
      </c>
      <c r="H381" s="24"/>
      <c r="I381" s="24">
        <v>0</v>
      </c>
      <c r="J381" s="24"/>
      <c r="K381" s="24">
        <v>2989465</v>
      </c>
      <c r="L381" s="24"/>
      <c r="M381" s="24">
        <v>34564</v>
      </c>
      <c r="N381" s="24"/>
      <c r="O381" s="24">
        <f>285632+83198</f>
        <v>368830</v>
      </c>
      <c r="P381" s="24"/>
      <c r="Q381" s="24">
        <v>87141</v>
      </c>
      <c r="R381" s="24"/>
      <c r="S381" s="24">
        <v>0</v>
      </c>
      <c r="T381" s="24"/>
      <c r="U381" s="24">
        <v>1333</v>
      </c>
      <c r="V381" s="24"/>
      <c r="W381" s="24">
        <v>77038</v>
      </c>
      <c r="X381" s="24"/>
      <c r="Y381" s="38">
        <f t="shared" si="67"/>
        <v>8561152</v>
      </c>
      <c r="Z381" s="24"/>
      <c r="AA381" s="24">
        <v>78478</v>
      </c>
      <c r="AB381" s="24"/>
      <c r="AC381" s="24">
        <v>0</v>
      </c>
      <c r="AD381" s="24"/>
      <c r="AE381" s="24">
        <v>0</v>
      </c>
      <c r="AF381" s="24"/>
      <c r="AG381" s="24"/>
      <c r="AH381" s="24"/>
      <c r="AI381" s="24"/>
      <c r="AJ381" s="24"/>
      <c r="AK381" s="24">
        <v>0</v>
      </c>
      <c r="AL381" s="24"/>
      <c r="AM381" s="24">
        <v>0</v>
      </c>
      <c r="AN381" s="24"/>
      <c r="AO381" s="38">
        <f t="shared" si="70"/>
        <v>78478</v>
      </c>
      <c r="AP381" s="24"/>
      <c r="AQ381" s="38">
        <f t="shared" si="71"/>
        <v>8639630</v>
      </c>
      <c r="AR381" s="38"/>
      <c r="AS381" s="97"/>
      <c r="AT381" s="7" t="str">
        <f t="shared" si="58"/>
        <v>Newbury Local SD</v>
      </c>
      <c r="AU381" s="7" t="str">
        <f>'Gov Fd BS'!A381</f>
        <v>Newbury Local SD</v>
      </c>
      <c r="AV381" s="7" t="b">
        <f t="shared" si="59"/>
        <v>1</v>
      </c>
      <c r="AW381" s="7" t="str">
        <f t="shared" si="57"/>
        <v>Geauga</v>
      </c>
      <c r="AX381" s="7" t="b">
        <f>C381='Gov Fd BS'!C381</f>
        <v>1</v>
      </c>
    </row>
    <row r="382" spans="1:50">
      <c r="A382" s="12" t="s">
        <v>882</v>
      </c>
      <c r="B382" s="12"/>
      <c r="C382" s="12" t="s">
        <v>65</v>
      </c>
      <c r="D382" s="12"/>
      <c r="E382" s="12">
        <v>45542</v>
      </c>
      <c r="F382" s="24"/>
      <c r="G382" s="24">
        <v>2954604</v>
      </c>
      <c r="H382" s="24"/>
      <c r="I382" s="24">
        <v>0</v>
      </c>
      <c r="J382" s="24"/>
      <c r="K382" s="24">
        <f>6426799+1997041</f>
        <v>8423840</v>
      </c>
      <c r="L382" s="24"/>
      <c r="M382" s="24">
        <v>24</v>
      </c>
      <c r="N382" s="24"/>
      <c r="O382" s="24">
        <f>778071+148393+16518+325</f>
        <v>943307</v>
      </c>
      <c r="P382" s="24"/>
      <c r="Q382" s="24">
        <v>142190</v>
      </c>
      <c r="R382" s="24"/>
      <c r="S382" s="24">
        <v>0</v>
      </c>
      <c r="T382" s="24"/>
      <c r="U382" s="24">
        <v>114301</v>
      </c>
      <c r="V382" s="24"/>
      <c r="W382" s="24">
        <v>315203</v>
      </c>
      <c r="X382" s="24"/>
      <c r="Y382" s="38">
        <f t="shared" si="67"/>
        <v>12893469</v>
      </c>
      <c r="Z382" s="24"/>
      <c r="AA382" s="24">
        <v>1453</v>
      </c>
      <c r="AB382" s="24"/>
      <c r="AC382" s="24">
        <v>0</v>
      </c>
      <c r="AD382" s="24"/>
      <c r="AE382" s="24">
        <f>21920+143388+2109998</f>
        <v>2275306</v>
      </c>
      <c r="AF382" s="24"/>
      <c r="AG382" s="24"/>
      <c r="AH382" s="24"/>
      <c r="AI382" s="24"/>
      <c r="AJ382" s="24"/>
      <c r="AK382" s="24">
        <v>0</v>
      </c>
      <c r="AL382" s="24"/>
      <c r="AM382" s="24">
        <v>0</v>
      </c>
      <c r="AN382" s="24"/>
      <c r="AO382" s="38">
        <f t="shared" si="70"/>
        <v>2276759</v>
      </c>
      <c r="AP382" s="24"/>
      <c r="AQ382" s="38">
        <f t="shared" si="71"/>
        <v>15170228</v>
      </c>
      <c r="AR382" s="38"/>
      <c r="AS382" s="7"/>
      <c r="AT382" s="7" t="str">
        <f t="shared" si="58"/>
        <v>Newcomerstown Exempted Village SD</v>
      </c>
      <c r="AU382" s="7" t="str">
        <f>'Gov Fd BS'!A382</f>
        <v>Newcomerstown Exempted Village SD</v>
      </c>
      <c r="AV382" s="7" t="b">
        <f t="shared" si="59"/>
        <v>1</v>
      </c>
      <c r="AW382" s="7" t="str">
        <f t="shared" si="57"/>
        <v>Tuscarawas</v>
      </c>
      <c r="AX382" s="7" t="b">
        <f>C382='Gov Fd BS'!C382</f>
        <v>1</v>
      </c>
    </row>
    <row r="383" spans="1:50">
      <c r="A383" s="12" t="s">
        <v>883</v>
      </c>
      <c r="B383" s="12"/>
      <c r="C383" s="12" t="s">
        <v>64</v>
      </c>
      <c r="D383" s="12"/>
      <c r="E383" s="12">
        <v>45567</v>
      </c>
      <c r="F383" s="24"/>
      <c r="G383" s="24">
        <v>2999607</v>
      </c>
      <c r="H383" s="24"/>
      <c r="I383" s="24">
        <v>0</v>
      </c>
      <c r="J383" s="24"/>
      <c r="K383" s="24">
        <v>9771771</v>
      </c>
      <c r="L383" s="24"/>
      <c r="M383" s="24">
        <v>9772</v>
      </c>
      <c r="N383" s="24"/>
      <c r="O383" s="24">
        <f>278588+178656+1849</f>
        <v>459093</v>
      </c>
      <c r="P383" s="24"/>
      <c r="Q383" s="24">
        <v>139652</v>
      </c>
      <c r="R383" s="24"/>
      <c r="S383" s="24">
        <v>0</v>
      </c>
      <c r="T383" s="24"/>
      <c r="U383" s="24">
        <v>1000</v>
      </c>
      <c r="V383" s="24"/>
      <c r="W383" s="24">
        <v>167663</v>
      </c>
      <c r="X383" s="24"/>
      <c r="Y383" s="38">
        <f t="shared" si="67"/>
        <v>13548558</v>
      </c>
      <c r="Z383" s="24"/>
      <c r="AA383" s="24">
        <v>50397</v>
      </c>
      <c r="AB383" s="24"/>
      <c r="AC383" s="24">
        <v>0</v>
      </c>
      <c r="AD383" s="24"/>
      <c r="AE383" s="24">
        <v>0</v>
      </c>
      <c r="AF383" s="24"/>
      <c r="AG383" s="24"/>
      <c r="AH383" s="24"/>
      <c r="AI383" s="24"/>
      <c r="AJ383" s="24"/>
      <c r="AK383" s="24">
        <v>0</v>
      </c>
      <c r="AL383" s="24"/>
      <c r="AM383" s="24">
        <v>0</v>
      </c>
      <c r="AN383" s="24"/>
      <c r="AO383" s="38">
        <f t="shared" si="70"/>
        <v>50397</v>
      </c>
      <c r="AP383" s="24"/>
      <c r="AQ383" s="38">
        <f t="shared" si="71"/>
        <v>13598955</v>
      </c>
      <c r="AR383" s="38"/>
      <c r="AS383" s="7"/>
      <c r="AT383" s="7" t="str">
        <f t="shared" si="58"/>
        <v>Newton Falls Exempted Village SD</v>
      </c>
      <c r="AU383" s="7" t="str">
        <f>'Gov Fd BS'!A383</f>
        <v>Newton Falls Exempted Village SD</v>
      </c>
      <c r="AV383" s="7" t="b">
        <f t="shared" si="59"/>
        <v>1</v>
      </c>
      <c r="AW383" s="7" t="str">
        <f t="shared" si="57"/>
        <v>Trumbull</v>
      </c>
      <c r="AX383" s="7" t="b">
        <f>C383='Gov Fd BS'!C383</f>
        <v>1</v>
      </c>
    </row>
    <row r="384" spans="1:50" hidden="1">
      <c r="A384" s="12" t="s">
        <v>941</v>
      </c>
      <c r="B384" s="12"/>
      <c r="C384" s="12" t="s">
        <v>48</v>
      </c>
      <c r="D384" s="12"/>
      <c r="E384" s="12">
        <v>48637</v>
      </c>
      <c r="F384" s="24"/>
      <c r="G384" s="24"/>
      <c r="H384" s="24"/>
      <c r="I384" s="24">
        <v>0</v>
      </c>
      <c r="J384" s="24"/>
      <c r="K384" s="24"/>
      <c r="L384" s="24"/>
      <c r="M384" s="24"/>
      <c r="N384" s="24"/>
      <c r="O384" s="24"/>
      <c r="P384" s="24"/>
      <c r="Q384" s="24"/>
      <c r="R384" s="24"/>
      <c r="S384" s="24">
        <v>0</v>
      </c>
      <c r="T384" s="24"/>
      <c r="U384" s="24"/>
      <c r="V384" s="24"/>
      <c r="W384" s="24"/>
      <c r="X384" s="24"/>
      <c r="Y384" s="38">
        <f t="shared" si="67"/>
        <v>0</v>
      </c>
      <c r="Z384" s="24"/>
      <c r="AA384" s="24"/>
      <c r="AB384" s="24"/>
      <c r="AC384" s="24">
        <v>0</v>
      </c>
      <c r="AD384" s="24"/>
      <c r="AE384" s="24"/>
      <c r="AF384" s="24"/>
      <c r="AG384" s="24"/>
      <c r="AH384" s="24"/>
      <c r="AI384" s="24"/>
      <c r="AJ384" s="24"/>
      <c r="AK384" s="24"/>
      <c r="AL384" s="24"/>
      <c r="AM384" s="24">
        <v>0</v>
      </c>
      <c r="AN384" s="24"/>
      <c r="AO384" s="38">
        <f t="shared" si="70"/>
        <v>0</v>
      </c>
      <c r="AP384" s="24"/>
      <c r="AQ384" s="38">
        <f t="shared" si="71"/>
        <v>0</v>
      </c>
      <c r="AR384" s="38"/>
      <c r="AS384" s="7" t="s">
        <v>912</v>
      </c>
      <c r="AT384" s="7" t="str">
        <f t="shared" si="58"/>
        <v>Newton Local SD (CASH)</v>
      </c>
      <c r="AU384" s="7" t="str">
        <f>'Gov Fd BS'!A384</f>
        <v>Newton Local SD (CASH)</v>
      </c>
      <c r="AV384" s="7" t="b">
        <f t="shared" si="59"/>
        <v>1</v>
      </c>
      <c r="AW384" s="7" t="str">
        <f t="shared" si="57"/>
        <v>Miami</v>
      </c>
      <c r="AX384" s="7" t="b">
        <f>C384='Gov Fd BS'!C384</f>
        <v>1</v>
      </c>
    </row>
    <row r="385" spans="1:50">
      <c r="A385" s="12" t="s">
        <v>631</v>
      </c>
      <c r="B385" s="12"/>
      <c r="C385" s="12" t="s">
        <v>64</v>
      </c>
      <c r="D385" s="12"/>
      <c r="E385" s="12"/>
      <c r="F385" s="24"/>
      <c r="G385" s="24">
        <v>8481975</v>
      </c>
      <c r="H385" s="24"/>
      <c r="I385" s="24">
        <v>0</v>
      </c>
      <c r="J385" s="24"/>
      <c r="K385" s="24">
        <f>23354591+4475129</f>
        <v>27829720</v>
      </c>
      <c r="L385" s="24"/>
      <c r="M385" s="24">
        <v>260424</v>
      </c>
      <c r="N385" s="24"/>
      <c r="O385" s="24">
        <f>721042+82802+308405+16085+24100+990</f>
        <v>1153424</v>
      </c>
      <c r="P385" s="24"/>
      <c r="Q385" s="24">
        <v>137220</v>
      </c>
      <c r="R385" s="24"/>
      <c r="S385" s="24">
        <v>0</v>
      </c>
      <c r="T385" s="24"/>
      <c r="U385" s="24">
        <v>14558</v>
      </c>
      <c r="V385" s="24"/>
      <c r="W385" s="24">
        <v>350586</v>
      </c>
      <c r="X385" s="24"/>
      <c r="Y385" s="38">
        <f t="shared" si="67"/>
        <v>38227907</v>
      </c>
      <c r="Z385" s="24"/>
      <c r="AA385" s="24">
        <v>0</v>
      </c>
      <c r="AB385" s="24"/>
      <c r="AC385" s="24">
        <v>0</v>
      </c>
      <c r="AD385" s="24"/>
      <c r="AE385" s="24">
        <f>221518+3535000</f>
        <v>3756518</v>
      </c>
      <c r="AF385" s="24"/>
      <c r="AG385" s="24"/>
      <c r="AH385" s="24"/>
      <c r="AI385" s="24"/>
      <c r="AJ385" s="24"/>
      <c r="AK385" s="24">
        <v>0</v>
      </c>
      <c r="AL385" s="24"/>
      <c r="AM385" s="24">
        <v>0</v>
      </c>
      <c r="AN385" s="24"/>
      <c r="AO385" s="38">
        <f t="shared" si="70"/>
        <v>3756518</v>
      </c>
      <c r="AP385" s="24"/>
      <c r="AQ385" s="38">
        <f t="shared" si="71"/>
        <v>41984425</v>
      </c>
      <c r="AR385" s="38"/>
      <c r="AS385" s="7"/>
      <c r="AT385" s="7" t="str">
        <f t="shared" si="58"/>
        <v>Niles City SD</v>
      </c>
      <c r="AU385" s="7" t="str">
        <f>'Gov Fd BS'!A385</f>
        <v>Niles City SD</v>
      </c>
      <c r="AV385" s="7" t="b">
        <f t="shared" si="59"/>
        <v>1</v>
      </c>
      <c r="AW385" s="7" t="str">
        <f t="shared" si="57"/>
        <v>Trumbull</v>
      </c>
      <c r="AX385" s="7" t="b">
        <f>C385='Gov Fd BS'!C385</f>
        <v>1</v>
      </c>
    </row>
    <row r="386" spans="1:50">
      <c r="A386" s="12" t="s">
        <v>462</v>
      </c>
      <c r="B386" s="12"/>
      <c r="C386" s="12" t="s">
        <v>52</v>
      </c>
      <c r="D386" s="12"/>
      <c r="E386" s="12">
        <v>48900</v>
      </c>
      <c r="F386" s="24"/>
      <c r="G386" s="24">
        <v>2858310</v>
      </c>
      <c r="H386" s="24"/>
      <c r="I386" s="24">
        <v>0</v>
      </c>
      <c r="J386" s="24"/>
      <c r="K386" s="24">
        <v>7424686</v>
      </c>
      <c r="L386" s="24"/>
      <c r="M386" s="24">
        <v>26080</v>
      </c>
      <c r="N386" s="24"/>
      <c r="O386" s="24">
        <f>189890+763719+749</f>
        <v>954358</v>
      </c>
      <c r="P386" s="24"/>
      <c r="Q386" s="24">
        <v>93631</v>
      </c>
      <c r="R386" s="24"/>
      <c r="S386" s="24">
        <v>0</v>
      </c>
      <c r="T386" s="24"/>
      <c r="U386" s="24">
        <v>1300</v>
      </c>
      <c r="V386" s="24"/>
      <c r="W386" s="24">
        <v>15930</v>
      </c>
      <c r="X386" s="24"/>
      <c r="Y386" s="38">
        <f t="shared" si="67"/>
        <v>11374295</v>
      </c>
      <c r="Z386" s="24"/>
      <c r="AA386" s="24">
        <v>0</v>
      </c>
      <c r="AB386" s="24"/>
      <c r="AC386" s="24">
        <v>0</v>
      </c>
      <c r="AD386" s="24"/>
      <c r="AE386" s="24">
        <v>42267</v>
      </c>
      <c r="AF386" s="24"/>
      <c r="AG386" s="24"/>
      <c r="AH386" s="24"/>
      <c r="AI386" s="24"/>
      <c r="AJ386" s="24"/>
      <c r="AK386" s="24">
        <v>0</v>
      </c>
      <c r="AL386" s="24"/>
      <c r="AM386" s="24">
        <v>0</v>
      </c>
      <c r="AN386" s="24"/>
      <c r="AO386" s="38">
        <f t="shared" si="70"/>
        <v>42267</v>
      </c>
      <c r="AP386" s="24"/>
      <c r="AQ386" s="38">
        <f t="shared" si="71"/>
        <v>11416562</v>
      </c>
      <c r="AR386" s="38"/>
      <c r="AS386" s="7"/>
      <c r="AT386" s="7" t="str">
        <f t="shared" si="58"/>
        <v>Noble Local SD</v>
      </c>
      <c r="AU386" s="7" t="str">
        <f>'Gov Fd BS'!A386</f>
        <v>Noble Local SD</v>
      </c>
      <c r="AV386" s="7" t="b">
        <f t="shared" si="59"/>
        <v>1</v>
      </c>
      <c r="AW386" s="7" t="str">
        <f t="shared" si="57"/>
        <v>Noble</v>
      </c>
      <c r="AX386" s="7" t="b">
        <f>C386='Gov Fd BS'!C386</f>
        <v>1</v>
      </c>
    </row>
    <row r="387" spans="1:50">
      <c r="A387" s="12" t="s">
        <v>527</v>
      </c>
      <c r="B387" s="12"/>
      <c r="C387" s="12" t="s">
        <v>63</v>
      </c>
      <c r="D387" s="12"/>
      <c r="E387" s="12">
        <v>50047</v>
      </c>
      <c r="F387" s="24"/>
      <c r="G387" s="24">
        <v>28635403</v>
      </c>
      <c r="H387" s="24"/>
      <c r="I387" s="24">
        <v>0</v>
      </c>
      <c r="J387" s="24"/>
      <c r="K387" s="24">
        <v>14960325</v>
      </c>
      <c r="L387" s="24"/>
      <c r="M387" s="24">
        <v>16087</v>
      </c>
      <c r="N387" s="24"/>
      <c r="O387" s="24">
        <f>315869+991756+103954</f>
        <v>1411579</v>
      </c>
      <c r="P387" s="24"/>
      <c r="Q387" s="24">
        <v>734504</v>
      </c>
      <c r="R387" s="24"/>
      <c r="S387" s="24">
        <v>0</v>
      </c>
      <c r="T387" s="24"/>
      <c r="U387" s="24">
        <v>32371</v>
      </c>
      <c r="V387" s="24"/>
      <c r="W387" s="24">
        <v>79202</v>
      </c>
      <c r="X387" s="24"/>
      <c r="Y387" s="38">
        <f t="shared" si="67"/>
        <v>45869471</v>
      </c>
      <c r="Z387" s="24"/>
      <c r="AA387" s="24">
        <v>20530</v>
      </c>
      <c r="AB387" s="24"/>
      <c r="AC387" s="24">
        <v>0</v>
      </c>
      <c r="AD387" s="24"/>
      <c r="AE387" s="24">
        <v>0</v>
      </c>
      <c r="AF387" s="24"/>
      <c r="AG387" s="24"/>
      <c r="AH387" s="24"/>
      <c r="AI387" s="24"/>
      <c r="AJ387" s="24"/>
      <c r="AK387" s="24">
        <v>0</v>
      </c>
      <c r="AL387" s="24"/>
      <c r="AM387" s="24">
        <v>0</v>
      </c>
      <c r="AN387" s="24"/>
      <c r="AO387" s="38">
        <f t="shared" si="70"/>
        <v>20530</v>
      </c>
      <c r="AP387" s="24"/>
      <c r="AQ387" s="38">
        <f t="shared" si="71"/>
        <v>45890001</v>
      </c>
      <c r="AR387" s="38"/>
      <c r="AS387" s="7"/>
      <c r="AT387" s="7" t="str">
        <f t="shared" si="58"/>
        <v>Nordonia Hills City SD</v>
      </c>
      <c r="AU387" s="7" t="str">
        <f>'Gov Fd BS'!A387</f>
        <v>Nordonia Hills City SD</v>
      </c>
      <c r="AV387" s="7" t="b">
        <f t="shared" si="59"/>
        <v>1</v>
      </c>
      <c r="AW387" s="7" t="str">
        <f t="shared" si="57"/>
        <v>Summit</v>
      </c>
      <c r="AX387" s="7" t="b">
        <f>C387='Gov Fd BS'!C387</f>
        <v>1</v>
      </c>
    </row>
    <row r="388" spans="1:50">
      <c r="A388" s="12" t="s">
        <v>574</v>
      </c>
      <c r="B388" s="12"/>
      <c r="C388" s="12" t="s">
        <v>72</v>
      </c>
      <c r="D388" s="12"/>
      <c r="E388" s="12">
        <v>50708</v>
      </c>
      <c r="F388" s="24"/>
      <c r="G388" s="24">
        <v>3787743</v>
      </c>
      <c r="H388" s="24"/>
      <c r="I388" s="24">
        <v>0</v>
      </c>
      <c r="J388" s="24"/>
      <c r="K388" s="24">
        <v>11984171</v>
      </c>
      <c r="L388" s="24"/>
      <c r="M388" s="24">
        <v>39027</v>
      </c>
      <c r="N388" s="24"/>
      <c r="O388" s="24">
        <f>277876+134149</f>
        <v>412025</v>
      </c>
      <c r="P388" s="24"/>
      <c r="Q388" s="24">
        <v>0</v>
      </c>
      <c r="R388" s="24"/>
      <c r="S388" s="24">
        <v>0</v>
      </c>
      <c r="T388" s="24"/>
      <c r="U388" s="24">
        <v>0</v>
      </c>
      <c r="V388" s="24"/>
      <c r="W388" s="24">
        <v>400577</v>
      </c>
      <c r="X388" s="24"/>
      <c r="Y388" s="38">
        <f t="shared" si="67"/>
        <v>16623543</v>
      </c>
      <c r="Z388" s="24"/>
      <c r="AA388" s="24">
        <v>2210</v>
      </c>
      <c r="AB388" s="24"/>
      <c r="AC388" s="24">
        <v>0</v>
      </c>
      <c r="AD388" s="24"/>
      <c r="AE388" s="24">
        <v>0</v>
      </c>
      <c r="AF388" s="24"/>
      <c r="AG388" s="24"/>
      <c r="AH388" s="24"/>
      <c r="AI388" s="24"/>
      <c r="AJ388" s="24"/>
      <c r="AK388" s="24">
        <v>0</v>
      </c>
      <c r="AL388" s="24"/>
      <c r="AM388" s="24">
        <v>0</v>
      </c>
      <c r="AN388" s="24"/>
      <c r="AO388" s="38">
        <f t="shared" si="70"/>
        <v>2210</v>
      </c>
      <c r="AP388" s="24"/>
      <c r="AQ388" s="38">
        <f t="shared" si="71"/>
        <v>16625753</v>
      </c>
      <c r="AR388" s="38"/>
      <c r="AS388" s="7"/>
      <c r="AT388" s="7" t="str">
        <f t="shared" si="58"/>
        <v>North Baltimore Local SD</v>
      </c>
      <c r="AU388" s="7" t="str">
        <f>'Gov Fd BS'!A388</f>
        <v>North Baltimore Local SD</v>
      </c>
      <c r="AV388" s="7" t="b">
        <f t="shared" si="59"/>
        <v>1</v>
      </c>
      <c r="AW388" s="7" t="str">
        <f t="shared" si="57"/>
        <v>Wood</v>
      </c>
      <c r="AX388" s="7" t="b">
        <f>C388='Gov Fd BS'!C388</f>
        <v>1</v>
      </c>
    </row>
    <row r="389" spans="1:50" hidden="1">
      <c r="A389" s="12" t="s">
        <v>943</v>
      </c>
      <c r="B389" s="12"/>
      <c r="C389" s="12" t="s">
        <v>53</v>
      </c>
      <c r="D389" s="12"/>
      <c r="E389" s="12">
        <v>48967</v>
      </c>
      <c r="F389" s="24"/>
      <c r="G389" s="24"/>
      <c r="H389" s="24"/>
      <c r="I389" s="24">
        <v>0</v>
      </c>
      <c r="J389" s="24"/>
      <c r="K389" s="24"/>
      <c r="L389" s="24"/>
      <c r="M389" s="24"/>
      <c r="N389" s="24"/>
      <c r="O389" s="24"/>
      <c r="P389" s="24"/>
      <c r="Q389" s="24"/>
      <c r="R389" s="24"/>
      <c r="S389" s="24">
        <v>0</v>
      </c>
      <c r="T389" s="24"/>
      <c r="U389" s="24"/>
      <c r="V389" s="24"/>
      <c r="W389" s="24"/>
      <c r="X389" s="24"/>
      <c r="Y389" s="38">
        <f t="shared" si="67"/>
        <v>0</v>
      </c>
      <c r="Z389" s="24"/>
      <c r="AA389" s="24"/>
      <c r="AB389" s="24"/>
      <c r="AC389" s="24">
        <v>0</v>
      </c>
      <c r="AD389" s="24"/>
      <c r="AE389" s="24"/>
      <c r="AF389" s="24"/>
      <c r="AG389" s="24"/>
      <c r="AH389" s="24"/>
      <c r="AI389" s="24"/>
      <c r="AJ389" s="24"/>
      <c r="AK389" s="24"/>
      <c r="AL389" s="24"/>
      <c r="AM389" s="24">
        <v>0</v>
      </c>
      <c r="AN389" s="24"/>
      <c r="AO389" s="38">
        <f t="shared" si="70"/>
        <v>0</v>
      </c>
      <c r="AP389" s="24"/>
      <c r="AQ389" s="38">
        <f t="shared" si="71"/>
        <v>0</v>
      </c>
      <c r="AR389" s="38"/>
      <c r="AS389" s="7" t="s">
        <v>839</v>
      </c>
      <c r="AT389" s="7" t="str">
        <f t="shared" si="58"/>
        <v>North Bass Local SD (Two year Audit - CASH)</v>
      </c>
      <c r="AU389" s="7" t="str">
        <f>'Gov Fd BS'!A389</f>
        <v>North Bass Local SD (Two year Audit - CASH)</v>
      </c>
      <c r="AV389" s="7" t="b">
        <f t="shared" si="59"/>
        <v>1</v>
      </c>
      <c r="AW389" s="7" t="str">
        <f t="shared" si="57"/>
        <v>Ottawa</v>
      </c>
      <c r="AX389" s="7" t="b">
        <f>C389='Gov Fd BS'!C389</f>
        <v>1</v>
      </c>
    </row>
    <row r="390" spans="1:50">
      <c r="A390" s="12" t="s">
        <v>518</v>
      </c>
      <c r="B390" s="12"/>
      <c r="C390" s="12" t="s">
        <v>62</v>
      </c>
      <c r="D390" s="12"/>
      <c r="E390" s="12">
        <v>44503</v>
      </c>
      <c r="F390" s="24"/>
      <c r="G390" s="24">
        <v>25736819</v>
      </c>
      <c r="H390" s="24"/>
      <c r="I390" s="24">
        <v>0</v>
      </c>
      <c r="J390" s="24"/>
      <c r="K390" s="24">
        <f>87997+18127804+4053024</f>
        <v>22268825</v>
      </c>
      <c r="L390" s="24"/>
      <c r="M390" s="24">
        <v>37767</v>
      </c>
      <c r="N390" s="24"/>
      <c r="O390" s="24">
        <f>351743+1200475+539340+126918+51818</f>
        <v>2270294</v>
      </c>
      <c r="P390" s="24"/>
      <c r="Q390" s="24">
        <v>484748</v>
      </c>
      <c r="R390" s="24"/>
      <c r="S390" s="24">
        <v>0</v>
      </c>
      <c r="T390" s="24"/>
      <c r="U390" s="24">
        <v>80155</v>
      </c>
      <c r="V390" s="24"/>
      <c r="W390" s="24">
        <v>162935</v>
      </c>
      <c r="X390" s="24"/>
      <c r="Y390" s="38">
        <f t="shared" si="67"/>
        <v>51041543</v>
      </c>
      <c r="Z390" s="24"/>
      <c r="AA390" s="24">
        <v>158140</v>
      </c>
      <c r="AB390" s="24"/>
      <c r="AC390" s="24">
        <v>0</v>
      </c>
      <c r="AD390" s="24"/>
      <c r="AE390" s="24">
        <v>0</v>
      </c>
      <c r="AF390" s="24"/>
      <c r="AG390" s="24"/>
      <c r="AH390" s="24"/>
      <c r="AI390" s="24"/>
      <c r="AJ390" s="24"/>
      <c r="AK390" s="24">
        <v>0</v>
      </c>
      <c r="AL390" s="24"/>
      <c r="AM390" s="24">
        <v>0</v>
      </c>
      <c r="AN390" s="24"/>
      <c r="AO390" s="38">
        <f t="shared" si="70"/>
        <v>158140</v>
      </c>
      <c r="AP390" s="24"/>
      <c r="AQ390" s="38">
        <f t="shared" si="71"/>
        <v>51199683</v>
      </c>
      <c r="AR390" s="38"/>
      <c r="AS390" s="7"/>
      <c r="AT390" s="7" t="str">
        <f t="shared" si="58"/>
        <v>North Canton City SD</v>
      </c>
      <c r="AU390" s="7" t="str">
        <f>'Gov Fd BS'!A390</f>
        <v>North Canton City SD</v>
      </c>
      <c r="AV390" s="7" t="b">
        <f t="shared" si="59"/>
        <v>1</v>
      </c>
      <c r="AW390" s="7" t="str">
        <f t="shared" si="57"/>
        <v>Stark</v>
      </c>
      <c r="AX390" s="7" t="b">
        <f>C390='Gov Fd BS'!C390</f>
        <v>1</v>
      </c>
    </row>
    <row r="391" spans="1:50" hidden="1">
      <c r="A391" s="12" t="s">
        <v>944</v>
      </c>
      <c r="B391" s="12"/>
      <c r="C391" s="12" t="s">
        <v>570</v>
      </c>
      <c r="D391" s="12"/>
      <c r="E391" s="12">
        <v>50641</v>
      </c>
      <c r="F391" s="24"/>
      <c r="G391" s="24"/>
      <c r="H391" s="24"/>
      <c r="I391" s="24">
        <v>0</v>
      </c>
      <c r="J391" s="24"/>
      <c r="K391" s="24"/>
      <c r="L391" s="24"/>
      <c r="M391" s="24"/>
      <c r="N391" s="24"/>
      <c r="O391" s="24"/>
      <c r="P391" s="24"/>
      <c r="Q391" s="24"/>
      <c r="R391" s="24"/>
      <c r="S391" s="24">
        <v>0</v>
      </c>
      <c r="T391" s="24"/>
      <c r="U391" s="24"/>
      <c r="V391" s="24"/>
      <c r="W391" s="24"/>
      <c r="X391" s="24"/>
      <c r="Y391" s="38">
        <f t="shared" si="67"/>
        <v>0</v>
      </c>
      <c r="Z391" s="24"/>
      <c r="AA391" s="24"/>
      <c r="AB391" s="24"/>
      <c r="AC391" s="24">
        <v>0</v>
      </c>
      <c r="AD391" s="24"/>
      <c r="AE391" s="24"/>
      <c r="AF391" s="24"/>
      <c r="AG391" s="24"/>
      <c r="AH391" s="24"/>
      <c r="AI391" s="24"/>
      <c r="AJ391" s="24"/>
      <c r="AK391" s="24"/>
      <c r="AL391" s="24"/>
      <c r="AM391" s="24">
        <v>0</v>
      </c>
      <c r="AN391" s="24"/>
      <c r="AO391" s="38">
        <f t="shared" si="70"/>
        <v>0</v>
      </c>
      <c r="AP391" s="24"/>
      <c r="AQ391" s="38">
        <f t="shared" si="71"/>
        <v>0</v>
      </c>
      <c r="AR391" s="38"/>
      <c r="AS391" s="7" t="s">
        <v>839</v>
      </c>
      <c r="AT391" s="7" t="str">
        <f t="shared" si="58"/>
        <v>North Central Local SD (CASH)</v>
      </c>
      <c r="AU391" s="7" t="str">
        <f>'Gov Fd BS'!A391</f>
        <v>North Central Local SD (CASH)</v>
      </c>
      <c r="AV391" s="7" t="b">
        <f t="shared" si="59"/>
        <v>1</v>
      </c>
      <c r="AW391" s="7" t="str">
        <f t="shared" si="57"/>
        <v>Williams</v>
      </c>
      <c r="AX391" s="7" t="b">
        <f>C391='Gov Fd BS'!C391</f>
        <v>1</v>
      </c>
    </row>
    <row r="392" spans="1:50">
      <c r="A392" s="12" t="s">
        <v>748</v>
      </c>
      <c r="B392" s="12"/>
      <c r="C392" s="12" t="s">
        <v>32</v>
      </c>
      <c r="D392" s="12"/>
      <c r="E392" s="12">
        <v>44511</v>
      </c>
      <c r="F392" s="24"/>
      <c r="G392" s="24">
        <v>4748784</v>
      </c>
      <c r="H392" s="24"/>
      <c r="I392" s="24">
        <v>0</v>
      </c>
      <c r="J392" s="24"/>
      <c r="K392" s="24">
        <v>11812126</v>
      </c>
      <c r="L392" s="24"/>
      <c r="M392" s="24">
        <v>11823</v>
      </c>
      <c r="N392" s="24"/>
      <c r="O392" s="24">
        <f>236500+120386</f>
        <v>356886</v>
      </c>
      <c r="P392" s="24"/>
      <c r="Q392" s="24">
        <v>53841</v>
      </c>
      <c r="R392" s="24"/>
      <c r="S392" s="24">
        <v>0</v>
      </c>
      <c r="T392" s="24"/>
      <c r="U392" s="24">
        <v>0</v>
      </c>
      <c r="V392" s="24"/>
      <c r="W392" s="24">
        <v>1041379</v>
      </c>
      <c r="X392" s="24"/>
      <c r="Y392" s="38">
        <f t="shared" si="67"/>
        <v>18024839</v>
      </c>
      <c r="Z392" s="24"/>
      <c r="AA392" s="24">
        <v>38965</v>
      </c>
      <c r="AB392" s="24"/>
      <c r="AC392" s="24">
        <v>0</v>
      </c>
      <c r="AD392" s="24"/>
      <c r="AE392" s="24">
        <f>1325000+38625+4078</f>
        <v>1367703</v>
      </c>
      <c r="AF392" s="24"/>
      <c r="AG392" s="24"/>
      <c r="AH392" s="24"/>
      <c r="AI392" s="24"/>
      <c r="AJ392" s="24"/>
      <c r="AK392" s="24">
        <v>0</v>
      </c>
      <c r="AL392" s="24"/>
      <c r="AM392" s="24">
        <v>0</v>
      </c>
      <c r="AN392" s="24"/>
      <c r="AO392" s="38">
        <f t="shared" si="70"/>
        <v>1406668</v>
      </c>
      <c r="AP392" s="24"/>
      <c r="AQ392" s="38">
        <f t="shared" si="71"/>
        <v>19431507</v>
      </c>
      <c r="AR392" s="38"/>
      <c r="AS392" s="7" t="s">
        <v>945</v>
      </c>
      <c r="AT392" s="7" t="str">
        <f t="shared" si="58"/>
        <v xml:space="preserve">North College Hill City SD </v>
      </c>
      <c r="AU392" s="7" t="str">
        <f>'Gov Fd BS'!A392</f>
        <v xml:space="preserve">North College Hill City SD </v>
      </c>
      <c r="AV392" s="7" t="b">
        <f t="shared" si="59"/>
        <v>1</v>
      </c>
      <c r="AW392" s="7" t="str">
        <f t="shared" si="57"/>
        <v>Hamilton</v>
      </c>
      <c r="AX392" s="7" t="b">
        <f>C392='Gov Fd BS'!C392</f>
        <v>1</v>
      </c>
    </row>
    <row r="393" spans="1:50">
      <c r="A393" s="12" t="s">
        <v>389</v>
      </c>
      <c r="B393" s="12"/>
      <c r="C393" s="12" t="s">
        <v>42</v>
      </c>
      <c r="D393" s="12"/>
      <c r="E393" s="12">
        <v>48025</v>
      </c>
      <c r="F393" s="24"/>
      <c r="G393" s="24">
        <v>6391002</v>
      </c>
      <c r="H393" s="24"/>
      <c r="I393" s="24">
        <v>0</v>
      </c>
      <c r="J393" s="24"/>
      <c r="K393" s="24">
        <f>15680+8871912+2285189</f>
        <v>11172781</v>
      </c>
      <c r="L393" s="24"/>
      <c r="M393" s="24">
        <v>20586</v>
      </c>
      <c r="N393" s="24"/>
      <c r="O393" s="24">
        <f>673226+2040+173886+73882+20330</f>
        <v>943364</v>
      </c>
      <c r="P393" s="24"/>
      <c r="Q393" s="24">
        <v>201078</v>
      </c>
      <c r="R393" s="24"/>
      <c r="S393" s="24">
        <v>0</v>
      </c>
      <c r="T393" s="24"/>
      <c r="U393" s="24">
        <v>24159</v>
      </c>
      <c r="V393" s="24"/>
      <c r="W393" s="24">
        <v>138684</v>
      </c>
      <c r="X393" s="24"/>
      <c r="Y393" s="38">
        <f t="shared" si="67"/>
        <v>18891654</v>
      </c>
      <c r="Z393" s="24"/>
      <c r="AA393" s="24">
        <v>92067</v>
      </c>
      <c r="AB393" s="24"/>
      <c r="AC393" s="24">
        <v>0</v>
      </c>
      <c r="AD393" s="24"/>
      <c r="AE393" s="24">
        <v>1280000</v>
      </c>
      <c r="AF393" s="24"/>
      <c r="AG393" s="24"/>
      <c r="AH393" s="24"/>
      <c r="AI393" s="24"/>
      <c r="AJ393" s="24"/>
      <c r="AK393" s="24">
        <v>13521</v>
      </c>
      <c r="AL393" s="24"/>
      <c r="AM393" s="24">
        <v>0</v>
      </c>
      <c r="AN393" s="24"/>
      <c r="AO393" s="38">
        <f t="shared" si="70"/>
        <v>1385588</v>
      </c>
      <c r="AP393" s="24"/>
      <c r="AQ393" s="38">
        <f t="shared" si="71"/>
        <v>20277242</v>
      </c>
      <c r="AR393" s="38"/>
      <c r="AS393" s="7"/>
      <c r="AT393" s="7" t="str">
        <f t="shared" si="58"/>
        <v>North Fork Local SD</v>
      </c>
      <c r="AU393" s="7" t="str">
        <f>'Gov Fd BS'!A393</f>
        <v>North Fork Local SD</v>
      </c>
      <c r="AV393" s="7" t="b">
        <f t="shared" si="59"/>
        <v>1</v>
      </c>
      <c r="AW393" s="7" t="str">
        <f t="shared" si="57"/>
        <v>Licking</v>
      </c>
      <c r="AX393" s="7" t="b">
        <f>C393='Gov Fd BS'!C393</f>
        <v>1</v>
      </c>
    </row>
    <row r="394" spans="1:50">
      <c r="A394" s="12" t="s">
        <v>277</v>
      </c>
      <c r="B394" s="12"/>
      <c r="C394" s="12" t="s">
        <v>20</v>
      </c>
      <c r="D394" s="12"/>
      <c r="E394" s="12">
        <v>44529</v>
      </c>
      <c r="F394" s="24"/>
      <c r="G394" s="24">
        <v>39188686</v>
      </c>
      <c r="H394" s="24"/>
      <c r="I394" s="24">
        <v>0</v>
      </c>
      <c r="J394" s="24"/>
      <c r="K394" s="24">
        <v>18760117</v>
      </c>
      <c r="L394" s="24"/>
      <c r="M394" s="24">
        <v>25058</v>
      </c>
      <c r="N394" s="24"/>
      <c r="O394" s="24">
        <f>876716+655393</f>
        <v>1532109</v>
      </c>
      <c r="P394" s="24"/>
      <c r="Q394" s="24">
        <v>399833</v>
      </c>
      <c r="R394" s="24"/>
      <c r="S394" s="24">
        <v>0</v>
      </c>
      <c r="T394" s="24"/>
      <c r="U394" s="24">
        <v>0</v>
      </c>
      <c r="V394" s="24"/>
      <c r="W394" s="24">
        <v>601980</v>
      </c>
      <c r="X394" s="24"/>
      <c r="Y394" s="38">
        <f t="shared" ref="Y394:Y398" si="72">SUM(G394:W394)</f>
        <v>60507783</v>
      </c>
      <c r="Z394" s="24"/>
      <c r="AA394" s="24">
        <v>233000</v>
      </c>
      <c r="AB394" s="24"/>
      <c r="AC394" s="24">
        <v>0</v>
      </c>
      <c r="AD394" s="24"/>
      <c r="AE394" s="24">
        <v>0</v>
      </c>
      <c r="AF394" s="24"/>
      <c r="AG394" s="24"/>
      <c r="AH394" s="24"/>
      <c r="AI394" s="24"/>
      <c r="AJ394" s="24"/>
      <c r="AK394" s="24">
        <v>0</v>
      </c>
      <c r="AL394" s="24"/>
      <c r="AM394" s="24">
        <v>0</v>
      </c>
      <c r="AN394" s="24"/>
      <c r="AO394" s="38">
        <f t="shared" si="70"/>
        <v>233000</v>
      </c>
      <c r="AP394" s="24"/>
      <c r="AQ394" s="38">
        <f t="shared" si="71"/>
        <v>60740783</v>
      </c>
      <c r="AR394" s="38"/>
      <c r="AS394" s="7"/>
      <c r="AT394" s="7" t="str">
        <f t="shared" si="58"/>
        <v>North Olmsted City SD</v>
      </c>
      <c r="AU394" s="7" t="str">
        <f>'Gov Fd BS'!A394</f>
        <v>North Olmsted City SD</v>
      </c>
      <c r="AV394" s="7" t="b">
        <f t="shared" si="59"/>
        <v>1</v>
      </c>
      <c r="AW394" s="7" t="str">
        <f t="shared" si="57"/>
        <v>Cuyahoga</v>
      </c>
      <c r="AX394" s="7" t="b">
        <f>C394='Gov Fd BS'!C394</f>
        <v>1</v>
      </c>
    </row>
    <row r="395" spans="1:50">
      <c r="A395" s="12" t="s">
        <v>400</v>
      </c>
      <c r="B395" s="12"/>
      <c r="C395" s="12" t="s">
        <v>44</v>
      </c>
      <c r="D395" s="12"/>
      <c r="E395" s="12">
        <v>44537</v>
      </c>
      <c r="F395" s="24"/>
      <c r="G395" s="24">
        <v>19657562</v>
      </c>
      <c r="H395" s="24"/>
      <c r="I395" s="24">
        <v>0</v>
      </c>
      <c r="J395" s="24"/>
      <c r="K395" s="24">
        <v>14741322</v>
      </c>
      <c r="L395" s="24"/>
      <c r="M395" s="24">
        <v>7742</v>
      </c>
      <c r="N395" s="24"/>
      <c r="O395" s="24">
        <f>455603+711312</f>
        <v>1166915</v>
      </c>
      <c r="P395" s="24"/>
      <c r="Q395" s="24">
        <v>260772</v>
      </c>
      <c r="R395" s="24"/>
      <c r="S395" s="24">
        <v>0</v>
      </c>
      <c r="T395" s="24"/>
      <c r="U395" s="24">
        <v>0</v>
      </c>
      <c r="V395" s="24"/>
      <c r="W395" s="24">
        <v>346922</v>
      </c>
      <c r="X395" s="24"/>
      <c r="Y395" s="38">
        <f t="shared" si="72"/>
        <v>36181235</v>
      </c>
      <c r="Z395" s="24"/>
      <c r="AA395" s="24">
        <v>17000</v>
      </c>
      <c r="AB395" s="24"/>
      <c r="AC395" s="24">
        <v>0</v>
      </c>
      <c r="AD395" s="24"/>
      <c r="AE395" s="24">
        <f>1610000+74988</f>
        <v>1684988</v>
      </c>
      <c r="AF395" s="24"/>
      <c r="AG395" s="24"/>
      <c r="AH395" s="24"/>
      <c r="AI395" s="24"/>
      <c r="AJ395" s="24"/>
      <c r="AK395" s="24">
        <v>0</v>
      </c>
      <c r="AL395" s="24"/>
      <c r="AM395" s="24">
        <v>0</v>
      </c>
      <c r="AN395" s="24"/>
      <c r="AO395" s="38">
        <f t="shared" si="70"/>
        <v>1701988</v>
      </c>
      <c r="AP395" s="24"/>
      <c r="AQ395" s="38">
        <f t="shared" si="71"/>
        <v>37883223</v>
      </c>
      <c r="AR395" s="38"/>
      <c r="AS395" s="7"/>
      <c r="AT395" s="7" t="str">
        <f t="shared" si="58"/>
        <v>North Ridgeville City SD</v>
      </c>
      <c r="AU395" s="7" t="str">
        <f>'Gov Fd BS'!A395</f>
        <v>North Ridgeville City SD</v>
      </c>
      <c r="AV395" s="7" t="b">
        <f t="shared" si="59"/>
        <v>1</v>
      </c>
      <c r="AW395" s="7" t="str">
        <f t="shared" si="57"/>
        <v>Lorain</v>
      </c>
      <c r="AX395" s="7" t="b">
        <f>C395='Gov Fd BS'!C395</f>
        <v>1</v>
      </c>
    </row>
    <row r="396" spans="1:50">
      <c r="A396" s="12" t="s">
        <v>278</v>
      </c>
      <c r="B396" s="12"/>
      <c r="C396" s="12" t="s">
        <v>20</v>
      </c>
      <c r="D396" s="12"/>
      <c r="E396" s="12">
        <v>44545</v>
      </c>
      <c r="F396" s="24"/>
      <c r="G396" s="24">
        <v>38483074</v>
      </c>
      <c r="H396" s="24"/>
      <c r="I396" s="24">
        <v>0</v>
      </c>
      <c r="J396" s="24"/>
      <c r="K396" s="24">
        <v>14834568</v>
      </c>
      <c r="L396" s="24"/>
      <c r="M396" s="24">
        <v>66759</v>
      </c>
      <c r="N396" s="24"/>
      <c r="O396" s="24">
        <f>319092+1025353+593633</f>
        <v>1938078</v>
      </c>
      <c r="P396" s="24"/>
      <c r="Q396" s="24">
        <v>534062</v>
      </c>
      <c r="R396" s="24"/>
      <c r="S396" s="24">
        <v>0</v>
      </c>
      <c r="T396" s="24"/>
      <c r="U396" s="24">
        <v>544650</v>
      </c>
      <c r="V396" s="24"/>
      <c r="W396" s="24">
        <v>229778</v>
      </c>
      <c r="X396" s="24"/>
      <c r="Y396" s="38">
        <f t="shared" si="72"/>
        <v>56630969</v>
      </c>
      <c r="Z396" s="24"/>
      <c r="AA396" s="24">
        <v>158000</v>
      </c>
      <c r="AB396" s="24"/>
      <c r="AC396" s="24">
        <v>0</v>
      </c>
      <c r="AD396" s="24"/>
      <c r="AE396" s="24">
        <v>3070000</v>
      </c>
      <c r="AF396" s="24"/>
      <c r="AG396" s="24"/>
      <c r="AH396" s="24"/>
      <c r="AI396" s="24"/>
      <c r="AJ396" s="24"/>
      <c r="AK396" s="24">
        <v>0</v>
      </c>
      <c r="AL396" s="24"/>
      <c r="AM396" s="24">
        <v>0</v>
      </c>
      <c r="AN396" s="24"/>
      <c r="AO396" s="38">
        <f t="shared" si="70"/>
        <v>3228000</v>
      </c>
      <c r="AP396" s="24"/>
      <c r="AQ396" s="38">
        <f t="shared" si="71"/>
        <v>59858969</v>
      </c>
      <c r="AR396" s="38"/>
      <c r="AS396" s="7"/>
      <c r="AT396" s="7" t="str">
        <f t="shared" si="58"/>
        <v>North Royalton City SD</v>
      </c>
      <c r="AU396" s="7" t="str">
        <f>'Gov Fd BS'!A396</f>
        <v>North Royalton City SD</v>
      </c>
      <c r="AV396" s="7" t="b">
        <f t="shared" si="59"/>
        <v>1</v>
      </c>
      <c r="AW396" s="7" t="str">
        <f t="shared" si="57"/>
        <v>Cuyahoga</v>
      </c>
      <c r="AX396" s="7" t="b">
        <f>C396='Gov Fd BS'!C396</f>
        <v>1</v>
      </c>
    </row>
    <row r="397" spans="1:50">
      <c r="A397" s="12" t="s">
        <v>556</v>
      </c>
      <c r="B397" s="12"/>
      <c r="C397" s="12" t="s">
        <v>66</v>
      </c>
      <c r="D397" s="12"/>
      <c r="E397" s="12">
        <v>50336</v>
      </c>
      <c r="F397" s="24"/>
      <c r="G397" s="24">
        <v>4599642</v>
      </c>
      <c r="H397" s="24"/>
      <c r="I397" s="24">
        <v>1580642</v>
      </c>
      <c r="J397" s="24"/>
      <c r="K397" s="24">
        <v>9270869</v>
      </c>
      <c r="L397" s="24"/>
      <c r="M397" s="24">
        <v>254161</v>
      </c>
      <c r="N397" s="24"/>
      <c r="O397" s="24">
        <f>589735+338630</f>
        <v>928365</v>
      </c>
      <c r="P397" s="24"/>
      <c r="Q397" s="24">
        <v>136409</v>
      </c>
      <c r="R397" s="24"/>
      <c r="S397" s="24">
        <v>0</v>
      </c>
      <c r="T397" s="24"/>
      <c r="U397" s="24">
        <v>6420</v>
      </c>
      <c r="V397" s="24"/>
      <c r="W397" s="24">
        <v>154595</v>
      </c>
      <c r="X397" s="24"/>
      <c r="Y397" s="38">
        <f t="shared" si="72"/>
        <v>16931103</v>
      </c>
      <c r="Z397" s="24"/>
      <c r="AA397" s="24">
        <v>0</v>
      </c>
      <c r="AB397" s="24"/>
      <c r="AC397" s="24">
        <v>0</v>
      </c>
      <c r="AD397" s="24"/>
      <c r="AE397" s="24">
        <v>0</v>
      </c>
      <c r="AF397" s="24"/>
      <c r="AG397" s="24"/>
      <c r="AH397" s="24"/>
      <c r="AI397" s="24"/>
      <c r="AJ397" s="24"/>
      <c r="AK397" s="24">
        <v>0</v>
      </c>
      <c r="AL397" s="24"/>
      <c r="AM397" s="24">
        <v>0</v>
      </c>
      <c r="AN397" s="24"/>
      <c r="AO397" s="38">
        <f t="shared" si="70"/>
        <v>0</v>
      </c>
      <c r="AP397" s="24"/>
      <c r="AQ397" s="38">
        <f t="shared" si="71"/>
        <v>16931103</v>
      </c>
      <c r="AR397" s="38"/>
      <c r="AS397" s="7"/>
      <c r="AT397" s="7" t="str">
        <f t="shared" si="58"/>
        <v>North Union Local SD</v>
      </c>
      <c r="AU397" s="7" t="str">
        <f>'Gov Fd BS'!A397</f>
        <v>North Union Local SD</v>
      </c>
      <c r="AV397" s="7" t="b">
        <f t="shared" si="59"/>
        <v>1</v>
      </c>
      <c r="AW397" s="7" t="str">
        <f t="shared" si="57"/>
        <v>Union</v>
      </c>
      <c r="AX397" s="7" t="b">
        <f>C397='Gov Fd BS'!C397</f>
        <v>1</v>
      </c>
    </row>
    <row r="398" spans="1:50">
      <c r="A398" s="12" t="s">
        <v>238</v>
      </c>
      <c r="B398" s="12"/>
      <c r="C398" s="12" t="s">
        <v>17</v>
      </c>
      <c r="D398" s="12"/>
      <c r="E398" s="12">
        <v>46250</v>
      </c>
      <c r="F398" s="24"/>
      <c r="G398" s="24">
        <v>11649231</v>
      </c>
      <c r="H398" s="24"/>
      <c r="I398" s="24">
        <v>0</v>
      </c>
      <c r="J398" s="24"/>
      <c r="K398" s="24">
        <v>18733820</v>
      </c>
      <c r="L398" s="24"/>
      <c r="M398" s="24">
        <v>23632</v>
      </c>
      <c r="N398" s="24"/>
      <c r="O398" s="24">
        <f>2015475+440+794963</f>
        <v>2810878</v>
      </c>
      <c r="P398" s="24"/>
      <c r="Q398" s="24">
        <v>231276</v>
      </c>
      <c r="R398" s="24"/>
      <c r="S398" s="24">
        <v>0</v>
      </c>
      <c r="T398" s="24"/>
      <c r="U398" s="24">
        <v>70868</v>
      </c>
      <c r="V398" s="24"/>
      <c r="W398" s="24">
        <v>53941</v>
      </c>
      <c r="X398" s="24"/>
      <c r="Y398" s="38">
        <f t="shared" si="72"/>
        <v>33573646</v>
      </c>
      <c r="Z398" s="24"/>
      <c r="AA398" s="24">
        <v>0</v>
      </c>
      <c r="AB398" s="24"/>
      <c r="AC398" s="24">
        <v>0</v>
      </c>
      <c r="AD398" s="24"/>
      <c r="AE398" s="24">
        <v>129900</v>
      </c>
      <c r="AF398" s="24"/>
      <c r="AG398" s="24"/>
      <c r="AH398" s="24"/>
      <c r="AI398" s="24"/>
      <c r="AJ398" s="24"/>
      <c r="AK398" s="24">
        <v>4010</v>
      </c>
      <c r="AL398" s="24"/>
      <c r="AM398" s="24">
        <v>0</v>
      </c>
      <c r="AN398" s="24"/>
      <c r="AO398" s="38">
        <f>AK398+AE398+AA398+AI398</f>
        <v>133910</v>
      </c>
      <c r="AP398" s="24"/>
      <c r="AQ398" s="38">
        <f t="shared" si="71"/>
        <v>33707556</v>
      </c>
      <c r="AR398" s="38"/>
      <c r="AS398" s="7"/>
      <c r="AT398" s="7" t="str">
        <f t="shared" si="58"/>
        <v>Northeastern Local SD</v>
      </c>
      <c r="AU398" s="7" t="str">
        <f>'Gov Fd BS'!A398</f>
        <v>Northeastern Local SD</v>
      </c>
      <c r="AV398" s="7" t="b">
        <f t="shared" si="59"/>
        <v>1</v>
      </c>
      <c r="AW398" s="7" t="str">
        <f t="shared" ref="AW398:AW463" si="73">C398</f>
        <v>Clark</v>
      </c>
      <c r="AX398" s="7" t="b">
        <f>C398='Gov Fd BS'!C398</f>
        <v>1</v>
      </c>
    </row>
    <row r="399" spans="1:50" hidden="1">
      <c r="A399" s="12" t="s">
        <v>946</v>
      </c>
      <c r="B399" s="12"/>
      <c r="C399" s="12" t="s">
        <v>22</v>
      </c>
      <c r="D399" s="12"/>
      <c r="E399" s="12">
        <v>46722</v>
      </c>
      <c r="F399" s="24"/>
      <c r="G399" s="24"/>
      <c r="H399" s="24"/>
      <c r="I399" s="24">
        <v>0</v>
      </c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38">
        <f t="shared" si="66"/>
        <v>0</v>
      </c>
      <c r="Z399" s="24"/>
      <c r="AA399" s="24"/>
      <c r="AB399" s="24"/>
      <c r="AC399" s="24">
        <v>0</v>
      </c>
      <c r="AD399" s="24"/>
      <c r="AE399" s="24"/>
      <c r="AF399" s="24"/>
      <c r="AG399" s="24"/>
      <c r="AH399" s="24"/>
      <c r="AI399" s="24"/>
      <c r="AJ399" s="24"/>
      <c r="AK399" s="24"/>
      <c r="AL399" s="24"/>
      <c r="AM399" s="24">
        <v>0</v>
      </c>
      <c r="AN399" s="24"/>
      <c r="AO399" s="38">
        <f>AK399+AE399+AA399</f>
        <v>0</v>
      </c>
      <c r="AP399" s="24"/>
      <c r="AQ399" s="38">
        <f t="shared" si="71"/>
        <v>0</v>
      </c>
      <c r="AR399" s="38"/>
      <c r="AS399" s="7" t="s">
        <v>839</v>
      </c>
      <c r="AT399" s="7" t="str">
        <f t="shared" si="58"/>
        <v>Northeastern Local SD (CASH)</v>
      </c>
      <c r="AU399" s="7" t="str">
        <f>'Gov Fd BS'!A399</f>
        <v>Northeastern Local SD (CASH)</v>
      </c>
      <c r="AV399" s="7" t="b">
        <f t="shared" si="59"/>
        <v>1</v>
      </c>
      <c r="AW399" s="7" t="str">
        <f t="shared" si="73"/>
        <v>Defiance</v>
      </c>
      <c r="AX399" s="7" t="b">
        <f>C399='Gov Fd BS'!C399</f>
        <v>1</v>
      </c>
    </row>
    <row r="400" spans="1:50" hidden="1">
      <c r="A400" s="12" t="s">
        <v>947</v>
      </c>
      <c r="B400" s="12"/>
      <c r="C400" s="12" t="s">
        <v>466</v>
      </c>
      <c r="D400" s="12"/>
      <c r="E400" s="12"/>
      <c r="F400" s="24"/>
      <c r="G400" s="24"/>
      <c r="H400" s="24"/>
      <c r="I400" s="24">
        <v>0</v>
      </c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38">
        <f t="shared" si="66"/>
        <v>0</v>
      </c>
      <c r="Z400" s="24"/>
      <c r="AA400" s="24"/>
      <c r="AB400" s="24"/>
      <c r="AC400" s="24">
        <v>0</v>
      </c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38">
        <f>AK400+AE400+AA400</f>
        <v>0</v>
      </c>
      <c r="AP400" s="24"/>
      <c r="AQ400" s="38">
        <f t="shared" ref="AQ400" si="74">Y400+AO400</f>
        <v>0</v>
      </c>
      <c r="AR400" s="38"/>
      <c r="AS400" s="7" t="s">
        <v>931</v>
      </c>
      <c r="AT400" s="7" t="str">
        <f t="shared" ref="AT400" si="75">A400</f>
        <v>Northern Local SD (CASH)</v>
      </c>
      <c r="AU400" s="7" t="str">
        <f>'Gov Fd BS'!A400</f>
        <v>Northern Local SD (CASH)</v>
      </c>
      <c r="AV400" s="7" t="b">
        <f t="shared" ref="AV400" si="76">AT400=AU400</f>
        <v>1</v>
      </c>
      <c r="AW400" s="7" t="str">
        <f t="shared" ref="AW400" si="77">C400</f>
        <v>Perry</v>
      </c>
      <c r="AX400" s="7" t="b">
        <f>C400='Gov Fd BS'!C400</f>
        <v>1</v>
      </c>
    </row>
    <row r="401" spans="1:50">
      <c r="A401" s="12" t="s">
        <v>447</v>
      </c>
      <c r="B401" s="12"/>
      <c r="C401" s="12" t="s">
        <v>50</v>
      </c>
      <c r="D401" s="12"/>
      <c r="E401" s="12">
        <v>48728</v>
      </c>
      <c r="F401" s="24"/>
      <c r="G401" s="24">
        <v>24601338</v>
      </c>
      <c r="H401" s="24"/>
      <c r="I401" s="24">
        <v>0</v>
      </c>
      <c r="J401" s="24"/>
      <c r="K401" s="24">
        <v>29095723</v>
      </c>
      <c r="L401" s="24"/>
      <c r="M401" s="24">
        <v>11229</v>
      </c>
      <c r="N401" s="24"/>
      <c r="O401" s="24">
        <f>687178+2440348</f>
        <v>3127526</v>
      </c>
      <c r="P401" s="24"/>
      <c r="Q401" s="24">
        <v>493635</v>
      </c>
      <c r="R401" s="24"/>
      <c r="S401" s="24">
        <v>402654</v>
      </c>
      <c r="T401" s="24"/>
      <c r="U401" s="24">
        <v>0</v>
      </c>
      <c r="V401" s="24"/>
      <c r="W401" s="24">
        <v>332613</v>
      </c>
      <c r="X401" s="24"/>
      <c r="Y401" s="38">
        <f t="shared" si="66"/>
        <v>58064718</v>
      </c>
      <c r="Z401" s="24"/>
      <c r="AA401" s="24">
        <v>16000</v>
      </c>
      <c r="AB401" s="24"/>
      <c r="AC401" s="24">
        <v>0</v>
      </c>
      <c r="AD401" s="24"/>
      <c r="AE401" s="24">
        <v>0</v>
      </c>
      <c r="AF401" s="24"/>
      <c r="AG401" s="24"/>
      <c r="AH401" s="24"/>
      <c r="AI401" s="24"/>
      <c r="AJ401" s="24"/>
      <c r="AK401" s="24">
        <v>0</v>
      </c>
      <c r="AL401" s="24"/>
      <c r="AM401" s="24">
        <v>0</v>
      </c>
      <c r="AN401" s="24"/>
      <c r="AO401" s="38">
        <f>AI401+AE401+AA401</f>
        <v>16000</v>
      </c>
      <c r="AP401" s="24"/>
      <c r="AQ401" s="38">
        <f t="shared" si="71"/>
        <v>58080718</v>
      </c>
      <c r="AR401" s="38"/>
      <c r="AS401" s="7"/>
      <c r="AT401" s="7" t="str">
        <f t="shared" si="58"/>
        <v>Northmont City SD</v>
      </c>
      <c r="AU401" s="7" t="str">
        <f>'Gov Fd BS'!A401</f>
        <v>Northmont City SD</v>
      </c>
      <c r="AV401" s="7" t="b">
        <f t="shared" si="59"/>
        <v>1</v>
      </c>
      <c r="AW401" s="7" t="str">
        <f t="shared" si="73"/>
        <v>Montgomery</v>
      </c>
      <c r="AX401" s="7" t="b">
        <f>C401='Gov Fd BS'!C401</f>
        <v>1</v>
      </c>
    </row>
    <row r="402" spans="1:50">
      <c r="A402" s="12" t="s">
        <v>455</v>
      </c>
      <c r="B402" s="12"/>
      <c r="C402" s="12" t="s">
        <v>78</v>
      </c>
      <c r="D402" s="12"/>
      <c r="E402" s="12">
        <v>48819</v>
      </c>
      <c r="F402" s="24"/>
      <c r="G402" s="24">
        <v>3879573</v>
      </c>
      <c r="H402" s="24"/>
      <c r="I402" s="24">
        <v>1357555</v>
      </c>
      <c r="J402" s="24"/>
      <c r="K402" s="24">
        <f>6250617+2088396</f>
        <v>8339013</v>
      </c>
      <c r="L402" s="24"/>
      <c r="M402" s="24">
        <v>21477</v>
      </c>
      <c r="N402" s="24"/>
      <c r="O402" s="24">
        <f>598269+187795+23344+40</f>
        <v>809448</v>
      </c>
      <c r="P402" s="24"/>
      <c r="Q402" s="24">
        <v>93775</v>
      </c>
      <c r="R402" s="24"/>
      <c r="S402" s="24">
        <v>0</v>
      </c>
      <c r="T402" s="24"/>
      <c r="U402" s="24">
        <v>300</v>
      </c>
      <c r="V402" s="24"/>
      <c r="W402" s="24">
        <v>23626</v>
      </c>
      <c r="X402" s="24"/>
      <c r="Y402" s="38">
        <f t="shared" si="66"/>
        <v>14524767</v>
      </c>
      <c r="Z402" s="24"/>
      <c r="AA402" s="24">
        <v>0</v>
      </c>
      <c r="AB402" s="24"/>
      <c r="AC402" s="24">
        <v>0</v>
      </c>
      <c r="AD402" s="24"/>
      <c r="AE402" s="24">
        <v>0</v>
      </c>
      <c r="AF402" s="24"/>
      <c r="AG402" s="24"/>
      <c r="AH402" s="24"/>
      <c r="AI402" s="24"/>
      <c r="AJ402" s="24"/>
      <c r="AK402" s="24">
        <v>0</v>
      </c>
      <c r="AL402" s="24"/>
      <c r="AM402" s="24">
        <v>0</v>
      </c>
      <c r="AN402" s="24"/>
      <c r="AO402" s="38">
        <f>AG402+AE402+AA402</f>
        <v>0</v>
      </c>
      <c r="AP402" s="24"/>
      <c r="AQ402" s="38">
        <f t="shared" si="71"/>
        <v>14524767</v>
      </c>
      <c r="AR402" s="38"/>
      <c r="AS402" s="7"/>
      <c r="AT402" s="7" t="str">
        <f t="shared" ref="AT402:AT468" si="78">A402</f>
        <v>Northmor Local SD</v>
      </c>
      <c r="AU402" s="7" t="str">
        <f>'Gov Fd BS'!A402</f>
        <v>Northmor Local SD</v>
      </c>
      <c r="AV402" s="7" t="b">
        <f t="shared" ref="AV402:AV468" si="79">AT402=AU402</f>
        <v>1</v>
      </c>
      <c r="AW402" s="7" t="str">
        <f t="shared" si="73"/>
        <v>Morrow</v>
      </c>
      <c r="AX402" s="7" t="b">
        <f>C402='Gov Fd BS'!C402</f>
        <v>1</v>
      </c>
    </row>
    <row r="403" spans="1:50">
      <c r="A403" s="12" t="s">
        <v>390</v>
      </c>
      <c r="B403" s="12"/>
      <c r="C403" s="12" t="s">
        <v>42</v>
      </c>
      <c r="D403" s="12"/>
      <c r="E403" s="12">
        <v>48033</v>
      </c>
      <c r="F403" s="24"/>
      <c r="G403" s="24">
        <v>6488594</v>
      </c>
      <c r="H403" s="24"/>
      <c r="I403" s="24">
        <v>1441024</v>
      </c>
      <c r="J403" s="24"/>
      <c r="K403" s="24">
        <v>6428194</v>
      </c>
      <c r="L403" s="24"/>
      <c r="M403" s="24">
        <v>12323</v>
      </c>
      <c r="N403" s="24"/>
      <c r="O403" s="24">
        <f>685536+54731+276806</f>
        <v>1017073</v>
      </c>
      <c r="P403" s="24"/>
      <c r="Q403" s="24">
        <v>170965</v>
      </c>
      <c r="R403" s="24"/>
      <c r="S403" s="24">
        <v>0</v>
      </c>
      <c r="T403" s="24"/>
      <c r="U403" s="24">
        <v>400</v>
      </c>
      <c r="V403" s="24"/>
      <c r="W403" s="24">
        <v>3206</v>
      </c>
      <c r="X403" s="24"/>
      <c r="Y403" s="38">
        <f t="shared" si="66"/>
        <v>15561779</v>
      </c>
      <c r="Z403" s="24"/>
      <c r="AA403" s="24">
        <v>68094</v>
      </c>
      <c r="AB403" s="24"/>
      <c r="AC403" s="24">
        <v>0</v>
      </c>
      <c r="AD403" s="24"/>
      <c r="AE403" s="24">
        <v>164706</v>
      </c>
      <c r="AF403" s="24"/>
      <c r="AG403" s="24"/>
      <c r="AH403" s="24"/>
      <c r="AI403" s="24"/>
      <c r="AJ403" s="24"/>
      <c r="AK403" s="24">
        <v>0</v>
      </c>
      <c r="AL403" s="24"/>
      <c r="AM403" s="24">
        <v>0</v>
      </c>
      <c r="AN403" s="24"/>
      <c r="AO403" s="38">
        <f t="shared" ref="AO403:AO408" si="80">AK403+AE403+AA403</f>
        <v>232800</v>
      </c>
      <c r="AP403" s="24"/>
      <c r="AQ403" s="38">
        <f t="shared" si="71"/>
        <v>15794579</v>
      </c>
      <c r="AR403" s="38"/>
      <c r="AS403" s="7" t="s">
        <v>948</v>
      </c>
      <c r="AT403" s="7" t="str">
        <f t="shared" si="78"/>
        <v>Northridge Local SD</v>
      </c>
      <c r="AU403" s="7" t="str">
        <f>'Gov Fd BS'!A403</f>
        <v>Northridge Local SD</v>
      </c>
      <c r="AV403" s="7" t="b">
        <f t="shared" si="79"/>
        <v>1</v>
      </c>
      <c r="AW403" s="7" t="str">
        <f t="shared" si="73"/>
        <v>Licking</v>
      </c>
      <c r="AX403" s="7" t="b">
        <f>C403='Gov Fd BS'!C403</f>
        <v>1</v>
      </c>
    </row>
    <row r="404" spans="1:50">
      <c r="A404" s="12" t="s">
        <v>390</v>
      </c>
      <c r="B404" s="12"/>
      <c r="C404" s="12" t="s">
        <v>50</v>
      </c>
      <c r="D404" s="12"/>
      <c r="E404" s="12">
        <v>48736</v>
      </c>
      <c r="F404" s="24"/>
      <c r="G404" s="24">
        <v>6975202</v>
      </c>
      <c r="H404" s="24"/>
      <c r="I404" s="24">
        <v>0</v>
      </c>
      <c r="J404" s="24"/>
      <c r="K404" s="24">
        <v>15268283</v>
      </c>
      <c r="L404" s="24"/>
      <c r="M404" s="24">
        <v>83163</v>
      </c>
      <c r="N404" s="24"/>
      <c r="O404" s="24">
        <f>1472464+178071+88433</f>
        <v>1738968</v>
      </c>
      <c r="P404" s="24"/>
      <c r="Q404" s="24">
        <v>101919</v>
      </c>
      <c r="R404" s="24"/>
      <c r="S404" s="24">
        <v>0</v>
      </c>
      <c r="T404" s="24"/>
      <c r="U404" s="24">
        <v>24212</v>
      </c>
      <c r="V404" s="24"/>
      <c r="W404" s="24">
        <v>97564</v>
      </c>
      <c r="X404" s="24"/>
      <c r="Y404" s="38">
        <f t="shared" si="66"/>
        <v>24289311</v>
      </c>
      <c r="Z404" s="24"/>
      <c r="AA404" s="24">
        <v>0</v>
      </c>
      <c r="AB404" s="24"/>
      <c r="AC404" s="24">
        <v>0</v>
      </c>
      <c r="AD404" s="24"/>
      <c r="AE404" s="24">
        <v>0</v>
      </c>
      <c r="AF404" s="24"/>
      <c r="AG404" s="24"/>
      <c r="AH404" s="24"/>
      <c r="AI404" s="24"/>
      <c r="AJ404" s="24"/>
      <c r="AK404" s="24">
        <v>0</v>
      </c>
      <c r="AL404" s="24"/>
      <c r="AM404" s="24">
        <v>0</v>
      </c>
      <c r="AN404" s="24"/>
      <c r="AO404" s="38">
        <f t="shared" si="80"/>
        <v>0</v>
      </c>
      <c r="AP404" s="24"/>
      <c r="AQ404" s="38">
        <f t="shared" si="71"/>
        <v>24289311</v>
      </c>
      <c r="AR404" s="38"/>
      <c r="AS404" s="7"/>
      <c r="AT404" s="7" t="str">
        <f t="shared" si="78"/>
        <v>Northridge Local SD</v>
      </c>
      <c r="AU404" s="7" t="str">
        <f>'Gov Fd BS'!A404</f>
        <v>Northridge Local SD</v>
      </c>
      <c r="AV404" s="7" t="b">
        <f t="shared" si="79"/>
        <v>1</v>
      </c>
      <c r="AW404" s="7" t="str">
        <f t="shared" si="73"/>
        <v>Montgomery</v>
      </c>
      <c r="AX404" s="7" t="b">
        <f>C404='Gov Fd BS'!C404</f>
        <v>1</v>
      </c>
    </row>
    <row r="405" spans="1:50">
      <c r="A405" s="12" t="s">
        <v>335</v>
      </c>
      <c r="B405" s="12"/>
      <c r="C405" s="12" t="s">
        <v>32</v>
      </c>
      <c r="D405" s="12"/>
      <c r="E405" s="12">
        <v>47365</v>
      </c>
      <c r="F405" s="24"/>
      <c r="G405" s="24">
        <v>46496662</v>
      </c>
      <c r="H405" s="24"/>
      <c r="I405" s="24">
        <v>0</v>
      </c>
      <c r="J405" s="24"/>
      <c r="K405" s="24">
        <v>49897085</v>
      </c>
      <c r="L405" s="24"/>
      <c r="M405" s="24">
        <v>198962</v>
      </c>
      <c r="N405" s="24"/>
      <c r="O405" s="24">
        <f>1699249+1904753+706926</f>
        <v>4310928</v>
      </c>
      <c r="P405" s="24"/>
      <c r="Q405" s="24">
        <v>614328</v>
      </c>
      <c r="R405" s="24"/>
      <c r="S405" s="24">
        <v>0</v>
      </c>
      <c r="T405" s="24"/>
      <c r="U405" s="24">
        <v>152446</v>
      </c>
      <c r="V405" s="24"/>
      <c r="W405" s="24">
        <v>3451355</v>
      </c>
      <c r="X405" s="24"/>
      <c r="Y405" s="38">
        <f t="shared" si="66"/>
        <v>105121766</v>
      </c>
      <c r="Z405" s="24"/>
      <c r="AA405" s="24">
        <v>155000</v>
      </c>
      <c r="AB405" s="24"/>
      <c r="AC405" s="24">
        <v>0</v>
      </c>
      <c r="AD405" s="24"/>
      <c r="AE405" s="24">
        <v>0</v>
      </c>
      <c r="AF405" s="24"/>
      <c r="AG405" s="24"/>
      <c r="AH405" s="24"/>
      <c r="AI405" s="24"/>
      <c r="AJ405" s="24"/>
      <c r="AK405" s="24">
        <v>0</v>
      </c>
      <c r="AL405" s="24"/>
      <c r="AM405" s="24">
        <v>0</v>
      </c>
      <c r="AN405" s="24"/>
      <c r="AO405" s="38">
        <f t="shared" si="80"/>
        <v>155000</v>
      </c>
      <c r="AP405" s="24"/>
      <c r="AQ405" s="38">
        <f t="shared" si="71"/>
        <v>105276766</v>
      </c>
      <c r="AR405" s="38"/>
      <c r="AS405" s="7"/>
      <c r="AT405" s="7" t="str">
        <f t="shared" si="78"/>
        <v>Northwest Local SD</v>
      </c>
      <c r="AU405" s="7" t="str">
        <f>'Gov Fd BS'!A405</f>
        <v>Northwest Local SD</v>
      </c>
      <c r="AV405" s="7" t="b">
        <f t="shared" si="79"/>
        <v>1</v>
      </c>
      <c r="AW405" s="7" t="str">
        <f t="shared" si="73"/>
        <v>Hamilton</v>
      </c>
      <c r="AX405" s="7" t="b">
        <f>C405='Gov Fd BS'!C405</f>
        <v>1</v>
      </c>
    </row>
    <row r="406" spans="1:50">
      <c r="A406" s="12" t="s">
        <v>621</v>
      </c>
      <c r="B406" s="12"/>
      <c r="C406" s="12" t="s">
        <v>59</v>
      </c>
      <c r="D406" s="12"/>
      <c r="E406" s="12">
        <v>49635</v>
      </c>
      <c r="F406" s="24"/>
      <c r="G406" s="24">
        <v>1840054</v>
      </c>
      <c r="H406" s="24"/>
      <c r="I406" s="24">
        <v>0</v>
      </c>
      <c r="J406" s="24"/>
      <c r="K406" s="24">
        <v>15429960</v>
      </c>
      <c r="L406" s="24"/>
      <c r="M406" s="24">
        <v>792</v>
      </c>
      <c r="N406" s="24"/>
      <c r="O406" s="24">
        <f>13790+128916+185672</f>
        <v>328378</v>
      </c>
      <c r="P406" s="24"/>
      <c r="Q406" s="24">
        <v>168749</v>
      </c>
      <c r="R406" s="24"/>
      <c r="S406" s="24">
        <v>0</v>
      </c>
      <c r="T406" s="24"/>
      <c r="U406" s="24">
        <v>845</v>
      </c>
      <c r="V406" s="24"/>
      <c r="W406" s="24">
        <v>2807</v>
      </c>
      <c r="X406" s="24"/>
      <c r="Y406" s="38">
        <f t="shared" si="66"/>
        <v>17771585</v>
      </c>
      <c r="Z406" s="24"/>
      <c r="AA406" s="24">
        <v>70179</v>
      </c>
      <c r="AB406" s="24"/>
      <c r="AC406" s="24">
        <v>0</v>
      </c>
      <c r="AD406" s="24"/>
      <c r="AE406" s="24">
        <v>0</v>
      </c>
      <c r="AF406" s="24"/>
      <c r="AG406" s="24"/>
      <c r="AH406" s="24"/>
      <c r="AI406" s="24"/>
      <c r="AJ406" s="24"/>
      <c r="AK406" s="24">
        <v>965</v>
      </c>
      <c r="AL406" s="24"/>
      <c r="AM406" s="24">
        <v>0</v>
      </c>
      <c r="AN406" s="24"/>
      <c r="AO406" s="38">
        <f t="shared" si="80"/>
        <v>71144</v>
      </c>
      <c r="AP406" s="24"/>
      <c r="AQ406" s="38">
        <f t="shared" si="71"/>
        <v>17842729</v>
      </c>
      <c r="AR406" s="38"/>
      <c r="AS406" s="7"/>
      <c r="AT406" s="7" t="str">
        <f t="shared" si="78"/>
        <v xml:space="preserve">Northwest Local SD    </v>
      </c>
      <c r="AU406" s="7" t="str">
        <f>'Gov Fd BS'!A406</f>
        <v xml:space="preserve">Northwest Local SD    </v>
      </c>
      <c r="AV406" s="7" t="b">
        <f t="shared" si="79"/>
        <v>1</v>
      </c>
      <c r="AW406" s="7" t="str">
        <f t="shared" si="73"/>
        <v>Scioto</v>
      </c>
      <c r="AX406" s="7" t="b">
        <f>C406='Gov Fd BS'!C406</f>
        <v>1</v>
      </c>
    </row>
    <row r="407" spans="1:50">
      <c r="A407" s="12" t="s">
        <v>335</v>
      </c>
      <c r="B407" s="12"/>
      <c r="C407" s="12" t="s">
        <v>62</v>
      </c>
      <c r="D407" s="12"/>
      <c r="E407" s="12">
        <v>49908</v>
      </c>
      <c r="F407" s="24"/>
      <c r="G407" s="24">
        <v>8625237</v>
      </c>
      <c r="H407" s="24"/>
      <c r="I407" s="24">
        <v>0</v>
      </c>
      <c r="J407" s="24"/>
      <c r="K407" s="24">
        <f>21632+26053390+2418539</f>
        <v>28493561</v>
      </c>
      <c r="L407" s="24"/>
      <c r="M407" s="24">
        <v>18622</v>
      </c>
      <c r="N407" s="24"/>
      <c r="O407" s="24">
        <f>172612+403300+274626</f>
        <v>850538</v>
      </c>
      <c r="P407" s="24"/>
      <c r="Q407" s="24">
        <v>157995</v>
      </c>
      <c r="R407" s="24"/>
      <c r="S407" s="24">
        <v>0</v>
      </c>
      <c r="T407" s="24"/>
      <c r="U407" s="24">
        <v>0</v>
      </c>
      <c r="V407" s="24"/>
      <c r="W407" s="24">
        <v>64991</v>
      </c>
      <c r="X407" s="24"/>
      <c r="Y407" s="38">
        <f t="shared" si="66"/>
        <v>38210944</v>
      </c>
      <c r="Z407" s="24"/>
      <c r="AA407" s="24">
        <v>0</v>
      </c>
      <c r="AB407" s="24"/>
      <c r="AC407" s="24">
        <v>0</v>
      </c>
      <c r="AD407" s="24"/>
      <c r="AE407" s="24">
        <f>437256+3013682+1715000</f>
        <v>5165938</v>
      </c>
      <c r="AF407" s="24"/>
      <c r="AG407" s="24"/>
      <c r="AH407" s="24"/>
      <c r="AI407" s="24"/>
      <c r="AJ407" s="24"/>
      <c r="AK407" s="24">
        <v>8844</v>
      </c>
      <c r="AL407" s="24"/>
      <c r="AM407" s="24">
        <v>0</v>
      </c>
      <c r="AN407" s="24"/>
      <c r="AO407" s="38">
        <f t="shared" si="80"/>
        <v>5174782</v>
      </c>
      <c r="AP407" s="24"/>
      <c r="AQ407" s="38">
        <f t="shared" si="71"/>
        <v>43385726</v>
      </c>
      <c r="AR407" s="38"/>
      <c r="AS407" s="7"/>
      <c r="AT407" s="7" t="str">
        <f t="shared" si="78"/>
        <v>Northwest Local SD</v>
      </c>
      <c r="AU407" s="7" t="str">
        <f>'Gov Fd BS'!A407</f>
        <v>Northwest Local SD</v>
      </c>
      <c r="AV407" s="7" t="b">
        <f t="shared" si="79"/>
        <v>1</v>
      </c>
      <c r="AW407" s="7" t="str">
        <f t="shared" si="73"/>
        <v>Stark</v>
      </c>
      <c r="AX407" s="7" t="b">
        <f>C407='Gov Fd BS'!C407</f>
        <v>1</v>
      </c>
    </row>
    <row r="408" spans="1:50">
      <c r="A408" s="12" t="s">
        <v>239</v>
      </c>
      <c r="B408" s="12"/>
      <c r="C408" s="12" t="s">
        <v>17</v>
      </c>
      <c r="D408" s="12"/>
      <c r="E408" s="12">
        <v>46268</v>
      </c>
      <c r="F408" s="24"/>
      <c r="G408" s="24">
        <v>6542576</v>
      </c>
      <c r="H408" s="24"/>
      <c r="I408" s="24">
        <v>1600529</v>
      </c>
      <c r="J408" s="24"/>
      <c r="K408" s="24">
        <v>13886982</v>
      </c>
      <c r="L408" s="24"/>
      <c r="M408" s="24">
        <v>93039</v>
      </c>
      <c r="N408" s="24"/>
      <c r="O408" s="24">
        <f>456742+1432774+793</f>
        <v>1890309</v>
      </c>
      <c r="P408" s="24"/>
      <c r="Q408" s="24">
        <v>274316</v>
      </c>
      <c r="R408" s="24"/>
      <c r="S408" s="24">
        <v>0</v>
      </c>
      <c r="T408" s="24"/>
      <c r="U408" s="24">
        <v>0</v>
      </c>
      <c r="V408" s="24"/>
      <c r="W408" s="24">
        <v>49373</v>
      </c>
      <c r="X408" s="24"/>
      <c r="Y408" s="38">
        <f t="shared" si="66"/>
        <v>24337124</v>
      </c>
      <c r="Z408" s="24"/>
      <c r="AA408" s="24">
        <v>13506158</v>
      </c>
      <c r="AB408" s="24"/>
      <c r="AC408" s="24">
        <v>0</v>
      </c>
      <c r="AD408" s="24"/>
      <c r="AE408" s="24">
        <f>14625000+258221</f>
        <v>14883221</v>
      </c>
      <c r="AF408" s="24"/>
      <c r="AG408" s="24"/>
      <c r="AH408" s="24"/>
      <c r="AI408" s="24"/>
      <c r="AJ408" s="24"/>
      <c r="AK408" s="24">
        <v>3383</v>
      </c>
      <c r="AL408" s="24"/>
      <c r="AM408" s="24">
        <v>0</v>
      </c>
      <c r="AN408" s="24"/>
      <c r="AO408" s="38">
        <f t="shared" si="80"/>
        <v>28392762</v>
      </c>
      <c r="AP408" s="24"/>
      <c r="AQ408" s="38">
        <f t="shared" si="71"/>
        <v>52729886</v>
      </c>
      <c r="AR408" s="38"/>
      <c r="AS408" s="7"/>
      <c r="AT408" s="7" t="str">
        <f t="shared" si="78"/>
        <v>Northwestern Local SD</v>
      </c>
      <c r="AU408" s="7" t="str">
        <f>'Gov Fd BS'!A408</f>
        <v>Northwestern Local SD</v>
      </c>
      <c r="AV408" s="7" t="b">
        <f t="shared" si="79"/>
        <v>1</v>
      </c>
      <c r="AW408" s="7" t="str">
        <f t="shared" si="73"/>
        <v>Clark</v>
      </c>
      <c r="AX408" s="7" t="b">
        <f>C408='Gov Fd BS'!C408</f>
        <v>1</v>
      </c>
    </row>
    <row r="409" spans="1:50" hidden="1">
      <c r="A409" s="12" t="s">
        <v>801</v>
      </c>
      <c r="B409" s="12"/>
      <c r="C409" s="12" t="s">
        <v>71</v>
      </c>
      <c r="D409" s="12"/>
      <c r="E409" s="12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38"/>
      <c r="Z409" s="24"/>
      <c r="AA409" s="24"/>
      <c r="AB409" s="24"/>
      <c r="AC409" s="24">
        <v>0</v>
      </c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38"/>
      <c r="AP409" s="24"/>
      <c r="AQ409" s="38"/>
      <c r="AR409" s="38"/>
      <c r="AS409" s="7" t="s">
        <v>938</v>
      </c>
      <c r="AT409" s="7" t="str">
        <f t="shared" ref="AT409" si="81">A409</f>
        <v>Northwestern Local SD (CASH)</v>
      </c>
      <c r="AU409" s="7" t="str">
        <f>'Gov Fd BS'!A409</f>
        <v>Northwestern Local SD (CASH)</v>
      </c>
      <c r="AV409" s="7" t="b">
        <f t="shared" ref="AV409" si="82">AT409=AU409</f>
        <v>1</v>
      </c>
      <c r="AW409" s="7" t="str">
        <f t="shared" si="73"/>
        <v>Wayne</v>
      </c>
      <c r="AX409" s="7" t="b">
        <f>C409='Gov Fd BS'!C409</f>
        <v>1</v>
      </c>
    </row>
    <row r="410" spans="1:50">
      <c r="A410" s="12" t="s">
        <v>575</v>
      </c>
      <c r="B410" s="12"/>
      <c r="C410" s="12" t="s">
        <v>72</v>
      </c>
      <c r="D410" s="12"/>
      <c r="E410" s="12">
        <v>50716</v>
      </c>
      <c r="F410" s="24"/>
      <c r="G410" s="24">
        <v>6014239</v>
      </c>
      <c r="H410" s="24"/>
      <c r="I410" s="24">
        <v>0</v>
      </c>
      <c r="J410" s="24"/>
      <c r="K410" s="24">
        <v>4981840</v>
      </c>
      <c r="L410" s="24"/>
      <c r="M410" s="24">
        <v>12528</v>
      </c>
      <c r="N410" s="24"/>
      <c r="O410" s="24">
        <f>636366+165331</f>
        <v>801697</v>
      </c>
      <c r="P410" s="24"/>
      <c r="Q410" s="24">
        <v>113923</v>
      </c>
      <c r="R410" s="24"/>
      <c r="S410" s="24">
        <v>176319</v>
      </c>
      <c r="T410" s="24"/>
      <c r="U410" s="24">
        <v>7699</v>
      </c>
      <c r="V410" s="24"/>
      <c r="W410" s="24">
        <v>128909</v>
      </c>
      <c r="X410" s="24"/>
      <c r="Y410" s="38">
        <f t="shared" si="66"/>
        <v>12237154</v>
      </c>
      <c r="Z410" s="24"/>
      <c r="AA410" s="24">
        <v>41232</v>
      </c>
      <c r="AB410" s="24"/>
      <c r="AC410" s="24">
        <v>0</v>
      </c>
      <c r="AD410" s="24"/>
      <c r="AE410" s="24">
        <v>0</v>
      </c>
      <c r="AF410" s="24"/>
      <c r="AG410" s="24"/>
      <c r="AH410" s="24"/>
      <c r="AI410" s="24"/>
      <c r="AJ410" s="24"/>
      <c r="AK410" s="24">
        <v>0</v>
      </c>
      <c r="AL410" s="24"/>
      <c r="AM410" s="24">
        <v>0</v>
      </c>
      <c r="AN410" s="24"/>
      <c r="AO410" s="38">
        <f>AK410+AE410+AA410</f>
        <v>41232</v>
      </c>
      <c r="AP410" s="24"/>
      <c r="AQ410" s="38">
        <f>Y410+AO410</f>
        <v>12278386</v>
      </c>
      <c r="AR410" s="38"/>
      <c r="AS410" s="7"/>
      <c r="AT410" s="7" t="str">
        <f t="shared" si="78"/>
        <v>Northwood Local SD</v>
      </c>
      <c r="AU410" s="7" t="str">
        <f>'Gov Fd BS'!A410</f>
        <v>Northwood Local SD</v>
      </c>
      <c r="AV410" s="7" t="b">
        <f t="shared" si="79"/>
        <v>1</v>
      </c>
      <c r="AW410" s="7" t="str">
        <f t="shared" si="73"/>
        <v>Wood</v>
      </c>
      <c r="AX410" s="7" t="b">
        <f>C410='Gov Fd BS'!C410</f>
        <v>1</v>
      </c>
    </row>
    <row r="411" spans="1:50">
      <c r="A411" s="12" t="s">
        <v>528</v>
      </c>
      <c r="B411" s="12"/>
      <c r="C411" s="12" t="s">
        <v>63</v>
      </c>
      <c r="D411" s="12"/>
      <c r="E411" s="12">
        <v>44552</v>
      </c>
      <c r="F411" s="24"/>
      <c r="G411" s="24">
        <v>8446515</v>
      </c>
      <c r="H411" s="24"/>
      <c r="I411" s="24">
        <v>0</v>
      </c>
      <c r="J411" s="24"/>
      <c r="K411" s="24">
        <v>10636092</v>
      </c>
      <c r="L411" s="24"/>
      <c r="M411" s="24">
        <v>16084</v>
      </c>
      <c r="N411" s="24"/>
      <c r="O411" s="24">
        <f>3353691+686948+5063</f>
        <v>4045702</v>
      </c>
      <c r="P411" s="24"/>
      <c r="Q411" s="24">
        <v>199681</v>
      </c>
      <c r="R411" s="24"/>
      <c r="S411" s="24">
        <v>0</v>
      </c>
      <c r="T411" s="24"/>
      <c r="U411" s="24">
        <v>18491</v>
      </c>
      <c r="V411" s="24"/>
      <c r="W411" s="24">
        <v>16947</v>
      </c>
      <c r="X411" s="24"/>
      <c r="Y411" s="38">
        <f t="shared" si="66"/>
        <v>23379512</v>
      </c>
      <c r="Z411" s="24"/>
      <c r="AA411" s="24">
        <v>0</v>
      </c>
      <c r="AB411" s="24"/>
      <c r="AC411" s="24">
        <v>0</v>
      </c>
      <c r="AD411" s="24"/>
      <c r="AE411" s="24">
        <v>0</v>
      </c>
      <c r="AF411" s="24"/>
      <c r="AG411" s="24"/>
      <c r="AH411" s="24"/>
      <c r="AI411" s="24"/>
      <c r="AJ411" s="24"/>
      <c r="AK411" s="24">
        <v>0</v>
      </c>
      <c r="AL411" s="24"/>
      <c r="AM411" s="24">
        <v>0</v>
      </c>
      <c r="AN411" s="24"/>
      <c r="AO411" s="38">
        <f>AK411+AE411+AA411</f>
        <v>0</v>
      </c>
      <c r="AP411" s="24"/>
      <c r="AQ411" s="38">
        <f>Y411+AO411</f>
        <v>23379512</v>
      </c>
      <c r="AR411" s="38"/>
      <c r="AS411" s="7" t="s">
        <v>949</v>
      </c>
      <c r="AT411" s="7" t="str">
        <f t="shared" si="78"/>
        <v>Norton City SD</v>
      </c>
      <c r="AU411" s="7" t="str">
        <f>'Gov Fd BS'!A411</f>
        <v>Norton City SD</v>
      </c>
      <c r="AV411" s="7" t="b">
        <f t="shared" si="79"/>
        <v>1</v>
      </c>
      <c r="AW411" s="7" t="str">
        <f t="shared" si="73"/>
        <v>Summit</v>
      </c>
      <c r="AX411" s="7" t="b">
        <f>C411='Gov Fd BS'!C411</f>
        <v>1</v>
      </c>
    </row>
    <row r="412" spans="1:50">
      <c r="A412" s="12" t="s">
        <v>368</v>
      </c>
      <c r="B412" s="12"/>
      <c r="C412" s="12" t="s">
        <v>37</v>
      </c>
      <c r="D412" s="12"/>
      <c r="E412" s="12">
        <v>44560</v>
      </c>
      <c r="F412" s="24"/>
      <c r="G412" s="24">
        <v>7719434</v>
      </c>
      <c r="H412" s="24"/>
      <c r="I412" s="24">
        <v>1796429</v>
      </c>
      <c r="J412" s="24"/>
      <c r="K412" s="24">
        <v>17570159</v>
      </c>
      <c r="L412" s="24"/>
      <c r="M412" s="24">
        <v>110147</v>
      </c>
      <c r="N412" s="24"/>
      <c r="O412" s="24">
        <f>930448+42352+370725</f>
        <v>1343525</v>
      </c>
      <c r="P412" s="24"/>
      <c r="Q412" s="24">
        <v>173933</v>
      </c>
      <c r="R412" s="24"/>
      <c r="S412" s="24">
        <v>0</v>
      </c>
      <c r="T412" s="24"/>
      <c r="U412" s="24">
        <v>113328</v>
      </c>
      <c r="V412" s="24"/>
      <c r="W412" s="24">
        <v>109948</v>
      </c>
      <c r="X412" s="24"/>
      <c r="Y412" s="38">
        <f t="shared" si="66"/>
        <v>28936903</v>
      </c>
      <c r="Z412" s="24"/>
      <c r="AA412" s="24">
        <v>0</v>
      </c>
      <c r="AB412" s="24"/>
      <c r="AC412" s="24">
        <v>0</v>
      </c>
      <c r="AD412" s="24"/>
      <c r="AE412" s="24">
        <v>0</v>
      </c>
      <c r="AF412" s="24"/>
      <c r="AG412" s="24"/>
      <c r="AH412" s="24"/>
      <c r="AI412" s="24"/>
      <c r="AJ412" s="24"/>
      <c r="AK412" s="24">
        <v>0</v>
      </c>
      <c r="AL412" s="24"/>
      <c r="AM412" s="24">
        <v>0</v>
      </c>
      <c r="AN412" s="24"/>
      <c r="AO412" s="38">
        <f>AK412+AE412+AA412</f>
        <v>0</v>
      </c>
      <c r="AP412" s="24"/>
      <c r="AQ412" s="38">
        <f>Y412+AO412</f>
        <v>28936903</v>
      </c>
      <c r="AR412" s="38"/>
      <c r="AS412" s="7"/>
      <c r="AT412" s="7" t="str">
        <f t="shared" si="78"/>
        <v>Norwalk City SD</v>
      </c>
      <c r="AU412" s="7" t="str">
        <f>'Gov Fd BS'!A412</f>
        <v>Norwalk City SD</v>
      </c>
      <c r="AV412" s="7" t="b">
        <f t="shared" si="79"/>
        <v>1</v>
      </c>
      <c r="AW412" s="7" t="str">
        <f t="shared" si="73"/>
        <v>Huron</v>
      </c>
      <c r="AX412" s="7" t="b">
        <f>C412='Gov Fd BS'!C412</f>
        <v>1</v>
      </c>
    </row>
    <row r="413" spans="1:50" hidden="1">
      <c r="A413" s="12" t="s">
        <v>950</v>
      </c>
      <c r="B413" s="12"/>
      <c r="C413" s="12" t="s">
        <v>71</v>
      </c>
      <c r="D413" s="12"/>
      <c r="E413" s="12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38">
        <f t="shared" ref="Y413" si="83">SUM(G413:W413)</f>
        <v>0</v>
      </c>
      <c r="Z413" s="24"/>
      <c r="AA413" s="24"/>
      <c r="AB413" s="24"/>
      <c r="AC413" s="24">
        <v>0</v>
      </c>
      <c r="AD413" s="24"/>
      <c r="AE413" s="24"/>
      <c r="AF413" s="24"/>
      <c r="AG413" s="24"/>
      <c r="AH413" s="24"/>
      <c r="AI413" s="24"/>
      <c r="AJ413" s="24"/>
      <c r="AK413" s="24"/>
      <c r="AL413" s="24"/>
      <c r="AM413" s="24">
        <v>0</v>
      </c>
      <c r="AN413" s="24"/>
      <c r="AO413" s="38">
        <f>AK413+AE413+AA413</f>
        <v>0</v>
      </c>
      <c r="AP413" s="24"/>
      <c r="AQ413" s="38">
        <f>Y413+AO413</f>
        <v>0</v>
      </c>
      <c r="AR413" s="38"/>
      <c r="AS413" s="7" t="s">
        <v>931</v>
      </c>
      <c r="AT413" s="7" t="str">
        <f t="shared" ref="AT413" si="84">A413</f>
        <v>Norwayne Local SD (CASH)</v>
      </c>
      <c r="AU413" s="7" t="str">
        <f>'Gov Fd BS'!A413</f>
        <v>Norwayne Local SD (CASH)</v>
      </c>
      <c r="AV413" s="7" t="b">
        <f t="shared" ref="AV413" si="85">AT413=AU413</f>
        <v>1</v>
      </c>
      <c r="AW413" s="7" t="str">
        <f t="shared" ref="AW413" si="86">C413</f>
        <v>Wayne</v>
      </c>
      <c r="AX413" s="7" t="b">
        <f>C413='Gov Fd BS'!C413</f>
        <v>1</v>
      </c>
    </row>
    <row r="414" spans="1:50">
      <c r="A414" s="12" t="s">
        <v>658</v>
      </c>
      <c r="B414" s="12"/>
      <c r="C414" s="12" t="s">
        <v>32</v>
      </c>
      <c r="D414" s="12"/>
      <c r="E414" s="12">
        <v>44578</v>
      </c>
      <c r="F414" s="24"/>
      <c r="G414" s="24">
        <v>11701377</v>
      </c>
      <c r="H414" s="24"/>
      <c r="I414" s="24">
        <v>0</v>
      </c>
      <c r="J414" s="24"/>
      <c r="K414" s="24">
        <v>16425892</v>
      </c>
      <c r="L414" s="24"/>
      <c r="M414" s="24">
        <v>2570</v>
      </c>
      <c r="N414" s="24"/>
      <c r="O414" s="24">
        <f>271648+301156</f>
        <v>572804</v>
      </c>
      <c r="P414" s="24"/>
      <c r="Q414" s="24">
        <v>145791</v>
      </c>
      <c r="R414" s="24"/>
      <c r="S414" s="24">
        <v>321019</v>
      </c>
      <c r="T414" s="24"/>
      <c r="U414" s="24">
        <v>0</v>
      </c>
      <c r="V414" s="24"/>
      <c r="W414" s="24">
        <v>209615</v>
      </c>
      <c r="X414" s="24"/>
      <c r="Y414" s="38">
        <f t="shared" si="66"/>
        <v>29379068</v>
      </c>
      <c r="Z414" s="24"/>
      <c r="AA414" s="24">
        <v>67636</v>
      </c>
      <c r="AB414" s="24"/>
      <c r="AC414" s="24">
        <v>0</v>
      </c>
      <c r="AD414" s="24"/>
      <c r="AE414" s="24">
        <v>0</v>
      </c>
      <c r="AF414" s="24"/>
      <c r="AG414" s="24"/>
      <c r="AH414" s="24"/>
      <c r="AI414" s="24"/>
      <c r="AJ414" s="24"/>
      <c r="AK414" s="24">
        <v>0</v>
      </c>
      <c r="AL414" s="24"/>
      <c r="AM414" s="24">
        <v>0</v>
      </c>
      <c r="AN414" s="24"/>
      <c r="AO414" s="38">
        <f>AK414+AE414+AA414</f>
        <v>67636</v>
      </c>
      <c r="AP414" s="24"/>
      <c r="AQ414" s="38">
        <f>Y414+AO414</f>
        <v>29446704</v>
      </c>
      <c r="AR414" s="38"/>
      <c r="AS414" s="7"/>
      <c r="AT414" s="7" t="str">
        <f t="shared" si="78"/>
        <v>Norwood City SD</v>
      </c>
      <c r="AU414" s="7" t="str">
        <f>'Gov Fd BS'!A414</f>
        <v>Norwood City SD</v>
      </c>
      <c r="AV414" s="7" t="b">
        <f t="shared" si="79"/>
        <v>1</v>
      </c>
      <c r="AW414" s="7" t="str">
        <f t="shared" si="73"/>
        <v>Hamilton</v>
      </c>
      <c r="AX414" s="7" t="b">
        <f>C414='Gov Fd BS'!C414</f>
        <v>1</v>
      </c>
    </row>
    <row r="415" spans="1:50" hidden="1">
      <c r="A415" s="12" t="s">
        <v>799</v>
      </c>
      <c r="B415" s="12"/>
      <c r="C415" s="12" t="s">
        <v>38</v>
      </c>
      <c r="D415" s="12"/>
      <c r="E415" s="12"/>
      <c r="F415" s="24"/>
      <c r="G415" s="24"/>
      <c r="H415" s="24"/>
      <c r="I415" s="24">
        <v>0</v>
      </c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>
        <v>0</v>
      </c>
      <c r="V415" s="24"/>
      <c r="W415" s="24"/>
      <c r="X415" s="24"/>
      <c r="Y415" s="38"/>
      <c r="Z415" s="24"/>
      <c r="AA415" s="24"/>
      <c r="AB415" s="24"/>
      <c r="AC415" s="24">
        <v>0</v>
      </c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38"/>
      <c r="AP415" s="24"/>
      <c r="AQ415" s="38"/>
      <c r="AR415" s="38"/>
      <c r="AS415" s="7" t="s">
        <v>938</v>
      </c>
      <c r="AT415" s="7" t="str">
        <f t="shared" ref="AT415" si="87">A415</f>
        <v>Oak Hill Union Local SD (CASH)</v>
      </c>
      <c r="AU415" s="7" t="str">
        <f>'Gov Fd BS'!A415</f>
        <v>Oak Hill Union Local SD (CASH)</v>
      </c>
      <c r="AV415" s="7" t="b">
        <f t="shared" ref="AV415" si="88">AT415=AU415</f>
        <v>1</v>
      </c>
      <c r="AW415" s="7" t="str">
        <f t="shared" si="73"/>
        <v>Jackson</v>
      </c>
      <c r="AX415" s="7" t="b">
        <f>C415='Gov Fd BS'!C415</f>
        <v>1</v>
      </c>
    </row>
    <row r="416" spans="1:50">
      <c r="A416" s="12" t="s">
        <v>336</v>
      </c>
      <c r="B416" s="12"/>
      <c r="C416" s="12" t="s">
        <v>32</v>
      </c>
      <c r="D416" s="12"/>
      <c r="E416" s="12">
        <v>47373</v>
      </c>
      <c r="F416" s="24"/>
      <c r="G416" s="24">
        <v>29696733</v>
      </c>
      <c r="H416" s="24"/>
      <c r="I416" s="24">
        <v>0</v>
      </c>
      <c r="J416" s="24"/>
      <c r="K416" s="24">
        <v>35433886</v>
      </c>
      <c r="L416" s="24"/>
      <c r="M416" s="24">
        <v>352248</v>
      </c>
      <c r="N416" s="24"/>
      <c r="O416" s="24">
        <f>1303814+1976544</f>
        <v>3280358</v>
      </c>
      <c r="P416" s="24"/>
      <c r="Q416" s="24">
        <v>1465931</v>
      </c>
      <c r="R416" s="24"/>
      <c r="S416" s="24">
        <v>9577067</v>
      </c>
      <c r="T416" s="24"/>
      <c r="U416" s="24">
        <v>0</v>
      </c>
      <c r="V416" s="24"/>
      <c r="W416" s="24">
        <v>518947</v>
      </c>
      <c r="X416" s="24"/>
      <c r="Y416" s="38">
        <f t="shared" si="66"/>
        <v>80325170</v>
      </c>
      <c r="Z416" s="24"/>
      <c r="AA416" s="24">
        <v>671663</v>
      </c>
      <c r="AB416" s="24"/>
      <c r="AC416" s="24">
        <v>0</v>
      </c>
      <c r="AD416" s="24"/>
      <c r="AE416" s="24">
        <v>0</v>
      </c>
      <c r="AF416" s="24"/>
      <c r="AG416" s="24"/>
      <c r="AH416" s="24"/>
      <c r="AI416" s="24"/>
      <c r="AJ416" s="24"/>
      <c r="AK416" s="24">
        <v>10387</v>
      </c>
      <c r="AL416" s="24"/>
      <c r="AM416" s="24">
        <v>0</v>
      </c>
      <c r="AN416" s="24"/>
      <c r="AO416" s="38">
        <f t="shared" ref="AO416:AO439" si="89">AK416+AE416+AA416</f>
        <v>682050</v>
      </c>
      <c r="AP416" s="24"/>
      <c r="AQ416" s="38">
        <f t="shared" ref="AQ416:AQ479" si="90">Y416+AO416</f>
        <v>81007220</v>
      </c>
      <c r="AR416" s="38"/>
      <c r="AS416" s="38"/>
      <c r="AT416" s="7" t="str">
        <f t="shared" si="78"/>
        <v>Oak Hills Local SD</v>
      </c>
      <c r="AU416" s="7" t="str">
        <f>'Gov Fd BS'!A416</f>
        <v>Oak Hills Local SD</v>
      </c>
      <c r="AV416" s="7" t="b">
        <f t="shared" si="79"/>
        <v>1</v>
      </c>
      <c r="AW416" s="7" t="str">
        <f t="shared" si="73"/>
        <v>Hamilton</v>
      </c>
      <c r="AX416" s="7" t="b">
        <f>C416='Gov Fd BS'!C416</f>
        <v>1</v>
      </c>
    </row>
    <row r="417" spans="1:50">
      <c r="A417" s="12" t="s">
        <v>448</v>
      </c>
      <c r="B417" s="12"/>
      <c r="C417" s="12" t="s">
        <v>50</v>
      </c>
      <c r="D417" s="12"/>
      <c r="E417" s="12">
        <v>44586</v>
      </c>
      <c r="F417" s="24"/>
      <c r="G417" s="24">
        <v>16515171</v>
      </c>
      <c r="H417" s="24"/>
      <c r="I417" s="24">
        <v>0</v>
      </c>
      <c r="J417" s="24"/>
      <c r="K417" s="24">
        <v>8950653</v>
      </c>
      <c r="L417" s="24"/>
      <c r="M417" s="24">
        <v>3617</v>
      </c>
      <c r="N417" s="24"/>
      <c r="O417" s="24">
        <f>168859+1062+570625</f>
        <v>740546</v>
      </c>
      <c r="P417" s="24"/>
      <c r="Q417" s="24">
        <v>308717</v>
      </c>
      <c r="R417" s="24"/>
      <c r="S417" s="24">
        <v>0</v>
      </c>
      <c r="T417" s="24"/>
      <c r="U417" s="24">
        <v>84889</v>
      </c>
      <c r="V417" s="24"/>
      <c r="W417" s="24">
        <v>121991</v>
      </c>
      <c r="X417" s="24"/>
      <c r="Y417" s="38">
        <f t="shared" si="66"/>
        <v>26725584</v>
      </c>
      <c r="Z417" s="24"/>
      <c r="AA417" s="24">
        <v>1215452</v>
      </c>
      <c r="AB417" s="24"/>
      <c r="AC417" s="24">
        <v>0</v>
      </c>
      <c r="AD417" s="24"/>
      <c r="AE417" s="24">
        <v>0</v>
      </c>
      <c r="AF417" s="24"/>
      <c r="AG417" s="24"/>
      <c r="AH417" s="24"/>
      <c r="AI417" s="24"/>
      <c r="AJ417" s="24"/>
      <c r="AK417" s="24">
        <v>0</v>
      </c>
      <c r="AL417" s="24"/>
      <c r="AM417" s="24">
        <v>0</v>
      </c>
      <c r="AN417" s="24"/>
      <c r="AO417" s="38">
        <f t="shared" si="89"/>
        <v>1215452</v>
      </c>
      <c r="AP417" s="24"/>
      <c r="AQ417" s="38">
        <f t="shared" si="90"/>
        <v>27941036</v>
      </c>
      <c r="AR417" s="38"/>
      <c r="AS417" s="38"/>
      <c r="AT417" s="7" t="str">
        <f t="shared" si="78"/>
        <v>Oakwood City SD</v>
      </c>
      <c r="AU417" s="7" t="str">
        <f>'Gov Fd BS'!A417</f>
        <v>Oakwood City SD</v>
      </c>
      <c r="AV417" s="7" t="b">
        <f t="shared" si="79"/>
        <v>1</v>
      </c>
      <c r="AW417" s="7" t="str">
        <f t="shared" si="73"/>
        <v>Montgomery</v>
      </c>
      <c r="AX417" s="7" t="b">
        <f>C417='Gov Fd BS'!C417</f>
        <v>1</v>
      </c>
    </row>
    <row r="418" spans="1:50">
      <c r="A418" s="12" t="s">
        <v>401</v>
      </c>
      <c r="B418" s="12"/>
      <c r="C418" s="12" t="s">
        <v>44</v>
      </c>
      <c r="D418" s="12"/>
      <c r="E418" s="12">
        <v>44594</v>
      </c>
      <c r="F418" s="24"/>
      <c r="G418" s="24">
        <v>7808617</v>
      </c>
      <c r="H418" s="24"/>
      <c r="I418" s="24">
        <v>0</v>
      </c>
      <c r="J418" s="24"/>
      <c r="K418" s="24">
        <v>5878366</v>
      </c>
      <c r="L418" s="24"/>
      <c r="M418" s="24">
        <v>1125</v>
      </c>
      <c r="N418" s="24"/>
      <c r="O418" s="24">
        <f>342097+123349+15942</f>
        <v>481388</v>
      </c>
      <c r="P418" s="24"/>
      <c r="Q418" s="24">
        <v>40098</v>
      </c>
      <c r="R418" s="24"/>
      <c r="S418" s="24">
        <v>0</v>
      </c>
      <c r="T418" s="24"/>
      <c r="U418" s="24">
        <v>145340</v>
      </c>
      <c r="V418" s="24"/>
      <c r="W418" s="24">
        <v>151284</v>
      </c>
      <c r="X418" s="24"/>
      <c r="Y418" s="38">
        <f t="shared" si="66"/>
        <v>14506218</v>
      </c>
      <c r="Z418" s="24"/>
      <c r="AA418" s="24">
        <v>28303</v>
      </c>
      <c r="AB418" s="24"/>
      <c r="AC418" s="24">
        <v>0</v>
      </c>
      <c r="AD418" s="24"/>
      <c r="AE418" s="24">
        <v>0</v>
      </c>
      <c r="AF418" s="24"/>
      <c r="AG418" s="24"/>
      <c r="AH418" s="24"/>
      <c r="AI418" s="24"/>
      <c r="AJ418" s="24"/>
      <c r="AK418" s="24">
        <v>0</v>
      </c>
      <c r="AL418" s="24"/>
      <c r="AM418" s="24">
        <v>0</v>
      </c>
      <c r="AN418" s="24"/>
      <c r="AO418" s="38">
        <f t="shared" si="89"/>
        <v>28303</v>
      </c>
      <c r="AP418" s="24"/>
      <c r="AQ418" s="38">
        <f t="shared" si="90"/>
        <v>14534521</v>
      </c>
      <c r="AR418" s="38"/>
      <c r="AS418" s="7"/>
      <c r="AT418" s="7" t="str">
        <f t="shared" si="78"/>
        <v>Oberlin City SD</v>
      </c>
      <c r="AU418" s="7" t="str">
        <f>'Gov Fd BS'!A418</f>
        <v>Oberlin City SD</v>
      </c>
      <c r="AV418" s="7" t="b">
        <f t="shared" si="79"/>
        <v>1</v>
      </c>
      <c r="AW418" s="7" t="str">
        <f t="shared" si="73"/>
        <v>Lorain</v>
      </c>
      <c r="AX418" s="7" t="b">
        <f>C418='Gov Fd BS'!C418</f>
        <v>1</v>
      </c>
    </row>
    <row r="419" spans="1:50" hidden="1">
      <c r="A419" s="12" t="s">
        <v>640</v>
      </c>
      <c r="B419" s="12"/>
      <c r="C419" s="12" t="s">
        <v>60</v>
      </c>
      <c r="D419" s="12"/>
      <c r="E419" s="12">
        <v>49726</v>
      </c>
      <c r="F419" s="24"/>
      <c r="G419" s="24"/>
      <c r="H419" s="24"/>
      <c r="I419" s="24">
        <v>0</v>
      </c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38">
        <f t="shared" si="66"/>
        <v>0</v>
      </c>
      <c r="Z419" s="24"/>
      <c r="AA419" s="24"/>
      <c r="AB419" s="24"/>
      <c r="AC419" s="24">
        <v>0</v>
      </c>
      <c r="AD419" s="24"/>
      <c r="AE419" s="24"/>
      <c r="AF419" s="24"/>
      <c r="AG419" s="24"/>
      <c r="AH419" s="24"/>
      <c r="AI419" s="24"/>
      <c r="AJ419" s="24"/>
      <c r="AK419" s="24"/>
      <c r="AL419" s="24"/>
      <c r="AM419" s="24">
        <v>0</v>
      </c>
      <c r="AN419" s="24"/>
      <c r="AO419" s="38">
        <f t="shared" si="89"/>
        <v>0</v>
      </c>
      <c r="AP419" s="24"/>
      <c r="AQ419" s="38">
        <f t="shared" si="90"/>
        <v>0</v>
      </c>
      <c r="AR419" s="38"/>
      <c r="AS419" s="7" t="s">
        <v>839</v>
      </c>
      <c r="AT419" s="7" t="str">
        <f t="shared" si="78"/>
        <v>Old Fort Local SD (CASH)</v>
      </c>
      <c r="AU419" s="7" t="str">
        <f>'Gov Fd BS'!A419</f>
        <v>Old Fort Local SD (CASH)</v>
      </c>
      <c r="AV419" s="7" t="b">
        <f t="shared" si="79"/>
        <v>1</v>
      </c>
      <c r="AW419" s="7" t="str">
        <f t="shared" si="73"/>
        <v>Seneca</v>
      </c>
      <c r="AX419" s="7" t="b">
        <f>C419='Gov Fd BS'!C419</f>
        <v>1</v>
      </c>
    </row>
    <row r="420" spans="1:50">
      <c r="A420" s="12" t="s">
        <v>290</v>
      </c>
      <c r="B420" s="12"/>
      <c r="C420" s="12" t="s">
        <v>23</v>
      </c>
      <c r="D420" s="12"/>
      <c r="E420" s="12">
        <v>46763</v>
      </c>
      <c r="F420" s="24"/>
      <c r="G420" s="24">
        <v>134916576</v>
      </c>
      <c r="H420" s="24"/>
      <c r="I420" s="24">
        <v>0</v>
      </c>
      <c r="J420" s="24"/>
      <c r="K420" s="24">
        <f>5748333+26916299+383702</f>
        <v>33048334</v>
      </c>
      <c r="L420" s="24"/>
      <c r="M420" s="24">
        <v>447564</v>
      </c>
      <c r="N420" s="24"/>
      <c r="O420" s="24">
        <f>5525311+1643236</f>
        <v>7168547</v>
      </c>
      <c r="P420" s="24"/>
      <c r="Q420" s="24">
        <v>581782</v>
      </c>
      <c r="R420" s="24"/>
      <c r="S420" s="24">
        <v>9792122</v>
      </c>
      <c r="T420" s="24"/>
      <c r="U420" s="24">
        <v>0</v>
      </c>
      <c r="V420" s="24"/>
      <c r="W420" s="24">
        <v>5334942</v>
      </c>
      <c r="X420" s="24"/>
      <c r="Y420" s="38">
        <f t="shared" si="66"/>
        <v>191289867</v>
      </c>
      <c r="Z420" s="24"/>
      <c r="AA420" s="24">
        <v>0</v>
      </c>
      <c r="AB420" s="24"/>
      <c r="AC420" s="24">
        <v>0</v>
      </c>
      <c r="AD420" s="24"/>
      <c r="AE420" s="24">
        <v>128447</v>
      </c>
      <c r="AF420" s="24"/>
      <c r="AG420" s="24"/>
      <c r="AH420" s="24"/>
      <c r="AI420" s="24"/>
      <c r="AJ420" s="24"/>
      <c r="AK420" s="24">
        <v>36617</v>
      </c>
      <c r="AL420" s="24"/>
      <c r="AM420" s="24">
        <v>0</v>
      </c>
      <c r="AN420" s="24"/>
      <c r="AO420" s="38">
        <f t="shared" si="89"/>
        <v>165064</v>
      </c>
      <c r="AP420" s="24"/>
      <c r="AQ420" s="38">
        <f t="shared" si="90"/>
        <v>191454931</v>
      </c>
      <c r="AR420" s="38"/>
      <c r="AS420" s="7"/>
      <c r="AT420" s="7" t="str">
        <f t="shared" si="78"/>
        <v>Olentangy Local SD</v>
      </c>
      <c r="AU420" s="7" t="str">
        <f>'Gov Fd BS'!A420</f>
        <v>Olentangy Local SD</v>
      </c>
      <c r="AV420" s="7" t="b">
        <f t="shared" si="79"/>
        <v>1</v>
      </c>
      <c r="AW420" s="7" t="str">
        <f t="shared" si="73"/>
        <v>Delaware</v>
      </c>
      <c r="AX420" s="7" t="b">
        <f>C420='Gov Fd BS'!C420</f>
        <v>1</v>
      </c>
    </row>
    <row r="421" spans="1:50">
      <c r="A421" s="12" t="s">
        <v>279</v>
      </c>
      <c r="B421" s="12"/>
      <c r="C421" s="12" t="s">
        <v>20</v>
      </c>
      <c r="D421" s="12"/>
      <c r="E421" s="12">
        <v>46573</v>
      </c>
      <c r="F421" s="24"/>
      <c r="G421" s="24">
        <v>24232322</v>
      </c>
      <c r="H421" s="24"/>
      <c r="I421" s="24">
        <v>0</v>
      </c>
      <c r="J421" s="24"/>
      <c r="K421" s="24">
        <v>17327313</v>
      </c>
      <c r="L421" s="24"/>
      <c r="M421" s="24">
        <v>37368</v>
      </c>
      <c r="N421" s="24"/>
      <c r="O421" s="24">
        <f>449699+1043564+18210</f>
        <v>1511473</v>
      </c>
      <c r="P421" s="24"/>
      <c r="Q421" s="24">
        <v>457342</v>
      </c>
      <c r="R421" s="24"/>
      <c r="S421" s="24">
        <v>0</v>
      </c>
      <c r="T421" s="24"/>
      <c r="U421" s="24">
        <v>90689</v>
      </c>
      <c r="V421" s="24"/>
      <c r="W421" s="24">
        <v>321605</v>
      </c>
      <c r="X421" s="24"/>
      <c r="Y421" s="38">
        <f t="shared" si="66"/>
        <v>43978112</v>
      </c>
      <c r="Z421" s="24"/>
      <c r="AA421" s="24">
        <v>0</v>
      </c>
      <c r="AB421" s="24"/>
      <c r="AC421" s="24">
        <v>0</v>
      </c>
      <c r="AD421" s="24"/>
      <c r="AE421" s="24">
        <v>0</v>
      </c>
      <c r="AF421" s="24"/>
      <c r="AG421" s="24"/>
      <c r="AH421" s="24"/>
      <c r="AI421" s="24"/>
      <c r="AJ421" s="24"/>
      <c r="AK421" s="24">
        <v>0</v>
      </c>
      <c r="AL421" s="24"/>
      <c r="AM421" s="24">
        <v>0</v>
      </c>
      <c r="AN421" s="24"/>
      <c r="AO421" s="38">
        <f t="shared" si="89"/>
        <v>0</v>
      </c>
      <c r="AP421" s="24"/>
      <c r="AQ421" s="38">
        <f t="shared" si="90"/>
        <v>43978112</v>
      </c>
      <c r="AR421" s="38"/>
      <c r="AS421" s="7"/>
      <c r="AT421" s="7" t="str">
        <f t="shared" si="78"/>
        <v>Olmsted Falls City SD</v>
      </c>
      <c r="AU421" s="7" t="str">
        <f>'Gov Fd BS'!A421</f>
        <v>Olmsted Falls City SD</v>
      </c>
      <c r="AV421" s="7" t="b">
        <f t="shared" si="79"/>
        <v>1</v>
      </c>
      <c r="AW421" s="7" t="str">
        <f t="shared" si="73"/>
        <v>Cuyahoga</v>
      </c>
      <c r="AX421" s="7" t="b">
        <f>C421='Gov Fd BS'!C421</f>
        <v>1</v>
      </c>
    </row>
    <row r="422" spans="1:50">
      <c r="A422" s="12" t="s">
        <v>485</v>
      </c>
      <c r="B422" s="12"/>
      <c r="C422" s="12" t="s">
        <v>110</v>
      </c>
      <c r="D422" s="12"/>
      <c r="E422" s="12">
        <v>49478</v>
      </c>
      <c r="F422" s="24"/>
      <c r="G422" s="24">
        <v>10694167</v>
      </c>
      <c r="H422" s="24"/>
      <c r="I422" s="24">
        <v>0</v>
      </c>
      <c r="J422" s="24"/>
      <c r="K422" s="24">
        <f>5495+5874425+1134212</f>
        <v>7014132</v>
      </c>
      <c r="L422" s="24"/>
      <c r="M422" s="24">
        <v>83689</v>
      </c>
      <c r="N422" s="24"/>
      <c r="O422" s="24">
        <f>129739+443372+137314+23299</f>
        <v>733724</v>
      </c>
      <c r="P422" s="24"/>
      <c r="Q422" s="24">
        <v>315348</v>
      </c>
      <c r="R422" s="24"/>
      <c r="S422" s="24">
        <v>142527</v>
      </c>
      <c r="T422" s="24"/>
      <c r="U422" s="24">
        <v>30277</v>
      </c>
      <c r="V422" s="24"/>
      <c r="W422" s="24">
        <v>21023</v>
      </c>
      <c r="X422" s="24"/>
      <c r="Y422" s="38">
        <f t="shared" si="66"/>
        <v>19034887</v>
      </c>
      <c r="Z422" s="24"/>
      <c r="AA422" s="24">
        <v>0</v>
      </c>
      <c r="AB422" s="24"/>
      <c r="AC422" s="24">
        <v>0</v>
      </c>
      <c r="AD422" s="24"/>
      <c r="AE422" s="24">
        <v>51968</v>
      </c>
      <c r="AF422" s="24"/>
      <c r="AG422" s="24"/>
      <c r="AH422" s="24"/>
      <c r="AI422" s="24"/>
      <c r="AJ422" s="24"/>
      <c r="AK422" s="24">
        <v>0</v>
      </c>
      <c r="AL422" s="24"/>
      <c r="AM422" s="24">
        <v>0</v>
      </c>
      <c r="AN422" s="24"/>
      <c r="AO422" s="38">
        <f t="shared" si="89"/>
        <v>51968</v>
      </c>
      <c r="AP422" s="24"/>
      <c r="AQ422" s="38">
        <f t="shared" si="90"/>
        <v>19086855</v>
      </c>
      <c r="AR422" s="38"/>
      <c r="AS422" s="7"/>
      <c r="AT422" s="7" t="str">
        <f t="shared" si="78"/>
        <v>Ontario Local SD</v>
      </c>
      <c r="AU422" s="7" t="str">
        <f>'Gov Fd BS'!A422</f>
        <v>Ontario Local SD</v>
      </c>
      <c r="AV422" s="7" t="b">
        <f t="shared" si="79"/>
        <v>1</v>
      </c>
      <c r="AW422" s="7" t="str">
        <f t="shared" si="73"/>
        <v>Richland</v>
      </c>
      <c r="AX422" s="7" t="b">
        <f>C422='Gov Fd BS'!C422</f>
        <v>1</v>
      </c>
    </row>
    <row r="423" spans="1:50">
      <c r="A423" s="12" t="s">
        <v>280</v>
      </c>
      <c r="B423" s="12"/>
      <c r="C423" s="12" t="s">
        <v>20</v>
      </c>
      <c r="D423" s="12"/>
      <c r="E423" s="12">
        <v>46581</v>
      </c>
      <c r="F423" s="24"/>
      <c r="G423" s="24">
        <v>37568424</v>
      </c>
      <c r="H423" s="24"/>
      <c r="I423" s="24">
        <v>0</v>
      </c>
      <c r="J423" s="24"/>
      <c r="K423" s="24">
        <f>57642+9917286+1632645</f>
        <v>11607573</v>
      </c>
      <c r="L423" s="24"/>
      <c r="M423" s="24">
        <v>323414</v>
      </c>
      <c r="N423" s="24"/>
      <c r="O423" s="24">
        <f>3983971+534975+79681+7760+41621</f>
        <v>4648008</v>
      </c>
      <c r="P423" s="24"/>
      <c r="Q423" s="24">
        <v>242272</v>
      </c>
      <c r="R423" s="24"/>
      <c r="S423" s="24">
        <v>0</v>
      </c>
      <c r="T423" s="24"/>
      <c r="U423" s="24">
        <v>7389</v>
      </c>
      <c r="V423" s="24"/>
      <c r="W423" s="24">
        <v>85049</v>
      </c>
      <c r="X423" s="24"/>
      <c r="Y423" s="38">
        <f t="shared" ref="Y423:Y424" si="91">SUM(G423:W423)</f>
        <v>54482129</v>
      </c>
      <c r="Z423" s="24"/>
      <c r="AA423" s="24">
        <v>110000</v>
      </c>
      <c r="AB423" s="24"/>
      <c r="AC423" s="24">
        <v>0</v>
      </c>
      <c r="AD423" s="24"/>
      <c r="AE423" s="24">
        <v>2670000</v>
      </c>
      <c r="AF423" s="24"/>
      <c r="AG423" s="24"/>
      <c r="AH423" s="24"/>
      <c r="AI423" s="24"/>
      <c r="AJ423" s="24"/>
      <c r="AK423" s="24">
        <v>0</v>
      </c>
      <c r="AL423" s="24"/>
      <c r="AM423" s="24">
        <v>0</v>
      </c>
      <c r="AN423" s="24"/>
      <c r="AO423" s="38">
        <f t="shared" si="89"/>
        <v>2780000</v>
      </c>
      <c r="AP423" s="24"/>
      <c r="AQ423" s="38">
        <f t="shared" si="90"/>
        <v>57262129</v>
      </c>
      <c r="AR423" s="38"/>
      <c r="AS423" s="7"/>
      <c r="AT423" s="7" t="str">
        <f t="shared" si="78"/>
        <v>Orange City SD</v>
      </c>
      <c r="AU423" s="7" t="str">
        <f>'Gov Fd BS'!A423</f>
        <v>Orange City SD</v>
      </c>
      <c r="AV423" s="7" t="b">
        <f t="shared" si="79"/>
        <v>1</v>
      </c>
      <c r="AW423" s="7" t="str">
        <f t="shared" si="73"/>
        <v>Cuyahoga</v>
      </c>
      <c r="AX423" s="7" t="b">
        <f>C423='Gov Fd BS'!C423</f>
        <v>1</v>
      </c>
    </row>
    <row r="424" spans="1:50">
      <c r="A424" s="12" t="s">
        <v>404</v>
      </c>
      <c r="B424" s="12"/>
      <c r="C424" s="12" t="s">
        <v>115</v>
      </c>
      <c r="D424" s="12"/>
      <c r="E424" s="12">
        <v>44602</v>
      </c>
      <c r="F424" s="24"/>
      <c r="G424" s="24">
        <v>22040257</v>
      </c>
      <c r="H424" s="24"/>
      <c r="I424" s="24">
        <v>0</v>
      </c>
      <c r="J424" s="24"/>
      <c r="K424" s="24">
        <f>19655152+3857006</f>
        <v>23512158</v>
      </c>
      <c r="L424" s="24"/>
      <c r="M424" s="24">
        <v>71551</v>
      </c>
      <c r="N424" s="24"/>
      <c r="O424" s="24">
        <f>1547860+824819+166147</f>
        <v>2538826</v>
      </c>
      <c r="P424" s="24"/>
      <c r="Q424" s="24">
        <v>309265</v>
      </c>
      <c r="R424" s="24"/>
      <c r="S424" s="24">
        <v>203020</v>
      </c>
      <c r="T424" s="24"/>
      <c r="U424" s="24">
        <v>0</v>
      </c>
      <c r="V424" s="24"/>
      <c r="W424" s="24">
        <v>398590</v>
      </c>
      <c r="X424" s="24"/>
      <c r="Y424" s="38">
        <f t="shared" si="91"/>
        <v>49073667</v>
      </c>
      <c r="Z424" s="24"/>
      <c r="AA424" s="24">
        <v>60943</v>
      </c>
      <c r="AB424" s="24"/>
      <c r="AC424" s="24">
        <v>0</v>
      </c>
      <c r="AD424" s="24"/>
      <c r="AE424" s="24">
        <v>0</v>
      </c>
      <c r="AF424" s="24"/>
      <c r="AG424" s="24"/>
      <c r="AH424" s="24"/>
      <c r="AI424" s="24"/>
      <c r="AJ424" s="24"/>
      <c r="AK424" s="24">
        <v>1582</v>
      </c>
      <c r="AL424" s="24"/>
      <c r="AM424" s="24">
        <v>0</v>
      </c>
      <c r="AN424" s="24"/>
      <c r="AO424" s="38">
        <f t="shared" si="89"/>
        <v>62525</v>
      </c>
      <c r="AP424" s="24"/>
      <c r="AQ424" s="38">
        <f t="shared" si="90"/>
        <v>49136192</v>
      </c>
      <c r="AR424" s="38"/>
      <c r="AS424" s="7" t="s">
        <v>951</v>
      </c>
      <c r="AT424" s="7" t="str">
        <f t="shared" si="78"/>
        <v>Oregon City SD</v>
      </c>
      <c r="AU424" s="7" t="str">
        <f>'Gov Fd BS'!A424</f>
        <v>Oregon City SD</v>
      </c>
      <c r="AV424" s="7" t="b">
        <f t="shared" si="79"/>
        <v>1</v>
      </c>
      <c r="AW424" s="7" t="str">
        <f t="shared" si="73"/>
        <v>Lucas</v>
      </c>
      <c r="AX424" s="7" t="b">
        <f>C424='Gov Fd BS'!C424</f>
        <v>1</v>
      </c>
    </row>
    <row r="425" spans="1:50" hidden="1">
      <c r="A425" s="12" t="s">
        <v>952</v>
      </c>
      <c r="B425" s="12"/>
      <c r="C425" s="12" t="s">
        <v>71</v>
      </c>
      <c r="D425" s="12"/>
      <c r="E425" s="12">
        <v>44610</v>
      </c>
      <c r="F425" s="24"/>
      <c r="G425" s="24"/>
      <c r="H425" s="24"/>
      <c r="I425" s="24">
        <v>0</v>
      </c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>
        <v>0</v>
      </c>
      <c r="V425" s="24"/>
      <c r="W425" s="24"/>
      <c r="X425" s="24"/>
      <c r="Y425" s="38">
        <f t="shared" ref="Y425:Y428" si="92">SUM(G425:W425)</f>
        <v>0</v>
      </c>
      <c r="Z425" s="24"/>
      <c r="AA425" s="24"/>
      <c r="AB425" s="24"/>
      <c r="AC425" s="24">
        <v>0</v>
      </c>
      <c r="AD425" s="24"/>
      <c r="AE425" s="24"/>
      <c r="AF425" s="24"/>
      <c r="AG425" s="24"/>
      <c r="AH425" s="24"/>
      <c r="AI425" s="24"/>
      <c r="AJ425" s="24"/>
      <c r="AK425" s="24"/>
      <c r="AL425" s="24"/>
      <c r="AM425" s="24">
        <v>0</v>
      </c>
      <c r="AN425" s="24"/>
      <c r="AO425" s="38">
        <f t="shared" si="89"/>
        <v>0</v>
      </c>
      <c r="AP425" s="24"/>
      <c r="AQ425" s="38">
        <f t="shared" si="90"/>
        <v>0</v>
      </c>
      <c r="AR425" s="38"/>
      <c r="AS425" s="7" t="s">
        <v>903</v>
      </c>
      <c r="AT425" s="7" t="str">
        <f t="shared" si="78"/>
        <v>Orrville City SD (CASH)</v>
      </c>
      <c r="AU425" s="7" t="str">
        <f>'Gov Fd BS'!A425</f>
        <v>Orrville City SD (CASH)</v>
      </c>
      <c r="AV425" s="7" t="b">
        <f t="shared" si="79"/>
        <v>1</v>
      </c>
      <c r="AW425" s="7" t="str">
        <f t="shared" si="73"/>
        <v>Wayne</v>
      </c>
      <c r="AX425" s="7" t="b">
        <f>C425='Gov Fd BS'!C425</f>
        <v>1</v>
      </c>
    </row>
    <row r="426" spans="1:50">
      <c r="A426" s="12" t="s">
        <v>519</v>
      </c>
      <c r="B426" s="12"/>
      <c r="C426" s="12" t="s">
        <v>62</v>
      </c>
      <c r="D426" s="12"/>
      <c r="E426" s="12">
        <v>49916</v>
      </c>
      <c r="F426" s="24"/>
      <c r="G426" s="24">
        <v>3109105</v>
      </c>
      <c r="H426" s="24"/>
      <c r="I426" s="24">
        <v>0</v>
      </c>
      <c r="J426" s="24"/>
      <c r="K426" s="24">
        <f>100+5830681+912338</f>
        <v>6743119</v>
      </c>
      <c r="L426" s="24"/>
      <c r="M426" s="24">
        <v>50518</v>
      </c>
      <c r="N426" s="24"/>
      <c r="O426" s="24">
        <f>509478+179375+850+26794</f>
        <v>716497</v>
      </c>
      <c r="P426" s="24"/>
      <c r="Q426" s="24">
        <v>180247</v>
      </c>
      <c r="R426" s="24"/>
      <c r="S426" s="24">
        <v>0</v>
      </c>
      <c r="T426" s="24"/>
      <c r="U426" s="24">
        <v>0</v>
      </c>
      <c r="V426" s="24"/>
      <c r="W426" s="24">
        <v>88413</v>
      </c>
      <c r="X426" s="24"/>
      <c r="Y426" s="38">
        <f t="shared" si="92"/>
        <v>10887899</v>
      </c>
      <c r="Z426" s="24"/>
      <c r="AA426" s="24">
        <v>0</v>
      </c>
      <c r="AB426" s="24"/>
      <c r="AC426" s="24">
        <v>0</v>
      </c>
      <c r="AD426" s="24"/>
      <c r="AE426" s="24">
        <v>0</v>
      </c>
      <c r="AF426" s="24"/>
      <c r="AG426" s="24"/>
      <c r="AH426" s="24"/>
      <c r="AI426" s="24"/>
      <c r="AJ426" s="24"/>
      <c r="AK426" s="24">
        <v>41135</v>
      </c>
      <c r="AL426" s="24"/>
      <c r="AM426" s="24">
        <v>0</v>
      </c>
      <c r="AN426" s="24"/>
      <c r="AO426" s="38">
        <f t="shared" si="89"/>
        <v>41135</v>
      </c>
      <c r="AP426" s="24"/>
      <c r="AQ426" s="38">
        <f t="shared" si="90"/>
        <v>10929034</v>
      </c>
      <c r="AR426" s="38"/>
      <c r="AS426" s="7"/>
      <c r="AT426" s="7" t="str">
        <f t="shared" si="78"/>
        <v>Osnaburg Local SD</v>
      </c>
      <c r="AU426" s="7" t="str">
        <f>'Gov Fd BS'!A426</f>
        <v>Osnaburg Local SD</v>
      </c>
      <c r="AV426" s="7" t="b">
        <f t="shared" si="79"/>
        <v>1</v>
      </c>
      <c r="AW426" s="7" t="str">
        <f t="shared" si="73"/>
        <v>Stark</v>
      </c>
      <c r="AX426" s="7" t="b">
        <f>C426='Gov Fd BS'!C426</f>
        <v>1</v>
      </c>
    </row>
    <row r="427" spans="1:50">
      <c r="A427" s="12" t="s">
        <v>576</v>
      </c>
      <c r="B427" s="12"/>
      <c r="C427" s="12" t="s">
        <v>72</v>
      </c>
      <c r="D427" s="12"/>
      <c r="E427" s="12">
        <v>50724</v>
      </c>
      <c r="F427" s="24"/>
      <c r="G427" s="24">
        <v>5561851</v>
      </c>
      <c r="H427" s="24"/>
      <c r="I427" s="24">
        <v>2348549</v>
      </c>
      <c r="J427" s="24"/>
      <c r="K427" s="24">
        <v>12500982</v>
      </c>
      <c r="L427" s="24"/>
      <c r="M427" s="24">
        <v>16494</v>
      </c>
      <c r="N427" s="24"/>
      <c r="O427" s="24">
        <f>501604+354146</f>
        <v>855750</v>
      </c>
      <c r="P427" s="24"/>
      <c r="Q427" s="24">
        <v>128870</v>
      </c>
      <c r="R427" s="24"/>
      <c r="S427" s="24">
        <v>0</v>
      </c>
      <c r="T427" s="24"/>
      <c r="U427" s="24">
        <v>11731</v>
      </c>
      <c r="V427" s="24"/>
      <c r="W427" s="24">
        <v>104971</v>
      </c>
      <c r="X427" s="24"/>
      <c r="Y427" s="38">
        <f t="shared" si="92"/>
        <v>21529198</v>
      </c>
      <c r="Z427" s="24"/>
      <c r="AA427" s="24">
        <v>277994</v>
      </c>
      <c r="AB427" s="24"/>
      <c r="AC427" s="24">
        <v>0</v>
      </c>
      <c r="AD427" s="24"/>
      <c r="AE427" s="24">
        <v>0</v>
      </c>
      <c r="AF427" s="24"/>
      <c r="AG427" s="24"/>
      <c r="AH427" s="24"/>
      <c r="AI427" s="24"/>
      <c r="AJ427" s="24"/>
      <c r="AK427" s="24">
        <v>500</v>
      </c>
      <c r="AL427" s="24"/>
      <c r="AM427" s="24">
        <v>0</v>
      </c>
      <c r="AN427" s="24"/>
      <c r="AO427" s="38">
        <f t="shared" si="89"/>
        <v>278494</v>
      </c>
      <c r="AP427" s="24"/>
      <c r="AQ427" s="38">
        <f t="shared" si="90"/>
        <v>21807692</v>
      </c>
      <c r="AR427" s="38"/>
      <c r="AS427" s="7"/>
      <c r="AT427" s="7" t="str">
        <f t="shared" si="78"/>
        <v>Otsego Local SD</v>
      </c>
      <c r="AU427" s="7" t="str">
        <f>'Gov Fd BS'!A427</f>
        <v>Otsego Local SD</v>
      </c>
      <c r="AV427" s="7" t="b">
        <f t="shared" si="79"/>
        <v>1</v>
      </c>
      <c r="AW427" s="7" t="str">
        <f t="shared" si="73"/>
        <v>Wood</v>
      </c>
      <c r="AX427" s="7" t="b">
        <f>C427='Gov Fd BS'!C427</f>
        <v>1</v>
      </c>
    </row>
    <row r="428" spans="1:50">
      <c r="A428" s="12" t="s">
        <v>405</v>
      </c>
      <c r="B428" s="12"/>
      <c r="C428" s="12" t="s">
        <v>115</v>
      </c>
      <c r="D428" s="12"/>
      <c r="E428" s="12">
        <v>48215</v>
      </c>
      <c r="F428" s="24"/>
      <c r="G428" s="24">
        <v>9984219</v>
      </c>
      <c r="H428" s="24"/>
      <c r="I428" s="24">
        <v>0</v>
      </c>
      <c r="J428" s="24"/>
      <c r="K428" s="24">
        <f>3589632+595370</f>
        <v>4185002</v>
      </c>
      <c r="L428" s="24"/>
      <c r="M428" s="24">
        <v>32143</v>
      </c>
      <c r="N428" s="24"/>
      <c r="O428" s="24">
        <f>80831+1168+84091</f>
        <v>166090</v>
      </c>
      <c r="P428" s="24"/>
      <c r="Q428" s="24">
        <v>229365</v>
      </c>
      <c r="R428" s="24"/>
      <c r="S428" s="24">
        <v>0</v>
      </c>
      <c r="T428" s="24"/>
      <c r="U428" s="24"/>
      <c r="V428" s="24"/>
      <c r="W428" s="24">
        <v>197047</v>
      </c>
      <c r="X428" s="24"/>
      <c r="Y428" s="38">
        <f t="shared" si="92"/>
        <v>14793866</v>
      </c>
      <c r="Z428" s="24"/>
      <c r="AA428" s="24">
        <v>311430</v>
      </c>
      <c r="AB428" s="24"/>
      <c r="AC428" s="24">
        <v>0</v>
      </c>
      <c r="AD428" s="24"/>
      <c r="AE428" s="24">
        <v>0</v>
      </c>
      <c r="AF428" s="24"/>
      <c r="AG428" s="24"/>
      <c r="AH428" s="24"/>
      <c r="AI428" s="24"/>
      <c r="AJ428" s="24"/>
      <c r="AK428" s="24">
        <f>160+20645</f>
        <v>20805</v>
      </c>
      <c r="AL428" s="24"/>
      <c r="AM428" s="24">
        <v>0</v>
      </c>
      <c r="AN428" s="24"/>
      <c r="AO428" s="38">
        <f t="shared" si="89"/>
        <v>332235</v>
      </c>
      <c r="AP428" s="24"/>
      <c r="AQ428" s="38">
        <f t="shared" si="90"/>
        <v>15126101</v>
      </c>
      <c r="AR428" s="38"/>
      <c r="AS428" s="7"/>
      <c r="AT428" s="7" t="str">
        <f t="shared" si="78"/>
        <v>Ottawa Hills Local SD</v>
      </c>
      <c r="AU428" s="7" t="str">
        <f>'Gov Fd BS'!A428</f>
        <v>Ottawa Hills Local SD</v>
      </c>
      <c r="AV428" s="7" t="b">
        <f t="shared" si="79"/>
        <v>1</v>
      </c>
      <c r="AW428" s="7" t="str">
        <f t="shared" si="73"/>
        <v>Lucas</v>
      </c>
      <c r="AX428" s="7" t="b">
        <f>C428='Gov Fd BS'!C428</f>
        <v>1</v>
      </c>
    </row>
    <row r="429" spans="1:50" hidden="1">
      <c r="A429" s="12" t="s">
        <v>749</v>
      </c>
      <c r="B429" s="12"/>
      <c r="C429" s="12" t="s">
        <v>482</v>
      </c>
      <c r="D429" s="12"/>
      <c r="E429" s="12">
        <v>49379</v>
      </c>
      <c r="F429" s="24"/>
      <c r="G429" s="24"/>
      <c r="H429" s="24"/>
      <c r="I429" s="24">
        <v>0</v>
      </c>
      <c r="J429" s="24"/>
      <c r="K429" s="24"/>
      <c r="L429" s="24"/>
      <c r="M429" s="24"/>
      <c r="N429" s="24"/>
      <c r="O429" s="24"/>
      <c r="P429" s="24"/>
      <c r="Q429" s="24"/>
      <c r="R429" s="24"/>
      <c r="S429" s="24">
        <v>0</v>
      </c>
      <c r="T429" s="24"/>
      <c r="U429" s="24"/>
      <c r="V429" s="24"/>
      <c r="W429" s="24"/>
      <c r="X429" s="24"/>
      <c r="Y429" s="38">
        <f t="shared" ref="Y429:Y479" si="93">SUM(G429:W429)</f>
        <v>0</v>
      </c>
      <c r="Z429" s="24"/>
      <c r="AA429" s="24"/>
      <c r="AB429" s="24"/>
      <c r="AC429" s="24">
        <v>0</v>
      </c>
      <c r="AD429" s="24"/>
      <c r="AE429" s="24"/>
      <c r="AF429" s="24"/>
      <c r="AG429" s="24"/>
      <c r="AH429" s="24"/>
      <c r="AI429" s="24"/>
      <c r="AJ429" s="24"/>
      <c r="AK429" s="24"/>
      <c r="AL429" s="24"/>
      <c r="AM429" s="24">
        <v>0</v>
      </c>
      <c r="AN429" s="24"/>
      <c r="AO429" s="38">
        <f t="shared" si="89"/>
        <v>0</v>
      </c>
      <c r="AP429" s="24"/>
      <c r="AQ429" s="38">
        <f t="shared" si="90"/>
        <v>0</v>
      </c>
      <c r="AR429" s="38"/>
      <c r="AS429" s="7" t="s">
        <v>953</v>
      </c>
      <c r="AT429" s="7" t="str">
        <f t="shared" si="78"/>
        <v>Ottawa-Glandorf Local SD (CASH)</v>
      </c>
      <c r="AU429" s="7" t="str">
        <f>'Gov Fd BS'!A429</f>
        <v>Ottawa-Glandorf Local SD (CASH)</v>
      </c>
      <c r="AV429" s="7" t="b">
        <f t="shared" si="79"/>
        <v>1</v>
      </c>
      <c r="AW429" s="7" t="str">
        <f t="shared" si="73"/>
        <v>Putnam</v>
      </c>
      <c r="AX429" s="7" t="b">
        <f>C429='Gov Fd BS'!C429</f>
        <v>1</v>
      </c>
    </row>
    <row r="430" spans="1:50" hidden="1">
      <c r="A430" s="12" t="s">
        <v>955</v>
      </c>
      <c r="B430" s="12"/>
      <c r="C430" s="12" t="s">
        <v>482</v>
      </c>
      <c r="D430" s="12"/>
      <c r="E430" s="12">
        <v>49387</v>
      </c>
      <c r="F430" s="24"/>
      <c r="G430" s="24"/>
      <c r="H430" s="24"/>
      <c r="I430" s="24">
        <v>0</v>
      </c>
      <c r="J430" s="24"/>
      <c r="K430" s="24"/>
      <c r="L430" s="24"/>
      <c r="M430" s="24"/>
      <c r="N430" s="24"/>
      <c r="O430" s="24"/>
      <c r="P430" s="24"/>
      <c r="Q430" s="24"/>
      <c r="R430" s="24"/>
      <c r="S430" s="24">
        <v>0</v>
      </c>
      <c r="T430" s="24"/>
      <c r="U430" s="24"/>
      <c r="V430" s="24"/>
      <c r="W430" s="24"/>
      <c r="X430" s="24"/>
      <c r="Y430" s="38">
        <f t="shared" si="93"/>
        <v>0</v>
      </c>
      <c r="Z430" s="24"/>
      <c r="AA430" s="24"/>
      <c r="AB430" s="24"/>
      <c r="AC430" s="24">
        <v>0</v>
      </c>
      <c r="AD430" s="24"/>
      <c r="AE430" s="24"/>
      <c r="AF430" s="24"/>
      <c r="AG430" s="24"/>
      <c r="AH430" s="24"/>
      <c r="AI430" s="24"/>
      <c r="AJ430" s="24"/>
      <c r="AK430" s="24"/>
      <c r="AL430" s="24"/>
      <c r="AM430" s="24">
        <v>0</v>
      </c>
      <c r="AN430" s="24"/>
      <c r="AO430" s="38">
        <f t="shared" si="89"/>
        <v>0</v>
      </c>
      <c r="AP430" s="24"/>
      <c r="AQ430" s="38">
        <f t="shared" si="90"/>
        <v>0</v>
      </c>
      <c r="AR430" s="38"/>
      <c r="AS430" s="7" t="s">
        <v>954</v>
      </c>
      <c r="AT430" s="7" t="str">
        <f t="shared" si="78"/>
        <v>Ottoville Local SD (NO REPORT) (Two year Audit)</v>
      </c>
      <c r="AU430" s="7" t="str">
        <f>'Gov Fd BS'!A430</f>
        <v>Ottoville Local SD (NO REPORT) (Two year Audit)</v>
      </c>
      <c r="AV430" s="7" t="b">
        <f t="shared" si="79"/>
        <v>1</v>
      </c>
      <c r="AW430" s="7" t="str">
        <f t="shared" si="73"/>
        <v>Putnam</v>
      </c>
      <c r="AX430" s="7" t="b">
        <f>C430='Gov Fd BS'!C430</f>
        <v>1</v>
      </c>
    </row>
    <row r="431" spans="1:50" hidden="1">
      <c r="A431" s="12" t="s">
        <v>956</v>
      </c>
      <c r="B431" s="12"/>
      <c r="C431" s="12" t="s">
        <v>41</v>
      </c>
      <c r="D431" s="12"/>
      <c r="E431" s="12">
        <v>44628</v>
      </c>
      <c r="F431" s="24"/>
      <c r="G431" s="24"/>
      <c r="H431" s="24"/>
      <c r="I431" s="24">
        <v>0</v>
      </c>
      <c r="J431" s="24"/>
      <c r="K431" s="24"/>
      <c r="L431" s="24"/>
      <c r="M431" s="24"/>
      <c r="N431" s="24"/>
      <c r="O431" s="24"/>
      <c r="P431" s="24"/>
      <c r="Q431" s="24"/>
      <c r="R431" s="24"/>
      <c r="S431" s="24">
        <v>0</v>
      </c>
      <c r="T431" s="24"/>
      <c r="U431" s="24"/>
      <c r="V431" s="24"/>
      <c r="W431" s="24"/>
      <c r="X431" s="24"/>
      <c r="Y431" s="38">
        <f t="shared" si="93"/>
        <v>0</v>
      </c>
      <c r="Z431" s="24"/>
      <c r="AA431" s="24"/>
      <c r="AB431" s="24"/>
      <c r="AC431" s="24">
        <v>0</v>
      </c>
      <c r="AD431" s="24"/>
      <c r="AE431" s="24"/>
      <c r="AF431" s="24"/>
      <c r="AG431" s="24"/>
      <c r="AH431" s="24"/>
      <c r="AI431" s="24"/>
      <c r="AJ431" s="24"/>
      <c r="AK431" s="24"/>
      <c r="AL431" s="24"/>
      <c r="AM431" s="24">
        <v>0</v>
      </c>
      <c r="AN431" s="24"/>
      <c r="AO431" s="38">
        <f t="shared" si="89"/>
        <v>0</v>
      </c>
      <c r="AP431" s="24"/>
      <c r="AQ431" s="38">
        <f t="shared" si="90"/>
        <v>0</v>
      </c>
      <c r="AR431" s="38"/>
      <c r="AS431" s="7" t="s">
        <v>903</v>
      </c>
      <c r="AT431" s="7" t="str">
        <f t="shared" si="78"/>
        <v>Painesville City Local SD (CASH)</v>
      </c>
      <c r="AU431" s="7" t="str">
        <f>'Gov Fd BS'!A431</f>
        <v>Painesville City Local SD (CASH)</v>
      </c>
      <c r="AV431" s="7" t="b">
        <f t="shared" si="79"/>
        <v>1</v>
      </c>
      <c r="AW431" s="7" t="str">
        <f t="shared" si="73"/>
        <v>Lake</v>
      </c>
      <c r="AX431" s="7" t="b">
        <f>C431='Gov Fd BS'!C431</f>
        <v>1</v>
      </c>
    </row>
    <row r="432" spans="1:50" hidden="1">
      <c r="A432" s="12" t="s">
        <v>893</v>
      </c>
      <c r="B432" s="12"/>
      <c r="C432" s="12" t="s">
        <v>41</v>
      </c>
      <c r="D432" s="12"/>
      <c r="E432" s="12">
        <v>47894</v>
      </c>
      <c r="F432" s="24"/>
      <c r="G432" s="24"/>
      <c r="H432" s="24"/>
      <c r="I432" s="24">
        <v>0</v>
      </c>
      <c r="J432" s="24"/>
      <c r="K432" s="24"/>
      <c r="L432" s="24"/>
      <c r="M432" s="24"/>
      <c r="N432" s="24"/>
      <c r="O432" s="24"/>
      <c r="P432" s="24"/>
      <c r="Q432" s="24"/>
      <c r="R432" s="24"/>
      <c r="S432" s="24">
        <v>0</v>
      </c>
      <c r="T432" s="24"/>
      <c r="U432" s="24"/>
      <c r="V432" s="24"/>
      <c r="W432" s="24"/>
      <c r="X432" s="24"/>
      <c r="Y432" s="38">
        <f t="shared" si="93"/>
        <v>0</v>
      </c>
      <c r="Z432" s="24"/>
      <c r="AA432" s="24"/>
      <c r="AB432" s="24"/>
      <c r="AC432" s="24">
        <v>0</v>
      </c>
      <c r="AD432" s="24"/>
      <c r="AE432" s="24"/>
      <c r="AF432" s="24"/>
      <c r="AG432" s="24"/>
      <c r="AH432" s="24"/>
      <c r="AI432" s="24"/>
      <c r="AJ432" s="24"/>
      <c r="AK432" s="24"/>
      <c r="AL432" s="24"/>
      <c r="AM432" s="24">
        <v>0</v>
      </c>
      <c r="AN432" s="24"/>
      <c r="AO432" s="38">
        <f t="shared" si="89"/>
        <v>0</v>
      </c>
      <c r="AP432" s="24"/>
      <c r="AQ432" s="38">
        <f t="shared" si="90"/>
        <v>0</v>
      </c>
      <c r="AR432" s="38"/>
      <c r="AS432" s="7" t="s">
        <v>790</v>
      </c>
      <c r="AT432" s="7" t="str">
        <f t="shared" si="78"/>
        <v>Painesville Township Local SD - now RIVERSIDE LOCAL SCHOOL DISTRICT since 2007</v>
      </c>
      <c r="AU432" s="7" t="str">
        <f>'Gov Fd BS'!A432</f>
        <v>Painesville Township Local SD - now RIVERSIDE LOCAL SCHOOL DISTRICT since 2007</v>
      </c>
      <c r="AV432" s="7" t="b">
        <f t="shared" si="79"/>
        <v>1</v>
      </c>
      <c r="AW432" s="7" t="str">
        <f t="shared" si="73"/>
        <v>Lake</v>
      </c>
      <c r="AX432" s="7" t="b">
        <f>C432='Gov Fd BS'!C432</f>
        <v>1</v>
      </c>
    </row>
    <row r="433" spans="1:50">
      <c r="A433" s="12" t="s">
        <v>490</v>
      </c>
      <c r="B433" s="12"/>
      <c r="C433" s="12" t="s">
        <v>58</v>
      </c>
      <c r="D433" s="12"/>
      <c r="E433" s="12">
        <v>49510</v>
      </c>
      <c r="F433" s="24"/>
      <c r="G433" s="24">
        <v>1860826</v>
      </c>
      <c r="H433" s="24"/>
      <c r="I433" s="24">
        <v>0</v>
      </c>
      <c r="J433" s="24"/>
      <c r="K433" s="24">
        <v>8893478</v>
      </c>
      <c r="L433" s="24"/>
      <c r="M433" s="24">
        <v>7373</v>
      </c>
      <c r="N433" s="24"/>
      <c r="O433" s="24">
        <f>707649+120+84326</f>
        <v>792095</v>
      </c>
      <c r="P433" s="24"/>
      <c r="Q433" s="24">
        <v>153584</v>
      </c>
      <c r="R433" s="24"/>
      <c r="S433" s="24">
        <v>0</v>
      </c>
      <c r="T433" s="24"/>
      <c r="U433" s="24">
        <v>9000</v>
      </c>
      <c r="V433" s="24"/>
      <c r="W433" s="24">
        <v>12467</v>
      </c>
      <c r="X433" s="24"/>
      <c r="Y433" s="38">
        <f t="shared" si="93"/>
        <v>11728823</v>
      </c>
      <c r="Z433" s="24"/>
      <c r="AA433" s="24">
        <v>31698</v>
      </c>
      <c r="AB433" s="24"/>
      <c r="AC433" s="24">
        <v>0</v>
      </c>
      <c r="AD433" s="24"/>
      <c r="AE433" s="24">
        <f>1215000+56640+220144</f>
        <v>1491784</v>
      </c>
      <c r="AF433" s="24"/>
      <c r="AG433" s="24"/>
      <c r="AH433" s="24"/>
      <c r="AI433" s="24"/>
      <c r="AJ433" s="24"/>
      <c r="AK433" s="24">
        <v>150</v>
      </c>
      <c r="AL433" s="24"/>
      <c r="AM433" s="24">
        <v>0</v>
      </c>
      <c r="AN433" s="24"/>
      <c r="AO433" s="38">
        <f t="shared" si="89"/>
        <v>1523632</v>
      </c>
      <c r="AP433" s="24"/>
      <c r="AQ433" s="38">
        <f t="shared" si="90"/>
        <v>13252455</v>
      </c>
      <c r="AR433" s="38"/>
      <c r="AS433" s="7"/>
      <c r="AT433" s="7" t="str">
        <f t="shared" si="78"/>
        <v>Paint Valley Local SD</v>
      </c>
      <c r="AU433" s="7" t="str">
        <f>'Gov Fd BS'!A433</f>
        <v>Paint Valley Local SD</v>
      </c>
      <c r="AV433" s="7" t="b">
        <f t="shared" si="79"/>
        <v>1</v>
      </c>
      <c r="AW433" s="7" t="str">
        <f t="shared" si="73"/>
        <v>Ross</v>
      </c>
      <c r="AX433" s="7" t="b">
        <f>C433='Gov Fd BS'!C433</f>
        <v>1</v>
      </c>
    </row>
    <row r="434" spans="1:50" hidden="1">
      <c r="A434" s="12" t="s">
        <v>722</v>
      </c>
      <c r="B434" s="12"/>
      <c r="C434" s="12" t="s">
        <v>482</v>
      </c>
      <c r="D434" s="12"/>
      <c r="E434" s="12">
        <v>49395</v>
      </c>
      <c r="F434" s="24"/>
      <c r="G434" s="24"/>
      <c r="H434" s="24"/>
      <c r="I434" s="24">
        <v>0</v>
      </c>
      <c r="J434" s="24"/>
      <c r="K434" s="24"/>
      <c r="L434" s="24"/>
      <c r="M434" s="24"/>
      <c r="N434" s="24"/>
      <c r="O434" s="24"/>
      <c r="P434" s="24"/>
      <c r="Q434" s="24"/>
      <c r="R434" s="24"/>
      <c r="S434" s="24">
        <v>0</v>
      </c>
      <c r="T434" s="24"/>
      <c r="U434" s="24"/>
      <c r="V434" s="24"/>
      <c r="W434" s="24"/>
      <c r="X434" s="24"/>
      <c r="Y434" s="38">
        <f t="shared" si="93"/>
        <v>0</v>
      </c>
      <c r="Z434" s="24"/>
      <c r="AA434" s="24"/>
      <c r="AB434" s="24"/>
      <c r="AC434" s="24">
        <v>0</v>
      </c>
      <c r="AD434" s="24"/>
      <c r="AE434" s="24"/>
      <c r="AF434" s="24"/>
      <c r="AG434" s="24"/>
      <c r="AH434" s="24"/>
      <c r="AI434" s="24"/>
      <c r="AJ434" s="24"/>
      <c r="AK434" s="24"/>
      <c r="AL434" s="24"/>
      <c r="AM434" s="24">
        <v>0</v>
      </c>
      <c r="AN434" s="24"/>
      <c r="AO434" s="38">
        <f t="shared" si="89"/>
        <v>0</v>
      </c>
      <c r="AP434" s="24"/>
      <c r="AQ434" s="38">
        <f t="shared" si="90"/>
        <v>0</v>
      </c>
      <c r="AR434" s="38"/>
      <c r="AS434" s="7" t="s">
        <v>958</v>
      </c>
      <c r="AT434" s="7" t="str">
        <f t="shared" si="78"/>
        <v>Pandora-Gilboa Local SD (CASH)  (Two year Audit)</v>
      </c>
      <c r="AU434" s="7" t="str">
        <f>'Gov Fd BS'!A434</f>
        <v>Pandora-Gilboa Local SD (CASH)  (Two year Audit)</v>
      </c>
      <c r="AV434" s="7" t="b">
        <f t="shared" si="79"/>
        <v>1</v>
      </c>
      <c r="AW434" s="7" t="str">
        <f t="shared" si="73"/>
        <v>Putnam</v>
      </c>
      <c r="AX434" s="7" t="b">
        <f>C434='Gov Fd BS'!C434</f>
        <v>1</v>
      </c>
    </row>
    <row r="435" spans="1:50" hidden="1">
      <c r="A435" s="12" t="s">
        <v>723</v>
      </c>
      <c r="B435" s="12"/>
      <c r="C435" s="12" t="s">
        <v>435</v>
      </c>
      <c r="D435" s="12"/>
      <c r="E435" s="12">
        <v>48579</v>
      </c>
      <c r="F435" s="24"/>
      <c r="G435" s="24"/>
      <c r="H435" s="24"/>
      <c r="I435" s="24">
        <v>0</v>
      </c>
      <c r="J435" s="24"/>
      <c r="K435" s="24"/>
      <c r="L435" s="24"/>
      <c r="M435" s="24"/>
      <c r="N435" s="24"/>
      <c r="O435" s="24"/>
      <c r="P435" s="24"/>
      <c r="Q435" s="24"/>
      <c r="R435" s="24"/>
      <c r="S435" s="24">
        <v>0</v>
      </c>
      <c r="T435" s="24"/>
      <c r="U435" s="24"/>
      <c r="V435" s="24"/>
      <c r="W435" s="24"/>
      <c r="X435" s="24"/>
      <c r="Y435" s="38">
        <f t="shared" si="93"/>
        <v>0</v>
      </c>
      <c r="Z435" s="24"/>
      <c r="AA435" s="24"/>
      <c r="AB435" s="24"/>
      <c r="AC435" s="24">
        <v>0</v>
      </c>
      <c r="AD435" s="24"/>
      <c r="AE435" s="24"/>
      <c r="AF435" s="24"/>
      <c r="AG435" s="24"/>
      <c r="AH435" s="24"/>
      <c r="AI435" s="24"/>
      <c r="AJ435" s="24"/>
      <c r="AK435" s="24"/>
      <c r="AL435" s="24"/>
      <c r="AM435" s="24">
        <v>0</v>
      </c>
      <c r="AN435" s="24"/>
      <c r="AO435" s="38">
        <f t="shared" si="89"/>
        <v>0</v>
      </c>
      <c r="AP435" s="24"/>
      <c r="AQ435" s="38">
        <f t="shared" si="90"/>
        <v>0</v>
      </c>
      <c r="AR435" s="38"/>
      <c r="AS435" s="7" t="s">
        <v>839</v>
      </c>
      <c r="AT435" s="7" t="str">
        <f t="shared" si="78"/>
        <v>Parkway Local SD (CASH) (Two year Audit)</v>
      </c>
      <c r="AU435" s="7" t="str">
        <f>'Gov Fd BS'!A435</f>
        <v>Parkway Local SD (CASH) (Two year Audit)</v>
      </c>
      <c r="AV435" s="7" t="b">
        <f t="shared" si="79"/>
        <v>1</v>
      </c>
      <c r="AW435" s="7" t="str">
        <f t="shared" si="73"/>
        <v>Mercer</v>
      </c>
      <c r="AX435" s="7" t="b">
        <f>C435='Gov Fd BS'!C435</f>
        <v>1</v>
      </c>
    </row>
    <row r="436" spans="1:50">
      <c r="A436" s="12" t="s">
        <v>281</v>
      </c>
      <c r="B436" s="12"/>
      <c r="C436" s="12" t="s">
        <v>20</v>
      </c>
      <c r="D436" s="12"/>
      <c r="E436" s="12">
        <v>44636</v>
      </c>
      <c r="F436" s="24"/>
      <c r="G436" s="24">
        <v>86401011</v>
      </c>
      <c r="H436" s="24"/>
      <c r="I436" s="24">
        <v>0</v>
      </c>
      <c r="J436" s="24"/>
      <c r="K436" s="24">
        <v>59274601</v>
      </c>
      <c r="L436" s="24"/>
      <c r="M436" s="24">
        <v>32685</v>
      </c>
      <c r="N436" s="24"/>
      <c r="O436" s="24">
        <f>2232190+344936+1199101</f>
        <v>3776227</v>
      </c>
      <c r="P436" s="24"/>
      <c r="Q436" s="24">
        <v>1579543</v>
      </c>
      <c r="R436" s="24"/>
      <c r="S436" s="24">
        <v>0</v>
      </c>
      <c r="T436" s="24"/>
      <c r="U436" s="24">
        <v>21835</v>
      </c>
      <c r="V436" s="24"/>
      <c r="W436" s="24">
        <v>2095206</v>
      </c>
      <c r="X436" s="24"/>
      <c r="Y436" s="38">
        <f t="shared" si="93"/>
        <v>153181108</v>
      </c>
      <c r="Z436" s="24"/>
      <c r="AA436" s="24">
        <v>229025</v>
      </c>
      <c r="AB436" s="24"/>
      <c r="AC436" s="24">
        <v>0</v>
      </c>
      <c r="AD436" s="24"/>
      <c r="AE436" s="24">
        <v>0</v>
      </c>
      <c r="AF436" s="24"/>
      <c r="AG436" s="24"/>
      <c r="AH436" s="24"/>
      <c r="AI436" s="24"/>
      <c r="AJ436" s="24"/>
      <c r="AK436" s="24">
        <v>125898</v>
      </c>
      <c r="AL436" s="24"/>
      <c r="AM436" s="24">
        <v>0</v>
      </c>
      <c r="AN436" s="24"/>
      <c r="AO436" s="38">
        <f t="shared" si="89"/>
        <v>354923</v>
      </c>
      <c r="AP436" s="24"/>
      <c r="AQ436" s="38">
        <f t="shared" si="90"/>
        <v>153536031</v>
      </c>
      <c r="AR436" s="38"/>
      <c r="AS436" s="7" t="s">
        <v>951</v>
      </c>
      <c r="AT436" s="7" t="str">
        <f t="shared" si="78"/>
        <v>Parma City SD</v>
      </c>
      <c r="AU436" s="7" t="str">
        <f>'Gov Fd BS'!A436</f>
        <v>Parma City SD</v>
      </c>
      <c r="AV436" s="7" t="b">
        <f t="shared" si="79"/>
        <v>1</v>
      </c>
      <c r="AW436" s="7" t="str">
        <f t="shared" si="73"/>
        <v>Cuyahoga</v>
      </c>
      <c r="AX436" s="7" t="b">
        <f>C436='Gov Fd BS'!C436</f>
        <v>1</v>
      </c>
    </row>
    <row r="437" spans="1:50">
      <c r="A437" s="12" t="s">
        <v>357</v>
      </c>
      <c r="B437" s="12"/>
      <c r="C437" s="12" t="s">
        <v>34</v>
      </c>
      <c r="D437" s="12"/>
      <c r="E437" s="12">
        <v>47597</v>
      </c>
      <c r="F437" s="24"/>
      <c r="G437" s="24">
        <v>2691297</v>
      </c>
      <c r="H437" s="24"/>
      <c r="I437" s="24">
        <v>1735795</v>
      </c>
      <c r="J437" s="24"/>
      <c r="K437" s="24">
        <v>6395558</v>
      </c>
      <c r="L437" s="24"/>
      <c r="M437" s="24">
        <v>9701</v>
      </c>
      <c r="N437" s="24"/>
      <c r="O437" s="24">
        <f>506008+241380</f>
        <v>747388</v>
      </c>
      <c r="P437" s="24"/>
      <c r="Q437" s="24">
        <v>198842</v>
      </c>
      <c r="R437" s="24"/>
      <c r="S437" s="24">
        <v>0</v>
      </c>
      <c r="T437" s="24"/>
      <c r="U437" s="24">
        <v>500</v>
      </c>
      <c r="V437" s="24"/>
      <c r="W437" s="24">
        <v>128245</v>
      </c>
      <c r="X437" s="24"/>
      <c r="Y437" s="38">
        <f t="shared" si="93"/>
        <v>11907326</v>
      </c>
      <c r="Z437" s="24"/>
      <c r="AA437" s="24">
        <v>69269</v>
      </c>
      <c r="AB437" s="24"/>
      <c r="AC437" s="24">
        <v>0</v>
      </c>
      <c r="AD437" s="24"/>
      <c r="AE437" s="24">
        <v>0</v>
      </c>
      <c r="AF437" s="24"/>
      <c r="AG437" s="24"/>
      <c r="AH437" s="24"/>
      <c r="AI437" s="24"/>
      <c r="AJ437" s="24"/>
      <c r="AK437" s="24">
        <v>629</v>
      </c>
      <c r="AL437" s="24"/>
      <c r="AM437" s="24">
        <v>0</v>
      </c>
      <c r="AN437" s="24"/>
      <c r="AO437" s="38">
        <f t="shared" si="89"/>
        <v>69898</v>
      </c>
      <c r="AP437" s="24"/>
      <c r="AQ437" s="38">
        <f t="shared" si="90"/>
        <v>11977224</v>
      </c>
      <c r="AR437" s="38"/>
      <c r="AS437" s="7" t="s">
        <v>957</v>
      </c>
      <c r="AT437" s="7" t="str">
        <f t="shared" si="78"/>
        <v>Patrick Henry Local SD</v>
      </c>
      <c r="AU437" s="7" t="str">
        <f>'Gov Fd BS'!A437</f>
        <v>Patrick Henry Local SD</v>
      </c>
      <c r="AV437" s="7" t="b">
        <f t="shared" si="79"/>
        <v>1</v>
      </c>
      <c r="AW437" s="7" t="str">
        <f t="shared" si="73"/>
        <v>Henry</v>
      </c>
      <c r="AX437" s="7" t="b">
        <f>C437='Gov Fd BS'!C437</f>
        <v>1</v>
      </c>
    </row>
    <row r="438" spans="1:50" hidden="1">
      <c r="A438" s="12" t="s">
        <v>884</v>
      </c>
      <c r="B438" s="12"/>
      <c r="C438" s="12" t="s">
        <v>465</v>
      </c>
      <c r="D438" s="12"/>
      <c r="E438" s="12">
        <v>45575</v>
      </c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>
        <v>0</v>
      </c>
      <c r="T438" s="24"/>
      <c r="U438" s="24"/>
      <c r="V438" s="24"/>
      <c r="W438" s="24"/>
      <c r="X438" s="24"/>
      <c r="Y438" s="38">
        <f t="shared" si="93"/>
        <v>0</v>
      </c>
      <c r="Z438" s="24"/>
      <c r="AA438" s="24"/>
      <c r="AB438" s="24"/>
      <c r="AC438" s="24">
        <v>0</v>
      </c>
      <c r="AD438" s="24"/>
      <c r="AE438" s="24"/>
      <c r="AF438" s="24"/>
      <c r="AG438" s="24"/>
      <c r="AH438" s="24"/>
      <c r="AI438" s="24"/>
      <c r="AJ438" s="24"/>
      <c r="AK438" s="24"/>
      <c r="AL438" s="24"/>
      <c r="AM438" s="24">
        <v>0</v>
      </c>
      <c r="AN438" s="24"/>
      <c r="AO438" s="38">
        <f t="shared" si="89"/>
        <v>0</v>
      </c>
      <c r="AP438" s="24"/>
      <c r="AQ438" s="38">
        <f t="shared" si="90"/>
        <v>0</v>
      </c>
      <c r="AR438" s="38"/>
      <c r="AS438" s="7" t="s">
        <v>839</v>
      </c>
      <c r="AT438" s="7" t="str">
        <f t="shared" si="78"/>
        <v>Paulding Exempted Village SD (CASH)</v>
      </c>
      <c r="AU438" s="7" t="str">
        <f>'Gov Fd BS'!A438</f>
        <v>Paulding Exempted Village SD (CASH)</v>
      </c>
      <c r="AV438" s="7" t="b">
        <f t="shared" si="79"/>
        <v>1</v>
      </c>
      <c r="AW438" s="7" t="str">
        <f t="shared" si="73"/>
        <v>Paulding</v>
      </c>
      <c r="AX438" s="7" t="b">
        <f>C438='Gov Fd BS'!C438</f>
        <v>1</v>
      </c>
    </row>
    <row r="439" spans="1:50">
      <c r="A439" s="12" t="s">
        <v>295</v>
      </c>
      <c r="B439" s="12"/>
      <c r="C439" s="12" t="s">
        <v>24</v>
      </c>
      <c r="D439" s="12"/>
      <c r="E439" s="12">
        <v>46813</v>
      </c>
      <c r="F439" s="24"/>
      <c r="G439" s="24">
        <v>12336954</v>
      </c>
      <c r="H439" s="24"/>
      <c r="I439" s="24">
        <v>0</v>
      </c>
      <c r="J439" s="24"/>
      <c r="K439" s="24">
        <f>7879558+1880388</f>
        <v>9759946</v>
      </c>
      <c r="L439" s="24"/>
      <c r="M439" s="24">
        <v>14411</v>
      </c>
      <c r="N439" s="24"/>
      <c r="O439" s="24">
        <f>2832756+39549+633421+136365+24700+10285</f>
        <v>3677076</v>
      </c>
      <c r="P439" s="24"/>
      <c r="Q439" s="24">
        <v>274252</v>
      </c>
      <c r="R439" s="24"/>
      <c r="S439" s="24">
        <v>0</v>
      </c>
      <c r="T439" s="24"/>
      <c r="U439" s="24">
        <v>138097</v>
      </c>
      <c r="V439" s="24"/>
      <c r="W439" s="24">
        <v>141541</v>
      </c>
      <c r="X439" s="24"/>
      <c r="Y439" s="38">
        <f t="shared" si="93"/>
        <v>26342277</v>
      </c>
      <c r="Z439" s="24"/>
      <c r="AA439" s="24">
        <v>913157</v>
      </c>
      <c r="AB439" s="24"/>
      <c r="AC439" s="24">
        <v>0</v>
      </c>
      <c r="AD439" s="24"/>
      <c r="AE439" s="24">
        <v>263726</v>
      </c>
      <c r="AF439" s="24"/>
      <c r="AG439" s="24"/>
      <c r="AH439" s="24"/>
      <c r="AI439" s="24"/>
      <c r="AJ439" s="24"/>
      <c r="AK439" s="24">
        <v>0</v>
      </c>
      <c r="AL439" s="24"/>
      <c r="AM439" s="24">
        <v>0</v>
      </c>
      <c r="AN439" s="24"/>
      <c r="AO439" s="38">
        <f t="shared" si="89"/>
        <v>1176883</v>
      </c>
      <c r="AP439" s="24"/>
      <c r="AQ439" s="38">
        <f t="shared" si="90"/>
        <v>27519160</v>
      </c>
      <c r="AR439" s="38"/>
      <c r="AS439" s="7"/>
      <c r="AT439" s="7" t="str">
        <f t="shared" si="78"/>
        <v>Perkins Local SD</v>
      </c>
      <c r="AU439" s="7" t="str">
        <f>'Gov Fd BS'!A439</f>
        <v>Perkins Local SD</v>
      </c>
      <c r="AV439" s="7" t="b">
        <f t="shared" si="79"/>
        <v>1</v>
      </c>
      <c r="AW439" s="7" t="str">
        <f t="shared" si="73"/>
        <v>Erie</v>
      </c>
      <c r="AX439" s="7" t="b">
        <f>C439='Gov Fd BS'!C439</f>
        <v>1</v>
      </c>
    </row>
    <row r="440" spans="1:50" hidden="1">
      <c r="A440" s="12" t="s">
        <v>724</v>
      </c>
      <c r="B440" s="12"/>
      <c r="C440" s="12" t="s">
        <v>10</v>
      </c>
      <c r="D440" s="12"/>
      <c r="E440" s="12"/>
      <c r="F440" s="24"/>
      <c r="G440" s="24"/>
      <c r="H440" s="24"/>
      <c r="I440" s="24">
        <v>0</v>
      </c>
      <c r="J440" s="24"/>
      <c r="K440" s="24"/>
      <c r="L440" s="24"/>
      <c r="M440" s="24"/>
      <c r="N440" s="24"/>
      <c r="O440" s="24"/>
      <c r="P440" s="24"/>
      <c r="Q440" s="24"/>
      <c r="R440" s="24"/>
      <c r="S440" s="24">
        <v>0</v>
      </c>
      <c r="T440" s="24"/>
      <c r="U440" s="24"/>
      <c r="V440" s="24"/>
      <c r="W440" s="24"/>
      <c r="X440" s="24"/>
      <c r="Y440" s="38">
        <f t="shared" si="93"/>
        <v>0</v>
      </c>
      <c r="Z440" s="24"/>
      <c r="AA440" s="24"/>
      <c r="AB440" s="24"/>
      <c r="AC440" s="24">
        <v>0</v>
      </c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38"/>
      <c r="AP440" s="24"/>
      <c r="AQ440" s="38">
        <f t="shared" si="90"/>
        <v>0</v>
      </c>
      <c r="AR440" s="38"/>
      <c r="AS440" s="7" t="s">
        <v>959</v>
      </c>
      <c r="AT440" s="7" t="str">
        <f t="shared" si="78"/>
        <v>Perry Local SD (CASH)</v>
      </c>
      <c r="AU440" s="7" t="str">
        <f>'Gov Fd BS'!A440</f>
        <v>Perry Local SD (CASH)</v>
      </c>
      <c r="AV440" s="7" t="b">
        <f t="shared" si="79"/>
        <v>1</v>
      </c>
      <c r="AW440" s="7" t="str">
        <f t="shared" si="73"/>
        <v>Allen</v>
      </c>
      <c r="AX440" s="7" t="b">
        <f>C440='Gov Fd BS'!C440</f>
        <v>1</v>
      </c>
    </row>
    <row r="441" spans="1:50">
      <c r="A441" s="12" t="s">
        <v>203</v>
      </c>
      <c r="B441" s="12"/>
      <c r="C441" s="12" t="s">
        <v>41</v>
      </c>
      <c r="D441" s="12"/>
      <c r="E441" s="12">
        <v>47902</v>
      </c>
      <c r="F441" s="24"/>
      <c r="G441" s="24">
        <v>14544470</v>
      </c>
      <c r="H441" s="24"/>
      <c r="I441" s="24">
        <v>0</v>
      </c>
      <c r="J441" s="24"/>
      <c r="K441" s="24">
        <v>13113039</v>
      </c>
      <c r="L441" s="24"/>
      <c r="M441" s="24">
        <v>137071</v>
      </c>
      <c r="N441" s="24"/>
      <c r="O441" s="24">
        <f>77661+104020+18016+24552+563887</f>
        <v>788136</v>
      </c>
      <c r="P441" s="24"/>
      <c r="Q441" s="24">
        <v>157032</v>
      </c>
      <c r="R441" s="24"/>
      <c r="S441" s="24">
        <v>0</v>
      </c>
      <c r="T441" s="24"/>
      <c r="U441" s="24">
        <v>102671</v>
      </c>
      <c r="V441" s="24"/>
      <c r="W441" s="24">
        <v>475409</v>
      </c>
      <c r="X441" s="24"/>
      <c r="Y441" s="38">
        <f t="shared" si="93"/>
        <v>29317828</v>
      </c>
      <c r="Z441" s="24"/>
      <c r="AA441" s="24">
        <v>0</v>
      </c>
      <c r="AB441" s="24"/>
      <c r="AC441" s="24">
        <v>0</v>
      </c>
      <c r="AD441" s="24"/>
      <c r="AE441" s="24">
        <v>0</v>
      </c>
      <c r="AF441" s="24"/>
      <c r="AG441" s="24"/>
      <c r="AH441" s="24"/>
      <c r="AI441" s="24"/>
      <c r="AJ441" s="24"/>
      <c r="AK441" s="24">
        <v>0</v>
      </c>
      <c r="AL441" s="24"/>
      <c r="AM441" s="24">
        <v>0</v>
      </c>
      <c r="AN441" s="24"/>
      <c r="AO441" s="38">
        <f t="shared" ref="AO441:AO487" si="94">AK441+AE441+AA441</f>
        <v>0</v>
      </c>
      <c r="AP441" s="24"/>
      <c r="AQ441" s="38">
        <f t="shared" si="90"/>
        <v>29317828</v>
      </c>
      <c r="AR441" s="38"/>
      <c r="AS441" s="7"/>
      <c r="AT441" s="7" t="str">
        <f t="shared" si="78"/>
        <v>Perry Local SD</v>
      </c>
      <c r="AU441" s="7" t="str">
        <f>'Gov Fd BS'!A441</f>
        <v>Perry Local SD</v>
      </c>
      <c r="AV441" s="7" t="b">
        <f t="shared" si="79"/>
        <v>1</v>
      </c>
      <c r="AW441" s="7" t="str">
        <f t="shared" si="73"/>
        <v>Lake</v>
      </c>
      <c r="AX441" s="7" t="b">
        <f>C441='Gov Fd BS'!C441</f>
        <v>1</v>
      </c>
    </row>
    <row r="442" spans="1:50">
      <c r="A442" s="12" t="s">
        <v>203</v>
      </c>
      <c r="B442" s="12"/>
      <c r="C442" s="12" t="s">
        <v>62</v>
      </c>
      <c r="D442" s="12"/>
      <c r="E442" s="12">
        <v>49924</v>
      </c>
      <c r="F442" s="24"/>
      <c r="G442" s="24">
        <v>20849995</v>
      </c>
      <c r="H442" s="24"/>
      <c r="I442" s="24">
        <v>0</v>
      </c>
      <c r="J442" s="24"/>
      <c r="K442" s="24">
        <v>25786667</v>
      </c>
      <c r="L442" s="24"/>
      <c r="M442" s="24">
        <v>158312</v>
      </c>
      <c r="N442" s="24"/>
      <c r="O442" s="24">
        <f>2074588+22036+873976</f>
        <v>2970600</v>
      </c>
      <c r="P442" s="24"/>
      <c r="Q442" s="24">
        <v>610720</v>
      </c>
      <c r="R442" s="24"/>
      <c r="S442" s="24">
        <v>0</v>
      </c>
      <c r="T442" s="24"/>
      <c r="U442" s="24">
        <v>216347</v>
      </c>
      <c r="V442" s="24"/>
      <c r="W442" s="24">
        <v>345876</v>
      </c>
      <c r="X442" s="24"/>
      <c r="Y442" s="38">
        <f t="shared" si="93"/>
        <v>50938517</v>
      </c>
      <c r="Z442" s="24"/>
      <c r="AA442" s="24">
        <v>0</v>
      </c>
      <c r="AB442" s="24"/>
      <c r="AC442" s="24">
        <v>0</v>
      </c>
      <c r="AD442" s="24"/>
      <c r="AE442" s="24">
        <f>5399390+123542</f>
        <v>5522932</v>
      </c>
      <c r="AF442" s="24"/>
      <c r="AG442" s="24"/>
      <c r="AH442" s="24"/>
      <c r="AI442" s="24"/>
      <c r="AJ442" s="24"/>
      <c r="AK442" s="24">
        <v>0</v>
      </c>
      <c r="AL442" s="24"/>
      <c r="AM442" s="24">
        <v>0</v>
      </c>
      <c r="AN442" s="24"/>
      <c r="AO442" s="38">
        <f t="shared" si="94"/>
        <v>5522932</v>
      </c>
      <c r="AP442" s="24"/>
      <c r="AQ442" s="38">
        <f t="shared" si="90"/>
        <v>56461449</v>
      </c>
      <c r="AR442" s="38"/>
      <c r="AS442" s="7" t="s">
        <v>951</v>
      </c>
      <c r="AT442" s="7" t="str">
        <f t="shared" si="78"/>
        <v>Perry Local SD</v>
      </c>
      <c r="AU442" s="7" t="str">
        <f>'Gov Fd BS'!A442</f>
        <v>Perry Local SD</v>
      </c>
      <c r="AV442" s="7" t="b">
        <f t="shared" si="79"/>
        <v>1</v>
      </c>
      <c r="AW442" s="7" t="str">
        <f t="shared" si="73"/>
        <v>Stark</v>
      </c>
      <c r="AX442" s="7" t="b">
        <f>C442='Gov Fd BS'!C442</f>
        <v>1</v>
      </c>
    </row>
    <row r="443" spans="1:50">
      <c r="A443" s="12" t="s">
        <v>885</v>
      </c>
      <c r="B443" s="12"/>
      <c r="C443" s="12" t="s">
        <v>72</v>
      </c>
      <c r="D443" s="12"/>
      <c r="E443" s="12">
        <v>45583</v>
      </c>
      <c r="F443" s="24"/>
      <c r="G443" s="24">
        <v>29420824</v>
      </c>
      <c r="H443" s="24"/>
      <c r="I443" s="24">
        <v>5065661</v>
      </c>
      <c r="J443" s="24"/>
      <c r="K443" s="24">
        <f>10321+13666834+2497498</f>
        <v>16174653</v>
      </c>
      <c r="L443" s="24"/>
      <c r="M443" s="24">
        <v>14706</v>
      </c>
      <c r="N443" s="24"/>
      <c r="O443" s="24">
        <f>429919+1346695+203145</f>
        <v>1979759</v>
      </c>
      <c r="P443" s="24"/>
      <c r="Q443" s="24">
        <v>663898</v>
      </c>
      <c r="R443" s="24"/>
      <c r="S443" s="24">
        <v>441639</v>
      </c>
      <c r="T443" s="24"/>
      <c r="U443" s="24">
        <v>0</v>
      </c>
      <c r="V443" s="24"/>
      <c r="W443" s="24">
        <v>416497</v>
      </c>
      <c r="X443" s="24"/>
      <c r="Y443" s="38">
        <f t="shared" si="93"/>
        <v>54177637</v>
      </c>
      <c r="Z443" s="24"/>
      <c r="AA443" s="24">
        <v>0</v>
      </c>
      <c r="AB443" s="24"/>
      <c r="AC443" s="24">
        <v>0</v>
      </c>
      <c r="AD443" s="24"/>
      <c r="AE443" s="24">
        <f>133726+3843955+435491</f>
        <v>4413172</v>
      </c>
      <c r="AF443" s="24"/>
      <c r="AG443" s="24"/>
      <c r="AH443" s="24"/>
      <c r="AI443" s="24"/>
      <c r="AJ443" s="24"/>
      <c r="AK443" s="24">
        <v>14110</v>
      </c>
      <c r="AL443" s="24"/>
      <c r="AM443" s="24">
        <v>0</v>
      </c>
      <c r="AN443" s="24"/>
      <c r="AO443" s="38">
        <f t="shared" si="94"/>
        <v>4427282</v>
      </c>
      <c r="AP443" s="24"/>
      <c r="AQ443" s="38">
        <f t="shared" si="90"/>
        <v>58604919</v>
      </c>
      <c r="AR443" s="38"/>
      <c r="AS443" s="7"/>
      <c r="AT443" s="7" t="str">
        <f t="shared" si="78"/>
        <v>Perrysburg Exempted Village SD</v>
      </c>
      <c r="AU443" s="7" t="str">
        <f>'Gov Fd BS'!A443</f>
        <v>Perrysburg Exempted Village SD</v>
      </c>
      <c r="AV443" s="7" t="b">
        <f t="shared" si="79"/>
        <v>1</v>
      </c>
      <c r="AW443" s="7" t="str">
        <f t="shared" si="73"/>
        <v>Wood</v>
      </c>
      <c r="AX443" s="7" t="b">
        <f>C443='Gov Fd BS'!C443</f>
        <v>1</v>
      </c>
    </row>
    <row r="444" spans="1:50" hidden="1">
      <c r="A444" s="12" t="s">
        <v>894</v>
      </c>
      <c r="B444" s="12"/>
      <c r="C444" s="12" t="s">
        <v>28</v>
      </c>
      <c r="D444" s="12"/>
      <c r="E444" s="12">
        <v>47076</v>
      </c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38">
        <f t="shared" si="93"/>
        <v>0</v>
      </c>
      <c r="Z444" s="24"/>
      <c r="AA444" s="24"/>
      <c r="AB444" s="24"/>
      <c r="AC444" s="24">
        <v>0</v>
      </c>
      <c r="AD444" s="24"/>
      <c r="AE444" s="24"/>
      <c r="AF444" s="24"/>
      <c r="AG444" s="24"/>
      <c r="AH444" s="24"/>
      <c r="AI444" s="24"/>
      <c r="AJ444" s="24"/>
      <c r="AK444" s="24"/>
      <c r="AL444" s="24"/>
      <c r="AM444" s="24">
        <v>0</v>
      </c>
      <c r="AN444" s="24"/>
      <c r="AO444" s="38">
        <f t="shared" si="94"/>
        <v>0</v>
      </c>
      <c r="AP444" s="24"/>
      <c r="AQ444" s="38">
        <f t="shared" si="90"/>
        <v>0</v>
      </c>
      <c r="AR444" s="38"/>
      <c r="AS444" s="7" t="s">
        <v>966</v>
      </c>
      <c r="AT444" s="7" t="str">
        <f t="shared" si="78"/>
        <v>Pettisville Local SD</v>
      </c>
      <c r="AU444" s="7" t="str">
        <f>'Gov Fd BS'!A444</f>
        <v>Pettisville Local SD</v>
      </c>
      <c r="AV444" s="7" t="b">
        <f t="shared" si="79"/>
        <v>1</v>
      </c>
      <c r="AW444" s="7" t="str">
        <f t="shared" si="73"/>
        <v>Fulton</v>
      </c>
      <c r="AX444" s="7" t="b">
        <f>C444='Gov Fd BS'!C444</f>
        <v>1</v>
      </c>
    </row>
    <row r="445" spans="1:50">
      <c r="A445" s="12" t="s">
        <v>302</v>
      </c>
      <c r="B445" s="12"/>
      <c r="C445" s="12" t="s">
        <v>25</v>
      </c>
      <c r="D445" s="12"/>
      <c r="E445" s="12">
        <v>46896</v>
      </c>
      <c r="F445" s="24"/>
      <c r="G445" s="24">
        <v>41258734</v>
      </c>
      <c r="H445" s="24"/>
      <c r="I445" s="24">
        <v>13600552</v>
      </c>
      <c r="J445" s="24"/>
      <c r="K445" s="24">
        <f>69553463+8288504</f>
        <v>77841967</v>
      </c>
      <c r="L445" s="24"/>
      <c r="M445" s="24">
        <v>195227</v>
      </c>
      <c r="N445" s="24"/>
      <c r="O445" s="24">
        <f>393460+2699934+436836+207801</f>
        <v>3738031</v>
      </c>
      <c r="P445" s="24"/>
      <c r="Q445" s="24">
        <v>1084725</v>
      </c>
      <c r="R445" s="24"/>
      <c r="S445" s="24">
        <v>231511</v>
      </c>
      <c r="T445" s="24"/>
      <c r="U445" s="24">
        <v>44207</v>
      </c>
      <c r="V445" s="24"/>
      <c r="W445" s="24">
        <v>211260</v>
      </c>
      <c r="X445" s="24"/>
      <c r="Y445" s="38">
        <f t="shared" si="93"/>
        <v>138206214</v>
      </c>
      <c r="Z445" s="24"/>
      <c r="AA445" s="24">
        <v>0</v>
      </c>
      <c r="AB445" s="24"/>
      <c r="AC445" s="24">
        <v>0</v>
      </c>
      <c r="AD445" s="24"/>
      <c r="AE445" s="24">
        <v>0</v>
      </c>
      <c r="AF445" s="24"/>
      <c r="AG445" s="24"/>
      <c r="AH445" s="24"/>
      <c r="AI445" s="24"/>
      <c r="AJ445" s="24"/>
      <c r="AK445" s="24">
        <v>0</v>
      </c>
      <c r="AL445" s="24"/>
      <c r="AM445" s="24">
        <v>0</v>
      </c>
      <c r="AN445" s="24"/>
      <c r="AO445" s="38">
        <f t="shared" si="94"/>
        <v>0</v>
      </c>
      <c r="AP445" s="24"/>
      <c r="AQ445" s="38">
        <f t="shared" si="90"/>
        <v>138206214</v>
      </c>
      <c r="AR445" s="38"/>
      <c r="AS445" s="7"/>
      <c r="AT445" s="7" t="str">
        <f t="shared" si="78"/>
        <v>Pickerington Local SD</v>
      </c>
      <c r="AU445" s="7" t="str">
        <f>'Gov Fd BS'!A445</f>
        <v>Pickerington Local SD</v>
      </c>
      <c r="AV445" s="7" t="b">
        <f t="shared" si="79"/>
        <v>1</v>
      </c>
      <c r="AW445" s="7" t="str">
        <f t="shared" si="73"/>
        <v>Fairfield</v>
      </c>
      <c r="AX445" s="7" t="b">
        <f>C445='Gov Fd BS'!C445</f>
        <v>1</v>
      </c>
    </row>
    <row r="446" spans="1:50" hidden="1">
      <c r="A446" s="12" t="s">
        <v>961</v>
      </c>
      <c r="B446" s="12"/>
      <c r="C446" s="12" t="s">
        <v>28</v>
      </c>
      <c r="D446" s="12"/>
      <c r="E446" s="12">
        <v>47084</v>
      </c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38">
        <f t="shared" si="93"/>
        <v>0</v>
      </c>
      <c r="Z446" s="24"/>
      <c r="AA446" s="24"/>
      <c r="AB446" s="24"/>
      <c r="AC446" s="24">
        <v>0</v>
      </c>
      <c r="AD446" s="24"/>
      <c r="AE446" s="24"/>
      <c r="AF446" s="24"/>
      <c r="AG446" s="24"/>
      <c r="AH446" s="24"/>
      <c r="AI446" s="24"/>
      <c r="AJ446" s="24"/>
      <c r="AK446" s="24"/>
      <c r="AL446" s="24"/>
      <c r="AM446" s="24">
        <v>0</v>
      </c>
      <c r="AN446" s="24"/>
      <c r="AO446" s="38">
        <f t="shared" si="94"/>
        <v>0</v>
      </c>
      <c r="AP446" s="24"/>
      <c r="AQ446" s="38">
        <f t="shared" si="90"/>
        <v>0</v>
      </c>
      <c r="AR446" s="38"/>
      <c r="AS446" s="7" t="s">
        <v>960</v>
      </c>
      <c r="AT446" s="7" t="str">
        <f t="shared" si="78"/>
        <v>Pike-Delta-York Local SD (CASH)</v>
      </c>
      <c r="AU446" s="7" t="str">
        <f>'Gov Fd BS'!A446</f>
        <v>Pike-Delta-York Local SD (CASH)</v>
      </c>
      <c r="AV446" s="7" t="b">
        <f t="shared" si="79"/>
        <v>1</v>
      </c>
      <c r="AW446" s="7" t="str">
        <f t="shared" si="73"/>
        <v>Fulton</v>
      </c>
      <c r="AX446" s="7" t="b">
        <f>C446='Gov Fd BS'!C446</f>
        <v>1</v>
      </c>
    </row>
    <row r="447" spans="1:50">
      <c r="A447" s="12" t="s">
        <v>438</v>
      </c>
      <c r="B447" s="12"/>
      <c r="C447" s="12" t="s">
        <v>48</v>
      </c>
      <c r="D447" s="12"/>
      <c r="E447" s="12">
        <v>44644</v>
      </c>
      <c r="F447" s="24"/>
      <c r="G447" s="24">
        <v>16378456</v>
      </c>
      <c r="H447" s="24"/>
      <c r="I447" s="24">
        <v>0</v>
      </c>
      <c r="J447" s="24"/>
      <c r="K447" s="24">
        <f>14590761+4394062</f>
        <v>18984823</v>
      </c>
      <c r="L447" s="24"/>
      <c r="M447" s="24">
        <v>281495</v>
      </c>
      <c r="N447" s="24"/>
      <c r="O447" s="24">
        <f>3980+49763+124656</f>
        <v>178399</v>
      </c>
      <c r="P447" s="24"/>
      <c r="Q447" s="24">
        <v>588873</v>
      </c>
      <c r="R447" s="24"/>
      <c r="S447" s="24">
        <v>0</v>
      </c>
      <c r="T447" s="24"/>
      <c r="U447" s="24">
        <v>0</v>
      </c>
      <c r="V447" s="24"/>
      <c r="W447" s="24">
        <f>33062+248003</f>
        <v>281065</v>
      </c>
      <c r="X447" s="24"/>
      <c r="Y447" s="38">
        <f t="shared" si="93"/>
        <v>36693111</v>
      </c>
      <c r="Z447" s="24"/>
      <c r="AA447" s="24">
        <v>0</v>
      </c>
      <c r="AB447" s="24"/>
      <c r="AC447" s="24">
        <v>0</v>
      </c>
      <c r="AD447" s="24"/>
      <c r="AE447" s="24">
        <v>3770000</v>
      </c>
      <c r="AF447" s="24"/>
      <c r="AG447" s="24"/>
      <c r="AH447" s="24"/>
      <c r="AI447" s="24"/>
      <c r="AJ447" s="24"/>
      <c r="AK447" s="24">
        <v>2292</v>
      </c>
      <c r="AL447" s="24"/>
      <c r="AM447" s="24">
        <v>0</v>
      </c>
      <c r="AN447" s="24"/>
      <c r="AO447" s="38">
        <f t="shared" si="94"/>
        <v>3772292</v>
      </c>
      <c r="AP447" s="24"/>
      <c r="AQ447" s="38">
        <f t="shared" si="90"/>
        <v>40465403</v>
      </c>
      <c r="AR447" s="38"/>
      <c r="AS447" s="7"/>
      <c r="AT447" s="7" t="str">
        <f t="shared" si="78"/>
        <v>Piqua City SD</v>
      </c>
      <c r="AU447" s="7" t="str">
        <f>'Gov Fd BS'!A447</f>
        <v>Piqua City SD</v>
      </c>
      <c r="AV447" s="7" t="b">
        <f t="shared" si="79"/>
        <v>1</v>
      </c>
      <c r="AW447" s="7" t="str">
        <f t="shared" si="73"/>
        <v>Miami</v>
      </c>
      <c r="AX447" s="7" t="b">
        <f>C447='Gov Fd BS'!C447</f>
        <v>1</v>
      </c>
    </row>
    <row r="448" spans="1:50">
      <c r="A448" s="12" t="s">
        <v>312</v>
      </c>
      <c r="B448" s="12"/>
      <c r="C448" s="12" t="s">
        <v>62</v>
      </c>
      <c r="D448" s="12"/>
      <c r="E448" s="12">
        <v>49932</v>
      </c>
      <c r="F448" s="24"/>
      <c r="G448" s="24">
        <v>33664452</v>
      </c>
      <c r="H448" s="24"/>
      <c r="I448" s="24">
        <v>0</v>
      </c>
      <c r="J448" s="24"/>
      <c r="K448" s="24">
        <f>21747121+7822249</f>
        <v>29569370</v>
      </c>
      <c r="L448" s="24"/>
      <c r="M448" s="24">
        <v>57634</v>
      </c>
      <c r="N448" s="24"/>
      <c r="O448" s="24">
        <f>907835+126017+1024538+194119</f>
        <v>2252509</v>
      </c>
      <c r="P448" s="24"/>
      <c r="Q448" s="24">
        <v>713871</v>
      </c>
      <c r="R448" s="24"/>
      <c r="S448" s="24">
        <v>0</v>
      </c>
      <c r="T448" s="24"/>
      <c r="U448" s="24">
        <v>153852</v>
      </c>
      <c r="V448" s="24"/>
      <c r="W448" s="24">
        <f>194036+16401</f>
        <v>210437</v>
      </c>
      <c r="X448" s="24"/>
      <c r="Y448" s="38">
        <f t="shared" si="93"/>
        <v>66622125</v>
      </c>
      <c r="Z448" s="24"/>
      <c r="AA448" s="24">
        <v>19000</v>
      </c>
      <c r="AB448" s="24"/>
      <c r="AC448" s="24">
        <v>0</v>
      </c>
      <c r="AD448" s="24"/>
      <c r="AE448" s="24">
        <v>0</v>
      </c>
      <c r="AF448" s="24"/>
      <c r="AG448" s="24"/>
      <c r="AH448" s="24"/>
      <c r="AI448" s="24"/>
      <c r="AJ448" s="24"/>
      <c r="AK448" s="24">
        <v>7998</v>
      </c>
      <c r="AL448" s="24"/>
      <c r="AM448" s="24">
        <v>0</v>
      </c>
      <c r="AN448" s="24"/>
      <c r="AO448" s="38">
        <f t="shared" si="94"/>
        <v>26998</v>
      </c>
      <c r="AP448" s="24"/>
      <c r="AQ448" s="38">
        <f t="shared" si="90"/>
        <v>66649123</v>
      </c>
      <c r="AR448" s="38"/>
      <c r="AS448" s="7"/>
      <c r="AT448" s="7" t="str">
        <f t="shared" si="78"/>
        <v>Plain Local SD</v>
      </c>
      <c r="AU448" s="7" t="str">
        <f>'Gov Fd BS'!A448</f>
        <v>Plain Local SD</v>
      </c>
      <c r="AV448" s="7" t="b">
        <f t="shared" si="79"/>
        <v>1</v>
      </c>
      <c r="AW448" s="7" t="str">
        <f t="shared" si="73"/>
        <v>Stark</v>
      </c>
      <c r="AX448" s="7" t="b">
        <f>C448='Gov Fd BS'!C448</f>
        <v>1</v>
      </c>
    </row>
    <row r="449" spans="1:50">
      <c r="A449" s="12" t="s">
        <v>424</v>
      </c>
      <c r="B449" s="12"/>
      <c r="C449" s="12" t="s">
        <v>46</v>
      </c>
      <c r="D449" s="12"/>
      <c r="E449" s="12">
        <v>48421</v>
      </c>
      <c r="F449" s="24"/>
      <c r="G449" s="24">
        <v>4527060</v>
      </c>
      <c r="H449" s="24"/>
      <c r="I449" s="24">
        <v>0</v>
      </c>
      <c r="J449" s="24"/>
      <c r="K449" s="24">
        <v>6034105</v>
      </c>
      <c r="L449" s="24"/>
      <c r="M449" s="24">
        <v>46457</v>
      </c>
      <c r="N449" s="24"/>
      <c r="O449" s="24">
        <f>1886103+389269</f>
        <v>2275372</v>
      </c>
      <c r="P449" s="24"/>
      <c r="Q449" s="24">
        <v>252442</v>
      </c>
      <c r="R449" s="24"/>
      <c r="S449" s="24">
        <v>0</v>
      </c>
      <c r="T449" s="24"/>
      <c r="U449" s="24">
        <v>28181</v>
      </c>
      <c r="V449" s="24"/>
      <c r="W449" s="24">
        <v>90990</v>
      </c>
      <c r="X449" s="24"/>
      <c r="Y449" s="38">
        <f t="shared" si="93"/>
        <v>13254607</v>
      </c>
      <c r="Z449" s="24"/>
      <c r="AA449" s="24">
        <v>1922</v>
      </c>
      <c r="AB449" s="24"/>
      <c r="AC449" s="24">
        <v>0</v>
      </c>
      <c r="AD449" s="24"/>
      <c r="AE449" s="24">
        <f>11142+1435000</f>
        <v>1446142</v>
      </c>
      <c r="AF449" s="24"/>
      <c r="AG449" s="24"/>
      <c r="AH449" s="24"/>
      <c r="AI449" s="24"/>
      <c r="AJ449" s="24"/>
      <c r="AK449" s="24">
        <v>87926</v>
      </c>
      <c r="AL449" s="24"/>
      <c r="AM449" s="24">
        <v>0</v>
      </c>
      <c r="AN449" s="24"/>
      <c r="AO449" s="38">
        <f t="shared" si="94"/>
        <v>1535990</v>
      </c>
      <c r="AP449" s="24"/>
      <c r="AQ449" s="38">
        <f t="shared" si="90"/>
        <v>14790597</v>
      </c>
      <c r="AR449" s="38"/>
      <c r="AS449" s="7"/>
      <c r="AT449" s="7" t="str">
        <f t="shared" si="78"/>
        <v>Pleasant Local SD</v>
      </c>
      <c r="AU449" s="7" t="str">
        <f>'Gov Fd BS'!A449</f>
        <v>Pleasant Local SD</v>
      </c>
      <c r="AV449" s="7" t="b">
        <f t="shared" si="79"/>
        <v>1</v>
      </c>
      <c r="AW449" s="7" t="str">
        <f t="shared" si="73"/>
        <v>Marion</v>
      </c>
      <c r="AX449" s="7" t="b">
        <f>C449='Gov Fd BS'!C449</f>
        <v>1</v>
      </c>
    </row>
    <row r="450" spans="1:50">
      <c r="A450" s="12" t="s">
        <v>486</v>
      </c>
      <c r="B450" s="12"/>
      <c r="C450" s="12" t="s">
        <v>110</v>
      </c>
      <c r="D450" s="12"/>
      <c r="E450" s="12">
        <v>49460</v>
      </c>
      <c r="F450" s="24"/>
      <c r="G450" s="24">
        <v>1684126</v>
      </c>
      <c r="H450" s="24"/>
      <c r="I450" s="24">
        <v>742204</v>
      </c>
      <c r="J450" s="24"/>
      <c r="K450" s="24">
        <f>5176364+1693344</f>
        <v>6869708</v>
      </c>
      <c r="L450" s="24"/>
      <c r="M450" s="24">
        <v>6627</v>
      </c>
      <c r="N450" s="24"/>
      <c r="O450" s="24">
        <f>358915+175413+21549+519</f>
        <v>556396</v>
      </c>
      <c r="P450" s="24"/>
      <c r="Q450" s="24">
        <v>107909</v>
      </c>
      <c r="R450" s="24"/>
      <c r="S450" s="24">
        <v>0</v>
      </c>
      <c r="T450" s="24"/>
      <c r="U450" s="24">
        <v>1835</v>
      </c>
      <c r="V450" s="24"/>
      <c r="W450" s="24">
        <v>45808</v>
      </c>
      <c r="X450" s="24"/>
      <c r="Y450" s="38">
        <f t="shared" si="93"/>
        <v>10014613</v>
      </c>
      <c r="Z450" s="24"/>
      <c r="AA450" s="24">
        <v>16234</v>
      </c>
      <c r="AB450" s="24"/>
      <c r="AC450" s="24">
        <v>0</v>
      </c>
      <c r="AD450" s="24"/>
      <c r="AE450" s="24">
        <v>0</v>
      </c>
      <c r="AF450" s="24"/>
      <c r="AG450" s="24"/>
      <c r="AH450" s="24"/>
      <c r="AI450" s="24"/>
      <c r="AJ450" s="24"/>
      <c r="AK450" s="24">
        <v>0</v>
      </c>
      <c r="AL450" s="24"/>
      <c r="AM450" s="24">
        <v>0</v>
      </c>
      <c r="AN450" s="24"/>
      <c r="AO450" s="38">
        <f t="shared" si="94"/>
        <v>16234</v>
      </c>
      <c r="AP450" s="24"/>
      <c r="AQ450" s="38">
        <f t="shared" si="90"/>
        <v>10030847</v>
      </c>
      <c r="AR450" s="38"/>
      <c r="AS450" s="7"/>
      <c r="AT450" s="7" t="str">
        <f t="shared" si="78"/>
        <v>Plymouth-Shiloh Local SD</v>
      </c>
      <c r="AU450" s="7" t="str">
        <f>'Gov Fd BS'!A450</f>
        <v>Plymouth-Shiloh Local SD</v>
      </c>
      <c r="AV450" s="7" t="b">
        <f t="shared" si="79"/>
        <v>1</v>
      </c>
      <c r="AW450" s="7" t="str">
        <f t="shared" si="73"/>
        <v>Richland</v>
      </c>
      <c r="AX450" s="7" t="b">
        <f>C450='Gov Fd BS'!C450</f>
        <v>1</v>
      </c>
    </row>
    <row r="451" spans="1:50">
      <c r="A451" s="12" t="s">
        <v>764</v>
      </c>
      <c r="B451" s="12"/>
      <c r="C451" s="12" t="s">
        <v>45</v>
      </c>
      <c r="D451" s="12"/>
      <c r="E451" s="12">
        <v>48348</v>
      </c>
      <c r="F451" s="24"/>
      <c r="G451" s="24">
        <v>11851216</v>
      </c>
      <c r="H451" s="24"/>
      <c r="I451" s="24">
        <v>0</v>
      </c>
      <c r="J451" s="24"/>
      <c r="K451" s="24">
        <v>9544564</v>
      </c>
      <c r="L451" s="24"/>
      <c r="M451" s="24">
        <v>15876</v>
      </c>
      <c r="N451" s="24"/>
      <c r="O451" s="24">
        <f>203437+619332+15127</f>
        <v>837896</v>
      </c>
      <c r="P451" s="24"/>
      <c r="Q451" s="24">
        <v>318098</v>
      </c>
      <c r="R451" s="24"/>
      <c r="S451" s="24">
        <v>0</v>
      </c>
      <c r="T451" s="24"/>
      <c r="U451" s="24">
        <v>12708</v>
      </c>
      <c r="V451" s="24"/>
      <c r="W451" s="24">
        <v>34007</v>
      </c>
      <c r="X451" s="24"/>
      <c r="Y451" s="38">
        <f t="shared" si="93"/>
        <v>22614365</v>
      </c>
      <c r="Z451" s="24"/>
      <c r="AA451" s="24">
        <v>0</v>
      </c>
      <c r="AB451" s="24"/>
      <c r="AC451" s="24">
        <v>0</v>
      </c>
      <c r="AD451" s="24"/>
      <c r="AE451" s="24">
        <v>0</v>
      </c>
      <c r="AF451" s="24"/>
      <c r="AG451" s="24"/>
      <c r="AH451" s="24"/>
      <c r="AI451" s="24"/>
      <c r="AJ451" s="24"/>
      <c r="AK451" s="24">
        <v>0</v>
      </c>
      <c r="AL451" s="24"/>
      <c r="AM451" s="24">
        <v>0</v>
      </c>
      <c r="AN451" s="24"/>
      <c r="AO451" s="38">
        <f t="shared" si="94"/>
        <v>0</v>
      </c>
      <c r="AP451" s="24"/>
      <c r="AQ451" s="38">
        <f t="shared" si="90"/>
        <v>22614365</v>
      </c>
      <c r="AR451" s="38"/>
      <c r="AS451" s="7"/>
      <c r="AT451" s="7" t="str">
        <f t="shared" si="78"/>
        <v xml:space="preserve">Poland Local SD </v>
      </c>
      <c r="AU451" s="7" t="str">
        <f>'Gov Fd BS'!A451</f>
        <v xml:space="preserve">Poland Local SD </v>
      </c>
      <c r="AV451" s="7" t="b">
        <f t="shared" si="79"/>
        <v>1</v>
      </c>
      <c r="AW451" s="7" t="str">
        <f t="shared" si="73"/>
        <v>Mahoning</v>
      </c>
      <c r="AX451" s="7" t="b">
        <f>C451='Gov Fd BS'!C451</f>
        <v>1</v>
      </c>
    </row>
    <row r="452" spans="1:50" hidden="1">
      <c r="A452" s="12" t="s">
        <v>962</v>
      </c>
      <c r="B452" s="12"/>
      <c r="C452" s="12" t="s">
        <v>53</v>
      </c>
      <c r="D452" s="12"/>
      <c r="E452" s="12">
        <v>44651</v>
      </c>
      <c r="F452" s="24"/>
      <c r="G452" s="24"/>
      <c r="H452" s="24"/>
      <c r="I452" s="24">
        <v>0</v>
      </c>
      <c r="J452" s="24"/>
      <c r="K452" s="24"/>
      <c r="L452" s="24"/>
      <c r="M452" s="24"/>
      <c r="N452" s="24"/>
      <c r="O452" s="24"/>
      <c r="P452" s="24"/>
      <c r="Q452" s="24"/>
      <c r="R452" s="24"/>
      <c r="S452" s="24">
        <v>0</v>
      </c>
      <c r="T452" s="24"/>
      <c r="U452" s="24"/>
      <c r="V452" s="24"/>
      <c r="W452" s="24"/>
      <c r="X452" s="24"/>
      <c r="Y452" s="38">
        <f t="shared" si="93"/>
        <v>0</v>
      </c>
      <c r="Z452" s="24"/>
      <c r="AA452" s="24"/>
      <c r="AB452" s="24"/>
      <c r="AC452" s="24">
        <v>0</v>
      </c>
      <c r="AD452" s="24"/>
      <c r="AE452" s="24"/>
      <c r="AF452" s="24"/>
      <c r="AG452" s="24"/>
      <c r="AH452" s="24"/>
      <c r="AI452" s="24"/>
      <c r="AJ452" s="24"/>
      <c r="AK452" s="24"/>
      <c r="AL452" s="24"/>
      <c r="AM452" s="24">
        <v>0</v>
      </c>
      <c r="AN452" s="24"/>
      <c r="AO452" s="38">
        <f t="shared" si="94"/>
        <v>0</v>
      </c>
      <c r="AP452" s="24"/>
      <c r="AQ452" s="38">
        <f t="shared" si="90"/>
        <v>0</v>
      </c>
      <c r="AR452" s="38"/>
      <c r="AS452" s="7" t="s">
        <v>903</v>
      </c>
      <c r="AT452" s="7" t="str">
        <f t="shared" si="78"/>
        <v>Port Clinton City SD (CASH)</v>
      </c>
      <c r="AU452" s="7" t="str">
        <f>'Gov Fd BS'!A452</f>
        <v>Port Clinton City SD (CASH)</v>
      </c>
      <c r="AV452" s="7" t="b">
        <f t="shared" si="79"/>
        <v>1</v>
      </c>
      <c r="AW452" s="7" t="str">
        <f t="shared" si="73"/>
        <v>Ottawa</v>
      </c>
      <c r="AX452" s="7" t="b">
        <f>C452='Gov Fd BS'!C452</f>
        <v>1</v>
      </c>
    </row>
    <row r="453" spans="1:50">
      <c r="A453" s="12" t="s">
        <v>499</v>
      </c>
      <c r="B453" s="12"/>
      <c r="C453" s="12" t="s">
        <v>59</v>
      </c>
      <c r="D453" s="12"/>
      <c r="E453" s="12">
        <v>44669</v>
      </c>
      <c r="F453" s="24"/>
      <c r="G453" s="24">
        <v>5384638</v>
      </c>
      <c r="H453" s="24"/>
      <c r="I453" s="24">
        <v>0</v>
      </c>
      <c r="J453" s="24"/>
      <c r="K453" s="24">
        <v>25502504</v>
      </c>
      <c r="L453" s="24"/>
      <c r="M453" s="24">
        <v>18407</v>
      </c>
      <c r="N453" s="24"/>
      <c r="O453" s="24">
        <f>845385+42241+185422</f>
        <v>1073048</v>
      </c>
      <c r="P453" s="24"/>
      <c r="Q453" s="24">
        <v>152738</v>
      </c>
      <c r="R453" s="24"/>
      <c r="S453" s="24">
        <v>0</v>
      </c>
      <c r="T453" s="24"/>
      <c r="U453" s="24">
        <v>53832</v>
      </c>
      <c r="V453" s="24"/>
      <c r="W453" s="24">
        <v>42862</v>
      </c>
      <c r="X453" s="24"/>
      <c r="Y453" s="38">
        <f t="shared" si="93"/>
        <v>32228029</v>
      </c>
      <c r="Z453" s="24"/>
      <c r="AA453" s="24">
        <v>1915</v>
      </c>
      <c r="AB453" s="24"/>
      <c r="AC453" s="24">
        <v>0</v>
      </c>
      <c r="AD453" s="24"/>
      <c r="AE453" s="24">
        <v>0</v>
      </c>
      <c r="AF453" s="24"/>
      <c r="AG453" s="24"/>
      <c r="AH453" s="24"/>
      <c r="AI453" s="24"/>
      <c r="AJ453" s="24"/>
      <c r="AK453" s="24">
        <v>0</v>
      </c>
      <c r="AL453" s="24"/>
      <c r="AM453" s="24">
        <v>0</v>
      </c>
      <c r="AN453" s="24"/>
      <c r="AO453" s="38">
        <f t="shared" si="94"/>
        <v>1915</v>
      </c>
      <c r="AP453" s="24"/>
      <c r="AQ453" s="38">
        <f t="shared" si="90"/>
        <v>32229944</v>
      </c>
      <c r="AR453" s="38"/>
      <c r="AS453" s="7"/>
      <c r="AT453" s="7" t="str">
        <f t="shared" si="78"/>
        <v>Portsmouth City SD</v>
      </c>
      <c r="AU453" s="7" t="str">
        <f>'Gov Fd BS'!A453</f>
        <v>Portsmouth City SD</v>
      </c>
      <c r="AV453" s="7" t="b">
        <f t="shared" si="79"/>
        <v>1</v>
      </c>
      <c r="AW453" s="7" t="str">
        <f t="shared" si="73"/>
        <v>Scioto</v>
      </c>
      <c r="AX453" s="7" t="b">
        <f>C453='Gov Fd BS'!C453</f>
        <v>1</v>
      </c>
    </row>
    <row r="454" spans="1:50" hidden="1">
      <c r="A454" s="12" t="s">
        <v>725</v>
      </c>
      <c r="B454" s="12"/>
      <c r="C454" s="12" t="s">
        <v>57</v>
      </c>
      <c r="D454" s="12"/>
      <c r="E454" s="12">
        <v>49288</v>
      </c>
      <c r="F454" s="24"/>
      <c r="G454" s="24"/>
      <c r="H454" s="24"/>
      <c r="I454" s="24">
        <v>0</v>
      </c>
      <c r="J454" s="24"/>
      <c r="K454" s="24"/>
      <c r="L454" s="24"/>
      <c r="M454" s="24"/>
      <c r="N454" s="24"/>
      <c r="O454" s="24"/>
      <c r="P454" s="24"/>
      <c r="Q454" s="24"/>
      <c r="R454" s="24"/>
      <c r="S454" s="24">
        <v>0</v>
      </c>
      <c r="T454" s="24"/>
      <c r="U454" s="24"/>
      <c r="V454" s="24"/>
      <c r="W454" s="24"/>
      <c r="X454" s="24"/>
      <c r="Y454" s="38">
        <f t="shared" si="93"/>
        <v>0</v>
      </c>
      <c r="Z454" s="24"/>
      <c r="AA454" s="24"/>
      <c r="AB454" s="24"/>
      <c r="AC454" s="24">
        <v>0</v>
      </c>
      <c r="AD454" s="24"/>
      <c r="AE454" s="24"/>
      <c r="AF454" s="24"/>
      <c r="AG454" s="24"/>
      <c r="AH454" s="24"/>
      <c r="AI454" s="24"/>
      <c r="AJ454" s="24"/>
      <c r="AK454" s="24"/>
      <c r="AL454" s="24"/>
      <c r="AM454" s="24">
        <v>0</v>
      </c>
      <c r="AN454" s="24"/>
      <c r="AO454" s="38">
        <f t="shared" si="94"/>
        <v>0</v>
      </c>
      <c r="AP454" s="24"/>
      <c r="AQ454" s="38">
        <f t="shared" si="90"/>
        <v>0</v>
      </c>
      <c r="AR454" s="38"/>
      <c r="AS454" s="7" t="s">
        <v>959</v>
      </c>
      <c r="AT454" s="7" t="str">
        <f t="shared" si="78"/>
        <v>Preble Shawnee Local SD (CASH)</v>
      </c>
      <c r="AU454" s="7" t="str">
        <f>'Gov Fd BS'!A454</f>
        <v>Preble Shawnee Local SD (CASH)</v>
      </c>
      <c r="AV454" s="7" t="b">
        <f t="shared" si="79"/>
        <v>1</v>
      </c>
      <c r="AW454" s="7" t="str">
        <f t="shared" si="73"/>
        <v>Preble</v>
      </c>
      <c r="AX454" s="7" t="b">
        <f>C454='Gov Fd BS'!C454</f>
        <v>1</v>
      </c>
    </row>
    <row r="455" spans="1:50">
      <c r="A455" s="12" t="s">
        <v>337</v>
      </c>
      <c r="B455" s="12"/>
      <c r="C455" s="12" t="s">
        <v>32</v>
      </c>
      <c r="D455" s="12"/>
      <c r="E455" s="12">
        <v>44677</v>
      </c>
      <c r="F455" s="24"/>
      <c r="G455" s="24">
        <v>45225898</v>
      </c>
      <c r="H455" s="24"/>
      <c r="I455" s="24">
        <v>0</v>
      </c>
      <c r="J455" s="24"/>
      <c r="K455" s="24">
        <v>38060361</v>
      </c>
      <c r="L455" s="24"/>
      <c r="M455" s="24">
        <v>1603104</v>
      </c>
      <c r="N455" s="24"/>
      <c r="O455" s="24">
        <f>1570137+1382156</f>
        <v>2952293</v>
      </c>
      <c r="P455" s="24"/>
      <c r="Q455" s="24"/>
      <c r="R455" s="24"/>
      <c r="S455" s="24">
        <v>0</v>
      </c>
      <c r="T455" s="24"/>
      <c r="U455" s="24">
        <v>0</v>
      </c>
      <c r="V455" s="24"/>
      <c r="W455" s="24">
        <v>1121294</v>
      </c>
      <c r="X455" s="24"/>
      <c r="Y455" s="38">
        <f t="shared" si="93"/>
        <v>88962950</v>
      </c>
      <c r="Z455" s="24"/>
      <c r="AA455" s="24">
        <v>11493131</v>
      </c>
      <c r="AB455" s="24"/>
      <c r="AC455" s="24">
        <v>0</v>
      </c>
      <c r="AD455" s="24"/>
      <c r="AE455" s="24">
        <f>119999930+10746972+509975</f>
        <v>131256877</v>
      </c>
      <c r="AF455" s="24"/>
      <c r="AG455" s="24"/>
      <c r="AH455" s="24"/>
      <c r="AI455" s="24"/>
      <c r="AJ455" s="24"/>
      <c r="AK455" s="24">
        <v>0</v>
      </c>
      <c r="AL455" s="24"/>
      <c r="AM455" s="24">
        <v>0</v>
      </c>
      <c r="AN455" s="24"/>
      <c r="AO455" s="38">
        <f t="shared" si="94"/>
        <v>142750008</v>
      </c>
      <c r="AP455" s="24"/>
      <c r="AQ455" s="38">
        <f t="shared" si="90"/>
        <v>231712958</v>
      </c>
      <c r="AR455" s="38"/>
      <c r="AS455" s="7"/>
      <c r="AT455" s="7" t="str">
        <f t="shared" si="78"/>
        <v>Princeton City SD</v>
      </c>
      <c r="AU455" s="7" t="str">
        <f>'Gov Fd BS'!A455</f>
        <v>Princeton City SD</v>
      </c>
      <c r="AV455" s="7" t="b">
        <f t="shared" si="79"/>
        <v>1</v>
      </c>
      <c r="AW455" s="7" t="str">
        <f t="shared" si="73"/>
        <v>Hamilton</v>
      </c>
      <c r="AX455" s="7" t="b">
        <f>C455='Gov Fd BS'!C455</f>
        <v>1</v>
      </c>
    </row>
    <row r="456" spans="1:50" hidden="1">
      <c r="A456" s="12" t="s">
        <v>963</v>
      </c>
      <c r="B456" s="12"/>
      <c r="C456" s="12" t="s">
        <v>53</v>
      </c>
      <c r="D456" s="12"/>
      <c r="E456" s="12"/>
      <c r="F456" s="24"/>
      <c r="G456" s="24"/>
      <c r="H456" s="24"/>
      <c r="I456" s="24">
        <v>0</v>
      </c>
      <c r="J456" s="24"/>
      <c r="K456" s="24"/>
      <c r="L456" s="24"/>
      <c r="M456" s="24"/>
      <c r="N456" s="24"/>
      <c r="O456" s="24"/>
      <c r="P456" s="24"/>
      <c r="Q456" s="24"/>
      <c r="R456" s="24"/>
      <c r="S456" s="24">
        <v>0</v>
      </c>
      <c r="T456" s="24"/>
      <c r="U456" s="24"/>
      <c r="V456" s="24"/>
      <c r="W456" s="24"/>
      <c r="X456" s="24"/>
      <c r="Y456" s="38">
        <f t="shared" ref="Y456" si="95">SUM(G456:W456)</f>
        <v>0</v>
      </c>
      <c r="Z456" s="24"/>
      <c r="AA456" s="24"/>
      <c r="AB456" s="24"/>
      <c r="AC456" s="24">
        <v>0</v>
      </c>
      <c r="AD456" s="24"/>
      <c r="AE456" s="24"/>
      <c r="AF456" s="24"/>
      <c r="AG456" s="24"/>
      <c r="AH456" s="24"/>
      <c r="AI456" s="24"/>
      <c r="AJ456" s="24"/>
      <c r="AK456" s="24"/>
      <c r="AL456" s="24"/>
      <c r="AM456" s="24">
        <v>0</v>
      </c>
      <c r="AN456" s="24"/>
      <c r="AO456" s="38">
        <f t="shared" ref="AO456" si="96">AK456+AE456+AA456</f>
        <v>0</v>
      </c>
      <c r="AP456" s="24"/>
      <c r="AQ456" s="38">
        <f t="shared" ref="AQ456" si="97">Y456+AO456</f>
        <v>0</v>
      </c>
      <c r="AR456" s="38"/>
      <c r="AS456" s="7" t="s">
        <v>964</v>
      </c>
      <c r="AT456" s="7" t="str">
        <f t="shared" ref="AT456" si="98">A456</f>
        <v>Put-in-Bay Local SD (CASH) (Two year Audit)</v>
      </c>
      <c r="AU456" s="7" t="str">
        <f>'Gov Fd BS'!A456</f>
        <v>Put-in-Bay Local SD (CASH) (Two year Audit)</v>
      </c>
      <c r="AV456" s="7" t="b">
        <f t="shared" ref="AV456" si="99">AT456=AU456</f>
        <v>1</v>
      </c>
      <c r="AW456" s="7" t="str">
        <f t="shared" ref="AW456" si="100">C456</f>
        <v>Ottawa</v>
      </c>
      <c r="AX456" s="7" t="b">
        <f>C456='Gov Fd BS'!C456</f>
        <v>1</v>
      </c>
    </row>
    <row r="457" spans="1:50" hidden="1">
      <c r="A457" s="12" t="s">
        <v>965</v>
      </c>
      <c r="B457" s="12"/>
      <c r="C457" s="12" t="s">
        <v>12</v>
      </c>
      <c r="D457" s="12"/>
      <c r="E457" s="12">
        <v>45880</v>
      </c>
      <c r="F457" s="24"/>
      <c r="G457" s="24"/>
      <c r="H457" s="24"/>
      <c r="I457" s="24">
        <v>0</v>
      </c>
      <c r="J457" s="24"/>
      <c r="K457" s="24"/>
      <c r="L457" s="24"/>
      <c r="M457" s="24"/>
      <c r="N457" s="24"/>
      <c r="O457" s="24"/>
      <c r="P457" s="24"/>
      <c r="Q457" s="24"/>
      <c r="R457" s="24"/>
      <c r="S457" s="24">
        <v>0</v>
      </c>
      <c r="T457" s="24"/>
      <c r="U457" s="24"/>
      <c r="V457" s="24"/>
      <c r="W457" s="24"/>
      <c r="X457" s="24"/>
      <c r="Y457" s="38">
        <f t="shared" si="93"/>
        <v>0</v>
      </c>
      <c r="Z457" s="24"/>
      <c r="AA457" s="24"/>
      <c r="AB457" s="24"/>
      <c r="AC457" s="24">
        <v>0</v>
      </c>
      <c r="AD457" s="24"/>
      <c r="AE457" s="24"/>
      <c r="AF457" s="24"/>
      <c r="AG457" s="24"/>
      <c r="AH457" s="24"/>
      <c r="AI457" s="24"/>
      <c r="AJ457" s="24"/>
      <c r="AK457" s="24"/>
      <c r="AL457" s="24"/>
      <c r="AM457" s="24">
        <v>0</v>
      </c>
      <c r="AN457" s="24"/>
      <c r="AO457" s="38">
        <f t="shared" si="94"/>
        <v>0</v>
      </c>
      <c r="AP457" s="24"/>
      <c r="AQ457" s="38">
        <f t="shared" si="90"/>
        <v>0</v>
      </c>
      <c r="AR457" s="38"/>
      <c r="AS457" s="7" t="s">
        <v>903</v>
      </c>
      <c r="AT457" s="7" t="str">
        <f t="shared" si="78"/>
        <v>Pymatuning Valley Local SD (CASH)</v>
      </c>
      <c r="AU457" s="7" t="str">
        <f>'Gov Fd BS'!A457</f>
        <v>Pymatuning Valley Local SD (CASH)</v>
      </c>
      <c r="AV457" s="7" t="b">
        <f t="shared" si="79"/>
        <v>1</v>
      </c>
      <c r="AW457" s="7" t="str">
        <f t="shared" si="73"/>
        <v>Ashtabula</v>
      </c>
      <c r="AX457" s="7" t="b">
        <f>C457='Gov Fd BS'!C457</f>
        <v>1</v>
      </c>
    </row>
    <row r="458" spans="1:50" s="32" customFormat="1">
      <c r="A458" s="31" t="s">
        <v>659</v>
      </c>
      <c r="B458" s="31"/>
      <c r="C458" s="31" t="s">
        <v>56</v>
      </c>
      <c r="D458" s="31"/>
      <c r="E458" s="31"/>
      <c r="F458" s="35"/>
      <c r="G458" s="35">
        <v>9914077</v>
      </c>
      <c r="H458" s="35"/>
      <c r="I458" s="35">
        <v>0</v>
      </c>
      <c r="J458" s="35"/>
      <c r="K458" s="35">
        <v>21253528</v>
      </c>
      <c r="L458" s="35"/>
      <c r="M458" s="35">
        <v>52765</v>
      </c>
      <c r="N458" s="35"/>
      <c r="O458" s="35">
        <f>975804+426582+21945</f>
        <v>1424331</v>
      </c>
      <c r="P458" s="35"/>
      <c r="Q458" s="35">
        <v>185866</v>
      </c>
      <c r="R458" s="35"/>
      <c r="S458" s="35">
        <v>0</v>
      </c>
      <c r="T458" s="35"/>
      <c r="U458" s="35">
        <v>14802</v>
      </c>
      <c r="V458" s="35"/>
      <c r="W458" s="35">
        <v>220228</v>
      </c>
      <c r="X458" s="35"/>
      <c r="Y458" s="53">
        <f t="shared" si="93"/>
        <v>33065597</v>
      </c>
      <c r="Z458" s="35"/>
      <c r="AA458" s="35">
        <v>275000</v>
      </c>
      <c r="AB458" s="35"/>
      <c r="AC458" s="35">
        <v>0</v>
      </c>
      <c r="AD458" s="35"/>
      <c r="AE458" s="35">
        <v>0</v>
      </c>
      <c r="AF458" s="35"/>
      <c r="AG458" s="35"/>
      <c r="AH458" s="35"/>
      <c r="AI458" s="35"/>
      <c r="AJ458" s="35"/>
      <c r="AK458" s="35">
        <v>0</v>
      </c>
      <c r="AL458" s="35"/>
      <c r="AM458" s="35">
        <v>0</v>
      </c>
      <c r="AN458" s="35"/>
      <c r="AO458" s="53">
        <f t="shared" si="94"/>
        <v>275000</v>
      </c>
      <c r="AP458" s="35"/>
      <c r="AQ458" s="53">
        <f t="shared" si="90"/>
        <v>33340597</v>
      </c>
      <c r="AR458" s="53"/>
      <c r="AT458" s="32" t="str">
        <f t="shared" si="78"/>
        <v>Ravenna City SD</v>
      </c>
      <c r="AU458" s="32" t="str">
        <f>'Gov Fd BS'!A458</f>
        <v>Ravenna City SD</v>
      </c>
      <c r="AV458" s="32" t="b">
        <f t="shared" si="79"/>
        <v>1</v>
      </c>
      <c r="AW458" s="32" t="str">
        <f t="shared" si="73"/>
        <v>Portage</v>
      </c>
      <c r="AX458" s="32" t="b">
        <f>C458='Gov Fd BS'!C458</f>
        <v>1</v>
      </c>
    </row>
    <row r="459" spans="1:50">
      <c r="A459" s="12" t="s">
        <v>338</v>
      </c>
      <c r="B459" s="12"/>
      <c r="C459" s="12" t="s">
        <v>32</v>
      </c>
      <c r="D459" s="12"/>
      <c r="E459" s="12">
        <v>44693</v>
      </c>
      <c r="F459" s="24"/>
      <c r="G459" s="24">
        <v>7856235</v>
      </c>
      <c r="H459" s="24"/>
      <c r="I459" s="24">
        <v>0</v>
      </c>
      <c r="J459" s="24"/>
      <c r="K459" s="24">
        <v>8576610</v>
      </c>
      <c r="L459" s="24"/>
      <c r="M459" s="24">
        <v>20435</v>
      </c>
      <c r="N459" s="24"/>
      <c r="O459" s="24">
        <f>1439187+950+273466</f>
        <v>1713603</v>
      </c>
      <c r="P459" s="24"/>
      <c r="Q459" s="24">
        <v>158486</v>
      </c>
      <c r="R459" s="24"/>
      <c r="S459" s="24">
        <v>0</v>
      </c>
      <c r="T459" s="24"/>
      <c r="U459" s="24">
        <v>34863</v>
      </c>
      <c r="V459" s="24"/>
      <c r="W459" s="24">
        <v>36796</v>
      </c>
      <c r="X459" s="24"/>
      <c r="Y459" s="38">
        <f t="shared" si="93"/>
        <v>18397028</v>
      </c>
      <c r="Z459" s="24"/>
      <c r="AA459" s="24">
        <v>49550</v>
      </c>
      <c r="AB459" s="24"/>
      <c r="AC459" s="24">
        <v>0</v>
      </c>
      <c r="AD459" s="24"/>
      <c r="AE459" s="24">
        <v>200000</v>
      </c>
      <c r="AF459" s="24"/>
      <c r="AG459" s="24"/>
      <c r="AH459" s="24"/>
      <c r="AI459" s="24"/>
      <c r="AJ459" s="24"/>
      <c r="AK459" s="24">
        <v>0</v>
      </c>
      <c r="AL459" s="24"/>
      <c r="AM459" s="24">
        <v>0</v>
      </c>
      <c r="AN459" s="24"/>
      <c r="AO459" s="38">
        <f t="shared" si="94"/>
        <v>249550</v>
      </c>
      <c r="AP459" s="24"/>
      <c r="AQ459" s="38">
        <f t="shared" si="90"/>
        <v>18646578</v>
      </c>
      <c r="AR459" s="38"/>
      <c r="AS459" s="7" t="s">
        <v>967</v>
      </c>
      <c r="AT459" s="7" t="str">
        <f t="shared" si="78"/>
        <v>Reading Community City SD</v>
      </c>
      <c r="AU459" s="7" t="str">
        <f>'Gov Fd BS'!A459</f>
        <v>Reading Community City SD</v>
      </c>
      <c r="AV459" s="7" t="b">
        <f t="shared" si="79"/>
        <v>1</v>
      </c>
      <c r="AW459" s="7" t="str">
        <f t="shared" si="73"/>
        <v>Hamilton</v>
      </c>
      <c r="AX459" s="7" t="b">
        <f>C459='Gov Fd BS'!C459</f>
        <v>1</v>
      </c>
    </row>
    <row r="460" spans="1:50">
      <c r="A460" s="12" t="s">
        <v>529</v>
      </c>
      <c r="B460" s="12"/>
      <c r="C460" s="12" t="s">
        <v>63</v>
      </c>
      <c r="D460" s="12"/>
      <c r="E460" s="12">
        <v>50054</v>
      </c>
      <c r="F460" s="24"/>
      <c r="G460" s="24">
        <v>25625991</v>
      </c>
      <c r="H460" s="24"/>
      <c r="I460" s="24">
        <v>0</v>
      </c>
      <c r="J460" s="24"/>
      <c r="K460" s="24">
        <v>9039216</v>
      </c>
      <c r="L460" s="24"/>
      <c r="M460" s="24">
        <v>83526</v>
      </c>
      <c r="N460" s="24"/>
      <c r="O460" s="24">
        <f>506603+100456+652102</f>
        <v>1259161</v>
      </c>
      <c r="P460" s="24"/>
      <c r="Q460" s="24">
        <v>373485</v>
      </c>
      <c r="R460" s="24"/>
      <c r="S460" s="24">
        <v>0</v>
      </c>
      <c r="T460" s="24"/>
      <c r="U460" s="24">
        <v>139285</v>
      </c>
      <c r="V460" s="24"/>
      <c r="W460" s="24">
        <v>86120</v>
      </c>
      <c r="X460" s="24"/>
      <c r="Y460" s="38">
        <f t="shared" si="93"/>
        <v>36606784</v>
      </c>
      <c r="Z460" s="24"/>
      <c r="AA460" s="24">
        <v>75000</v>
      </c>
      <c r="AB460" s="24"/>
      <c r="AC460" s="24">
        <v>0</v>
      </c>
      <c r="AD460" s="24"/>
      <c r="AE460" s="24">
        <v>0</v>
      </c>
      <c r="AF460" s="24"/>
      <c r="AG460" s="24"/>
      <c r="AH460" s="24"/>
      <c r="AI460" s="24"/>
      <c r="AJ460" s="24"/>
      <c r="AK460" s="24">
        <v>25875</v>
      </c>
      <c r="AL460" s="24"/>
      <c r="AM460" s="24">
        <v>0</v>
      </c>
      <c r="AN460" s="24"/>
      <c r="AO460" s="38">
        <f t="shared" si="94"/>
        <v>100875</v>
      </c>
      <c r="AP460" s="24"/>
      <c r="AQ460" s="38">
        <f t="shared" si="90"/>
        <v>36707659</v>
      </c>
      <c r="AR460" s="38"/>
      <c r="AS460" s="7"/>
      <c r="AT460" s="7" t="str">
        <f t="shared" si="78"/>
        <v>Revere Local SD</v>
      </c>
      <c r="AU460" s="7" t="str">
        <f>'Gov Fd BS'!A460</f>
        <v>Revere Local SD</v>
      </c>
      <c r="AV460" s="7" t="b">
        <f t="shared" si="79"/>
        <v>1</v>
      </c>
      <c r="AW460" s="7" t="str">
        <f t="shared" si="73"/>
        <v>Summit</v>
      </c>
      <c r="AX460" s="7" t="b">
        <f>C460='Gov Fd BS'!C460</f>
        <v>1</v>
      </c>
    </row>
    <row r="461" spans="1:50" hidden="1">
      <c r="A461" s="12" t="s">
        <v>968</v>
      </c>
      <c r="B461" s="12"/>
      <c r="C461" s="12" t="s">
        <v>27</v>
      </c>
      <c r="D461" s="12"/>
      <c r="E461" s="12">
        <v>47001</v>
      </c>
      <c r="F461" s="24"/>
      <c r="G461" s="24"/>
      <c r="H461" s="24"/>
      <c r="I461" s="24">
        <v>0</v>
      </c>
      <c r="J461" s="24"/>
      <c r="K461" s="24"/>
      <c r="L461" s="24"/>
      <c r="M461" s="24"/>
      <c r="N461" s="24"/>
      <c r="O461" s="24"/>
      <c r="P461" s="24"/>
      <c r="Q461" s="24"/>
      <c r="R461" s="24"/>
      <c r="S461" s="24">
        <v>0</v>
      </c>
      <c r="T461" s="24"/>
      <c r="U461" s="24"/>
      <c r="V461" s="24"/>
      <c r="W461" s="24"/>
      <c r="X461" s="24"/>
      <c r="Y461" s="38">
        <f t="shared" si="93"/>
        <v>0</v>
      </c>
      <c r="Z461" s="24"/>
      <c r="AA461" s="24"/>
      <c r="AB461" s="24"/>
      <c r="AC461" s="24">
        <v>0</v>
      </c>
      <c r="AD461" s="24"/>
      <c r="AE461" s="24"/>
      <c r="AF461" s="24"/>
      <c r="AG461" s="24"/>
      <c r="AH461" s="24"/>
      <c r="AI461" s="24"/>
      <c r="AJ461" s="24"/>
      <c r="AK461" s="24"/>
      <c r="AL461" s="24"/>
      <c r="AM461" s="24">
        <v>0</v>
      </c>
      <c r="AN461" s="24"/>
      <c r="AO461" s="38">
        <f t="shared" si="94"/>
        <v>0</v>
      </c>
      <c r="AP461" s="24"/>
      <c r="AQ461" s="38">
        <f t="shared" si="90"/>
        <v>0</v>
      </c>
      <c r="AR461" s="38"/>
      <c r="AS461" s="7" t="s">
        <v>903</v>
      </c>
      <c r="AT461" s="7" t="str">
        <f t="shared" si="78"/>
        <v>Reynoldsburg City SD (CASH)</v>
      </c>
      <c r="AU461" s="7" t="str">
        <f>'Gov Fd BS'!A461</f>
        <v>Reynoldsburg City SD (CASH)</v>
      </c>
      <c r="AV461" s="7" t="b">
        <f t="shared" si="79"/>
        <v>1</v>
      </c>
      <c r="AW461" s="7" t="str">
        <f t="shared" si="73"/>
        <v>Franklin</v>
      </c>
      <c r="AX461" s="7" t="b">
        <f>C461='Gov Fd BS'!C461</f>
        <v>1</v>
      </c>
    </row>
    <row r="462" spans="1:50">
      <c r="A462" s="12" t="s">
        <v>282</v>
      </c>
      <c r="B462" s="12"/>
      <c r="C462" s="12" t="s">
        <v>20</v>
      </c>
      <c r="D462" s="12"/>
      <c r="E462" s="12">
        <v>46599</v>
      </c>
      <c r="F462" s="24"/>
      <c r="G462" s="24">
        <v>10306680</v>
      </c>
      <c r="H462" s="24"/>
      <c r="I462" s="24">
        <v>0</v>
      </c>
      <c r="J462" s="24"/>
      <c r="K462" s="24">
        <v>4116150</v>
      </c>
      <c r="L462" s="24"/>
      <c r="M462" s="24">
        <v>3182</v>
      </c>
      <c r="N462" s="24"/>
      <c r="O462" s="24">
        <f>224500+321</f>
        <v>224821</v>
      </c>
      <c r="P462" s="24"/>
      <c r="Q462" s="24">
        <v>46218</v>
      </c>
      <c r="R462" s="24"/>
      <c r="S462" s="24">
        <v>0</v>
      </c>
      <c r="T462" s="24"/>
      <c r="U462" s="24">
        <v>7405</v>
      </c>
      <c r="V462" s="24"/>
      <c r="W462" s="24">
        <v>8026</v>
      </c>
      <c r="X462" s="24"/>
      <c r="Y462" s="38">
        <f t="shared" si="93"/>
        <v>14712482</v>
      </c>
      <c r="Z462" s="24"/>
      <c r="AA462" s="24">
        <v>150531</v>
      </c>
      <c r="AB462" s="24"/>
      <c r="AC462" s="24">
        <v>0</v>
      </c>
      <c r="AD462" s="24"/>
      <c r="AE462" s="24">
        <v>0</v>
      </c>
      <c r="AF462" s="24"/>
      <c r="AG462" s="24"/>
      <c r="AH462" s="24"/>
      <c r="AI462" s="24"/>
      <c r="AJ462" s="24"/>
      <c r="AK462" s="24">
        <v>0</v>
      </c>
      <c r="AL462" s="24"/>
      <c r="AM462" s="24">
        <v>0</v>
      </c>
      <c r="AN462" s="24"/>
      <c r="AO462" s="38">
        <f t="shared" si="94"/>
        <v>150531</v>
      </c>
      <c r="AP462" s="24"/>
      <c r="AQ462" s="38">
        <f t="shared" si="90"/>
        <v>14863013</v>
      </c>
      <c r="AR462" s="38"/>
      <c r="AS462" s="7"/>
      <c r="AT462" s="7" t="str">
        <f t="shared" si="78"/>
        <v>Richmond Heights Local SD</v>
      </c>
      <c r="AU462" s="7" t="str">
        <f>'Gov Fd BS'!A462</f>
        <v>Richmond Heights Local SD</v>
      </c>
      <c r="AV462" s="7" t="b">
        <f t="shared" si="79"/>
        <v>1</v>
      </c>
      <c r="AW462" s="7" t="str">
        <f t="shared" si="73"/>
        <v>Cuyahoga</v>
      </c>
      <c r="AX462" s="7" t="b">
        <f>C462='Gov Fd BS'!C462</f>
        <v>1</v>
      </c>
    </row>
    <row r="463" spans="1:50">
      <c r="A463" s="12" t="s">
        <v>425</v>
      </c>
      <c r="B463" s="12"/>
      <c r="C463" s="12" t="s">
        <v>46</v>
      </c>
      <c r="D463" s="12"/>
      <c r="E463" s="12">
        <v>48439</v>
      </c>
      <c r="F463" s="24"/>
      <c r="G463" s="24">
        <v>2804741</v>
      </c>
      <c r="H463" s="24"/>
      <c r="I463" s="24">
        <v>0</v>
      </c>
      <c r="J463" s="24"/>
      <c r="K463" s="24">
        <v>4527427</v>
      </c>
      <c r="L463" s="24"/>
      <c r="M463" s="24">
        <v>9374</v>
      </c>
      <c r="N463" s="24"/>
      <c r="O463" s="24">
        <f>1185926+2425+225063</f>
        <v>1413414</v>
      </c>
      <c r="P463" s="24"/>
      <c r="Q463" s="24">
        <v>112307</v>
      </c>
      <c r="R463" s="24"/>
      <c r="S463" s="24">
        <v>95181</v>
      </c>
      <c r="T463" s="24"/>
      <c r="U463" s="24">
        <v>4000</v>
      </c>
      <c r="V463" s="24"/>
      <c r="W463" s="24">
        <v>29563</v>
      </c>
      <c r="X463" s="24"/>
      <c r="Y463" s="38">
        <f t="shared" si="93"/>
        <v>8996007</v>
      </c>
      <c r="Z463" s="24"/>
      <c r="AA463" s="24">
        <v>0</v>
      </c>
      <c r="AB463" s="24"/>
      <c r="AC463" s="24">
        <v>0</v>
      </c>
      <c r="AD463" s="24"/>
      <c r="AE463" s="24">
        <v>0</v>
      </c>
      <c r="AF463" s="24"/>
      <c r="AG463" s="24"/>
      <c r="AH463" s="24"/>
      <c r="AI463" s="24"/>
      <c r="AJ463" s="24"/>
      <c r="AK463" s="24">
        <v>0</v>
      </c>
      <c r="AL463" s="24"/>
      <c r="AM463" s="24">
        <v>0</v>
      </c>
      <c r="AN463" s="24"/>
      <c r="AO463" s="38">
        <f t="shared" si="94"/>
        <v>0</v>
      </c>
      <c r="AP463" s="24"/>
      <c r="AQ463" s="38">
        <f t="shared" si="90"/>
        <v>8996007</v>
      </c>
      <c r="AR463" s="38"/>
      <c r="AS463" s="7"/>
      <c r="AT463" s="7" t="str">
        <f t="shared" si="78"/>
        <v>Ridgedale Local SD</v>
      </c>
      <c r="AU463" s="7" t="str">
        <f>'Gov Fd BS'!A463</f>
        <v>Ridgedale Local SD</v>
      </c>
      <c r="AV463" s="7" t="b">
        <f t="shared" si="79"/>
        <v>1</v>
      </c>
      <c r="AW463" s="7" t="str">
        <f t="shared" si="73"/>
        <v>Marion</v>
      </c>
      <c r="AX463" s="7" t="b">
        <f>C463='Gov Fd BS'!C463</f>
        <v>1</v>
      </c>
    </row>
    <row r="464" spans="1:50">
      <c r="A464" s="12" t="s">
        <v>752</v>
      </c>
      <c r="B464" s="12"/>
      <c r="C464" s="12" t="s">
        <v>348</v>
      </c>
      <c r="D464" s="12"/>
      <c r="E464" s="12">
        <v>47506</v>
      </c>
      <c r="F464" s="24"/>
      <c r="G464" s="24">
        <v>1166966</v>
      </c>
      <c r="H464" s="24"/>
      <c r="I464" s="24">
        <v>583469</v>
      </c>
      <c r="J464" s="24"/>
      <c r="K464" s="24">
        <v>3306467</v>
      </c>
      <c r="L464" s="24"/>
      <c r="M464" s="24">
        <v>2477</v>
      </c>
      <c r="N464" s="24"/>
      <c r="O464" s="24">
        <f>638246+42210</f>
        <v>680456</v>
      </c>
      <c r="P464" s="24"/>
      <c r="Q464" s="24">
        <v>42164</v>
      </c>
      <c r="R464" s="24"/>
      <c r="S464" s="24">
        <v>0</v>
      </c>
      <c r="T464" s="24"/>
      <c r="U464" s="24">
        <v>0</v>
      </c>
      <c r="V464" s="24"/>
      <c r="W464" s="24">
        <v>43324</v>
      </c>
      <c r="X464" s="24"/>
      <c r="Y464" s="38">
        <f t="shared" si="93"/>
        <v>5825323</v>
      </c>
      <c r="Z464" s="24"/>
      <c r="AA464" s="24">
        <v>15254</v>
      </c>
      <c r="AB464" s="24"/>
      <c r="AC464" s="24">
        <v>0</v>
      </c>
      <c r="AD464" s="24"/>
      <c r="AE464" s="24">
        <v>0</v>
      </c>
      <c r="AF464" s="24"/>
      <c r="AG464" s="24"/>
      <c r="AH464" s="24"/>
      <c r="AI464" s="24"/>
      <c r="AJ464" s="24"/>
      <c r="AK464" s="24">
        <v>0</v>
      </c>
      <c r="AL464" s="24"/>
      <c r="AM464" s="24">
        <v>0</v>
      </c>
      <c r="AN464" s="24"/>
      <c r="AO464" s="38">
        <f t="shared" si="94"/>
        <v>15254</v>
      </c>
      <c r="AP464" s="24"/>
      <c r="AQ464" s="38">
        <f t="shared" si="90"/>
        <v>5840577</v>
      </c>
      <c r="AR464" s="38"/>
      <c r="AS464" s="7"/>
      <c r="AT464" s="7" t="str">
        <f t="shared" si="78"/>
        <v xml:space="preserve">Ridgemont Local SD </v>
      </c>
      <c r="AU464" s="7" t="str">
        <f>'Gov Fd BS'!A464</f>
        <v xml:space="preserve">Ridgemont Local SD </v>
      </c>
      <c r="AV464" s="7" t="b">
        <f t="shared" si="79"/>
        <v>1</v>
      </c>
      <c r="AW464" s="7" t="str">
        <f t="shared" ref="AW464:AW527" si="101">C464</f>
        <v>Hardin</v>
      </c>
      <c r="AX464" s="7" t="b">
        <f>C464='Gov Fd BS'!C464</f>
        <v>1</v>
      </c>
    </row>
    <row r="465" spans="1:50">
      <c r="A465" s="12" t="s">
        <v>260</v>
      </c>
      <c r="B465" s="12"/>
      <c r="C465" s="12" t="s">
        <v>19</v>
      </c>
      <c r="D465" s="12"/>
      <c r="E465" s="12">
        <v>46474</v>
      </c>
      <c r="F465" s="24"/>
      <c r="G465" s="24">
        <v>2630712</v>
      </c>
      <c r="H465" s="24"/>
      <c r="I465" s="24">
        <v>0</v>
      </c>
      <c r="J465" s="24"/>
      <c r="K465" s="24">
        <f>7556619+1887185</f>
        <v>9443804</v>
      </c>
      <c r="L465" s="24"/>
      <c r="M465" s="24">
        <v>14511</v>
      </c>
      <c r="N465" s="24"/>
      <c r="O465" s="24">
        <f>321620+239427+35359</f>
        <v>596406</v>
      </c>
      <c r="P465" s="24"/>
      <c r="Q465" s="24">
        <v>195497</v>
      </c>
      <c r="R465" s="24"/>
      <c r="S465" s="24">
        <v>0</v>
      </c>
      <c r="T465" s="24"/>
      <c r="U465" s="24">
        <v>0</v>
      </c>
      <c r="V465" s="24"/>
      <c r="W465" s="24">
        <v>50554</v>
      </c>
      <c r="X465" s="24"/>
      <c r="Y465" s="38">
        <f t="shared" si="93"/>
        <v>12931484</v>
      </c>
      <c r="Z465" s="24"/>
      <c r="AA465" s="24">
        <v>13552</v>
      </c>
      <c r="AB465" s="24"/>
      <c r="AC465" s="24">
        <v>0</v>
      </c>
      <c r="AD465" s="24"/>
      <c r="AE465" s="24">
        <v>0</v>
      </c>
      <c r="AF465" s="24"/>
      <c r="AG465" s="24"/>
      <c r="AH465" s="24"/>
      <c r="AI465" s="24"/>
      <c r="AJ465" s="24"/>
      <c r="AK465" s="24">
        <v>853</v>
      </c>
      <c r="AL465" s="24"/>
      <c r="AM465" s="24">
        <v>0</v>
      </c>
      <c r="AN465" s="24"/>
      <c r="AO465" s="38">
        <f t="shared" si="94"/>
        <v>14405</v>
      </c>
      <c r="AP465" s="24"/>
      <c r="AQ465" s="38">
        <f t="shared" si="90"/>
        <v>12945889</v>
      </c>
      <c r="AR465" s="38"/>
      <c r="AS465" s="7"/>
      <c r="AT465" s="7" t="str">
        <f t="shared" si="78"/>
        <v>Ridgewood Local SD</v>
      </c>
      <c r="AU465" s="7" t="str">
        <f>'Gov Fd BS'!A465</f>
        <v>Ridgewood Local SD</v>
      </c>
      <c r="AV465" s="7" t="b">
        <f t="shared" si="79"/>
        <v>1</v>
      </c>
      <c r="AW465" s="7" t="str">
        <f t="shared" si="101"/>
        <v>Coshocton</v>
      </c>
      <c r="AX465" s="7" t="b">
        <f>C465='Gov Fd BS'!C465</f>
        <v>1</v>
      </c>
    </row>
    <row r="466" spans="1:50" hidden="1">
      <c r="A466" s="12" t="s">
        <v>969</v>
      </c>
      <c r="B466" s="12"/>
      <c r="C466" s="12" t="s">
        <v>77</v>
      </c>
      <c r="D466" s="12"/>
      <c r="E466" s="12">
        <v>46078</v>
      </c>
      <c r="F466" s="24"/>
      <c r="G466" s="24"/>
      <c r="H466" s="24"/>
      <c r="I466" s="24">
        <v>0</v>
      </c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38">
        <f t="shared" si="93"/>
        <v>0</v>
      </c>
      <c r="Z466" s="24"/>
      <c r="AA466" s="24"/>
      <c r="AB466" s="24"/>
      <c r="AC466" s="24">
        <v>0</v>
      </c>
      <c r="AD466" s="24"/>
      <c r="AE466" s="24"/>
      <c r="AF466" s="24"/>
      <c r="AG466" s="24"/>
      <c r="AH466" s="24"/>
      <c r="AI466" s="24"/>
      <c r="AJ466" s="24"/>
      <c r="AK466" s="24"/>
      <c r="AL466" s="24"/>
      <c r="AM466" s="24">
        <v>0</v>
      </c>
      <c r="AN466" s="24"/>
      <c r="AO466" s="38">
        <f t="shared" si="94"/>
        <v>0</v>
      </c>
      <c r="AP466" s="24"/>
      <c r="AQ466" s="38">
        <f t="shared" si="90"/>
        <v>0</v>
      </c>
      <c r="AR466" s="38"/>
      <c r="AS466" s="7" t="s">
        <v>903</v>
      </c>
      <c r="AT466" s="7" t="str">
        <f t="shared" si="78"/>
        <v>Ripley Union Lewis Huntington Local SD (CASH)</v>
      </c>
      <c r="AU466" s="7" t="str">
        <f>'Gov Fd BS'!A466</f>
        <v>Ripley Union Lewis Huntington Local SD (CASH)</v>
      </c>
      <c r="AV466" s="7" t="b">
        <f t="shared" si="79"/>
        <v>1</v>
      </c>
      <c r="AW466" s="7" t="str">
        <f t="shared" si="101"/>
        <v>Brown</v>
      </c>
      <c r="AX466" s="7" t="b">
        <f>C466='Gov Fd BS'!C466</f>
        <v>1</v>
      </c>
    </row>
    <row r="467" spans="1:50" hidden="1">
      <c r="A467" s="12" t="s">
        <v>970</v>
      </c>
      <c r="B467" s="12"/>
      <c r="C467" s="12" t="s">
        <v>71</v>
      </c>
      <c r="D467" s="12"/>
      <c r="E467" s="12">
        <v>45591</v>
      </c>
      <c r="F467" s="24"/>
      <c r="G467" s="24"/>
      <c r="H467" s="24"/>
      <c r="I467" s="24">
        <v>0</v>
      </c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38">
        <f t="shared" si="93"/>
        <v>0</v>
      </c>
      <c r="Z467" s="24"/>
      <c r="AA467" s="24"/>
      <c r="AB467" s="24"/>
      <c r="AC467" s="24">
        <v>0</v>
      </c>
      <c r="AD467" s="24"/>
      <c r="AE467" s="24"/>
      <c r="AF467" s="24"/>
      <c r="AG467" s="24"/>
      <c r="AH467" s="24"/>
      <c r="AI467" s="24"/>
      <c r="AJ467" s="24"/>
      <c r="AK467" s="24"/>
      <c r="AL467" s="24"/>
      <c r="AM467" s="24">
        <v>0</v>
      </c>
      <c r="AN467" s="24"/>
      <c r="AO467" s="38">
        <f t="shared" si="94"/>
        <v>0</v>
      </c>
      <c r="AP467" s="24"/>
      <c r="AQ467" s="38">
        <f t="shared" si="90"/>
        <v>0</v>
      </c>
      <c r="AR467" s="38"/>
      <c r="AS467" s="7" t="s">
        <v>903</v>
      </c>
      <c r="AT467" s="7" t="str">
        <f t="shared" si="78"/>
        <v>Rittman Exempted Village SD (CASH)</v>
      </c>
      <c r="AU467" s="7" t="str">
        <f>'Gov Fd BS'!A467</f>
        <v>Rittman Exempted Village SD (CASH)</v>
      </c>
      <c r="AV467" s="7" t="b">
        <f t="shared" si="79"/>
        <v>1</v>
      </c>
      <c r="AW467" s="7" t="str">
        <f t="shared" si="101"/>
        <v>Wayne</v>
      </c>
      <c r="AX467" s="7" t="b">
        <f>C467='Gov Fd BS'!C467</f>
        <v>1</v>
      </c>
    </row>
    <row r="468" spans="1:50">
      <c r="A468" s="12" t="s">
        <v>426</v>
      </c>
      <c r="B468" s="12"/>
      <c r="C468" s="12" t="s">
        <v>46</v>
      </c>
      <c r="D468" s="12"/>
      <c r="E468" s="12">
        <v>48447</v>
      </c>
      <c r="F468" s="24"/>
      <c r="G468" s="24">
        <v>6525030</v>
      </c>
      <c r="H468" s="24"/>
      <c r="I468" s="24">
        <v>0</v>
      </c>
      <c r="J468" s="24"/>
      <c r="K468" s="24">
        <v>8819720</v>
      </c>
      <c r="L468" s="24"/>
      <c r="M468" s="24">
        <v>9810</v>
      </c>
      <c r="N468" s="24"/>
      <c r="O468" s="24">
        <f>3207788+436024</f>
        <v>3643812</v>
      </c>
      <c r="P468" s="24"/>
      <c r="Q468" s="24">
        <v>306619</v>
      </c>
      <c r="R468" s="24"/>
      <c r="S468" s="24">
        <v>212794</v>
      </c>
      <c r="T468" s="24"/>
      <c r="U468" s="24">
        <v>22054</v>
      </c>
      <c r="V468" s="24"/>
      <c r="W468" s="24">
        <v>217109</v>
      </c>
      <c r="X468" s="24"/>
      <c r="Y468" s="38">
        <f t="shared" si="93"/>
        <v>19756948</v>
      </c>
      <c r="Z468" s="24"/>
      <c r="AA468" s="24">
        <v>84624</v>
      </c>
      <c r="AB468" s="24"/>
      <c r="AC468" s="24">
        <v>0</v>
      </c>
      <c r="AD468" s="24"/>
      <c r="AE468" s="24">
        <v>0</v>
      </c>
      <c r="AF468" s="24"/>
      <c r="AG468" s="24"/>
      <c r="AH468" s="24"/>
      <c r="AI468" s="24"/>
      <c r="AJ468" s="24"/>
      <c r="AK468" s="24">
        <v>0</v>
      </c>
      <c r="AL468" s="24"/>
      <c r="AM468" s="24">
        <v>0</v>
      </c>
      <c r="AN468" s="24"/>
      <c r="AO468" s="38">
        <f t="shared" si="94"/>
        <v>84624</v>
      </c>
      <c r="AP468" s="24"/>
      <c r="AQ468" s="38">
        <f t="shared" si="90"/>
        <v>19841572</v>
      </c>
      <c r="AR468" s="38"/>
      <c r="AS468" s="7"/>
      <c r="AT468" s="7" t="str">
        <f t="shared" si="78"/>
        <v>River Valley Local SD</v>
      </c>
      <c r="AU468" s="7" t="str">
        <f>'Gov Fd BS'!A468</f>
        <v>River Valley Local SD</v>
      </c>
      <c r="AV468" s="7" t="b">
        <f t="shared" si="79"/>
        <v>1</v>
      </c>
      <c r="AW468" s="7" t="str">
        <f t="shared" si="101"/>
        <v>Marion</v>
      </c>
      <c r="AX468" s="7" t="b">
        <f>C468='Gov Fd BS'!C468</f>
        <v>1</v>
      </c>
    </row>
    <row r="469" spans="1:50">
      <c r="A469" s="12" t="s">
        <v>261</v>
      </c>
      <c r="B469" s="12"/>
      <c r="C469" s="12" t="s">
        <v>19</v>
      </c>
      <c r="D469" s="12"/>
      <c r="E469" s="12">
        <v>46482</v>
      </c>
      <c r="F469" s="24"/>
      <c r="G469" s="24">
        <v>8630530</v>
      </c>
      <c r="H469" s="24"/>
      <c r="I469" s="24">
        <v>0</v>
      </c>
      <c r="J469" s="24"/>
      <c r="K469" s="24">
        <v>13419161</v>
      </c>
      <c r="L469" s="24"/>
      <c r="M469" s="24">
        <v>62684</v>
      </c>
      <c r="N469" s="24"/>
      <c r="O469" s="24">
        <f>819435+1500+419227</f>
        <v>1240162</v>
      </c>
      <c r="P469" s="24"/>
      <c r="Q469" s="24">
        <v>155904</v>
      </c>
      <c r="R469" s="24"/>
      <c r="S469" s="24">
        <v>0</v>
      </c>
      <c r="T469" s="24"/>
      <c r="U469" s="24">
        <v>67939</v>
      </c>
      <c r="V469" s="24"/>
      <c r="W469" s="24">
        <v>52939</v>
      </c>
      <c r="X469" s="24"/>
      <c r="Y469" s="38">
        <f t="shared" si="93"/>
        <v>23629319</v>
      </c>
      <c r="Z469" s="24"/>
      <c r="AA469" s="24">
        <v>75000</v>
      </c>
      <c r="AB469" s="24"/>
      <c r="AC469" s="24">
        <v>0</v>
      </c>
      <c r="AD469" s="24"/>
      <c r="AE469" s="24">
        <v>0</v>
      </c>
      <c r="AF469" s="24"/>
      <c r="AG469" s="24"/>
      <c r="AH469" s="24"/>
      <c r="AI469" s="24"/>
      <c r="AJ469" s="24"/>
      <c r="AK469" s="24">
        <v>1556</v>
      </c>
      <c r="AL469" s="24"/>
      <c r="AM469" s="24">
        <v>0</v>
      </c>
      <c r="AN469" s="24"/>
      <c r="AO469" s="38">
        <f t="shared" si="94"/>
        <v>76556</v>
      </c>
      <c r="AP469" s="24"/>
      <c r="AQ469" s="38">
        <f t="shared" si="90"/>
        <v>23705875</v>
      </c>
      <c r="AR469" s="38"/>
      <c r="AS469" s="7"/>
      <c r="AT469" s="7" t="str">
        <f t="shared" ref="AT469:AT531" si="102">A469</f>
        <v>River View Local SD</v>
      </c>
      <c r="AU469" s="7" t="str">
        <f>'Gov Fd BS'!A469</f>
        <v>River View Local SD</v>
      </c>
      <c r="AV469" s="7" t="b">
        <f t="shared" ref="AV469:AV531" si="103">AT469=AU469</f>
        <v>1</v>
      </c>
      <c r="AW469" s="7" t="str">
        <f t="shared" si="101"/>
        <v>Coshocton</v>
      </c>
      <c r="AX469" s="7" t="b">
        <f>C469='Gov Fd BS'!C469</f>
        <v>1</v>
      </c>
    </row>
    <row r="470" spans="1:50" hidden="1">
      <c r="A470" s="12" t="s">
        <v>971</v>
      </c>
      <c r="B470" s="12"/>
      <c r="C470" s="12" t="s">
        <v>348</v>
      </c>
      <c r="D470" s="12"/>
      <c r="E470" s="12">
        <v>47514</v>
      </c>
      <c r="F470" s="24"/>
      <c r="G470" s="24"/>
      <c r="H470" s="24"/>
      <c r="I470" s="24">
        <v>0</v>
      </c>
      <c r="J470" s="24"/>
      <c r="K470" s="24"/>
      <c r="L470" s="24"/>
      <c r="M470" s="24"/>
      <c r="N470" s="24"/>
      <c r="O470" s="24"/>
      <c r="P470" s="24"/>
      <c r="Q470" s="24"/>
      <c r="R470" s="24"/>
      <c r="S470" s="24">
        <v>0</v>
      </c>
      <c r="T470" s="24"/>
      <c r="U470" s="24"/>
      <c r="V470" s="24"/>
      <c r="W470" s="24"/>
      <c r="X470" s="24"/>
      <c r="Y470" s="38">
        <f t="shared" si="93"/>
        <v>0</v>
      </c>
      <c r="Z470" s="24"/>
      <c r="AA470" s="24"/>
      <c r="AB470" s="24"/>
      <c r="AC470" s="24">
        <v>0</v>
      </c>
      <c r="AD470" s="24"/>
      <c r="AE470" s="24"/>
      <c r="AF470" s="24"/>
      <c r="AG470" s="24"/>
      <c r="AH470" s="24"/>
      <c r="AI470" s="24"/>
      <c r="AJ470" s="24"/>
      <c r="AK470" s="24"/>
      <c r="AL470" s="24"/>
      <c r="AM470" s="24">
        <v>0</v>
      </c>
      <c r="AN470" s="24"/>
      <c r="AO470" s="38">
        <f t="shared" si="94"/>
        <v>0</v>
      </c>
      <c r="AP470" s="24"/>
      <c r="AQ470" s="38">
        <f t="shared" si="90"/>
        <v>0</v>
      </c>
      <c r="AR470" s="38"/>
      <c r="AS470" s="7" t="s">
        <v>912</v>
      </c>
      <c r="AT470" s="7" t="str">
        <f t="shared" si="102"/>
        <v>Riverdale Local SD (CASH)</v>
      </c>
      <c r="AU470" s="7" t="str">
        <f>'Gov Fd BS'!A470</f>
        <v>Riverdale Local SD (CASH)</v>
      </c>
      <c r="AV470" s="7" t="b">
        <f t="shared" si="103"/>
        <v>1</v>
      </c>
      <c r="AW470" s="7" t="str">
        <f t="shared" si="101"/>
        <v>Hardin</v>
      </c>
      <c r="AX470" s="7" t="b">
        <f>C470='Gov Fd BS'!C470</f>
        <v>1</v>
      </c>
    </row>
    <row r="471" spans="1:50">
      <c r="A471" s="12" t="s">
        <v>391</v>
      </c>
      <c r="B471" s="12"/>
      <c r="C471" s="12" t="s">
        <v>41</v>
      </c>
      <c r="D471" s="12"/>
      <c r="E471" s="12"/>
      <c r="F471" s="24"/>
      <c r="G471" s="24">
        <v>27053305</v>
      </c>
      <c r="H471" s="24"/>
      <c r="I471" s="24">
        <v>0</v>
      </c>
      <c r="J471" s="24"/>
      <c r="K471" s="24">
        <v>14565877</v>
      </c>
      <c r="L471" s="24"/>
      <c r="M471" s="24">
        <v>14719</v>
      </c>
      <c r="N471" s="24"/>
      <c r="O471" s="24">
        <f>358719+97776+398834</f>
        <v>855329</v>
      </c>
      <c r="P471" s="24"/>
      <c r="Q471" s="24">
        <v>549439</v>
      </c>
      <c r="R471" s="24"/>
      <c r="S471" s="24">
        <v>0</v>
      </c>
      <c r="T471" s="24"/>
      <c r="U471" s="24">
        <v>0</v>
      </c>
      <c r="V471" s="24"/>
      <c r="W471" s="24">
        <v>253443</v>
      </c>
      <c r="X471" s="24"/>
      <c r="Y471" s="38">
        <f t="shared" si="93"/>
        <v>43292112</v>
      </c>
      <c r="Z471" s="24"/>
      <c r="AA471" s="24">
        <v>255424</v>
      </c>
      <c r="AB471" s="24"/>
      <c r="AC471" s="24">
        <v>0</v>
      </c>
      <c r="AD471" s="24"/>
      <c r="AE471" s="24">
        <v>0</v>
      </c>
      <c r="AF471" s="24"/>
      <c r="AG471" s="24"/>
      <c r="AH471" s="24"/>
      <c r="AI471" s="24"/>
      <c r="AJ471" s="24"/>
      <c r="AK471" s="24">
        <v>0</v>
      </c>
      <c r="AL471" s="24"/>
      <c r="AM471" s="24">
        <v>0</v>
      </c>
      <c r="AN471" s="24"/>
      <c r="AO471" s="38">
        <f t="shared" si="94"/>
        <v>255424</v>
      </c>
      <c r="AP471" s="24"/>
      <c r="AQ471" s="38">
        <f t="shared" si="90"/>
        <v>43547536</v>
      </c>
      <c r="AR471" s="38"/>
      <c r="AS471" s="7"/>
      <c r="AT471" s="7" t="str">
        <f t="shared" si="102"/>
        <v>Riverside Local SD</v>
      </c>
      <c r="AU471" s="7" t="str">
        <f>'Gov Fd BS'!A471</f>
        <v>Riverside Local SD</v>
      </c>
      <c r="AV471" s="7" t="b">
        <f t="shared" si="103"/>
        <v>1</v>
      </c>
      <c r="AW471" s="7" t="str">
        <f t="shared" si="101"/>
        <v>Lake</v>
      </c>
      <c r="AX471" s="7" t="b">
        <f>C471='Gov Fd BS'!C471</f>
        <v>1</v>
      </c>
    </row>
    <row r="472" spans="1:50">
      <c r="A472" s="12" t="s">
        <v>391</v>
      </c>
      <c r="B472" s="12"/>
      <c r="C472" s="12" t="s">
        <v>43</v>
      </c>
      <c r="D472" s="12"/>
      <c r="E472" s="12">
        <v>48090</v>
      </c>
      <c r="F472" s="24"/>
      <c r="G472" s="24">
        <v>1883695</v>
      </c>
      <c r="H472" s="24"/>
      <c r="I472" s="24">
        <v>1229999</v>
      </c>
      <c r="J472" s="24"/>
      <c r="K472" s="24">
        <f>1073+4225177+976764</f>
        <v>5203014</v>
      </c>
      <c r="L472" s="24"/>
      <c r="M472" s="24">
        <v>9679</v>
      </c>
      <c r="N472" s="24"/>
      <c r="O472" s="24">
        <f>365370+2400+170093+18979+100</f>
        <v>556942</v>
      </c>
      <c r="P472" s="24"/>
      <c r="Q472" s="24">
        <v>81367</v>
      </c>
      <c r="R472" s="24"/>
      <c r="S472" s="24"/>
      <c r="T472" s="24"/>
      <c r="U472" s="24">
        <v>4759</v>
      </c>
      <c r="V472" s="24"/>
      <c r="W472" s="24">
        <v>56192</v>
      </c>
      <c r="X472" s="24"/>
      <c r="Y472" s="38">
        <f t="shared" si="93"/>
        <v>9025647</v>
      </c>
      <c r="Z472" s="24"/>
      <c r="AA472" s="24">
        <v>0</v>
      </c>
      <c r="AB472" s="24"/>
      <c r="AC472" s="24">
        <v>0</v>
      </c>
      <c r="AD472" s="24"/>
      <c r="AE472" s="24">
        <v>0</v>
      </c>
      <c r="AF472" s="24"/>
      <c r="AG472" s="24"/>
      <c r="AH472" s="24"/>
      <c r="AI472" s="24"/>
      <c r="AJ472" s="24"/>
      <c r="AK472" s="24">
        <v>0</v>
      </c>
      <c r="AL472" s="24"/>
      <c r="AM472" s="24">
        <v>0</v>
      </c>
      <c r="AN472" s="24"/>
      <c r="AO472" s="38">
        <f t="shared" si="94"/>
        <v>0</v>
      </c>
      <c r="AP472" s="24"/>
      <c r="AQ472" s="38">
        <f t="shared" si="90"/>
        <v>9025647</v>
      </c>
      <c r="AR472" s="38"/>
      <c r="AS472" s="7"/>
      <c r="AT472" s="7" t="str">
        <f t="shared" si="102"/>
        <v>Riverside Local SD</v>
      </c>
      <c r="AU472" s="7" t="str">
        <f>'Gov Fd BS'!A472</f>
        <v>Riverside Local SD</v>
      </c>
      <c r="AV472" s="7" t="b">
        <f t="shared" si="103"/>
        <v>1</v>
      </c>
      <c r="AW472" s="7" t="str">
        <f t="shared" si="101"/>
        <v>Logan</v>
      </c>
      <c r="AX472" s="7" t="b">
        <f>C472='Gov Fd BS'!C472</f>
        <v>1</v>
      </c>
    </row>
    <row r="473" spans="1:50">
      <c r="A473" s="12" t="s">
        <v>381</v>
      </c>
      <c r="B473" s="12"/>
      <c r="C473" s="12" t="s">
        <v>377</v>
      </c>
      <c r="D473" s="12"/>
      <c r="E473" s="12">
        <v>47944</v>
      </c>
      <c r="F473" s="24"/>
      <c r="G473" s="24">
        <v>1956365</v>
      </c>
      <c r="H473" s="24"/>
      <c r="I473" s="24">
        <v>0</v>
      </c>
      <c r="J473" s="24"/>
      <c r="K473" s="24">
        <v>16845249</v>
      </c>
      <c r="L473" s="24"/>
      <c r="M473" s="24">
        <v>34202</v>
      </c>
      <c r="N473" s="24"/>
      <c r="O473" s="24">
        <f>1487971+126964</f>
        <v>1614935</v>
      </c>
      <c r="P473" s="24"/>
      <c r="Q473" s="24">
        <v>116040</v>
      </c>
      <c r="R473" s="24"/>
      <c r="S473" s="24">
        <v>573500</v>
      </c>
      <c r="T473" s="24"/>
      <c r="U473" s="8">
        <v>4261</v>
      </c>
      <c r="V473" s="24"/>
      <c r="W473" s="24">
        <v>7075</v>
      </c>
      <c r="X473" s="24"/>
      <c r="Y473" s="38">
        <f>SUM(G473:W473)</f>
        <v>21151627</v>
      </c>
      <c r="Z473" s="24"/>
      <c r="AA473" s="24">
        <v>506000</v>
      </c>
      <c r="AB473" s="24"/>
      <c r="AC473" s="24">
        <v>0</v>
      </c>
      <c r="AD473" s="24"/>
      <c r="AE473" s="24">
        <v>0</v>
      </c>
      <c r="AF473" s="24"/>
      <c r="AG473" s="24"/>
      <c r="AH473" s="24"/>
      <c r="AI473" s="24"/>
      <c r="AJ473" s="24"/>
      <c r="AK473" s="24">
        <v>0</v>
      </c>
      <c r="AL473" s="24"/>
      <c r="AM473" s="24">
        <v>0</v>
      </c>
      <c r="AN473" s="24"/>
      <c r="AO473" s="38">
        <f t="shared" si="94"/>
        <v>506000</v>
      </c>
      <c r="AP473" s="24"/>
      <c r="AQ473" s="38">
        <f t="shared" si="90"/>
        <v>21657627</v>
      </c>
      <c r="AR473" s="38"/>
      <c r="AS473" s="7"/>
      <c r="AT473" s="7" t="str">
        <f t="shared" si="102"/>
        <v>Rock Hill Local SD</v>
      </c>
      <c r="AU473" s="7" t="str">
        <f>'Gov Fd BS'!A473</f>
        <v>Rock Hill Local SD</v>
      </c>
      <c r="AV473" s="7" t="b">
        <f t="shared" si="103"/>
        <v>1</v>
      </c>
      <c r="AW473" s="7" t="str">
        <f t="shared" si="101"/>
        <v>Lawrence</v>
      </c>
      <c r="AX473" s="7" t="b">
        <f>C473='Gov Fd BS'!C473</f>
        <v>1</v>
      </c>
    </row>
    <row r="474" spans="1:50">
      <c r="A474" s="12" t="s">
        <v>753</v>
      </c>
      <c r="B474" s="12"/>
      <c r="C474" s="12" t="s">
        <v>20</v>
      </c>
      <c r="D474" s="12"/>
      <c r="E474" s="12">
        <v>44701</v>
      </c>
      <c r="F474" s="24"/>
      <c r="G474" s="24">
        <v>28521440</v>
      </c>
      <c r="H474" s="24"/>
      <c r="I474" s="24">
        <v>0</v>
      </c>
      <c r="J474" s="24"/>
      <c r="K474" s="24">
        <f>7711068+2418011</f>
        <v>10129079</v>
      </c>
      <c r="L474" s="24"/>
      <c r="M474" s="24">
        <v>150324</v>
      </c>
      <c r="N474" s="24"/>
      <c r="O474" s="24">
        <f>69593+7004+317847+257072+269203+103098</f>
        <v>1023817</v>
      </c>
      <c r="P474" s="24"/>
      <c r="Q474" s="24">
        <v>281985</v>
      </c>
      <c r="R474" s="24"/>
      <c r="S474" s="24">
        <v>0</v>
      </c>
      <c r="T474" s="24"/>
      <c r="U474" s="24">
        <v>98075</v>
      </c>
      <c r="V474" s="24"/>
      <c r="W474" s="24">
        <v>287160</v>
      </c>
      <c r="X474" s="24"/>
      <c r="Y474" s="38">
        <f t="shared" si="93"/>
        <v>40491880</v>
      </c>
      <c r="Z474" s="24"/>
      <c r="AA474" s="24">
        <v>30378</v>
      </c>
      <c r="AB474" s="24"/>
      <c r="AC474" s="24">
        <v>0</v>
      </c>
      <c r="AD474" s="24"/>
      <c r="AE474" s="24">
        <f>443449+42900000+100000</f>
        <v>43443449</v>
      </c>
      <c r="AF474" s="24"/>
      <c r="AG474" s="24"/>
      <c r="AH474" s="24"/>
      <c r="AI474" s="24"/>
      <c r="AJ474" s="24"/>
      <c r="AK474" s="24">
        <v>0</v>
      </c>
      <c r="AL474" s="24"/>
      <c r="AM474" s="24">
        <v>0</v>
      </c>
      <c r="AN474" s="24"/>
      <c r="AO474" s="38">
        <f t="shared" si="94"/>
        <v>43473827</v>
      </c>
      <c r="AP474" s="24"/>
      <c r="AQ474" s="38">
        <f t="shared" si="90"/>
        <v>83965707</v>
      </c>
      <c r="AR474" s="38"/>
      <c r="AS474" s="7"/>
      <c r="AT474" s="7" t="str">
        <f t="shared" si="102"/>
        <v xml:space="preserve">Rocky River City SD </v>
      </c>
      <c r="AU474" s="7" t="str">
        <f>'Gov Fd BS'!A474</f>
        <v xml:space="preserve">Rocky River City SD </v>
      </c>
      <c r="AV474" s="7" t="b">
        <f t="shared" si="103"/>
        <v>1</v>
      </c>
      <c r="AW474" s="7" t="str">
        <f t="shared" si="101"/>
        <v>Cuyahoga</v>
      </c>
      <c r="AX474" s="7" t="b">
        <f>C474='Gov Fd BS'!C474</f>
        <v>1</v>
      </c>
    </row>
    <row r="475" spans="1:50">
      <c r="A475" s="12" t="s">
        <v>329</v>
      </c>
      <c r="B475" s="12"/>
      <c r="C475" s="12" t="s">
        <v>31</v>
      </c>
      <c r="D475" s="12"/>
      <c r="E475" s="12">
        <v>47308</v>
      </c>
      <c r="F475" s="24"/>
      <c r="G475" s="24">
        <v>6034867</v>
      </c>
      <c r="H475" s="24"/>
      <c r="I475" s="24">
        <v>0</v>
      </c>
      <c r="J475" s="24"/>
      <c r="K475" s="24">
        <v>13309627</v>
      </c>
      <c r="L475" s="24"/>
      <c r="M475" s="24">
        <v>10573</v>
      </c>
      <c r="N475" s="24"/>
      <c r="O475" s="24">
        <f>657724+17610+246223</f>
        <v>921557</v>
      </c>
      <c r="P475" s="24"/>
      <c r="Q475" s="24">
        <v>164118</v>
      </c>
      <c r="R475" s="24"/>
      <c r="S475" s="24">
        <v>0</v>
      </c>
      <c r="T475" s="24"/>
      <c r="U475" s="24">
        <v>98578</v>
      </c>
      <c r="V475" s="24"/>
      <c r="W475" s="24">
        <v>28272</v>
      </c>
      <c r="X475" s="24"/>
      <c r="Y475" s="38">
        <f t="shared" si="93"/>
        <v>20567592</v>
      </c>
      <c r="Z475" s="24"/>
      <c r="AA475" s="24">
        <v>70000</v>
      </c>
      <c r="AB475" s="24"/>
      <c r="AC475" s="24">
        <v>0</v>
      </c>
      <c r="AD475" s="24"/>
      <c r="AE475" s="24">
        <v>0</v>
      </c>
      <c r="AF475" s="24"/>
      <c r="AG475" s="24"/>
      <c r="AH475" s="24"/>
      <c r="AI475" s="24"/>
      <c r="AJ475" s="24"/>
      <c r="AK475" s="24">
        <v>0</v>
      </c>
      <c r="AL475" s="24"/>
      <c r="AM475" s="24">
        <v>0</v>
      </c>
      <c r="AN475" s="24"/>
      <c r="AO475" s="38">
        <f t="shared" si="94"/>
        <v>70000</v>
      </c>
      <c r="AP475" s="24"/>
      <c r="AQ475" s="38">
        <f t="shared" si="90"/>
        <v>20637592</v>
      </c>
      <c r="AR475" s="38"/>
      <c r="AS475" s="7"/>
      <c r="AT475" s="7" t="str">
        <f t="shared" si="102"/>
        <v>Rolling Hills Local SD</v>
      </c>
      <c r="AU475" s="7" t="str">
        <f>'Gov Fd BS'!A475</f>
        <v>Rolling Hills Local SD</v>
      </c>
      <c r="AV475" s="7" t="b">
        <f t="shared" si="103"/>
        <v>1</v>
      </c>
      <c r="AW475" s="7" t="str">
        <f t="shared" si="101"/>
        <v>Guernsey</v>
      </c>
      <c r="AX475" s="7" t="b">
        <f>C475='Gov Fd BS'!C475</f>
        <v>1</v>
      </c>
    </row>
    <row r="476" spans="1:50">
      <c r="A476" s="12" t="s">
        <v>477</v>
      </c>
      <c r="B476" s="12"/>
      <c r="C476" s="12" t="s">
        <v>56</v>
      </c>
      <c r="D476" s="12"/>
      <c r="E476" s="12">
        <v>49213</v>
      </c>
      <c r="F476" s="24"/>
      <c r="G476" s="24">
        <v>4282625</v>
      </c>
      <c r="H476" s="24"/>
      <c r="I476" s="24">
        <v>0</v>
      </c>
      <c r="J476" s="24"/>
      <c r="K476" s="24">
        <v>6386731</v>
      </c>
      <c r="L476" s="24"/>
      <c r="M476" s="24">
        <v>11701</v>
      </c>
      <c r="N476" s="24"/>
      <c r="O476" s="24">
        <f>344772+7597+239268</f>
        <v>591637</v>
      </c>
      <c r="P476" s="24"/>
      <c r="Q476" s="24">
        <v>140013</v>
      </c>
      <c r="R476" s="24"/>
      <c r="S476" s="24">
        <v>0</v>
      </c>
      <c r="T476" s="24"/>
      <c r="U476" s="24">
        <v>44156</v>
      </c>
      <c r="V476" s="24"/>
      <c r="W476" s="24">
        <v>197740</v>
      </c>
      <c r="X476" s="24"/>
      <c r="Y476" s="38">
        <f t="shared" si="93"/>
        <v>11654603</v>
      </c>
      <c r="Z476" s="24"/>
      <c r="AA476" s="24">
        <v>307</v>
      </c>
      <c r="AB476" s="24"/>
      <c r="AC476" s="24">
        <v>0</v>
      </c>
      <c r="AD476" s="24"/>
      <c r="AE476" s="24">
        <v>0</v>
      </c>
      <c r="AF476" s="24"/>
      <c r="AG476" s="24"/>
      <c r="AH476" s="24"/>
      <c r="AI476" s="24"/>
      <c r="AJ476" s="24"/>
      <c r="AK476" s="24">
        <v>0</v>
      </c>
      <c r="AL476" s="24"/>
      <c r="AM476" s="24">
        <v>0</v>
      </c>
      <c r="AN476" s="24"/>
      <c r="AO476" s="38">
        <f t="shared" si="94"/>
        <v>307</v>
      </c>
      <c r="AP476" s="24"/>
      <c r="AQ476" s="38">
        <f t="shared" si="90"/>
        <v>11654910</v>
      </c>
      <c r="AR476" s="38"/>
      <c r="AS476" s="7" t="s">
        <v>972</v>
      </c>
      <c r="AT476" s="7" t="str">
        <f t="shared" si="102"/>
        <v>Rootstown Local SD</v>
      </c>
      <c r="AU476" s="7" t="str">
        <f>'Gov Fd BS'!A476</f>
        <v>Rootstown Local SD</v>
      </c>
      <c r="AV476" s="7" t="b">
        <f t="shared" si="103"/>
        <v>1</v>
      </c>
      <c r="AW476" s="7" t="str">
        <f t="shared" si="101"/>
        <v>Portage</v>
      </c>
      <c r="AX476" s="7" t="b">
        <f>C476='Gov Fd BS'!C476</f>
        <v>1</v>
      </c>
    </row>
    <row r="477" spans="1:50">
      <c r="A477" s="12" t="s">
        <v>754</v>
      </c>
      <c r="B477" s="12"/>
      <c r="C477" s="12" t="s">
        <v>223</v>
      </c>
      <c r="D477" s="12"/>
      <c r="E477" s="12">
        <v>46144</v>
      </c>
      <c r="F477" s="24"/>
      <c r="G477" s="24">
        <v>8769088</v>
      </c>
      <c r="H477" s="24"/>
      <c r="I477" s="24">
        <v>2740228</v>
      </c>
      <c r="J477" s="24"/>
      <c r="K477" s="24">
        <v>26962568</v>
      </c>
      <c r="L477" s="24"/>
      <c r="M477" s="24">
        <v>29208</v>
      </c>
      <c r="N477" s="24"/>
      <c r="O477" s="24">
        <f>168729+808958</f>
        <v>977687</v>
      </c>
      <c r="P477" s="24"/>
      <c r="Q477" s="24">
        <v>600212</v>
      </c>
      <c r="R477" s="24"/>
      <c r="S477" s="24">
        <v>0</v>
      </c>
      <c r="T477" s="24"/>
      <c r="U477" s="24">
        <v>0</v>
      </c>
      <c r="V477" s="24"/>
      <c r="W477" s="24">
        <v>446263</v>
      </c>
      <c r="X477" s="24"/>
      <c r="Y477" s="38">
        <f>SUM(G477:W477)</f>
        <v>40525254</v>
      </c>
      <c r="Z477" s="24"/>
      <c r="AA477" s="24">
        <v>0</v>
      </c>
      <c r="AB477" s="24"/>
      <c r="AC477" s="24">
        <v>0</v>
      </c>
      <c r="AD477" s="24"/>
      <c r="AE477" s="24">
        <f>782000+183277</f>
        <v>965277</v>
      </c>
      <c r="AF477" s="24"/>
      <c r="AG477" s="24"/>
      <c r="AH477" s="24"/>
      <c r="AI477" s="24"/>
      <c r="AJ477" s="24"/>
      <c r="AK477" s="24">
        <v>0</v>
      </c>
      <c r="AL477" s="24"/>
      <c r="AM477" s="24">
        <v>0</v>
      </c>
      <c r="AN477" s="24"/>
      <c r="AO477" s="38">
        <f t="shared" si="94"/>
        <v>965277</v>
      </c>
      <c r="AP477" s="24"/>
      <c r="AQ477" s="38">
        <f t="shared" si="90"/>
        <v>41490531</v>
      </c>
      <c r="AR477" s="38"/>
      <c r="AS477" s="7"/>
      <c r="AT477" s="7" t="str">
        <f t="shared" si="102"/>
        <v xml:space="preserve">Ross Local SD </v>
      </c>
      <c r="AU477" s="7" t="str">
        <f>'Gov Fd BS'!A477</f>
        <v xml:space="preserve">Ross Local SD </v>
      </c>
      <c r="AV477" s="7" t="b">
        <f t="shared" si="103"/>
        <v>1</v>
      </c>
      <c r="AW477" s="7" t="str">
        <f t="shared" si="101"/>
        <v>Butler</v>
      </c>
      <c r="AX477" s="7" t="b">
        <f>C477='Gov Fd BS'!C477</f>
        <v>1</v>
      </c>
    </row>
    <row r="478" spans="1:50">
      <c r="A478" s="12" t="s">
        <v>886</v>
      </c>
      <c r="B478" s="12"/>
      <c r="C478" s="12" t="s">
        <v>72</v>
      </c>
      <c r="D478" s="12"/>
      <c r="E478" s="12">
        <v>45609</v>
      </c>
      <c r="F478" s="24"/>
      <c r="G478" s="24">
        <v>13037156</v>
      </c>
      <c r="H478" s="24"/>
      <c r="I478" s="24">
        <v>0</v>
      </c>
      <c r="J478" s="24"/>
      <c r="K478" s="24">
        <v>10504850</v>
      </c>
      <c r="L478" s="24"/>
      <c r="M478" s="24">
        <v>38303</v>
      </c>
      <c r="N478" s="24"/>
      <c r="O478" s="24">
        <f>434871+310540</f>
        <v>745411</v>
      </c>
      <c r="P478" s="24"/>
      <c r="Q478" s="24">
        <v>250027</v>
      </c>
      <c r="R478" s="24"/>
      <c r="S478" s="24">
        <v>449909</v>
      </c>
      <c r="T478" s="24"/>
      <c r="U478" s="24">
        <v>1459155</v>
      </c>
      <c r="V478" s="24"/>
      <c r="W478" s="24">
        <v>147766</v>
      </c>
      <c r="X478" s="24"/>
      <c r="Y478" s="38">
        <f t="shared" si="93"/>
        <v>26632577</v>
      </c>
      <c r="Z478" s="24"/>
      <c r="AA478" s="24">
        <v>61000</v>
      </c>
      <c r="AB478" s="24"/>
      <c r="AC478" s="24">
        <v>0</v>
      </c>
      <c r="AD478" s="24"/>
      <c r="AE478" s="24">
        <v>0</v>
      </c>
      <c r="AF478" s="24"/>
      <c r="AG478" s="24"/>
      <c r="AH478" s="24"/>
      <c r="AI478" s="24"/>
      <c r="AJ478" s="24"/>
      <c r="AK478" s="24">
        <v>0</v>
      </c>
      <c r="AL478" s="24"/>
      <c r="AM478" s="24">
        <v>0</v>
      </c>
      <c r="AN478" s="24"/>
      <c r="AO478" s="38">
        <f t="shared" si="94"/>
        <v>61000</v>
      </c>
      <c r="AP478" s="24"/>
      <c r="AQ478" s="38">
        <f t="shared" si="90"/>
        <v>26693577</v>
      </c>
      <c r="AR478" s="38"/>
      <c r="AS478" s="7"/>
      <c r="AT478" s="7" t="str">
        <f t="shared" si="102"/>
        <v>Rossford Exempted Village SD</v>
      </c>
      <c r="AU478" s="7" t="str">
        <f>'Gov Fd BS'!A478</f>
        <v>Rossford Exempted Village SD</v>
      </c>
      <c r="AV478" s="7" t="b">
        <f t="shared" si="103"/>
        <v>1</v>
      </c>
      <c r="AW478" s="7" t="str">
        <f t="shared" si="101"/>
        <v>Wood</v>
      </c>
      <c r="AX478" s="7" t="b">
        <f>C478='Gov Fd BS'!C478</f>
        <v>1</v>
      </c>
    </row>
    <row r="479" spans="1:50">
      <c r="A479" s="12" t="s">
        <v>507</v>
      </c>
      <c r="B479" s="12"/>
      <c r="C479" s="12" t="s">
        <v>61</v>
      </c>
      <c r="D479" s="12"/>
      <c r="E479" s="12">
        <v>49817</v>
      </c>
      <c r="F479" s="24"/>
      <c r="G479" s="24">
        <v>1297278</v>
      </c>
      <c r="H479" s="24"/>
      <c r="I479" s="24">
        <v>299751</v>
      </c>
      <c r="J479" s="24"/>
      <c r="K479" s="24">
        <v>4574553</v>
      </c>
      <c r="L479" s="24"/>
      <c r="M479" s="24">
        <v>18568</v>
      </c>
      <c r="N479" s="24"/>
      <c r="O479" s="24">
        <f>356462+106712</f>
        <v>463174</v>
      </c>
      <c r="P479" s="24"/>
      <c r="Q479" s="24">
        <v>58767</v>
      </c>
      <c r="R479" s="24"/>
      <c r="S479" s="24"/>
      <c r="T479" s="24"/>
      <c r="U479" s="24">
        <v>7955</v>
      </c>
      <c r="V479" s="24"/>
      <c r="W479" s="24">
        <v>40226</v>
      </c>
      <c r="X479" s="24"/>
      <c r="Y479" s="38">
        <f t="shared" si="93"/>
        <v>6760272</v>
      </c>
      <c r="Z479" s="24"/>
      <c r="AA479" s="24">
        <v>0</v>
      </c>
      <c r="AB479" s="24"/>
      <c r="AC479" s="24">
        <v>0</v>
      </c>
      <c r="AD479" s="24"/>
      <c r="AE479" s="24">
        <v>0</v>
      </c>
      <c r="AF479" s="24"/>
      <c r="AG479" s="24"/>
      <c r="AH479" s="24"/>
      <c r="AI479" s="24"/>
      <c r="AJ479" s="24"/>
      <c r="AK479" s="24">
        <v>1972</v>
      </c>
      <c r="AL479" s="24"/>
      <c r="AM479" s="24">
        <v>0</v>
      </c>
      <c r="AN479" s="24"/>
      <c r="AO479" s="38">
        <f t="shared" si="94"/>
        <v>1972</v>
      </c>
      <c r="AP479" s="24"/>
      <c r="AQ479" s="38">
        <f t="shared" si="90"/>
        <v>6762244</v>
      </c>
      <c r="AR479" s="38"/>
      <c r="AS479" s="7"/>
      <c r="AT479" s="7" t="str">
        <f t="shared" si="102"/>
        <v>Russia Local SD</v>
      </c>
      <c r="AU479" s="7" t="str">
        <f>'Gov Fd BS'!A479</f>
        <v>Russia Local SD</v>
      </c>
      <c r="AV479" s="7" t="b">
        <f t="shared" si="103"/>
        <v>1</v>
      </c>
      <c r="AW479" s="7" t="str">
        <f t="shared" si="101"/>
        <v>Shelby</v>
      </c>
      <c r="AX479" s="7" t="b">
        <f>C479='Gov Fd BS'!C479</f>
        <v>1</v>
      </c>
    </row>
    <row r="480" spans="1:50">
      <c r="A480" s="12" t="s">
        <v>632</v>
      </c>
      <c r="B480" s="12"/>
      <c r="C480" s="12" t="s">
        <v>112</v>
      </c>
      <c r="D480" s="12"/>
      <c r="E480" s="12"/>
      <c r="F480" s="24"/>
      <c r="G480" s="24">
        <v>8218385</v>
      </c>
      <c r="H480" s="24"/>
      <c r="I480" s="24">
        <v>3888</v>
      </c>
      <c r="J480" s="24"/>
      <c r="K480" s="24">
        <f>2773639+9804439</f>
        <v>12578078</v>
      </c>
      <c r="L480" s="24"/>
      <c r="M480" s="24">
        <v>17787</v>
      </c>
      <c r="N480" s="24"/>
      <c r="O480" s="24">
        <f>1210245+182811</f>
        <v>1393056</v>
      </c>
      <c r="P480" s="24"/>
      <c r="Q480" s="24">
        <v>257392</v>
      </c>
      <c r="R480" s="24"/>
      <c r="S480" s="24">
        <v>0</v>
      </c>
      <c r="T480" s="24"/>
      <c r="U480" s="24">
        <v>79205</v>
      </c>
      <c r="V480" s="24"/>
      <c r="W480" s="24">
        <f>218665+3201+176087</f>
        <v>397953</v>
      </c>
      <c r="X480" s="24"/>
      <c r="Y480" s="38">
        <f t="shared" ref="Y480:Y529" si="104">SUM(G480:W480)</f>
        <v>22945744</v>
      </c>
      <c r="Z480" s="24"/>
      <c r="AA480" s="24">
        <v>0</v>
      </c>
      <c r="AB480" s="24"/>
      <c r="AC480" s="24">
        <v>0</v>
      </c>
      <c r="AD480" s="24"/>
      <c r="AE480" s="24">
        <v>1740000</v>
      </c>
      <c r="AF480" s="24"/>
      <c r="AG480" s="24">
        <v>0</v>
      </c>
      <c r="AH480" s="24"/>
      <c r="AI480" s="24">
        <v>0</v>
      </c>
      <c r="AJ480" s="24"/>
      <c r="AK480" s="24">
        <v>0</v>
      </c>
      <c r="AL480" s="24"/>
      <c r="AM480" s="24">
        <v>0</v>
      </c>
      <c r="AN480" s="24"/>
      <c r="AO480" s="38">
        <f>AK480+AE480+AA480</f>
        <v>1740000</v>
      </c>
      <c r="AP480" s="24"/>
      <c r="AQ480" s="38">
        <f t="shared" ref="AQ480:AQ543" si="105">Y480+AO480</f>
        <v>24685744</v>
      </c>
      <c r="AR480" s="38"/>
      <c r="AS480" s="7"/>
      <c r="AT480" s="7" t="str">
        <f t="shared" si="102"/>
        <v>Salem City SD</v>
      </c>
      <c r="AU480" s="7" t="str">
        <f>'Gov Fd BS'!A480</f>
        <v>Salem City SD</v>
      </c>
      <c r="AV480" s="7" t="b">
        <f t="shared" si="103"/>
        <v>1</v>
      </c>
      <c r="AW480" s="7" t="str">
        <f t="shared" si="101"/>
        <v>Columbiana</v>
      </c>
      <c r="AX480" s="7" t="b">
        <f>C480='Gov Fd BS'!C480</f>
        <v>1</v>
      </c>
    </row>
    <row r="481" spans="1:50">
      <c r="A481" s="12" t="s">
        <v>296</v>
      </c>
      <c r="B481" s="12"/>
      <c r="C481" s="12" t="s">
        <v>24</v>
      </c>
      <c r="D481" s="12"/>
      <c r="E481" s="12">
        <v>44743</v>
      </c>
      <c r="F481" s="24"/>
      <c r="G481" s="24">
        <v>18130698</v>
      </c>
      <c r="H481" s="24"/>
      <c r="I481" s="24">
        <v>0</v>
      </c>
      <c r="J481" s="24"/>
      <c r="K481" s="24">
        <v>30435115</v>
      </c>
      <c r="L481" s="24"/>
      <c r="M481" s="24">
        <v>64347</v>
      </c>
      <c r="N481" s="24"/>
      <c r="O481" s="24">
        <v>1152390</v>
      </c>
      <c r="P481" s="24"/>
      <c r="Q481" s="24">
        <v>217955</v>
      </c>
      <c r="R481" s="24"/>
      <c r="S481" s="24">
        <v>96184</v>
      </c>
      <c r="T481" s="24"/>
      <c r="U481" s="24">
        <v>0</v>
      </c>
      <c r="V481" s="24"/>
      <c r="W481" s="24">
        <f>253178+419837</f>
        <v>673015</v>
      </c>
      <c r="X481" s="24"/>
      <c r="Y481" s="38">
        <f t="shared" si="104"/>
        <v>50769704</v>
      </c>
      <c r="Z481" s="24"/>
      <c r="AA481" s="24">
        <v>271377</v>
      </c>
      <c r="AB481" s="24"/>
      <c r="AC481" s="24">
        <v>0</v>
      </c>
      <c r="AD481" s="24"/>
      <c r="AE481" s="24">
        <v>0</v>
      </c>
      <c r="AF481" s="24"/>
      <c r="AG481" s="24"/>
      <c r="AH481" s="24"/>
      <c r="AI481" s="24">
        <v>0</v>
      </c>
      <c r="AJ481" s="24"/>
      <c r="AK481" s="24">
        <v>2138</v>
      </c>
      <c r="AL481" s="24"/>
      <c r="AM481" s="24">
        <v>0</v>
      </c>
      <c r="AN481" s="24"/>
      <c r="AO481" s="38">
        <f t="shared" si="94"/>
        <v>273515</v>
      </c>
      <c r="AP481" s="24"/>
      <c r="AQ481" s="38">
        <f t="shared" si="105"/>
        <v>51043219</v>
      </c>
      <c r="AR481" s="38"/>
      <c r="AS481" s="7"/>
      <c r="AT481" s="7" t="str">
        <f t="shared" si="102"/>
        <v>Sandusky City SD</v>
      </c>
      <c r="AU481" s="7" t="str">
        <f>'Gov Fd BS'!A481</f>
        <v>Sandusky City SD</v>
      </c>
      <c r="AV481" s="7" t="b">
        <f t="shared" si="103"/>
        <v>1</v>
      </c>
      <c r="AW481" s="7" t="str">
        <f t="shared" si="101"/>
        <v>Erie</v>
      </c>
      <c r="AX481" s="7" t="b">
        <f>C481='Gov Fd BS'!C481</f>
        <v>1</v>
      </c>
    </row>
    <row r="482" spans="1:50">
      <c r="A482" s="12" t="s">
        <v>520</v>
      </c>
      <c r="B482" s="12"/>
      <c r="C482" s="12" t="s">
        <v>62</v>
      </c>
      <c r="D482" s="12"/>
      <c r="E482" s="12">
        <v>49940</v>
      </c>
      <c r="F482" s="24"/>
      <c r="G482" s="24">
        <v>4781465</v>
      </c>
      <c r="H482" s="24"/>
      <c r="I482" s="24">
        <v>0</v>
      </c>
      <c r="J482" s="24"/>
      <c r="K482" s="24">
        <f>20614+8715453+2071277</f>
        <v>10807344</v>
      </c>
      <c r="L482" s="24"/>
      <c r="M482" s="24">
        <v>54418</v>
      </c>
      <c r="N482" s="24"/>
      <c r="O482" s="24">
        <f>516878+22186+33915</f>
        <v>572979</v>
      </c>
      <c r="P482" s="24"/>
      <c r="Q482" s="24">
        <v>226718</v>
      </c>
      <c r="R482" s="24"/>
      <c r="S482" s="24">
        <v>0</v>
      </c>
      <c r="T482" s="24"/>
      <c r="U482" s="24">
        <v>56685</v>
      </c>
      <c r="V482" s="24"/>
      <c r="W482" s="24">
        <f>252145+52479+11040+64926</f>
        <v>380590</v>
      </c>
      <c r="X482" s="24"/>
      <c r="Y482" s="38">
        <f t="shared" si="104"/>
        <v>16880199</v>
      </c>
      <c r="Z482" s="24"/>
      <c r="AA482" s="24">
        <v>3382</v>
      </c>
      <c r="AB482" s="24"/>
      <c r="AC482" s="24">
        <v>0</v>
      </c>
      <c r="AD482" s="24"/>
      <c r="AE482" s="24">
        <v>0</v>
      </c>
      <c r="AF482" s="24"/>
      <c r="AG482" s="24"/>
      <c r="AH482" s="24"/>
      <c r="AI482" s="24">
        <v>0</v>
      </c>
      <c r="AJ482" s="24"/>
      <c r="AK482" s="24">
        <v>6576</v>
      </c>
      <c r="AL482" s="24"/>
      <c r="AM482" s="24">
        <v>0</v>
      </c>
      <c r="AN482" s="24"/>
      <c r="AO482" s="38">
        <f t="shared" si="94"/>
        <v>9958</v>
      </c>
      <c r="AP482" s="24"/>
      <c r="AQ482" s="38">
        <f t="shared" si="105"/>
        <v>16890157</v>
      </c>
      <c r="AR482" s="38"/>
      <c r="AS482" s="7"/>
      <c r="AT482" s="7" t="str">
        <f t="shared" si="102"/>
        <v>Sandy Valley Local SD</v>
      </c>
      <c r="AU482" s="7" t="str">
        <f>'Gov Fd BS'!A482</f>
        <v>Sandy Valley Local SD</v>
      </c>
      <c r="AV482" s="7" t="b">
        <f t="shared" si="103"/>
        <v>1</v>
      </c>
      <c r="AW482" s="7" t="str">
        <f t="shared" si="101"/>
        <v>Stark</v>
      </c>
      <c r="AX482" s="7" t="b">
        <f>C482='Gov Fd BS'!C482</f>
        <v>1</v>
      </c>
    </row>
    <row r="483" spans="1:50">
      <c r="A483" s="12" t="s">
        <v>471</v>
      </c>
      <c r="B483" s="12"/>
      <c r="C483" s="12" t="s">
        <v>55</v>
      </c>
      <c r="D483" s="12"/>
      <c r="E483" s="12">
        <v>49130</v>
      </c>
      <c r="F483" s="24"/>
      <c r="G483" s="24">
        <v>1814541</v>
      </c>
      <c r="H483" s="24"/>
      <c r="I483" s="24">
        <v>0</v>
      </c>
      <c r="J483" s="24"/>
      <c r="K483" s="24">
        <v>14386319</v>
      </c>
      <c r="L483" s="24"/>
      <c r="M483" s="24">
        <v>29954</v>
      </c>
      <c r="N483" s="24"/>
      <c r="O483" s="24">
        <v>633046</v>
      </c>
      <c r="P483" s="24"/>
      <c r="Q483" s="24">
        <v>102806</v>
      </c>
      <c r="R483" s="24"/>
      <c r="S483" s="24">
        <v>0</v>
      </c>
      <c r="T483" s="24"/>
      <c r="U483" s="24">
        <v>2300</v>
      </c>
      <c r="V483" s="24"/>
      <c r="W483" s="24">
        <f>189550+160983+13559</f>
        <v>364092</v>
      </c>
      <c r="X483" s="24"/>
      <c r="Y483" s="38">
        <f t="shared" si="104"/>
        <v>17333058</v>
      </c>
      <c r="Z483" s="24"/>
      <c r="AA483" s="24">
        <v>3657</v>
      </c>
      <c r="AB483" s="24"/>
      <c r="AC483" s="24">
        <v>0</v>
      </c>
      <c r="AD483" s="24"/>
      <c r="AE483" s="24">
        <v>0</v>
      </c>
      <c r="AF483" s="24"/>
      <c r="AG483" s="24"/>
      <c r="AH483" s="24"/>
      <c r="AI483" s="24">
        <v>0</v>
      </c>
      <c r="AJ483" s="24"/>
      <c r="AK483" s="24">
        <v>9825</v>
      </c>
      <c r="AL483" s="24"/>
      <c r="AM483" s="24">
        <v>0</v>
      </c>
      <c r="AN483" s="24"/>
      <c r="AO483" s="38">
        <f t="shared" si="94"/>
        <v>13482</v>
      </c>
      <c r="AP483" s="24"/>
      <c r="AQ483" s="38">
        <f t="shared" si="105"/>
        <v>17346540</v>
      </c>
      <c r="AR483" s="38"/>
      <c r="AS483" s="7"/>
      <c r="AT483" s="7" t="str">
        <f t="shared" si="102"/>
        <v>Scioto Valley Local SD</v>
      </c>
      <c r="AU483" s="7" t="str">
        <f>'Gov Fd BS'!A483</f>
        <v>Scioto Valley Local SD</v>
      </c>
      <c r="AV483" s="7" t="b">
        <f t="shared" si="103"/>
        <v>1</v>
      </c>
      <c r="AW483" s="7" t="str">
        <f t="shared" si="101"/>
        <v>Pike</v>
      </c>
      <c r="AX483" s="7" t="b">
        <f>C483='Gov Fd BS'!C483</f>
        <v>1</v>
      </c>
    </row>
    <row r="484" spans="1:50">
      <c r="A484" s="12" t="s">
        <v>418</v>
      </c>
      <c r="B484" s="12"/>
      <c r="C484" s="12" t="s">
        <v>45</v>
      </c>
      <c r="D484" s="12"/>
      <c r="E484" s="12">
        <v>48355</v>
      </c>
      <c r="F484" s="24"/>
      <c r="G484" s="24">
        <v>1301053</v>
      </c>
      <c r="H484" s="24"/>
      <c r="I484" s="24">
        <v>449404</v>
      </c>
      <c r="J484" s="24"/>
      <c r="K484" s="24">
        <v>5249204</v>
      </c>
      <c r="L484" s="24"/>
      <c r="M484" s="24">
        <v>1813</v>
      </c>
      <c r="N484" s="24"/>
      <c r="O484" s="24">
        <v>309545</v>
      </c>
      <c r="P484" s="24"/>
      <c r="Q484" s="24">
        <v>74173</v>
      </c>
      <c r="R484" s="24"/>
      <c r="S484" s="24">
        <v>0</v>
      </c>
      <c r="T484" s="24"/>
      <c r="U484" s="24">
        <v>9748</v>
      </c>
      <c r="V484" s="24"/>
      <c r="W484" s="24">
        <f>38432+104092</f>
        <v>142524</v>
      </c>
      <c r="X484" s="24"/>
      <c r="Y484" s="38">
        <f t="shared" si="104"/>
        <v>7537464</v>
      </c>
      <c r="Z484" s="24"/>
      <c r="AA484" s="24">
        <v>0</v>
      </c>
      <c r="AB484" s="24"/>
      <c r="AC484" s="24">
        <v>0</v>
      </c>
      <c r="AD484" s="24"/>
      <c r="AE484" s="24">
        <v>0</v>
      </c>
      <c r="AF484" s="24"/>
      <c r="AG484" s="24">
        <v>0</v>
      </c>
      <c r="AH484" s="24"/>
      <c r="AI484" s="24">
        <v>0</v>
      </c>
      <c r="AJ484" s="24"/>
      <c r="AK484" s="24">
        <v>0</v>
      </c>
      <c r="AL484" s="24"/>
      <c r="AM484" s="24">
        <v>0</v>
      </c>
      <c r="AN484" s="24"/>
      <c r="AO484" s="38">
        <f t="shared" si="94"/>
        <v>0</v>
      </c>
      <c r="AP484" s="24"/>
      <c r="AQ484" s="38">
        <f t="shared" si="105"/>
        <v>7537464</v>
      </c>
      <c r="AR484" s="38"/>
      <c r="AS484" s="7"/>
      <c r="AT484" s="7" t="str">
        <f t="shared" si="102"/>
        <v>Sebring Local SD</v>
      </c>
      <c r="AU484" s="7" t="str">
        <f>'Gov Fd BS'!A484</f>
        <v>Sebring Local SD</v>
      </c>
      <c r="AV484" s="7" t="b">
        <f t="shared" si="103"/>
        <v>1</v>
      </c>
      <c r="AW484" s="7" t="str">
        <f t="shared" si="101"/>
        <v>Mahoning</v>
      </c>
      <c r="AX484" s="7" t="b">
        <f>C484='Gov Fd BS'!C484</f>
        <v>1</v>
      </c>
    </row>
    <row r="485" spans="1:50">
      <c r="A485" s="12" t="s">
        <v>502</v>
      </c>
      <c r="B485" s="12"/>
      <c r="C485" s="12" t="s">
        <v>60</v>
      </c>
      <c r="D485" s="12"/>
      <c r="E485" s="12">
        <v>49684</v>
      </c>
      <c r="F485" s="24"/>
      <c r="G485" s="24">
        <v>2446511</v>
      </c>
      <c r="H485" s="24"/>
      <c r="I485" s="24">
        <v>973206</v>
      </c>
      <c r="J485" s="24"/>
      <c r="K485" s="24">
        <f>913046+4809230</f>
        <v>5722276</v>
      </c>
      <c r="L485" s="24"/>
      <c r="M485" s="24">
        <v>19157</v>
      </c>
      <c r="N485" s="24"/>
      <c r="O485" s="24">
        <f>809263+35460</f>
        <v>844723</v>
      </c>
      <c r="P485" s="24"/>
      <c r="Q485" s="24">
        <v>137762</v>
      </c>
      <c r="R485" s="24"/>
      <c r="S485" s="24">
        <v>0</v>
      </c>
      <c r="T485" s="24"/>
      <c r="U485" s="24">
        <v>13832</v>
      </c>
      <c r="V485" s="24"/>
      <c r="W485" s="24">
        <f>36549+13761+244665+28387</f>
        <v>323362</v>
      </c>
      <c r="X485" s="24"/>
      <c r="Y485" s="38">
        <f t="shared" si="104"/>
        <v>10480829</v>
      </c>
      <c r="Z485" s="24"/>
      <c r="AA485" s="24">
        <v>172500</v>
      </c>
      <c r="AB485" s="24"/>
      <c r="AC485" s="24">
        <v>0</v>
      </c>
      <c r="AD485" s="24"/>
      <c r="AE485" s="24">
        <v>0</v>
      </c>
      <c r="AF485" s="24"/>
      <c r="AG485" s="24">
        <v>0</v>
      </c>
      <c r="AH485" s="24"/>
      <c r="AI485" s="24">
        <v>0</v>
      </c>
      <c r="AJ485" s="24"/>
      <c r="AK485" s="24">
        <v>0</v>
      </c>
      <c r="AL485" s="24"/>
      <c r="AM485" s="24">
        <v>0</v>
      </c>
      <c r="AN485" s="24"/>
      <c r="AO485" s="38">
        <f t="shared" si="94"/>
        <v>172500</v>
      </c>
      <c r="AP485" s="24"/>
      <c r="AQ485" s="38">
        <f t="shared" si="105"/>
        <v>10653329</v>
      </c>
      <c r="AR485" s="38"/>
      <c r="AS485" s="7"/>
      <c r="AT485" s="7" t="str">
        <f t="shared" si="102"/>
        <v>Seneca East Local SD</v>
      </c>
      <c r="AU485" s="7" t="str">
        <f>'Gov Fd BS'!A485</f>
        <v>Seneca East Local SD</v>
      </c>
      <c r="AV485" s="7" t="b">
        <f t="shared" si="103"/>
        <v>1</v>
      </c>
      <c r="AW485" s="7" t="str">
        <f t="shared" si="101"/>
        <v>Seneca</v>
      </c>
      <c r="AX485" s="7" t="b">
        <f>C485='Gov Fd BS'!C485</f>
        <v>1</v>
      </c>
    </row>
    <row r="486" spans="1:50">
      <c r="A486" s="12" t="s">
        <v>218</v>
      </c>
      <c r="B486" s="12"/>
      <c r="C486" s="12" t="s">
        <v>15</v>
      </c>
      <c r="D486" s="12"/>
      <c r="E486" s="12">
        <v>46003</v>
      </c>
      <c r="F486" s="24"/>
      <c r="G486" s="24">
        <v>2371855</v>
      </c>
      <c r="H486" s="24"/>
      <c r="I486" s="24">
        <v>0</v>
      </c>
      <c r="J486" s="24"/>
      <c r="K486" s="24">
        <v>3959222</v>
      </c>
      <c r="L486" s="24"/>
      <c r="M486" s="24">
        <v>3370</v>
      </c>
      <c r="N486" s="24"/>
      <c r="O486" s="24">
        <v>1161297</v>
      </c>
      <c r="P486" s="24"/>
      <c r="Q486" s="24">
        <v>193200</v>
      </c>
      <c r="R486" s="24"/>
      <c r="S486" s="24">
        <v>0</v>
      </c>
      <c r="T486" s="24"/>
      <c r="U486" s="24">
        <v>5643</v>
      </c>
      <c r="V486" s="24"/>
      <c r="W486" s="24">
        <f>299+67028+12062</f>
        <v>79389</v>
      </c>
      <c r="X486" s="24"/>
      <c r="Y486" s="38">
        <f t="shared" si="104"/>
        <v>7773976</v>
      </c>
      <c r="Z486" s="24"/>
      <c r="AA486" s="24">
        <v>13432</v>
      </c>
      <c r="AB486" s="24"/>
      <c r="AC486" s="24">
        <v>0</v>
      </c>
      <c r="AD486" s="24"/>
      <c r="AE486" s="24">
        <v>0</v>
      </c>
      <c r="AF486" s="24"/>
      <c r="AG486" s="24">
        <v>0</v>
      </c>
      <c r="AH486" s="24"/>
      <c r="AI486" s="24">
        <v>0</v>
      </c>
      <c r="AJ486" s="24"/>
      <c r="AK486" s="24">
        <v>602</v>
      </c>
      <c r="AL486" s="24"/>
      <c r="AM486" s="24">
        <v>0</v>
      </c>
      <c r="AN486" s="24"/>
      <c r="AO486" s="38">
        <f t="shared" si="94"/>
        <v>14034</v>
      </c>
      <c r="AP486" s="24"/>
      <c r="AQ486" s="38">
        <f t="shared" si="105"/>
        <v>7788010</v>
      </c>
      <c r="AR486" s="38"/>
      <c r="AS486" s="7"/>
      <c r="AT486" s="7" t="str">
        <f t="shared" si="102"/>
        <v>Shadyside Local SD</v>
      </c>
      <c r="AU486" s="7" t="str">
        <f>'Gov Fd BS'!A486</f>
        <v>Shadyside Local SD</v>
      </c>
      <c r="AV486" s="7" t="b">
        <f t="shared" si="103"/>
        <v>1</v>
      </c>
      <c r="AW486" s="7" t="str">
        <f t="shared" si="101"/>
        <v>Belmont</v>
      </c>
      <c r="AX486" s="7" t="b">
        <f>C486='Gov Fd BS'!C486</f>
        <v>1</v>
      </c>
    </row>
    <row r="487" spans="1:50">
      <c r="A487" s="12" t="s">
        <v>755</v>
      </c>
      <c r="B487" s="12"/>
      <c r="C487" s="12" t="s">
        <v>20</v>
      </c>
      <c r="D487" s="12"/>
      <c r="E487" s="12">
        <v>44750</v>
      </c>
      <c r="F487" s="24"/>
      <c r="G487" s="24">
        <v>64583285</v>
      </c>
      <c r="H487" s="24"/>
      <c r="I487" s="24">
        <v>0</v>
      </c>
      <c r="J487" s="24"/>
      <c r="K487" s="24">
        <v>31222347</v>
      </c>
      <c r="L487" s="24"/>
      <c r="M487" s="24">
        <v>292491</v>
      </c>
      <c r="N487" s="24"/>
      <c r="O487" s="24">
        <v>1280795</v>
      </c>
      <c r="P487" s="24"/>
      <c r="Q487" s="24">
        <v>187388</v>
      </c>
      <c r="R487" s="24"/>
      <c r="S487" s="24">
        <v>0</v>
      </c>
      <c r="T487" s="24"/>
      <c r="U487" s="24">
        <v>144487</v>
      </c>
      <c r="V487" s="24"/>
      <c r="W487" s="24">
        <f>975774+93813+388268</f>
        <v>1457855</v>
      </c>
      <c r="X487" s="24"/>
      <c r="Y487" s="38">
        <f t="shared" si="104"/>
        <v>99168648</v>
      </c>
      <c r="Z487" s="24"/>
      <c r="AA487" s="24">
        <v>400000</v>
      </c>
      <c r="AB487" s="24"/>
      <c r="AC487" s="24">
        <v>0</v>
      </c>
      <c r="AD487" s="24"/>
      <c r="AE487" s="24">
        <v>0</v>
      </c>
      <c r="AF487" s="24"/>
      <c r="AG487" s="24">
        <v>0</v>
      </c>
      <c r="AH487" s="24"/>
      <c r="AI487" s="24">
        <v>0</v>
      </c>
      <c r="AJ487" s="24"/>
      <c r="AK487" s="24">
        <v>0</v>
      </c>
      <c r="AL487" s="24"/>
      <c r="AM487" s="24">
        <v>0</v>
      </c>
      <c r="AN487" s="24"/>
      <c r="AO487" s="38">
        <f t="shared" si="94"/>
        <v>400000</v>
      </c>
      <c r="AP487" s="24"/>
      <c r="AQ487" s="38">
        <f t="shared" si="105"/>
        <v>99568648</v>
      </c>
      <c r="AR487" s="38"/>
      <c r="AS487" s="7"/>
      <c r="AT487" s="7" t="str">
        <f t="shared" si="102"/>
        <v xml:space="preserve">Shaker Heights City SD </v>
      </c>
      <c r="AU487" s="7" t="str">
        <f>'Gov Fd BS'!A487</f>
        <v xml:space="preserve">Shaker Heights City SD </v>
      </c>
      <c r="AV487" s="7" t="b">
        <f t="shared" si="103"/>
        <v>1</v>
      </c>
      <c r="AW487" s="7" t="str">
        <f t="shared" si="101"/>
        <v>Cuyahoga</v>
      </c>
      <c r="AX487" s="7" t="b">
        <f>C487='Gov Fd BS'!C487</f>
        <v>1</v>
      </c>
    </row>
    <row r="488" spans="1:50" hidden="1">
      <c r="A488" s="12" t="s">
        <v>738</v>
      </c>
      <c r="B488" s="12"/>
      <c r="C488" s="12" t="s">
        <v>10</v>
      </c>
      <c r="D488" s="12"/>
      <c r="E488" s="12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38">
        <f t="shared" si="104"/>
        <v>0</v>
      </c>
      <c r="Z488" s="24"/>
      <c r="AA488" s="24"/>
      <c r="AB488" s="24"/>
      <c r="AC488" s="24">
        <v>0</v>
      </c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38"/>
      <c r="AP488" s="24"/>
      <c r="AQ488" s="38">
        <f t="shared" si="105"/>
        <v>0</v>
      </c>
      <c r="AR488" s="38"/>
      <c r="AS488" s="7" t="s">
        <v>973</v>
      </c>
      <c r="AT488" s="7" t="str">
        <f t="shared" si="102"/>
        <v>Shawnee Local SD (CASH)</v>
      </c>
      <c r="AU488" s="7" t="str">
        <f>'Gov Fd BS'!A488</f>
        <v>Shawnee Local SD (CASH)</v>
      </c>
      <c r="AV488" s="7" t="b">
        <f t="shared" si="103"/>
        <v>1</v>
      </c>
      <c r="AW488" s="7" t="str">
        <f t="shared" si="101"/>
        <v>Allen</v>
      </c>
      <c r="AX488" s="7" t="b">
        <f>C488='Gov Fd BS'!C488</f>
        <v>1</v>
      </c>
    </row>
    <row r="489" spans="1:50">
      <c r="A489" s="12" t="s">
        <v>899</v>
      </c>
      <c r="B489" s="12"/>
      <c r="C489" s="12" t="s">
        <v>44</v>
      </c>
      <c r="D489" s="12"/>
      <c r="E489" s="12">
        <v>44768</v>
      </c>
      <c r="F489" s="24"/>
      <c r="G489" s="24">
        <v>10876183</v>
      </c>
      <c r="H489" s="24"/>
      <c r="I489" s="24">
        <v>0</v>
      </c>
      <c r="J489" s="24"/>
      <c r="K489" s="24">
        <v>9187071</v>
      </c>
      <c r="L489" s="24"/>
      <c r="M489" s="24">
        <v>14176</v>
      </c>
      <c r="N489" s="24"/>
      <c r="O489" s="24">
        <v>1034319</v>
      </c>
      <c r="P489" s="24"/>
      <c r="Q489" s="24">
        <v>116185</v>
      </c>
      <c r="R489" s="24"/>
      <c r="S489" s="24">
        <v>0</v>
      </c>
      <c r="T489" s="24"/>
      <c r="U489" s="24">
        <v>0</v>
      </c>
      <c r="V489" s="24"/>
      <c r="W489" s="24">
        <f>204032+91926</f>
        <v>295958</v>
      </c>
      <c r="X489" s="24"/>
      <c r="Y489" s="38">
        <f t="shared" si="104"/>
        <v>21523892</v>
      </c>
      <c r="Z489" s="24"/>
      <c r="AA489" s="7">
        <v>278911</v>
      </c>
      <c r="AB489" s="24"/>
      <c r="AC489" s="24">
        <v>0</v>
      </c>
      <c r="AD489" s="24"/>
      <c r="AE489" s="24">
        <v>0</v>
      </c>
      <c r="AF489" s="24"/>
      <c r="AG489" s="24">
        <v>0</v>
      </c>
      <c r="AH489" s="24"/>
      <c r="AI489" s="24">
        <v>0</v>
      </c>
      <c r="AJ489" s="24"/>
      <c r="AK489" s="24">
        <v>0</v>
      </c>
      <c r="AL489" s="24"/>
      <c r="AM489" s="24">
        <v>0</v>
      </c>
      <c r="AN489" s="24"/>
      <c r="AO489" s="38">
        <f t="shared" ref="AO489:AO520" si="106">AK489+AE489+AA489</f>
        <v>278911</v>
      </c>
      <c r="AP489" s="24"/>
      <c r="AQ489" s="38">
        <f t="shared" si="105"/>
        <v>21802803</v>
      </c>
      <c r="AR489" s="38"/>
      <c r="AS489" s="7"/>
      <c r="AT489" s="7" t="str">
        <f t="shared" si="102"/>
        <v>Sheffield-Sheffield Lake City SD</v>
      </c>
      <c r="AU489" s="7" t="str">
        <f>'Gov Fd BS'!A489</f>
        <v>Sheffield-Sheffield Lake City SD</v>
      </c>
      <c r="AV489" s="7" t="b">
        <f t="shared" si="103"/>
        <v>1</v>
      </c>
      <c r="AW489" s="7" t="str">
        <f t="shared" si="101"/>
        <v>Lorain</v>
      </c>
      <c r="AX489" s="7" t="b">
        <f>C489='Gov Fd BS'!C489</f>
        <v>1</v>
      </c>
    </row>
    <row r="490" spans="1:50">
      <c r="A490" s="12" t="s">
        <v>487</v>
      </c>
      <c r="B490" s="12"/>
      <c r="C490" s="12" t="s">
        <v>110</v>
      </c>
      <c r="D490" s="12"/>
      <c r="E490" s="12">
        <v>44776</v>
      </c>
      <c r="F490" s="24"/>
      <c r="G490" s="24">
        <v>6070363</v>
      </c>
      <c r="H490" s="24"/>
      <c r="I490" s="24">
        <v>2340242</v>
      </c>
      <c r="J490" s="24"/>
      <c r="K490" s="24">
        <f>10738632+2854125</f>
        <v>13592757</v>
      </c>
      <c r="L490" s="24"/>
      <c r="M490" s="24">
        <v>29927</v>
      </c>
      <c r="N490" s="24"/>
      <c r="O490" s="24">
        <f>34196+277360+57618</f>
        <v>369174</v>
      </c>
      <c r="P490" s="24"/>
      <c r="Q490" s="24">
        <v>196979</v>
      </c>
      <c r="R490" s="24"/>
      <c r="S490" s="24">
        <v>0</v>
      </c>
      <c r="T490" s="24"/>
      <c r="U490" s="24">
        <v>43548</v>
      </c>
      <c r="V490" s="24"/>
      <c r="W490" s="24">
        <f>704489+1010+54767+451764</f>
        <v>1212030</v>
      </c>
      <c r="X490" s="24"/>
      <c r="Y490" s="38">
        <f t="shared" si="104"/>
        <v>23855020</v>
      </c>
      <c r="Z490" s="24"/>
      <c r="AA490" s="24">
        <v>0</v>
      </c>
      <c r="AB490" s="24"/>
      <c r="AC490" s="24">
        <v>0</v>
      </c>
      <c r="AD490" s="24"/>
      <c r="AE490" s="24">
        <f>719421+16999992</f>
        <v>17719413</v>
      </c>
      <c r="AF490" s="24"/>
      <c r="AG490" s="24">
        <v>0</v>
      </c>
      <c r="AH490" s="24"/>
      <c r="AI490" s="24">
        <v>0</v>
      </c>
      <c r="AJ490" s="24"/>
      <c r="AK490" s="24">
        <v>0</v>
      </c>
      <c r="AL490" s="24"/>
      <c r="AM490" s="24">
        <v>0</v>
      </c>
      <c r="AN490" s="24"/>
      <c r="AO490" s="38">
        <f t="shared" si="106"/>
        <v>17719413</v>
      </c>
      <c r="AP490" s="24"/>
      <c r="AQ490" s="38">
        <f t="shared" si="105"/>
        <v>41574433</v>
      </c>
      <c r="AR490" s="38"/>
      <c r="AS490" s="7"/>
      <c r="AT490" s="7" t="str">
        <f t="shared" si="102"/>
        <v>Shelby City SD</v>
      </c>
      <c r="AU490" s="7" t="str">
        <f>'Gov Fd BS'!A490</f>
        <v>Shelby City SD</v>
      </c>
      <c r="AV490" s="7" t="b">
        <f t="shared" si="103"/>
        <v>1</v>
      </c>
      <c r="AW490" s="7" t="str">
        <f t="shared" si="101"/>
        <v>Richland</v>
      </c>
      <c r="AX490" s="7" t="b">
        <f>C490='Gov Fd BS'!C490</f>
        <v>1</v>
      </c>
    </row>
    <row r="491" spans="1:50" hidden="1">
      <c r="A491" s="12" t="s">
        <v>985</v>
      </c>
      <c r="B491" s="12"/>
      <c r="C491" s="12" t="s">
        <v>61</v>
      </c>
      <c r="D491" s="12"/>
      <c r="E491" s="12">
        <v>44784</v>
      </c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38">
        <f t="shared" si="104"/>
        <v>0</v>
      </c>
      <c r="Z491" s="24"/>
      <c r="AA491" s="24"/>
      <c r="AB491" s="24"/>
      <c r="AC491" s="24">
        <v>0</v>
      </c>
      <c r="AD491" s="24"/>
      <c r="AE491" s="24"/>
      <c r="AF491" s="24"/>
      <c r="AG491" s="24"/>
      <c r="AH491" s="24"/>
      <c r="AI491" s="24"/>
      <c r="AJ491" s="24"/>
      <c r="AK491" s="24"/>
      <c r="AL491" s="24"/>
      <c r="AM491" s="24">
        <v>0</v>
      </c>
      <c r="AN491" s="24"/>
      <c r="AO491" s="38">
        <f t="shared" si="106"/>
        <v>0</v>
      </c>
      <c r="AP491" s="24"/>
      <c r="AQ491" s="38">
        <f t="shared" si="105"/>
        <v>0</v>
      </c>
      <c r="AR491" s="38"/>
      <c r="AS491" s="7" t="s">
        <v>974</v>
      </c>
      <c r="AT491" s="7" t="str">
        <f t="shared" si="102"/>
        <v>Sidney City SD (CASH)</v>
      </c>
      <c r="AU491" s="7" t="str">
        <f>'Gov Fd BS'!A491</f>
        <v>Sidney City SD (CASH)</v>
      </c>
      <c r="AV491" s="7" t="b">
        <f t="shared" si="103"/>
        <v>1</v>
      </c>
      <c r="AW491" s="7" t="str">
        <f t="shared" si="101"/>
        <v>Shelby</v>
      </c>
      <c r="AX491" s="7" t="b">
        <f>C491='Gov Fd BS'!C491</f>
        <v>1</v>
      </c>
    </row>
    <row r="492" spans="1:50">
      <c r="A492" s="12" t="s">
        <v>283</v>
      </c>
      <c r="B492" s="12"/>
      <c r="C492" s="12" t="s">
        <v>20</v>
      </c>
      <c r="D492" s="12"/>
      <c r="E492" s="12">
        <v>46607</v>
      </c>
      <c r="F492" s="24"/>
      <c r="G492" s="24">
        <v>53260747</v>
      </c>
      <c r="H492" s="24"/>
      <c r="I492" s="24">
        <v>0</v>
      </c>
      <c r="J492" s="24"/>
      <c r="K492" s="24">
        <f>2640+19288492+1751458</f>
        <v>21042590</v>
      </c>
      <c r="L492" s="24"/>
      <c r="M492" s="24">
        <v>117260</v>
      </c>
      <c r="N492" s="24"/>
      <c r="O492" s="24">
        <f>1039979+190448</f>
        <v>1230427</v>
      </c>
      <c r="P492" s="24"/>
      <c r="Q492" s="24">
        <v>245605</v>
      </c>
      <c r="R492" s="24"/>
      <c r="S492" s="24">
        <v>741815</v>
      </c>
      <c r="T492" s="24"/>
      <c r="U492" s="24">
        <v>196697</v>
      </c>
      <c r="V492" s="24"/>
      <c r="W492" s="24">
        <f>465581+154414+1478796</f>
        <v>2098791</v>
      </c>
      <c r="X492" s="24"/>
      <c r="Y492" s="38">
        <f t="shared" si="104"/>
        <v>78933932</v>
      </c>
      <c r="Z492" s="24"/>
      <c r="AA492" s="24">
        <v>90000</v>
      </c>
      <c r="AB492" s="24"/>
      <c r="AC492" s="24">
        <v>0</v>
      </c>
      <c r="AD492" s="24"/>
      <c r="AE492" s="24">
        <v>149781</v>
      </c>
      <c r="AF492" s="24"/>
      <c r="AG492" s="24">
        <v>0</v>
      </c>
      <c r="AH492" s="24"/>
      <c r="AI492" s="24">
        <v>0</v>
      </c>
      <c r="AJ492" s="24"/>
      <c r="AK492" s="24">
        <v>0</v>
      </c>
      <c r="AL492" s="24"/>
      <c r="AM492" s="24">
        <v>0</v>
      </c>
      <c r="AN492" s="24"/>
      <c r="AO492" s="38">
        <f t="shared" si="106"/>
        <v>239781</v>
      </c>
      <c r="AP492" s="24"/>
      <c r="AQ492" s="38">
        <f t="shared" si="105"/>
        <v>79173713</v>
      </c>
      <c r="AR492" s="38"/>
      <c r="AS492" s="7"/>
      <c r="AT492" s="7" t="str">
        <f t="shared" si="102"/>
        <v>Solon City SD</v>
      </c>
      <c r="AU492" s="7" t="str">
        <f>'Gov Fd BS'!A492</f>
        <v>Solon City SD</v>
      </c>
      <c r="AV492" s="7" t="b">
        <f t="shared" si="103"/>
        <v>1</v>
      </c>
      <c r="AW492" s="7" t="str">
        <f t="shared" si="101"/>
        <v>Cuyahoga</v>
      </c>
      <c r="AX492" s="7" t="b">
        <f>C492='Gov Fd BS'!C492</f>
        <v>1</v>
      </c>
    </row>
    <row r="493" spans="1:50">
      <c r="A493" s="12" t="s">
        <v>660</v>
      </c>
      <c r="B493" s="12"/>
      <c r="C493" s="12" t="s">
        <v>37</v>
      </c>
      <c r="D493" s="12"/>
      <c r="E493" s="12"/>
      <c r="F493" s="24"/>
      <c r="G493" s="24">
        <v>2431139</v>
      </c>
      <c r="H493" s="24"/>
      <c r="I493" s="24">
        <v>0</v>
      </c>
      <c r="J493" s="24"/>
      <c r="K493" s="24">
        <f>5038790+1578700</f>
        <v>6617490</v>
      </c>
      <c r="L493" s="24"/>
      <c r="M493" s="24">
        <v>13776</v>
      </c>
      <c r="N493" s="24"/>
      <c r="O493" s="24">
        <f>313622+18227</f>
        <v>331849</v>
      </c>
      <c r="P493" s="24"/>
      <c r="Q493" s="24">
        <v>135689</v>
      </c>
      <c r="R493" s="24"/>
      <c r="S493" s="24">
        <v>0</v>
      </c>
      <c r="T493" s="24"/>
      <c r="U493" s="24">
        <v>17276</v>
      </c>
      <c r="V493" s="24"/>
      <c r="W493" s="24">
        <f>10174+139755</f>
        <v>149929</v>
      </c>
      <c r="X493" s="24"/>
      <c r="Y493" s="38">
        <f t="shared" si="104"/>
        <v>9697148</v>
      </c>
      <c r="Z493" s="24"/>
      <c r="AA493" s="24">
        <v>0</v>
      </c>
      <c r="AB493" s="24"/>
      <c r="AC493" s="24">
        <v>0</v>
      </c>
      <c r="AD493" s="24"/>
      <c r="AE493" s="24">
        <v>0</v>
      </c>
      <c r="AF493" s="24"/>
      <c r="AG493" s="24"/>
      <c r="AH493" s="24"/>
      <c r="AI493" s="24"/>
      <c r="AJ493" s="24"/>
      <c r="AK493" s="24">
        <v>0</v>
      </c>
      <c r="AL493" s="24"/>
      <c r="AM493" s="24">
        <v>0</v>
      </c>
      <c r="AN493" s="24"/>
      <c r="AO493" s="38">
        <f t="shared" si="106"/>
        <v>0</v>
      </c>
      <c r="AP493" s="24"/>
      <c r="AQ493" s="38">
        <f t="shared" si="105"/>
        <v>9697148</v>
      </c>
      <c r="AR493" s="38"/>
      <c r="AS493" s="7"/>
      <c r="AT493" s="7" t="str">
        <f t="shared" si="102"/>
        <v>South Central Local SD</v>
      </c>
      <c r="AU493" s="7" t="str">
        <f>'Gov Fd BS'!A493</f>
        <v>South Central Local SD</v>
      </c>
      <c r="AV493" s="7" t="b">
        <f t="shared" si="103"/>
        <v>1</v>
      </c>
      <c r="AW493" s="7" t="str">
        <f t="shared" si="101"/>
        <v>Huron</v>
      </c>
      <c r="AX493" s="7" t="b">
        <f>C493='Gov Fd BS'!C493</f>
        <v>1</v>
      </c>
    </row>
    <row r="494" spans="1:50">
      <c r="A494" s="12" t="s">
        <v>284</v>
      </c>
      <c r="B494" s="12"/>
      <c r="C494" s="12" t="s">
        <v>20</v>
      </c>
      <c r="D494" s="12"/>
      <c r="E494" s="12">
        <v>44792</v>
      </c>
      <c r="F494" s="24"/>
      <c r="G494" s="24">
        <v>42017892</v>
      </c>
      <c r="H494" s="24"/>
      <c r="I494" s="24">
        <v>0</v>
      </c>
      <c r="J494" s="24"/>
      <c r="K494" s="24">
        <v>20828604</v>
      </c>
      <c r="L494" s="24"/>
      <c r="M494" s="24">
        <v>21628</v>
      </c>
      <c r="N494" s="24"/>
      <c r="O494" s="24">
        <v>2130970</v>
      </c>
      <c r="P494" s="24"/>
      <c r="Q494" s="24">
        <v>238216</v>
      </c>
      <c r="R494" s="24"/>
      <c r="S494" s="24">
        <v>385000</v>
      </c>
      <c r="T494" s="24"/>
      <c r="U494" s="24">
        <v>72377</v>
      </c>
      <c r="V494" s="24"/>
      <c r="W494" s="24">
        <f>725517+92935+985786</f>
        <v>1804238</v>
      </c>
      <c r="X494" s="24"/>
      <c r="Y494" s="38">
        <f t="shared" si="104"/>
        <v>67498925</v>
      </c>
      <c r="Z494" s="24"/>
      <c r="AA494" s="24">
        <v>510000</v>
      </c>
      <c r="AB494" s="24"/>
      <c r="AC494" s="24">
        <v>0</v>
      </c>
      <c r="AD494" s="24"/>
      <c r="AE494" s="24">
        <v>0</v>
      </c>
      <c r="AF494" s="24"/>
      <c r="AG494" s="24"/>
      <c r="AH494" s="24"/>
      <c r="AI494" s="24">
        <v>0</v>
      </c>
      <c r="AJ494" s="24"/>
      <c r="AK494" s="24">
        <v>0</v>
      </c>
      <c r="AL494" s="24"/>
      <c r="AM494" s="24">
        <v>0</v>
      </c>
      <c r="AN494" s="24"/>
      <c r="AO494" s="38">
        <f t="shared" si="106"/>
        <v>510000</v>
      </c>
      <c r="AP494" s="24"/>
      <c r="AQ494" s="38">
        <f t="shared" si="105"/>
        <v>68008925</v>
      </c>
      <c r="AR494" s="38"/>
      <c r="AS494" s="7"/>
      <c r="AT494" s="7" t="str">
        <f t="shared" si="102"/>
        <v>South Euclid-Lyndhurst City SD</v>
      </c>
      <c r="AU494" s="7" t="str">
        <f>'Gov Fd BS'!A494</f>
        <v>South Euclid-Lyndhurst City SD</v>
      </c>
      <c r="AV494" s="7" t="b">
        <f t="shared" si="103"/>
        <v>1</v>
      </c>
      <c r="AW494" s="7" t="str">
        <f t="shared" si="101"/>
        <v>Cuyahoga</v>
      </c>
      <c r="AX494" s="7" t="b">
        <f>C494='Gov Fd BS'!C494</f>
        <v>1</v>
      </c>
    </row>
    <row r="495" spans="1:50">
      <c r="A495" s="12" t="s">
        <v>382</v>
      </c>
      <c r="B495" s="12"/>
      <c r="C495" s="12" t="s">
        <v>377</v>
      </c>
      <c r="D495" s="12"/>
      <c r="E495" s="12">
        <v>47951</v>
      </c>
      <c r="F495" s="24"/>
      <c r="G495" s="24">
        <v>3694814</v>
      </c>
      <c r="H495" s="24"/>
      <c r="I495" s="24">
        <v>0</v>
      </c>
      <c r="J495" s="24"/>
      <c r="K495" s="24">
        <v>15644323</v>
      </c>
      <c r="L495" s="24"/>
      <c r="M495" s="24">
        <v>16744</v>
      </c>
      <c r="N495" s="24"/>
      <c r="O495" s="24">
        <v>159170</v>
      </c>
      <c r="P495" s="24"/>
      <c r="Q495" s="24">
        <v>98271</v>
      </c>
      <c r="R495" s="24"/>
      <c r="S495" s="24">
        <v>0</v>
      </c>
      <c r="T495" s="24"/>
      <c r="U495" s="24">
        <v>6096</v>
      </c>
      <c r="V495" s="24"/>
      <c r="W495" s="24">
        <f>47259+222661+8320</f>
        <v>278240</v>
      </c>
      <c r="X495" s="24"/>
      <c r="Y495" s="38">
        <f t="shared" si="104"/>
        <v>19897658</v>
      </c>
      <c r="Z495" s="24"/>
      <c r="AA495" s="24">
        <v>136600</v>
      </c>
      <c r="AB495" s="24"/>
      <c r="AC495" s="24">
        <v>0</v>
      </c>
      <c r="AD495" s="24"/>
      <c r="AE495" s="24">
        <v>0</v>
      </c>
      <c r="AF495" s="24"/>
      <c r="AG495" s="24"/>
      <c r="AH495" s="24"/>
      <c r="AI495" s="24"/>
      <c r="AJ495" s="24"/>
      <c r="AK495" s="24">
        <v>39500</v>
      </c>
      <c r="AL495" s="24"/>
      <c r="AM495" s="24">
        <v>0</v>
      </c>
      <c r="AN495" s="24"/>
      <c r="AO495" s="38">
        <f t="shared" si="106"/>
        <v>176100</v>
      </c>
      <c r="AP495" s="24"/>
      <c r="AQ495" s="38">
        <f t="shared" si="105"/>
        <v>20073758</v>
      </c>
      <c r="AR495" s="38"/>
      <c r="AS495" s="7"/>
      <c r="AT495" s="7" t="str">
        <f t="shared" si="102"/>
        <v>South Point Local SD</v>
      </c>
      <c r="AU495" s="7" t="str">
        <f>'Gov Fd BS'!A495</f>
        <v>South Point Local SD</v>
      </c>
      <c r="AV495" s="7" t="b">
        <f t="shared" si="103"/>
        <v>1</v>
      </c>
      <c r="AW495" s="7" t="str">
        <f t="shared" si="101"/>
        <v>Lawrence</v>
      </c>
      <c r="AX495" s="7" t="b">
        <f>C495='Gov Fd BS'!C495</f>
        <v>1</v>
      </c>
    </row>
    <row r="496" spans="1:50">
      <c r="A496" s="12" t="s">
        <v>419</v>
      </c>
      <c r="B496" s="12"/>
      <c r="C496" s="12" t="s">
        <v>45</v>
      </c>
      <c r="D496" s="12"/>
      <c r="E496" s="12">
        <v>48363</v>
      </c>
      <c r="F496" s="24"/>
      <c r="G496" s="24">
        <v>5963543</v>
      </c>
      <c r="H496" s="24"/>
      <c r="I496" s="24">
        <v>0</v>
      </c>
      <c r="J496" s="24"/>
      <c r="K496" s="24">
        <f>6171583+1319484</f>
        <v>7491067</v>
      </c>
      <c r="L496" s="24"/>
      <c r="M496" s="24">
        <v>24428</v>
      </c>
      <c r="N496" s="24"/>
      <c r="O496" s="24">
        <v>25798</v>
      </c>
      <c r="P496" s="24"/>
      <c r="Q496" s="24">
        <v>232660</v>
      </c>
      <c r="R496" s="24"/>
      <c r="S496" s="24">
        <v>0</v>
      </c>
      <c r="T496" s="24"/>
      <c r="U496" s="24">
        <v>66528</v>
      </c>
      <c r="V496" s="24"/>
      <c r="W496" s="24">
        <f>234510+399+3042</f>
        <v>237951</v>
      </c>
      <c r="X496" s="24"/>
      <c r="Y496" s="38">
        <f t="shared" si="104"/>
        <v>14041975</v>
      </c>
      <c r="Z496" s="24"/>
      <c r="AA496" s="24">
        <v>1329556</v>
      </c>
      <c r="AB496" s="24"/>
      <c r="AC496" s="24">
        <v>0</v>
      </c>
      <c r="AD496" s="24"/>
      <c r="AE496" s="24">
        <v>51500</v>
      </c>
      <c r="AF496" s="24"/>
      <c r="AG496" s="24"/>
      <c r="AH496" s="24"/>
      <c r="AI496" s="24"/>
      <c r="AJ496" s="24"/>
      <c r="AK496" s="24">
        <v>174102</v>
      </c>
      <c r="AL496" s="24"/>
      <c r="AM496" s="24">
        <v>0</v>
      </c>
      <c r="AN496" s="24"/>
      <c r="AO496" s="38">
        <f t="shared" si="106"/>
        <v>1555158</v>
      </c>
      <c r="AP496" s="24"/>
      <c r="AQ496" s="38">
        <f t="shared" si="105"/>
        <v>15597133</v>
      </c>
      <c r="AR496" s="38"/>
      <c r="AS496" s="7"/>
      <c r="AT496" s="7" t="str">
        <f t="shared" si="102"/>
        <v>South Range Local SD</v>
      </c>
      <c r="AU496" s="7" t="str">
        <f>'Gov Fd BS'!A496</f>
        <v>South Range Local SD</v>
      </c>
      <c r="AV496" s="7" t="b">
        <f t="shared" si="103"/>
        <v>1</v>
      </c>
      <c r="AW496" s="7" t="str">
        <f t="shared" si="101"/>
        <v>Mahoning</v>
      </c>
      <c r="AX496" s="7" t="b">
        <f>C496='Gov Fd BS'!C496</f>
        <v>1</v>
      </c>
    </row>
    <row r="497" spans="1:55">
      <c r="A497" s="12" t="s">
        <v>478</v>
      </c>
      <c r="B497" s="12"/>
      <c r="C497" s="12" t="s">
        <v>56</v>
      </c>
      <c r="D497" s="12"/>
      <c r="E497" s="12">
        <v>49221</v>
      </c>
      <c r="F497" s="24"/>
      <c r="G497" s="24">
        <v>5584007</v>
      </c>
      <c r="H497" s="24"/>
      <c r="I497" s="24">
        <v>0</v>
      </c>
      <c r="J497" s="24"/>
      <c r="K497" s="24">
        <v>14378000</v>
      </c>
      <c r="L497" s="24"/>
      <c r="M497" s="24">
        <v>28968</v>
      </c>
      <c r="N497" s="24"/>
      <c r="O497" s="24">
        <v>349265</v>
      </c>
      <c r="P497" s="24"/>
      <c r="Q497" s="24">
        <v>188930</v>
      </c>
      <c r="R497" s="24"/>
      <c r="S497" s="24">
        <v>0</v>
      </c>
      <c r="T497" s="24"/>
      <c r="U497" s="24">
        <v>0</v>
      </c>
      <c r="V497" s="24"/>
      <c r="W497" s="24">
        <f>68364+351967+2153</f>
        <v>422484</v>
      </c>
      <c r="X497" s="24"/>
      <c r="Y497" s="38">
        <f t="shared" si="104"/>
        <v>20951654</v>
      </c>
      <c r="Z497" s="24"/>
      <c r="AA497" s="24">
        <v>0</v>
      </c>
      <c r="AB497" s="24"/>
      <c r="AC497" s="24">
        <v>0</v>
      </c>
      <c r="AD497" s="24"/>
      <c r="AE497" s="24">
        <f>5114999+141449</f>
        <v>5256448</v>
      </c>
      <c r="AF497" s="24"/>
      <c r="AG497" s="24">
        <v>0</v>
      </c>
      <c r="AH497" s="24"/>
      <c r="AI497" s="24"/>
      <c r="AJ497" s="24"/>
      <c r="AK497" s="24">
        <v>0</v>
      </c>
      <c r="AL497" s="24"/>
      <c r="AM497" s="24">
        <v>0</v>
      </c>
      <c r="AN497" s="24"/>
      <c r="AO497" s="38">
        <f t="shared" si="106"/>
        <v>5256448</v>
      </c>
      <c r="AP497" s="24"/>
      <c r="AQ497" s="38">
        <f t="shared" si="105"/>
        <v>26208102</v>
      </c>
      <c r="AR497" s="38"/>
      <c r="AS497" s="7"/>
      <c r="AT497" s="7" t="str">
        <f t="shared" si="102"/>
        <v>Southeast Local SD</v>
      </c>
      <c r="AU497" s="7" t="str">
        <f>'Gov Fd BS'!A497</f>
        <v>Southeast Local SD</v>
      </c>
      <c r="AV497" s="7" t="b">
        <f t="shared" si="103"/>
        <v>1</v>
      </c>
      <c r="AW497" s="7" t="str">
        <f t="shared" si="101"/>
        <v>Portage</v>
      </c>
      <c r="AX497" s="7" t="b">
        <f>C497='Gov Fd BS'!C497</f>
        <v>1</v>
      </c>
    </row>
    <row r="498" spans="1:55">
      <c r="A498" s="12" t="s">
        <v>478</v>
      </c>
      <c r="B498" s="12"/>
      <c r="C498" s="12" t="s">
        <v>71</v>
      </c>
      <c r="D498" s="12"/>
      <c r="E498" s="12">
        <v>50583</v>
      </c>
      <c r="F498" s="24"/>
      <c r="G498" s="24">
        <v>7206888</v>
      </c>
      <c r="H498" s="24"/>
      <c r="I498" s="24">
        <v>0</v>
      </c>
      <c r="J498" s="24"/>
      <c r="K498" s="24">
        <v>8855893</v>
      </c>
      <c r="L498" s="24"/>
      <c r="M498" s="24">
        <v>2662</v>
      </c>
      <c r="N498" s="24"/>
      <c r="O498" s="24">
        <v>750772</v>
      </c>
      <c r="P498" s="24"/>
      <c r="Q498" s="24">
        <v>147664</v>
      </c>
      <c r="R498" s="24"/>
      <c r="S498" s="24">
        <v>0</v>
      </c>
      <c r="T498" s="24"/>
      <c r="U498" s="24">
        <v>34853</v>
      </c>
      <c r="V498" s="24"/>
      <c r="W498" s="24">
        <f>200107+5705+298331</f>
        <v>504143</v>
      </c>
      <c r="X498" s="24"/>
      <c r="Y498" s="38">
        <f t="shared" si="104"/>
        <v>17502875</v>
      </c>
      <c r="Z498" s="24"/>
      <c r="AA498" s="24">
        <v>0</v>
      </c>
      <c r="AB498" s="24"/>
      <c r="AC498" s="24">
        <v>0</v>
      </c>
      <c r="AD498" s="24"/>
      <c r="AE498" s="24">
        <v>0</v>
      </c>
      <c r="AF498" s="24"/>
      <c r="AG498" s="24"/>
      <c r="AH498" s="24"/>
      <c r="AI498" s="24"/>
      <c r="AJ498" s="24"/>
      <c r="AK498" s="24">
        <v>0</v>
      </c>
      <c r="AL498" s="24"/>
      <c r="AM498" s="24">
        <v>0</v>
      </c>
      <c r="AN498" s="24"/>
      <c r="AO498" s="38">
        <f t="shared" si="106"/>
        <v>0</v>
      </c>
      <c r="AP498" s="24"/>
      <c r="AQ498" s="38">
        <f t="shared" si="105"/>
        <v>17502875</v>
      </c>
      <c r="AR498" s="38"/>
      <c r="AS498" s="7" t="s">
        <v>788</v>
      </c>
      <c r="AT498" s="7" t="str">
        <f t="shared" si="102"/>
        <v>Southeast Local SD</v>
      </c>
      <c r="AU498" s="7" t="str">
        <f>'Gov Fd BS'!A498</f>
        <v>Southeast Local SD</v>
      </c>
      <c r="AV498" s="7" t="b">
        <f t="shared" si="103"/>
        <v>1</v>
      </c>
      <c r="AW498" s="7" t="str">
        <f t="shared" si="101"/>
        <v>Wayne</v>
      </c>
      <c r="AX498" s="7" t="b">
        <f>C498='Gov Fd BS'!C498</f>
        <v>1</v>
      </c>
    </row>
    <row r="499" spans="1:55" s="24" customFormat="1">
      <c r="A499" s="12" t="s">
        <v>240</v>
      </c>
      <c r="B499" s="12"/>
      <c r="C499" s="12" t="s">
        <v>17</v>
      </c>
      <c r="D499" s="12"/>
      <c r="E499" s="12">
        <v>46276</v>
      </c>
      <c r="G499" s="24">
        <v>2629373</v>
      </c>
      <c r="I499" s="24">
        <v>884080</v>
      </c>
      <c r="K499" s="24">
        <v>4526231</v>
      </c>
      <c r="M499" s="24">
        <v>16969</v>
      </c>
      <c r="O499" s="24">
        <v>484320</v>
      </c>
      <c r="Q499" s="24">
        <v>132694</v>
      </c>
      <c r="S499" s="24">
        <v>0</v>
      </c>
      <c r="U499" s="24">
        <v>24597</v>
      </c>
      <c r="W499" s="24">
        <f>8881+96404</f>
        <v>105285</v>
      </c>
      <c r="Y499" s="38">
        <f t="shared" si="104"/>
        <v>8803549</v>
      </c>
      <c r="AA499" s="24">
        <v>0</v>
      </c>
      <c r="AC499" s="24">
        <v>0</v>
      </c>
      <c r="AE499" s="24">
        <v>0</v>
      </c>
      <c r="AK499" s="24">
        <v>0</v>
      </c>
      <c r="AM499" s="24">
        <v>0</v>
      </c>
      <c r="AO499" s="38">
        <f t="shared" si="106"/>
        <v>0</v>
      </c>
      <c r="AQ499" s="38">
        <f t="shared" si="105"/>
        <v>8803549</v>
      </c>
      <c r="AR499" s="38"/>
      <c r="AS499" s="7"/>
      <c r="AT499" s="7" t="str">
        <f t="shared" si="102"/>
        <v>Southeastern Local SD</v>
      </c>
      <c r="AU499" s="7" t="str">
        <f>'Gov Fd BS'!A499</f>
        <v>Southeastern Local SD</v>
      </c>
      <c r="AV499" s="7" t="b">
        <f t="shared" si="103"/>
        <v>1</v>
      </c>
      <c r="AW499" s="7" t="str">
        <f t="shared" si="101"/>
        <v>Clark</v>
      </c>
      <c r="AX499" s="7" t="b">
        <f>C499='Gov Fd BS'!C499</f>
        <v>1</v>
      </c>
    </row>
    <row r="500" spans="1:55">
      <c r="A500" s="12" t="s">
        <v>240</v>
      </c>
      <c r="B500" s="12"/>
      <c r="C500" s="12" t="s">
        <v>58</v>
      </c>
      <c r="D500" s="12"/>
      <c r="E500" s="12">
        <v>49528</v>
      </c>
      <c r="F500" s="24"/>
      <c r="G500" s="24">
        <v>1968858</v>
      </c>
      <c r="H500" s="24"/>
      <c r="I500" s="24">
        <v>24508</v>
      </c>
      <c r="J500" s="24"/>
      <c r="K500" s="24">
        <v>9269078</v>
      </c>
      <c r="L500" s="24"/>
      <c r="M500" s="24">
        <v>43943</v>
      </c>
      <c r="N500" s="24"/>
      <c r="O500" s="24">
        <v>898578</v>
      </c>
      <c r="P500" s="24"/>
      <c r="Q500" s="24">
        <v>53384</v>
      </c>
      <c r="R500" s="24"/>
      <c r="S500" s="24">
        <v>0</v>
      </c>
      <c r="T500" s="24"/>
      <c r="U500" s="24">
        <v>0</v>
      </c>
      <c r="V500" s="24"/>
      <c r="W500" s="24">
        <f>255478+231596+37552</f>
        <v>524626</v>
      </c>
      <c r="X500" s="24"/>
      <c r="Y500" s="38">
        <f t="shared" si="104"/>
        <v>12782975</v>
      </c>
      <c r="Z500" s="24"/>
      <c r="AA500" s="24">
        <v>8835</v>
      </c>
      <c r="AB500" s="24"/>
      <c r="AC500" s="24">
        <v>0</v>
      </c>
      <c r="AD500" s="24"/>
      <c r="AE500" s="24">
        <v>0</v>
      </c>
      <c r="AF500" s="24"/>
      <c r="AG500" s="24"/>
      <c r="AH500" s="24"/>
      <c r="AI500" s="24"/>
      <c r="AJ500" s="24"/>
      <c r="AK500" s="24">
        <v>0</v>
      </c>
      <c r="AL500" s="24"/>
      <c r="AM500" s="24">
        <v>0</v>
      </c>
      <c r="AN500" s="24"/>
      <c r="AO500" s="38">
        <f t="shared" si="106"/>
        <v>8835</v>
      </c>
      <c r="AP500" s="24"/>
      <c r="AQ500" s="38">
        <f t="shared" si="105"/>
        <v>12791810</v>
      </c>
      <c r="AR500" s="38"/>
      <c r="AS500" s="7"/>
      <c r="AT500" s="7" t="str">
        <f t="shared" si="102"/>
        <v>Southeastern Local SD</v>
      </c>
      <c r="AU500" s="7" t="str">
        <f>'Gov Fd BS'!A500</f>
        <v>Southeastern Local SD</v>
      </c>
      <c r="AV500" s="7" t="b">
        <f t="shared" si="103"/>
        <v>1</v>
      </c>
      <c r="AW500" s="7" t="str">
        <f t="shared" si="101"/>
        <v>Ross</v>
      </c>
      <c r="AX500" s="7" t="b">
        <f>C500='Gov Fd BS'!C500</f>
        <v>1</v>
      </c>
      <c r="AY500" s="24"/>
      <c r="AZ500" s="24"/>
      <c r="BA500" s="24"/>
      <c r="BB500" s="24"/>
      <c r="BC500" s="24"/>
    </row>
    <row r="501" spans="1:55">
      <c r="A501" s="12" t="s">
        <v>674</v>
      </c>
      <c r="B501" s="12"/>
      <c r="C501" s="12" t="s">
        <v>112</v>
      </c>
      <c r="D501" s="12"/>
      <c r="E501" s="12">
        <v>46441</v>
      </c>
      <c r="F501" s="24"/>
      <c r="G501" s="24">
        <v>1898218</v>
      </c>
      <c r="H501" s="24"/>
      <c r="I501" s="24">
        <v>0</v>
      </c>
      <c r="J501" s="24"/>
      <c r="K501" s="24">
        <f>6505636+1848298</f>
        <v>8353934</v>
      </c>
      <c r="L501" s="24"/>
      <c r="M501" s="24">
        <v>881</v>
      </c>
      <c r="N501" s="24"/>
      <c r="O501" s="24">
        <v>373941</v>
      </c>
      <c r="P501" s="24"/>
      <c r="Q501" s="24">
        <v>110831</v>
      </c>
      <c r="R501" s="24"/>
      <c r="S501" s="24">
        <v>0</v>
      </c>
      <c r="T501" s="24"/>
      <c r="U501" s="24">
        <v>0</v>
      </c>
      <c r="V501" s="24"/>
      <c r="W501" s="24">
        <f>37735+68283+116566</f>
        <v>222584</v>
      </c>
      <c r="X501" s="24"/>
      <c r="Y501" s="38">
        <f>SUM(G501:W501)</f>
        <v>10960389</v>
      </c>
      <c r="Z501" s="24"/>
      <c r="AA501" s="24">
        <v>157334</v>
      </c>
      <c r="AB501" s="24"/>
      <c r="AC501" s="24">
        <v>0</v>
      </c>
      <c r="AD501" s="24"/>
      <c r="AE501" s="24">
        <v>0</v>
      </c>
      <c r="AF501" s="24"/>
      <c r="AG501" s="24">
        <v>0</v>
      </c>
      <c r="AH501" s="24"/>
      <c r="AI501" s="24">
        <v>0</v>
      </c>
      <c r="AJ501" s="24"/>
      <c r="AK501" s="24">
        <v>0</v>
      </c>
      <c r="AL501" s="24"/>
      <c r="AM501" s="24">
        <v>0</v>
      </c>
      <c r="AN501" s="24"/>
      <c r="AO501" s="38">
        <f t="shared" si="106"/>
        <v>157334</v>
      </c>
      <c r="AP501" s="24"/>
      <c r="AQ501" s="38">
        <f t="shared" si="105"/>
        <v>11117723</v>
      </c>
      <c r="AR501" s="38"/>
      <c r="AS501" s="7"/>
      <c r="AT501" s="7" t="str">
        <f t="shared" si="102"/>
        <v xml:space="preserve">Southern Local SD </v>
      </c>
      <c r="AU501" s="7" t="str">
        <f>'Gov Fd BS'!A501</f>
        <v xml:space="preserve">Southern Local SD </v>
      </c>
      <c r="AV501" s="7" t="b">
        <f t="shared" si="103"/>
        <v>1</v>
      </c>
      <c r="AW501" s="7" t="str">
        <f t="shared" si="101"/>
        <v>Columbiana</v>
      </c>
      <c r="AX501" s="7" t="b">
        <f>C501='Gov Fd BS'!C501</f>
        <v>1</v>
      </c>
    </row>
    <row r="502" spans="1:55">
      <c r="A502" s="12" t="s">
        <v>256</v>
      </c>
      <c r="B502" s="12"/>
      <c r="C502" s="12" t="s">
        <v>433</v>
      </c>
      <c r="D502" s="12"/>
      <c r="E502" s="12">
        <v>46441</v>
      </c>
      <c r="F502" s="24"/>
      <c r="G502" s="24">
        <v>2646004</v>
      </c>
      <c r="H502" s="24"/>
      <c r="I502" s="24">
        <v>0</v>
      </c>
      <c r="J502" s="24"/>
      <c r="K502" s="24">
        <v>7151065</v>
      </c>
      <c r="L502" s="24"/>
      <c r="M502" s="24">
        <v>50541</v>
      </c>
      <c r="N502" s="24"/>
      <c r="O502" s="24">
        <v>272669</v>
      </c>
      <c r="P502" s="24"/>
      <c r="Q502" s="24">
        <v>47033</v>
      </c>
      <c r="R502" s="24"/>
      <c r="S502" s="24">
        <v>0</v>
      </c>
      <c r="T502" s="24"/>
      <c r="U502" s="24">
        <v>27313</v>
      </c>
      <c r="V502" s="24"/>
      <c r="W502" s="24">
        <f>28921+99269</f>
        <v>128190</v>
      </c>
      <c r="X502" s="24"/>
      <c r="Y502" s="38">
        <f t="shared" si="104"/>
        <v>10322815</v>
      </c>
      <c r="Z502" s="24"/>
      <c r="AA502" s="24">
        <v>233035</v>
      </c>
      <c r="AB502" s="24"/>
      <c r="AC502" s="24">
        <v>0</v>
      </c>
      <c r="AD502" s="24"/>
      <c r="AE502" s="24">
        <f>3949996+334341</f>
        <v>4284337</v>
      </c>
      <c r="AF502" s="24"/>
      <c r="AG502" s="24"/>
      <c r="AH502" s="24"/>
      <c r="AI502" s="24"/>
      <c r="AJ502" s="24"/>
      <c r="AK502" s="24">
        <v>0</v>
      </c>
      <c r="AL502" s="24"/>
      <c r="AM502" s="24">
        <v>0</v>
      </c>
      <c r="AN502" s="24"/>
      <c r="AO502" s="38">
        <f t="shared" si="106"/>
        <v>4517372</v>
      </c>
      <c r="AP502" s="24"/>
      <c r="AQ502" s="38">
        <f t="shared" si="105"/>
        <v>14840187</v>
      </c>
      <c r="AR502" s="38"/>
      <c r="AS502" s="7"/>
      <c r="AT502" s="7" t="str">
        <f t="shared" si="102"/>
        <v>Southern Local SD</v>
      </c>
      <c r="AU502" s="7" t="str">
        <f>'Gov Fd BS'!A502</f>
        <v>Southern Local SD</v>
      </c>
      <c r="AV502" s="7" t="b">
        <f t="shared" si="103"/>
        <v>1</v>
      </c>
      <c r="AW502" s="7" t="str">
        <f t="shared" si="101"/>
        <v>Meigs</v>
      </c>
      <c r="AX502" s="7" t="b">
        <f>C502='Gov Fd BS'!C502</f>
        <v>1</v>
      </c>
    </row>
    <row r="503" spans="1:55" hidden="1">
      <c r="A503" s="12" t="s">
        <v>739</v>
      </c>
      <c r="B503" s="12"/>
      <c r="C503" s="12" t="s">
        <v>466</v>
      </c>
      <c r="D503" s="12"/>
      <c r="E503" s="12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38">
        <f t="shared" si="104"/>
        <v>0</v>
      </c>
      <c r="Z503" s="24"/>
      <c r="AA503" s="24"/>
      <c r="AB503" s="24"/>
      <c r="AC503" s="24">
        <v>0</v>
      </c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38">
        <f t="shared" si="106"/>
        <v>0</v>
      </c>
      <c r="AP503" s="24"/>
      <c r="AQ503" s="38">
        <f t="shared" si="105"/>
        <v>0</v>
      </c>
      <c r="AR503" s="38"/>
      <c r="AS503" s="7" t="s">
        <v>789</v>
      </c>
      <c r="AT503" s="7" t="str">
        <f t="shared" si="102"/>
        <v>Southern Local SD (CASH)</v>
      </c>
      <c r="AU503" s="7" t="str">
        <f>'Gov Fd BS'!A503</f>
        <v>Southern Local SD (CASH)</v>
      </c>
      <c r="AV503" s="7" t="b">
        <f t="shared" si="103"/>
        <v>1</v>
      </c>
      <c r="AW503" s="7" t="str">
        <f t="shared" si="101"/>
        <v>Perry</v>
      </c>
      <c r="AX503" s="7" t="b">
        <f>C503='Gov Fd BS'!C503</f>
        <v>1</v>
      </c>
    </row>
    <row r="504" spans="1:55">
      <c r="A504" s="12" t="s">
        <v>546</v>
      </c>
      <c r="B504" s="12"/>
      <c r="C504" s="12" t="s">
        <v>64</v>
      </c>
      <c r="D504" s="12"/>
      <c r="E504" s="12">
        <v>50237</v>
      </c>
      <c r="F504" s="24"/>
      <c r="G504" s="24">
        <v>1829655</v>
      </c>
      <c r="H504" s="24"/>
      <c r="I504" s="24">
        <v>0</v>
      </c>
      <c r="J504" s="24"/>
      <c r="K504" s="24">
        <v>4481757</v>
      </c>
      <c r="L504" s="24"/>
      <c r="M504" s="24">
        <v>67670</v>
      </c>
      <c r="N504" s="24"/>
      <c r="O504" s="24">
        <v>343723</v>
      </c>
      <c r="P504" s="24"/>
      <c r="Q504" s="24">
        <v>113357</v>
      </c>
      <c r="R504" s="24"/>
      <c r="S504" s="24">
        <v>0</v>
      </c>
      <c r="T504" s="24"/>
      <c r="U504" s="24">
        <v>5121</v>
      </c>
      <c r="V504" s="24"/>
      <c r="W504" s="24">
        <f>85236+86325</f>
        <v>171561</v>
      </c>
      <c r="X504" s="24"/>
      <c r="Y504" s="38">
        <f t="shared" si="104"/>
        <v>7012844</v>
      </c>
      <c r="Z504" s="24"/>
      <c r="AA504" s="24">
        <v>17000</v>
      </c>
      <c r="AB504" s="24"/>
      <c r="AC504" s="24">
        <v>0</v>
      </c>
      <c r="AD504" s="24"/>
      <c r="AE504" s="24">
        <v>0</v>
      </c>
      <c r="AF504" s="24"/>
      <c r="AG504" s="24">
        <v>0</v>
      </c>
      <c r="AH504" s="24"/>
      <c r="AI504" s="24">
        <v>0</v>
      </c>
      <c r="AJ504" s="24"/>
      <c r="AK504" s="24">
        <v>0</v>
      </c>
      <c r="AL504" s="24"/>
      <c r="AM504" s="24">
        <v>0</v>
      </c>
      <c r="AN504" s="24"/>
      <c r="AO504" s="38">
        <f t="shared" si="106"/>
        <v>17000</v>
      </c>
      <c r="AP504" s="24"/>
      <c r="AQ504" s="38">
        <f t="shared" si="105"/>
        <v>7029844</v>
      </c>
      <c r="AR504" s="38"/>
      <c r="AS504" s="7"/>
      <c r="AT504" s="7" t="str">
        <f t="shared" si="102"/>
        <v>Southington Local SD</v>
      </c>
      <c r="AU504" s="7" t="str">
        <f>'Gov Fd BS'!A504</f>
        <v>Southington Local SD</v>
      </c>
      <c r="AV504" s="7" t="b">
        <f t="shared" si="103"/>
        <v>1</v>
      </c>
      <c r="AW504" s="7" t="str">
        <f t="shared" si="101"/>
        <v>Trumbull</v>
      </c>
      <c r="AX504" s="7" t="b">
        <f>C504='Gov Fd BS'!C504</f>
        <v>1</v>
      </c>
    </row>
    <row r="505" spans="1:55" hidden="1">
      <c r="A505" s="12" t="s">
        <v>976</v>
      </c>
      <c r="B505" s="12"/>
      <c r="C505" s="12" t="s">
        <v>42</v>
      </c>
      <c r="D505" s="12"/>
      <c r="E505" s="12">
        <v>48041</v>
      </c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38">
        <f t="shared" si="104"/>
        <v>0</v>
      </c>
      <c r="Z505" s="24"/>
      <c r="AA505" s="24"/>
      <c r="AB505" s="24"/>
      <c r="AC505" s="24">
        <v>0</v>
      </c>
      <c r="AD505" s="24"/>
      <c r="AE505" s="24"/>
      <c r="AF505" s="24"/>
      <c r="AG505" s="24"/>
      <c r="AH505" s="24"/>
      <c r="AI505" s="24"/>
      <c r="AJ505" s="24"/>
      <c r="AK505" s="24"/>
      <c r="AL505" s="24"/>
      <c r="AM505" s="24">
        <v>0</v>
      </c>
      <c r="AN505" s="24"/>
      <c r="AO505" s="38">
        <f t="shared" si="106"/>
        <v>0</v>
      </c>
      <c r="AP505" s="24"/>
      <c r="AQ505" s="38">
        <f t="shared" si="105"/>
        <v>0</v>
      </c>
      <c r="AR505" s="38"/>
      <c r="AS505" s="7"/>
      <c r="AT505" s="7" t="str">
        <f t="shared" si="102"/>
        <v>Southwest Licking Local SD (CASH)</v>
      </c>
      <c r="AU505" s="7" t="str">
        <f>'Gov Fd BS'!A505</f>
        <v>Southwest Licking Local SD (CASH)</v>
      </c>
      <c r="AV505" s="7" t="b">
        <f t="shared" si="103"/>
        <v>1</v>
      </c>
      <c r="AW505" s="7" t="str">
        <f t="shared" si="101"/>
        <v>Licking</v>
      </c>
      <c r="AX505" s="7" t="b">
        <f>C505='Gov Fd BS'!C505</f>
        <v>1</v>
      </c>
    </row>
    <row r="506" spans="1:55">
      <c r="A506" s="12" t="s">
        <v>339</v>
      </c>
      <c r="B506" s="12"/>
      <c r="C506" s="12" t="s">
        <v>32</v>
      </c>
      <c r="D506" s="12"/>
      <c r="E506" s="12">
        <v>47381</v>
      </c>
      <c r="F506" s="24"/>
      <c r="G506" s="24">
        <v>15833683</v>
      </c>
      <c r="H506" s="24"/>
      <c r="I506" s="24">
        <v>0</v>
      </c>
      <c r="J506" s="24"/>
      <c r="K506" s="24">
        <v>20140384</v>
      </c>
      <c r="L506" s="24"/>
      <c r="M506" s="24">
        <v>37950</v>
      </c>
      <c r="N506" s="24"/>
      <c r="O506" s="24">
        <v>201210</v>
      </c>
      <c r="P506" s="24"/>
      <c r="Q506" s="24">
        <v>239320</v>
      </c>
      <c r="R506" s="24"/>
      <c r="S506" s="24">
        <v>160969</v>
      </c>
      <c r="T506" s="24"/>
      <c r="U506" s="24">
        <v>0</v>
      </c>
      <c r="V506" s="24"/>
      <c r="W506" s="24">
        <f>1102125+201120</f>
        <v>1303245</v>
      </c>
      <c r="X506" s="24"/>
      <c r="Y506" s="38">
        <f t="shared" si="104"/>
        <v>37916761</v>
      </c>
      <c r="Z506" s="24"/>
      <c r="AA506" s="24">
        <v>2860</v>
      </c>
      <c r="AB506" s="24"/>
      <c r="AC506" s="24">
        <v>0</v>
      </c>
      <c r="AD506" s="24"/>
      <c r="AE506" s="24">
        <v>2815000</v>
      </c>
      <c r="AF506" s="24"/>
      <c r="AG506" s="24">
        <v>0</v>
      </c>
      <c r="AH506" s="24"/>
      <c r="AI506" s="24">
        <v>0</v>
      </c>
      <c r="AJ506" s="24"/>
      <c r="AK506" s="24">
        <v>200</v>
      </c>
      <c r="AL506" s="24"/>
      <c r="AM506" s="24">
        <v>0</v>
      </c>
      <c r="AN506" s="24"/>
      <c r="AO506" s="38">
        <f t="shared" si="106"/>
        <v>2818060</v>
      </c>
      <c r="AP506" s="24"/>
      <c r="AQ506" s="38">
        <f t="shared" si="105"/>
        <v>40734821</v>
      </c>
      <c r="AR506" s="38"/>
      <c r="AS506" s="7"/>
      <c r="AT506" s="7" t="str">
        <f t="shared" si="102"/>
        <v>Southwest Local SD</v>
      </c>
      <c r="AU506" s="7" t="str">
        <f>'Gov Fd BS'!A506</f>
        <v>Southwest Local SD</v>
      </c>
      <c r="AV506" s="7" t="b">
        <f t="shared" si="103"/>
        <v>1</v>
      </c>
      <c r="AW506" s="7" t="str">
        <f t="shared" si="101"/>
        <v>Hamilton</v>
      </c>
      <c r="AX506" s="7" t="b">
        <f>C506='Gov Fd BS'!C506</f>
        <v>1</v>
      </c>
    </row>
    <row r="507" spans="1:55">
      <c r="A507" s="12" t="s">
        <v>313</v>
      </c>
      <c r="B507" s="12"/>
      <c r="C507" s="12" t="s">
        <v>27</v>
      </c>
      <c r="D507" s="12"/>
      <c r="E507" s="12">
        <v>44800</v>
      </c>
      <c r="F507" s="24"/>
      <c r="G507" s="24">
        <v>110043274</v>
      </c>
      <c r="H507" s="24"/>
      <c r="I507" s="24">
        <v>0</v>
      </c>
      <c r="J507" s="24"/>
      <c r="K507" s="24">
        <f>114911159+33103360</f>
        <v>148014519</v>
      </c>
      <c r="L507" s="24"/>
      <c r="M507" s="24">
        <v>344720</v>
      </c>
      <c r="N507" s="24"/>
      <c r="O507" s="24">
        <v>860270</v>
      </c>
      <c r="P507" s="24"/>
      <c r="Q507" s="24">
        <v>0</v>
      </c>
      <c r="R507" s="24"/>
      <c r="S507" s="24">
        <v>1821006</v>
      </c>
      <c r="T507" s="24"/>
      <c r="U507" s="24">
        <v>0</v>
      </c>
      <c r="V507" s="24"/>
      <c r="W507" s="24">
        <v>7312531</v>
      </c>
      <c r="X507" s="24"/>
      <c r="Y507" s="38">
        <f t="shared" si="104"/>
        <v>268396320</v>
      </c>
      <c r="Z507" s="24"/>
      <c r="AA507" s="24">
        <v>1003065</v>
      </c>
      <c r="AB507" s="24"/>
      <c r="AC507" s="24">
        <v>0</v>
      </c>
      <c r="AD507" s="24"/>
      <c r="AE507" s="24">
        <f>6670000+3490000+32666</f>
        <v>10192666</v>
      </c>
      <c r="AF507" s="24"/>
      <c r="AG507" s="24">
        <v>0</v>
      </c>
      <c r="AH507" s="24"/>
      <c r="AI507" s="24">
        <v>0</v>
      </c>
      <c r="AJ507" s="24"/>
      <c r="AK507" s="24">
        <v>98853</v>
      </c>
      <c r="AL507" s="24"/>
      <c r="AM507" s="24">
        <v>0</v>
      </c>
      <c r="AN507" s="24"/>
      <c r="AO507" s="38">
        <f t="shared" si="106"/>
        <v>11294584</v>
      </c>
      <c r="AP507" s="24"/>
      <c r="AQ507" s="38">
        <f t="shared" si="105"/>
        <v>279690904</v>
      </c>
      <c r="AR507" s="38"/>
      <c r="AS507" s="7"/>
      <c r="AT507" s="7" t="str">
        <f t="shared" si="102"/>
        <v>South-Western City SD</v>
      </c>
      <c r="AU507" s="7" t="str">
        <f>'Gov Fd BS'!A507</f>
        <v>South-Western City SD</v>
      </c>
      <c r="AV507" s="7" t="b">
        <f t="shared" si="103"/>
        <v>1</v>
      </c>
      <c r="AW507" s="7" t="str">
        <f t="shared" si="101"/>
        <v>Franklin</v>
      </c>
      <c r="AX507" s="7" t="b">
        <f>C507='Gov Fd BS'!C507</f>
        <v>1</v>
      </c>
    </row>
    <row r="508" spans="1:55" hidden="1">
      <c r="A508" s="12" t="s">
        <v>741</v>
      </c>
      <c r="B508" s="12"/>
      <c r="C508" s="12" t="s">
        <v>10</v>
      </c>
      <c r="D508" s="12"/>
      <c r="E508" s="12">
        <v>45807</v>
      </c>
      <c r="F508" s="27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38">
        <f t="shared" si="104"/>
        <v>0</v>
      </c>
      <c r="Z508" s="24"/>
      <c r="AA508" s="24"/>
      <c r="AB508" s="24"/>
      <c r="AC508" s="24">
        <v>0</v>
      </c>
      <c r="AD508" s="24"/>
      <c r="AE508" s="24"/>
      <c r="AF508" s="24"/>
      <c r="AG508" s="24"/>
      <c r="AH508" s="24"/>
      <c r="AI508" s="24"/>
      <c r="AJ508" s="24"/>
      <c r="AK508" s="24"/>
      <c r="AL508" s="24"/>
      <c r="AM508" s="24">
        <v>0</v>
      </c>
      <c r="AN508" s="24"/>
      <c r="AO508" s="38">
        <f t="shared" si="106"/>
        <v>0</v>
      </c>
      <c r="AP508" s="24"/>
      <c r="AQ508" s="38">
        <f t="shared" si="105"/>
        <v>0</v>
      </c>
      <c r="AR508" s="38"/>
      <c r="AS508" s="7" t="s">
        <v>789</v>
      </c>
      <c r="AT508" s="7" t="str">
        <f t="shared" si="102"/>
        <v>Spencerville Local SD (CASH)</v>
      </c>
      <c r="AU508" s="7" t="str">
        <f>'Gov Fd BS'!A508</f>
        <v>Spencerville Local SD (CASH)</v>
      </c>
      <c r="AV508" s="7" t="b">
        <f t="shared" si="103"/>
        <v>1</v>
      </c>
      <c r="AW508" s="7" t="str">
        <f t="shared" si="101"/>
        <v>Allen</v>
      </c>
      <c r="AX508" s="7" t="b">
        <f>C508='Gov Fd BS'!C508</f>
        <v>1</v>
      </c>
    </row>
    <row r="509" spans="1:55">
      <c r="A509" s="12" t="s">
        <v>977</v>
      </c>
      <c r="B509" s="12"/>
      <c r="C509" s="12" t="s">
        <v>69</v>
      </c>
      <c r="D509" s="12"/>
      <c r="E509" s="12">
        <v>50427</v>
      </c>
      <c r="F509" s="24"/>
      <c r="G509" s="24">
        <v>33586174</v>
      </c>
      <c r="H509" s="24"/>
      <c r="I509" s="24">
        <v>0</v>
      </c>
      <c r="J509" s="24"/>
      <c r="K509" s="24">
        <v>17690490</v>
      </c>
      <c r="L509" s="24"/>
      <c r="M509" s="24">
        <v>11867</v>
      </c>
      <c r="N509" s="24"/>
      <c r="O509" s="24">
        <v>634302</v>
      </c>
      <c r="P509" s="24"/>
      <c r="Q509" s="24">
        <v>982623</v>
      </c>
      <c r="R509" s="24"/>
      <c r="S509" s="24">
        <v>0</v>
      </c>
      <c r="T509" s="24"/>
      <c r="U509" s="24">
        <v>128491</v>
      </c>
      <c r="V509" s="24"/>
      <c r="W509" s="24">
        <f>909063+1274095+696083</f>
        <v>2879241</v>
      </c>
      <c r="X509" s="24"/>
      <c r="Y509" s="38">
        <f t="shared" si="104"/>
        <v>55913188</v>
      </c>
      <c r="Z509" s="24"/>
      <c r="AA509" s="24">
        <v>0</v>
      </c>
      <c r="AB509" s="24"/>
      <c r="AC509" s="24">
        <v>0</v>
      </c>
      <c r="AD509" s="24"/>
      <c r="AE509" s="24">
        <v>0</v>
      </c>
      <c r="AF509" s="24"/>
      <c r="AG509" s="24"/>
      <c r="AH509" s="24"/>
      <c r="AI509" s="24"/>
      <c r="AJ509" s="24"/>
      <c r="AK509" s="24">
        <v>0</v>
      </c>
      <c r="AL509" s="24"/>
      <c r="AM509" s="24">
        <v>0</v>
      </c>
      <c r="AN509" s="24"/>
      <c r="AO509" s="38">
        <f t="shared" si="106"/>
        <v>0</v>
      </c>
      <c r="AP509" s="24"/>
      <c r="AQ509" s="38">
        <f t="shared" si="105"/>
        <v>55913188</v>
      </c>
      <c r="AR509" s="38"/>
      <c r="AS509" s="7"/>
      <c r="AT509" s="7" t="str">
        <f t="shared" si="102"/>
        <v xml:space="preserve">Springboro Community City SD </v>
      </c>
      <c r="AU509" s="7" t="str">
        <f>'Gov Fd BS'!A509</f>
        <v xml:space="preserve">Springboro Community City SD </v>
      </c>
      <c r="AV509" s="7" t="b">
        <f t="shared" si="103"/>
        <v>1</v>
      </c>
      <c r="AW509" s="7" t="str">
        <f t="shared" si="101"/>
        <v>Warren</v>
      </c>
      <c r="AX509" s="7" t="b">
        <f>C509='Gov Fd BS'!C509</f>
        <v>1</v>
      </c>
    </row>
    <row r="510" spans="1:55">
      <c r="A510" s="12" t="s">
        <v>656</v>
      </c>
      <c r="B510" s="12"/>
      <c r="C510" s="12" t="s">
        <v>17</v>
      </c>
      <c r="D510" s="12"/>
      <c r="E510" s="12"/>
      <c r="F510" s="24"/>
      <c r="G510" s="24">
        <v>24700079</v>
      </c>
      <c r="H510" s="24"/>
      <c r="I510" s="24">
        <v>0</v>
      </c>
      <c r="J510" s="24"/>
      <c r="K510" s="24">
        <v>77261140</v>
      </c>
      <c r="L510" s="24"/>
      <c r="M510" s="24">
        <v>62376</v>
      </c>
      <c r="N510" s="24"/>
      <c r="O510" s="24">
        <v>1192957</v>
      </c>
      <c r="P510" s="24"/>
      <c r="Q510" s="24">
        <v>287905</v>
      </c>
      <c r="R510" s="24"/>
      <c r="S510" s="24">
        <v>0</v>
      </c>
      <c r="T510" s="24"/>
      <c r="U510" s="24">
        <v>12339</v>
      </c>
      <c r="V510" s="24"/>
      <c r="W510" s="24">
        <f>405858+1047344+31029</f>
        <v>1484231</v>
      </c>
      <c r="X510" s="24"/>
      <c r="Y510" s="38">
        <f t="shared" si="104"/>
        <v>105001027</v>
      </c>
      <c r="Z510" s="24"/>
      <c r="AA510" s="24">
        <v>1410085</v>
      </c>
      <c r="AB510" s="24"/>
      <c r="AC510" s="24">
        <v>0</v>
      </c>
      <c r="AD510" s="24"/>
      <c r="AE510" s="24">
        <v>985000</v>
      </c>
      <c r="AF510" s="24"/>
      <c r="AG510" s="24"/>
      <c r="AH510" s="24"/>
      <c r="AI510" s="24"/>
      <c r="AJ510" s="24"/>
      <c r="AK510" s="24">
        <v>0</v>
      </c>
      <c r="AL510" s="24"/>
      <c r="AM510" s="24">
        <v>0</v>
      </c>
      <c r="AN510" s="24"/>
      <c r="AO510" s="38">
        <f t="shared" si="106"/>
        <v>2395085</v>
      </c>
      <c r="AP510" s="24"/>
      <c r="AQ510" s="38">
        <f t="shared" si="105"/>
        <v>107396112</v>
      </c>
      <c r="AR510" s="38"/>
      <c r="AS510" s="7"/>
      <c r="AT510" s="7" t="str">
        <f t="shared" si="102"/>
        <v>Springfield City SD</v>
      </c>
      <c r="AU510" s="7" t="str">
        <f>'Gov Fd BS'!A510</f>
        <v>Springfield City SD</v>
      </c>
      <c r="AV510" s="7" t="b">
        <f t="shared" si="103"/>
        <v>1</v>
      </c>
      <c r="AW510" s="7" t="str">
        <f t="shared" si="101"/>
        <v>Clark</v>
      </c>
      <c r="AX510" s="7" t="b">
        <f>C510='Gov Fd BS'!C510</f>
        <v>1</v>
      </c>
    </row>
    <row r="511" spans="1:55">
      <c r="A511" s="12" t="s">
        <v>756</v>
      </c>
      <c r="B511" s="12"/>
      <c r="C511" s="12" t="s">
        <v>115</v>
      </c>
      <c r="D511" s="12"/>
      <c r="E511" s="12">
        <v>48223</v>
      </c>
      <c r="F511" s="24"/>
      <c r="G511" s="24">
        <v>24736492</v>
      </c>
      <c r="H511" s="24"/>
      <c r="I511" s="24">
        <v>0</v>
      </c>
      <c r="J511" s="24"/>
      <c r="K511" s="24">
        <v>16539357</v>
      </c>
      <c r="L511" s="24"/>
      <c r="M511" s="24">
        <v>27414</v>
      </c>
      <c r="N511" s="24"/>
      <c r="O511" s="24">
        <v>1023340</v>
      </c>
      <c r="P511" s="24"/>
      <c r="Q511" s="24">
        <v>529798</v>
      </c>
      <c r="R511" s="24"/>
      <c r="S511" s="24">
        <v>0</v>
      </c>
      <c r="T511" s="24"/>
      <c r="U511" s="24">
        <v>28935</v>
      </c>
      <c r="V511" s="24"/>
      <c r="W511" s="24">
        <f>416760+697361+47548</f>
        <v>1161669</v>
      </c>
      <c r="X511" s="24"/>
      <c r="Y511" s="38">
        <f t="shared" si="104"/>
        <v>44047005</v>
      </c>
      <c r="Z511" s="24"/>
      <c r="AA511" s="24">
        <v>1250000</v>
      </c>
      <c r="AB511" s="24"/>
      <c r="AC511" s="24">
        <v>0</v>
      </c>
      <c r="AD511" s="24"/>
      <c r="AE511" s="24">
        <v>1250000</v>
      </c>
      <c r="AF511" s="24"/>
      <c r="AG511" s="24">
        <v>0</v>
      </c>
      <c r="AH511" s="24"/>
      <c r="AI511" s="24">
        <v>0</v>
      </c>
      <c r="AJ511" s="24"/>
      <c r="AK511" s="24">
        <v>575</v>
      </c>
      <c r="AL511" s="24"/>
      <c r="AM511" s="24">
        <v>0</v>
      </c>
      <c r="AN511" s="24"/>
      <c r="AO511" s="38">
        <f t="shared" si="106"/>
        <v>2500575</v>
      </c>
      <c r="AP511" s="24"/>
      <c r="AQ511" s="38">
        <f t="shared" si="105"/>
        <v>46547580</v>
      </c>
      <c r="AR511" s="38"/>
      <c r="AS511" s="7"/>
      <c r="AT511" s="7" t="str">
        <f t="shared" si="102"/>
        <v xml:space="preserve">Springfield Local SD </v>
      </c>
      <c r="AU511" s="7" t="str">
        <f>'Gov Fd BS'!A511</f>
        <v xml:space="preserve">Springfield Local SD </v>
      </c>
      <c r="AV511" s="7" t="b">
        <f t="shared" si="103"/>
        <v>1</v>
      </c>
      <c r="AW511" s="7" t="str">
        <f t="shared" si="101"/>
        <v>Lucas</v>
      </c>
      <c r="AX511" s="7" t="b">
        <f>C511='Gov Fd BS'!C511</f>
        <v>1</v>
      </c>
    </row>
    <row r="512" spans="1:55">
      <c r="A512" s="12" t="s">
        <v>406</v>
      </c>
      <c r="B512" s="12"/>
      <c r="C512" s="12" t="s">
        <v>45</v>
      </c>
      <c r="D512" s="12"/>
      <c r="E512" s="12">
        <v>48371</v>
      </c>
      <c r="F512" s="24"/>
      <c r="G512" s="24">
        <v>3079746</v>
      </c>
      <c r="H512" s="24"/>
      <c r="I512" s="24">
        <v>1727223</v>
      </c>
      <c r="J512" s="24"/>
      <c r="K512" s="24">
        <f>5037554+1355348</f>
        <v>6392902</v>
      </c>
      <c r="L512" s="24"/>
      <c r="M512" s="24">
        <v>5088</v>
      </c>
      <c r="N512" s="24"/>
      <c r="O512" s="24">
        <f>5058+28662</f>
        <v>33720</v>
      </c>
      <c r="P512" s="24"/>
      <c r="Q512" s="24">
        <v>175955</v>
      </c>
      <c r="R512" s="24"/>
      <c r="S512" s="24">
        <v>0</v>
      </c>
      <c r="T512" s="24"/>
      <c r="U512" s="24">
        <v>22196</v>
      </c>
      <c r="V512" s="24"/>
      <c r="W512" s="24">
        <f>13775+5000+262168</f>
        <v>280943</v>
      </c>
      <c r="X512" s="24"/>
      <c r="Y512" s="38">
        <f t="shared" si="104"/>
        <v>11717773</v>
      </c>
      <c r="Z512" s="24"/>
      <c r="AA512" s="24">
        <v>20000</v>
      </c>
      <c r="AB512" s="24"/>
      <c r="AC512" s="24">
        <v>0</v>
      </c>
      <c r="AD512" s="24"/>
      <c r="AE512" s="24">
        <v>0</v>
      </c>
      <c r="AF512" s="24"/>
      <c r="AG512" s="24"/>
      <c r="AH512" s="24"/>
      <c r="AI512" s="24"/>
      <c r="AJ512" s="24"/>
      <c r="AK512" s="24">
        <v>0</v>
      </c>
      <c r="AL512" s="24"/>
      <c r="AM512" s="24">
        <v>0</v>
      </c>
      <c r="AN512" s="24"/>
      <c r="AO512" s="38">
        <f t="shared" si="106"/>
        <v>20000</v>
      </c>
      <c r="AP512" s="24"/>
      <c r="AQ512" s="38">
        <f t="shared" si="105"/>
        <v>11737773</v>
      </c>
      <c r="AR512" s="38"/>
      <c r="AS512" s="7"/>
      <c r="AT512" s="7" t="str">
        <f t="shared" si="102"/>
        <v>Springfield Local SD</v>
      </c>
      <c r="AU512" s="7" t="str">
        <f>'Gov Fd BS'!A512</f>
        <v>Springfield Local SD</v>
      </c>
      <c r="AV512" s="7" t="b">
        <f t="shared" si="103"/>
        <v>1</v>
      </c>
      <c r="AW512" s="7" t="str">
        <f t="shared" si="101"/>
        <v>Mahoning</v>
      </c>
      <c r="AX512" s="7" t="b">
        <f>C512='Gov Fd BS'!C512</f>
        <v>1</v>
      </c>
    </row>
    <row r="513" spans="1:50">
      <c r="A513" s="12" t="s">
        <v>406</v>
      </c>
      <c r="B513" s="12"/>
      <c r="C513" s="12" t="s">
        <v>63</v>
      </c>
      <c r="D513" s="12"/>
      <c r="E513" s="12">
        <v>50062</v>
      </c>
      <c r="F513" s="24"/>
      <c r="G513" s="24">
        <v>12205244</v>
      </c>
      <c r="H513" s="24"/>
      <c r="I513" s="24">
        <v>0</v>
      </c>
      <c r="J513" s="24"/>
      <c r="K513" s="24">
        <v>20030922</v>
      </c>
      <c r="L513" s="24"/>
      <c r="M513" s="24">
        <v>35369</v>
      </c>
      <c r="N513" s="24"/>
      <c r="O513" s="24">
        <v>2309033</v>
      </c>
      <c r="P513" s="24"/>
      <c r="Q513" s="24">
        <v>277899</v>
      </c>
      <c r="R513" s="24"/>
      <c r="S513" s="24">
        <v>0</v>
      </c>
      <c r="T513" s="24"/>
      <c r="U513" s="24">
        <v>3621</v>
      </c>
      <c r="V513" s="24"/>
      <c r="W513" s="24">
        <f>86640+99693+250644</f>
        <v>436977</v>
      </c>
      <c r="X513" s="24"/>
      <c r="Y513" s="38">
        <f t="shared" si="104"/>
        <v>35299065</v>
      </c>
      <c r="Z513" s="24"/>
      <c r="AA513" s="24">
        <v>0</v>
      </c>
      <c r="AB513" s="24"/>
      <c r="AC513" s="24">
        <v>0</v>
      </c>
      <c r="AD513" s="24"/>
      <c r="AE513" s="24">
        <f>33724861+412137</f>
        <v>34136998</v>
      </c>
      <c r="AF513" s="24"/>
      <c r="AG513" s="24">
        <v>0</v>
      </c>
      <c r="AH513" s="24"/>
      <c r="AI513" s="24">
        <v>0</v>
      </c>
      <c r="AJ513" s="24"/>
      <c r="AK513" s="24">
        <v>1487</v>
      </c>
      <c r="AL513" s="24"/>
      <c r="AM513" s="24">
        <v>0</v>
      </c>
      <c r="AN513" s="24"/>
      <c r="AO513" s="38">
        <f t="shared" si="106"/>
        <v>34138485</v>
      </c>
      <c r="AP513" s="24"/>
      <c r="AQ513" s="38">
        <f t="shared" si="105"/>
        <v>69437550</v>
      </c>
      <c r="AR513" s="38"/>
      <c r="AS513" s="7"/>
      <c r="AT513" s="7" t="str">
        <f t="shared" si="102"/>
        <v>Springfield Local SD</v>
      </c>
      <c r="AU513" s="7" t="str">
        <f>'Gov Fd BS'!A513</f>
        <v>Springfield Local SD</v>
      </c>
      <c r="AV513" s="7" t="b">
        <f t="shared" si="103"/>
        <v>1</v>
      </c>
      <c r="AW513" s="7" t="str">
        <f t="shared" si="101"/>
        <v>Summit</v>
      </c>
      <c r="AX513" s="7" t="b">
        <f>C513='Gov Fd BS'!C513</f>
        <v>1</v>
      </c>
    </row>
    <row r="514" spans="1:50">
      <c r="A514" s="12" t="s">
        <v>896</v>
      </c>
      <c r="B514" s="12"/>
      <c r="C514" s="12" t="s">
        <v>32</v>
      </c>
      <c r="D514" s="12"/>
      <c r="E514" s="12">
        <v>44719</v>
      </c>
      <c r="F514" s="24"/>
      <c r="G514" s="24">
        <v>4865222</v>
      </c>
      <c r="H514" s="24"/>
      <c r="I514" s="24">
        <v>0</v>
      </c>
      <c r="J514" s="24"/>
      <c r="K514" s="24">
        <v>8779090</v>
      </c>
      <c r="L514" s="24"/>
      <c r="M514" s="24">
        <v>5851</v>
      </c>
      <c r="N514" s="24"/>
      <c r="O514" s="24">
        <v>836967</v>
      </c>
      <c r="P514" s="24"/>
      <c r="Q514" s="24">
        <v>100703</v>
      </c>
      <c r="R514" s="24"/>
      <c r="S514" s="24">
        <v>0</v>
      </c>
      <c r="T514" s="24"/>
      <c r="U514" s="24">
        <v>0</v>
      </c>
      <c r="V514" s="24"/>
      <c r="W514" s="24">
        <f>140690+360526</f>
        <v>501216</v>
      </c>
      <c r="X514" s="24"/>
      <c r="Y514" s="38">
        <f t="shared" si="104"/>
        <v>15089049</v>
      </c>
      <c r="Z514" s="24"/>
      <c r="AA514" s="24">
        <v>676450</v>
      </c>
      <c r="AB514" s="24"/>
      <c r="AC514" s="24">
        <v>0</v>
      </c>
      <c r="AD514" s="24"/>
      <c r="AE514" s="24">
        <v>0</v>
      </c>
      <c r="AF514" s="24"/>
      <c r="AG514" s="24"/>
      <c r="AH514" s="24"/>
      <c r="AI514" s="24"/>
      <c r="AJ514" s="24"/>
      <c r="AK514" s="24">
        <v>0</v>
      </c>
      <c r="AL514" s="24"/>
      <c r="AM514" s="24">
        <v>0</v>
      </c>
      <c r="AN514" s="24"/>
      <c r="AO514" s="38">
        <f t="shared" si="106"/>
        <v>676450</v>
      </c>
      <c r="AP514" s="24"/>
      <c r="AQ514" s="38">
        <f t="shared" si="105"/>
        <v>15765499</v>
      </c>
      <c r="AR514" s="38"/>
      <c r="AS514" s="7"/>
      <c r="AT514" s="7" t="str">
        <f t="shared" si="102"/>
        <v>St. Bernard-Elmwood Place City SD</v>
      </c>
      <c r="AU514" s="7" t="str">
        <f>'Gov Fd BS'!A514</f>
        <v>St. Bernard-Elmwood Place City SD</v>
      </c>
      <c r="AV514" s="7" t="b">
        <f t="shared" si="103"/>
        <v>1</v>
      </c>
      <c r="AW514" s="7" t="str">
        <f t="shared" si="101"/>
        <v>Hamilton</v>
      </c>
      <c r="AX514" s="7" t="b">
        <f>C514='Gov Fd BS'!C514</f>
        <v>1</v>
      </c>
    </row>
    <row r="515" spans="1:50">
      <c r="A515" s="12" t="s">
        <v>897</v>
      </c>
      <c r="B515" s="12"/>
      <c r="C515" s="12" t="s">
        <v>15</v>
      </c>
      <c r="D515" s="12"/>
      <c r="E515" s="12">
        <v>45997</v>
      </c>
      <c r="F515" s="24"/>
      <c r="G515" s="24">
        <v>7081004</v>
      </c>
      <c r="H515" s="24"/>
      <c r="I515" s="24">
        <v>0</v>
      </c>
      <c r="J515" s="24"/>
      <c r="K515" s="24">
        <v>6880935</v>
      </c>
      <c r="L515" s="24"/>
      <c r="M515" s="24">
        <v>9609</v>
      </c>
      <c r="N515" s="24"/>
      <c r="O515" s="24">
        <v>1104711</v>
      </c>
      <c r="P515" s="24"/>
      <c r="Q515" s="24">
        <v>311852</v>
      </c>
      <c r="R515" s="24"/>
      <c r="S515" s="24">
        <v>0</v>
      </c>
      <c r="T515" s="24"/>
      <c r="U515" s="24">
        <v>70628</v>
      </c>
      <c r="V515" s="24"/>
      <c r="W515" s="24">
        <f>1300+204659+60752</f>
        <v>266711</v>
      </c>
      <c r="X515" s="24"/>
      <c r="Y515" s="38">
        <f t="shared" si="104"/>
        <v>15725450</v>
      </c>
      <c r="Z515" s="24"/>
      <c r="AA515" s="24">
        <v>0</v>
      </c>
      <c r="AB515" s="24"/>
      <c r="AC515" s="24">
        <v>0</v>
      </c>
      <c r="AD515" s="24"/>
      <c r="AE515" s="24">
        <v>32344</v>
      </c>
      <c r="AF515" s="24"/>
      <c r="AG515" s="24"/>
      <c r="AH515" s="24"/>
      <c r="AI515" s="24"/>
      <c r="AJ515" s="24"/>
      <c r="AK515" s="24">
        <v>0</v>
      </c>
      <c r="AL515" s="24"/>
      <c r="AM515" s="24">
        <v>0</v>
      </c>
      <c r="AN515" s="24"/>
      <c r="AO515" s="38">
        <f t="shared" si="106"/>
        <v>32344</v>
      </c>
      <c r="AP515" s="24"/>
      <c r="AQ515" s="38">
        <f t="shared" si="105"/>
        <v>15757794</v>
      </c>
      <c r="AR515" s="38"/>
      <c r="AS515" s="7"/>
      <c r="AT515" s="7" t="str">
        <f t="shared" si="102"/>
        <v>St. Clairsville-Richland City SD</v>
      </c>
      <c r="AU515" s="7" t="str">
        <f>'Gov Fd BS'!A515</f>
        <v>St. Clairsville-Richland City SD</v>
      </c>
      <c r="AV515" s="7" t="b">
        <f t="shared" si="103"/>
        <v>1</v>
      </c>
      <c r="AW515" s="7" t="str">
        <f t="shared" si="101"/>
        <v>Belmont</v>
      </c>
      <c r="AX515" s="7" t="b">
        <f>C515='Gov Fd BS'!C515</f>
        <v>1</v>
      </c>
    </row>
    <row r="516" spans="1:50" hidden="1">
      <c r="A516" s="12" t="s">
        <v>742</v>
      </c>
      <c r="B516" s="12"/>
      <c r="C516" s="12" t="s">
        <v>435</v>
      </c>
      <c r="D516" s="12"/>
      <c r="E516" s="12">
        <v>48587</v>
      </c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38">
        <f t="shared" si="104"/>
        <v>0</v>
      </c>
      <c r="Z516" s="24"/>
      <c r="AA516" s="24"/>
      <c r="AB516" s="24"/>
      <c r="AC516" s="24">
        <v>0</v>
      </c>
      <c r="AD516" s="24"/>
      <c r="AE516" s="24"/>
      <c r="AF516" s="24"/>
      <c r="AG516" s="24"/>
      <c r="AH516" s="24"/>
      <c r="AI516" s="24"/>
      <c r="AJ516" s="24"/>
      <c r="AK516" s="24"/>
      <c r="AL516" s="24"/>
      <c r="AM516" s="24">
        <v>0</v>
      </c>
      <c r="AN516" s="24"/>
      <c r="AO516" s="38">
        <f t="shared" si="106"/>
        <v>0</v>
      </c>
      <c r="AP516" s="24"/>
      <c r="AQ516" s="38">
        <f t="shared" si="105"/>
        <v>0</v>
      </c>
      <c r="AR516" s="38"/>
      <c r="AS516" s="7" t="s">
        <v>789</v>
      </c>
      <c r="AT516" s="7" t="str">
        <f t="shared" si="102"/>
        <v>St Henry Consolidated Local SD (CASH)</v>
      </c>
      <c r="AU516" s="7" t="str">
        <f>'Gov Fd BS'!A516</f>
        <v>St Henry Consolidated Local SD (CASH)</v>
      </c>
      <c r="AV516" s="7" t="b">
        <f t="shared" si="103"/>
        <v>1</v>
      </c>
      <c r="AW516" s="7" t="str">
        <f t="shared" si="101"/>
        <v>Mercer</v>
      </c>
      <c r="AX516" s="7" t="b">
        <f>C516='Gov Fd BS'!C516</f>
        <v>1</v>
      </c>
    </row>
    <row r="517" spans="1:50" hidden="1">
      <c r="A517" s="12" t="s">
        <v>743</v>
      </c>
      <c r="B517" s="12"/>
      <c r="C517" s="12" t="s">
        <v>14</v>
      </c>
      <c r="D517" s="12"/>
      <c r="E517" s="12">
        <v>44727</v>
      </c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38">
        <f t="shared" si="104"/>
        <v>0</v>
      </c>
      <c r="Z517" s="24"/>
      <c r="AA517" s="24"/>
      <c r="AB517" s="24"/>
      <c r="AC517" s="24">
        <v>0</v>
      </c>
      <c r="AD517" s="24"/>
      <c r="AE517" s="24"/>
      <c r="AF517" s="24"/>
      <c r="AG517" s="24"/>
      <c r="AH517" s="24"/>
      <c r="AI517" s="24"/>
      <c r="AJ517" s="24"/>
      <c r="AK517" s="24"/>
      <c r="AL517" s="24"/>
      <c r="AM517" s="24">
        <v>0</v>
      </c>
      <c r="AN517" s="24"/>
      <c r="AO517" s="38">
        <f t="shared" si="106"/>
        <v>0</v>
      </c>
      <c r="AP517" s="24"/>
      <c r="AQ517" s="38">
        <f t="shared" si="105"/>
        <v>0</v>
      </c>
      <c r="AR517" s="38"/>
      <c r="AS517" s="7" t="s">
        <v>789</v>
      </c>
      <c r="AT517" s="7" t="str">
        <f t="shared" si="102"/>
        <v>St Marys City SD (CASH)</v>
      </c>
      <c r="AU517" s="7" t="str">
        <f>'Gov Fd BS'!A517</f>
        <v>St Marys City SD (CASH)</v>
      </c>
      <c r="AV517" s="7" t="b">
        <f t="shared" si="103"/>
        <v>1</v>
      </c>
      <c r="AW517" s="7" t="str">
        <f t="shared" si="101"/>
        <v>Auglaize</v>
      </c>
      <c r="AX517" s="7" t="b">
        <f>C517='Gov Fd BS'!C517</f>
        <v>1</v>
      </c>
    </row>
    <row r="518" spans="1:50">
      <c r="A518" s="12" t="s">
        <v>374</v>
      </c>
      <c r="B518" s="12"/>
      <c r="C518" s="12" t="s">
        <v>39</v>
      </c>
      <c r="D518" s="12"/>
      <c r="E518" s="12">
        <v>44826</v>
      </c>
      <c r="F518" s="24"/>
      <c r="G518" s="24">
        <v>3940830</v>
      </c>
      <c r="H518" s="24"/>
      <c r="I518" s="24">
        <v>0</v>
      </c>
      <c r="J518" s="24"/>
      <c r="K518" s="24">
        <v>17800021</v>
      </c>
      <c r="L518" s="24"/>
      <c r="M518" s="24">
        <v>99515</v>
      </c>
      <c r="N518" s="24"/>
      <c r="O518" s="24">
        <v>3263352</v>
      </c>
      <c r="P518" s="24"/>
      <c r="Q518" s="24">
        <v>324974</v>
      </c>
      <c r="R518" s="24"/>
      <c r="S518" s="24">
        <v>0</v>
      </c>
      <c r="T518" s="24"/>
      <c r="U518" s="24">
        <v>399448</v>
      </c>
      <c r="V518" s="24"/>
      <c r="W518" s="24">
        <f>82939+233414+50642</f>
        <v>366995</v>
      </c>
      <c r="X518" s="24"/>
      <c r="Y518" s="38">
        <f t="shared" si="104"/>
        <v>26195135</v>
      </c>
      <c r="Z518" s="24"/>
      <c r="AA518" s="24">
        <v>0</v>
      </c>
      <c r="AB518" s="24"/>
      <c r="AC518" s="24">
        <v>0</v>
      </c>
      <c r="AD518" s="24"/>
      <c r="AE518" s="24">
        <f>2090000+144324</f>
        <v>2234324</v>
      </c>
      <c r="AF518" s="24"/>
      <c r="AG518" s="24"/>
      <c r="AH518" s="24"/>
      <c r="AI518" s="24"/>
      <c r="AJ518" s="24"/>
      <c r="AK518" s="24">
        <v>43318</v>
      </c>
      <c r="AL518" s="24"/>
      <c r="AM518" s="24">
        <v>0</v>
      </c>
      <c r="AN518" s="24"/>
      <c r="AO518" s="38">
        <f t="shared" si="106"/>
        <v>2277642</v>
      </c>
      <c r="AP518" s="24"/>
      <c r="AQ518" s="38">
        <f t="shared" si="105"/>
        <v>28472777</v>
      </c>
      <c r="AR518" s="38"/>
      <c r="AS518" s="7"/>
      <c r="AT518" s="7" t="str">
        <f t="shared" si="102"/>
        <v>Steubenville City SD</v>
      </c>
      <c r="AU518" s="7" t="str">
        <f>'Gov Fd BS'!A518</f>
        <v>Steubenville City SD</v>
      </c>
      <c r="AV518" s="7" t="b">
        <f t="shared" si="103"/>
        <v>1</v>
      </c>
      <c r="AW518" s="7" t="str">
        <f t="shared" si="101"/>
        <v>Jefferson</v>
      </c>
      <c r="AX518" s="7" t="b">
        <f>C518='Gov Fd BS'!C518</f>
        <v>1</v>
      </c>
    </row>
    <row r="519" spans="1:50">
      <c r="A519" s="12" t="s">
        <v>530</v>
      </c>
      <c r="B519" s="12"/>
      <c r="C519" s="12" t="s">
        <v>63</v>
      </c>
      <c r="D519" s="12"/>
      <c r="E519" s="12">
        <v>44834</v>
      </c>
      <c r="F519" s="24"/>
      <c r="G519" s="24">
        <v>29460525</v>
      </c>
      <c r="H519" s="24"/>
      <c r="I519" s="24">
        <v>0</v>
      </c>
      <c r="J519" s="24"/>
      <c r="K519" s="24">
        <f>15337+19774764+4997913</f>
        <v>24788014</v>
      </c>
      <c r="L519" s="24"/>
      <c r="M519" s="24">
        <v>65127</v>
      </c>
      <c r="N519" s="24"/>
      <c r="O519" s="24">
        <f>1978965+175738</f>
        <v>2154703</v>
      </c>
      <c r="P519" s="24"/>
      <c r="Q519" s="24">
        <v>719776</v>
      </c>
      <c r="R519" s="24"/>
      <c r="S519" s="24">
        <v>0</v>
      </c>
      <c r="T519" s="24"/>
      <c r="U519" s="24">
        <v>0</v>
      </c>
      <c r="V519" s="24"/>
      <c r="W519" s="24">
        <f>295030+747688</f>
        <v>1042718</v>
      </c>
      <c r="X519" s="24"/>
      <c r="Y519" s="38">
        <f t="shared" si="104"/>
        <v>58230863</v>
      </c>
      <c r="Z519" s="24"/>
      <c r="AA519" s="7">
        <v>3743</v>
      </c>
      <c r="AB519" s="24"/>
      <c r="AC519" s="24">
        <v>0</v>
      </c>
      <c r="AD519" s="24"/>
      <c r="AE519" s="24">
        <v>0</v>
      </c>
      <c r="AF519" s="24"/>
      <c r="AG519" s="24"/>
      <c r="AH519" s="24"/>
      <c r="AI519" s="24"/>
      <c r="AJ519" s="24"/>
      <c r="AK519" s="24">
        <v>0</v>
      </c>
      <c r="AL519" s="24"/>
      <c r="AM519" s="24">
        <v>0</v>
      </c>
      <c r="AN519" s="24"/>
      <c r="AO519" s="38">
        <f t="shared" si="106"/>
        <v>3743</v>
      </c>
      <c r="AP519" s="24"/>
      <c r="AQ519" s="38">
        <f t="shared" si="105"/>
        <v>58234606</v>
      </c>
      <c r="AR519" s="38"/>
      <c r="AS519" s="7"/>
      <c r="AT519" s="7" t="str">
        <f t="shared" si="102"/>
        <v>Stow-Munroe Falls City SD</v>
      </c>
      <c r="AU519" s="7" t="str">
        <f>'Gov Fd BS'!A519</f>
        <v>Stow-Munroe Falls City SD</v>
      </c>
      <c r="AV519" s="7" t="b">
        <f t="shared" si="103"/>
        <v>1</v>
      </c>
      <c r="AW519" s="7" t="str">
        <f t="shared" si="101"/>
        <v>Summit</v>
      </c>
      <c r="AX519" s="7" t="b">
        <f>C519='Gov Fd BS'!C519</f>
        <v>1</v>
      </c>
    </row>
    <row r="520" spans="1:50" hidden="1">
      <c r="A520" s="12" t="s">
        <v>744</v>
      </c>
      <c r="B520" s="12"/>
      <c r="C520" s="12" t="s">
        <v>65</v>
      </c>
      <c r="D520" s="12"/>
      <c r="E520" s="12">
        <v>50294</v>
      </c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38">
        <f t="shared" si="104"/>
        <v>0</v>
      </c>
      <c r="Z520" s="24"/>
      <c r="AA520" s="24"/>
      <c r="AB520" s="24"/>
      <c r="AC520" s="24">
        <v>0</v>
      </c>
      <c r="AD520" s="24"/>
      <c r="AE520" s="24"/>
      <c r="AF520" s="24"/>
      <c r="AG520" s="24"/>
      <c r="AH520" s="24"/>
      <c r="AI520" s="24"/>
      <c r="AJ520" s="24"/>
      <c r="AK520" s="24"/>
      <c r="AL520" s="24"/>
      <c r="AM520" s="24">
        <v>0</v>
      </c>
      <c r="AN520" s="24"/>
      <c r="AO520" s="38">
        <f t="shared" si="106"/>
        <v>0</v>
      </c>
      <c r="AP520" s="24"/>
      <c r="AQ520" s="38">
        <f t="shared" si="105"/>
        <v>0</v>
      </c>
      <c r="AR520" s="38"/>
      <c r="AS520" s="7" t="s">
        <v>792</v>
      </c>
      <c r="AT520" s="7" t="str">
        <f t="shared" si="102"/>
        <v>Strasburg-Franklin Local SD (CASH)</v>
      </c>
      <c r="AU520" s="7" t="str">
        <f>'Gov Fd BS'!A520</f>
        <v>Strasburg-Franklin Local SD (CASH)</v>
      </c>
      <c r="AV520" s="7" t="b">
        <f t="shared" si="103"/>
        <v>1</v>
      </c>
      <c r="AW520" s="7" t="str">
        <f t="shared" si="101"/>
        <v>Tuscarawas</v>
      </c>
      <c r="AX520" s="7" t="b">
        <f>C520='Gov Fd BS'!C520</f>
        <v>1</v>
      </c>
    </row>
    <row r="521" spans="1:50">
      <c r="A521" s="12" t="s">
        <v>479</v>
      </c>
      <c r="B521" s="12"/>
      <c r="C521" s="12" t="s">
        <v>56</v>
      </c>
      <c r="D521" s="12"/>
      <c r="E521" s="12">
        <v>49239</v>
      </c>
      <c r="F521" s="24"/>
      <c r="G521" s="24">
        <v>12890308</v>
      </c>
      <c r="H521" s="24"/>
      <c r="I521" s="24">
        <v>0</v>
      </c>
      <c r="J521" s="24"/>
      <c r="K521" s="24">
        <v>9858832</v>
      </c>
      <c r="L521" s="24"/>
      <c r="M521" s="24">
        <v>4853</v>
      </c>
      <c r="N521" s="24"/>
      <c r="O521" s="24">
        <v>156676</v>
      </c>
      <c r="P521" s="24"/>
      <c r="Q521" s="24">
        <v>320013</v>
      </c>
      <c r="R521" s="24"/>
      <c r="S521" s="24">
        <v>791594</v>
      </c>
      <c r="T521" s="24"/>
      <c r="U521" s="24">
        <v>4535</v>
      </c>
      <c r="V521" s="24"/>
      <c r="W521" s="24">
        <f>3915+462954+104828</f>
        <v>571697</v>
      </c>
      <c r="X521" s="24"/>
      <c r="Y521" s="38">
        <f t="shared" si="104"/>
        <v>24598508</v>
      </c>
      <c r="Z521" s="24"/>
      <c r="AA521" s="7">
        <v>50898</v>
      </c>
      <c r="AB521" s="24"/>
      <c r="AC521" s="24">
        <v>0</v>
      </c>
      <c r="AD521" s="24"/>
      <c r="AE521" s="24">
        <v>0</v>
      </c>
      <c r="AF521" s="24"/>
      <c r="AG521" s="24"/>
      <c r="AH521" s="24"/>
      <c r="AI521" s="24"/>
      <c r="AJ521" s="24"/>
      <c r="AK521" s="24">
        <v>4092199</v>
      </c>
      <c r="AL521" s="24"/>
      <c r="AM521" s="24">
        <v>0</v>
      </c>
      <c r="AN521" s="24"/>
      <c r="AO521" s="38">
        <f t="shared" ref="AO521:AO552" si="107">AK521+AE521+AA521</f>
        <v>4143097</v>
      </c>
      <c r="AP521" s="24"/>
      <c r="AQ521" s="38">
        <f t="shared" si="105"/>
        <v>28741605</v>
      </c>
      <c r="AR521" s="38"/>
      <c r="AS521" s="7"/>
      <c r="AT521" s="7" t="str">
        <f t="shared" si="102"/>
        <v>Streetsboro City SD</v>
      </c>
      <c r="AU521" s="7" t="str">
        <f>'Gov Fd BS'!A521</f>
        <v>Streetsboro City SD</v>
      </c>
      <c r="AV521" s="7" t="b">
        <f t="shared" si="103"/>
        <v>1</v>
      </c>
      <c r="AW521" s="7" t="str">
        <f t="shared" si="101"/>
        <v>Portage</v>
      </c>
      <c r="AX521" s="7" t="b">
        <f>C521='Gov Fd BS'!C521</f>
        <v>1</v>
      </c>
    </row>
    <row r="522" spans="1:50">
      <c r="A522" s="12" t="s">
        <v>285</v>
      </c>
      <c r="B522" s="12"/>
      <c r="C522" s="12" t="s">
        <v>20</v>
      </c>
      <c r="D522" s="12"/>
      <c r="E522" s="12">
        <v>44842</v>
      </c>
      <c r="F522" s="24"/>
      <c r="G522" s="24">
        <v>52221934</v>
      </c>
      <c r="H522" s="24"/>
      <c r="I522" s="24">
        <v>0</v>
      </c>
      <c r="J522" s="24"/>
      <c r="K522" s="24">
        <v>27925761</v>
      </c>
      <c r="L522" s="24"/>
      <c r="M522" s="24">
        <v>18202</v>
      </c>
      <c r="N522" s="24"/>
      <c r="O522" s="24">
        <v>1104440</v>
      </c>
      <c r="P522" s="24"/>
      <c r="Q522" s="24">
        <v>473952</v>
      </c>
      <c r="R522" s="24"/>
      <c r="S522" s="24">
        <v>0</v>
      </c>
      <c r="T522" s="24"/>
      <c r="U522" s="24">
        <v>0</v>
      </c>
      <c r="V522" s="24"/>
      <c r="W522" s="24">
        <f>865556+1283050</f>
        <v>2148606</v>
      </c>
      <c r="X522" s="24"/>
      <c r="Y522" s="38">
        <f t="shared" si="104"/>
        <v>83892895</v>
      </c>
      <c r="Z522" s="24"/>
      <c r="AA522" s="24">
        <v>101935</v>
      </c>
      <c r="AB522" s="24"/>
      <c r="AC522" s="24">
        <v>0</v>
      </c>
      <c r="AD522" s="24"/>
      <c r="AE522" s="24">
        <v>0</v>
      </c>
      <c r="AF522" s="24"/>
      <c r="AG522" s="24">
        <v>0</v>
      </c>
      <c r="AH522" s="24"/>
      <c r="AI522" s="24">
        <v>0</v>
      </c>
      <c r="AJ522" s="24"/>
      <c r="AK522" s="24">
        <v>0</v>
      </c>
      <c r="AL522" s="24"/>
      <c r="AM522" s="24">
        <v>0</v>
      </c>
      <c r="AN522" s="24"/>
      <c r="AO522" s="38">
        <f t="shared" si="107"/>
        <v>101935</v>
      </c>
      <c r="AP522" s="24"/>
      <c r="AQ522" s="38">
        <f t="shared" si="105"/>
        <v>83994830</v>
      </c>
      <c r="AR522" s="38"/>
      <c r="AS522" s="7"/>
      <c r="AT522" s="7" t="str">
        <f t="shared" si="102"/>
        <v>Strongsville City SD</v>
      </c>
      <c r="AU522" s="7" t="str">
        <f>'Gov Fd BS'!A522</f>
        <v>Strongsville City SD</v>
      </c>
      <c r="AV522" s="7" t="b">
        <f t="shared" si="103"/>
        <v>1</v>
      </c>
      <c r="AW522" s="7" t="str">
        <f t="shared" si="101"/>
        <v>Cuyahoga</v>
      </c>
      <c r="AX522" s="7" t="b">
        <f>C522='Gov Fd BS'!C522</f>
        <v>1</v>
      </c>
    </row>
    <row r="523" spans="1:50">
      <c r="A523" s="12" t="s">
        <v>420</v>
      </c>
      <c r="B523" s="12"/>
      <c r="C523" s="12" t="s">
        <v>45</v>
      </c>
      <c r="D523" s="12"/>
      <c r="E523" s="12">
        <v>44859</v>
      </c>
      <c r="F523" s="24"/>
      <c r="G523" s="24">
        <v>4731566</v>
      </c>
      <c r="H523" s="24"/>
      <c r="I523" s="24">
        <v>0</v>
      </c>
      <c r="J523" s="24"/>
      <c r="K523" s="24">
        <v>15873373</v>
      </c>
      <c r="L523" s="24"/>
      <c r="M523" s="24">
        <v>15383</v>
      </c>
      <c r="N523" s="24"/>
      <c r="O523" s="24">
        <v>1288470</v>
      </c>
      <c r="P523" s="24"/>
      <c r="Q523" s="24">
        <v>306089</v>
      </c>
      <c r="R523" s="24"/>
      <c r="S523" s="24">
        <v>0</v>
      </c>
      <c r="T523" s="24"/>
      <c r="U523" s="24">
        <v>36390</v>
      </c>
      <c r="V523" s="24"/>
      <c r="W523" s="24">
        <f>46692+7987+182911</f>
        <v>237590</v>
      </c>
      <c r="X523" s="24"/>
      <c r="Y523" s="38">
        <f t="shared" si="104"/>
        <v>22488861</v>
      </c>
      <c r="Z523" s="24"/>
      <c r="AA523" s="24">
        <v>46118</v>
      </c>
      <c r="AB523" s="24"/>
      <c r="AC523" s="24">
        <v>0</v>
      </c>
      <c r="AD523" s="24"/>
      <c r="AE523" s="24">
        <f>132187+1949999</f>
        <v>2082186</v>
      </c>
      <c r="AF523" s="24"/>
      <c r="AG523" s="24"/>
      <c r="AH523" s="24"/>
      <c r="AI523" s="24"/>
      <c r="AJ523" s="24"/>
      <c r="AK523" s="24">
        <v>14505</v>
      </c>
      <c r="AL523" s="24"/>
      <c r="AM523" s="24">
        <v>0</v>
      </c>
      <c r="AN523" s="24"/>
      <c r="AO523" s="38">
        <f t="shared" si="107"/>
        <v>2142809</v>
      </c>
      <c r="AP523" s="24"/>
      <c r="AQ523" s="38">
        <f t="shared" si="105"/>
        <v>24631670</v>
      </c>
      <c r="AR523" s="38"/>
      <c r="AS523" s="7"/>
      <c r="AT523" s="7" t="str">
        <f t="shared" si="102"/>
        <v>Struthers City SD</v>
      </c>
      <c r="AU523" s="7" t="str">
        <f>'Gov Fd BS'!A523</f>
        <v>Struthers City SD</v>
      </c>
      <c r="AV523" s="7" t="b">
        <f t="shared" si="103"/>
        <v>1</v>
      </c>
      <c r="AW523" s="7" t="str">
        <f t="shared" si="101"/>
        <v>Mahoning</v>
      </c>
      <c r="AX523" s="7" t="b">
        <f>C523='Gov Fd BS'!C523</f>
        <v>1</v>
      </c>
    </row>
    <row r="524" spans="1:50">
      <c r="A524" s="12" t="s">
        <v>571</v>
      </c>
      <c r="B524" s="12"/>
      <c r="C524" s="12" t="s">
        <v>570</v>
      </c>
      <c r="D524" s="12"/>
      <c r="E524" s="12">
        <v>50658</v>
      </c>
      <c r="F524" s="24"/>
      <c r="G524" s="24">
        <v>1514966</v>
      </c>
      <c r="H524" s="24"/>
      <c r="I524" s="24">
        <v>777952</v>
      </c>
      <c r="J524" s="24"/>
      <c r="K524" s="24">
        <v>2964916</v>
      </c>
      <c r="L524" s="24"/>
      <c r="M524" s="24">
        <v>5683</v>
      </c>
      <c r="N524" s="24"/>
      <c r="O524" s="24">
        <v>276751</v>
      </c>
      <c r="P524" s="24"/>
      <c r="Q524" s="24">
        <v>92799</v>
      </c>
      <c r="R524" s="24"/>
      <c r="S524" s="24">
        <v>0</v>
      </c>
      <c r="T524" s="24"/>
      <c r="U524" s="24">
        <v>20239</v>
      </c>
      <c r="V524" s="24"/>
      <c r="W524" s="24">
        <f>101216+39167+1400</f>
        <v>141783</v>
      </c>
      <c r="X524" s="24"/>
      <c r="Y524" s="38">
        <f t="shared" si="104"/>
        <v>5795089</v>
      </c>
      <c r="Z524" s="24"/>
      <c r="AA524" s="24">
        <v>22888</v>
      </c>
      <c r="AB524" s="24"/>
      <c r="AC524" s="24">
        <v>0</v>
      </c>
      <c r="AD524" s="24"/>
      <c r="AE524" s="24">
        <v>0</v>
      </c>
      <c r="AF524" s="24"/>
      <c r="AG524" s="24"/>
      <c r="AH524" s="24"/>
      <c r="AI524" s="24"/>
      <c r="AJ524" s="24"/>
      <c r="AK524" s="24">
        <v>0</v>
      </c>
      <c r="AL524" s="24"/>
      <c r="AM524" s="24">
        <v>0</v>
      </c>
      <c r="AN524" s="24"/>
      <c r="AO524" s="38">
        <f t="shared" si="107"/>
        <v>22888</v>
      </c>
      <c r="AP524" s="24"/>
      <c r="AQ524" s="38">
        <f t="shared" si="105"/>
        <v>5817977</v>
      </c>
      <c r="AR524" s="38"/>
      <c r="AS524" s="7"/>
      <c r="AT524" s="7" t="str">
        <f t="shared" si="102"/>
        <v>Stryker Local SD</v>
      </c>
      <c r="AU524" s="7" t="str">
        <f>'Gov Fd BS'!A524</f>
        <v>Stryker Local SD</v>
      </c>
      <c r="AV524" s="7" t="b">
        <f t="shared" si="103"/>
        <v>1</v>
      </c>
      <c r="AW524" s="7" t="str">
        <f t="shared" si="101"/>
        <v>Williams</v>
      </c>
      <c r="AX524" s="7" t="b">
        <f>C524='Gov Fd BS'!C524</f>
        <v>1</v>
      </c>
    </row>
    <row r="525" spans="1:50">
      <c r="A525" s="12" t="s">
        <v>319</v>
      </c>
      <c r="B525" s="12"/>
      <c r="C525" s="12" t="s">
        <v>28</v>
      </c>
      <c r="D525" s="12"/>
      <c r="E525" s="12">
        <v>47092</v>
      </c>
      <c r="F525" s="24"/>
      <c r="G525" s="24">
        <v>6110432</v>
      </c>
      <c r="H525" s="24"/>
      <c r="I525" s="24">
        <v>1454422</v>
      </c>
      <c r="J525" s="24"/>
      <c r="K525" s="24">
        <v>7305129</v>
      </c>
      <c r="L525" s="24"/>
      <c r="M525" s="24">
        <v>63190</v>
      </c>
      <c r="N525" s="24"/>
      <c r="O525" s="24">
        <v>761538</v>
      </c>
      <c r="P525" s="24"/>
      <c r="Q525" s="24">
        <v>88886</v>
      </c>
      <c r="R525" s="24"/>
      <c r="S525" s="24">
        <v>0</v>
      </c>
      <c r="T525" s="24"/>
      <c r="U525" s="24">
        <v>13680</v>
      </c>
      <c r="V525" s="24"/>
      <c r="W525" s="24">
        <f>200957+343132</f>
        <v>544089</v>
      </c>
      <c r="X525" s="24"/>
      <c r="Y525" s="38">
        <f t="shared" si="104"/>
        <v>16341366</v>
      </c>
      <c r="Z525" s="24"/>
      <c r="AA525" s="24">
        <v>85783</v>
      </c>
      <c r="AB525" s="24"/>
      <c r="AC525" s="24">
        <v>0</v>
      </c>
      <c r="AD525" s="24"/>
      <c r="AE525" s="24">
        <v>0</v>
      </c>
      <c r="AF525" s="24"/>
      <c r="AG525" s="24"/>
      <c r="AH525" s="24"/>
      <c r="AI525" s="24"/>
      <c r="AJ525" s="24"/>
      <c r="AK525" s="24">
        <v>0</v>
      </c>
      <c r="AL525" s="24"/>
      <c r="AM525" s="24">
        <v>0</v>
      </c>
      <c r="AN525" s="24"/>
      <c r="AO525" s="38">
        <f t="shared" si="107"/>
        <v>85783</v>
      </c>
      <c r="AP525" s="24"/>
      <c r="AQ525" s="38">
        <f t="shared" si="105"/>
        <v>16427149</v>
      </c>
      <c r="AR525" s="38"/>
      <c r="AS525" s="7"/>
      <c r="AT525" s="7" t="str">
        <f t="shared" si="102"/>
        <v>Swanton Local SD</v>
      </c>
      <c r="AU525" s="7" t="str">
        <f>'Gov Fd BS'!A525</f>
        <v>Swanton Local SD</v>
      </c>
      <c r="AV525" s="7" t="b">
        <f t="shared" si="103"/>
        <v>1</v>
      </c>
      <c r="AW525" s="7" t="str">
        <f t="shared" si="101"/>
        <v>Fulton</v>
      </c>
      <c r="AX525" s="7" t="b">
        <f>C525='Gov Fd BS'!C525</f>
        <v>1</v>
      </c>
    </row>
    <row r="526" spans="1:50">
      <c r="A526" s="12" t="s">
        <v>655</v>
      </c>
      <c r="B526" s="12"/>
      <c r="C526" s="12" t="s">
        <v>49</v>
      </c>
      <c r="D526" s="12"/>
      <c r="E526" s="12">
        <v>48652</v>
      </c>
      <c r="F526" s="24"/>
      <c r="G526" s="24">
        <v>11826957</v>
      </c>
      <c r="H526" s="24"/>
      <c r="I526" s="24">
        <v>0</v>
      </c>
      <c r="J526" s="24"/>
      <c r="K526" s="24">
        <v>44362440</v>
      </c>
      <c r="L526" s="24"/>
      <c r="M526" s="24">
        <v>232537</v>
      </c>
      <c r="N526" s="24"/>
      <c r="O526" s="24">
        <v>143879</v>
      </c>
      <c r="P526" s="24"/>
      <c r="Q526" s="24">
        <v>203986</v>
      </c>
      <c r="R526" s="24"/>
      <c r="S526" s="24">
        <v>0</v>
      </c>
      <c r="T526" s="24"/>
      <c r="U526" s="24">
        <v>72225</v>
      </c>
      <c r="V526" s="24"/>
      <c r="W526" s="24">
        <f>148329+377718+13664</f>
        <v>539711</v>
      </c>
      <c r="X526" s="24"/>
      <c r="Y526" s="38">
        <f t="shared" si="104"/>
        <v>57381735</v>
      </c>
      <c r="Z526" s="24"/>
      <c r="AA526" s="24">
        <v>779396</v>
      </c>
      <c r="AB526" s="24"/>
      <c r="AC526" s="24">
        <v>0</v>
      </c>
      <c r="AD526" s="24"/>
      <c r="AE526" s="24">
        <v>0</v>
      </c>
      <c r="AF526" s="24"/>
      <c r="AG526" s="24"/>
      <c r="AH526" s="24"/>
      <c r="AI526" s="24"/>
      <c r="AJ526" s="24"/>
      <c r="AK526" s="24">
        <f>2126+19039</f>
        <v>21165</v>
      </c>
      <c r="AL526" s="24"/>
      <c r="AM526" s="24">
        <v>0</v>
      </c>
      <c r="AN526" s="24"/>
      <c r="AO526" s="38">
        <f t="shared" si="107"/>
        <v>800561</v>
      </c>
      <c r="AP526" s="24"/>
      <c r="AQ526" s="38">
        <f t="shared" si="105"/>
        <v>58182296</v>
      </c>
      <c r="AR526" s="38"/>
      <c r="AS526" s="7"/>
      <c r="AT526" s="7" t="str">
        <f t="shared" si="102"/>
        <v>Switzerland of Ohio Local SD</v>
      </c>
      <c r="AU526" s="7" t="str">
        <f>'Gov Fd BS'!A526</f>
        <v>Switzerland of Ohio Local SD</v>
      </c>
      <c r="AV526" s="7" t="b">
        <f t="shared" si="103"/>
        <v>1</v>
      </c>
      <c r="AW526" s="7" t="str">
        <f t="shared" si="101"/>
        <v>Monroe</v>
      </c>
      <c r="AX526" s="7" t="b">
        <f>C526='Gov Fd BS'!C526</f>
        <v>1</v>
      </c>
    </row>
    <row r="527" spans="1:50" hidden="1">
      <c r="A527" s="12" t="s">
        <v>340</v>
      </c>
      <c r="B527" s="12"/>
      <c r="C527" s="12" t="s">
        <v>32</v>
      </c>
      <c r="D527" s="12"/>
      <c r="E527" s="12">
        <v>44867</v>
      </c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38">
        <f t="shared" si="104"/>
        <v>0</v>
      </c>
      <c r="Z527" s="24"/>
      <c r="AA527" s="24"/>
      <c r="AB527" s="24"/>
      <c r="AC527" s="24">
        <v>0</v>
      </c>
      <c r="AD527" s="24"/>
      <c r="AE527" s="24"/>
      <c r="AF527" s="24"/>
      <c r="AG527" s="24"/>
      <c r="AH527" s="24"/>
      <c r="AI527" s="24"/>
      <c r="AJ527" s="24"/>
      <c r="AK527" s="24"/>
      <c r="AL527" s="24"/>
      <c r="AM527" s="24">
        <v>0</v>
      </c>
      <c r="AN527" s="24"/>
      <c r="AO527" s="38">
        <f t="shared" si="107"/>
        <v>0</v>
      </c>
      <c r="AP527" s="24"/>
      <c r="AQ527" s="38">
        <f t="shared" si="105"/>
        <v>0</v>
      </c>
      <c r="AR527" s="38"/>
      <c r="AS527" s="7" t="s">
        <v>793</v>
      </c>
      <c r="AT527" s="7" t="str">
        <f t="shared" si="102"/>
        <v>Sycamore Community City SD</v>
      </c>
      <c r="AU527" s="7" t="str">
        <f>'Gov Fd BS'!A527</f>
        <v>Sycamore Community City SD</v>
      </c>
      <c r="AV527" s="7" t="b">
        <f t="shared" si="103"/>
        <v>1</v>
      </c>
      <c r="AW527" s="7" t="str">
        <f t="shared" si="101"/>
        <v>Hamilton</v>
      </c>
      <c r="AX527" s="7" t="b">
        <f>C527='Gov Fd BS'!C527</f>
        <v>1</v>
      </c>
    </row>
    <row r="528" spans="1:50">
      <c r="A528" s="12" t="s">
        <v>407</v>
      </c>
      <c r="B528" s="12"/>
      <c r="C528" s="12" t="s">
        <v>115</v>
      </c>
      <c r="D528" s="12"/>
      <c r="E528" s="12">
        <v>44875</v>
      </c>
      <c r="F528" s="24"/>
      <c r="G528" s="24">
        <v>55292168</v>
      </c>
      <c r="H528" s="24"/>
      <c r="I528" s="24">
        <v>0</v>
      </c>
      <c r="J528" s="24"/>
      <c r="K528" s="24">
        <f>26275123+5976370</f>
        <v>32251493</v>
      </c>
      <c r="L528" s="24"/>
      <c r="M528" s="24">
        <v>193750</v>
      </c>
      <c r="N528" s="24"/>
      <c r="O528" s="24">
        <f>953134+39895+388681</f>
        <v>1381710</v>
      </c>
      <c r="P528" s="24"/>
      <c r="Q528" s="24">
        <v>686944</v>
      </c>
      <c r="R528" s="24"/>
      <c r="S528" s="24">
        <v>511286</v>
      </c>
      <c r="T528" s="24"/>
      <c r="U528" s="24">
        <v>75578</v>
      </c>
      <c r="V528" s="24"/>
      <c r="W528" s="24">
        <f>549655+72282+42930+1120849</f>
        <v>1785716</v>
      </c>
      <c r="X528" s="24"/>
      <c r="Y528" s="38">
        <f t="shared" si="104"/>
        <v>92178645</v>
      </c>
      <c r="Z528" s="24"/>
      <c r="AA528" s="24">
        <v>364690</v>
      </c>
      <c r="AB528" s="24"/>
      <c r="AC528" s="24">
        <v>0</v>
      </c>
      <c r="AD528" s="24"/>
      <c r="AE528" s="24">
        <v>0</v>
      </c>
      <c r="AF528" s="24"/>
      <c r="AG528" s="24"/>
      <c r="AH528" s="24"/>
      <c r="AI528" s="24"/>
      <c r="AJ528" s="24"/>
      <c r="AK528" s="24">
        <v>45693</v>
      </c>
      <c r="AL528" s="24"/>
      <c r="AM528" s="24">
        <v>0</v>
      </c>
      <c r="AN528" s="24"/>
      <c r="AO528" s="38">
        <f t="shared" si="107"/>
        <v>410383</v>
      </c>
      <c r="AP528" s="24"/>
      <c r="AQ528" s="38">
        <f t="shared" si="105"/>
        <v>92589028</v>
      </c>
      <c r="AR528" s="38"/>
      <c r="AS528" s="7"/>
      <c r="AT528" s="7" t="str">
        <f t="shared" si="102"/>
        <v>Sylvania City SD</v>
      </c>
      <c r="AU528" s="7" t="str">
        <f>'Gov Fd BS'!A528</f>
        <v>Sylvania City SD</v>
      </c>
      <c r="AV528" s="7" t="b">
        <f t="shared" si="103"/>
        <v>1</v>
      </c>
      <c r="AW528" s="7" t="str">
        <f t="shared" ref="AW528:AW591" si="108">C528</f>
        <v>Lucas</v>
      </c>
      <c r="AX528" s="7" t="b">
        <f>C528='Gov Fd BS'!C528</f>
        <v>1</v>
      </c>
    </row>
    <row r="529" spans="1:50">
      <c r="A529" s="12" t="s">
        <v>383</v>
      </c>
      <c r="B529" s="12"/>
      <c r="C529" s="12" t="s">
        <v>377</v>
      </c>
      <c r="D529" s="12"/>
      <c r="E529" s="12">
        <v>47969</v>
      </c>
      <c r="F529" s="24"/>
      <c r="G529" s="24">
        <v>1041902</v>
      </c>
      <c r="H529" s="24"/>
      <c r="I529" s="24">
        <v>0</v>
      </c>
      <c r="J529" s="24"/>
      <c r="K529" s="24">
        <v>7396753</v>
      </c>
      <c r="L529" s="24"/>
      <c r="M529" s="24">
        <v>24294</v>
      </c>
      <c r="N529" s="24"/>
      <c r="O529" s="24">
        <v>569696</v>
      </c>
      <c r="P529" s="24"/>
      <c r="Q529" s="24">
        <v>77407</v>
      </c>
      <c r="R529" s="24"/>
      <c r="S529" s="24">
        <v>0</v>
      </c>
      <c r="T529" s="24"/>
      <c r="U529" s="24">
        <v>15051</v>
      </c>
      <c r="V529" s="24"/>
      <c r="W529" s="24">
        <f>23494+103940</f>
        <v>127434</v>
      </c>
      <c r="X529" s="24"/>
      <c r="Y529" s="38">
        <f t="shared" si="104"/>
        <v>9252537</v>
      </c>
      <c r="Z529" s="24"/>
      <c r="AA529" s="24">
        <v>4228</v>
      </c>
      <c r="AB529" s="24"/>
      <c r="AC529" s="24">
        <v>0</v>
      </c>
      <c r="AD529" s="24"/>
      <c r="AE529" s="24">
        <v>0</v>
      </c>
      <c r="AF529" s="24"/>
      <c r="AG529" s="24"/>
      <c r="AH529" s="24"/>
      <c r="AI529" s="24"/>
      <c r="AJ529" s="24"/>
      <c r="AK529" s="24">
        <v>6805</v>
      </c>
      <c r="AL529" s="24"/>
      <c r="AM529" s="24">
        <v>0</v>
      </c>
      <c r="AN529" s="24"/>
      <c r="AO529" s="38">
        <f t="shared" si="107"/>
        <v>11033</v>
      </c>
      <c r="AP529" s="24"/>
      <c r="AQ529" s="38">
        <f t="shared" si="105"/>
        <v>9263570</v>
      </c>
      <c r="AR529" s="38"/>
      <c r="AS529" s="7"/>
      <c r="AT529" s="7" t="str">
        <f t="shared" si="102"/>
        <v>Symmes Valley Local SD</v>
      </c>
      <c r="AU529" s="7" t="str">
        <f>'Gov Fd BS'!A529</f>
        <v>Symmes Valley Local SD</v>
      </c>
      <c r="AV529" s="7" t="b">
        <f t="shared" si="103"/>
        <v>1</v>
      </c>
      <c r="AW529" s="7" t="str">
        <f t="shared" si="108"/>
        <v>Lawrence</v>
      </c>
      <c r="AX529" s="7" t="b">
        <f>C529='Gov Fd BS'!C529</f>
        <v>1</v>
      </c>
    </row>
    <row r="530" spans="1:50">
      <c r="A530" s="12" t="s">
        <v>757</v>
      </c>
      <c r="B530" s="12"/>
      <c r="C530" s="12" t="s">
        <v>223</v>
      </c>
      <c r="D530" s="12"/>
      <c r="E530" s="12">
        <v>46151</v>
      </c>
      <c r="F530" s="24"/>
      <c r="G530" s="24">
        <v>23811481</v>
      </c>
      <c r="H530" s="24"/>
      <c r="I530" s="24"/>
      <c r="J530" s="24"/>
      <c r="K530" s="24">
        <v>14638184</v>
      </c>
      <c r="L530" s="24"/>
      <c r="M530" s="24">
        <v>103121</v>
      </c>
      <c r="N530" s="24"/>
      <c r="O530" s="24">
        <f>1015933+597621</f>
        <v>1613554</v>
      </c>
      <c r="P530" s="24"/>
      <c r="Q530" s="24">
        <v>0</v>
      </c>
      <c r="R530" s="24"/>
      <c r="S530" s="24">
        <v>0</v>
      </c>
      <c r="T530" s="24"/>
      <c r="U530" s="24">
        <v>0</v>
      </c>
      <c r="V530" s="24"/>
      <c r="W530" s="24">
        <v>700395</v>
      </c>
      <c r="X530" s="24"/>
      <c r="Y530" s="38">
        <f t="shared" ref="Y530:Y552" si="109">SUM(G530:W530)</f>
        <v>40866735</v>
      </c>
      <c r="Z530" s="24"/>
      <c r="AA530" s="24">
        <v>0</v>
      </c>
      <c r="AB530" s="24"/>
      <c r="AC530" s="24">
        <v>0</v>
      </c>
      <c r="AD530" s="24"/>
      <c r="AE530" s="24">
        <v>0</v>
      </c>
      <c r="AF530" s="24"/>
      <c r="AG530" s="24"/>
      <c r="AH530" s="24"/>
      <c r="AI530" s="24"/>
      <c r="AJ530" s="24"/>
      <c r="AK530" s="24">
        <v>0</v>
      </c>
      <c r="AL530" s="24"/>
      <c r="AM530" s="24">
        <v>0</v>
      </c>
      <c r="AN530" s="24"/>
      <c r="AO530" s="38">
        <f t="shared" si="107"/>
        <v>0</v>
      </c>
      <c r="AP530" s="24"/>
      <c r="AQ530" s="38">
        <f t="shared" si="105"/>
        <v>40866735</v>
      </c>
      <c r="AR530" s="38"/>
      <c r="AS530" s="7"/>
      <c r="AT530" s="7" t="str">
        <f t="shared" si="102"/>
        <v xml:space="preserve">Talawanda City SD </v>
      </c>
      <c r="AU530" s="7" t="str">
        <f>'Gov Fd BS'!A530</f>
        <v xml:space="preserve">Talawanda City SD </v>
      </c>
      <c r="AV530" s="7" t="b">
        <f t="shared" si="103"/>
        <v>1</v>
      </c>
      <c r="AW530" s="7" t="str">
        <f t="shared" si="108"/>
        <v>Butler</v>
      </c>
      <c r="AX530" s="7" t="b">
        <f>C530='Gov Fd BS'!C530</f>
        <v>1</v>
      </c>
    </row>
    <row r="531" spans="1:50">
      <c r="A531" s="12" t="s">
        <v>531</v>
      </c>
      <c r="B531" s="12"/>
      <c r="C531" s="12" t="s">
        <v>63</v>
      </c>
      <c r="D531" s="12"/>
      <c r="E531" s="12">
        <v>44883</v>
      </c>
      <c r="F531" s="24"/>
      <c r="G531" s="24">
        <v>13963106</v>
      </c>
      <c r="H531" s="24"/>
      <c r="I531" s="24"/>
      <c r="J531" s="24"/>
      <c r="K531" s="24">
        <v>13572993</v>
      </c>
      <c r="L531" s="24"/>
      <c r="M531" s="24">
        <v>12526</v>
      </c>
      <c r="N531" s="24"/>
      <c r="O531" s="24">
        <f>434417+70029+722356</f>
        <v>1226802</v>
      </c>
      <c r="P531" s="24"/>
      <c r="Q531" s="24">
        <v>457484</v>
      </c>
      <c r="R531" s="24"/>
      <c r="S531" s="24">
        <v>0</v>
      </c>
      <c r="T531" s="24"/>
      <c r="U531" s="24">
        <v>76746</v>
      </c>
      <c r="V531" s="24"/>
      <c r="W531" s="24">
        <v>38278</v>
      </c>
      <c r="X531" s="24"/>
      <c r="Y531" s="38">
        <f t="shared" si="109"/>
        <v>29347935</v>
      </c>
      <c r="Z531" s="24"/>
      <c r="AA531" s="24">
        <v>0</v>
      </c>
      <c r="AB531" s="24"/>
      <c r="AC531" s="24">
        <v>0</v>
      </c>
      <c r="AD531" s="24"/>
      <c r="AE531" s="24">
        <v>0</v>
      </c>
      <c r="AF531" s="24"/>
      <c r="AG531" s="24"/>
      <c r="AH531" s="24"/>
      <c r="AI531" s="24"/>
      <c r="AJ531" s="24"/>
      <c r="AK531" s="24">
        <v>0</v>
      </c>
      <c r="AL531" s="24"/>
      <c r="AM531" s="24">
        <v>0</v>
      </c>
      <c r="AN531" s="24"/>
      <c r="AO531" s="38">
        <f t="shared" si="107"/>
        <v>0</v>
      </c>
      <c r="AP531" s="24"/>
      <c r="AQ531" s="38">
        <f t="shared" si="105"/>
        <v>29347935</v>
      </c>
      <c r="AR531" s="38"/>
      <c r="AS531" s="7"/>
      <c r="AT531" s="7" t="str">
        <f t="shared" si="102"/>
        <v>Tallmadge City SD</v>
      </c>
      <c r="AU531" s="7" t="str">
        <f>'Gov Fd BS'!A531</f>
        <v>Tallmadge City SD</v>
      </c>
      <c r="AV531" s="7" t="b">
        <f t="shared" si="103"/>
        <v>1</v>
      </c>
      <c r="AW531" s="7" t="str">
        <f t="shared" si="108"/>
        <v>Summit</v>
      </c>
      <c r="AX531" s="7" t="b">
        <f>C531='Gov Fd BS'!C531</f>
        <v>1</v>
      </c>
    </row>
    <row r="532" spans="1:50">
      <c r="A532" s="12" t="s">
        <v>469</v>
      </c>
      <c r="B532" s="12"/>
      <c r="C532" s="12" t="s">
        <v>54</v>
      </c>
      <c r="D532" s="12"/>
      <c r="E532" s="12">
        <v>49098</v>
      </c>
      <c r="F532" s="24"/>
      <c r="G532" s="24">
        <v>13598814</v>
      </c>
      <c r="H532" s="24"/>
      <c r="I532" s="24">
        <v>2993708</v>
      </c>
      <c r="J532" s="24"/>
      <c r="K532" s="24">
        <f>100036+16550446+3603784</f>
        <v>20254266</v>
      </c>
      <c r="L532" s="24"/>
      <c r="M532" s="24">
        <v>96214</v>
      </c>
      <c r="N532" s="24"/>
      <c r="O532" s="24">
        <f>380092+715363+88259+35552</f>
        <v>1219266</v>
      </c>
      <c r="P532" s="24"/>
      <c r="Q532" s="24">
        <v>426905</v>
      </c>
      <c r="R532" s="24"/>
      <c r="S532" s="24">
        <v>4472</v>
      </c>
      <c r="T532" s="24"/>
      <c r="U532" s="24">
        <v>129272</v>
      </c>
      <c r="V532" s="24"/>
      <c r="W532" s="24">
        <v>43670</v>
      </c>
      <c r="X532" s="24"/>
      <c r="Y532" s="38">
        <f t="shared" si="109"/>
        <v>38766587</v>
      </c>
      <c r="Z532" s="24"/>
      <c r="AA532" s="24">
        <v>386063</v>
      </c>
      <c r="AB532" s="24"/>
      <c r="AC532" s="24">
        <v>0</v>
      </c>
      <c r="AD532" s="24"/>
      <c r="AE532" s="24">
        <v>6069</v>
      </c>
      <c r="AF532" s="24"/>
      <c r="AG532" s="24"/>
      <c r="AH532" s="24"/>
      <c r="AI532" s="24"/>
      <c r="AJ532" s="24"/>
      <c r="AK532" s="24">
        <v>41288</v>
      </c>
      <c r="AL532" s="24"/>
      <c r="AM532" s="24">
        <v>0</v>
      </c>
      <c r="AN532" s="24"/>
      <c r="AO532" s="38">
        <f t="shared" si="107"/>
        <v>433420</v>
      </c>
      <c r="AP532" s="24"/>
      <c r="AQ532" s="38">
        <f t="shared" si="105"/>
        <v>39200007</v>
      </c>
      <c r="AR532" s="38"/>
      <c r="AS532" s="7"/>
      <c r="AT532" s="7" t="str">
        <f t="shared" ref="AT532:AT595" si="110">A532</f>
        <v>Teays Valley Local SD</v>
      </c>
      <c r="AU532" s="7" t="str">
        <f>'Gov Fd BS'!A532</f>
        <v>Teays Valley Local SD</v>
      </c>
      <c r="AV532" s="7" t="b">
        <f t="shared" ref="AV532:AV595" si="111">AT532=AU532</f>
        <v>1</v>
      </c>
      <c r="AW532" s="7" t="str">
        <f t="shared" si="108"/>
        <v>Pickaway</v>
      </c>
      <c r="AX532" s="7" t="b">
        <f>C532='Gov Fd BS'!C532</f>
        <v>1</v>
      </c>
    </row>
    <row r="533" spans="1:50">
      <c r="A533" s="12" t="s">
        <v>241</v>
      </c>
      <c r="B533" s="12"/>
      <c r="C533" s="12" t="s">
        <v>17</v>
      </c>
      <c r="D533" s="12"/>
      <c r="E533" s="12">
        <v>46243</v>
      </c>
      <c r="F533" s="24"/>
      <c r="G533" s="24">
        <v>10642376</v>
      </c>
      <c r="H533" s="24"/>
      <c r="I533" s="24">
        <v>0</v>
      </c>
      <c r="J533" s="24"/>
      <c r="K533" s="24">
        <v>21989448</v>
      </c>
      <c r="L533" s="24"/>
      <c r="M533" s="24">
        <v>10604</v>
      </c>
      <c r="N533" s="24"/>
      <c r="O533" s="24">
        <v>1604177</v>
      </c>
      <c r="P533" s="24"/>
      <c r="Q533" s="24">
        <v>210377</v>
      </c>
      <c r="R533" s="24"/>
      <c r="S533" s="24">
        <v>0</v>
      </c>
      <c r="T533" s="24"/>
      <c r="U533" s="24">
        <v>35159</v>
      </c>
      <c r="V533" s="24"/>
      <c r="W533" s="24">
        <f>40004+18444+779285</f>
        <v>837733</v>
      </c>
      <c r="X533" s="24"/>
      <c r="Y533" s="38">
        <f t="shared" si="109"/>
        <v>35329874</v>
      </c>
      <c r="Z533" s="24"/>
      <c r="AA533" s="24">
        <v>0</v>
      </c>
      <c r="AB533" s="24"/>
      <c r="AC533" s="24">
        <v>0</v>
      </c>
      <c r="AD533" s="24"/>
      <c r="AE533" s="24">
        <v>0</v>
      </c>
      <c r="AF533" s="24"/>
      <c r="AG533" s="24"/>
      <c r="AH533" s="24"/>
      <c r="AI533" s="24"/>
      <c r="AJ533" s="24"/>
      <c r="AK533" s="24">
        <v>15335</v>
      </c>
      <c r="AL533" s="24"/>
      <c r="AM533" s="24">
        <v>0</v>
      </c>
      <c r="AN533" s="24"/>
      <c r="AO533" s="38">
        <f t="shared" si="107"/>
        <v>15335</v>
      </c>
      <c r="AP533" s="24"/>
      <c r="AQ533" s="38">
        <f t="shared" si="105"/>
        <v>35345209</v>
      </c>
      <c r="AR533" s="38"/>
      <c r="AS533" s="7"/>
      <c r="AT533" s="7" t="str">
        <f t="shared" si="110"/>
        <v>Tecumseh Local SD</v>
      </c>
      <c r="AU533" s="7" t="str">
        <f>'Gov Fd BS'!A533</f>
        <v>Tecumseh Local SD</v>
      </c>
      <c r="AV533" s="7" t="b">
        <f t="shared" si="111"/>
        <v>1</v>
      </c>
      <c r="AW533" s="7" t="str">
        <f t="shared" si="108"/>
        <v>Clark</v>
      </c>
      <c r="AX533" s="7" t="b">
        <f>C533='Gov Fd BS'!C533</f>
        <v>1</v>
      </c>
    </row>
    <row r="534" spans="1:50">
      <c r="A534" s="12" t="s">
        <v>765</v>
      </c>
      <c r="B534" s="12"/>
      <c r="C534" s="12" t="s">
        <v>32</v>
      </c>
      <c r="D534" s="12"/>
      <c r="E534" s="12">
        <v>47399</v>
      </c>
      <c r="F534" s="24"/>
      <c r="G534" s="24">
        <v>12743830</v>
      </c>
      <c r="H534" s="24"/>
      <c r="I534" s="24">
        <v>0</v>
      </c>
      <c r="J534" s="24"/>
      <c r="K534" s="24">
        <v>14168928</v>
      </c>
      <c r="L534" s="24"/>
      <c r="M534" s="24">
        <v>248564</v>
      </c>
      <c r="N534" s="24"/>
      <c r="O534" s="24">
        <v>374158</v>
      </c>
      <c r="P534" s="24"/>
      <c r="Q534" s="24">
        <v>206345</v>
      </c>
      <c r="R534" s="24"/>
      <c r="S534" s="24">
        <v>2357423</v>
      </c>
      <c r="T534" s="24"/>
      <c r="U534" s="24">
        <v>0</v>
      </c>
      <c r="V534" s="24"/>
      <c r="W534" s="24">
        <f>997427+419349</f>
        <v>1416776</v>
      </c>
      <c r="X534" s="24"/>
      <c r="Y534" s="38">
        <f t="shared" si="109"/>
        <v>31516024</v>
      </c>
      <c r="Z534" s="24"/>
      <c r="AA534" s="24">
        <v>740936</v>
      </c>
      <c r="AB534" s="24"/>
      <c r="AC534" s="24">
        <v>0</v>
      </c>
      <c r="AD534" s="24"/>
      <c r="AE534" s="24">
        <f>37145000+858039</f>
        <v>38003039</v>
      </c>
      <c r="AF534" s="24"/>
      <c r="AG534" s="24"/>
      <c r="AH534" s="24"/>
      <c r="AI534" s="24"/>
      <c r="AJ534" s="24"/>
      <c r="AK534" s="24">
        <v>425</v>
      </c>
      <c r="AL534" s="24"/>
      <c r="AM534" s="24">
        <v>0</v>
      </c>
      <c r="AN534" s="24"/>
      <c r="AO534" s="38">
        <f t="shared" si="107"/>
        <v>38744400</v>
      </c>
      <c r="AP534" s="24"/>
      <c r="AQ534" s="38">
        <f t="shared" si="105"/>
        <v>70260424</v>
      </c>
      <c r="AR534" s="38"/>
      <c r="AS534" s="7"/>
      <c r="AT534" s="7" t="str">
        <f t="shared" si="110"/>
        <v xml:space="preserve">Three Rivers Local SD </v>
      </c>
      <c r="AU534" s="7" t="str">
        <f>'Gov Fd BS'!A534</f>
        <v xml:space="preserve">Three Rivers Local SD </v>
      </c>
      <c r="AV534" s="7" t="b">
        <f t="shared" si="111"/>
        <v>1</v>
      </c>
      <c r="AW534" s="7" t="str">
        <f t="shared" si="108"/>
        <v>Hamilton</v>
      </c>
      <c r="AX534" s="7" t="b">
        <f>C534='Gov Fd BS'!C534</f>
        <v>1</v>
      </c>
    </row>
    <row r="535" spans="1:50">
      <c r="A535" s="12" t="s">
        <v>503</v>
      </c>
      <c r="B535" s="12"/>
      <c r="C535" s="12" t="s">
        <v>60</v>
      </c>
      <c r="D535" s="12"/>
      <c r="E535" s="12">
        <v>44891</v>
      </c>
      <c r="F535" s="24"/>
      <c r="G535" s="24">
        <v>12302881</v>
      </c>
      <c r="H535" s="24"/>
      <c r="I535" s="24">
        <v>0</v>
      </c>
      <c r="J535" s="24"/>
      <c r="K535" s="24">
        <f>11988030+8176+3084252</f>
        <v>15080458</v>
      </c>
      <c r="L535" s="24"/>
      <c r="M535" s="24">
        <v>7819</v>
      </c>
      <c r="N535" s="24"/>
      <c r="O535" s="24">
        <f>1274974+69542+80035</f>
        <v>1424551</v>
      </c>
      <c r="P535" s="24"/>
      <c r="Q535" s="24">
        <v>369140</v>
      </c>
      <c r="R535" s="24"/>
      <c r="S535" s="24">
        <v>41322</v>
      </c>
      <c r="T535" s="24"/>
      <c r="U535" s="24">
        <v>159619</v>
      </c>
      <c r="V535" s="24"/>
      <c r="W535" s="24">
        <f>114434+112539+13177+310023</f>
        <v>550173</v>
      </c>
      <c r="X535" s="24"/>
      <c r="Y535" s="38">
        <f t="shared" si="109"/>
        <v>29935963</v>
      </c>
      <c r="Z535" s="24"/>
      <c r="AA535" s="24">
        <v>438009</v>
      </c>
      <c r="AB535" s="24"/>
      <c r="AC535" s="24">
        <v>0</v>
      </c>
      <c r="AD535" s="24"/>
      <c r="AE535" s="24">
        <v>0</v>
      </c>
      <c r="AF535" s="24"/>
      <c r="AG535" s="24"/>
      <c r="AH535" s="24"/>
      <c r="AI535" s="24"/>
      <c r="AJ535" s="24"/>
      <c r="AK535" s="24">
        <v>115942</v>
      </c>
      <c r="AL535" s="24"/>
      <c r="AM535" s="24">
        <v>0</v>
      </c>
      <c r="AN535" s="24"/>
      <c r="AO535" s="38">
        <f t="shared" si="107"/>
        <v>553951</v>
      </c>
      <c r="AP535" s="24"/>
      <c r="AQ535" s="38">
        <f t="shared" si="105"/>
        <v>30489914</v>
      </c>
      <c r="AR535" s="38"/>
      <c r="AS535" s="7"/>
      <c r="AT535" s="7" t="str">
        <f t="shared" si="110"/>
        <v>Tiffin City SD</v>
      </c>
      <c r="AU535" s="7" t="str">
        <f>'Gov Fd BS'!A535</f>
        <v>Tiffin City SD</v>
      </c>
      <c r="AV535" s="7" t="b">
        <f t="shared" si="111"/>
        <v>1</v>
      </c>
      <c r="AW535" s="7" t="str">
        <f t="shared" si="108"/>
        <v>Seneca</v>
      </c>
      <c r="AX535" s="7" t="b">
        <f>C535='Gov Fd BS'!C535</f>
        <v>1</v>
      </c>
    </row>
    <row r="536" spans="1:50">
      <c r="A536" s="12" t="s">
        <v>887</v>
      </c>
      <c r="B536" s="12"/>
      <c r="C536" s="12" t="s">
        <v>48</v>
      </c>
      <c r="D536" s="12"/>
      <c r="E536" s="12">
        <v>45617</v>
      </c>
      <c r="F536" s="24"/>
      <c r="G536" s="24">
        <v>13173836</v>
      </c>
      <c r="H536" s="24"/>
      <c r="I536" s="24">
        <v>0</v>
      </c>
      <c r="J536" s="24"/>
      <c r="K536" s="24">
        <f>10551449+1992943</f>
        <v>12544392</v>
      </c>
      <c r="L536" s="24"/>
      <c r="M536" s="24">
        <v>10485</v>
      </c>
      <c r="N536" s="24"/>
      <c r="O536" s="24">
        <v>603979</v>
      </c>
      <c r="P536" s="24"/>
      <c r="Q536" s="24">
        <v>700279</v>
      </c>
      <c r="R536" s="24"/>
      <c r="S536" s="24">
        <v>0</v>
      </c>
      <c r="T536" s="24"/>
      <c r="U536" s="24">
        <v>0</v>
      </c>
      <c r="V536" s="24"/>
      <c r="W536" s="24">
        <f>163173+501136</f>
        <v>664309</v>
      </c>
      <c r="X536" s="24"/>
      <c r="Y536" s="38">
        <f t="shared" si="109"/>
        <v>27697280</v>
      </c>
      <c r="Z536" s="24"/>
      <c r="AA536" s="24">
        <v>32000</v>
      </c>
      <c r="AB536" s="24"/>
      <c r="AC536" s="24">
        <v>0</v>
      </c>
      <c r="AD536" s="24"/>
      <c r="AE536" s="24">
        <v>0</v>
      </c>
      <c r="AF536" s="24"/>
      <c r="AG536" s="24"/>
      <c r="AH536" s="24"/>
      <c r="AI536" s="24"/>
      <c r="AJ536" s="24"/>
      <c r="AK536" s="24">
        <v>2000</v>
      </c>
      <c r="AL536" s="24"/>
      <c r="AM536" s="24">
        <v>0</v>
      </c>
      <c r="AN536" s="24"/>
      <c r="AO536" s="38">
        <f t="shared" si="107"/>
        <v>34000</v>
      </c>
      <c r="AP536" s="24"/>
      <c r="AQ536" s="38">
        <f t="shared" si="105"/>
        <v>27731280</v>
      </c>
      <c r="AR536" s="38"/>
      <c r="AS536" s="7"/>
      <c r="AT536" s="7" t="str">
        <f t="shared" si="110"/>
        <v>Tipp City Exempted Village SD</v>
      </c>
      <c r="AU536" s="7" t="str">
        <f>'Gov Fd BS'!A536</f>
        <v>Tipp City Exempted Village SD</v>
      </c>
      <c r="AV536" s="7" t="b">
        <f t="shared" si="111"/>
        <v>1</v>
      </c>
      <c r="AW536" s="7" t="str">
        <f t="shared" si="108"/>
        <v>Miami</v>
      </c>
      <c r="AX536" s="7" t="b">
        <f>C536='Gov Fd BS'!C536</f>
        <v>1</v>
      </c>
    </row>
    <row r="537" spans="1:50">
      <c r="A537" s="12" t="s">
        <v>408</v>
      </c>
      <c r="B537" s="12"/>
      <c r="C537" s="12" t="s">
        <v>115</v>
      </c>
      <c r="D537" s="12"/>
      <c r="E537" s="12">
        <v>44909</v>
      </c>
      <c r="F537" s="24"/>
      <c r="G537" s="24">
        <v>96848838</v>
      </c>
      <c r="H537" s="24"/>
      <c r="I537" s="24">
        <v>0</v>
      </c>
      <c r="J537" s="24"/>
      <c r="K537" s="24">
        <f>274473871+73165870</f>
        <v>347639741</v>
      </c>
      <c r="L537" s="24"/>
      <c r="M537" s="24">
        <v>-359695</v>
      </c>
      <c r="N537" s="24"/>
      <c r="O537" s="24">
        <f>1996903+512767+120999</f>
        <v>2630669</v>
      </c>
      <c r="P537" s="24"/>
      <c r="Q537" s="24">
        <v>875047</v>
      </c>
      <c r="R537" s="24"/>
      <c r="S537" s="24">
        <v>0</v>
      </c>
      <c r="T537" s="24"/>
      <c r="U537" s="24">
        <v>0</v>
      </c>
      <c r="V537" s="24"/>
      <c r="W537" s="24">
        <f>10238626+1053241</f>
        <v>11291867</v>
      </c>
      <c r="X537" s="24"/>
      <c r="Y537" s="38">
        <f t="shared" si="109"/>
        <v>458926467</v>
      </c>
      <c r="Z537" s="24"/>
      <c r="AA537" s="24">
        <v>3575875</v>
      </c>
      <c r="AB537" s="24"/>
      <c r="AC537" s="24">
        <v>0</v>
      </c>
      <c r="AD537" s="24"/>
      <c r="AE537" s="24">
        <v>0</v>
      </c>
      <c r="AF537" s="24"/>
      <c r="AG537" s="24"/>
      <c r="AH537" s="24"/>
      <c r="AI537" s="24"/>
      <c r="AJ537" s="24"/>
      <c r="AK537" s="24">
        <v>663208</v>
      </c>
      <c r="AL537" s="24"/>
      <c r="AM537" s="24">
        <v>0</v>
      </c>
      <c r="AN537" s="24"/>
      <c r="AO537" s="38">
        <f t="shared" si="107"/>
        <v>4239083</v>
      </c>
      <c r="AP537" s="24"/>
      <c r="AQ537" s="38">
        <f t="shared" si="105"/>
        <v>463165550</v>
      </c>
      <c r="AR537" s="38"/>
      <c r="AS537" s="7"/>
      <c r="AT537" s="7" t="str">
        <f t="shared" si="110"/>
        <v>Toledo City SD</v>
      </c>
      <c r="AU537" s="7" t="str">
        <f>'Gov Fd BS'!A537</f>
        <v>Toledo City SD</v>
      </c>
      <c r="AV537" s="7" t="b">
        <f t="shared" si="111"/>
        <v>1</v>
      </c>
      <c r="AW537" s="7" t="str">
        <f t="shared" si="108"/>
        <v>Lucas</v>
      </c>
      <c r="AX537" s="7" t="b">
        <f>C537='Gov Fd BS'!C537</f>
        <v>1</v>
      </c>
    </row>
    <row r="538" spans="1:50" hidden="1">
      <c r="A538" s="12" t="s">
        <v>731</v>
      </c>
      <c r="B538" s="12"/>
      <c r="C538" s="12" t="s">
        <v>115</v>
      </c>
      <c r="D538" s="12"/>
      <c r="E538" s="12"/>
      <c r="F538" s="24"/>
      <c r="G538" s="24"/>
      <c r="H538" s="24"/>
      <c r="I538" s="24"/>
      <c r="J538" s="24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24"/>
      <c r="Y538" s="38">
        <f t="shared" si="109"/>
        <v>0</v>
      </c>
      <c r="Z538" s="24"/>
      <c r="AA538" s="24"/>
      <c r="AB538" s="24"/>
      <c r="AC538" s="24">
        <v>0</v>
      </c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38">
        <f t="shared" si="107"/>
        <v>0</v>
      </c>
      <c r="AP538" s="24"/>
      <c r="AQ538" s="38">
        <f t="shared" si="105"/>
        <v>0</v>
      </c>
      <c r="AR538" s="38"/>
      <c r="AS538" s="7" t="s">
        <v>794</v>
      </c>
      <c r="AT538" s="7" t="str">
        <f t="shared" si="110"/>
        <v>Toledo School for the Arts</v>
      </c>
      <c r="AU538" s="7" t="str">
        <f>'Gov Fd BS'!A538</f>
        <v>Toledo School for the Arts</v>
      </c>
      <c r="AV538" s="7" t="b">
        <f t="shared" si="111"/>
        <v>1</v>
      </c>
      <c r="AW538" s="7" t="str">
        <f t="shared" si="108"/>
        <v>Lucas</v>
      </c>
      <c r="AX538" s="7" t="b">
        <f>C538='Gov Fd BS'!C538</f>
        <v>1</v>
      </c>
    </row>
    <row r="539" spans="1:50">
      <c r="A539" s="12" t="s">
        <v>766</v>
      </c>
      <c r="B539" s="12"/>
      <c r="C539" s="12" t="s">
        <v>39</v>
      </c>
      <c r="D539" s="12"/>
      <c r="E539" s="12">
        <v>44917</v>
      </c>
      <c r="F539" s="24"/>
      <c r="G539" s="24">
        <v>1517415</v>
      </c>
      <c r="H539" s="24"/>
      <c r="I539" s="24">
        <v>0</v>
      </c>
      <c r="J539" s="24"/>
      <c r="K539" s="24">
        <v>7923972</v>
      </c>
      <c r="L539" s="24"/>
      <c r="M539" s="24">
        <v>24374</v>
      </c>
      <c r="N539" s="24"/>
      <c r="O539" s="24">
        <v>643606</v>
      </c>
      <c r="P539" s="24"/>
      <c r="Q539" s="24">
        <v>153936</v>
      </c>
      <c r="R539" s="24"/>
      <c r="S539" s="24">
        <v>0</v>
      </c>
      <c r="T539" s="24"/>
      <c r="U539" s="24">
        <v>9711</v>
      </c>
      <c r="V539" s="24"/>
      <c r="W539" s="24">
        <f>87774+10922</f>
        <v>98696</v>
      </c>
      <c r="X539" s="24"/>
      <c r="Y539" s="38">
        <f t="shared" si="109"/>
        <v>10371710</v>
      </c>
      <c r="Z539" s="24"/>
      <c r="AA539" s="24">
        <v>20000</v>
      </c>
      <c r="AB539" s="24"/>
      <c r="AC539" s="24">
        <v>0</v>
      </c>
      <c r="AD539" s="24"/>
      <c r="AE539" s="24">
        <f>8199996+452810</f>
        <v>8652806</v>
      </c>
      <c r="AF539" s="24"/>
      <c r="AG539" s="24"/>
      <c r="AH539" s="24"/>
      <c r="AI539" s="24"/>
      <c r="AJ539" s="24"/>
      <c r="AK539" s="24">
        <v>4812</v>
      </c>
      <c r="AL539" s="24"/>
      <c r="AM539" s="24">
        <v>0</v>
      </c>
      <c r="AN539" s="24"/>
      <c r="AO539" s="38">
        <f t="shared" si="107"/>
        <v>8677618</v>
      </c>
      <c r="AP539" s="24"/>
      <c r="AQ539" s="38">
        <f t="shared" si="105"/>
        <v>19049328</v>
      </c>
      <c r="AR539" s="38"/>
      <c r="AS539" s="7" t="s">
        <v>788</v>
      </c>
      <c r="AT539" s="7" t="str">
        <f t="shared" si="110"/>
        <v xml:space="preserve">Toronto City SD  </v>
      </c>
      <c r="AU539" s="7" t="str">
        <f>'Gov Fd BS'!A539</f>
        <v xml:space="preserve">Toronto City SD  </v>
      </c>
      <c r="AV539" s="7" t="b">
        <f t="shared" si="111"/>
        <v>1</v>
      </c>
      <c r="AW539" s="7" t="str">
        <f t="shared" si="108"/>
        <v>Jefferson</v>
      </c>
      <c r="AX539" s="7" t="b">
        <f>C539='Gov Fd BS'!C539</f>
        <v>1</v>
      </c>
    </row>
    <row r="540" spans="1:50">
      <c r="A540" s="12" t="s">
        <v>233</v>
      </c>
      <c r="B540" s="12"/>
      <c r="C540" s="12" t="s">
        <v>232</v>
      </c>
      <c r="D540" s="12"/>
      <c r="E540" s="12">
        <v>46201</v>
      </c>
      <c r="F540" s="24"/>
      <c r="G540" s="24">
        <v>2448628</v>
      </c>
      <c r="H540" s="24"/>
      <c r="I540" s="24">
        <v>1574161</v>
      </c>
      <c r="J540" s="24"/>
      <c r="K540" s="24">
        <f>5251055+1219756</f>
        <v>6470811</v>
      </c>
      <c r="L540" s="24"/>
      <c r="M540" s="24">
        <v>2952</v>
      </c>
      <c r="N540" s="24"/>
      <c r="O540" s="24">
        <f>544701+32836</f>
        <v>577537</v>
      </c>
      <c r="P540" s="24"/>
      <c r="Q540" s="24">
        <v>176073</v>
      </c>
      <c r="R540" s="24"/>
      <c r="S540" s="24">
        <v>0</v>
      </c>
      <c r="T540" s="24"/>
      <c r="U540" s="24">
        <v>29736</v>
      </c>
      <c r="V540" s="24"/>
      <c r="W540" s="24">
        <f>11754+4754+246920</f>
        <v>263428</v>
      </c>
      <c r="X540" s="24"/>
      <c r="Y540" s="38">
        <f t="shared" si="109"/>
        <v>11543326</v>
      </c>
      <c r="Z540" s="24"/>
      <c r="AA540" s="24">
        <v>173453</v>
      </c>
      <c r="AB540" s="24"/>
      <c r="AC540" s="24">
        <v>0</v>
      </c>
      <c r="AD540" s="24"/>
      <c r="AE540" s="24">
        <v>798000</v>
      </c>
      <c r="AF540" s="24"/>
      <c r="AG540" s="24"/>
      <c r="AH540" s="24"/>
      <c r="AI540" s="24"/>
      <c r="AJ540" s="24"/>
      <c r="AK540" s="24">
        <v>63018</v>
      </c>
      <c r="AL540" s="24"/>
      <c r="AM540" s="24">
        <v>0</v>
      </c>
      <c r="AN540" s="24"/>
      <c r="AO540" s="38">
        <f t="shared" si="107"/>
        <v>1034471</v>
      </c>
      <c r="AP540" s="24"/>
      <c r="AQ540" s="38">
        <f t="shared" si="105"/>
        <v>12577797</v>
      </c>
      <c r="AR540" s="38"/>
      <c r="AS540" s="7"/>
      <c r="AT540" s="7" t="str">
        <f t="shared" si="110"/>
        <v>Triad Local SD</v>
      </c>
      <c r="AU540" s="7" t="str">
        <f>'Gov Fd BS'!A540</f>
        <v>Triad Local SD</v>
      </c>
      <c r="AV540" s="7" t="b">
        <f t="shared" si="111"/>
        <v>1</v>
      </c>
      <c r="AW540" s="7" t="str">
        <f t="shared" si="108"/>
        <v>Champaign</v>
      </c>
      <c r="AX540" s="7" t="b">
        <f>C540='Gov Fd BS'!C540</f>
        <v>1</v>
      </c>
    </row>
    <row r="541" spans="1:50" s="32" customFormat="1">
      <c r="A541" s="31" t="s">
        <v>481</v>
      </c>
      <c r="B541" s="31"/>
      <c r="C541" s="31" t="s">
        <v>57</v>
      </c>
      <c r="D541" s="31"/>
      <c r="E541" s="31">
        <v>91397</v>
      </c>
      <c r="F541" s="35"/>
      <c r="G541" s="35">
        <v>4114640</v>
      </c>
      <c r="H541" s="35"/>
      <c r="I541" s="35">
        <v>0</v>
      </c>
      <c r="J541" s="35"/>
      <c r="K541" s="35">
        <v>5937258</v>
      </c>
      <c r="L541" s="35"/>
      <c r="M541" s="35">
        <v>31287</v>
      </c>
      <c r="N541" s="35"/>
      <c r="O541" s="35">
        <v>255563</v>
      </c>
      <c r="P541" s="35"/>
      <c r="Q541" s="35">
        <v>147840</v>
      </c>
      <c r="R541" s="35"/>
      <c r="S541" s="35">
        <v>0</v>
      </c>
      <c r="T541" s="35"/>
      <c r="U541" s="35">
        <v>5964</v>
      </c>
      <c r="V541" s="35"/>
      <c r="W541" s="35">
        <f>43772+200551+8800</f>
        <v>253123</v>
      </c>
      <c r="X541" s="35"/>
      <c r="Y541" s="53">
        <f t="shared" si="109"/>
        <v>10745675</v>
      </c>
      <c r="Z541" s="35"/>
      <c r="AA541" s="35">
        <v>391</v>
      </c>
      <c r="AB541" s="35"/>
      <c r="AC541" s="35">
        <v>0</v>
      </c>
      <c r="AD541" s="35"/>
      <c r="AE541" s="35">
        <v>0</v>
      </c>
      <c r="AF541" s="35"/>
      <c r="AG541" s="35"/>
      <c r="AH541" s="35"/>
      <c r="AI541" s="35"/>
      <c r="AJ541" s="35"/>
      <c r="AK541" s="35">
        <v>0</v>
      </c>
      <c r="AL541" s="35"/>
      <c r="AM541" s="35">
        <v>0</v>
      </c>
      <c r="AN541" s="35"/>
      <c r="AO541" s="53">
        <f t="shared" si="107"/>
        <v>391</v>
      </c>
      <c r="AP541" s="35"/>
      <c r="AQ541" s="53">
        <f t="shared" si="105"/>
        <v>10746066</v>
      </c>
      <c r="AR541" s="53"/>
      <c r="AT541" s="32" t="str">
        <f t="shared" si="110"/>
        <v>Tri-County North Local SD</v>
      </c>
      <c r="AU541" s="32" t="str">
        <f>'Gov Fd BS'!A541</f>
        <v>Tri-County North Local SD</v>
      </c>
      <c r="AV541" s="32" t="b">
        <f t="shared" si="111"/>
        <v>1</v>
      </c>
      <c r="AW541" s="32" t="str">
        <f t="shared" si="108"/>
        <v>Preble</v>
      </c>
      <c r="AX541" s="32" t="b">
        <f>C541='Gov Fd BS'!C541</f>
        <v>1</v>
      </c>
    </row>
    <row r="542" spans="1:50">
      <c r="A542" s="12" t="s">
        <v>213</v>
      </c>
      <c r="B542" s="12"/>
      <c r="C542" s="12" t="s">
        <v>13</v>
      </c>
      <c r="D542" s="12"/>
      <c r="E542" s="12">
        <v>45922</v>
      </c>
      <c r="F542" s="24"/>
      <c r="G542" s="24">
        <v>796964</v>
      </c>
      <c r="H542" s="24"/>
      <c r="I542" s="24">
        <v>0</v>
      </c>
      <c r="J542" s="24"/>
      <c r="K542" s="24">
        <v>10104875</v>
      </c>
      <c r="L542" s="24"/>
      <c r="M542" s="24">
        <v>3473</v>
      </c>
      <c r="N542" s="24"/>
      <c r="O542" s="24">
        <v>706102</v>
      </c>
      <c r="P542" s="24"/>
      <c r="Q542" s="24">
        <v>58666</v>
      </c>
      <c r="R542" s="24"/>
      <c r="S542" s="24">
        <v>0</v>
      </c>
      <c r="T542" s="24"/>
      <c r="U542" s="24">
        <v>23078</v>
      </c>
      <c r="V542" s="24"/>
      <c r="W542" s="24">
        <f>580+73598+104007</f>
        <v>178185</v>
      </c>
      <c r="X542" s="24"/>
      <c r="Y542" s="38">
        <f t="shared" si="109"/>
        <v>11871343</v>
      </c>
      <c r="Z542" s="24"/>
      <c r="AA542" s="24">
        <v>12552</v>
      </c>
      <c r="AB542" s="24"/>
      <c r="AC542" s="24">
        <v>0</v>
      </c>
      <c r="AD542" s="24"/>
      <c r="AE542" s="24">
        <v>0</v>
      </c>
      <c r="AF542" s="24"/>
      <c r="AG542" s="24"/>
      <c r="AH542" s="24"/>
      <c r="AI542" s="24"/>
      <c r="AJ542" s="24"/>
      <c r="AK542" s="24">
        <v>0</v>
      </c>
      <c r="AL542" s="24"/>
      <c r="AM542" s="24">
        <v>0</v>
      </c>
      <c r="AN542" s="24"/>
      <c r="AO542" s="38">
        <f t="shared" si="107"/>
        <v>12552</v>
      </c>
      <c r="AP542" s="24"/>
      <c r="AQ542" s="38">
        <f t="shared" si="105"/>
        <v>11883895</v>
      </c>
      <c r="AR542" s="38"/>
      <c r="AS542" s="7"/>
      <c r="AT542" s="7" t="str">
        <f t="shared" si="110"/>
        <v>Trimble Local SD</v>
      </c>
      <c r="AU542" s="7" t="str">
        <f>'Gov Fd BS'!A542</f>
        <v>Trimble Local SD</v>
      </c>
      <c r="AV542" s="7" t="b">
        <f t="shared" si="111"/>
        <v>1</v>
      </c>
      <c r="AW542" s="7" t="str">
        <f t="shared" si="108"/>
        <v>Athens</v>
      </c>
      <c r="AX542" s="7" t="b">
        <f>C542='Gov Fd BS'!C542</f>
        <v>1</v>
      </c>
    </row>
    <row r="543" spans="1:50">
      <c r="A543" s="12" t="s">
        <v>459</v>
      </c>
      <c r="B543" s="12"/>
      <c r="C543" s="12" t="s">
        <v>51</v>
      </c>
      <c r="D543" s="12"/>
      <c r="E543" s="12">
        <v>48876</v>
      </c>
      <c r="F543" s="24"/>
      <c r="G543" s="24">
        <v>7713085</v>
      </c>
      <c r="H543" s="24"/>
      <c r="I543" s="24">
        <v>0</v>
      </c>
      <c r="J543" s="24"/>
      <c r="K543" s="24">
        <v>20266305</v>
      </c>
      <c r="L543" s="24"/>
      <c r="M543" s="24">
        <v>72949</v>
      </c>
      <c r="N543" s="24"/>
      <c r="O543" s="24">
        <v>1184090</v>
      </c>
      <c r="P543" s="24"/>
      <c r="Q543" s="24">
        <v>276085</v>
      </c>
      <c r="R543" s="24"/>
      <c r="S543" s="24">
        <v>276149</v>
      </c>
      <c r="T543" s="24"/>
      <c r="U543" s="24">
        <v>24370</v>
      </c>
      <c r="V543" s="24"/>
      <c r="W543" s="24">
        <f>927508+582225</f>
        <v>1509733</v>
      </c>
      <c r="X543" s="24"/>
      <c r="Y543" s="38">
        <f t="shared" si="109"/>
        <v>31322766</v>
      </c>
      <c r="Z543" s="24"/>
      <c r="AA543" s="24">
        <v>0</v>
      </c>
      <c r="AB543" s="24"/>
      <c r="AC543" s="24">
        <v>0</v>
      </c>
      <c r="AD543" s="24"/>
      <c r="AE543" s="24">
        <v>0</v>
      </c>
      <c r="AF543" s="24"/>
      <c r="AG543" s="24"/>
      <c r="AH543" s="24"/>
      <c r="AI543" s="24"/>
      <c r="AJ543" s="24"/>
      <c r="AK543" s="24">
        <v>0</v>
      </c>
      <c r="AL543" s="24"/>
      <c r="AM543" s="24">
        <v>0</v>
      </c>
      <c r="AN543" s="24"/>
      <c r="AO543" s="38">
        <f t="shared" si="107"/>
        <v>0</v>
      </c>
      <c r="AP543" s="24"/>
      <c r="AQ543" s="38">
        <f t="shared" si="105"/>
        <v>31322766</v>
      </c>
      <c r="AR543" s="38"/>
      <c r="AS543" s="7"/>
      <c r="AT543" s="7" t="str">
        <f t="shared" si="110"/>
        <v>Tri-Valley Local SD</v>
      </c>
      <c r="AU543" s="7" t="str">
        <f>'Gov Fd BS'!A543</f>
        <v>Tri-Valley Local SD</v>
      </c>
      <c r="AV543" s="7" t="b">
        <f t="shared" si="111"/>
        <v>1</v>
      </c>
      <c r="AW543" s="7" t="str">
        <f t="shared" si="108"/>
        <v>Muskingum</v>
      </c>
      <c r="AX543" s="7" t="b">
        <f>C543='Gov Fd BS'!C543</f>
        <v>1</v>
      </c>
    </row>
    <row r="544" spans="1:50" hidden="1">
      <c r="A544" s="12" t="s">
        <v>726</v>
      </c>
      <c r="B544" s="12"/>
      <c r="C544" s="12" t="s">
        <v>21</v>
      </c>
      <c r="D544" s="12"/>
      <c r="E544" s="12">
        <v>46680</v>
      </c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38">
        <f t="shared" si="109"/>
        <v>0</v>
      </c>
      <c r="Z544" s="24"/>
      <c r="AA544" s="24"/>
      <c r="AB544" s="24"/>
      <c r="AC544" s="24">
        <v>0</v>
      </c>
      <c r="AD544" s="24"/>
      <c r="AE544" s="24"/>
      <c r="AF544" s="24"/>
      <c r="AG544" s="24"/>
      <c r="AH544" s="24"/>
      <c r="AI544" s="24"/>
      <c r="AJ544" s="24"/>
      <c r="AK544" s="24"/>
      <c r="AL544" s="24"/>
      <c r="AM544" s="24">
        <v>0</v>
      </c>
      <c r="AN544" s="24"/>
      <c r="AO544" s="38">
        <f t="shared" si="107"/>
        <v>0</v>
      </c>
      <c r="AP544" s="24"/>
      <c r="AQ544" s="38">
        <f t="shared" ref="AQ544:AQ607" si="112">Y544+AO544</f>
        <v>0</v>
      </c>
      <c r="AR544" s="38"/>
      <c r="AS544" s="7"/>
      <c r="AT544" s="7" t="str">
        <f t="shared" si="110"/>
        <v>Tri-Village Local SD (CASH)</v>
      </c>
      <c r="AU544" s="7" t="str">
        <f>'Gov Fd BS'!A544</f>
        <v>Tri-Village Local SD (CASH)</v>
      </c>
      <c r="AV544" s="7" t="b">
        <f t="shared" si="111"/>
        <v>1</v>
      </c>
      <c r="AW544" s="7" t="str">
        <f t="shared" si="108"/>
        <v>Darke</v>
      </c>
      <c r="AX544" s="7" t="b">
        <f>C544='Gov Fd BS'!C544</f>
        <v>1</v>
      </c>
    </row>
    <row r="545" spans="1:50" hidden="1">
      <c r="A545" s="12" t="s">
        <v>569</v>
      </c>
      <c r="B545" s="12"/>
      <c r="C545" s="12" t="s">
        <v>71</v>
      </c>
      <c r="D545" s="12"/>
      <c r="E545" s="12">
        <v>50591</v>
      </c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38">
        <f t="shared" si="109"/>
        <v>0</v>
      </c>
      <c r="Z545" s="24"/>
      <c r="AA545" s="24"/>
      <c r="AB545" s="24"/>
      <c r="AC545" s="24">
        <v>0</v>
      </c>
      <c r="AD545" s="24"/>
      <c r="AE545" s="24"/>
      <c r="AF545" s="24"/>
      <c r="AG545" s="24"/>
      <c r="AH545" s="24"/>
      <c r="AI545" s="24"/>
      <c r="AJ545" s="24"/>
      <c r="AK545" s="24"/>
      <c r="AL545" s="24"/>
      <c r="AM545" s="24">
        <v>0</v>
      </c>
      <c r="AN545" s="24"/>
      <c r="AO545" s="38">
        <f t="shared" si="107"/>
        <v>0</v>
      </c>
      <c r="AP545" s="24"/>
      <c r="AQ545" s="38">
        <f t="shared" si="112"/>
        <v>0</v>
      </c>
      <c r="AR545" s="38"/>
      <c r="AS545" s="7" t="s">
        <v>795</v>
      </c>
      <c r="AT545" s="7" t="str">
        <f t="shared" si="110"/>
        <v>Triway Local SD</v>
      </c>
      <c r="AU545" s="7" t="str">
        <f>'Gov Fd BS'!A545</f>
        <v>Triway Local SD</v>
      </c>
      <c r="AV545" s="7" t="b">
        <f t="shared" si="111"/>
        <v>1</v>
      </c>
      <c r="AW545" s="7" t="str">
        <f t="shared" si="108"/>
        <v>Wayne</v>
      </c>
      <c r="AX545" s="7" t="b">
        <f>C545='Gov Fd BS'!C545</f>
        <v>1</v>
      </c>
    </row>
    <row r="546" spans="1:50">
      <c r="A546" s="12" t="s">
        <v>449</v>
      </c>
      <c r="B546" s="12"/>
      <c r="C546" s="12" t="s">
        <v>50</v>
      </c>
      <c r="D546" s="12"/>
      <c r="E546" s="12">
        <v>48694</v>
      </c>
      <c r="F546" s="24"/>
      <c r="G546" s="24">
        <v>11110044</v>
      </c>
      <c r="H546" s="24"/>
      <c r="I546" s="24">
        <v>0</v>
      </c>
      <c r="J546" s="24"/>
      <c r="K546" s="24">
        <v>29944501</v>
      </c>
      <c r="L546" s="24"/>
      <c r="M546" s="24">
        <v>22071</v>
      </c>
      <c r="N546" s="24"/>
      <c r="O546" s="24">
        <v>404323</v>
      </c>
      <c r="P546" s="24"/>
      <c r="Q546" s="24">
        <v>149389</v>
      </c>
      <c r="R546" s="24"/>
      <c r="S546" s="24">
        <v>55770</v>
      </c>
      <c r="T546" s="24"/>
      <c r="U546" s="24">
        <v>0</v>
      </c>
      <c r="V546" s="24"/>
      <c r="W546" s="24">
        <f>455304+161129</f>
        <v>616433</v>
      </c>
      <c r="X546" s="24"/>
      <c r="Y546" s="38">
        <f t="shared" si="109"/>
        <v>42302531</v>
      </c>
      <c r="Z546" s="24"/>
      <c r="AA546" s="24">
        <v>561702</v>
      </c>
      <c r="AB546" s="24"/>
      <c r="AC546" s="24">
        <v>0</v>
      </c>
      <c r="AD546" s="24"/>
      <c r="AE546" s="24">
        <f>5500+500000</f>
        <v>505500</v>
      </c>
      <c r="AF546" s="24"/>
      <c r="AG546" s="24"/>
      <c r="AH546" s="24"/>
      <c r="AI546" s="24"/>
      <c r="AJ546" s="24"/>
      <c r="AK546" s="24">
        <v>0</v>
      </c>
      <c r="AL546" s="24"/>
      <c r="AM546" s="24">
        <v>0</v>
      </c>
      <c r="AN546" s="24"/>
      <c r="AO546" s="38">
        <f t="shared" si="107"/>
        <v>1067202</v>
      </c>
      <c r="AP546" s="24"/>
      <c r="AQ546" s="38">
        <f t="shared" si="112"/>
        <v>43369733</v>
      </c>
      <c r="AR546" s="38"/>
      <c r="AS546" s="7"/>
      <c r="AT546" s="7" t="str">
        <f t="shared" si="110"/>
        <v>Trotwood-Madison City SD</v>
      </c>
      <c r="AU546" s="7" t="str">
        <f>'Gov Fd BS'!A546</f>
        <v>Trotwood-Madison City SD</v>
      </c>
      <c r="AV546" s="7" t="b">
        <f t="shared" si="111"/>
        <v>1</v>
      </c>
      <c r="AW546" s="7" t="str">
        <f t="shared" si="108"/>
        <v>Montgomery</v>
      </c>
      <c r="AX546" s="7" t="b">
        <f>C546='Gov Fd BS'!C546</f>
        <v>1</v>
      </c>
    </row>
    <row r="547" spans="1:50">
      <c r="A547" s="12" t="s">
        <v>439</v>
      </c>
      <c r="B547" s="12"/>
      <c r="C547" s="12" t="s">
        <v>48</v>
      </c>
      <c r="D547" s="12"/>
      <c r="E547" s="12">
        <v>44925</v>
      </c>
      <c r="F547" s="24"/>
      <c r="G547" s="24">
        <v>26254081</v>
      </c>
      <c r="H547" s="24"/>
      <c r="I547" s="24">
        <v>0</v>
      </c>
      <c r="J547" s="24"/>
      <c r="K547" s="24">
        <v>22919473</v>
      </c>
      <c r="L547" s="24"/>
      <c r="M547" s="24">
        <v>28709</v>
      </c>
      <c r="N547" s="24"/>
      <c r="O547" s="24">
        <v>989427</v>
      </c>
      <c r="P547" s="24"/>
      <c r="Q547" s="24">
        <v>1002611</v>
      </c>
      <c r="R547" s="24"/>
      <c r="S547" s="24">
        <v>0</v>
      </c>
      <c r="T547" s="24"/>
      <c r="U547" s="24">
        <v>0</v>
      </c>
      <c r="V547" s="24"/>
      <c r="W547" s="24">
        <f>1118539+329241</f>
        <v>1447780</v>
      </c>
      <c r="X547" s="24"/>
      <c r="Y547" s="38">
        <f t="shared" si="109"/>
        <v>52642081</v>
      </c>
      <c r="Z547" s="24"/>
      <c r="AA547" s="24">
        <v>150000</v>
      </c>
      <c r="AB547" s="24"/>
      <c r="AC547" s="24">
        <v>0</v>
      </c>
      <c r="AD547" s="24"/>
      <c r="AE547" s="24">
        <v>0</v>
      </c>
      <c r="AF547" s="24"/>
      <c r="AG547" s="24"/>
      <c r="AH547" s="24"/>
      <c r="AI547" s="24"/>
      <c r="AJ547" s="24"/>
      <c r="AK547" s="24">
        <v>38084</v>
      </c>
      <c r="AL547" s="24"/>
      <c r="AM547" s="24">
        <v>0</v>
      </c>
      <c r="AN547" s="24"/>
      <c r="AO547" s="38">
        <f t="shared" si="107"/>
        <v>188084</v>
      </c>
      <c r="AP547" s="24"/>
      <c r="AQ547" s="38">
        <f t="shared" si="112"/>
        <v>52830165</v>
      </c>
      <c r="AR547" s="38"/>
      <c r="AS547" s="7"/>
      <c r="AT547" s="7" t="str">
        <f t="shared" si="110"/>
        <v>Troy City SD</v>
      </c>
      <c r="AU547" s="7" t="str">
        <f>'Gov Fd BS'!A547</f>
        <v>Troy City SD</v>
      </c>
      <c r="AV547" s="7" t="b">
        <f t="shared" si="111"/>
        <v>1</v>
      </c>
      <c r="AW547" s="7" t="str">
        <f t="shared" si="108"/>
        <v>Miami</v>
      </c>
      <c r="AX547" s="7" t="b">
        <f>C547='Gov Fd BS'!C547</f>
        <v>1</v>
      </c>
    </row>
    <row r="548" spans="1:50">
      <c r="A548" s="12" t="s">
        <v>554</v>
      </c>
      <c r="B548" s="12"/>
      <c r="C548" s="12" t="s">
        <v>65</v>
      </c>
      <c r="D548" s="12"/>
      <c r="E548" s="12">
        <v>50302</v>
      </c>
      <c r="F548" s="24"/>
      <c r="G548" s="24">
        <v>5636876</v>
      </c>
      <c r="H548" s="24"/>
      <c r="I548" s="24">
        <v>0</v>
      </c>
      <c r="J548" s="24"/>
      <c r="K548" s="24">
        <f>6520425+1106791+86</f>
        <v>7627302</v>
      </c>
      <c r="L548" s="24"/>
      <c r="M548" s="24">
        <v>2602</v>
      </c>
      <c r="N548" s="24"/>
      <c r="O548" s="24">
        <f>361577+66660</f>
        <v>428237</v>
      </c>
      <c r="P548" s="24"/>
      <c r="Q548" s="24">
        <v>129480</v>
      </c>
      <c r="R548" s="24"/>
      <c r="S548" s="24">
        <v>0</v>
      </c>
      <c r="T548" s="24"/>
      <c r="U548" s="24">
        <v>207283</v>
      </c>
      <c r="V548" s="24"/>
      <c r="W548" s="24">
        <f>8563+1973+243234</f>
        <v>253770</v>
      </c>
      <c r="X548" s="24"/>
      <c r="Y548" s="38">
        <f t="shared" si="109"/>
        <v>14285550</v>
      </c>
      <c r="Z548" s="24"/>
      <c r="AA548" s="24">
        <v>0</v>
      </c>
      <c r="AB548" s="24"/>
      <c r="AC548" s="24">
        <v>0</v>
      </c>
      <c r="AD548" s="24"/>
      <c r="AE548" s="24">
        <v>440000</v>
      </c>
      <c r="AF548" s="24"/>
      <c r="AG548" s="24"/>
      <c r="AH548" s="24"/>
      <c r="AI548" s="24"/>
      <c r="AJ548" s="24"/>
      <c r="AK548" s="24">
        <v>0</v>
      </c>
      <c r="AL548" s="24"/>
      <c r="AM548" s="24">
        <v>0</v>
      </c>
      <c r="AN548" s="24"/>
      <c r="AO548" s="38">
        <f t="shared" si="107"/>
        <v>440000</v>
      </c>
      <c r="AP548" s="24"/>
      <c r="AQ548" s="38">
        <f t="shared" si="112"/>
        <v>14725550</v>
      </c>
      <c r="AR548" s="38"/>
      <c r="AS548" s="7"/>
      <c r="AT548" s="7" t="str">
        <f t="shared" si="110"/>
        <v>Tuscarawas Valley Local SD</v>
      </c>
      <c r="AU548" s="7" t="str">
        <f>'Gov Fd BS'!A548</f>
        <v>Tuscarawas Valley Local SD</v>
      </c>
      <c r="AV548" s="7" t="b">
        <f t="shared" si="111"/>
        <v>1</v>
      </c>
      <c r="AW548" s="7" t="str">
        <f t="shared" si="108"/>
        <v>Tuscarawas</v>
      </c>
      <c r="AX548" s="7" t="b">
        <f>C548='Gov Fd BS'!C548</f>
        <v>1</v>
      </c>
    </row>
    <row r="549" spans="1:50">
      <c r="A549" s="12" t="s">
        <v>521</v>
      </c>
      <c r="B549" s="12"/>
      <c r="C549" s="12" t="s">
        <v>62</v>
      </c>
      <c r="D549" s="12"/>
      <c r="E549" s="12">
        <v>49957</v>
      </c>
      <c r="F549" s="24"/>
      <c r="G549" s="24">
        <v>5704397</v>
      </c>
      <c r="H549" s="24"/>
      <c r="I549" s="24">
        <v>0</v>
      </c>
      <c r="J549" s="24"/>
      <c r="K549" s="24">
        <v>9924316</v>
      </c>
      <c r="L549" s="24"/>
      <c r="M549" s="24">
        <v>16342</v>
      </c>
      <c r="N549" s="24"/>
      <c r="O549" s="24">
        <v>765082</v>
      </c>
      <c r="P549" s="24"/>
      <c r="Q549" s="24">
        <v>338172</v>
      </c>
      <c r="R549" s="24"/>
      <c r="S549" s="24">
        <v>0</v>
      </c>
      <c r="T549" s="24"/>
      <c r="U549" s="24">
        <v>19572</v>
      </c>
      <c r="V549" s="24"/>
      <c r="W549" s="24">
        <f>34281+308935+10352</f>
        <v>353568</v>
      </c>
      <c r="X549" s="24"/>
      <c r="Y549" s="38">
        <f t="shared" si="109"/>
        <v>17121449</v>
      </c>
      <c r="Z549" s="24"/>
      <c r="AA549" s="24">
        <v>298998</v>
      </c>
      <c r="AB549" s="24"/>
      <c r="AC549" s="24">
        <v>0</v>
      </c>
      <c r="AD549" s="24"/>
      <c r="AE549" s="24">
        <v>0</v>
      </c>
      <c r="AF549" s="24"/>
      <c r="AG549" s="24"/>
      <c r="AH549" s="24"/>
      <c r="AI549" s="24"/>
      <c r="AJ549" s="24"/>
      <c r="AK549" s="24">
        <v>0</v>
      </c>
      <c r="AL549" s="24"/>
      <c r="AM549" s="24">
        <v>0</v>
      </c>
      <c r="AN549" s="24"/>
      <c r="AO549" s="38">
        <f t="shared" si="107"/>
        <v>298998</v>
      </c>
      <c r="AP549" s="24"/>
      <c r="AQ549" s="38">
        <f t="shared" si="112"/>
        <v>17420447</v>
      </c>
      <c r="AR549" s="38"/>
      <c r="AS549" s="7"/>
      <c r="AT549" s="7" t="str">
        <f t="shared" si="110"/>
        <v>Tuslaw Local SD</v>
      </c>
      <c r="AU549" s="7" t="str">
        <f>'Gov Fd BS'!A549</f>
        <v>Tuslaw Local SD</v>
      </c>
      <c r="AV549" s="7" t="b">
        <f t="shared" si="111"/>
        <v>1</v>
      </c>
      <c r="AW549" s="7" t="str">
        <f t="shared" si="108"/>
        <v>Stark</v>
      </c>
      <c r="AX549" s="7" t="b">
        <f>C549='Gov Fd BS'!C549</f>
        <v>1</v>
      </c>
    </row>
    <row r="550" spans="1:50" hidden="1">
      <c r="A550" s="12" t="s">
        <v>732</v>
      </c>
      <c r="B550" s="12"/>
      <c r="C550" s="12" t="s">
        <v>57</v>
      </c>
      <c r="D550" s="12"/>
      <c r="E550" s="12">
        <v>49296</v>
      </c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38">
        <f t="shared" si="109"/>
        <v>0</v>
      </c>
      <c r="Z550" s="24"/>
      <c r="AA550" s="24"/>
      <c r="AB550" s="24"/>
      <c r="AC550" s="24">
        <v>0</v>
      </c>
      <c r="AD550" s="24"/>
      <c r="AE550" s="24"/>
      <c r="AF550" s="24"/>
      <c r="AG550" s="24"/>
      <c r="AH550" s="24"/>
      <c r="AI550" s="24"/>
      <c r="AJ550" s="24"/>
      <c r="AK550" s="24"/>
      <c r="AL550" s="24"/>
      <c r="AM550" s="24">
        <v>0</v>
      </c>
      <c r="AN550" s="24"/>
      <c r="AO550" s="38">
        <f t="shared" si="107"/>
        <v>0</v>
      </c>
      <c r="AP550" s="24"/>
      <c r="AQ550" s="38">
        <f t="shared" si="112"/>
        <v>0</v>
      </c>
      <c r="AR550" s="38"/>
      <c r="AS550" s="7" t="s">
        <v>789</v>
      </c>
      <c r="AT550" s="7" t="str">
        <f t="shared" si="110"/>
        <v>Twin Valley Community Local SD (CASH)</v>
      </c>
      <c r="AU550" s="7" t="str">
        <f>'Gov Fd BS'!A550</f>
        <v>Twin Valley Community Local SD (CASH)</v>
      </c>
      <c r="AV550" s="7" t="b">
        <f t="shared" si="111"/>
        <v>1</v>
      </c>
      <c r="AW550" s="7" t="str">
        <f t="shared" si="108"/>
        <v>Preble</v>
      </c>
      <c r="AX550" s="7" t="b">
        <f>C550='Gov Fd BS'!C550</f>
        <v>1</v>
      </c>
    </row>
    <row r="551" spans="1:50">
      <c r="A551" s="12" t="s">
        <v>532</v>
      </c>
      <c r="B551" s="12"/>
      <c r="C551" s="12" t="s">
        <v>63</v>
      </c>
      <c r="D551" s="12"/>
      <c r="E551" s="12">
        <v>50070</v>
      </c>
      <c r="F551" s="24"/>
      <c r="G551" s="24">
        <v>27763472</v>
      </c>
      <c r="H551" s="24"/>
      <c r="I551" s="24">
        <v>0</v>
      </c>
      <c r="J551" s="24"/>
      <c r="K551" s="24">
        <v>18005049</v>
      </c>
      <c r="L551" s="24"/>
      <c r="M551" s="24">
        <v>69253</v>
      </c>
      <c r="N551" s="24"/>
      <c r="O551" s="24">
        <v>728296</v>
      </c>
      <c r="P551" s="24"/>
      <c r="Q551" s="24">
        <v>341481</v>
      </c>
      <c r="R551" s="24"/>
      <c r="S551" s="24">
        <v>187451</v>
      </c>
      <c r="T551" s="24"/>
      <c r="U551" s="24">
        <v>7800</v>
      </c>
      <c r="V551" s="24"/>
      <c r="W551" s="24">
        <f>912706+84769+44085</f>
        <v>1041560</v>
      </c>
      <c r="X551" s="24"/>
      <c r="Y551" s="38">
        <f t="shared" si="109"/>
        <v>48144362</v>
      </c>
      <c r="Z551" s="24"/>
      <c r="AA551" s="24">
        <v>0</v>
      </c>
      <c r="AB551" s="24"/>
      <c r="AC551" s="24">
        <v>0</v>
      </c>
      <c r="AD551" s="24"/>
      <c r="AE551" s="24">
        <v>0</v>
      </c>
      <c r="AF551" s="24"/>
      <c r="AG551" s="24"/>
      <c r="AH551" s="24"/>
      <c r="AI551" s="24"/>
      <c r="AJ551" s="24"/>
      <c r="AK551" s="24">
        <v>0</v>
      </c>
      <c r="AL551" s="24"/>
      <c r="AM551" s="24">
        <v>0</v>
      </c>
      <c r="AN551" s="24"/>
      <c r="AO551" s="38">
        <f t="shared" si="107"/>
        <v>0</v>
      </c>
      <c r="AP551" s="24"/>
      <c r="AQ551" s="38">
        <f t="shared" si="112"/>
        <v>48144362</v>
      </c>
      <c r="AR551" s="38"/>
      <c r="AS551" s="7"/>
      <c r="AT551" s="7" t="str">
        <f t="shared" si="110"/>
        <v>Twinsburg City SD</v>
      </c>
      <c r="AU551" s="7" t="str">
        <f>'Gov Fd BS'!A551</f>
        <v>Twinsburg City SD</v>
      </c>
      <c r="AV551" s="7" t="b">
        <f t="shared" si="111"/>
        <v>1</v>
      </c>
      <c r="AW551" s="7" t="str">
        <f t="shared" si="108"/>
        <v>Summit</v>
      </c>
      <c r="AX551" s="7" t="b">
        <f>C551='Gov Fd BS'!C551</f>
        <v>1</v>
      </c>
    </row>
    <row r="552" spans="1:50" hidden="1">
      <c r="A552" s="12" t="s">
        <v>219</v>
      </c>
      <c r="B552" s="12"/>
      <c r="C552" s="12" t="s">
        <v>15</v>
      </c>
      <c r="D552" s="12"/>
      <c r="E552" s="12">
        <v>46011</v>
      </c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38">
        <f t="shared" si="109"/>
        <v>0</v>
      </c>
      <c r="Z552" s="24"/>
      <c r="AA552" s="24"/>
      <c r="AB552" s="24"/>
      <c r="AC552" s="24">
        <v>0</v>
      </c>
      <c r="AD552" s="24"/>
      <c r="AE552" s="24"/>
      <c r="AF552" s="24"/>
      <c r="AG552" s="24"/>
      <c r="AH552" s="24"/>
      <c r="AI552" s="24"/>
      <c r="AJ552" s="24"/>
      <c r="AK552" s="24"/>
      <c r="AL552" s="24"/>
      <c r="AM552" s="24">
        <v>0</v>
      </c>
      <c r="AN552" s="24"/>
      <c r="AO552" s="38">
        <f t="shared" si="107"/>
        <v>0</v>
      </c>
      <c r="AP552" s="24"/>
      <c r="AQ552" s="38">
        <f t="shared" si="112"/>
        <v>0</v>
      </c>
      <c r="AR552" s="38"/>
      <c r="AS552" s="7" t="s">
        <v>791</v>
      </c>
      <c r="AT552" s="7" t="str">
        <f t="shared" si="110"/>
        <v>Union Local SD</v>
      </c>
      <c r="AU552" s="7" t="str">
        <f>'Gov Fd BS'!A552</f>
        <v>Union Local SD</v>
      </c>
      <c r="AV552" s="7" t="b">
        <f t="shared" si="111"/>
        <v>1</v>
      </c>
      <c r="AW552" s="7" t="str">
        <f t="shared" si="108"/>
        <v>Belmont</v>
      </c>
      <c r="AX552" s="7" t="b">
        <f>C552='Gov Fd BS'!C552</f>
        <v>1</v>
      </c>
    </row>
    <row r="553" spans="1:50">
      <c r="A553" s="12" t="s">
        <v>491</v>
      </c>
      <c r="B553" s="12"/>
      <c r="C553" s="12" t="s">
        <v>58</v>
      </c>
      <c r="D553" s="12"/>
      <c r="E553" s="12">
        <v>49536</v>
      </c>
      <c r="F553" s="24"/>
      <c r="G553" s="24">
        <v>3894972</v>
      </c>
      <c r="H553" s="24"/>
      <c r="I553" s="24">
        <v>1095382</v>
      </c>
      <c r="J553" s="24"/>
      <c r="K553" s="24">
        <v>12727411</v>
      </c>
      <c r="L553" s="24"/>
      <c r="M553" s="24">
        <v>56002</v>
      </c>
      <c r="N553" s="24"/>
      <c r="O553" s="24">
        <v>2628968</v>
      </c>
      <c r="P553" s="24"/>
      <c r="Q553" s="24">
        <v>114584</v>
      </c>
      <c r="R553" s="24"/>
      <c r="S553" s="24">
        <v>0</v>
      </c>
      <c r="T553" s="24"/>
      <c r="U553" s="24">
        <v>17067</v>
      </c>
      <c r="V553" s="24"/>
      <c r="W553" s="24">
        <f>156620+377547+13059</f>
        <v>547226</v>
      </c>
      <c r="X553" s="24"/>
      <c r="Y553" s="38">
        <f t="shared" ref="Y553:Y617" si="113">SUM(G553:W553)</f>
        <v>21081612</v>
      </c>
      <c r="Z553" s="24"/>
      <c r="AA553" s="24">
        <v>75000</v>
      </c>
      <c r="AB553" s="24"/>
      <c r="AC553" s="24">
        <v>0</v>
      </c>
      <c r="AD553" s="24"/>
      <c r="AE553" s="24">
        <v>0</v>
      </c>
      <c r="AF553" s="24"/>
      <c r="AG553" s="24"/>
      <c r="AH553" s="24"/>
      <c r="AI553" s="24"/>
      <c r="AJ553" s="24"/>
      <c r="AK553" s="24">
        <v>0</v>
      </c>
      <c r="AL553" s="24"/>
      <c r="AM553" s="24">
        <v>0</v>
      </c>
      <c r="AN553" s="24"/>
      <c r="AO553" s="38">
        <f t="shared" ref="AO553:AO565" si="114">AK553+AE553+AA553</f>
        <v>75000</v>
      </c>
      <c r="AP553" s="24"/>
      <c r="AQ553" s="38">
        <f t="shared" si="112"/>
        <v>21156612</v>
      </c>
      <c r="AR553" s="38"/>
      <c r="AS553" s="7"/>
      <c r="AT553" s="7" t="str">
        <f t="shared" si="110"/>
        <v>Union-Scioto Local SD</v>
      </c>
      <c r="AU553" s="7" t="str">
        <f>'Gov Fd BS'!A553</f>
        <v>Union-Scioto Local SD</v>
      </c>
      <c r="AV553" s="7" t="b">
        <f t="shared" si="111"/>
        <v>1</v>
      </c>
      <c r="AW553" s="7" t="str">
        <f t="shared" si="108"/>
        <v>Ross</v>
      </c>
      <c r="AX553" s="7" t="b">
        <f>C553='Gov Fd BS'!C553</f>
        <v>1</v>
      </c>
    </row>
    <row r="554" spans="1:50">
      <c r="A554" s="12" t="s">
        <v>257</v>
      </c>
      <c r="B554" s="12"/>
      <c r="C554" s="12" t="s">
        <v>112</v>
      </c>
      <c r="D554" s="12"/>
      <c r="E554" s="12">
        <v>46458</v>
      </c>
      <c r="F554" s="24"/>
      <c r="G554" s="24">
        <v>2423639</v>
      </c>
      <c r="H554" s="24"/>
      <c r="I554" s="24">
        <v>671530</v>
      </c>
      <c r="J554" s="24"/>
      <c r="K554" s="24">
        <f>1500+6884488+1465149</f>
        <v>8351137</v>
      </c>
      <c r="L554" s="24"/>
      <c r="M554" s="24">
        <v>244719</v>
      </c>
      <c r="N554" s="24"/>
      <c r="O554" s="24">
        <f>750725+28676+32489</f>
        <v>811890</v>
      </c>
      <c r="P554" s="24"/>
      <c r="Q554" s="24">
        <v>222959</v>
      </c>
      <c r="R554" s="24"/>
      <c r="S554" s="24">
        <v>0</v>
      </c>
      <c r="T554" s="24"/>
      <c r="U554" s="24">
        <v>18151</v>
      </c>
      <c r="V554" s="24"/>
      <c r="W554" s="24">
        <f>7963+200+16352+275702</f>
        <v>300217</v>
      </c>
      <c r="X554" s="24"/>
      <c r="Y554" s="38">
        <f t="shared" si="113"/>
        <v>13044242</v>
      </c>
      <c r="Z554" s="24"/>
      <c r="AA554" s="24">
        <v>0</v>
      </c>
      <c r="AB554" s="24"/>
      <c r="AC554" s="24">
        <v>0</v>
      </c>
      <c r="AD554" s="24"/>
      <c r="AE554" s="24">
        <v>0</v>
      </c>
      <c r="AF554" s="24"/>
      <c r="AG554" s="24"/>
      <c r="AH554" s="24"/>
      <c r="AI554" s="24"/>
      <c r="AJ554" s="24"/>
      <c r="AK554" s="24">
        <v>0</v>
      </c>
      <c r="AL554" s="24"/>
      <c r="AM554" s="24">
        <v>0</v>
      </c>
      <c r="AN554" s="24"/>
      <c r="AO554" s="38">
        <f t="shared" si="114"/>
        <v>0</v>
      </c>
      <c r="AP554" s="24"/>
      <c r="AQ554" s="38">
        <f t="shared" si="112"/>
        <v>13044242</v>
      </c>
      <c r="AR554" s="38"/>
      <c r="AS554" s="7"/>
      <c r="AT554" s="7" t="str">
        <f t="shared" si="110"/>
        <v>United Local SD</v>
      </c>
      <c r="AU554" s="7" t="str">
        <f>'Gov Fd BS'!A554</f>
        <v>United Local SD</v>
      </c>
      <c r="AV554" s="7" t="b">
        <f t="shared" si="111"/>
        <v>1</v>
      </c>
      <c r="AW554" s="7" t="str">
        <f t="shared" si="108"/>
        <v>Columbiana</v>
      </c>
      <c r="AX554" s="7" t="b">
        <f>C554='Gov Fd BS'!C554</f>
        <v>1</v>
      </c>
    </row>
    <row r="555" spans="1:50">
      <c r="A555" s="12" t="s">
        <v>314</v>
      </c>
      <c r="B555" s="12"/>
      <c r="C555" s="12" t="s">
        <v>27</v>
      </c>
      <c r="D555" s="12"/>
      <c r="E555" s="12">
        <v>44933</v>
      </c>
      <c r="F555" s="24"/>
      <c r="G555" s="24">
        <v>68048715</v>
      </c>
      <c r="H555" s="24"/>
      <c r="I555" s="24">
        <v>0</v>
      </c>
      <c r="J555" s="24"/>
      <c r="K555" s="24">
        <f>2837953+15383720+908005</f>
        <v>19129678</v>
      </c>
      <c r="L555" s="24"/>
      <c r="M555" s="24">
        <v>264612</v>
      </c>
      <c r="N555" s="24"/>
      <c r="O555" s="24">
        <v>390995</v>
      </c>
      <c r="P555" s="24"/>
      <c r="Q555" s="24">
        <v>1387063</v>
      </c>
      <c r="R555" s="24"/>
      <c r="S555" s="24">
        <v>117152</v>
      </c>
      <c r="T555" s="24"/>
      <c r="U555" s="24">
        <v>0</v>
      </c>
      <c r="V555" s="24"/>
      <c r="W555" s="24">
        <f>1093044+3359511</f>
        <v>4452555</v>
      </c>
      <c r="X555" s="24"/>
      <c r="Y555" s="38">
        <f t="shared" si="113"/>
        <v>93790770</v>
      </c>
      <c r="Z555" s="24"/>
      <c r="AA555" s="24">
        <v>151175</v>
      </c>
      <c r="AB555" s="24"/>
      <c r="AC555" s="24">
        <v>0</v>
      </c>
      <c r="AD555" s="24"/>
      <c r="AE555" s="24">
        <v>2491</v>
      </c>
      <c r="AF555" s="24"/>
      <c r="AG555" s="24"/>
      <c r="AH555" s="24"/>
      <c r="AI555" s="24"/>
      <c r="AJ555" s="24"/>
      <c r="AK555" s="24">
        <v>0</v>
      </c>
      <c r="AL555" s="24"/>
      <c r="AM555" s="24">
        <v>0</v>
      </c>
      <c r="AN555" s="24"/>
      <c r="AO555" s="38">
        <f t="shared" si="114"/>
        <v>153666</v>
      </c>
      <c r="AP555" s="24"/>
      <c r="AQ555" s="38">
        <f t="shared" si="112"/>
        <v>93944436</v>
      </c>
      <c r="AR555" s="38"/>
      <c r="AS555" s="7"/>
      <c r="AT555" s="7" t="str">
        <f t="shared" si="110"/>
        <v>Upper Arlington City SD</v>
      </c>
      <c r="AU555" s="7" t="str">
        <f>'Gov Fd BS'!A555</f>
        <v>Upper Arlington City SD</v>
      </c>
      <c r="AV555" s="7" t="b">
        <f t="shared" si="111"/>
        <v>1</v>
      </c>
      <c r="AW555" s="7" t="str">
        <f t="shared" si="108"/>
        <v>Franklin</v>
      </c>
      <c r="AX555" s="7" t="b">
        <f>C555='Gov Fd BS'!C555</f>
        <v>1</v>
      </c>
    </row>
    <row r="556" spans="1:50" hidden="1">
      <c r="A556" s="12" t="s">
        <v>888</v>
      </c>
      <c r="B556" s="12"/>
      <c r="C556" s="12" t="s">
        <v>577</v>
      </c>
      <c r="D556" s="12"/>
      <c r="E556" s="12">
        <v>45625</v>
      </c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38">
        <f t="shared" si="113"/>
        <v>0</v>
      </c>
      <c r="Z556" s="24"/>
      <c r="AA556" s="24"/>
      <c r="AB556" s="24"/>
      <c r="AC556" s="24">
        <v>0</v>
      </c>
      <c r="AD556" s="24"/>
      <c r="AE556" s="24"/>
      <c r="AF556" s="24"/>
      <c r="AG556" s="24"/>
      <c r="AH556" s="24"/>
      <c r="AI556" s="24"/>
      <c r="AJ556" s="24"/>
      <c r="AK556" s="24"/>
      <c r="AL556" s="24"/>
      <c r="AM556" s="24">
        <v>0</v>
      </c>
      <c r="AN556" s="24"/>
      <c r="AO556" s="38">
        <f t="shared" si="114"/>
        <v>0</v>
      </c>
      <c r="AP556" s="24"/>
      <c r="AQ556" s="38">
        <f t="shared" si="112"/>
        <v>0</v>
      </c>
      <c r="AR556" s="38"/>
      <c r="AS556" s="7" t="s">
        <v>789</v>
      </c>
      <c r="AT556" s="7" t="str">
        <f t="shared" si="110"/>
        <v>Upper Sandusky Exempted Village SD (CASH)</v>
      </c>
      <c r="AU556" s="7" t="str">
        <f>'Gov Fd BS'!A556</f>
        <v>Upper Sandusky Exempted Village SD (CASH)</v>
      </c>
      <c r="AV556" s="7" t="b">
        <f t="shared" si="111"/>
        <v>1</v>
      </c>
      <c r="AW556" s="7" t="str">
        <f t="shared" si="108"/>
        <v>Wyandot</v>
      </c>
      <c r="AX556" s="7" t="b">
        <f>C556='Gov Fd BS'!C556</f>
        <v>1</v>
      </c>
    </row>
    <row r="557" spans="1:50" hidden="1">
      <c r="A557" s="12" t="s">
        <v>733</v>
      </c>
      <c r="B557" s="12"/>
      <c r="C557" s="12" t="s">
        <v>348</v>
      </c>
      <c r="D557" s="12"/>
      <c r="E557" s="12">
        <v>47522</v>
      </c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38">
        <f t="shared" si="113"/>
        <v>0</v>
      </c>
      <c r="Z557" s="24"/>
      <c r="AA557" s="24"/>
      <c r="AB557" s="24"/>
      <c r="AC557" s="24">
        <v>0</v>
      </c>
      <c r="AD557" s="24"/>
      <c r="AE557" s="24"/>
      <c r="AF557" s="24"/>
      <c r="AG557" s="24"/>
      <c r="AH557" s="24"/>
      <c r="AI557" s="24"/>
      <c r="AJ557" s="24"/>
      <c r="AK557" s="24"/>
      <c r="AL557" s="24"/>
      <c r="AM557" s="24">
        <v>0</v>
      </c>
      <c r="AN557" s="24"/>
      <c r="AO557" s="38">
        <f t="shared" si="114"/>
        <v>0</v>
      </c>
      <c r="AP557" s="24"/>
      <c r="AQ557" s="38">
        <f t="shared" si="112"/>
        <v>0</v>
      </c>
      <c r="AR557" s="38"/>
      <c r="AS557" s="7" t="s">
        <v>789</v>
      </c>
      <c r="AT557" s="7" t="str">
        <f t="shared" si="110"/>
        <v>Upper Scioto Valley Local SD (CASH)</v>
      </c>
      <c r="AU557" s="7" t="str">
        <f>'Gov Fd BS'!A557</f>
        <v>Upper Scioto Valley Local SD (CASH)</v>
      </c>
      <c r="AV557" s="7" t="b">
        <f t="shared" si="111"/>
        <v>1</v>
      </c>
      <c r="AW557" s="7" t="str">
        <f t="shared" si="108"/>
        <v>Hardin</v>
      </c>
      <c r="AX557" s="7" t="b">
        <f>C557='Gov Fd BS'!C557</f>
        <v>1</v>
      </c>
    </row>
    <row r="558" spans="1:50">
      <c r="A558" s="12" t="s">
        <v>234</v>
      </c>
      <c r="B558" s="12"/>
      <c r="C558" s="12" t="s">
        <v>232</v>
      </c>
      <c r="D558" s="12"/>
      <c r="E558" s="12">
        <v>44941</v>
      </c>
      <c r="F558" s="24"/>
      <c r="G558" s="24">
        <v>8128091</v>
      </c>
      <c r="H558" s="24"/>
      <c r="I558" s="24">
        <v>0</v>
      </c>
      <c r="J558" s="24"/>
      <c r="K558" s="24">
        <f>138603+12456188+3868168</f>
        <v>16462959</v>
      </c>
      <c r="L558" s="24"/>
      <c r="M558" s="24">
        <v>39297</v>
      </c>
      <c r="N558" s="24"/>
      <c r="O558" s="24">
        <f>729197+53102+22211</f>
        <v>804510</v>
      </c>
      <c r="P558" s="24"/>
      <c r="Q558" s="24">
        <v>441467</v>
      </c>
      <c r="R558" s="24"/>
      <c r="S558" s="24">
        <v>0</v>
      </c>
      <c r="T558" s="24"/>
      <c r="U558" s="24">
        <v>46513</v>
      </c>
      <c r="V558" s="24"/>
      <c r="W558" s="24">
        <f>34191+9824+316631</f>
        <v>360646</v>
      </c>
      <c r="X558" s="24"/>
      <c r="Y558" s="38">
        <f t="shared" si="113"/>
        <v>26283483</v>
      </c>
      <c r="Z558" s="24"/>
      <c r="AA558" s="24">
        <v>0</v>
      </c>
      <c r="AB558" s="24"/>
      <c r="AC558" s="24">
        <v>0</v>
      </c>
      <c r="AD558" s="24"/>
      <c r="AE558" s="24">
        <v>0</v>
      </c>
      <c r="AF558" s="24"/>
      <c r="AG558" s="24"/>
      <c r="AH558" s="24"/>
      <c r="AI558" s="24"/>
      <c r="AJ558" s="24"/>
      <c r="AK558" s="24">
        <v>0</v>
      </c>
      <c r="AL558" s="24"/>
      <c r="AM558" s="24">
        <v>0</v>
      </c>
      <c r="AN558" s="24"/>
      <c r="AO558" s="38">
        <f t="shared" si="114"/>
        <v>0</v>
      </c>
      <c r="AP558" s="24"/>
      <c r="AQ558" s="38">
        <f t="shared" si="112"/>
        <v>26283483</v>
      </c>
      <c r="AR558" s="38"/>
      <c r="AS558" s="7"/>
      <c r="AT558" s="7" t="str">
        <f t="shared" si="110"/>
        <v>Urbana City SD</v>
      </c>
      <c r="AU558" s="7" t="str">
        <f>'Gov Fd BS'!A558</f>
        <v>Urbana City SD</v>
      </c>
      <c r="AV558" s="7" t="b">
        <f t="shared" si="111"/>
        <v>1</v>
      </c>
      <c r="AW558" s="7" t="str">
        <f t="shared" si="108"/>
        <v>Champaign</v>
      </c>
      <c r="AX558" s="7" t="b">
        <f>C558='Gov Fd BS'!C558</f>
        <v>1</v>
      </c>
    </row>
    <row r="559" spans="1:50" hidden="1">
      <c r="A559" s="12" t="s">
        <v>734</v>
      </c>
      <c r="B559" s="12"/>
      <c r="C559" s="12" t="s">
        <v>59</v>
      </c>
      <c r="D559" s="12"/>
      <c r="E559" s="12">
        <v>49643</v>
      </c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38">
        <f t="shared" si="113"/>
        <v>0</v>
      </c>
      <c r="Z559" s="24"/>
      <c r="AA559" s="24"/>
      <c r="AB559" s="24"/>
      <c r="AC559" s="24">
        <v>0</v>
      </c>
      <c r="AD559" s="24"/>
      <c r="AE559" s="24"/>
      <c r="AF559" s="24"/>
      <c r="AG559" s="24"/>
      <c r="AH559" s="24"/>
      <c r="AI559" s="24"/>
      <c r="AJ559" s="24"/>
      <c r="AK559" s="24"/>
      <c r="AL559" s="24"/>
      <c r="AM559" s="24">
        <v>0</v>
      </c>
      <c r="AN559" s="24"/>
      <c r="AO559" s="38">
        <f t="shared" si="114"/>
        <v>0</v>
      </c>
      <c r="AP559" s="24"/>
      <c r="AQ559" s="38">
        <f t="shared" si="112"/>
        <v>0</v>
      </c>
      <c r="AR559" s="38"/>
      <c r="AS559" s="7" t="s">
        <v>789</v>
      </c>
      <c r="AT559" s="7" t="str">
        <f t="shared" si="110"/>
        <v>Valley Local SD (CASH)</v>
      </c>
      <c r="AU559" s="7" t="str">
        <f>'Gov Fd BS'!A559</f>
        <v>Valley Local SD (CASH)</v>
      </c>
      <c r="AV559" s="7" t="b">
        <f t="shared" si="111"/>
        <v>1</v>
      </c>
      <c r="AW559" s="7" t="str">
        <f t="shared" si="108"/>
        <v>Scioto</v>
      </c>
      <c r="AX559" s="7" t="b">
        <f>C559='Gov Fd BS'!C559</f>
        <v>1</v>
      </c>
    </row>
    <row r="560" spans="1:50">
      <c r="A560" s="12" t="s">
        <v>450</v>
      </c>
      <c r="B560" s="12"/>
      <c r="C560" s="12" t="s">
        <v>50</v>
      </c>
      <c r="D560" s="12"/>
      <c r="E560" s="12">
        <v>48744</v>
      </c>
      <c r="F560" s="24"/>
      <c r="G560" s="24">
        <v>4953898</v>
      </c>
      <c r="H560" s="24"/>
      <c r="I560" s="24">
        <v>2795370</v>
      </c>
      <c r="J560" s="24"/>
      <c r="K560" s="24">
        <f>8479804+1515455</f>
        <v>9995259</v>
      </c>
      <c r="L560" s="24"/>
      <c r="M560" s="24">
        <v>61803</v>
      </c>
      <c r="N560" s="24"/>
      <c r="O560" s="24">
        <f>113445+100837</f>
        <v>214282</v>
      </c>
      <c r="P560" s="24"/>
      <c r="Q560" s="24">
        <v>323916</v>
      </c>
      <c r="R560" s="24"/>
      <c r="S560" s="24">
        <v>0</v>
      </c>
      <c r="T560" s="24"/>
      <c r="U560" s="24">
        <v>29306</v>
      </c>
      <c r="V560" s="24"/>
      <c r="W560" s="24">
        <f>50137+18864+473099</f>
        <v>542100</v>
      </c>
      <c r="X560" s="24"/>
      <c r="Y560" s="38">
        <f t="shared" si="113"/>
        <v>18915934</v>
      </c>
      <c r="Z560" s="24"/>
      <c r="AA560" s="24">
        <v>41982</v>
      </c>
      <c r="AB560" s="24"/>
      <c r="AC560" s="24">
        <v>0</v>
      </c>
      <c r="AD560" s="24"/>
      <c r="AE560" s="24">
        <v>296105</v>
      </c>
      <c r="AF560" s="24"/>
      <c r="AG560" s="24"/>
      <c r="AH560" s="24"/>
      <c r="AI560" s="24"/>
      <c r="AJ560" s="24"/>
      <c r="AK560" s="24">
        <v>0</v>
      </c>
      <c r="AL560" s="24"/>
      <c r="AM560" s="24">
        <v>175000</v>
      </c>
      <c r="AN560" s="24"/>
      <c r="AO560" s="38">
        <f>AK560+AE560+AA560</f>
        <v>338087</v>
      </c>
      <c r="AP560" s="24"/>
      <c r="AQ560" s="38">
        <f>Y560+AO560+AM560</f>
        <v>19429021</v>
      </c>
      <c r="AR560" s="38"/>
      <c r="AS560" s="7"/>
      <c r="AT560" s="7" t="str">
        <f t="shared" si="110"/>
        <v>Valley View Local SD</v>
      </c>
      <c r="AU560" s="7" t="str">
        <f>'Gov Fd BS'!A560</f>
        <v>Valley View Local SD</v>
      </c>
      <c r="AV560" s="7" t="b">
        <f t="shared" si="111"/>
        <v>1</v>
      </c>
      <c r="AW560" s="7" t="str">
        <f t="shared" si="108"/>
        <v>Montgomery</v>
      </c>
      <c r="AX560" s="7" t="b">
        <f>C560='Gov Fd BS'!C560</f>
        <v>1</v>
      </c>
    </row>
    <row r="561" spans="1:50">
      <c r="A561" s="12" t="s">
        <v>347</v>
      </c>
      <c r="B561" s="12"/>
      <c r="C561" s="12" t="s">
        <v>33</v>
      </c>
      <c r="D561" s="12"/>
      <c r="E561" s="12">
        <v>47464</v>
      </c>
      <c r="F561" s="24"/>
      <c r="G561" s="24">
        <v>6594399</v>
      </c>
      <c r="H561" s="24"/>
      <c r="I561" s="24">
        <v>0</v>
      </c>
      <c r="J561" s="24"/>
      <c r="K561" s="24">
        <v>4477267</v>
      </c>
      <c r="L561" s="24"/>
      <c r="M561" s="24">
        <v>42569</v>
      </c>
      <c r="N561" s="24"/>
      <c r="O561" s="24">
        <v>949225</v>
      </c>
      <c r="P561" s="24"/>
      <c r="Q561" s="24">
        <v>110704</v>
      </c>
      <c r="R561" s="24"/>
      <c r="S561" s="24">
        <v>169815</v>
      </c>
      <c r="T561" s="24"/>
      <c r="U561" s="24">
        <v>66403</v>
      </c>
      <c r="V561" s="24"/>
      <c r="W561" s="24">
        <f>48822+200517</f>
        <v>249339</v>
      </c>
      <c r="X561" s="24"/>
      <c r="Y561" s="38">
        <f t="shared" si="113"/>
        <v>12659721</v>
      </c>
      <c r="Z561" s="24"/>
      <c r="AA561" s="24">
        <v>20000</v>
      </c>
      <c r="AB561" s="24"/>
      <c r="AC561" s="24">
        <v>0</v>
      </c>
      <c r="AD561" s="24"/>
      <c r="AE561" s="24">
        <v>0</v>
      </c>
      <c r="AF561" s="24"/>
      <c r="AG561" s="24"/>
      <c r="AH561" s="24"/>
      <c r="AI561" s="24"/>
      <c r="AJ561" s="24"/>
      <c r="AK561" s="24">
        <v>0</v>
      </c>
      <c r="AL561" s="24"/>
      <c r="AM561" s="24">
        <v>0</v>
      </c>
      <c r="AN561" s="24"/>
      <c r="AO561" s="38">
        <f t="shared" si="114"/>
        <v>20000</v>
      </c>
      <c r="AP561" s="24"/>
      <c r="AQ561" s="38">
        <f t="shared" si="112"/>
        <v>12679721</v>
      </c>
      <c r="AR561" s="38"/>
      <c r="AS561" s="7"/>
      <c r="AT561" s="7" t="str">
        <f t="shared" si="110"/>
        <v>Van Buren Local SD</v>
      </c>
      <c r="AU561" s="7" t="str">
        <f>'Gov Fd BS'!A561</f>
        <v>Van Buren Local SD</v>
      </c>
      <c r="AV561" s="7" t="b">
        <f t="shared" si="111"/>
        <v>1</v>
      </c>
      <c r="AW561" s="7" t="str">
        <f t="shared" si="108"/>
        <v>Hancock</v>
      </c>
      <c r="AX561" s="7" t="b">
        <f>C561='Gov Fd BS'!C561</f>
        <v>1</v>
      </c>
    </row>
    <row r="562" spans="1:50" hidden="1">
      <c r="A562" s="12" t="s">
        <v>978</v>
      </c>
      <c r="B562" s="12"/>
      <c r="C562" s="12" t="s">
        <v>67</v>
      </c>
      <c r="D562" s="12"/>
      <c r="E562" s="12">
        <v>44966</v>
      </c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38">
        <f t="shared" si="113"/>
        <v>0</v>
      </c>
      <c r="Z562" s="24"/>
      <c r="AA562" s="24"/>
      <c r="AB562" s="24"/>
      <c r="AC562" s="24">
        <v>0</v>
      </c>
      <c r="AD562" s="24"/>
      <c r="AE562" s="24"/>
      <c r="AF562" s="24"/>
      <c r="AG562" s="24"/>
      <c r="AH562" s="24"/>
      <c r="AI562" s="24"/>
      <c r="AJ562" s="24"/>
      <c r="AK562" s="24"/>
      <c r="AL562" s="24"/>
      <c r="AM562" s="24">
        <v>0</v>
      </c>
      <c r="AN562" s="24"/>
      <c r="AO562" s="38">
        <f t="shared" si="114"/>
        <v>0</v>
      </c>
      <c r="AP562" s="24"/>
      <c r="AQ562" s="38">
        <f t="shared" si="112"/>
        <v>0</v>
      </c>
      <c r="AR562" s="38"/>
      <c r="AS562" s="7" t="s">
        <v>979</v>
      </c>
      <c r="AT562" s="7" t="str">
        <f t="shared" si="110"/>
        <v>Van Wert City SD (CASH)</v>
      </c>
      <c r="AU562" s="7" t="str">
        <f>'Gov Fd BS'!A562</f>
        <v>Van Wert City SD (CASH)</v>
      </c>
      <c r="AV562" s="7" t="b">
        <f t="shared" si="111"/>
        <v>1</v>
      </c>
      <c r="AW562" s="7" t="str">
        <f t="shared" si="108"/>
        <v>Van Wert</v>
      </c>
      <c r="AX562" s="7" t="b">
        <f>C562='Gov Fd BS'!C562</f>
        <v>1</v>
      </c>
    </row>
    <row r="563" spans="1:50">
      <c r="A563" s="12" t="s">
        <v>451</v>
      </c>
      <c r="B563" s="12"/>
      <c r="C563" s="12" t="s">
        <v>50</v>
      </c>
      <c r="D563" s="12"/>
      <c r="E563" s="12">
        <v>44958</v>
      </c>
      <c r="F563" s="24"/>
      <c r="G563" s="24">
        <v>22660821</v>
      </c>
      <c r="H563" s="24"/>
      <c r="I563" s="24">
        <v>0</v>
      </c>
      <c r="J563" s="24"/>
      <c r="K563" s="24">
        <f>11074249+2770199</f>
        <v>13844448</v>
      </c>
      <c r="L563" s="24"/>
      <c r="M563" s="24">
        <v>120913</v>
      </c>
      <c r="N563" s="24"/>
      <c r="O563" s="24">
        <f>493010+154333+166398</f>
        <v>813741</v>
      </c>
      <c r="P563" s="24"/>
      <c r="Q563" s="24">
        <v>388489</v>
      </c>
      <c r="R563" s="24"/>
      <c r="S563" s="24">
        <v>437386</v>
      </c>
      <c r="T563" s="24"/>
      <c r="U563" s="24">
        <v>157148</v>
      </c>
      <c r="V563" s="24"/>
      <c r="W563" s="24">
        <f>52341+279553+10464+654254</f>
        <v>996612</v>
      </c>
      <c r="X563" s="24"/>
      <c r="Y563" s="38">
        <f t="shared" si="113"/>
        <v>39419558</v>
      </c>
      <c r="Z563" s="24"/>
      <c r="AA563" s="24">
        <v>28714</v>
      </c>
      <c r="AB563" s="24"/>
      <c r="AC563" s="24">
        <v>0</v>
      </c>
      <c r="AD563" s="24"/>
      <c r="AE563" s="24">
        <f>90849+3997998+349038</f>
        <v>4437885</v>
      </c>
      <c r="AF563" s="24"/>
      <c r="AG563" s="24"/>
      <c r="AH563" s="24"/>
      <c r="AI563" s="24"/>
      <c r="AJ563" s="24"/>
      <c r="AK563" s="24">
        <v>18319</v>
      </c>
      <c r="AL563" s="24"/>
      <c r="AM563" s="24">
        <v>0</v>
      </c>
      <c r="AN563" s="24"/>
      <c r="AO563" s="38">
        <f t="shared" si="114"/>
        <v>4484918</v>
      </c>
      <c r="AP563" s="24"/>
      <c r="AQ563" s="38">
        <f t="shared" si="112"/>
        <v>43904476</v>
      </c>
      <c r="AR563" s="38"/>
      <c r="AS563" s="7"/>
      <c r="AT563" s="7" t="str">
        <f t="shared" si="110"/>
        <v>Vandalia-Butler City SD</v>
      </c>
      <c r="AU563" s="7" t="str">
        <f>'Gov Fd BS'!A563</f>
        <v>Vandalia-Butler City SD</v>
      </c>
      <c r="AV563" s="7" t="b">
        <f t="shared" si="111"/>
        <v>1</v>
      </c>
      <c r="AW563" s="7" t="str">
        <f t="shared" si="108"/>
        <v>Montgomery</v>
      </c>
      <c r="AX563" s="7" t="b">
        <f>C563='Gov Fd BS'!C563</f>
        <v>1</v>
      </c>
    </row>
    <row r="564" spans="1:50" hidden="1">
      <c r="A564" s="12" t="s">
        <v>736</v>
      </c>
      <c r="B564" s="12"/>
      <c r="C564" s="12" t="s">
        <v>33</v>
      </c>
      <c r="D564" s="12"/>
      <c r="E564" s="12">
        <v>47472</v>
      </c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38">
        <f t="shared" si="113"/>
        <v>0</v>
      </c>
      <c r="Z564" s="24"/>
      <c r="AA564" s="24"/>
      <c r="AB564" s="24"/>
      <c r="AC564" s="24">
        <v>0</v>
      </c>
      <c r="AD564" s="24"/>
      <c r="AE564" s="24"/>
      <c r="AF564" s="24"/>
      <c r="AG564" s="24"/>
      <c r="AH564" s="24"/>
      <c r="AI564" s="24"/>
      <c r="AJ564" s="24"/>
      <c r="AK564" s="24"/>
      <c r="AL564" s="24"/>
      <c r="AM564" s="24">
        <v>0</v>
      </c>
      <c r="AN564" s="24"/>
      <c r="AO564" s="38">
        <f t="shared" si="114"/>
        <v>0</v>
      </c>
      <c r="AP564" s="24"/>
      <c r="AQ564" s="38">
        <f t="shared" si="112"/>
        <v>0</v>
      </c>
      <c r="AR564" s="38"/>
      <c r="AS564" s="7" t="s">
        <v>789</v>
      </c>
      <c r="AT564" s="7" t="str">
        <f t="shared" si="110"/>
        <v>Vanlue Local SD (CASH)</v>
      </c>
      <c r="AU564" s="7" t="str">
        <f>'Gov Fd BS'!A564</f>
        <v>Vanlue Local SD (CASH)</v>
      </c>
      <c r="AV564" s="7" t="b">
        <f t="shared" si="111"/>
        <v>1</v>
      </c>
      <c r="AW564" s="7" t="str">
        <f t="shared" si="108"/>
        <v>Hancock</v>
      </c>
      <c r="AX564" s="7" t="b">
        <f>C564='Gov Fd BS'!C564</f>
        <v>1</v>
      </c>
    </row>
    <row r="565" spans="1:50">
      <c r="A565" s="12" t="s">
        <v>297</v>
      </c>
      <c r="B565" s="12"/>
      <c r="C565" s="12" t="s">
        <v>24</v>
      </c>
      <c r="D565" s="12"/>
      <c r="E565" s="12">
        <v>46821</v>
      </c>
      <c r="F565" s="24"/>
      <c r="G565" s="24">
        <v>14723293</v>
      </c>
      <c r="H565" s="24"/>
      <c r="I565" s="24">
        <v>0</v>
      </c>
      <c r="J565" s="24"/>
      <c r="K565" s="24">
        <f>8080917+2431482</f>
        <v>10512399</v>
      </c>
      <c r="L565" s="24"/>
      <c r="M565" s="24">
        <v>110362</v>
      </c>
      <c r="N565" s="24"/>
      <c r="O565" s="24">
        <f>665444+9057+153605</f>
        <v>828106</v>
      </c>
      <c r="P565" s="24"/>
      <c r="Q565" s="24">
        <v>221988</v>
      </c>
      <c r="R565" s="24"/>
      <c r="S565" s="24">
        <v>0</v>
      </c>
      <c r="T565" s="24"/>
      <c r="U565" s="24">
        <v>33298</v>
      </c>
      <c r="V565" s="24"/>
      <c r="W565" s="24">
        <f>74514+33819+322181</f>
        <v>430514</v>
      </c>
      <c r="X565" s="24"/>
      <c r="Y565" s="38">
        <f t="shared" si="113"/>
        <v>26859960</v>
      </c>
      <c r="Z565" s="24"/>
      <c r="AA565" s="24">
        <v>0</v>
      </c>
      <c r="AB565" s="24"/>
      <c r="AC565" s="24">
        <v>0</v>
      </c>
      <c r="AD565" s="24"/>
      <c r="AE565" s="24">
        <v>118673</v>
      </c>
      <c r="AF565" s="24"/>
      <c r="AG565" s="24"/>
      <c r="AH565" s="24"/>
      <c r="AI565" s="24"/>
      <c r="AJ565" s="24"/>
      <c r="AK565" s="24">
        <v>0</v>
      </c>
      <c r="AL565" s="24"/>
      <c r="AM565" s="24">
        <v>0</v>
      </c>
      <c r="AN565" s="24"/>
      <c r="AO565" s="38">
        <f t="shared" si="114"/>
        <v>118673</v>
      </c>
      <c r="AP565" s="24"/>
      <c r="AQ565" s="38">
        <f t="shared" si="112"/>
        <v>26978633</v>
      </c>
      <c r="AR565" s="38"/>
      <c r="AS565" s="7"/>
      <c r="AT565" s="7" t="str">
        <f t="shared" si="110"/>
        <v>Vermilion Local SD</v>
      </c>
      <c r="AU565" s="7" t="str">
        <f>'Gov Fd BS'!A565</f>
        <v>Vermilion Local SD</v>
      </c>
      <c r="AV565" s="7" t="b">
        <f t="shared" si="111"/>
        <v>1</v>
      </c>
      <c r="AW565" s="7" t="str">
        <f t="shared" si="108"/>
        <v>Erie</v>
      </c>
      <c r="AX565" s="7" t="b">
        <f>C565='Gov Fd BS'!C565</f>
        <v>1</v>
      </c>
    </row>
    <row r="566" spans="1:50" hidden="1">
      <c r="A566" s="12" t="s">
        <v>737</v>
      </c>
      <c r="B566" s="12"/>
      <c r="C566" s="12" t="s">
        <v>21</v>
      </c>
      <c r="D566" s="12"/>
      <c r="E566" s="12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38"/>
      <c r="Z566" s="24"/>
      <c r="AA566" s="24"/>
      <c r="AB566" s="24"/>
      <c r="AC566" s="24">
        <v>0</v>
      </c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38"/>
      <c r="AP566" s="24"/>
      <c r="AQ566" s="38">
        <f t="shared" si="112"/>
        <v>0</v>
      </c>
      <c r="AR566" s="38"/>
      <c r="AS566" s="7" t="s">
        <v>789</v>
      </c>
      <c r="AT566" s="7" t="str">
        <f t="shared" si="110"/>
        <v>Versailles Exempted Village SD (CASH)</v>
      </c>
      <c r="AU566" s="7" t="str">
        <f>'Gov Fd BS'!A566</f>
        <v>Versailles Exempted Village SD (CASH)</v>
      </c>
      <c r="AV566" s="7" t="b">
        <f t="shared" si="111"/>
        <v>1</v>
      </c>
      <c r="AW566" s="7" t="str">
        <f t="shared" si="108"/>
        <v>Darke</v>
      </c>
      <c r="AX566" s="7" t="b">
        <f>C566='Gov Fd BS'!C566</f>
        <v>1</v>
      </c>
    </row>
    <row r="567" spans="1:50">
      <c r="A567" s="12" t="s">
        <v>559</v>
      </c>
      <c r="B567" s="12"/>
      <c r="C567" s="12" t="s">
        <v>68</v>
      </c>
      <c r="D567" s="12"/>
      <c r="E567" s="12">
        <v>50393</v>
      </c>
      <c r="F567" s="24"/>
      <c r="G567" s="24">
        <v>3797835</v>
      </c>
      <c r="H567" s="24"/>
      <c r="I567" s="24">
        <v>0</v>
      </c>
      <c r="J567" s="24"/>
      <c r="K567" s="24">
        <v>23358080</v>
      </c>
      <c r="L567" s="24"/>
      <c r="M567" s="24">
        <v>122435</v>
      </c>
      <c r="N567" s="24"/>
      <c r="O567" s="24">
        <v>430065</v>
      </c>
      <c r="P567" s="24"/>
      <c r="Q567" s="24">
        <v>112851</v>
      </c>
      <c r="R567" s="24"/>
      <c r="S567" s="24">
        <v>641506</v>
      </c>
      <c r="T567" s="24"/>
      <c r="U567" s="24">
        <v>32788</v>
      </c>
      <c r="V567" s="24"/>
      <c r="W567" s="24">
        <f>484027+183470</f>
        <v>667497</v>
      </c>
      <c r="X567" s="24"/>
      <c r="Y567" s="38">
        <f t="shared" si="113"/>
        <v>29163057</v>
      </c>
      <c r="Z567" s="24"/>
      <c r="AA567" s="24">
        <v>81382</v>
      </c>
      <c r="AB567" s="24"/>
      <c r="AC567" s="24">
        <v>0</v>
      </c>
      <c r="AD567" s="24"/>
      <c r="AE567" s="24">
        <v>0</v>
      </c>
      <c r="AF567" s="24"/>
      <c r="AG567" s="24"/>
      <c r="AH567" s="24"/>
      <c r="AI567" s="24"/>
      <c r="AJ567" s="24"/>
      <c r="AK567" s="24">
        <f>3676+37736</f>
        <v>41412</v>
      </c>
      <c r="AL567" s="24"/>
      <c r="AM567" s="24">
        <v>0</v>
      </c>
      <c r="AN567" s="24"/>
      <c r="AO567" s="38">
        <f t="shared" ref="AO567:AO598" si="115">AK567+AE567+AA567</f>
        <v>122794</v>
      </c>
      <c r="AP567" s="24"/>
      <c r="AQ567" s="38">
        <f t="shared" si="112"/>
        <v>29285851</v>
      </c>
      <c r="AR567" s="38"/>
      <c r="AS567" s="7"/>
      <c r="AT567" s="7" t="str">
        <f t="shared" si="110"/>
        <v>Vinton County Local SD</v>
      </c>
      <c r="AU567" s="7" t="str">
        <f>'Gov Fd BS'!A567</f>
        <v>Vinton County Local SD</v>
      </c>
      <c r="AV567" s="7" t="b">
        <f t="shared" si="111"/>
        <v>1</v>
      </c>
      <c r="AW567" s="7" t="str">
        <f t="shared" si="108"/>
        <v>Vinton</v>
      </c>
      <c r="AX567" s="7" t="b">
        <f>C567='Gov Fd BS'!C567</f>
        <v>1</v>
      </c>
    </row>
    <row r="568" spans="1:50">
      <c r="A568" s="12" t="s">
        <v>432</v>
      </c>
      <c r="B568" s="12"/>
      <c r="C568" s="12" t="s">
        <v>47</v>
      </c>
      <c r="D568" s="12"/>
      <c r="E568" s="12">
        <v>44974</v>
      </c>
      <c r="F568" s="24"/>
      <c r="G568" s="24">
        <v>19885970</v>
      </c>
      <c r="H568" s="24"/>
      <c r="I568" s="24">
        <v>0</v>
      </c>
      <c r="J568" s="24"/>
      <c r="K568" s="24">
        <f>1619194+35596852+4585806</f>
        <v>41801852</v>
      </c>
      <c r="L568" s="24"/>
      <c r="M568" s="24">
        <f>1731438-405936</f>
        <v>1325502</v>
      </c>
      <c r="N568" s="24"/>
      <c r="O568" s="24">
        <f>741133+11015+131263</f>
        <v>883411</v>
      </c>
      <c r="P568" s="24"/>
      <c r="Q568" s="24">
        <v>462230</v>
      </c>
      <c r="R568" s="24"/>
      <c r="S568" s="24">
        <v>83589</v>
      </c>
      <c r="T568" s="24"/>
      <c r="U568" s="24">
        <v>10932</v>
      </c>
      <c r="V568" s="24"/>
      <c r="W568" s="24">
        <f>896063+38888+221836+174730</f>
        <v>1331517</v>
      </c>
      <c r="X568" s="24"/>
      <c r="Y568" s="38">
        <f t="shared" si="113"/>
        <v>65785003</v>
      </c>
      <c r="Z568" s="24"/>
      <c r="AA568" s="24">
        <v>814379</v>
      </c>
      <c r="AB568" s="24"/>
      <c r="AC568" s="24">
        <v>0</v>
      </c>
      <c r="AD568" s="24"/>
      <c r="AE568" s="24">
        <f>29049951+2224463</f>
        <v>31274414</v>
      </c>
      <c r="AF568" s="24"/>
      <c r="AG568" s="24"/>
      <c r="AH568" s="24"/>
      <c r="AI568" s="24"/>
      <c r="AJ568" s="24"/>
      <c r="AK568" s="24">
        <v>530</v>
      </c>
      <c r="AL568" s="24"/>
      <c r="AM568" s="24">
        <v>0</v>
      </c>
      <c r="AN568" s="24"/>
      <c r="AO568" s="38">
        <f t="shared" si="115"/>
        <v>32089323</v>
      </c>
      <c r="AP568" s="24"/>
      <c r="AQ568" s="38">
        <f t="shared" si="112"/>
        <v>97874326</v>
      </c>
      <c r="AR568" s="38"/>
      <c r="AS568" s="7"/>
      <c r="AT568" s="7" t="str">
        <f t="shared" si="110"/>
        <v>Wadsworth City SD</v>
      </c>
      <c r="AU568" s="7" t="str">
        <f>'Gov Fd BS'!A568</f>
        <v>Wadsworth City SD</v>
      </c>
      <c r="AV568" s="7" t="b">
        <f t="shared" si="111"/>
        <v>1</v>
      </c>
      <c r="AW568" s="7" t="str">
        <f t="shared" si="108"/>
        <v>Medina</v>
      </c>
      <c r="AX568" s="7" t="b">
        <f>C568='Gov Fd BS'!C568</f>
        <v>1</v>
      </c>
    </row>
    <row r="569" spans="1:50">
      <c r="A569" s="12" t="s">
        <v>547</v>
      </c>
      <c r="B569" s="12"/>
      <c r="C569" s="12" t="s">
        <v>64</v>
      </c>
      <c r="D569" s="12"/>
      <c r="E569" s="12">
        <v>44990</v>
      </c>
      <c r="F569" s="24"/>
      <c r="G569" s="24">
        <v>13754300</v>
      </c>
      <c r="H569" s="24"/>
      <c r="I569" s="24">
        <v>0</v>
      </c>
      <c r="J569" s="24"/>
      <c r="K569" s="24">
        <f>46074597+13562824</f>
        <v>59637421</v>
      </c>
      <c r="L569" s="24"/>
      <c r="M569" s="24">
        <v>303106</v>
      </c>
      <c r="N569" s="24"/>
      <c r="O569" s="24">
        <f>1169537+110847+31173</f>
        <v>1311557</v>
      </c>
      <c r="P569" s="24"/>
      <c r="Q569" s="24">
        <v>151664</v>
      </c>
      <c r="R569" s="24"/>
      <c r="S569" s="24">
        <v>0</v>
      </c>
      <c r="T569" s="24"/>
      <c r="U569" s="24">
        <v>0</v>
      </c>
      <c r="V569" s="24"/>
      <c r="W569" s="24">
        <f>486476+431162</f>
        <v>917638</v>
      </c>
      <c r="X569" s="24"/>
      <c r="Y569" s="38">
        <f t="shared" si="113"/>
        <v>76075686</v>
      </c>
      <c r="Z569" s="24"/>
      <c r="AA569" s="24">
        <v>2549097</v>
      </c>
      <c r="AB569" s="24"/>
      <c r="AC569" s="24">
        <v>0</v>
      </c>
      <c r="AD569" s="24"/>
      <c r="AE569" s="24">
        <v>0</v>
      </c>
      <c r="AF569" s="24"/>
      <c r="AG569" s="24"/>
      <c r="AH569" s="24"/>
      <c r="AI569" s="24"/>
      <c r="AJ569" s="24"/>
      <c r="AK569" s="24">
        <v>38397</v>
      </c>
      <c r="AL569" s="24"/>
      <c r="AM569" s="24">
        <v>0</v>
      </c>
      <c r="AN569" s="24"/>
      <c r="AO569" s="38">
        <f t="shared" si="115"/>
        <v>2587494</v>
      </c>
      <c r="AP569" s="24"/>
      <c r="AQ569" s="38">
        <f t="shared" si="112"/>
        <v>78663180</v>
      </c>
      <c r="AR569" s="38"/>
      <c r="AS569" s="7"/>
      <c r="AT569" s="7" t="str">
        <f t="shared" si="110"/>
        <v>Warren City SD</v>
      </c>
      <c r="AU569" s="7" t="str">
        <f>'Gov Fd BS'!A569</f>
        <v>Warren City SD</v>
      </c>
      <c r="AV569" s="7" t="b">
        <f t="shared" si="111"/>
        <v>1</v>
      </c>
      <c r="AW569" s="7" t="str">
        <f t="shared" si="108"/>
        <v>Trumbull</v>
      </c>
      <c r="AX569" s="7" t="b">
        <f>C569='Gov Fd BS'!C569</f>
        <v>1</v>
      </c>
    </row>
    <row r="570" spans="1:50">
      <c r="A570" s="12" t="s">
        <v>566</v>
      </c>
      <c r="B570" s="12"/>
      <c r="C570" s="12" t="s">
        <v>70</v>
      </c>
      <c r="D570" s="12"/>
      <c r="E570" s="12">
        <v>50500</v>
      </c>
      <c r="F570" s="24"/>
      <c r="G570" s="24">
        <v>5566506</v>
      </c>
      <c r="H570" s="24"/>
      <c r="I570" s="24">
        <v>0</v>
      </c>
      <c r="J570" s="24"/>
      <c r="K570" s="24">
        <v>14764748</v>
      </c>
      <c r="L570" s="24"/>
      <c r="M570" s="24">
        <v>54234</v>
      </c>
      <c r="N570" s="24"/>
      <c r="O570" s="24">
        <v>1435230</v>
      </c>
      <c r="P570" s="24"/>
      <c r="Q570" s="24">
        <v>186847</v>
      </c>
      <c r="R570" s="24"/>
      <c r="S570" s="24">
        <v>0</v>
      </c>
      <c r="T570" s="24"/>
      <c r="U570" s="24">
        <v>51732</v>
      </c>
      <c r="V570" s="24"/>
      <c r="W570" s="24">
        <v>220192</v>
      </c>
      <c r="X570" s="24"/>
      <c r="Y570" s="38">
        <f t="shared" si="113"/>
        <v>22279489</v>
      </c>
      <c r="Z570" s="24"/>
      <c r="AA570" s="24">
        <v>317986</v>
      </c>
      <c r="AB570" s="24"/>
      <c r="AC570" s="24">
        <v>0</v>
      </c>
      <c r="AD570" s="24"/>
      <c r="AE570" s="24">
        <v>0</v>
      </c>
      <c r="AF570" s="24"/>
      <c r="AG570" s="24"/>
      <c r="AH570" s="24"/>
      <c r="AI570" s="24"/>
      <c r="AJ570" s="24"/>
      <c r="AK570" s="24">
        <f>11563+3427</f>
        <v>14990</v>
      </c>
      <c r="AL570" s="24"/>
      <c r="AM570" s="24">
        <v>0</v>
      </c>
      <c r="AN570" s="24"/>
      <c r="AO570" s="38">
        <f t="shared" si="115"/>
        <v>332976</v>
      </c>
      <c r="AP570" s="24"/>
      <c r="AQ570" s="38">
        <f t="shared" si="112"/>
        <v>22612465</v>
      </c>
      <c r="AR570" s="38"/>
      <c r="AS570" s="7"/>
      <c r="AT570" s="7" t="str">
        <f t="shared" si="110"/>
        <v>Warren Local SD</v>
      </c>
      <c r="AU570" s="7" t="str">
        <f>'Gov Fd BS'!A570</f>
        <v>Warren Local SD</v>
      </c>
      <c r="AV570" s="7" t="b">
        <f t="shared" si="111"/>
        <v>1</v>
      </c>
      <c r="AW570" s="7" t="str">
        <f t="shared" si="108"/>
        <v>Washington</v>
      </c>
      <c r="AX570" s="7" t="b">
        <f>C570='Gov Fd BS'!C570</f>
        <v>1</v>
      </c>
    </row>
    <row r="571" spans="1:50">
      <c r="A571" s="12" t="s">
        <v>286</v>
      </c>
      <c r="B571" s="12"/>
      <c r="C571" s="12" t="s">
        <v>20</v>
      </c>
      <c r="D571" s="12"/>
      <c r="E571" s="12">
        <v>45005</v>
      </c>
      <c r="F571" s="24"/>
      <c r="G571" s="24">
        <v>22638598</v>
      </c>
      <c r="H571" s="24"/>
      <c r="I571" s="24">
        <v>0</v>
      </c>
      <c r="J571" s="24"/>
      <c r="K571" s="24">
        <v>20202297</v>
      </c>
      <c r="L571" s="24"/>
      <c r="M571" s="24">
        <v>19773</v>
      </c>
      <c r="N571" s="24"/>
      <c r="O571" s="24">
        <v>96225</v>
      </c>
      <c r="P571" s="24"/>
      <c r="Q571" s="24">
        <v>25590</v>
      </c>
      <c r="R571" s="24"/>
      <c r="S571" s="24">
        <v>0</v>
      </c>
      <c r="T571" s="24"/>
      <c r="U571" s="24">
        <v>4246</v>
      </c>
      <c r="V571" s="24"/>
      <c r="W571" s="24">
        <f>133819+7407+130895</f>
        <v>272121</v>
      </c>
      <c r="X571" s="24"/>
      <c r="Y571" s="38">
        <f t="shared" si="113"/>
        <v>43258850</v>
      </c>
      <c r="Z571" s="24"/>
      <c r="AA571" s="24">
        <v>196309</v>
      </c>
      <c r="AB571" s="24"/>
      <c r="AC571" s="24">
        <v>0</v>
      </c>
      <c r="AD571" s="24"/>
      <c r="AE571" s="24">
        <v>0</v>
      </c>
      <c r="AF571" s="24"/>
      <c r="AG571" s="24"/>
      <c r="AH571" s="24"/>
      <c r="AI571" s="24"/>
      <c r="AJ571" s="24"/>
      <c r="AK571" s="24">
        <v>0</v>
      </c>
      <c r="AL571" s="24"/>
      <c r="AM571" s="24">
        <v>0</v>
      </c>
      <c r="AN571" s="24"/>
      <c r="AO571" s="38">
        <f t="shared" si="115"/>
        <v>196309</v>
      </c>
      <c r="AP571" s="24"/>
      <c r="AQ571" s="38">
        <f t="shared" si="112"/>
        <v>43455159</v>
      </c>
      <c r="AR571" s="38"/>
      <c r="AS571" s="7"/>
      <c r="AT571" s="7" t="str">
        <f t="shared" si="110"/>
        <v>Warrensville Heights City SD</v>
      </c>
      <c r="AU571" s="7" t="str">
        <f>'Gov Fd BS'!A571</f>
        <v>Warrensville Heights City SD</v>
      </c>
      <c r="AV571" s="7" t="b">
        <f t="shared" si="111"/>
        <v>1</v>
      </c>
      <c r="AW571" s="7" t="str">
        <f t="shared" si="108"/>
        <v>Cuyahoga</v>
      </c>
      <c r="AX571" s="7" t="b">
        <f>C571='Gov Fd BS'!C571</f>
        <v>1</v>
      </c>
    </row>
    <row r="572" spans="1:50" ht="12" customHeight="1">
      <c r="A572" s="12" t="s">
        <v>304</v>
      </c>
      <c r="B572" s="12"/>
      <c r="C572" s="12" t="s">
        <v>26</v>
      </c>
      <c r="D572" s="12"/>
      <c r="E572" s="12">
        <v>45013</v>
      </c>
      <c r="F572" s="24"/>
      <c r="G572" s="24">
        <v>5324212</v>
      </c>
      <c r="H572" s="24"/>
      <c r="I572" s="24">
        <v>0</v>
      </c>
      <c r="J572" s="24"/>
      <c r="K572" s="24">
        <v>16624739</v>
      </c>
      <c r="L572" s="24"/>
      <c r="M572" s="24">
        <v>107</v>
      </c>
      <c r="N572" s="24"/>
      <c r="O572" s="24">
        <v>975914</v>
      </c>
      <c r="P572" s="24"/>
      <c r="Q572" s="24">
        <v>263480</v>
      </c>
      <c r="R572" s="24"/>
      <c r="S572" s="24">
        <v>19265</v>
      </c>
      <c r="T572" s="24"/>
      <c r="U572" s="24">
        <v>30884</v>
      </c>
      <c r="V572" s="24"/>
      <c r="W572" s="24">
        <f>153047+6200+348008</f>
        <v>507255</v>
      </c>
      <c r="X572" s="24"/>
      <c r="Y572" s="38">
        <f t="shared" si="113"/>
        <v>23745856</v>
      </c>
      <c r="Z572" s="24"/>
      <c r="AA572" s="24">
        <v>0</v>
      </c>
      <c r="AB572" s="24"/>
      <c r="AC572" s="24">
        <v>0</v>
      </c>
      <c r="AD572" s="24"/>
      <c r="AE572" s="24">
        <v>0</v>
      </c>
      <c r="AF572" s="24"/>
      <c r="AG572" s="24"/>
      <c r="AH572" s="24"/>
      <c r="AI572" s="24"/>
      <c r="AJ572" s="24"/>
      <c r="AK572" s="24">
        <v>228068</v>
      </c>
      <c r="AL572" s="24"/>
      <c r="AM572" s="24">
        <v>0</v>
      </c>
      <c r="AN572" s="24"/>
      <c r="AO572" s="38">
        <f t="shared" si="115"/>
        <v>228068</v>
      </c>
      <c r="AP572" s="24"/>
      <c r="AQ572" s="38">
        <f t="shared" si="112"/>
        <v>23973924</v>
      </c>
      <c r="AR572" s="38"/>
      <c r="AS572" s="7"/>
      <c r="AT572" s="7" t="str">
        <f t="shared" si="110"/>
        <v>Washington Court House City SD</v>
      </c>
      <c r="AU572" s="7" t="str">
        <f>'Gov Fd BS'!A572</f>
        <v>Washington Court House City SD</v>
      </c>
      <c r="AV572" s="7" t="b">
        <f t="shared" si="111"/>
        <v>1</v>
      </c>
      <c r="AW572" s="7" t="str">
        <f t="shared" si="108"/>
        <v>Fayette</v>
      </c>
      <c r="AX572" s="7" t="b">
        <f>C572='Gov Fd BS'!C572</f>
        <v>1</v>
      </c>
    </row>
    <row r="573" spans="1:50">
      <c r="A573" s="12" t="s">
        <v>409</v>
      </c>
      <c r="B573" s="12"/>
      <c r="C573" s="12" t="s">
        <v>115</v>
      </c>
      <c r="D573" s="12"/>
      <c r="E573" s="12">
        <v>48231</v>
      </c>
      <c r="F573" s="24"/>
      <c r="G573" s="24">
        <v>32786112</v>
      </c>
      <c r="H573" s="24"/>
      <c r="I573" s="24">
        <v>0</v>
      </c>
      <c r="J573" s="24"/>
      <c r="K573" s="24">
        <f>2475+33289609+8687166</f>
        <v>41979250</v>
      </c>
      <c r="L573" s="24"/>
      <c r="M573" s="24">
        <v>562112</v>
      </c>
      <c r="N573" s="24"/>
      <c r="O573" s="24">
        <f>581794+155870+138957</f>
        <v>876621</v>
      </c>
      <c r="P573" s="24"/>
      <c r="Q573" s="24">
        <v>474312</v>
      </c>
      <c r="R573" s="24"/>
      <c r="S573" s="24">
        <v>3554734</v>
      </c>
      <c r="T573" s="24"/>
      <c r="U573" s="24">
        <v>256128</v>
      </c>
      <c r="V573" s="24"/>
      <c r="W573" s="24">
        <f>819606+94962+103885+583761</f>
        <v>1602214</v>
      </c>
      <c r="X573" s="24"/>
      <c r="Y573" s="38">
        <f t="shared" si="113"/>
        <v>82091483</v>
      </c>
      <c r="Z573" s="24"/>
      <c r="AA573" s="24">
        <v>641372</v>
      </c>
      <c r="AB573" s="24"/>
      <c r="AC573" s="24">
        <v>0</v>
      </c>
      <c r="AD573" s="24"/>
      <c r="AE573" s="24">
        <v>0</v>
      </c>
      <c r="AF573" s="24"/>
      <c r="AG573" s="24"/>
      <c r="AH573" s="24"/>
      <c r="AI573" s="24"/>
      <c r="AJ573" s="24"/>
      <c r="AK573" s="24">
        <v>677</v>
      </c>
      <c r="AL573" s="24"/>
      <c r="AM573" s="24">
        <v>0</v>
      </c>
      <c r="AN573" s="24"/>
      <c r="AO573" s="38">
        <f t="shared" si="115"/>
        <v>642049</v>
      </c>
      <c r="AP573" s="24"/>
      <c r="AQ573" s="38">
        <f t="shared" si="112"/>
        <v>82733532</v>
      </c>
      <c r="AR573" s="38"/>
      <c r="AS573" s="7"/>
      <c r="AT573" s="7" t="str">
        <f t="shared" si="110"/>
        <v>Washington Local SD</v>
      </c>
      <c r="AU573" s="7" t="str">
        <f>'Gov Fd BS'!A573</f>
        <v>Washington Local SD</v>
      </c>
      <c r="AV573" s="7" t="b">
        <f t="shared" si="111"/>
        <v>1</v>
      </c>
      <c r="AW573" s="7" t="str">
        <f t="shared" si="108"/>
        <v>Lucas</v>
      </c>
      <c r="AX573" s="7" t="b">
        <f>C573='Gov Fd BS'!C573</f>
        <v>1</v>
      </c>
    </row>
    <row r="574" spans="1:50">
      <c r="A574" s="12" t="s">
        <v>500</v>
      </c>
      <c r="B574" s="12"/>
      <c r="C574" s="12" t="s">
        <v>59</v>
      </c>
      <c r="D574" s="12"/>
      <c r="E574" s="12">
        <v>49650</v>
      </c>
      <c r="F574" s="24"/>
      <c r="G574" s="24">
        <v>1537600</v>
      </c>
      <c r="H574" s="24"/>
      <c r="I574" s="24">
        <v>0</v>
      </c>
      <c r="J574" s="24"/>
      <c r="K574" s="24">
        <v>21596081</v>
      </c>
      <c r="L574" s="24"/>
      <c r="M574" s="24">
        <f>123411-9805</f>
        <v>113606</v>
      </c>
      <c r="N574" s="24"/>
      <c r="O574" s="24">
        <v>1076396</v>
      </c>
      <c r="P574" s="24"/>
      <c r="Q574" s="24">
        <v>276103</v>
      </c>
      <c r="R574" s="24"/>
      <c r="S574" s="24">
        <v>0</v>
      </c>
      <c r="T574" s="24"/>
      <c r="U574" s="24">
        <v>0</v>
      </c>
      <c r="V574" s="24"/>
      <c r="W574" s="24">
        <f>303948+120693</f>
        <v>424641</v>
      </c>
      <c r="X574" s="24"/>
      <c r="Y574" s="38">
        <f t="shared" si="113"/>
        <v>25024427</v>
      </c>
      <c r="Z574" s="24"/>
      <c r="AA574" s="24">
        <v>236014</v>
      </c>
      <c r="AB574" s="24"/>
      <c r="AC574" s="24">
        <v>0</v>
      </c>
      <c r="AD574" s="24"/>
      <c r="AE574" s="24">
        <v>0</v>
      </c>
      <c r="AF574" s="24"/>
      <c r="AG574" s="24"/>
      <c r="AH574" s="24"/>
      <c r="AI574" s="24"/>
      <c r="AJ574" s="24"/>
      <c r="AK574" s="24">
        <v>3206</v>
      </c>
      <c r="AL574" s="24"/>
      <c r="AM574" s="24">
        <v>0</v>
      </c>
      <c r="AN574" s="24"/>
      <c r="AO574" s="38">
        <f t="shared" si="115"/>
        <v>239220</v>
      </c>
      <c r="AP574" s="24"/>
      <c r="AQ574" s="38">
        <f t="shared" si="112"/>
        <v>25263647</v>
      </c>
      <c r="AR574" s="38"/>
      <c r="AS574" s="7"/>
      <c r="AT574" s="7" t="str">
        <f t="shared" si="110"/>
        <v>Washington-Nile Local SD</v>
      </c>
      <c r="AU574" s="7" t="str">
        <f>'Gov Fd BS'!A574</f>
        <v>Washington-Nile Local SD</v>
      </c>
      <c r="AV574" s="7" t="b">
        <f t="shared" si="111"/>
        <v>1</v>
      </c>
      <c r="AW574" s="7" t="str">
        <f t="shared" si="108"/>
        <v>Scioto</v>
      </c>
      <c r="AX574" s="7" t="b">
        <f>C574='Gov Fd BS'!C574</f>
        <v>1</v>
      </c>
    </row>
    <row r="575" spans="1:50">
      <c r="A575" s="12" t="s">
        <v>480</v>
      </c>
      <c r="B575" s="12"/>
      <c r="C575" s="12" t="s">
        <v>56</v>
      </c>
      <c r="D575" s="12"/>
      <c r="E575" s="12">
        <v>49247</v>
      </c>
      <c r="F575" s="24"/>
      <c r="G575" s="24">
        <v>3383792</v>
      </c>
      <c r="H575" s="24"/>
      <c r="I575" s="24">
        <v>0</v>
      </c>
      <c r="J575" s="24"/>
      <c r="K575" s="24">
        <f>6556778+1346813</f>
        <v>7903591</v>
      </c>
      <c r="L575" s="24"/>
      <c r="M575" s="24">
        <v>9089</v>
      </c>
      <c r="N575" s="24"/>
      <c r="O575" s="24">
        <f>263729+38643</f>
        <v>302372</v>
      </c>
      <c r="P575" s="24"/>
      <c r="Q575" s="24">
        <v>214193</v>
      </c>
      <c r="R575" s="24"/>
      <c r="S575" s="24">
        <v>0</v>
      </c>
      <c r="T575" s="24"/>
      <c r="U575" s="24">
        <v>7554</v>
      </c>
      <c r="V575" s="24"/>
      <c r="W575" s="24">
        <f>176657+38948+248</f>
        <v>215853</v>
      </c>
      <c r="X575" s="24"/>
      <c r="Y575" s="38">
        <f t="shared" si="113"/>
        <v>12036444</v>
      </c>
      <c r="Z575" s="24"/>
      <c r="AA575" s="24">
        <v>0</v>
      </c>
      <c r="AB575" s="24"/>
      <c r="AC575" s="24">
        <v>0</v>
      </c>
      <c r="AD575" s="24"/>
      <c r="AE575" s="24">
        <v>0</v>
      </c>
      <c r="AF575" s="24"/>
      <c r="AG575" s="24"/>
      <c r="AH575" s="24"/>
      <c r="AI575" s="24"/>
      <c r="AJ575" s="24"/>
      <c r="AK575" s="24">
        <v>0</v>
      </c>
      <c r="AL575" s="24"/>
      <c r="AM575" s="24">
        <v>0</v>
      </c>
      <c r="AN575" s="24"/>
      <c r="AO575" s="38">
        <f t="shared" si="115"/>
        <v>0</v>
      </c>
      <c r="AP575" s="24"/>
      <c r="AQ575" s="38">
        <f t="shared" si="112"/>
        <v>12036444</v>
      </c>
      <c r="AR575" s="38"/>
      <c r="AS575" s="7"/>
      <c r="AT575" s="7" t="str">
        <f t="shared" si="110"/>
        <v>Waterloo Local SD</v>
      </c>
      <c r="AU575" s="7" t="str">
        <f>'Gov Fd BS'!A575</f>
        <v>Waterloo Local SD</v>
      </c>
      <c r="AV575" s="7" t="b">
        <f t="shared" si="111"/>
        <v>1</v>
      </c>
      <c r="AW575" s="7" t="str">
        <f t="shared" si="108"/>
        <v>Portage</v>
      </c>
      <c r="AX575" s="7" t="b">
        <f>C575='Gov Fd BS'!C575</f>
        <v>1</v>
      </c>
    </row>
    <row r="576" spans="1:50">
      <c r="A576" s="12" t="s">
        <v>889</v>
      </c>
      <c r="B576" s="12"/>
      <c r="C576" s="12" t="s">
        <v>28</v>
      </c>
      <c r="D576" s="12"/>
      <c r="E576" s="12">
        <v>45641</v>
      </c>
      <c r="F576" s="24"/>
      <c r="G576" s="24">
        <v>6352042</v>
      </c>
      <c r="H576" s="24"/>
      <c r="I576" s="24">
        <v>0</v>
      </c>
      <c r="J576" s="24"/>
      <c r="K576" s="24">
        <f>1250+9517643+2371271</f>
        <v>11890164</v>
      </c>
      <c r="L576" s="24"/>
      <c r="M576" s="24">
        <v>41225</v>
      </c>
      <c r="N576" s="24"/>
      <c r="O576" s="24">
        <f>669818+24620+56784</f>
        <v>751222</v>
      </c>
      <c r="P576" s="24"/>
      <c r="Q576" s="24">
        <v>128940</v>
      </c>
      <c r="R576" s="24"/>
      <c r="S576" s="24">
        <v>0</v>
      </c>
      <c r="T576" s="24"/>
      <c r="U576" s="24">
        <v>0</v>
      </c>
      <c r="V576" s="24"/>
      <c r="W576" s="24">
        <f>445125+278795</f>
        <v>723920</v>
      </c>
      <c r="X576" s="24"/>
      <c r="Y576" s="38">
        <f t="shared" si="113"/>
        <v>19887513</v>
      </c>
      <c r="Z576" s="24"/>
      <c r="AA576" s="24">
        <v>161510</v>
      </c>
      <c r="AB576" s="24"/>
      <c r="AC576" s="24">
        <v>0</v>
      </c>
      <c r="AD576" s="24"/>
      <c r="AE576" s="24">
        <v>0</v>
      </c>
      <c r="AF576" s="24"/>
      <c r="AG576" s="24"/>
      <c r="AH576" s="24"/>
      <c r="AI576" s="24"/>
      <c r="AJ576" s="24"/>
      <c r="AK576" s="24">
        <f>11340+13730</f>
        <v>25070</v>
      </c>
      <c r="AL576" s="24"/>
      <c r="AM576" s="24">
        <v>0</v>
      </c>
      <c r="AN576" s="24"/>
      <c r="AO576" s="38">
        <f t="shared" si="115"/>
        <v>186580</v>
      </c>
      <c r="AP576" s="24"/>
      <c r="AQ576" s="38">
        <f t="shared" si="112"/>
        <v>20074093</v>
      </c>
      <c r="AR576" s="38"/>
      <c r="AS576" s="7"/>
      <c r="AT576" s="7" t="str">
        <f t="shared" si="110"/>
        <v>Wauseon Exempted Village SD</v>
      </c>
      <c r="AU576" s="7" t="str">
        <f>'Gov Fd BS'!A576</f>
        <v>Wauseon Exempted Village SD</v>
      </c>
      <c r="AV576" s="7" t="b">
        <f t="shared" si="111"/>
        <v>1</v>
      </c>
      <c r="AW576" s="7" t="str">
        <f t="shared" si="108"/>
        <v>Fulton</v>
      </c>
      <c r="AX576" s="7" t="b">
        <f>C576='Gov Fd BS'!C576</f>
        <v>1</v>
      </c>
    </row>
    <row r="577" spans="1:50">
      <c r="A577" s="12" t="s">
        <v>472</v>
      </c>
      <c r="B577" s="12"/>
      <c r="C577" s="12" t="s">
        <v>55</v>
      </c>
      <c r="D577" s="12"/>
      <c r="E577" s="12">
        <v>49148</v>
      </c>
      <c r="F577" s="24"/>
      <c r="G577" s="24">
        <v>3782793</v>
      </c>
      <c r="H577" s="24"/>
      <c r="I577" s="24">
        <v>0</v>
      </c>
      <c r="J577" s="24"/>
      <c r="K577" s="24">
        <v>14377698</v>
      </c>
      <c r="L577" s="24"/>
      <c r="M577" s="24">
        <v>14069</v>
      </c>
      <c r="N577" s="24"/>
      <c r="O577" s="24">
        <v>746004</v>
      </c>
      <c r="P577" s="24"/>
      <c r="Q577" s="24">
        <v>217958</v>
      </c>
      <c r="R577" s="24"/>
      <c r="S577" s="24">
        <v>0</v>
      </c>
      <c r="T577" s="24"/>
      <c r="U577" s="24">
        <v>220711</v>
      </c>
      <c r="V577" s="24"/>
      <c r="W577" s="24">
        <f>64890+2775+223272</f>
        <v>290937</v>
      </c>
      <c r="X577" s="24"/>
      <c r="Y577" s="38">
        <f t="shared" si="113"/>
        <v>19650170</v>
      </c>
      <c r="Z577" s="24"/>
      <c r="AA577" s="24">
        <v>0</v>
      </c>
      <c r="AB577" s="24"/>
      <c r="AC577" s="24">
        <v>0</v>
      </c>
      <c r="AD577" s="24"/>
      <c r="AE577" s="24">
        <v>0</v>
      </c>
      <c r="AF577" s="24"/>
      <c r="AG577" s="24"/>
      <c r="AH577" s="24"/>
      <c r="AI577" s="24"/>
      <c r="AJ577" s="24"/>
      <c r="AK577" s="24">
        <v>0</v>
      </c>
      <c r="AL577" s="24"/>
      <c r="AM577" s="24">
        <v>0</v>
      </c>
      <c r="AN577" s="24"/>
      <c r="AO577" s="38">
        <f t="shared" si="115"/>
        <v>0</v>
      </c>
      <c r="AP577" s="24"/>
      <c r="AQ577" s="38">
        <f t="shared" si="112"/>
        <v>19650170</v>
      </c>
      <c r="AR577" s="38"/>
      <c r="AS577" s="7"/>
      <c r="AT577" s="7" t="str">
        <f t="shared" si="110"/>
        <v>Waverly City SD</v>
      </c>
      <c r="AU577" s="7" t="str">
        <f>'Gov Fd BS'!A577</f>
        <v>Waverly City SD</v>
      </c>
      <c r="AV577" s="7" t="b">
        <f t="shared" si="111"/>
        <v>1</v>
      </c>
      <c r="AW577" s="7" t="str">
        <f t="shared" si="108"/>
        <v>Pike</v>
      </c>
      <c r="AX577" s="7" t="b">
        <f>C577='Gov Fd BS'!C577</f>
        <v>1</v>
      </c>
    </row>
    <row r="578" spans="1:50" hidden="1">
      <c r="A578" s="12" t="s">
        <v>747</v>
      </c>
      <c r="B578" s="12"/>
      <c r="C578" s="12" t="s">
        <v>69</v>
      </c>
      <c r="D578" s="12"/>
      <c r="E578" s="12">
        <v>50468</v>
      </c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38">
        <f t="shared" si="113"/>
        <v>0</v>
      </c>
      <c r="Z578" s="24"/>
      <c r="AA578" s="24"/>
      <c r="AB578" s="24"/>
      <c r="AC578" s="24">
        <v>0</v>
      </c>
      <c r="AD578" s="24"/>
      <c r="AE578" s="24"/>
      <c r="AF578" s="24"/>
      <c r="AG578" s="24"/>
      <c r="AH578" s="24"/>
      <c r="AI578" s="24"/>
      <c r="AJ578" s="24"/>
      <c r="AK578" s="24"/>
      <c r="AL578" s="24"/>
      <c r="AM578" s="24">
        <v>0</v>
      </c>
      <c r="AN578" s="24"/>
      <c r="AO578" s="38">
        <f t="shared" si="115"/>
        <v>0</v>
      </c>
      <c r="AP578" s="24"/>
      <c r="AQ578" s="38">
        <f t="shared" si="112"/>
        <v>0</v>
      </c>
      <c r="AR578" s="38"/>
      <c r="AS578" s="7"/>
      <c r="AT578" s="7" t="str">
        <f t="shared" si="110"/>
        <v>Wayne Local SD (CASH)</v>
      </c>
      <c r="AU578" s="7" t="str">
        <f>'Gov Fd BS'!A578</f>
        <v>Wayne Local SD (CASH)</v>
      </c>
      <c r="AV578" s="7" t="b">
        <f t="shared" si="111"/>
        <v>1</v>
      </c>
      <c r="AW578" s="7" t="str">
        <f t="shared" si="108"/>
        <v>Warren</v>
      </c>
      <c r="AX578" s="7" t="b">
        <f>C578='Gov Fd BS'!C578</f>
        <v>1</v>
      </c>
    </row>
    <row r="579" spans="1:50" hidden="1">
      <c r="A579" s="12" t="s">
        <v>926</v>
      </c>
      <c r="B579" s="12"/>
      <c r="C579" s="12" t="s">
        <v>465</v>
      </c>
      <c r="D579" s="12"/>
      <c r="E579" s="12">
        <v>49031</v>
      </c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38">
        <f t="shared" si="113"/>
        <v>0</v>
      </c>
      <c r="Z579" s="24"/>
      <c r="AA579" s="24"/>
      <c r="AB579" s="24"/>
      <c r="AC579" s="24">
        <v>0</v>
      </c>
      <c r="AD579" s="24"/>
      <c r="AE579" s="24"/>
      <c r="AF579" s="24"/>
      <c r="AG579" s="24"/>
      <c r="AH579" s="24"/>
      <c r="AI579" s="24"/>
      <c r="AJ579" s="24"/>
      <c r="AK579" s="24"/>
      <c r="AL579" s="24"/>
      <c r="AM579" s="24">
        <v>0</v>
      </c>
      <c r="AN579" s="24"/>
      <c r="AO579" s="38">
        <f t="shared" si="115"/>
        <v>0</v>
      </c>
      <c r="AP579" s="24"/>
      <c r="AQ579" s="38">
        <f t="shared" si="112"/>
        <v>0</v>
      </c>
      <c r="AR579" s="38"/>
      <c r="AS579" s="7"/>
      <c r="AT579" s="7" t="str">
        <f t="shared" si="110"/>
        <v>Wayne Trace Local SD (CASH)</v>
      </c>
      <c r="AU579" s="7" t="str">
        <f>'Gov Fd BS'!A579</f>
        <v>Wayne Trace Local SD (CASH)</v>
      </c>
      <c r="AV579" s="7" t="b">
        <f t="shared" si="111"/>
        <v>1</v>
      </c>
      <c r="AW579" s="7" t="str">
        <f t="shared" si="108"/>
        <v>Paulding</v>
      </c>
      <c r="AX579" s="7" t="b">
        <f>C579='Gov Fd BS'!C579</f>
        <v>1</v>
      </c>
    </row>
    <row r="580" spans="1:50" hidden="1">
      <c r="A580" s="12" t="s">
        <v>675</v>
      </c>
      <c r="B580" s="12"/>
      <c r="C580" s="12" t="s">
        <v>14</v>
      </c>
      <c r="D580" s="12"/>
      <c r="E580" s="12">
        <v>45971</v>
      </c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38">
        <f t="shared" si="113"/>
        <v>0</v>
      </c>
      <c r="Z580" s="24"/>
      <c r="AA580" s="24"/>
      <c r="AB580" s="24"/>
      <c r="AC580" s="24">
        <v>0</v>
      </c>
      <c r="AD580" s="24"/>
      <c r="AE580" s="24"/>
      <c r="AF580" s="24"/>
      <c r="AG580" s="24"/>
      <c r="AH580" s="24"/>
      <c r="AI580" s="24"/>
      <c r="AJ580" s="24"/>
      <c r="AK580" s="24"/>
      <c r="AL580" s="24"/>
      <c r="AM580" s="24">
        <v>0</v>
      </c>
      <c r="AN580" s="24"/>
      <c r="AO580" s="38">
        <f t="shared" si="115"/>
        <v>0</v>
      </c>
      <c r="AP580" s="24"/>
      <c r="AQ580" s="38">
        <f t="shared" si="112"/>
        <v>0</v>
      </c>
      <c r="AR580" s="38"/>
      <c r="AS580" s="7"/>
      <c r="AT580" s="7" t="str">
        <f t="shared" si="110"/>
        <v>Waynesfield-Goshen Local SD  (CASH)</v>
      </c>
      <c r="AU580" s="7" t="str">
        <f>'Gov Fd BS'!A580</f>
        <v>Waynesfield-Goshen Local SD  (CASH)</v>
      </c>
      <c r="AV580" s="7" t="b">
        <f t="shared" si="111"/>
        <v>1</v>
      </c>
      <c r="AW580" s="7" t="str">
        <f t="shared" si="108"/>
        <v>Auglaize</v>
      </c>
      <c r="AX580" s="7" t="b">
        <f>C580='Gov Fd BS'!C580</f>
        <v>1</v>
      </c>
    </row>
    <row r="581" spans="1:50">
      <c r="A581" s="12" t="s">
        <v>548</v>
      </c>
      <c r="B581" s="12"/>
      <c r="C581" s="12" t="s">
        <v>64</v>
      </c>
      <c r="D581" s="12"/>
      <c r="E581" s="12">
        <v>50252</v>
      </c>
      <c r="F581" s="24"/>
      <c r="G581" s="24">
        <v>2413067</v>
      </c>
      <c r="H581" s="24"/>
      <c r="I581" s="24">
        <v>0</v>
      </c>
      <c r="J581" s="24"/>
      <c r="K581" s="24">
        <f>4496751+1087006</f>
        <v>5583757</v>
      </c>
      <c r="L581" s="24"/>
      <c r="M581" s="24">
        <v>15430</v>
      </c>
      <c r="N581" s="24"/>
      <c r="O581" s="24">
        <f>1566044+25719</f>
        <v>1591763</v>
      </c>
      <c r="P581" s="24"/>
      <c r="Q581" s="24">
        <v>108413</v>
      </c>
      <c r="R581" s="24"/>
      <c r="S581" s="24">
        <v>0</v>
      </c>
      <c r="T581" s="24"/>
      <c r="U581" s="24">
        <v>63877</v>
      </c>
      <c r="V581" s="24"/>
      <c r="W581" s="24">
        <f>21879+145925</f>
        <v>167804</v>
      </c>
      <c r="X581" s="24"/>
      <c r="Y581" s="38">
        <f t="shared" si="113"/>
        <v>9944111</v>
      </c>
      <c r="Z581" s="24"/>
      <c r="AA581" s="24">
        <v>55043</v>
      </c>
      <c r="AB581" s="24"/>
      <c r="AC581" s="24">
        <v>0</v>
      </c>
      <c r="AD581" s="24"/>
      <c r="AE581" s="24">
        <v>0</v>
      </c>
      <c r="AF581" s="24"/>
      <c r="AG581" s="24"/>
      <c r="AH581" s="24"/>
      <c r="AI581" s="24"/>
      <c r="AJ581" s="24"/>
      <c r="AK581" s="24">
        <v>0</v>
      </c>
      <c r="AL581" s="24"/>
      <c r="AM581" s="24">
        <v>0</v>
      </c>
      <c r="AN581" s="24"/>
      <c r="AO581" s="38">
        <f t="shared" si="115"/>
        <v>55043</v>
      </c>
      <c r="AP581" s="24"/>
      <c r="AQ581" s="38">
        <f t="shared" si="112"/>
        <v>9999154</v>
      </c>
      <c r="AR581" s="38"/>
      <c r="AS581" s="7"/>
      <c r="AT581" s="7" t="str">
        <f t="shared" si="110"/>
        <v>Weathersfield Local SD</v>
      </c>
      <c r="AU581" s="7" t="str">
        <f>'Gov Fd BS'!A581</f>
        <v>Weathersfield Local SD</v>
      </c>
      <c r="AV581" s="7" t="b">
        <f t="shared" si="111"/>
        <v>1</v>
      </c>
      <c r="AW581" s="7" t="str">
        <f t="shared" si="108"/>
        <v>Trumbull</v>
      </c>
      <c r="AX581" s="7" t="b">
        <f>C581='Gov Fd BS'!C581</f>
        <v>1</v>
      </c>
    </row>
    <row r="582" spans="1:50">
      <c r="A582" s="12" t="s">
        <v>890</v>
      </c>
      <c r="B582" s="12"/>
      <c r="C582" s="12" t="s">
        <v>44</v>
      </c>
      <c r="D582" s="12"/>
      <c r="E582" s="12">
        <v>45658</v>
      </c>
      <c r="F582" s="24"/>
      <c r="G582" s="24">
        <v>3540530</v>
      </c>
      <c r="H582" s="24"/>
      <c r="I582" s="24">
        <v>1561541</v>
      </c>
      <c r="J582" s="24"/>
      <c r="K582" s="24">
        <v>7690035</v>
      </c>
      <c r="L582" s="24"/>
      <c r="M582" s="24">
        <v>2577</v>
      </c>
      <c r="N582" s="24"/>
      <c r="O582" s="24">
        <v>476234</v>
      </c>
      <c r="P582" s="24"/>
      <c r="Q582" s="24">
        <v>253645</v>
      </c>
      <c r="R582" s="24"/>
      <c r="S582" s="24">
        <v>8823</v>
      </c>
      <c r="T582" s="24"/>
      <c r="U582" s="24">
        <v>78586</v>
      </c>
      <c r="V582" s="24"/>
      <c r="W582" s="24">
        <f>16185+700+249891</f>
        <v>266776</v>
      </c>
      <c r="X582" s="24"/>
      <c r="Y582" s="38">
        <f t="shared" si="113"/>
        <v>13878747</v>
      </c>
      <c r="Z582" s="24"/>
      <c r="AA582" s="24">
        <v>527685</v>
      </c>
      <c r="AB582" s="24"/>
      <c r="AC582" s="24">
        <v>0</v>
      </c>
      <c r="AD582" s="24"/>
      <c r="AE582" s="24">
        <v>0</v>
      </c>
      <c r="AF582" s="24"/>
      <c r="AG582" s="24"/>
      <c r="AH582" s="24"/>
      <c r="AI582" s="24"/>
      <c r="AJ582" s="24"/>
      <c r="AK582" s="24">
        <v>0</v>
      </c>
      <c r="AL582" s="24"/>
      <c r="AM582" s="24">
        <v>0</v>
      </c>
      <c r="AN582" s="24"/>
      <c r="AO582" s="38">
        <f t="shared" si="115"/>
        <v>527685</v>
      </c>
      <c r="AP582" s="24"/>
      <c r="AQ582" s="38">
        <f t="shared" si="112"/>
        <v>14406432</v>
      </c>
      <c r="AR582" s="38"/>
      <c r="AS582" s="7"/>
      <c r="AT582" s="7" t="str">
        <f t="shared" si="110"/>
        <v>Wellington Exempted Village SD</v>
      </c>
      <c r="AU582" s="7" t="str">
        <f>'Gov Fd BS'!A582</f>
        <v>Wellington Exempted Village SD</v>
      </c>
      <c r="AV582" s="7" t="b">
        <f t="shared" si="111"/>
        <v>1</v>
      </c>
      <c r="AW582" s="7" t="str">
        <f t="shared" si="108"/>
        <v>Lorain</v>
      </c>
      <c r="AX582" s="7" t="b">
        <f>C582='Gov Fd BS'!C582</f>
        <v>1</v>
      </c>
    </row>
    <row r="583" spans="1:50">
      <c r="A583" s="12" t="s">
        <v>371</v>
      </c>
      <c r="B583" s="12"/>
      <c r="C583" s="12" t="s">
        <v>38</v>
      </c>
      <c r="D583" s="12"/>
      <c r="E583" s="12">
        <v>45021</v>
      </c>
      <c r="F583" s="24"/>
      <c r="G583" s="24">
        <v>2196617</v>
      </c>
      <c r="H583" s="24"/>
      <c r="I583" s="24">
        <v>0</v>
      </c>
      <c r="J583" s="24"/>
      <c r="K583" s="24">
        <v>17134632</v>
      </c>
      <c r="L583" s="24"/>
      <c r="M583" s="24">
        <v>29009</v>
      </c>
      <c r="N583" s="24"/>
      <c r="O583" s="24">
        <v>384342</v>
      </c>
      <c r="P583" s="24"/>
      <c r="Q583" s="24">
        <v>118438</v>
      </c>
      <c r="R583" s="24"/>
      <c r="S583" s="24">
        <v>0</v>
      </c>
      <c r="T583" s="24"/>
      <c r="U583" s="24">
        <v>53703</v>
      </c>
      <c r="V583" s="24"/>
      <c r="W583" s="24">
        <f>51517+3100+232257</f>
        <v>286874</v>
      </c>
      <c r="X583" s="24"/>
      <c r="Y583" s="38">
        <f t="shared" si="113"/>
        <v>20203615</v>
      </c>
      <c r="Z583" s="24"/>
      <c r="AA583" s="24">
        <v>0</v>
      </c>
      <c r="AB583" s="24"/>
      <c r="AC583" s="24">
        <v>0</v>
      </c>
      <c r="AD583" s="24"/>
      <c r="AE583" s="24">
        <f>114264+1270000+1690000</f>
        <v>3074264</v>
      </c>
      <c r="AF583" s="24"/>
      <c r="AG583" s="24"/>
      <c r="AH583" s="24"/>
      <c r="AI583" s="24"/>
      <c r="AJ583" s="24"/>
      <c r="AK583" s="24">
        <f>13261+8400</f>
        <v>21661</v>
      </c>
      <c r="AL583" s="24"/>
      <c r="AM583" s="24">
        <v>0</v>
      </c>
      <c r="AN583" s="24"/>
      <c r="AO583" s="38">
        <f t="shared" si="115"/>
        <v>3095925</v>
      </c>
      <c r="AP583" s="24"/>
      <c r="AQ583" s="38">
        <f t="shared" si="112"/>
        <v>23299540</v>
      </c>
      <c r="AR583" s="38"/>
      <c r="AS583" s="7"/>
      <c r="AT583" s="7" t="str">
        <f t="shared" si="110"/>
        <v>Wellston City SD</v>
      </c>
      <c r="AU583" s="7" t="str">
        <f>'Gov Fd BS'!A583</f>
        <v>Wellston City SD</v>
      </c>
      <c r="AV583" s="7" t="b">
        <f t="shared" si="111"/>
        <v>1</v>
      </c>
      <c r="AW583" s="7" t="str">
        <f t="shared" si="108"/>
        <v>Jackson</v>
      </c>
      <c r="AX583" s="7" t="b">
        <f>C583='Gov Fd BS'!C583</f>
        <v>1</v>
      </c>
    </row>
    <row r="584" spans="1:50">
      <c r="A584" s="12" t="s">
        <v>258</v>
      </c>
      <c r="B584" s="12"/>
      <c r="C584" s="12" t="s">
        <v>112</v>
      </c>
      <c r="D584" s="12"/>
      <c r="E584" s="12">
        <v>45039</v>
      </c>
      <c r="F584" s="24"/>
      <c r="G584" s="24">
        <v>1080874</v>
      </c>
      <c r="H584" s="24"/>
      <c r="I584" s="24">
        <v>0</v>
      </c>
      <c r="J584" s="24"/>
      <c r="K584" s="24">
        <f>5916607+1908783</f>
        <v>7825390</v>
      </c>
      <c r="L584" s="24"/>
      <c r="M584" s="24">
        <v>38295</v>
      </c>
      <c r="N584" s="24"/>
      <c r="O584" s="24">
        <f>698533+1867</f>
        <v>700400</v>
      </c>
      <c r="P584" s="24"/>
      <c r="Q584" s="24">
        <v>78136</v>
      </c>
      <c r="R584" s="24"/>
      <c r="S584" s="24">
        <v>0</v>
      </c>
      <c r="T584" s="24"/>
      <c r="U584" s="24">
        <v>488</v>
      </c>
      <c r="V584" s="24"/>
      <c r="W584" s="24">
        <f>3167+66064</f>
        <v>69231</v>
      </c>
      <c r="X584" s="24"/>
      <c r="Y584" s="38">
        <f t="shared" si="113"/>
        <v>9792814</v>
      </c>
      <c r="Z584" s="24"/>
      <c r="AA584" s="24">
        <v>0</v>
      </c>
      <c r="AB584" s="24"/>
      <c r="AC584" s="24">
        <v>0</v>
      </c>
      <c r="AD584" s="24"/>
      <c r="AE584" s="24">
        <v>0</v>
      </c>
      <c r="AF584" s="24"/>
      <c r="AG584" s="24"/>
      <c r="AH584" s="24"/>
      <c r="AI584" s="24"/>
      <c r="AJ584" s="24"/>
      <c r="AK584" s="24">
        <v>0</v>
      </c>
      <c r="AL584" s="24"/>
      <c r="AM584" s="24">
        <v>0</v>
      </c>
      <c r="AN584" s="24"/>
      <c r="AO584" s="38">
        <f t="shared" si="115"/>
        <v>0</v>
      </c>
      <c r="AP584" s="24"/>
      <c r="AQ584" s="38">
        <f t="shared" si="112"/>
        <v>9792814</v>
      </c>
      <c r="AR584" s="38"/>
      <c r="AS584" s="7"/>
      <c r="AT584" s="7" t="str">
        <f t="shared" si="110"/>
        <v>Wellsville Local SD</v>
      </c>
      <c r="AU584" s="7" t="str">
        <f>'Gov Fd BS'!A584</f>
        <v>Wellsville Local SD</v>
      </c>
      <c r="AV584" s="7" t="b">
        <f t="shared" si="111"/>
        <v>1</v>
      </c>
      <c r="AW584" s="7" t="str">
        <f t="shared" si="108"/>
        <v>Columbiana</v>
      </c>
      <c r="AX584" s="7" t="b">
        <f>C584='Gov Fd BS'!C584</f>
        <v>1</v>
      </c>
    </row>
    <row r="585" spans="1:50">
      <c r="A585" s="12" t="s">
        <v>421</v>
      </c>
      <c r="B585" s="12"/>
      <c r="C585" s="12" t="s">
        <v>45</v>
      </c>
      <c r="D585" s="12"/>
      <c r="E585" s="12">
        <v>48389</v>
      </c>
      <c r="F585" s="24"/>
      <c r="G585" s="24">
        <v>4631115</v>
      </c>
      <c r="H585" s="24"/>
      <c r="I585" s="24">
        <v>0</v>
      </c>
      <c r="J585" s="24"/>
      <c r="K585" s="24">
        <f>3768+12132628+2815455</f>
        <v>14951851</v>
      </c>
      <c r="L585" s="24"/>
      <c r="M585" s="24">
        <v>22170</v>
      </c>
      <c r="N585" s="24"/>
      <c r="O585" s="24">
        <f>1506437+29553</f>
        <v>1535990</v>
      </c>
      <c r="P585" s="24"/>
      <c r="Q585" s="24">
        <v>289570</v>
      </c>
      <c r="R585" s="24"/>
      <c r="S585" s="24">
        <v>0</v>
      </c>
      <c r="T585" s="24"/>
      <c r="U585" s="24">
        <v>0</v>
      </c>
      <c r="V585" s="24"/>
      <c r="W585" s="24">
        <f>380508+495331</f>
        <v>875839</v>
      </c>
      <c r="X585" s="24"/>
      <c r="Y585" s="38">
        <f t="shared" si="113"/>
        <v>22306535</v>
      </c>
      <c r="Z585" s="24"/>
      <c r="AA585" s="24">
        <v>95684</v>
      </c>
      <c r="AB585" s="24"/>
      <c r="AC585" s="24">
        <v>0</v>
      </c>
      <c r="AD585" s="24"/>
      <c r="AE585" s="24">
        <v>1556048</v>
      </c>
      <c r="AF585" s="24"/>
      <c r="AG585" s="24"/>
      <c r="AH585" s="24"/>
      <c r="AI585" s="24"/>
      <c r="AJ585" s="24"/>
      <c r="AK585" s="24">
        <v>23420</v>
      </c>
      <c r="AL585" s="24"/>
      <c r="AM585" s="24">
        <v>0</v>
      </c>
      <c r="AN585" s="24"/>
      <c r="AO585" s="38">
        <f t="shared" si="115"/>
        <v>1675152</v>
      </c>
      <c r="AP585" s="24"/>
      <c r="AQ585" s="38">
        <f t="shared" si="112"/>
        <v>23981687</v>
      </c>
      <c r="AR585" s="38"/>
      <c r="AS585" s="7"/>
      <c r="AT585" s="7" t="str">
        <f t="shared" si="110"/>
        <v>West Branch Local SD</v>
      </c>
      <c r="AU585" s="7" t="str">
        <f>'Gov Fd BS'!A585</f>
        <v>West Branch Local SD</v>
      </c>
      <c r="AV585" s="7" t="b">
        <f t="shared" si="111"/>
        <v>1</v>
      </c>
      <c r="AW585" s="7" t="str">
        <f t="shared" si="108"/>
        <v>Mahoning</v>
      </c>
      <c r="AX585" s="7" t="b">
        <f>C585='Gov Fd BS'!C585</f>
        <v>1</v>
      </c>
    </row>
    <row r="586" spans="1:50">
      <c r="A586" s="12" t="s">
        <v>746</v>
      </c>
      <c r="B586" s="12"/>
      <c r="C586" s="12" t="s">
        <v>50</v>
      </c>
      <c r="D586" s="12"/>
      <c r="E586" s="12"/>
      <c r="F586" s="24"/>
      <c r="G586" s="24">
        <v>17024919</v>
      </c>
      <c r="H586" s="24"/>
      <c r="I586" s="24">
        <v>0</v>
      </c>
      <c r="J586" s="24"/>
      <c r="K586" s="24">
        <f>19170354+4801308</f>
        <v>23971662</v>
      </c>
      <c r="L586" s="24"/>
      <c r="M586" s="24">
        <v>286078</v>
      </c>
      <c r="N586" s="24"/>
      <c r="O586" s="24">
        <f>385918+112132+29199</f>
        <v>527249</v>
      </c>
      <c r="P586" s="24"/>
      <c r="Q586" s="24">
        <v>146729</v>
      </c>
      <c r="R586" s="24"/>
      <c r="S586" s="24">
        <v>0</v>
      </c>
      <c r="T586" s="24"/>
      <c r="U586" s="24">
        <v>125143</v>
      </c>
      <c r="V586" s="24"/>
      <c r="W586" s="24">
        <f>314048+473752+73848</f>
        <v>861648</v>
      </c>
      <c r="X586" s="24"/>
      <c r="Y586" s="38">
        <f t="shared" si="113"/>
        <v>42943428</v>
      </c>
      <c r="Z586" s="24"/>
      <c r="AA586" s="24">
        <v>0</v>
      </c>
      <c r="AB586" s="24"/>
      <c r="AC586" s="24">
        <v>0</v>
      </c>
      <c r="AD586" s="24"/>
      <c r="AE586" s="24">
        <v>0</v>
      </c>
      <c r="AF586" s="24"/>
      <c r="AG586" s="24"/>
      <c r="AH586" s="24"/>
      <c r="AI586" s="24"/>
      <c r="AJ586" s="24"/>
      <c r="AK586" s="24">
        <v>0</v>
      </c>
      <c r="AL586" s="24"/>
      <c r="AM586" s="24">
        <v>0</v>
      </c>
      <c r="AN586" s="24"/>
      <c r="AO586" s="38">
        <f t="shared" si="115"/>
        <v>0</v>
      </c>
      <c r="AP586" s="24"/>
      <c r="AQ586" s="38">
        <f t="shared" si="112"/>
        <v>42943428</v>
      </c>
      <c r="AR586" s="38"/>
      <c r="AS586" s="7"/>
      <c r="AT586" s="7" t="str">
        <f t="shared" si="110"/>
        <v>West Carrollton City SD</v>
      </c>
      <c r="AU586" s="7" t="str">
        <f>'Gov Fd BS'!A586</f>
        <v>West Carrollton City SD</v>
      </c>
      <c r="AV586" s="7" t="b">
        <f t="shared" si="111"/>
        <v>1</v>
      </c>
      <c r="AW586" s="7" t="str">
        <f t="shared" si="108"/>
        <v>Montgomery</v>
      </c>
      <c r="AX586" s="7" t="b">
        <f>C586='Gov Fd BS'!C586</f>
        <v>1</v>
      </c>
    </row>
    <row r="587" spans="1:50">
      <c r="A587" s="12" t="s">
        <v>246</v>
      </c>
      <c r="B587" s="12"/>
      <c r="C587" s="12" t="s">
        <v>113</v>
      </c>
      <c r="D587" s="12"/>
      <c r="E587" s="12">
        <v>46359</v>
      </c>
      <c r="F587" s="24"/>
      <c r="G587" s="24">
        <v>47033943</v>
      </c>
      <c r="H587" s="24"/>
      <c r="I587" s="24">
        <v>0</v>
      </c>
      <c r="J587" s="24"/>
      <c r="K587" s="24">
        <v>41030201</v>
      </c>
      <c r="L587" s="24"/>
      <c r="M587" s="24">
        <v>51923</v>
      </c>
      <c r="N587" s="24"/>
      <c r="O587" s="24">
        <v>1000069</v>
      </c>
      <c r="P587" s="24"/>
      <c r="Q587" s="24">
        <v>387496</v>
      </c>
      <c r="R587" s="24"/>
      <c r="S587" s="24">
        <v>0</v>
      </c>
      <c r="T587" s="24"/>
      <c r="U587" s="24">
        <v>0</v>
      </c>
      <c r="V587" s="24"/>
      <c r="W587" s="24">
        <f>1348378+710738</f>
        <v>2059116</v>
      </c>
      <c r="X587" s="24"/>
      <c r="Y587" s="38">
        <f t="shared" si="113"/>
        <v>91562748</v>
      </c>
      <c r="Z587" s="24"/>
      <c r="AA587" s="24">
        <v>0</v>
      </c>
      <c r="AB587" s="24"/>
      <c r="AC587" s="24">
        <v>0</v>
      </c>
      <c r="AD587" s="24"/>
      <c r="AE587" s="24">
        <v>0</v>
      </c>
      <c r="AF587" s="24"/>
      <c r="AG587" s="24"/>
      <c r="AH587" s="24"/>
      <c r="AI587" s="24"/>
      <c r="AJ587" s="24"/>
      <c r="AK587" s="24">
        <v>0</v>
      </c>
      <c r="AL587" s="24"/>
      <c r="AM587" s="24">
        <v>0</v>
      </c>
      <c r="AN587" s="24"/>
      <c r="AO587" s="38">
        <f t="shared" si="115"/>
        <v>0</v>
      </c>
      <c r="AP587" s="24"/>
      <c r="AQ587" s="38">
        <f t="shared" si="112"/>
        <v>91562748</v>
      </c>
      <c r="AR587" s="38"/>
      <c r="AS587" s="7"/>
      <c r="AT587" s="7" t="str">
        <f t="shared" si="110"/>
        <v>West Clermont Local SD</v>
      </c>
      <c r="AU587" s="7" t="str">
        <f>'Gov Fd BS'!A587</f>
        <v>West Clermont Local SD</v>
      </c>
      <c r="AV587" s="7" t="b">
        <f t="shared" si="111"/>
        <v>1</v>
      </c>
      <c r="AW587" s="7" t="str">
        <f t="shared" si="108"/>
        <v>Clermont</v>
      </c>
      <c r="AX587" s="7" t="b">
        <f>C587='Gov Fd BS'!C587</f>
        <v>1</v>
      </c>
    </row>
    <row r="588" spans="1:50">
      <c r="A588" s="12" t="s">
        <v>324</v>
      </c>
      <c r="B588" s="12"/>
      <c r="C588" s="12" t="s">
        <v>30</v>
      </c>
      <c r="D588" s="12"/>
      <c r="E588" s="12">
        <v>47225</v>
      </c>
      <c r="F588" s="24"/>
      <c r="G588" s="24">
        <v>19825970</v>
      </c>
      <c r="H588" s="24"/>
      <c r="I588" s="24">
        <v>0</v>
      </c>
      <c r="J588" s="24"/>
      <c r="K588" s="24">
        <v>8778508</v>
      </c>
      <c r="L588" s="24"/>
      <c r="M588" s="24">
        <v>89996</v>
      </c>
      <c r="N588" s="24"/>
      <c r="O588" s="24">
        <v>1411363</v>
      </c>
      <c r="P588" s="24"/>
      <c r="Q588" s="24">
        <v>407287</v>
      </c>
      <c r="R588" s="24"/>
      <c r="S588" s="24">
        <v>0</v>
      </c>
      <c r="T588" s="24"/>
      <c r="U588" s="24">
        <v>102492</v>
      </c>
      <c r="V588" s="24"/>
      <c r="W588" s="24">
        <f>10264+47004+319525</f>
        <v>376793</v>
      </c>
      <c r="X588" s="24"/>
      <c r="Y588" s="38">
        <f t="shared" si="113"/>
        <v>30992409</v>
      </c>
      <c r="Z588" s="24"/>
      <c r="AA588" s="24">
        <v>225056</v>
      </c>
      <c r="AB588" s="24"/>
      <c r="AC588" s="24">
        <v>0</v>
      </c>
      <c r="AD588" s="24"/>
      <c r="AE588" s="24">
        <v>0</v>
      </c>
      <c r="AF588" s="24"/>
      <c r="AG588" s="24"/>
      <c r="AH588" s="24"/>
      <c r="AI588" s="24"/>
      <c r="AJ588" s="24"/>
      <c r="AK588" s="24">
        <v>0</v>
      </c>
      <c r="AL588" s="24"/>
      <c r="AM588" s="24">
        <v>0</v>
      </c>
      <c r="AN588" s="24"/>
      <c r="AO588" s="38">
        <f t="shared" si="115"/>
        <v>225056</v>
      </c>
      <c r="AP588" s="24"/>
      <c r="AQ588" s="38">
        <f t="shared" si="112"/>
        <v>31217465</v>
      </c>
      <c r="AR588" s="38"/>
      <c r="AS588" s="7"/>
      <c r="AT588" s="7" t="str">
        <f t="shared" si="110"/>
        <v>West Geauga Local SD</v>
      </c>
      <c r="AU588" s="7" t="str">
        <f>'Gov Fd BS'!A588</f>
        <v>West Geauga Local SD</v>
      </c>
      <c r="AV588" s="7" t="b">
        <f t="shared" si="111"/>
        <v>1</v>
      </c>
      <c r="AW588" s="7" t="str">
        <f t="shared" si="108"/>
        <v>Geauga</v>
      </c>
      <c r="AX588" s="7" t="b">
        <f>C588='Gov Fd BS'!C588</f>
        <v>1</v>
      </c>
    </row>
    <row r="589" spans="1:50">
      <c r="A589" s="12" t="s">
        <v>364</v>
      </c>
      <c r="B589" s="12"/>
      <c r="C589" s="12" t="s">
        <v>36</v>
      </c>
      <c r="D589" s="12"/>
      <c r="E589" s="12">
        <v>47696</v>
      </c>
      <c r="F589" s="24"/>
      <c r="G589" s="24">
        <v>9659151</v>
      </c>
      <c r="H589" s="24"/>
      <c r="I589" s="24">
        <v>0</v>
      </c>
      <c r="J589" s="24"/>
      <c r="K589" s="24">
        <v>15183179</v>
      </c>
      <c r="L589" s="24"/>
      <c r="M589" s="24">
        <v>82393</v>
      </c>
      <c r="N589" s="24"/>
      <c r="O589" s="24">
        <v>629112</v>
      </c>
      <c r="P589" s="24"/>
      <c r="Q589" s="24">
        <v>363554</v>
      </c>
      <c r="R589" s="24"/>
      <c r="S589" s="24">
        <v>0</v>
      </c>
      <c r="T589" s="24"/>
      <c r="U589" s="24">
        <v>19851</v>
      </c>
      <c r="V589" s="24"/>
      <c r="W589" s="24">
        <f>83951+463457+40588</f>
        <v>587996</v>
      </c>
      <c r="X589" s="24"/>
      <c r="Y589" s="38">
        <f t="shared" si="113"/>
        <v>26525236</v>
      </c>
      <c r="Z589" s="24"/>
      <c r="AA589" s="24">
        <v>0</v>
      </c>
      <c r="AB589" s="24"/>
      <c r="AC589" s="24">
        <v>0</v>
      </c>
      <c r="AD589" s="24"/>
      <c r="AE589" s="24">
        <v>0</v>
      </c>
      <c r="AF589" s="24"/>
      <c r="AG589" s="24"/>
      <c r="AH589" s="24"/>
      <c r="AI589" s="24"/>
      <c r="AJ589" s="24"/>
      <c r="AK589" s="24">
        <v>0</v>
      </c>
      <c r="AL589" s="24"/>
      <c r="AM589" s="24">
        <v>0</v>
      </c>
      <c r="AN589" s="24"/>
      <c r="AO589" s="38">
        <f t="shared" si="115"/>
        <v>0</v>
      </c>
      <c r="AP589" s="24"/>
      <c r="AQ589" s="38">
        <f t="shared" si="112"/>
        <v>26525236</v>
      </c>
      <c r="AR589" s="38"/>
      <c r="AS589" s="7"/>
      <c r="AT589" s="7" t="str">
        <f t="shared" si="110"/>
        <v>West Holmes Local SD</v>
      </c>
      <c r="AU589" s="7" t="str">
        <f>'Gov Fd BS'!A589</f>
        <v>West Holmes Local SD</v>
      </c>
      <c r="AV589" s="7" t="b">
        <f t="shared" si="111"/>
        <v>1</v>
      </c>
      <c r="AW589" s="7" t="str">
        <f t="shared" si="108"/>
        <v>Holmes</v>
      </c>
      <c r="AX589" s="7" t="b">
        <f>C589='Gov Fd BS'!C589</f>
        <v>1</v>
      </c>
    </row>
    <row r="590" spans="1:50">
      <c r="A590" s="12" t="s">
        <v>235</v>
      </c>
      <c r="B590" s="12"/>
      <c r="C590" s="12" t="s">
        <v>232</v>
      </c>
      <c r="D590" s="12"/>
      <c r="E590" s="12">
        <v>46219</v>
      </c>
      <c r="F590" s="24"/>
      <c r="G590" s="24">
        <v>2791370</v>
      </c>
      <c r="H590" s="24"/>
      <c r="I590" s="24">
        <v>1598845</v>
      </c>
      <c r="J590" s="24"/>
      <c r="K590" s="24">
        <f>5885517+1561078</f>
        <v>7446595</v>
      </c>
      <c r="L590" s="24"/>
      <c r="M590" s="24">
        <v>24750</v>
      </c>
      <c r="N590" s="24"/>
      <c r="O590" s="24">
        <f>1116889+45</f>
        <v>1116934</v>
      </c>
      <c r="P590" s="24"/>
      <c r="Q590" s="24">
        <v>189806</v>
      </c>
      <c r="R590" s="24"/>
      <c r="S590" s="24">
        <v>0</v>
      </c>
      <c r="T590" s="24"/>
      <c r="U590" s="24">
        <v>9309</v>
      </c>
      <c r="V590" s="24"/>
      <c r="W590" s="24">
        <f>135191+320263+12732</f>
        <v>468186</v>
      </c>
      <c r="X590" s="24"/>
      <c r="Y590" s="38">
        <f t="shared" si="113"/>
        <v>13645795</v>
      </c>
      <c r="Z590" s="24"/>
      <c r="AA590" s="24">
        <v>3053</v>
      </c>
      <c r="AB590" s="24"/>
      <c r="AC590" s="24">
        <v>0</v>
      </c>
      <c r="AD590" s="24"/>
      <c r="AE590" s="24">
        <v>0</v>
      </c>
      <c r="AF590" s="24"/>
      <c r="AG590" s="24"/>
      <c r="AH590" s="24"/>
      <c r="AI590" s="24"/>
      <c r="AJ590" s="24"/>
      <c r="AK590" s="24">
        <v>0</v>
      </c>
      <c r="AL590" s="24"/>
      <c r="AM590" s="24">
        <v>0</v>
      </c>
      <c r="AN590" s="24"/>
      <c r="AO590" s="38">
        <f t="shared" si="115"/>
        <v>3053</v>
      </c>
      <c r="AP590" s="24"/>
      <c r="AQ590" s="38">
        <f t="shared" si="112"/>
        <v>13648848</v>
      </c>
      <c r="AR590" s="38"/>
      <c r="AS590" s="7"/>
      <c r="AT590" s="7" t="str">
        <f t="shared" si="110"/>
        <v>West Liberty-Salem Local SD</v>
      </c>
      <c r="AU590" s="7" t="str">
        <f>'Gov Fd BS'!A590</f>
        <v>West Liberty-Salem Local SD</v>
      </c>
      <c r="AV590" s="7" t="b">
        <f t="shared" si="111"/>
        <v>1</v>
      </c>
      <c r="AW590" s="7" t="str">
        <f t="shared" si="108"/>
        <v>Champaign</v>
      </c>
      <c r="AX590" s="7" t="b">
        <f>C590='Gov Fd BS'!C590</f>
        <v>1</v>
      </c>
    </row>
    <row r="591" spans="1:50">
      <c r="A591" s="12" t="s">
        <v>460</v>
      </c>
      <c r="B591" s="12"/>
      <c r="C591" s="12" t="s">
        <v>51</v>
      </c>
      <c r="D591" s="12"/>
      <c r="E591" s="12">
        <v>48884</v>
      </c>
      <c r="F591" s="24"/>
      <c r="G591" s="24">
        <v>7344694</v>
      </c>
      <c r="H591" s="24"/>
      <c r="I591" s="24">
        <v>0</v>
      </c>
      <c r="J591" s="24"/>
      <c r="K591" s="24">
        <v>9761321</v>
      </c>
      <c r="L591" s="24"/>
      <c r="M591" s="24">
        <v>40032</v>
      </c>
      <c r="N591" s="24"/>
      <c r="O591" s="24">
        <v>1217539</v>
      </c>
      <c r="P591" s="24"/>
      <c r="Q591" s="24">
        <v>235363</v>
      </c>
      <c r="R591" s="24"/>
      <c r="S591" s="24">
        <v>129269</v>
      </c>
      <c r="T591" s="24"/>
      <c r="U591" s="24">
        <v>20400</v>
      </c>
      <c r="V591" s="24"/>
      <c r="W591" s="24">
        <f>23757+272381+10706</f>
        <v>306844</v>
      </c>
      <c r="X591" s="24"/>
      <c r="Y591" s="38">
        <f t="shared" si="113"/>
        <v>19055462</v>
      </c>
      <c r="Z591" s="24"/>
      <c r="AA591" s="24">
        <v>35000</v>
      </c>
      <c r="AB591" s="24"/>
      <c r="AC591" s="24">
        <v>0</v>
      </c>
      <c r="AD591" s="24"/>
      <c r="AE591" s="24">
        <v>0</v>
      </c>
      <c r="AF591" s="24"/>
      <c r="AG591" s="24"/>
      <c r="AH591" s="24"/>
      <c r="AI591" s="24"/>
      <c r="AJ591" s="24"/>
      <c r="AK591" s="24">
        <v>38039</v>
      </c>
      <c r="AL591" s="24"/>
      <c r="AM591" s="24">
        <v>0</v>
      </c>
      <c r="AN591" s="24"/>
      <c r="AO591" s="38">
        <f t="shared" si="115"/>
        <v>73039</v>
      </c>
      <c r="AP591" s="24"/>
      <c r="AQ591" s="38">
        <f t="shared" si="112"/>
        <v>19128501</v>
      </c>
      <c r="AR591" s="38"/>
      <c r="AS591" s="7"/>
      <c r="AT591" s="7" t="str">
        <f t="shared" si="110"/>
        <v>West Muskingum Local SD</v>
      </c>
      <c r="AU591" s="7" t="str">
        <f>'Gov Fd BS'!A591</f>
        <v>West Muskingum Local SD</v>
      </c>
      <c r="AV591" s="7" t="b">
        <f t="shared" si="111"/>
        <v>1</v>
      </c>
      <c r="AW591" s="7" t="str">
        <f t="shared" si="108"/>
        <v>Muskingum</v>
      </c>
      <c r="AX591" s="7" t="b">
        <f>C591='Gov Fd BS'!C591</f>
        <v>1</v>
      </c>
    </row>
    <row r="592" spans="1:50">
      <c r="A592" s="12" t="s">
        <v>222</v>
      </c>
      <c r="B592" s="12"/>
      <c r="C592" s="12" t="s">
        <v>77</v>
      </c>
      <c r="D592" s="12"/>
      <c r="E592" s="12">
        <v>46060</v>
      </c>
      <c r="F592" s="24"/>
      <c r="G592" s="24">
        <v>5182202</v>
      </c>
      <c r="H592" s="24"/>
      <c r="I592" s="24">
        <v>0</v>
      </c>
      <c r="J592" s="24"/>
      <c r="K592" s="24">
        <v>23815510</v>
      </c>
      <c r="L592" s="24"/>
      <c r="M592" s="24">
        <v>19362</v>
      </c>
      <c r="N592" s="24"/>
      <c r="O592" s="24">
        <v>1300819</v>
      </c>
      <c r="P592" s="24"/>
      <c r="Q592" s="24">
        <v>400823</v>
      </c>
      <c r="R592" s="24"/>
      <c r="S592" s="24">
        <v>97575</v>
      </c>
      <c r="T592" s="24"/>
      <c r="U592" s="24">
        <v>23444</v>
      </c>
      <c r="V592" s="24"/>
      <c r="W592" s="24">
        <f>16168+105632</f>
        <v>121800</v>
      </c>
      <c r="X592" s="24"/>
      <c r="Y592" s="38">
        <f t="shared" si="113"/>
        <v>30961535</v>
      </c>
      <c r="Z592" s="24"/>
      <c r="AA592" s="24">
        <v>740853</v>
      </c>
      <c r="AB592" s="24"/>
      <c r="AC592" s="24">
        <v>0</v>
      </c>
      <c r="AD592" s="24"/>
      <c r="AE592" s="24">
        <f>3075000+131355</f>
        <v>3206355</v>
      </c>
      <c r="AF592" s="24"/>
      <c r="AG592" s="24"/>
      <c r="AH592" s="24"/>
      <c r="AI592" s="24"/>
      <c r="AJ592" s="24"/>
      <c r="AK592" s="24">
        <v>0</v>
      </c>
      <c r="AL592" s="24"/>
      <c r="AM592" s="24">
        <v>0</v>
      </c>
      <c r="AN592" s="24"/>
      <c r="AO592" s="38">
        <f t="shared" si="115"/>
        <v>3947208</v>
      </c>
      <c r="AP592" s="24"/>
      <c r="AQ592" s="38">
        <f t="shared" si="112"/>
        <v>34908743</v>
      </c>
      <c r="AR592" s="38"/>
      <c r="AS592" s="7"/>
      <c r="AT592" s="7" t="str">
        <f t="shared" si="110"/>
        <v>Western Brown Local SD</v>
      </c>
      <c r="AU592" s="7" t="str">
        <f>'Gov Fd BS'!A592</f>
        <v>Western Brown Local SD</v>
      </c>
      <c r="AV592" s="7" t="b">
        <f t="shared" si="111"/>
        <v>1</v>
      </c>
      <c r="AW592" s="7" t="str">
        <f t="shared" ref="AW592:AW618" si="116">C592</f>
        <v>Brown</v>
      </c>
      <c r="AX592" s="7" t="b">
        <f>C592='Gov Fd BS'!C592</f>
        <v>1</v>
      </c>
    </row>
    <row r="593" spans="1:50">
      <c r="A593" s="12" t="s">
        <v>473</v>
      </c>
      <c r="B593" s="12"/>
      <c r="C593" s="12" t="s">
        <v>55</v>
      </c>
      <c r="D593" s="12"/>
      <c r="E593" s="12">
        <v>49155</v>
      </c>
      <c r="F593" s="24"/>
      <c r="G593" s="24">
        <v>767063</v>
      </c>
      <c r="H593" s="24"/>
      <c r="I593" s="24">
        <v>0</v>
      </c>
      <c r="J593" s="24"/>
      <c r="K593" s="24">
        <v>8301244</v>
      </c>
      <c r="L593" s="24"/>
      <c r="M593" s="24">
        <v>54697</v>
      </c>
      <c r="N593" s="24"/>
      <c r="O593" s="24">
        <v>162045</v>
      </c>
      <c r="P593" s="24"/>
      <c r="Q593" s="24">
        <v>42533</v>
      </c>
      <c r="R593" s="24"/>
      <c r="S593" s="24">
        <v>0</v>
      </c>
      <c r="T593" s="24"/>
      <c r="U593" s="24">
        <v>6820</v>
      </c>
      <c r="V593" s="24"/>
      <c r="W593" s="24">
        <f>59439+41025+875</f>
        <v>101339</v>
      </c>
      <c r="X593" s="24"/>
      <c r="Y593" s="38">
        <f t="shared" si="113"/>
        <v>9435741</v>
      </c>
      <c r="Z593" s="24"/>
      <c r="AA593" s="24">
        <v>126911</v>
      </c>
      <c r="AB593" s="24"/>
      <c r="AC593" s="24">
        <v>0</v>
      </c>
      <c r="AD593" s="24"/>
      <c r="AE593" s="24">
        <v>0</v>
      </c>
      <c r="AF593" s="24"/>
      <c r="AG593" s="24"/>
      <c r="AH593" s="24"/>
      <c r="AI593" s="24"/>
      <c r="AJ593" s="24"/>
      <c r="AK593" s="24">
        <v>7399</v>
      </c>
      <c r="AL593" s="24"/>
      <c r="AM593" s="24">
        <v>0</v>
      </c>
      <c r="AN593" s="24"/>
      <c r="AO593" s="38">
        <f t="shared" si="115"/>
        <v>134310</v>
      </c>
      <c r="AP593" s="24"/>
      <c r="AQ593" s="38">
        <f t="shared" si="112"/>
        <v>9570051</v>
      </c>
      <c r="AR593" s="38"/>
      <c r="AS593" s="7"/>
      <c r="AT593" s="7" t="str">
        <f t="shared" si="110"/>
        <v>Western Local SD</v>
      </c>
      <c r="AU593" s="7" t="str">
        <f>'Gov Fd BS'!A593</f>
        <v>Western Local SD</v>
      </c>
      <c r="AV593" s="7" t="b">
        <f t="shared" si="111"/>
        <v>1</v>
      </c>
      <c r="AW593" s="7" t="str">
        <f t="shared" si="116"/>
        <v>Pike</v>
      </c>
      <c r="AX593" s="7" t="b">
        <f>C593='Gov Fd BS'!C593</f>
        <v>1</v>
      </c>
    </row>
    <row r="594" spans="1:50">
      <c r="A594" s="12" t="s">
        <v>369</v>
      </c>
      <c r="B594" s="12"/>
      <c r="C594" s="12" t="s">
        <v>37</v>
      </c>
      <c r="D594" s="12"/>
      <c r="E594" s="12">
        <v>47746</v>
      </c>
      <c r="F594" s="24"/>
      <c r="G594" s="24">
        <v>2661342</v>
      </c>
      <c r="H594" s="24"/>
      <c r="I594" s="24">
        <v>1665263</v>
      </c>
      <c r="J594" s="24"/>
      <c r="K594" s="24">
        <f>49569+6422936+1771148</f>
        <v>8243653</v>
      </c>
      <c r="L594" s="24"/>
      <c r="M594" s="24">
        <v>15458</v>
      </c>
      <c r="N594" s="24"/>
      <c r="O594" s="24">
        <f>585591+26986</f>
        <v>612577</v>
      </c>
      <c r="P594" s="24"/>
      <c r="Q594" s="24">
        <v>271279</v>
      </c>
      <c r="R594" s="24"/>
      <c r="S594" s="24">
        <v>0</v>
      </c>
      <c r="T594" s="24"/>
      <c r="U594" s="24">
        <v>0</v>
      </c>
      <c r="V594" s="24"/>
      <c r="W594" s="24">
        <f>98016+11112+213359</f>
        <v>322487</v>
      </c>
      <c r="X594" s="24"/>
      <c r="Y594" s="38">
        <f t="shared" si="113"/>
        <v>13792059</v>
      </c>
      <c r="Z594" s="24"/>
      <c r="AA594" s="24">
        <v>0</v>
      </c>
      <c r="AB594" s="24"/>
      <c r="AC594" s="24">
        <v>0</v>
      </c>
      <c r="AD594" s="24"/>
      <c r="AE594" s="24">
        <f>2575000+203665</f>
        <v>2778665</v>
      </c>
      <c r="AF594" s="24"/>
      <c r="AG594" s="24"/>
      <c r="AH594" s="24"/>
      <c r="AI594" s="24"/>
      <c r="AJ594" s="24"/>
      <c r="AK594" s="24">
        <v>0</v>
      </c>
      <c r="AL594" s="24"/>
      <c r="AM594" s="24">
        <v>0</v>
      </c>
      <c r="AN594" s="24"/>
      <c r="AO594" s="38">
        <f t="shared" si="115"/>
        <v>2778665</v>
      </c>
      <c r="AP594" s="24"/>
      <c r="AQ594" s="38">
        <f t="shared" si="112"/>
        <v>16570724</v>
      </c>
      <c r="AR594" s="38"/>
      <c r="AS594" s="7"/>
      <c r="AT594" s="7" t="str">
        <f t="shared" si="110"/>
        <v>Western Reserve Local SD</v>
      </c>
      <c r="AU594" s="7" t="str">
        <f>'Gov Fd BS'!A594</f>
        <v>Western Reserve Local SD</v>
      </c>
      <c r="AV594" s="7" t="b">
        <f t="shared" si="111"/>
        <v>1</v>
      </c>
      <c r="AW594" s="7" t="str">
        <f t="shared" si="116"/>
        <v>Huron</v>
      </c>
      <c r="AX594" s="7" t="b">
        <f>C594='Gov Fd BS'!C594</f>
        <v>1</v>
      </c>
    </row>
    <row r="595" spans="1:50">
      <c r="A595" s="12" t="s">
        <v>369</v>
      </c>
      <c r="B595" s="12"/>
      <c r="C595" s="12" t="s">
        <v>45</v>
      </c>
      <c r="D595" s="12"/>
      <c r="E595" s="12">
        <v>48397</v>
      </c>
      <c r="F595" s="24"/>
      <c r="G595" s="24">
        <v>3295441</v>
      </c>
      <c r="H595" s="24"/>
      <c r="I595" s="24">
        <v>0</v>
      </c>
      <c r="J595" s="24"/>
      <c r="K595" s="24">
        <v>6424550</v>
      </c>
      <c r="L595" s="24"/>
      <c r="M595" s="24">
        <v>44129</v>
      </c>
      <c r="N595" s="24"/>
      <c r="O595" s="24">
        <v>757344</v>
      </c>
      <c r="P595" s="24"/>
      <c r="Q595" s="24">
        <v>160094</v>
      </c>
      <c r="R595" s="24"/>
      <c r="S595" s="24">
        <v>0</v>
      </c>
      <c r="T595" s="24"/>
      <c r="U595" s="24">
        <v>19246</v>
      </c>
      <c r="V595" s="24"/>
      <c r="W595" s="24">
        <f>51028+792+130534</f>
        <v>182354</v>
      </c>
      <c r="X595" s="24"/>
      <c r="Y595" s="38">
        <f t="shared" si="113"/>
        <v>10883158</v>
      </c>
      <c r="Z595" s="24"/>
      <c r="AA595" s="24">
        <v>67752</v>
      </c>
      <c r="AB595" s="24"/>
      <c r="AC595" s="24">
        <v>0</v>
      </c>
      <c r="AD595" s="24"/>
      <c r="AE595" s="24">
        <v>0</v>
      </c>
      <c r="AF595" s="24"/>
      <c r="AG595" s="24"/>
      <c r="AH595" s="24"/>
      <c r="AI595" s="24"/>
      <c r="AJ595" s="24"/>
      <c r="AK595" s="24">
        <v>0</v>
      </c>
      <c r="AL595" s="24"/>
      <c r="AM595" s="24">
        <v>0</v>
      </c>
      <c r="AN595" s="24"/>
      <c r="AO595" s="38">
        <f t="shared" si="115"/>
        <v>67752</v>
      </c>
      <c r="AP595" s="24"/>
      <c r="AQ595" s="38">
        <f t="shared" si="112"/>
        <v>10950910</v>
      </c>
      <c r="AR595" s="38"/>
      <c r="AS595" s="7"/>
      <c r="AT595" s="7" t="str">
        <f t="shared" si="110"/>
        <v>Western Reserve Local SD</v>
      </c>
      <c r="AU595" s="7" t="str">
        <f>'Gov Fd BS'!A595</f>
        <v>Western Reserve Local SD</v>
      </c>
      <c r="AV595" s="7" t="b">
        <f t="shared" si="111"/>
        <v>1</v>
      </c>
      <c r="AW595" s="7" t="str">
        <f t="shared" si="116"/>
        <v>Mahoning</v>
      </c>
      <c r="AX595" s="7" t="b">
        <f>C595='Gov Fd BS'!C595</f>
        <v>1</v>
      </c>
    </row>
    <row r="596" spans="1:50">
      <c r="A596" s="12" t="s">
        <v>315</v>
      </c>
      <c r="B596" s="12"/>
      <c r="C596" s="12" t="s">
        <v>27</v>
      </c>
      <c r="D596" s="12"/>
      <c r="E596" s="12">
        <v>45047</v>
      </c>
      <c r="F596" s="24"/>
      <c r="G596" s="24">
        <v>112396958</v>
      </c>
      <c r="H596" s="24"/>
      <c r="I596" s="24">
        <v>0</v>
      </c>
      <c r="J596" s="24"/>
      <c r="K596" s="24">
        <f>51597664+11952761</f>
        <v>63550425</v>
      </c>
      <c r="L596" s="24"/>
      <c r="M596" s="24">
        <v>87187</v>
      </c>
      <c r="N596" s="24"/>
      <c r="O596" s="24">
        <v>1679376</v>
      </c>
      <c r="P596" s="24"/>
      <c r="Q596" s="24">
        <v>1488255</v>
      </c>
      <c r="R596" s="24"/>
      <c r="S596" s="24">
        <v>1279078</v>
      </c>
      <c r="T596" s="24"/>
      <c r="U596" s="24">
        <v>0</v>
      </c>
      <c r="V596" s="24"/>
      <c r="W596" s="24">
        <f>1048321+2755355</f>
        <v>3803676</v>
      </c>
      <c r="X596" s="24"/>
      <c r="Y596" s="38">
        <f t="shared" si="113"/>
        <v>184284955</v>
      </c>
      <c r="Z596" s="24"/>
      <c r="AA596" s="24">
        <v>467959</v>
      </c>
      <c r="AB596" s="24"/>
      <c r="AC596" s="24">
        <v>0</v>
      </c>
      <c r="AD596" s="24"/>
      <c r="AE596" s="24">
        <v>0</v>
      </c>
      <c r="AF596" s="24"/>
      <c r="AG596" s="24"/>
      <c r="AH596" s="24"/>
      <c r="AI596" s="24"/>
      <c r="AJ596" s="24"/>
      <c r="AK596" s="24">
        <v>0</v>
      </c>
      <c r="AL596" s="24"/>
      <c r="AM596" s="24">
        <v>0</v>
      </c>
      <c r="AN596" s="24"/>
      <c r="AO596" s="38">
        <f t="shared" si="115"/>
        <v>467959</v>
      </c>
      <c r="AP596" s="24"/>
      <c r="AQ596" s="38">
        <f t="shared" si="112"/>
        <v>184752914</v>
      </c>
      <c r="AR596" s="38"/>
      <c r="AS596" s="7"/>
      <c r="AT596" s="7" t="str">
        <f t="shared" ref="AT596:AT618" si="117">A596</f>
        <v>Westerville City SD</v>
      </c>
      <c r="AU596" s="7" t="str">
        <f>'Gov Fd BS'!A596</f>
        <v>Westerville City SD</v>
      </c>
      <c r="AV596" s="7" t="b">
        <f t="shared" ref="AV596:AV618" si="118">AT596=AU596</f>
        <v>1</v>
      </c>
      <c r="AW596" s="7" t="str">
        <f t="shared" si="116"/>
        <v>Franklin</v>
      </c>
      <c r="AX596" s="7" t="b">
        <f>C596='Gov Fd BS'!C596</f>
        <v>1</v>
      </c>
    </row>
    <row r="597" spans="1:50">
      <c r="A597" s="12" t="s">
        <v>470</v>
      </c>
      <c r="B597" s="12"/>
      <c r="C597" s="12" t="s">
        <v>54</v>
      </c>
      <c r="D597" s="12"/>
      <c r="E597" s="12">
        <v>49106</v>
      </c>
      <c r="F597" s="24"/>
      <c r="G597" s="24">
        <v>6920002</v>
      </c>
      <c r="H597" s="24"/>
      <c r="I597" s="24">
        <v>0</v>
      </c>
      <c r="J597" s="24"/>
      <c r="K597" s="24">
        <v>10040379</v>
      </c>
      <c r="L597" s="24"/>
      <c r="M597" s="24">
        <v>35133</v>
      </c>
      <c r="N597" s="24"/>
      <c r="O597" s="24">
        <v>555578</v>
      </c>
      <c r="P597" s="24"/>
      <c r="Q597" s="24">
        <v>322461</v>
      </c>
      <c r="R597" s="24"/>
      <c r="S597" s="24">
        <v>0</v>
      </c>
      <c r="T597" s="24"/>
      <c r="U597" s="24">
        <v>21960</v>
      </c>
      <c r="V597" s="24"/>
      <c r="W597" s="24">
        <f>258195+281804+5180</f>
        <v>545179</v>
      </c>
      <c r="X597" s="24"/>
      <c r="Y597" s="38">
        <f t="shared" si="113"/>
        <v>18440692</v>
      </c>
      <c r="Z597" s="24"/>
      <c r="AA597" s="24">
        <v>82447</v>
      </c>
      <c r="AB597" s="24"/>
      <c r="AC597" s="24">
        <v>0</v>
      </c>
      <c r="AD597" s="24"/>
      <c r="AE597" s="24">
        <v>0</v>
      </c>
      <c r="AF597" s="24"/>
      <c r="AG597" s="24"/>
      <c r="AH597" s="24"/>
      <c r="AI597" s="24"/>
      <c r="AJ597" s="24"/>
      <c r="AK597" s="24">
        <v>0</v>
      </c>
      <c r="AL597" s="24"/>
      <c r="AM597" s="24">
        <v>0</v>
      </c>
      <c r="AN597" s="24"/>
      <c r="AO597" s="38">
        <f t="shared" si="115"/>
        <v>82447</v>
      </c>
      <c r="AP597" s="24"/>
      <c r="AQ597" s="38">
        <f t="shared" si="112"/>
        <v>18523139</v>
      </c>
      <c r="AR597" s="38"/>
      <c r="AS597" s="7"/>
      <c r="AT597" s="7" t="str">
        <f t="shared" si="117"/>
        <v>Westfall Local SD</v>
      </c>
      <c r="AU597" s="7" t="str">
        <f>'Gov Fd BS'!A597</f>
        <v>Westfall Local SD</v>
      </c>
      <c r="AV597" s="7" t="b">
        <f t="shared" si="118"/>
        <v>1</v>
      </c>
      <c r="AW597" s="7" t="str">
        <f t="shared" si="116"/>
        <v>Pickaway</v>
      </c>
      <c r="AX597" s="7" t="b">
        <f>C597='Gov Fd BS'!C597</f>
        <v>1</v>
      </c>
    </row>
    <row r="598" spans="1:50">
      <c r="A598" s="12" t="s">
        <v>287</v>
      </c>
      <c r="B598" s="12"/>
      <c r="C598" s="12" t="s">
        <v>20</v>
      </c>
      <c r="D598" s="12"/>
      <c r="E598" s="12">
        <v>45062</v>
      </c>
      <c r="F598" s="24"/>
      <c r="G598" s="24">
        <v>45089726</v>
      </c>
      <c r="H598" s="24"/>
      <c r="I598" s="24">
        <v>0</v>
      </c>
      <c r="J598" s="24"/>
      <c r="K598" s="24">
        <f>11880171+3842398</f>
        <v>15722569</v>
      </c>
      <c r="L598" s="24"/>
      <c r="M598" s="24">
        <v>562239</v>
      </c>
      <c r="N598" s="24"/>
      <c r="O598" s="24">
        <f>425948+9662+253414</f>
        <v>689024</v>
      </c>
      <c r="P598" s="24"/>
      <c r="Q598" s="24">
        <v>291336</v>
      </c>
      <c r="R598" s="24"/>
      <c r="S598" s="24">
        <v>0</v>
      </c>
      <c r="T598" s="24"/>
      <c r="U598" s="24">
        <v>185001</v>
      </c>
      <c r="V598" s="24"/>
      <c r="W598" s="24">
        <f>46146+16420+155827+982339</f>
        <v>1200732</v>
      </c>
      <c r="X598" s="24"/>
      <c r="Y598" s="38">
        <f t="shared" si="113"/>
        <v>63740627</v>
      </c>
      <c r="Z598" s="24"/>
      <c r="AA598" s="24">
        <v>10000</v>
      </c>
      <c r="AB598" s="24"/>
      <c r="AC598" s="24">
        <v>0</v>
      </c>
      <c r="AD598" s="24"/>
      <c r="AE598" s="24">
        <f>84055000+1385791</f>
        <v>85440791</v>
      </c>
      <c r="AF598" s="24"/>
      <c r="AG598" s="24"/>
      <c r="AH598" s="24"/>
      <c r="AI598" s="24"/>
      <c r="AJ598" s="24"/>
      <c r="AK598" s="24">
        <v>407</v>
      </c>
      <c r="AL598" s="24"/>
      <c r="AM598" s="24">
        <v>0</v>
      </c>
      <c r="AN598" s="24"/>
      <c r="AO598" s="38">
        <f t="shared" si="115"/>
        <v>85451198</v>
      </c>
      <c r="AP598" s="24"/>
      <c r="AQ598" s="38">
        <f t="shared" si="112"/>
        <v>149191825</v>
      </c>
      <c r="AR598" s="38"/>
      <c r="AS598" s="7"/>
      <c r="AT598" s="7" t="str">
        <f t="shared" si="117"/>
        <v>Westlake City SD</v>
      </c>
      <c r="AU598" s="7" t="str">
        <f>'Gov Fd BS'!A598</f>
        <v>Westlake City SD</v>
      </c>
      <c r="AV598" s="7" t="b">
        <f t="shared" si="118"/>
        <v>1</v>
      </c>
      <c r="AW598" s="7" t="str">
        <f t="shared" si="116"/>
        <v>Cuyahoga</v>
      </c>
      <c r="AX598" s="7" t="b">
        <f>C598='Gov Fd BS'!C598</f>
        <v>1</v>
      </c>
    </row>
    <row r="599" spans="1:50">
      <c r="A599" s="12" t="s">
        <v>501</v>
      </c>
      <c r="B599" s="12"/>
      <c r="C599" s="12" t="s">
        <v>59</v>
      </c>
      <c r="D599" s="12"/>
      <c r="E599" s="12">
        <v>49668</v>
      </c>
      <c r="F599" s="24"/>
      <c r="G599" s="24">
        <v>3347170</v>
      </c>
      <c r="H599" s="24"/>
      <c r="I599" s="24">
        <v>0</v>
      </c>
      <c r="J599" s="24"/>
      <c r="K599" s="24">
        <v>9641784</v>
      </c>
      <c r="L599" s="24"/>
      <c r="M599" s="24">
        <v>51548</v>
      </c>
      <c r="N599" s="24"/>
      <c r="O599" s="24">
        <v>1846316</v>
      </c>
      <c r="P599" s="24"/>
      <c r="Q599" s="24">
        <v>349742</v>
      </c>
      <c r="R599" s="24"/>
      <c r="S599" s="24">
        <v>0</v>
      </c>
      <c r="T599" s="24"/>
      <c r="U599" s="24">
        <v>93664</v>
      </c>
      <c r="V599" s="24"/>
      <c r="W599" s="24">
        <f>48667+76+287390</f>
        <v>336133</v>
      </c>
      <c r="X599" s="24"/>
      <c r="Y599" s="38">
        <f t="shared" si="113"/>
        <v>15666357</v>
      </c>
      <c r="Z599" s="24"/>
      <c r="AA599" s="24">
        <v>0</v>
      </c>
      <c r="AB599" s="24"/>
      <c r="AC599" s="24">
        <v>0</v>
      </c>
      <c r="AD599" s="24"/>
      <c r="AE599" s="24">
        <v>0</v>
      </c>
      <c r="AF599" s="24"/>
      <c r="AG599" s="24"/>
      <c r="AH599" s="24"/>
      <c r="AI599" s="24"/>
      <c r="AJ599" s="24"/>
      <c r="AK599" s="24">
        <v>216221</v>
      </c>
      <c r="AL599" s="24"/>
      <c r="AM599" s="24">
        <v>0</v>
      </c>
      <c r="AN599" s="24"/>
      <c r="AO599" s="38">
        <f t="shared" ref="AO599:AO618" si="119">AK599+AE599+AA599</f>
        <v>216221</v>
      </c>
      <c r="AP599" s="24"/>
      <c r="AQ599" s="38">
        <f t="shared" si="112"/>
        <v>15882578</v>
      </c>
      <c r="AR599" s="38"/>
      <c r="AS599" s="7"/>
      <c r="AT599" s="7" t="str">
        <f t="shared" si="117"/>
        <v>Wheelersburg Local SD</v>
      </c>
      <c r="AU599" s="7" t="str">
        <f>'Gov Fd BS'!A599</f>
        <v>Wheelersburg Local SD</v>
      </c>
      <c r="AV599" s="7" t="b">
        <f t="shared" si="118"/>
        <v>1</v>
      </c>
      <c r="AW599" s="7" t="str">
        <f t="shared" si="116"/>
        <v>Scioto</v>
      </c>
      <c r="AX599" s="7" t="b">
        <f>C599='Gov Fd BS'!C599</f>
        <v>1</v>
      </c>
    </row>
    <row r="600" spans="1:50">
      <c r="A600" s="12" t="s">
        <v>316</v>
      </c>
      <c r="B600" s="12"/>
      <c r="C600" s="12" t="s">
        <v>27</v>
      </c>
      <c r="D600" s="12"/>
      <c r="E600" s="12">
        <v>45070</v>
      </c>
      <c r="F600" s="24"/>
      <c r="G600" s="24">
        <v>11702058</v>
      </c>
      <c r="H600" s="24"/>
      <c r="I600" s="24">
        <v>0</v>
      </c>
      <c r="J600" s="24"/>
      <c r="K600" s="24">
        <f>6246956+18265282+31798574</f>
        <v>56310812</v>
      </c>
      <c r="L600" s="24"/>
      <c r="M600" s="24">
        <v>844457</v>
      </c>
      <c r="N600" s="24"/>
      <c r="O600" s="24">
        <v>379656</v>
      </c>
      <c r="P600" s="24"/>
      <c r="Q600" s="24">
        <v>81765</v>
      </c>
      <c r="R600" s="24"/>
      <c r="S600" s="24">
        <v>1047567</v>
      </c>
      <c r="T600" s="24"/>
      <c r="U600" s="24">
        <v>0</v>
      </c>
      <c r="V600" s="24"/>
      <c r="W600" s="24">
        <f>249701+156402</f>
        <v>406103</v>
      </c>
      <c r="X600" s="24"/>
      <c r="Y600" s="38">
        <f t="shared" si="113"/>
        <v>70772418</v>
      </c>
      <c r="Z600" s="24"/>
      <c r="AA600" s="24">
        <v>0</v>
      </c>
      <c r="AB600" s="24"/>
      <c r="AC600" s="24">
        <v>0</v>
      </c>
      <c r="AD600" s="24"/>
      <c r="AE600" s="24">
        <v>0</v>
      </c>
      <c r="AF600" s="24"/>
      <c r="AG600" s="24"/>
      <c r="AH600" s="24"/>
      <c r="AI600" s="24"/>
      <c r="AJ600" s="24"/>
      <c r="AK600" s="24">
        <v>0</v>
      </c>
      <c r="AL600" s="24"/>
      <c r="AM600" s="24">
        <v>0</v>
      </c>
      <c r="AN600" s="24"/>
      <c r="AO600" s="38">
        <f t="shared" si="119"/>
        <v>0</v>
      </c>
      <c r="AP600" s="24"/>
      <c r="AQ600" s="38">
        <f t="shared" si="112"/>
        <v>70772418</v>
      </c>
      <c r="AR600" s="38"/>
      <c r="AS600" s="7"/>
      <c r="AT600" s="7" t="str">
        <f t="shared" si="117"/>
        <v>Whitehall City SD</v>
      </c>
      <c r="AU600" s="7" t="str">
        <f>'Gov Fd BS'!A600</f>
        <v>Whitehall City SD</v>
      </c>
      <c r="AV600" s="7" t="b">
        <f t="shared" si="118"/>
        <v>1</v>
      </c>
      <c r="AW600" s="7" t="str">
        <f t="shared" si="116"/>
        <v>Franklin</v>
      </c>
      <c r="AX600" s="7" t="b">
        <f>C600='Gov Fd BS'!C600</f>
        <v>1</v>
      </c>
    </row>
    <row r="601" spans="1:50" hidden="1">
      <c r="A601" s="12" t="s">
        <v>649</v>
      </c>
      <c r="B601" s="12"/>
      <c r="C601" s="12" t="s">
        <v>41</v>
      </c>
      <c r="D601" s="12"/>
      <c r="E601" s="12">
        <v>45088</v>
      </c>
      <c r="F601" s="24"/>
      <c r="G601" s="24">
        <v>0</v>
      </c>
      <c r="H601" s="24"/>
      <c r="I601" s="24">
        <v>0</v>
      </c>
      <c r="J601" s="24"/>
      <c r="K601" s="24">
        <v>0</v>
      </c>
      <c r="L601" s="24"/>
      <c r="M601" s="24">
        <v>0</v>
      </c>
      <c r="N601" s="24"/>
      <c r="O601" s="24">
        <v>0</v>
      </c>
      <c r="P601" s="24"/>
      <c r="Q601" s="24">
        <v>0</v>
      </c>
      <c r="R601" s="24"/>
      <c r="S601" s="24">
        <v>0</v>
      </c>
      <c r="T601" s="24"/>
      <c r="U601" s="24">
        <v>0</v>
      </c>
      <c r="V601" s="24"/>
      <c r="W601" s="24">
        <v>0</v>
      </c>
      <c r="X601" s="24"/>
      <c r="Y601" s="38">
        <f t="shared" si="113"/>
        <v>0</v>
      </c>
      <c r="Z601" s="24"/>
      <c r="AA601" s="24">
        <v>0</v>
      </c>
      <c r="AB601" s="24"/>
      <c r="AC601" s="24">
        <v>0</v>
      </c>
      <c r="AD601" s="24"/>
      <c r="AE601" s="24">
        <v>0</v>
      </c>
      <c r="AF601" s="24"/>
      <c r="AG601" s="24"/>
      <c r="AH601" s="24"/>
      <c r="AI601" s="24"/>
      <c r="AJ601" s="24"/>
      <c r="AK601" s="24">
        <v>0</v>
      </c>
      <c r="AL601" s="24"/>
      <c r="AM601" s="24">
        <v>0</v>
      </c>
      <c r="AN601" s="24"/>
      <c r="AO601" s="38">
        <f t="shared" si="119"/>
        <v>0</v>
      </c>
      <c r="AP601" s="24"/>
      <c r="AQ601" s="38">
        <f t="shared" si="112"/>
        <v>0</v>
      </c>
      <c r="AR601" s="38"/>
      <c r="AS601" s="7"/>
      <c r="AT601" s="7" t="str">
        <f t="shared" si="117"/>
        <v>Wickliffe City SD (CASH)</v>
      </c>
      <c r="AU601" s="7" t="str">
        <f>'Gov Fd BS'!A601</f>
        <v>Wickliffe City SD (CASH)</v>
      </c>
      <c r="AV601" s="7" t="b">
        <f t="shared" si="118"/>
        <v>1</v>
      </c>
      <c r="AW601" s="7" t="str">
        <f t="shared" si="116"/>
        <v>Lake</v>
      </c>
      <c r="AX601" s="7" t="b">
        <f>C601='Gov Fd BS'!C601</f>
        <v>1</v>
      </c>
    </row>
    <row r="602" spans="1:50">
      <c r="A602" s="12" t="s">
        <v>370</v>
      </c>
      <c r="B602" s="12"/>
      <c r="C602" s="12" t="s">
        <v>37</v>
      </c>
      <c r="D602" s="12"/>
      <c r="E602" s="12">
        <v>45096</v>
      </c>
      <c r="F602" s="24"/>
      <c r="G602" s="24">
        <v>5459593</v>
      </c>
      <c r="H602" s="24"/>
      <c r="I602" s="24">
        <v>0</v>
      </c>
      <c r="J602" s="24"/>
      <c r="K602" s="24">
        <f>9141+10774301+3399130</f>
        <v>14182572</v>
      </c>
      <c r="L602" s="24"/>
      <c r="M602" s="24">
        <v>15309</v>
      </c>
      <c r="N602" s="24"/>
      <c r="O602" s="24">
        <f>228708+12046+39258</f>
        <v>280012</v>
      </c>
      <c r="P602" s="24"/>
      <c r="Q602" s="24">
        <v>276821</v>
      </c>
      <c r="R602" s="24"/>
      <c r="S602" s="24">
        <v>0</v>
      </c>
      <c r="T602" s="24"/>
      <c r="U602" s="24">
        <v>32853</v>
      </c>
      <c r="V602" s="24"/>
      <c r="W602" s="24">
        <f>116099+1660+5783+319553</f>
        <v>443095</v>
      </c>
      <c r="X602" s="24"/>
      <c r="Y602" s="38">
        <f t="shared" si="113"/>
        <v>20690255</v>
      </c>
      <c r="Z602" s="24"/>
      <c r="AA602" s="24">
        <v>58248</v>
      </c>
      <c r="AB602" s="24"/>
      <c r="AC602" s="24">
        <v>0</v>
      </c>
      <c r="AD602" s="24"/>
      <c r="AE602" s="24">
        <v>120000</v>
      </c>
      <c r="AF602" s="24"/>
      <c r="AG602" s="24"/>
      <c r="AH602" s="24"/>
      <c r="AI602" s="24"/>
      <c r="AJ602" s="24"/>
      <c r="AK602" s="24">
        <f>4632+130086</f>
        <v>134718</v>
      </c>
      <c r="AL602" s="24"/>
      <c r="AM602" s="24">
        <v>0</v>
      </c>
      <c r="AN602" s="24"/>
      <c r="AO602" s="38">
        <f t="shared" si="119"/>
        <v>312966</v>
      </c>
      <c r="AP602" s="24"/>
      <c r="AQ602" s="38">
        <f t="shared" si="112"/>
        <v>21003221</v>
      </c>
      <c r="AR602" s="38"/>
      <c r="AS602" s="7"/>
      <c r="AT602" s="7" t="str">
        <f t="shared" si="117"/>
        <v>Willard City SD</v>
      </c>
      <c r="AU602" s="7" t="str">
        <f>'Gov Fd BS'!A602</f>
        <v>Willard City SD</v>
      </c>
      <c r="AV602" s="7" t="b">
        <f t="shared" si="118"/>
        <v>1</v>
      </c>
      <c r="AW602" s="7" t="str">
        <f t="shared" si="116"/>
        <v>Huron</v>
      </c>
      <c r="AX602" s="7" t="b">
        <f>C602='Gov Fd BS'!C602</f>
        <v>1</v>
      </c>
    </row>
    <row r="603" spans="1:50">
      <c r="A603" s="12" t="s">
        <v>247</v>
      </c>
      <c r="B603" s="12"/>
      <c r="C603" s="12" t="s">
        <v>113</v>
      </c>
      <c r="D603" s="12"/>
      <c r="E603" s="12">
        <v>46367</v>
      </c>
      <c r="F603" s="24"/>
      <c r="G603" s="24">
        <v>4047214</v>
      </c>
      <c r="H603" s="24"/>
      <c r="I603" s="24">
        <v>0</v>
      </c>
      <c r="J603" s="24"/>
      <c r="K603" s="24">
        <v>5677833</v>
      </c>
      <c r="L603" s="24"/>
      <c r="M603" s="24">
        <v>12572</v>
      </c>
      <c r="N603" s="24"/>
      <c r="O603" s="24">
        <v>662610</v>
      </c>
      <c r="P603" s="24"/>
      <c r="Q603" s="24">
        <v>107381</v>
      </c>
      <c r="R603" s="24"/>
      <c r="S603" s="24">
        <v>0</v>
      </c>
      <c r="T603" s="24"/>
      <c r="U603" s="24">
        <v>53634</v>
      </c>
      <c r="V603" s="24"/>
      <c r="W603" s="24">
        <f>251895+252214+246041</f>
        <v>750150</v>
      </c>
      <c r="X603" s="24"/>
      <c r="Y603" s="38">
        <f t="shared" si="113"/>
        <v>11311394</v>
      </c>
      <c r="Z603" s="24"/>
      <c r="AA603" s="24">
        <v>267635</v>
      </c>
      <c r="AB603" s="24"/>
      <c r="AC603" s="24">
        <v>0</v>
      </c>
      <c r="AD603" s="24"/>
      <c r="AE603" s="24">
        <v>0</v>
      </c>
      <c r="AF603" s="24"/>
      <c r="AG603" s="24"/>
      <c r="AH603" s="24"/>
      <c r="AI603" s="24"/>
      <c r="AJ603" s="24"/>
      <c r="AK603" s="24">
        <v>500</v>
      </c>
      <c r="AL603" s="24"/>
      <c r="AM603" s="24">
        <v>0</v>
      </c>
      <c r="AN603" s="24"/>
      <c r="AO603" s="38">
        <f t="shared" si="119"/>
        <v>268135</v>
      </c>
      <c r="AP603" s="24"/>
      <c r="AQ603" s="38">
        <f t="shared" si="112"/>
        <v>11579529</v>
      </c>
      <c r="AR603" s="38"/>
      <c r="AS603" s="7"/>
      <c r="AT603" s="7" t="str">
        <f t="shared" si="117"/>
        <v>Williamsburg Local SD</v>
      </c>
      <c r="AU603" s="7" t="str">
        <f>'Gov Fd BS'!A603</f>
        <v>Williamsburg Local SD</v>
      </c>
      <c r="AV603" s="7" t="b">
        <f t="shared" si="118"/>
        <v>1</v>
      </c>
      <c r="AW603" s="7" t="str">
        <f t="shared" si="116"/>
        <v>Clermont</v>
      </c>
      <c r="AX603" s="7" t="b">
        <f>C603='Gov Fd BS'!C603</f>
        <v>1</v>
      </c>
    </row>
    <row r="604" spans="1:50">
      <c r="A604" s="12" t="s">
        <v>376</v>
      </c>
      <c r="B604" s="12"/>
      <c r="C604" s="12" t="s">
        <v>41</v>
      </c>
      <c r="D604" s="12"/>
      <c r="E604" s="12">
        <v>45104</v>
      </c>
      <c r="F604" s="24"/>
      <c r="G604" s="24">
        <v>58562057</v>
      </c>
      <c r="H604" s="24"/>
      <c r="I604" s="24">
        <v>0</v>
      </c>
      <c r="J604" s="24"/>
      <c r="K604" s="24">
        <v>37257966</v>
      </c>
      <c r="L604" s="24"/>
      <c r="M604" s="24">
        <v>75132</v>
      </c>
      <c r="N604" s="24"/>
      <c r="O604" s="24">
        <v>2355551</v>
      </c>
      <c r="P604" s="24"/>
      <c r="Q604" s="24">
        <v>647010</v>
      </c>
      <c r="R604" s="24"/>
      <c r="S604" s="24">
        <v>0</v>
      </c>
      <c r="T604" s="24"/>
      <c r="U604" s="24">
        <v>156791</v>
      </c>
      <c r="V604" s="24"/>
      <c r="W604" s="24">
        <f>395281+1804911+225793</f>
        <v>2425985</v>
      </c>
      <c r="X604" s="24"/>
      <c r="Y604" s="38">
        <f t="shared" si="113"/>
        <v>101480492</v>
      </c>
      <c r="Z604" s="24"/>
      <c r="AA604" s="24">
        <v>375222</v>
      </c>
      <c r="AB604" s="24"/>
      <c r="AC604" s="24">
        <v>0</v>
      </c>
      <c r="AD604" s="24"/>
      <c r="AE604" s="24">
        <f>14105000+8625000</f>
        <v>22730000</v>
      </c>
      <c r="AF604" s="24"/>
      <c r="AG604" s="24"/>
      <c r="AH604" s="24"/>
      <c r="AI604" s="24"/>
      <c r="AJ604" s="24"/>
      <c r="AK604" s="24">
        <v>85</v>
      </c>
      <c r="AL604" s="24"/>
      <c r="AM604" s="24">
        <v>0</v>
      </c>
      <c r="AN604" s="24"/>
      <c r="AO604" s="38">
        <f t="shared" si="119"/>
        <v>23105307</v>
      </c>
      <c r="AP604" s="24"/>
      <c r="AQ604" s="38">
        <f t="shared" si="112"/>
        <v>124585799</v>
      </c>
      <c r="AR604" s="38"/>
      <c r="AS604" s="7"/>
      <c r="AT604" s="7" t="str">
        <f t="shared" si="117"/>
        <v>Willoughby-Eastlake City SD</v>
      </c>
      <c r="AU604" s="7" t="str">
        <f>'Gov Fd BS'!A604</f>
        <v>Willoughby-Eastlake City SD</v>
      </c>
      <c r="AV604" s="7" t="b">
        <f t="shared" si="118"/>
        <v>1</v>
      </c>
      <c r="AW604" s="7" t="str">
        <f t="shared" si="116"/>
        <v>Lake</v>
      </c>
      <c r="AX604" s="7" t="b">
        <f>C604='Gov Fd BS'!C604</f>
        <v>1</v>
      </c>
    </row>
    <row r="605" spans="1:50" ht="13.5" customHeight="1">
      <c r="A605" s="12" t="s">
        <v>251</v>
      </c>
      <c r="B605" s="12"/>
      <c r="C605" s="12" t="s">
        <v>18</v>
      </c>
      <c r="D605" s="12"/>
      <c r="E605" s="12">
        <v>45112</v>
      </c>
      <c r="F605" s="24"/>
      <c r="G605" s="24">
        <v>13283440</v>
      </c>
      <c r="H605" s="24"/>
      <c r="I605" s="24">
        <v>0</v>
      </c>
      <c r="J605" s="24"/>
      <c r="K605" s="24">
        <v>14316078</v>
      </c>
      <c r="L605" s="24"/>
      <c r="M605" s="24">
        <v>16225</v>
      </c>
      <c r="N605" s="24"/>
      <c r="O605" s="24">
        <v>790686</v>
      </c>
      <c r="P605" s="24"/>
      <c r="Q605" s="24">
        <v>100625</v>
      </c>
      <c r="R605" s="24"/>
      <c r="S605" s="24">
        <v>11054</v>
      </c>
      <c r="T605" s="24"/>
      <c r="U605" s="24">
        <v>0</v>
      </c>
      <c r="V605" s="24"/>
      <c r="W605" s="24">
        <f>139274+512101</f>
        <v>651375</v>
      </c>
      <c r="X605" s="24"/>
      <c r="Y605" s="38">
        <f t="shared" si="113"/>
        <v>29169483</v>
      </c>
      <c r="Z605" s="24"/>
      <c r="AA605" s="24">
        <v>0</v>
      </c>
      <c r="AB605" s="24"/>
      <c r="AC605" s="24">
        <v>0</v>
      </c>
      <c r="AD605" s="24"/>
      <c r="AE605" s="24">
        <v>0</v>
      </c>
      <c r="AF605" s="24"/>
      <c r="AG605" s="24"/>
      <c r="AH605" s="24"/>
      <c r="AI605" s="24"/>
      <c r="AJ605" s="24"/>
      <c r="AK605" s="24">
        <v>10123</v>
      </c>
      <c r="AL605" s="24"/>
      <c r="AM605" s="24">
        <v>0</v>
      </c>
      <c r="AN605" s="24"/>
      <c r="AO605" s="38">
        <f t="shared" si="119"/>
        <v>10123</v>
      </c>
      <c r="AP605" s="24"/>
      <c r="AQ605" s="38">
        <f t="shared" si="112"/>
        <v>29179606</v>
      </c>
      <c r="AR605" s="38"/>
      <c r="AS605" s="7"/>
      <c r="AT605" s="7" t="str">
        <f t="shared" si="117"/>
        <v>Wilmington City SD</v>
      </c>
      <c r="AU605" s="7" t="str">
        <f>'Gov Fd BS'!A605</f>
        <v>Wilmington City SD</v>
      </c>
      <c r="AV605" s="7" t="b">
        <f t="shared" si="118"/>
        <v>1</v>
      </c>
      <c r="AW605" s="7" t="str">
        <f t="shared" si="116"/>
        <v>Clinton</v>
      </c>
      <c r="AX605" s="7" t="b">
        <f>C605='Gov Fd BS'!C605</f>
        <v>1</v>
      </c>
    </row>
    <row r="606" spans="1:50">
      <c r="A606" s="12" t="s">
        <v>891</v>
      </c>
      <c r="B606" s="12"/>
      <c r="C606" s="12" t="s">
        <v>56</v>
      </c>
      <c r="D606" s="12"/>
      <c r="E606" s="12">
        <v>45666</v>
      </c>
      <c r="F606" s="24"/>
      <c r="G606" s="24">
        <v>1189278</v>
      </c>
      <c r="H606" s="24"/>
      <c r="I606" s="24">
        <v>0</v>
      </c>
      <c r="J606" s="24"/>
      <c r="K606" s="24">
        <f>6603207+1359184</f>
        <v>7962391</v>
      </c>
      <c r="L606" s="24"/>
      <c r="M606" s="24">
        <v>11238</v>
      </c>
      <c r="N606" s="24"/>
      <c r="O606" s="24">
        <f>221078+2590</f>
        <v>223668</v>
      </c>
      <c r="P606" s="24"/>
      <c r="Q606" s="24">
        <v>98367</v>
      </c>
      <c r="R606" s="24"/>
      <c r="S606" s="24">
        <v>70561</v>
      </c>
      <c r="T606" s="24"/>
      <c r="U606" s="24">
        <v>16391</v>
      </c>
      <c r="V606" s="24"/>
      <c r="W606" s="24">
        <f>1039+97767</f>
        <v>98806</v>
      </c>
      <c r="X606" s="24"/>
      <c r="Y606" s="38">
        <f t="shared" si="113"/>
        <v>9670700</v>
      </c>
      <c r="Z606" s="24"/>
      <c r="AA606" s="24">
        <v>0</v>
      </c>
      <c r="AB606" s="24"/>
      <c r="AC606" s="24">
        <v>0</v>
      </c>
      <c r="AD606" s="24"/>
      <c r="AE606" s="24">
        <v>0</v>
      </c>
      <c r="AF606" s="24"/>
      <c r="AG606" s="24"/>
      <c r="AH606" s="24"/>
      <c r="AI606" s="24"/>
      <c r="AJ606" s="24"/>
      <c r="AK606" s="24">
        <v>0</v>
      </c>
      <c r="AL606" s="24"/>
      <c r="AM606" s="24">
        <v>0</v>
      </c>
      <c r="AN606" s="24"/>
      <c r="AO606" s="38">
        <f t="shared" si="119"/>
        <v>0</v>
      </c>
      <c r="AP606" s="24"/>
      <c r="AQ606" s="38">
        <f t="shared" si="112"/>
        <v>9670700</v>
      </c>
      <c r="AR606" s="38"/>
      <c r="AS606" s="7"/>
      <c r="AT606" s="7" t="str">
        <f t="shared" si="117"/>
        <v>Windham Exempted Village SD</v>
      </c>
      <c r="AU606" s="7" t="str">
        <f>'Gov Fd BS'!A606</f>
        <v>Windham Exempted Village SD</v>
      </c>
      <c r="AV606" s="7" t="b">
        <f t="shared" si="118"/>
        <v>1</v>
      </c>
      <c r="AW606" s="7" t="str">
        <f t="shared" si="116"/>
        <v>Portage</v>
      </c>
      <c r="AX606" s="7" t="b">
        <f>C606='Gov Fd BS'!C606</f>
        <v>1</v>
      </c>
    </row>
    <row r="607" spans="1:50">
      <c r="A607" s="12" t="s">
        <v>341</v>
      </c>
      <c r="B607" s="12"/>
      <c r="C607" s="12" t="s">
        <v>32</v>
      </c>
      <c r="D607" s="12"/>
      <c r="E607" s="12">
        <v>44081</v>
      </c>
      <c r="F607" s="24"/>
      <c r="G607" s="24">
        <v>23121745</v>
      </c>
      <c r="H607" s="24"/>
      <c r="I607" s="24">
        <v>0</v>
      </c>
      <c r="J607" s="24"/>
      <c r="K607" s="24">
        <v>23747720</v>
      </c>
      <c r="L607" s="24"/>
      <c r="M607" s="24">
        <v>8670</v>
      </c>
      <c r="N607" s="24"/>
      <c r="O607" s="24">
        <v>852155</v>
      </c>
      <c r="P607" s="24"/>
      <c r="Q607" s="24">
        <v>326134</v>
      </c>
      <c r="R607" s="24"/>
      <c r="S607" s="24">
        <v>340906</v>
      </c>
      <c r="T607" s="24"/>
      <c r="U607" s="24">
        <v>0</v>
      </c>
      <c r="V607" s="24"/>
      <c r="W607" s="24">
        <f>590951+460342</f>
        <v>1051293</v>
      </c>
      <c r="X607" s="24"/>
      <c r="Y607" s="38">
        <f t="shared" si="113"/>
        <v>49448623</v>
      </c>
      <c r="Z607" s="24"/>
      <c r="AA607" s="24">
        <v>0</v>
      </c>
      <c r="AB607" s="24"/>
      <c r="AC607" s="24">
        <v>0</v>
      </c>
      <c r="AD607" s="24"/>
      <c r="AE607" s="24">
        <v>0</v>
      </c>
      <c r="AF607" s="24"/>
      <c r="AG607" s="24"/>
      <c r="AH607" s="24"/>
      <c r="AI607" s="24"/>
      <c r="AJ607" s="24"/>
      <c r="AK607" s="24">
        <v>242094</v>
      </c>
      <c r="AL607" s="24"/>
      <c r="AM607" s="24">
        <v>0</v>
      </c>
      <c r="AN607" s="24"/>
      <c r="AO607" s="38">
        <f t="shared" si="119"/>
        <v>242094</v>
      </c>
      <c r="AP607" s="24"/>
      <c r="AQ607" s="38">
        <f t="shared" si="112"/>
        <v>49690717</v>
      </c>
      <c r="AR607" s="38"/>
      <c r="AS607" s="7"/>
      <c r="AT607" s="7" t="str">
        <f t="shared" si="117"/>
        <v>Winton Woods City SD</v>
      </c>
      <c r="AU607" s="7" t="str">
        <f>'Gov Fd BS'!A607</f>
        <v>Winton Woods City SD</v>
      </c>
      <c r="AV607" s="7" t="b">
        <f t="shared" si="118"/>
        <v>1</v>
      </c>
      <c r="AW607" s="7" t="str">
        <f t="shared" si="116"/>
        <v>Hamilton</v>
      </c>
      <c r="AX607" s="7" t="b">
        <f>C607='Gov Fd BS'!C607</f>
        <v>1</v>
      </c>
    </row>
    <row r="608" spans="1:50">
      <c r="A608" s="12" t="s">
        <v>567</v>
      </c>
      <c r="B608" s="12"/>
      <c r="C608" s="12" t="s">
        <v>70</v>
      </c>
      <c r="D608" s="12"/>
      <c r="E608" s="12">
        <v>50518</v>
      </c>
      <c r="F608" s="24"/>
      <c r="G608" s="24">
        <v>4724651</v>
      </c>
      <c r="H608" s="24"/>
      <c r="I608" s="24">
        <v>0</v>
      </c>
      <c r="J608" s="24"/>
      <c r="K608" s="24">
        <v>3273227</v>
      </c>
      <c r="L608" s="24"/>
      <c r="M608" s="24">
        <v>66808</v>
      </c>
      <c r="N608" s="24"/>
      <c r="O608" s="24">
        <v>337402</v>
      </c>
      <c r="P608" s="24"/>
      <c r="Q608" s="24">
        <v>101109</v>
      </c>
      <c r="R608" s="24"/>
      <c r="S608" s="24">
        <v>0</v>
      </c>
      <c r="T608" s="24"/>
      <c r="U608" s="24">
        <v>79750</v>
      </c>
      <c r="V608" s="24"/>
      <c r="W608" s="24">
        <f>91656+92399</f>
        <v>184055</v>
      </c>
      <c r="X608" s="24"/>
      <c r="Y608" s="38">
        <f t="shared" si="113"/>
        <v>8767002</v>
      </c>
      <c r="Z608" s="24"/>
      <c r="AA608" s="24">
        <v>100000</v>
      </c>
      <c r="AB608" s="24"/>
      <c r="AC608" s="24">
        <v>0</v>
      </c>
      <c r="AD608" s="24"/>
      <c r="AE608" s="24">
        <v>0</v>
      </c>
      <c r="AF608" s="24"/>
      <c r="AG608" s="24"/>
      <c r="AH608" s="24"/>
      <c r="AI608" s="24"/>
      <c r="AJ608" s="24"/>
      <c r="AK608" s="24">
        <v>2000</v>
      </c>
      <c r="AL608" s="24"/>
      <c r="AM608" s="24">
        <v>0</v>
      </c>
      <c r="AN608" s="24"/>
      <c r="AO608" s="38">
        <f t="shared" si="119"/>
        <v>102000</v>
      </c>
      <c r="AP608" s="24"/>
      <c r="AQ608" s="38">
        <f t="shared" ref="AQ608:AQ618" si="120">Y608+AO608</f>
        <v>8869002</v>
      </c>
      <c r="AR608" s="38"/>
      <c r="AS608" s="7"/>
      <c r="AT608" s="7" t="str">
        <f t="shared" si="117"/>
        <v>Wolf Creek Local SD</v>
      </c>
      <c r="AU608" s="7" t="str">
        <f>'Gov Fd BS'!A608</f>
        <v>Wolf Creek Local SD</v>
      </c>
      <c r="AV608" s="7" t="b">
        <f t="shared" si="118"/>
        <v>1</v>
      </c>
      <c r="AW608" s="7" t="str">
        <f t="shared" si="116"/>
        <v>Washington</v>
      </c>
      <c r="AX608" s="7" t="b">
        <f>C608='Gov Fd BS'!C608</f>
        <v>1</v>
      </c>
    </row>
    <row r="609" spans="1:50">
      <c r="A609" s="12" t="s">
        <v>493</v>
      </c>
      <c r="B609" s="12"/>
      <c r="C609" s="12" t="s">
        <v>79</v>
      </c>
      <c r="D609" s="12"/>
      <c r="E609" s="12">
        <v>49577</v>
      </c>
      <c r="F609" s="24"/>
      <c r="G609" s="24">
        <v>4107627</v>
      </c>
      <c r="H609" s="24"/>
      <c r="I609" s="24">
        <v>0</v>
      </c>
      <c r="J609" s="24"/>
      <c r="K609" s="24">
        <f>5103621+915624</f>
        <v>6019245</v>
      </c>
      <c r="L609" s="24"/>
      <c r="M609" s="24">
        <v>2654</v>
      </c>
      <c r="N609" s="24"/>
      <c r="O609" s="24">
        <f>389135+76754</f>
        <v>465889</v>
      </c>
      <c r="P609" s="24"/>
      <c r="Q609" s="24">
        <v>114691</v>
      </c>
      <c r="R609" s="24"/>
      <c r="S609" s="24">
        <v>85000</v>
      </c>
      <c r="T609" s="24"/>
      <c r="U609" s="24">
        <v>7581</v>
      </c>
      <c r="V609" s="24"/>
      <c r="W609" s="24">
        <f>3559+1320+251283</f>
        <v>256162</v>
      </c>
      <c r="X609" s="24"/>
      <c r="Y609" s="38">
        <f t="shared" si="113"/>
        <v>11058849</v>
      </c>
      <c r="Z609" s="24"/>
      <c r="AA609" s="24">
        <v>0</v>
      </c>
      <c r="AB609" s="24"/>
      <c r="AC609" s="24">
        <v>0</v>
      </c>
      <c r="AD609" s="24"/>
      <c r="AE609" s="24">
        <v>0</v>
      </c>
      <c r="AF609" s="24"/>
      <c r="AG609" s="24"/>
      <c r="AH609" s="24"/>
      <c r="AI609" s="24"/>
      <c r="AJ609" s="24"/>
      <c r="AK609" s="24">
        <v>0</v>
      </c>
      <c r="AL609" s="24"/>
      <c r="AM609" s="24">
        <v>0</v>
      </c>
      <c r="AN609" s="24"/>
      <c r="AO609" s="38">
        <f t="shared" si="119"/>
        <v>0</v>
      </c>
      <c r="AP609" s="24"/>
      <c r="AQ609" s="38">
        <f t="shared" si="120"/>
        <v>11058849</v>
      </c>
      <c r="AR609" s="38"/>
      <c r="AS609" s="7"/>
      <c r="AT609" s="7" t="str">
        <f t="shared" si="117"/>
        <v>Woodmore Local SD</v>
      </c>
      <c r="AU609" s="7" t="str">
        <f>'Gov Fd BS'!A609</f>
        <v>Woodmore Local SD</v>
      </c>
      <c r="AV609" s="7" t="b">
        <f t="shared" si="118"/>
        <v>1</v>
      </c>
      <c r="AW609" s="7" t="str">
        <f t="shared" si="116"/>
        <v>Sandusky</v>
      </c>
      <c r="AX609" s="7" t="b">
        <f>C609='Gov Fd BS'!C609</f>
        <v>1</v>
      </c>
    </row>
    <row r="610" spans="1:50">
      <c r="A610" s="12" t="s">
        <v>533</v>
      </c>
      <c r="B610" s="12"/>
      <c r="C610" s="12" t="s">
        <v>63</v>
      </c>
      <c r="D610" s="12"/>
      <c r="E610" s="12">
        <v>49973</v>
      </c>
      <c r="F610" s="24"/>
      <c r="G610" s="24">
        <v>16088928</v>
      </c>
      <c r="H610" s="24"/>
      <c r="I610" s="24">
        <v>0</v>
      </c>
      <c r="J610" s="24"/>
      <c r="K610" s="24">
        <v>7497334</v>
      </c>
      <c r="L610" s="24"/>
      <c r="M610" s="24">
        <v>13677</v>
      </c>
      <c r="N610" s="24"/>
      <c r="O610" s="24">
        <v>1108407</v>
      </c>
      <c r="P610" s="24"/>
      <c r="Q610" s="24">
        <v>233348</v>
      </c>
      <c r="R610" s="24"/>
      <c r="S610" s="24">
        <v>126392</v>
      </c>
      <c r="T610" s="24"/>
      <c r="U610" s="24">
        <v>25994</v>
      </c>
      <c r="V610" s="24"/>
      <c r="W610" s="24">
        <f>2107+64056+314192</f>
        <v>380355</v>
      </c>
      <c r="X610" s="24"/>
      <c r="Y610" s="38">
        <f t="shared" si="113"/>
        <v>25474435</v>
      </c>
      <c r="Z610" s="24"/>
      <c r="AA610" s="7">
        <v>148460</v>
      </c>
      <c r="AB610" s="24"/>
      <c r="AC610" s="24">
        <v>0</v>
      </c>
      <c r="AD610" s="24"/>
      <c r="AE610" s="24">
        <v>0</v>
      </c>
      <c r="AF610" s="24"/>
      <c r="AG610" s="24"/>
      <c r="AH610" s="24"/>
      <c r="AI610" s="24"/>
      <c r="AJ610" s="24"/>
      <c r="AK610" s="24">
        <f>7965+94183</f>
        <v>102148</v>
      </c>
      <c r="AL610" s="24"/>
      <c r="AM610" s="24">
        <v>0</v>
      </c>
      <c r="AN610" s="24"/>
      <c r="AO610" s="38">
        <f t="shared" si="119"/>
        <v>250608</v>
      </c>
      <c r="AP610" s="24"/>
      <c r="AQ610" s="38">
        <f t="shared" si="120"/>
        <v>25725043</v>
      </c>
      <c r="AR610" s="38"/>
      <c r="AS610" s="7"/>
      <c r="AT610" s="7" t="str">
        <f t="shared" si="117"/>
        <v>Woodridge Local SD</v>
      </c>
      <c r="AU610" s="7" t="str">
        <f>'Gov Fd BS'!A610</f>
        <v>Woodridge Local SD</v>
      </c>
      <c r="AV610" s="7" t="b">
        <f t="shared" si="118"/>
        <v>1</v>
      </c>
      <c r="AW610" s="7" t="str">
        <f t="shared" si="116"/>
        <v>Summit</v>
      </c>
      <c r="AX610" s="7" t="b">
        <f>C610='Gov Fd BS'!C610</f>
        <v>1</v>
      </c>
    </row>
    <row r="611" spans="1:50">
      <c r="A611" s="12" t="s">
        <v>650</v>
      </c>
      <c r="B611" s="12"/>
      <c r="C611" s="12" t="s">
        <v>71</v>
      </c>
      <c r="D611" s="12"/>
      <c r="E611" s="12">
        <v>45138</v>
      </c>
      <c r="F611" s="24"/>
      <c r="G611" s="24">
        <v>26121198</v>
      </c>
      <c r="H611" s="24"/>
      <c r="I611" s="24">
        <v>0</v>
      </c>
      <c r="J611" s="24"/>
      <c r="K611" s="24">
        <v>21245477</v>
      </c>
      <c r="L611" s="24"/>
      <c r="M611" s="24">
        <v>134525</v>
      </c>
      <c r="N611" s="24"/>
      <c r="O611" s="24">
        <v>823542</v>
      </c>
      <c r="P611" s="24"/>
      <c r="Q611" s="24">
        <v>317287</v>
      </c>
      <c r="R611" s="24"/>
      <c r="S611" s="24">
        <v>0</v>
      </c>
      <c r="T611" s="24"/>
      <c r="U611" s="24">
        <v>27180</v>
      </c>
      <c r="V611" s="24"/>
      <c r="W611" s="24">
        <f>78836+32507</f>
        <v>111343</v>
      </c>
      <c r="X611" s="24"/>
      <c r="Y611" s="38">
        <f t="shared" si="113"/>
        <v>48780552</v>
      </c>
      <c r="Z611" s="24"/>
      <c r="AA611" s="24">
        <v>355343</v>
      </c>
      <c r="AB611" s="24"/>
      <c r="AC611" s="24">
        <v>0</v>
      </c>
      <c r="AD611" s="24"/>
      <c r="AE611" s="24">
        <v>0</v>
      </c>
      <c r="AF611" s="24"/>
      <c r="AG611" s="24"/>
      <c r="AH611" s="24"/>
      <c r="AI611" s="24"/>
      <c r="AJ611" s="24"/>
      <c r="AK611" s="24">
        <v>5668</v>
      </c>
      <c r="AL611" s="24"/>
      <c r="AM611" s="24">
        <v>0</v>
      </c>
      <c r="AN611" s="24"/>
      <c r="AO611" s="38">
        <f t="shared" si="119"/>
        <v>361011</v>
      </c>
      <c r="AP611" s="24"/>
      <c r="AQ611" s="38">
        <f t="shared" si="120"/>
        <v>49141563</v>
      </c>
      <c r="AR611" s="38"/>
      <c r="AS611" s="7"/>
      <c r="AT611" s="7" t="str">
        <f t="shared" si="117"/>
        <v>Wooster City SD</v>
      </c>
      <c r="AU611" s="7" t="str">
        <f>'Gov Fd BS'!A611</f>
        <v>Wooster City SD</v>
      </c>
      <c r="AV611" s="7" t="b">
        <f t="shared" si="118"/>
        <v>1</v>
      </c>
      <c r="AW611" s="7" t="str">
        <f t="shared" si="116"/>
        <v>Wayne</v>
      </c>
      <c r="AX611" s="7" t="b">
        <f>C611='Gov Fd BS'!C611</f>
        <v>1</v>
      </c>
    </row>
    <row r="612" spans="1:50">
      <c r="A612" s="12" t="s">
        <v>317</v>
      </c>
      <c r="B612" s="12"/>
      <c r="C612" s="12" t="s">
        <v>27</v>
      </c>
      <c r="D612" s="12"/>
      <c r="E612" s="12">
        <v>46524</v>
      </c>
      <c r="F612" s="24"/>
      <c r="G612" s="24">
        <v>85289592</v>
      </c>
      <c r="H612" s="24"/>
      <c r="I612" s="24">
        <v>0</v>
      </c>
      <c r="J612" s="24"/>
      <c r="K612" s="24">
        <v>46595556</v>
      </c>
      <c r="L612" s="24"/>
      <c r="M612" s="24">
        <v>326803</v>
      </c>
      <c r="N612" s="24"/>
      <c r="O612" s="24">
        <v>2244700</v>
      </c>
      <c r="P612" s="24"/>
      <c r="Q612" s="24">
        <v>622073</v>
      </c>
      <c r="R612" s="24"/>
      <c r="S612" s="24">
        <v>0</v>
      </c>
      <c r="T612" s="24"/>
      <c r="U612" s="24">
        <v>0</v>
      </c>
      <c r="V612" s="24"/>
      <c r="W612" s="24">
        <f>1416909+2218881</f>
        <v>3635790</v>
      </c>
      <c r="X612" s="24"/>
      <c r="Y612" s="38">
        <f t="shared" si="113"/>
        <v>138714514</v>
      </c>
      <c r="Z612" s="24"/>
      <c r="AA612" s="24">
        <v>987401</v>
      </c>
      <c r="AB612" s="24"/>
      <c r="AC612" s="24">
        <v>0</v>
      </c>
      <c r="AD612" s="24"/>
      <c r="AE612" s="24">
        <f>8599983+547906</f>
        <v>9147889</v>
      </c>
      <c r="AF612" s="24"/>
      <c r="AG612" s="24"/>
      <c r="AH612" s="24"/>
      <c r="AI612" s="24"/>
      <c r="AJ612" s="24"/>
      <c r="AK612" s="24">
        <v>71429</v>
      </c>
      <c r="AL612" s="24"/>
      <c r="AM612" s="24">
        <v>0</v>
      </c>
      <c r="AN612" s="24"/>
      <c r="AO612" s="38">
        <f t="shared" si="119"/>
        <v>10206719</v>
      </c>
      <c r="AP612" s="24"/>
      <c r="AQ612" s="38">
        <f t="shared" si="120"/>
        <v>148921233</v>
      </c>
      <c r="AR612" s="38"/>
      <c r="AS612" s="7"/>
      <c r="AT612" s="7" t="str">
        <f t="shared" si="117"/>
        <v>Worthington City SD</v>
      </c>
      <c r="AU612" s="7" t="str">
        <f>'Gov Fd BS'!A612</f>
        <v>Worthington City SD</v>
      </c>
      <c r="AV612" s="7" t="b">
        <f t="shared" si="118"/>
        <v>1</v>
      </c>
      <c r="AW612" s="7" t="str">
        <f t="shared" si="116"/>
        <v>Franklin</v>
      </c>
      <c r="AX612" s="7" t="b">
        <f>C612='Gov Fd BS'!C612</f>
        <v>1</v>
      </c>
    </row>
    <row r="613" spans="1:50">
      <c r="A613" s="12" t="s">
        <v>266</v>
      </c>
      <c r="B613" s="12"/>
      <c r="C613" s="12" t="s">
        <v>111</v>
      </c>
      <c r="D613" s="12"/>
      <c r="E613" s="12">
        <v>45146</v>
      </c>
      <c r="F613" s="24"/>
      <c r="G613" s="24">
        <v>3895102</v>
      </c>
      <c r="H613" s="24"/>
      <c r="I613" s="24">
        <v>0</v>
      </c>
      <c r="J613" s="24"/>
      <c r="K613" s="24">
        <f>5738611+1253911</f>
        <v>6992522</v>
      </c>
      <c r="L613" s="24"/>
      <c r="M613" s="24">
        <v>32391</v>
      </c>
      <c r="N613" s="24"/>
      <c r="O613" s="24">
        <f>800920+43867</f>
        <v>844787</v>
      </c>
      <c r="P613" s="24"/>
      <c r="Q613" s="24">
        <v>102219</v>
      </c>
      <c r="R613" s="24"/>
      <c r="S613" s="24">
        <v>0</v>
      </c>
      <c r="T613" s="24"/>
      <c r="U613" s="24">
        <v>10777</v>
      </c>
      <c r="V613" s="24"/>
      <c r="W613" s="24">
        <f>34975+247582+13575</f>
        <v>296132</v>
      </c>
      <c r="X613" s="24"/>
      <c r="Y613" s="38">
        <f t="shared" si="113"/>
        <v>12173930</v>
      </c>
      <c r="Z613" s="24"/>
      <c r="AA613" s="24">
        <v>31985</v>
      </c>
      <c r="AB613" s="24"/>
      <c r="AC613" s="24">
        <v>0</v>
      </c>
      <c r="AD613" s="24"/>
      <c r="AE613" s="24">
        <v>0</v>
      </c>
      <c r="AF613" s="24"/>
      <c r="AG613" s="24"/>
      <c r="AH613" s="24"/>
      <c r="AI613" s="24"/>
      <c r="AJ613" s="24"/>
      <c r="AK613" s="24">
        <v>0</v>
      </c>
      <c r="AL613" s="24"/>
      <c r="AM613" s="24">
        <v>0</v>
      </c>
      <c r="AN613" s="24"/>
      <c r="AO613" s="38">
        <f t="shared" si="119"/>
        <v>31985</v>
      </c>
      <c r="AP613" s="24"/>
      <c r="AQ613" s="38">
        <f t="shared" si="120"/>
        <v>12205915</v>
      </c>
      <c r="AR613" s="38"/>
      <c r="AS613" s="7"/>
      <c r="AT613" s="7" t="str">
        <f t="shared" si="117"/>
        <v>Wynford Local SD</v>
      </c>
      <c r="AU613" s="7" t="str">
        <f>'Gov Fd BS'!A613</f>
        <v>Wynford Local SD</v>
      </c>
      <c r="AV613" s="7" t="b">
        <f t="shared" si="118"/>
        <v>1</v>
      </c>
      <c r="AW613" s="7" t="str">
        <f t="shared" si="116"/>
        <v>Crawford</v>
      </c>
      <c r="AX613" s="7" t="b">
        <f>C613='Gov Fd BS'!C613</f>
        <v>1</v>
      </c>
    </row>
    <row r="614" spans="1:50">
      <c r="A614" s="12" t="s">
        <v>342</v>
      </c>
      <c r="B614" s="12"/>
      <c r="C614" s="12" t="s">
        <v>32</v>
      </c>
      <c r="D614" s="12"/>
      <c r="E614" s="12">
        <v>45153</v>
      </c>
      <c r="F614" s="24"/>
      <c r="G614" s="24">
        <v>16407034</v>
      </c>
      <c r="H614" s="24"/>
      <c r="I614" s="24">
        <v>0</v>
      </c>
      <c r="J614" s="24"/>
      <c r="K614" s="24">
        <v>7756685</v>
      </c>
      <c r="L614" s="24"/>
      <c r="M614" s="24">
        <v>106341</v>
      </c>
      <c r="N614" s="24"/>
      <c r="O614" s="24">
        <v>681161</v>
      </c>
      <c r="P614" s="24"/>
      <c r="Q614" s="24">
        <v>164782</v>
      </c>
      <c r="R614" s="24"/>
      <c r="S614" s="24">
        <v>0</v>
      </c>
      <c r="T614" s="24"/>
      <c r="U614" s="24">
        <v>0</v>
      </c>
      <c r="V614" s="24"/>
      <c r="W614" s="24">
        <f>432851+446549</f>
        <v>879400</v>
      </c>
      <c r="X614" s="24"/>
      <c r="Y614" s="38">
        <f t="shared" si="113"/>
        <v>25995403</v>
      </c>
      <c r="Z614" s="24"/>
      <c r="AA614" s="24">
        <v>35000</v>
      </c>
      <c r="AB614" s="24"/>
      <c r="AC614" s="24">
        <v>0</v>
      </c>
      <c r="AD614" s="24"/>
      <c r="AE614" s="24">
        <v>883000</v>
      </c>
      <c r="AF614" s="24"/>
      <c r="AG614" s="24"/>
      <c r="AH614" s="24"/>
      <c r="AI614" s="24"/>
      <c r="AJ614" s="24"/>
      <c r="AK614" s="24">
        <v>0</v>
      </c>
      <c r="AL614" s="24"/>
      <c r="AM614" s="24">
        <v>0</v>
      </c>
      <c r="AN614" s="24"/>
      <c r="AO614" s="38">
        <f t="shared" si="119"/>
        <v>918000</v>
      </c>
      <c r="AP614" s="24"/>
      <c r="AQ614" s="38">
        <f t="shared" si="120"/>
        <v>26913403</v>
      </c>
      <c r="AR614" s="38"/>
      <c r="AS614" s="7"/>
      <c r="AT614" s="7" t="str">
        <f t="shared" si="117"/>
        <v>Wyoming City SD</v>
      </c>
      <c r="AU614" s="7" t="str">
        <f>'Gov Fd BS'!A614</f>
        <v>Wyoming City SD</v>
      </c>
      <c r="AV614" s="7" t="b">
        <f t="shared" si="118"/>
        <v>1</v>
      </c>
      <c r="AW614" s="7" t="str">
        <f t="shared" si="116"/>
        <v>Hamilton</v>
      </c>
      <c r="AX614" s="7" t="b">
        <f>C614='Gov Fd BS'!C614</f>
        <v>1</v>
      </c>
    </row>
    <row r="615" spans="1:50">
      <c r="A615" s="12" t="s">
        <v>892</v>
      </c>
      <c r="B615" s="12"/>
      <c r="C615" s="12" t="s">
        <v>114</v>
      </c>
      <c r="D615" s="12"/>
      <c r="E615" s="12">
        <v>45674</v>
      </c>
      <c r="F615" s="24"/>
      <c r="G615" s="24">
        <v>3575920</v>
      </c>
      <c r="H615" s="24"/>
      <c r="I615" s="24">
        <v>1128705</v>
      </c>
      <c r="J615" s="24"/>
      <c r="K615" s="24">
        <v>2553432</v>
      </c>
      <c r="L615" s="24"/>
      <c r="M615" s="24">
        <v>10509</v>
      </c>
      <c r="N615" s="24"/>
      <c r="O615" s="24">
        <v>826666</v>
      </c>
      <c r="P615" s="24"/>
      <c r="Q615" s="24">
        <v>68241</v>
      </c>
      <c r="R615" s="24"/>
      <c r="S615" s="24">
        <v>0</v>
      </c>
      <c r="T615" s="24"/>
      <c r="U615" s="24">
        <v>45520</v>
      </c>
      <c r="V615" s="24"/>
      <c r="W615" s="24">
        <f>2006+3240+94768</f>
        <v>100014</v>
      </c>
      <c r="X615" s="24"/>
      <c r="Y615" s="38">
        <f t="shared" si="113"/>
        <v>8309007</v>
      </c>
      <c r="Z615" s="24"/>
      <c r="AA615" s="24">
        <v>0</v>
      </c>
      <c r="AB615" s="24"/>
      <c r="AC615" s="24">
        <v>0</v>
      </c>
      <c r="AD615" s="24"/>
      <c r="AE615" s="24">
        <v>835000</v>
      </c>
      <c r="AF615" s="24"/>
      <c r="AG615" s="24"/>
      <c r="AH615" s="24"/>
      <c r="AI615" s="24"/>
      <c r="AJ615" s="24"/>
      <c r="AK615" s="24">
        <f>45931+2512</f>
        <v>48443</v>
      </c>
      <c r="AL615" s="24"/>
      <c r="AM615" s="24">
        <v>0</v>
      </c>
      <c r="AN615" s="24"/>
      <c r="AO615" s="38">
        <f t="shared" si="119"/>
        <v>883443</v>
      </c>
      <c r="AP615" s="24"/>
      <c r="AQ615" s="38">
        <f t="shared" si="120"/>
        <v>9192450</v>
      </c>
      <c r="AR615" s="38"/>
      <c r="AS615" s="7"/>
      <c r="AT615" s="7" t="str">
        <f t="shared" si="117"/>
        <v>Yellow Springs Exempted Village SD</v>
      </c>
      <c r="AU615" s="7" t="str">
        <f>'Gov Fd BS'!A615</f>
        <v>Yellow Springs Exempted Village SD</v>
      </c>
      <c r="AV615" s="7" t="b">
        <f t="shared" si="118"/>
        <v>1</v>
      </c>
      <c r="AW615" s="7" t="str">
        <f t="shared" si="116"/>
        <v>Greene</v>
      </c>
      <c r="AX615" s="7" t="b">
        <f>C615='Gov Fd BS'!C615</f>
        <v>1</v>
      </c>
    </row>
    <row r="616" spans="1:50">
      <c r="A616" s="12" t="s">
        <v>422</v>
      </c>
      <c r="B616" s="12"/>
      <c r="C616" s="12" t="s">
        <v>45</v>
      </c>
      <c r="D616" s="12"/>
      <c r="E616" s="12">
        <v>45161</v>
      </c>
      <c r="F616" s="24"/>
      <c r="G616" s="24">
        <v>21200089</v>
      </c>
      <c r="H616" s="24"/>
      <c r="I616" s="24">
        <v>0</v>
      </c>
      <c r="J616" s="24"/>
      <c r="K616" s="24">
        <v>114476851</v>
      </c>
      <c r="L616" s="24"/>
      <c r="M616" s="24">
        <v>95504</v>
      </c>
      <c r="N616" s="24"/>
      <c r="O616" s="24">
        <v>1347222</v>
      </c>
      <c r="P616" s="24"/>
      <c r="Q616" s="24">
        <v>113314</v>
      </c>
      <c r="R616" s="24"/>
      <c r="S616" s="24">
        <v>0</v>
      </c>
      <c r="T616" s="24"/>
      <c r="U616" s="24">
        <v>185502</v>
      </c>
      <c r="V616" s="24"/>
      <c r="W616" s="24">
        <f>198527+11664+735643</f>
        <v>945834</v>
      </c>
      <c r="X616" s="24"/>
      <c r="Y616" s="38">
        <f t="shared" si="113"/>
        <v>138364316</v>
      </c>
      <c r="Z616" s="24"/>
      <c r="AA616" s="24">
        <v>42696</v>
      </c>
      <c r="AB616" s="24"/>
      <c r="AC616" s="24">
        <v>0</v>
      </c>
      <c r="AD616" s="24"/>
      <c r="AE616" s="24">
        <v>0</v>
      </c>
      <c r="AF616" s="24"/>
      <c r="AG616" s="24"/>
      <c r="AH616" s="24"/>
      <c r="AI616" s="24"/>
      <c r="AJ616" s="24"/>
      <c r="AK616" s="24">
        <v>0</v>
      </c>
      <c r="AL616" s="24"/>
      <c r="AM616" s="24">
        <v>0</v>
      </c>
      <c r="AN616" s="24"/>
      <c r="AO616" s="38">
        <f t="shared" si="119"/>
        <v>42696</v>
      </c>
      <c r="AP616" s="24"/>
      <c r="AQ616" s="38">
        <f t="shared" si="120"/>
        <v>138407012</v>
      </c>
      <c r="AR616" s="38"/>
      <c r="AS616" s="7"/>
      <c r="AT616" s="7" t="str">
        <f t="shared" si="117"/>
        <v>Youngstown City SD</v>
      </c>
      <c r="AU616" s="7" t="str">
        <f>'Gov Fd BS'!A616</f>
        <v>Youngstown City SD</v>
      </c>
      <c r="AV616" s="7" t="b">
        <f t="shared" si="118"/>
        <v>1</v>
      </c>
      <c r="AW616" s="7" t="str">
        <f t="shared" si="116"/>
        <v>Mahoning</v>
      </c>
      <c r="AX616" s="7" t="b">
        <f>C616='Gov Fd BS'!C616</f>
        <v>1</v>
      </c>
    </row>
    <row r="617" spans="1:50">
      <c r="A617" s="12" t="s">
        <v>492</v>
      </c>
      <c r="B617" s="12"/>
      <c r="C617" s="12" t="s">
        <v>58</v>
      </c>
      <c r="D617" s="12"/>
      <c r="E617" s="12">
        <v>49544</v>
      </c>
      <c r="F617" s="24"/>
      <c r="G617" s="24">
        <v>4231336</v>
      </c>
      <c r="H617" s="24"/>
      <c r="I617" s="24">
        <v>0</v>
      </c>
      <c r="J617" s="24"/>
      <c r="K617" s="24">
        <v>8789153</v>
      </c>
      <c r="L617" s="24"/>
      <c r="M617" s="24">
        <v>42062</v>
      </c>
      <c r="N617" s="24"/>
      <c r="O617" s="24">
        <v>386138</v>
      </c>
      <c r="P617" s="24"/>
      <c r="Q617" s="24">
        <v>267278</v>
      </c>
      <c r="R617" s="24"/>
      <c r="S617" s="24">
        <v>0</v>
      </c>
      <c r="T617" s="24"/>
      <c r="U617" s="24">
        <v>36267</v>
      </c>
      <c r="V617" s="24"/>
      <c r="W617" s="24">
        <f>253081+514293+295</f>
        <v>767669</v>
      </c>
      <c r="X617" s="24"/>
      <c r="Y617" s="38">
        <f t="shared" si="113"/>
        <v>14519903</v>
      </c>
      <c r="Z617" s="24"/>
      <c r="AA617" s="24">
        <v>10000</v>
      </c>
      <c r="AB617" s="24"/>
      <c r="AC617" s="24">
        <v>0</v>
      </c>
      <c r="AD617" s="24"/>
      <c r="AE617" s="24">
        <v>0</v>
      </c>
      <c r="AF617" s="24"/>
      <c r="AG617" s="24"/>
      <c r="AH617" s="24"/>
      <c r="AI617" s="24"/>
      <c r="AJ617" s="24"/>
      <c r="AK617" s="24">
        <v>0</v>
      </c>
      <c r="AL617" s="24"/>
      <c r="AM617" s="24">
        <v>0</v>
      </c>
      <c r="AN617" s="24"/>
      <c r="AO617" s="38">
        <f t="shared" si="119"/>
        <v>10000</v>
      </c>
      <c r="AP617" s="24"/>
      <c r="AQ617" s="38">
        <f t="shared" si="120"/>
        <v>14529903</v>
      </c>
      <c r="AR617" s="38"/>
      <c r="AS617" s="7"/>
      <c r="AT617" s="7" t="str">
        <f t="shared" si="117"/>
        <v>Zane Trace Local SD</v>
      </c>
      <c r="AU617" s="7" t="str">
        <f>'Gov Fd BS'!A617</f>
        <v>Zane Trace Local SD</v>
      </c>
      <c r="AV617" s="7" t="b">
        <f t="shared" si="118"/>
        <v>1</v>
      </c>
      <c r="AW617" s="7" t="str">
        <f t="shared" si="116"/>
        <v>Ross</v>
      </c>
      <c r="AX617" s="7" t="b">
        <f>C617='Gov Fd BS'!C617</f>
        <v>1</v>
      </c>
    </row>
    <row r="618" spans="1:50">
      <c r="A618" s="12" t="s">
        <v>461</v>
      </c>
      <c r="B618" s="12"/>
      <c r="C618" s="12" t="s">
        <v>51</v>
      </c>
      <c r="D618" s="12"/>
      <c r="E618" s="12">
        <v>45179</v>
      </c>
      <c r="F618" s="24"/>
      <c r="G618" s="24">
        <v>10982373</v>
      </c>
      <c r="H618" s="24"/>
      <c r="I618" s="24">
        <v>0</v>
      </c>
      <c r="J618" s="24"/>
      <c r="K618" s="24">
        <v>37198715</v>
      </c>
      <c r="L618" s="24"/>
      <c r="M618" s="24">
        <v>69211</v>
      </c>
      <c r="N618" s="24"/>
      <c r="O618" s="24">
        <v>1444983</v>
      </c>
      <c r="P618" s="24"/>
      <c r="Q618" s="24">
        <v>297251</v>
      </c>
      <c r="R618" s="24"/>
      <c r="S618" s="24">
        <v>21088</v>
      </c>
      <c r="T618" s="24"/>
      <c r="U618" s="24">
        <v>93874</v>
      </c>
      <c r="V618" s="24"/>
      <c r="W618" s="24">
        <f>85419+508882+10650</f>
        <v>604951</v>
      </c>
      <c r="X618" s="24"/>
      <c r="Y618" s="38">
        <f>SUM(G618:W618)</f>
        <v>50712446</v>
      </c>
      <c r="Z618" s="24"/>
      <c r="AA618" s="24">
        <v>0</v>
      </c>
      <c r="AB618" s="24"/>
      <c r="AC618" s="24">
        <v>0</v>
      </c>
      <c r="AD618" s="24"/>
      <c r="AE618" s="24">
        <f>16721759+1056428</f>
        <v>17778187</v>
      </c>
      <c r="AF618" s="24"/>
      <c r="AG618" s="24"/>
      <c r="AH618" s="24"/>
      <c r="AI618" s="24"/>
      <c r="AJ618" s="24"/>
      <c r="AK618" s="24">
        <v>2100</v>
      </c>
      <c r="AL618" s="24"/>
      <c r="AM618" s="24">
        <v>0</v>
      </c>
      <c r="AN618" s="24"/>
      <c r="AO618" s="38">
        <f t="shared" si="119"/>
        <v>17780287</v>
      </c>
      <c r="AP618" s="24"/>
      <c r="AQ618" s="38">
        <f t="shared" si="120"/>
        <v>68492733</v>
      </c>
      <c r="AR618" s="38"/>
      <c r="AS618" s="7"/>
      <c r="AT618" s="7" t="str">
        <f t="shared" si="117"/>
        <v>Zanesville City SD</v>
      </c>
      <c r="AU618" s="7" t="str">
        <f>'Gov Fd BS'!A618</f>
        <v>Zanesville City SD</v>
      </c>
      <c r="AV618" s="7" t="b">
        <f t="shared" si="118"/>
        <v>1</v>
      </c>
      <c r="AW618" s="7" t="str">
        <f t="shared" si="116"/>
        <v>Muskingum</v>
      </c>
      <c r="AX618" s="7" t="b">
        <f>C618='Gov Fd BS'!C618</f>
        <v>1</v>
      </c>
    </row>
    <row r="619" spans="1:50">
      <c r="A619" s="12"/>
      <c r="B619" s="12"/>
      <c r="C619" s="12"/>
      <c r="D619" s="12"/>
    </row>
    <row r="622" spans="1:50">
      <c r="G622" s="7"/>
      <c r="H622" s="7"/>
      <c r="I622" s="7"/>
    </row>
  </sheetData>
  <mergeCells count="1">
    <mergeCell ref="AA6:AK6"/>
  </mergeCells>
  <pageMargins left="0.9" right="0.75" top="0.5" bottom="0.5" header="0.25" footer="0.25"/>
  <pageSetup scale="77" firstPageNumber="162" pageOrder="overThenDown" orientation="portrait" useFirstPageNumber="1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621"/>
  <sheetViews>
    <sheetView tabSelected="1" view="pageBreakPreview" zoomScaleNormal="100" zoomScaleSheetLayoutView="100" workbookViewId="0">
      <pane xSplit="6" ySplit="9" topLeftCell="G543" activePane="bottomRight" state="frozen"/>
      <selection sqref="A1:IV65536"/>
      <selection pane="topRight" sqref="A1:IV65536"/>
      <selection pane="bottomLeft" sqref="A1:IV65536"/>
      <selection pane="bottomRight" activeCell="A555" sqref="A555"/>
    </sheetView>
  </sheetViews>
  <sheetFormatPr defaultColWidth="9.140625" defaultRowHeight="12"/>
  <cols>
    <col min="1" max="1" width="34.7109375" style="7" customWidth="1"/>
    <col min="2" max="2" width="1.7109375" style="7" customWidth="1"/>
    <col min="3" max="3" width="10.140625" style="7" bestFit="1" customWidth="1"/>
    <col min="4" max="4" width="1.7109375" style="7" customWidth="1"/>
    <col min="5" max="5" width="11.7109375" style="7" hidden="1" customWidth="1"/>
    <col min="6" max="6" width="1.7109375" style="7" hidden="1" customWidth="1"/>
    <col min="7" max="7" width="10.28515625" style="7" bestFit="1" customWidth="1"/>
    <col min="8" max="8" width="1.42578125" style="7" customWidth="1"/>
    <col min="9" max="9" width="10.28515625" style="7" bestFit="1" customWidth="1"/>
    <col min="10" max="10" width="1.42578125" style="7" customWidth="1"/>
    <col min="11" max="11" width="9.42578125" style="7" bestFit="1" customWidth="1"/>
    <col min="12" max="12" width="1.42578125" style="7" customWidth="1"/>
    <col min="13" max="13" width="8.7109375" style="7" bestFit="1" customWidth="1"/>
    <col min="14" max="14" width="1.42578125" style="7" customWidth="1"/>
    <col min="15" max="15" width="9.42578125" style="7" bestFit="1" customWidth="1"/>
    <col min="16" max="16" width="1.42578125" style="7" customWidth="1"/>
    <col min="17" max="17" width="10.28515625" style="7" bestFit="1" customWidth="1"/>
    <col min="18" max="18" width="1.7109375" style="7" customWidth="1"/>
    <col min="19" max="19" width="9.85546875" style="7" bestFit="1" customWidth="1"/>
    <col min="20" max="20" width="1.7109375" style="7" customWidth="1"/>
    <col min="21" max="21" width="8.5703125" style="7" bestFit="1" customWidth="1"/>
    <col min="22" max="22" width="1.7109375" style="7" customWidth="1"/>
    <col min="23" max="23" width="11.5703125" style="7" bestFit="1" customWidth="1"/>
    <col min="24" max="24" width="1.7109375" style="7" customWidth="1"/>
    <col min="25" max="25" width="9.42578125" style="7" bestFit="1" customWidth="1"/>
    <col min="26" max="26" width="1.7109375" style="7" customWidth="1"/>
    <col min="27" max="27" width="8.5703125" style="7" bestFit="1" customWidth="1"/>
    <col min="28" max="28" width="1.7109375" style="7" customWidth="1"/>
    <col min="29" max="29" width="11" style="7" bestFit="1" customWidth="1"/>
    <col min="30" max="30" width="1.7109375" style="7" customWidth="1"/>
    <col min="31" max="31" width="11.5703125" style="7" bestFit="1" customWidth="1"/>
    <col min="32" max="32" width="1.7109375" style="7" customWidth="1"/>
    <col min="33" max="33" width="9.42578125" style="7" bestFit="1" customWidth="1"/>
    <col min="34" max="34" width="1.7109375" style="7" customWidth="1"/>
    <col min="35" max="35" width="9.28515625" style="7" bestFit="1" customWidth="1"/>
    <col min="36" max="36" width="1.7109375" style="7" customWidth="1"/>
    <col min="37" max="37" width="9.42578125" style="7" bestFit="1" customWidth="1"/>
    <col min="38" max="38" width="42.28515625" style="7" customWidth="1"/>
    <col min="39" max="39" width="1.7109375" style="7" customWidth="1"/>
    <col min="40" max="40" width="10.140625" style="7" bestFit="1" customWidth="1"/>
    <col min="41" max="41" width="1.42578125" style="7" customWidth="1"/>
    <col min="42" max="42" width="11.140625" style="7" bestFit="1" customWidth="1"/>
    <col min="43" max="43" width="1.42578125" style="7" customWidth="1"/>
    <col min="44" max="44" width="10.28515625" style="7" bestFit="1" customWidth="1"/>
    <col min="45" max="45" width="1.42578125" style="7" customWidth="1"/>
    <col min="46" max="46" width="10.28515625" style="7" bestFit="1" customWidth="1"/>
    <col min="47" max="47" width="1.42578125" style="7" customWidth="1"/>
    <col min="48" max="48" width="11.140625" style="7" bestFit="1" customWidth="1"/>
    <col min="49" max="49" width="1.42578125" style="7" customWidth="1"/>
    <col min="50" max="50" width="9.42578125" style="7" bestFit="1" customWidth="1"/>
    <col min="51" max="51" width="1.7109375" style="7" customWidth="1"/>
    <col min="52" max="52" width="10.140625" style="7" bestFit="1" customWidth="1"/>
    <col min="53" max="53" width="1.42578125" style="7" customWidth="1"/>
    <col min="54" max="54" width="10.28515625" style="7" bestFit="1" customWidth="1"/>
    <col min="55" max="55" width="1.42578125" style="7" customWidth="1"/>
    <col min="56" max="56" width="10.28515625" style="7" bestFit="1" customWidth="1"/>
    <col min="57" max="57" width="1.42578125" style="7" customWidth="1"/>
    <col min="58" max="58" width="7.7109375" style="7" hidden="1" customWidth="1"/>
    <col min="59" max="59" width="1.7109375" style="7" hidden="1" customWidth="1"/>
    <col min="60" max="60" width="11.7109375" style="7" hidden="1" customWidth="1"/>
    <col min="61" max="61" width="1.7109375" style="7" hidden="1" customWidth="1"/>
    <col min="62" max="62" width="9.42578125" style="7" bestFit="1" customWidth="1"/>
    <col min="63" max="63" width="1.42578125" style="7" customWidth="1"/>
    <col min="64" max="64" width="10.28515625" style="7" bestFit="1" customWidth="1"/>
    <col min="65" max="65" width="1.42578125" style="7" customWidth="1"/>
    <col min="66" max="66" width="10.28515625" style="7" bestFit="1" customWidth="1"/>
    <col min="67" max="67" width="1.42578125" style="7" customWidth="1"/>
    <col min="68" max="68" width="10.28515625" style="7" bestFit="1" customWidth="1"/>
    <col min="69" max="69" width="1.42578125" style="7" customWidth="1"/>
    <col min="70" max="70" width="10.7109375" style="7" bestFit="1" customWidth="1"/>
    <col min="71" max="71" width="1.42578125" style="7" customWidth="1"/>
    <col min="72" max="72" width="10.5703125" style="7" bestFit="1" customWidth="1"/>
    <col min="73" max="73" width="1.42578125" style="7" customWidth="1"/>
    <col min="74" max="74" width="10.28515625" style="7" bestFit="1" customWidth="1"/>
    <col min="75" max="75" width="1.7109375" style="7" hidden="1" customWidth="1"/>
    <col min="76" max="76" width="11.7109375" style="7" customWidth="1"/>
    <col min="77" max="77" width="2.7109375" style="7" customWidth="1"/>
    <col min="78" max="78" width="20.5703125" style="7" customWidth="1"/>
    <col min="79" max="79" width="1.7109375" style="7" customWidth="1"/>
    <col min="80" max="80" width="11.7109375" style="101" customWidth="1"/>
    <col min="81" max="81" width="13.85546875" style="101" customWidth="1"/>
    <col min="82" max="82" width="17" style="101" customWidth="1"/>
    <col min="83" max="83" width="6.28515625" style="7" bestFit="1" customWidth="1"/>
    <col min="84" max="85" width="9.140625" style="7"/>
    <col min="86" max="87" width="9.28515625" style="7" bestFit="1" customWidth="1"/>
    <col min="88" max="16384" width="9.140625" style="7"/>
  </cols>
  <sheetData>
    <row r="1" spans="1:87" s="14" customFormat="1">
      <c r="A1" s="39" t="s">
        <v>623</v>
      </c>
      <c r="B1" s="39"/>
      <c r="C1" s="39"/>
      <c r="D1" s="39"/>
      <c r="E1" s="39"/>
      <c r="F1" s="39"/>
      <c r="G1" s="39"/>
      <c r="H1" s="39"/>
      <c r="I1" s="40"/>
      <c r="J1" s="40"/>
      <c r="K1" s="40"/>
      <c r="L1" s="40"/>
      <c r="M1" s="40"/>
      <c r="N1" s="40"/>
      <c r="O1" s="40"/>
      <c r="P1" s="40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39" t="s">
        <v>623</v>
      </c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5"/>
      <c r="CB1" s="98"/>
      <c r="CC1" s="98"/>
      <c r="CD1" s="98"/>
    </row>
    <row r="2" spans="1:87" s="14" customFormat="1">
      <c r="A2" s="39" t="s">
        <v>770</v>
      </c>
      <c r="B2" s="39"/>
      <c r="C2" s="39"/>
      <c r="D2" s="39"/>
      <c r="E2" s="39"/>
      <c r="F2" s="39"/>
      <c r="G2" s="39"/>
      <c r="H2" s="39"/>
      <c r="J2" s="40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39" t="s">
        <v>770</v>
      </c>
      <c r="AM2" s="39"/>
      <c r="AN2" s="39"/>
      <c r="AO2" s="22"/>
      <c r="AP2" s="22"/>
      <c r="AQ2" s="22"/>
      <c r="AR2" s="22"/>
      <c r="AS2" s="22"/>
      <c r="AT2" s="22"/>
      <c r="AU2" s="22"/>
      <c r="AV2" s="22"/>
      <c r="AW2" s="25"/>
      <c r="CB2" s="98"/>
      <c r="CC2" s="98"/>
      <c r="CD2" s="98"/>
    </row>
    <row r="3" spans="1:87" s="14" customFormat="1">
      <c r="A3" s="39" t="s">
        <v>622</v>
      </c>
      <c r="B3" s="39"/>
      <c r="C3" s="39"/>
      <c r="D3" s="39"/>
      <c r="E3" s="39"/>
      <c r="F3" s="39"/>
      <c r="G3" s="39"/>
      <c r="H3" s="39"/>
      <c r="I3" s="40"/>
      <c r="J3" s="40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5" t="s">
        <v>622</v>
      </c>
      <c r="AM3" s="39"/>
      <c r="AN3" s="39"/>
      <c r="AO3" s="22"/>
      <c r="AP3" s="22"/>
      <c r="AQ3" s="22"/>
      <c r="AR3" s="22"/>
      <c r="AS3" s="22"/>
      <c r="AT3" s="22"/>
      <c r="AU3" s="22"/>
      <c r="AV3" s="22"/>
      <c r="AW3" s="25"/>
      <c r="CB3" s="98"/>
      <c r="CC3" s="98"/>
      <c r="CD3" s="98"/>
    </row>
    <row r="4" spans="1:87">
      <c r="A4" s="25" t="s">
        <v>169</v>
      </c>
      <c r="B4" s="25"/>
      <c r="C4" s="25"/>
      <c r="D4" s="25"/>
      <c r="E4" s="25"/>
      <c r="F4" s="25"/>
      <c r="G4" s="10"/>
      <c r="H4" s="10"/>
      <c r="I4" s="22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25" t="s">
        <v>169</v>
      </c>
      <c r="AM4" s="25"/>
      <c r="AN4" s="25"/>
      <c r="AO4" s="10"/>
      <c r="AP4" s="10"/>
      <c r="AQ4" s="10"/>
      <c r="AR4" s="10"/>
      <c r="AS4" s="10"/>
      <c r="AT4" s="10"/>
      <c r="AU4" s="10"/>
      <c r="AV4" s="10"/>
      <c r="AW4" s="10"/>
    </row>
    <row r="5" spans="1:87" s="14" customFormat="1">
      <c r="B5" s="10"/>
      <c r="C5" s="10"/>
      <c r="D5" s="10"/>
      <c r="E5" s="10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15" t="s">
        <v>995</v>
      </c>
      <c r="R5" s="98"/>
      <c r="S5" s="98"/>
      <c r="T5" s="98"/>
      <c r="U5" s="98"/>
      <c r="V5" s="98"/>
      <c r="W5" s="98"/>
      <c r="AM5" s="10"/>
      <c r="AN5" s="10"/>
      <c r="CB5" s="98"/>
      <c r="CC5" s="98"/>
      <c r="CD5" s="98"/>
    </row>
    <row r="6" spans="1:87">
      <c r="A6" s="59" t="s">
        <v>767</v>
      </c>
      <c r="B6" s="14"/>
      <c r="C6" s="14"/>
      <c r="D6" s="14"/>
      <c r="E6" s="14"/>
      <c r="F6" s="14"/>
      <c r="G6" s="17" t="s">
        <v>143</v>
      </c>
      <c r="H6" s="17"/>
      <c r="I6" s="17"/>
      <c r="J6" s="17"/>
      <c r="K6" s="17"/>
      <c r="L6" s="17"/>
      <c r="M6" s="17"/>
      <c r="N6" s="17"/>
      <c r="O6" s="17"/>
      <c r="Q6" s="99" t="s">
        <v>6</v>
      </c>
      <c r="R6" s="22"/>
      <c r="S6" s="17" t="s">
        <v>996</v>
      </c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I6" s="17" t="s">
        <v>156</v>
      </c>
      <c r="AJ6" s="17"/>
      <c r="AK6" s="17"/>
      <c r="AL6" s="59" t="s">
        <v>767</v>
      </c>
      <c r="AM6" s="14"/>
      <c r="AN6" s="14"/>
      <c r="AV6" s="113" t="s">
        <v>179</v>
      </c>
      <c r="AW6" s="113"/>
      <c r="AX6" s="113"/>
      <c r="AY6" s="10"/>
      <c r="AZ6" s="10"/>
      <c r="BD6" s="17" t="s">
        <v>180</v>
      </c>
      <c r="BE6" s="17"/>
      <c r="BF6" s="17"/>
      <c r="BG6" s="17"/>
      <c r="BH6" s="17"/>
      <c r="BI6" s="17"/>
      <c r="BJ6" s="17"/>
      <c r="BL6" s="15" t="s">
        <v>3</v>
      </c>
      <c r="BM6" s="15"/>
      <c r="BN6" s="15" t="s">
        <v>184</v>
      </c>
      <c r="BO6" s="15"/>
      <c r="BP6" s="15" t="s">
        <v>90</v>
      </c>
      <c r="BQ6" s="15"/>
      <c r="BR6" s="15" t="s">
        <v>609</v>
      </c>
      <c r="BS6" s="15"/>
      <c r="BT6" s="15"/>
      <c r="BU6" s="15"/>
      <c r="BV6" s="15" t="s">
        <v>90</v>
      </c>
      <c r="BW6" s="15"/>
      <c r="BX6" s="15" t="s">
        <v>133</v>
      </c>
      <c r="BY6" s="15"/>
      <c r="BZ6" s="15"/>
    </row>
    <row r="7" spans="1:87">
      <c r="A7" s="59"/>
      <c r="O7" s="15"/>
      <c r="AC7" s="15" t="s">
        <v>151</v>
      </c>
      <c r="AL7" s="59"/>
      <c r="AT7" s="15" t="s">
        <v>1</v>
      </c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 t="s">
        <v>603</v>
      </c>
      <c r="BI7" s="15"/>
      <c r="BJ7" s="15" t="s">
        <v>183</v>
      </c>
      <c r="BL7" s="15" t="s">
        <v>74</v>
      </c>
      <c r="BM7" s="15"/>
      <c r="BN7" s="15" t="s">
        <v>119</v>
      </c>
      <c r="BO7" s="15"/>
      <c r="BP7" s="15" t="s">
        <v>185</v>
      </c>
      <c r="BQ7" s="15"/>
      <c r="BR7" s="15" t="s">
        <v>610</v>
      </c>
      <c r="BS7" s="15"/>
      <c r="BT7" s="15"/>
      <c r="BU7" s="15"/>
      <c r="BV7" s="15" t="s">
        <v>185</v>
      </c>
      <c r="BW7" s="15"/>
      <c r="BX7" s="15" t="s">
        <v>134</v>
      </c>
      <c r="BY7" s="15"/>
      <c r="BZ7" s="15"/>
    </row>
    <row r="8" spans="1:87">
      <c r="A8" s="15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 t="s">
        <v>993</v>
      </c>
      <c r="N8" s="100"/>
      <c r="O8" s="100"/>
      <c r="P8" s="100"/>
      <c r="Q8" s="100"/>
      <c r="R8" s="100"/>
      <c r="S8" s="100" t="s">
        <v>145</v>
      </c>
      <c r="T8" s="100"/>
      <c r="U8" s="100" t="s">
        <v>147</v>
      </c>
      <c r="V8" s="100"/>
      <c r="W8" s="100"/>
      <c r="X8" s="100"/>
      <c r="Y8" s="100"/>
      <c r="Z8" s="100"/>
      <c r="AA8" s="100"/>
      <c r="AB8" s="100"/>
      <c r="AC8" s="100" t="s">
        <v>152</v>
      </c>
      <c r="AD8" s="100"/>
      <c r="AE8" s="100" t="s">
        <v>154</v>
      </c>
      <c r="AF8" s="100"/>
      <c r="AG8" s="100"/>
      <c r="AH8" s="100"/>
      <c r="AI8" s="15" t="s">
        <v>157</v>
      </c>
      <c r="AJ8" s="15"/>
      <c r="AK8" s="15"/>
      <c r="AL8" s="15"/>
      <c r="AM8" s="100"/>
      <c r="AN8" s="100"/>
      <c r="AO8" s="15"/>
      <c r="AP8" s="15" t="s">
        <v>159</v>
      </c>
      <c r="AQ8" s="15"/>
      <c r="AR8" s="15" t="s">
        <v>73</v>
      </c>
      <c r="AS8" s="15"/>
      <c r="AT8" s="15" t="s">
        <v>7</v>
      </c>
      <c r="AU8" s="15"/>
      <c r="AV8" s="15" t="s">
        <v>76</v>
      </c>
      <c r="AW8" s="15"/>
      <c r="AX8" s="15"/>
      <c r="AY8" s="15"/>
      <c r="AZ8" s="15" t="s">
        <v>127</v>
      </c>
      <c r="BA8" s="15"/>
      <c r="BB8" s="15" t="s">
        <v>3</v>
      </c>
      <c r="BC8" s="15"/>
      <c r="BD8" s="15" t="s">
        <v>162</v>
      </c>
      <c r="BE8" s="15"/>
      <c r="BF8" s="15" t="s">
        <v>181</v>
      </c>
      <c r="BG8" s="15"/>
      <c r="BH8" s="15" t="s">
        <v>604</v>
      </c>
      <c r="BI8" s="15"/>
      <c r="BJ8" s="15" t="s">
        <v>82</v>
      </c>
      <c r="BK8" s="15"/>
      <c r="BL8" s="15" t="s">
        <v>177</v>
      </c>
      <c r="BM8" s="15"/>
      <c r="BN8" s="15" t="s">
        <v>90</v>
      </c>
      <c r="BO8" s="15"/>
      <c r="BP8" s="100" t="s">
        <v>163</v>
      </c>
      <c r="BQ8" s="15"/>
      <c r="BR8" s="15" t="s">
        <v>600</v>
      </c>
      <c r="BS8" s="15"/>
      <c r="BT8" s="15" t="s">
        <v>619</v>
      </c>
      <c r="BU8" s="15"/>
      <c r="BV8" s="100" t="s">
        <v>186</v>
      </c>
      <c r="BW8" s="15"/>
      <c r="BX8" s="15" t="s">
        <v>196</v>
      </c>
      <c r="BY8" s="15"/>
      <c r="BZ8" s="15"/>
    </row>
    <row r="9" spans="1:87">
      <c r="A9" s="99" t="s">
        <v>200</v>
      </c>
      <c r="B9" s="15"/>
      <c r="C9" s="99" t="s">
        <v>4</v>
      </c>
      <c r="D9" s="15"/>
      <c r="E9" s="99" t="s">
        <v>199</v>
      </c>
      <c r="F9" s="100"/>
      <c r="G9" s="1" t="s">
        <v>608</v>
      </c>
      <c r="I9" s="1" t="s">
        <v>2</v>
      </c>
      <c r="K9" s="1" t="s">
        <v>142</v>
      </c>
      <c r="M9" s="1" t="s">
        <v>994</v>
      </c>
      <c r="O9" s="1" t="s">
        <v>82</v>
      </c>
      <c r="Q9" s="1" t="s">
        <v>614</v>
      </c>
      <c r="S9" s="1" t="s">
        <v>146</v>
      </c>
      <c r="U9" s="1" t="s">
        <v>148</v>
      </c>
      <c r="W9" s="1" t="s">
        <v>149</v>
      </c>
      <c r="Y9" s="1" t="s">
        <v>150</v>
      </c>
      <c r="Z9" s="100"/>
      <c r="AA9" s="99" t="s">
        <v>578</v>
      </c>
      <c r="AC9" s="1" t="s">
        <v>153</v>
      </c>
      <c r="AD9" s="100"/>
      <c r="AE9" s="99" t="s">
        <v>155</v>
      </c>
      <c r="AF9" s="100"/>
      <c r="AG9" s="99" t="s">
        <v>579</v>
      </c>
      <c r="AI9" s="99" t="s">
        <v>158</v>
      </c>
      <c r="AK9" s="99" t="s">
        <v>824</v>
      </c>
      <c r="AL9" s="99" t="s">
        <v>200</v>
      </c>
      <c r="AM9" s="15"/>
      <c r="AN9" s="99" t="s">
        <v>4</v>
      </c>
      <c r="AO9" s="100"/>
      <c r="AP9" s="99" t="s">
        <v>160</v>
      </c>
      <c r="AQ9" s="100"/>
      <c r="AR9" s="99" t="s">
        <v>75</v>
      </c>
      <c r="AS9" s="100"/>
      <c r="AT9" s="99" t="s">
        <v>601</v>
      </c>
      <c r="AU9" s="100"/>
      <c r="AV9" s="99" t="s">
        <v>825</v>
      </c>
      <c r="AW9" s="100"/>
      <c r="AX9" s="99" t="s">
        <v>161</v>
      </c>
      <c r="AY9" s="100"/>
      <c r="AZ9" s="99" t="s">
        <v>74</v>
      </c>
      <c r="BA9" s="100"/>
      <c r="BB9" s="99" t="s">
        <v>74</v>
      </c>
      <c r="BC9" s="100"/>
      <c r="BD9" s="99" t="s">
        <v>118</v>
      </c>
      <c r="BE9" s="100"/>
      <c r="BF9" s="99" t="s">
        <v>118</v>
      </c>
      <c r="BG9" s="100"/>
      <c r="BH9" s="100" t="s">
        <v>606</v>
      </c>
      <c r="BI9" s="100"/>
      <c r="BJ9" s="99" t="s">
        <v>182</v>
      </c>
      <c r="BK9" s="100"/>
      <c r="BL9" s="99" t="s">
        <v>187</v>
      </c>
      <c r="BM9" s="100"/>
      <c r="BN9" s="99" t="s">
        <v>185</v>
      </c>
      <c r="BO9" s="15"/>
      <c r="BP9" s="99" t="s">
        <v>164</v>
      </c>
      <c r="BQ9" s="15"/>
      <c r="BR9" s="99" t="s">
        <v>599</v>
      </c>
      <c r="BS9" s="15"/>
      <c r="BT9" s="99" t="s">
        <v>618</v>
      </c>
      <c r="BU9" s="15"/>
      <c r="BV9" s="99" t="s">
        <v>164</v>
      </c>
      <c r="BW9" s="15"/>
      <c r="BX9" s="99" t="s">
        <v>135</v>
      </c>
      <c r="BY9" s="100"/>
      <c r="BZ9" s="100"/>
      <c r="CB9" s="101" t="s">
        <v>828</v>
      </c>
      <c r="CC9" s="101" t="s">
        <v>829</v>
      </c>
      <c r="CD9" s="101" t="s">
        <v>822</v>
      </c>
      <c r="CG9" s="7" t="s">
        <v>830</v>
      </c>
      <c r="CH9" s="7" t="s">
        <v>831</v>
      </c>
      <c r="CI9" s="101" t="s">
        <v>835</v>
      </c>
    </row>
    <row r="10" spans="1:87">
      <c r="A10" s="12"/>
      <c r="B10" s="12"/>
      <c r="C10" s="12"/>
      <c r="D10" s="12"/>
      <c r="E10" s="12"/>
      <c r="F10" s="10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2"/>
      <c r="AM10" s="12"/>
      <c r="AN10" s="12"/>
      <c r="AO10" s="13"/>
      <c r="AP10" s="13"/>
      <c r="AQ10" s="13"/>
      <c r="AR10" s="13"/>
      <c r="AS10" s="13"/>
      <c r="AT10" s="13"/>
      <c r="AU10" s="13"/>
      <c r="AV10" s="13"/>
      <c r="AW10" s="19"/>
    </row>
    <row r="11" spans="1:87" s="36" customFormat="1">
      <c r="A11" s="31" t="s">
        <v>898</v>
      </c>
      <c r="B11" s="107"/>
      <c r="C11" s="108" t="s">
        <v>201</v>
      </c>
      <c r="D11" s="107"/>
      <c r="E11" s="107">
        <v>61903</v>
      </c>
      <c r="F11" s="34"/>
      <c r="G11" s="32">
        <v>18155389</v>
      </c>
      <c r="H11" s="32"/>
      <c r="I11" s="32">
        <v>4062237</v>
      </c>
      <c r="J11" s="32"/>
      <c r="K11" s="32">
        <v>2487265</v>
      </c>
      <c r="L11" s="32"/>
      <c r="M11" s="32">
        <v>438908</v>
      </c>
      <c r="N11" s="32"/>
      <c r="O11" s="32">
        <v>503436</v>
      </c>
      <c r="P11" s="32"/>
      <c r="Q11" s="32">
        <v>1838146</v>
      </c>
      <c r="R11" s="32"/>
      <c r="S11" s="32">
        <v>3001053</v>
      </c>
      <c r="T11" s="32"/>
      <c r="U11" s="32">
        <v>68668</v>
      </c>
      <c r="V11" s="32"/>
      <c r="W11" s="32">
        <v>2724810</v>
      </c>
      <c r="X11" s="32"/>
      <c r="Y11" s="32">
        <v>796508</v>
      </c>
      <c r="Z11" s="32"/>
      <c r="AA11" s="32">
        <v>379177</v>
      </c>
      <c r="AB11" s="32"/>
      <c r="AC11" s="32">
        <v>2820566</v>
      </c>
      <c r="AD11" s="32"/>
      <c r="AE11" s="32">
        <v>2397080</v>
      </c>
      <c r="AF11" s="32"/>
      <c r="AG11" s="32">
        <v>268151</v>
      </c>
      <c r="AH11" s="32"/>
      <c r="AI11" s="32">
        <v>2403221</v>
      </c>
      <c r="AJ11" s="32"/>
      <c r="AK11" s="32">
        <v>0</v>
      </c>
      <c r="AL11" s="31" t="s">
        <v>898</v>
      </c>
      <c r="AM11" s="107"/>
      <c r="AN11" s="108" t="s">
        <v>201</v>
      </c>
      <c r="AO11" s="32"/>
      <c r="AP11" s="32">
        <v>621322</v>
      </c>
      <c r="AQ11" s="32"/>
      <c r="AR11" s="32">
        <v>3103348</v>
      </c>
      <c r="AS11" s="32"/>
      <c r="AT11" s="32">
        <v>0</v>
      </c>
      <c r="AU11" s="32"/>
      <c r="AV11" s="32">
        <v>1310323</v>
      </c>
      <c r="AW11" s="32"/>
      <c r="AX11" s="32">
        <v>1707742</v>
      </c>
      <c r="AY11" s="32"/>
      <c r="AZ11" s="32">
        <v>0</v>
      </c>
      <c r="BA11" s="32"/>
      <c r="BB11" s="36">
        <f>SUM(G11:AZ11)</f>
        <v>49087350</v>
      </c>
      <c r="BC11" s="32"/>
      <c r="BD11" s="32">
        <v>96290</v>
      </c>
      <c r="BE11" s="32"/>
      <c r="BF11" s="32">
        <v>0</v>
      </c>
      <c r="BG11" s="32"/>
      <c r="BH11" s="32">
        <v>0</v>
      </c>
      <c r="BI11" s="32"/>
      <c r="BJ11" s="32">
        <v>0</v>
      </c>
      <c r="BK11" s="32"/>
      <c r="BL11" s="36">
        <f>BB11+BD11+BJ11</f>
        <v>49183640</v>
      </c>
      <c r="BM11" s="32"/>
      <c r="BN11" s="36">
        <f>'Gov Fd Rv'!AQ11-'Gov Fnd Exp'!BL11</f>
        <v>-2611729</v>
      </c>
      <c r="BO11" s="32"/>
      <c r="BP11" s="32">
        <v>12047984</v>
      </c>
      <c r="BQ11" s="32"/>
      <c r="BR11" s="32">
        <v>0</v>
      </c>
      <c r="BS11" s="32"/>
      <c r="BT11" s="32">
        <v>0</v>
      </c>
      <c r="BU11" s="32"/>
      <c r="BV11" s="36">
        <f>BN11+BP11+BR11+BT11</f>
        <v>9436255</v>
      </c>
      <c r="BX11" s="36">
        <f>BV11-'Gov Fd BS'!AE11</f>
        <v>0</v>
      </c>
      <c r="BZ11" s="32"/>
      <c r="CB11" s="106" t="str">
        <f>A11</f>
        <v>Adams County/Ohio Valley Local SD</v>
      </c>
      <c r="CC11" s="106" t="b">
        <f>A11=AL11</f>
        <v>1</v>
      </c>
      <c r="CD11" s="106" t="str">
        <f>'Gov Fd Rv'!A11</f>
        <v>Adams County/Ohio Valley Local SD</v>
      </c>
      <c r="CE11" s="36" t="b">
        <f t="shared" ref="CE11:CE74" si="0">CB11=CD11</f>
        <v>1</v>
      </c>
      <c r="CG11" s="36" t="str">
        <f>C11</f>
        <v>Adams</v>
      </c>
      <c r="CH11" s="36" t="b">
        <f>C11=AN11</f>
        <v>1</v>
      </c>
      <c r="CI11" s="36" t="b">
        <f>C11='Gov Fd Rv'!C11</f>
        <v>1</v>
      </c>
    </row>
    <row r="12" spans="1:87">
      <c r="A12" s="12" t="s">
        <v>607</v>
      </c>
      <c r="B12" s="12"/>
      <c r="C12" s="12" t="s">
        <v>58</v>
      </c>
      <c r="D12" s="12"/>
      <c r="E12" s="12">
        <v>49494</v>
      </c>
      <c r="G12" s="7">
        <v>4665193</v>
      </c>
      <c r="I12" s="7">
        <v>1354128</v>
      </c>
      <c r="K12" s="7">
        <v>2329</v>
      </c>
      <c r="M12" s="7">
        <v>0</v>
      </c>
      <c r="O12" s="7">
        <v>894777</v>
      </c>
      <c r="Q12" s="7">
        <v>462724</v>
      </c>
      <c r="S12" s="7">
        <v>590105</v>
      </c>
      <c r="U12" s="7">
        <v>39528</v>
      </c>
      <c r="W12" s="7">
        <v>929440</v>
      </c>
      <c r="Y12" s="7">
        <v>327352</v>
      </c>
      <c r="AA12" s="7">
        <v>0</v>
      </c>
      <c r="AC12" s="7">
        <v>962224</v>
      </c>
      <c r="AE12" s="7">
        <v>702546</v>
      </c>
      <c r="AG12" s="7">
        <v>78837</v>
      </c>
      <c r="AI12" s="7">
        <v>0</v>
      </c>
      <c r="AK12" s="7">
        <v>445701</v>
      </c>
      <c r="AL12" s="12" t="s">
        <v>607</v>
      </c>
      <c r="AM12" s="12"/>
      <c r="AN12" s="12" t="s">
        <v>58</v>
      </c>
      <c r="AP12" s="7">
        <v>360217</v>
      </c>
      <c r="AR12" s="7">
        <v>1320198</v>
      </c>
      <c r="AT12" s="7">
        <v>0</v>
      </c>
      <c r="AV12" s="7">
        <v>162657</v>
      </c>
      <c r="AX12" s="7">
        <v>145551</v>
      </c>
      <c r="AZ12" s="7">
        <v>0</v>
      </c>
      <c r="BB12" s="8">
        <f>SUM(G12:AZ12)</f>
        <v>13443507</v>
      </c>
      <c r="BD12" s="7">
        <v>47045</v>
      </c>
      <c r="BF12" s="7">
        <v>0</v>
      </c>
      <c r="BH12" s="7">
        <v>0</v>
      </c>
      <c r="BJ12" s="7">
        <v>0</v>
      </c>
      <c r="BL12" s="8">
        <f>BB12+BD12+BJ12</f>
        <v>13490552</v>
      </c>
      <c r="BN12" s="8">
        <f>'Gov Fd Rv'!AQ12-'Gov Fnd Exp'!BL12</f>
        <v>1347810</v>
      </c>
      <c r="BP12" s="7">
        <v>4413160</v>
      </c>
      <c r="BR12" s="7">
        <v>0</v>
      </c>
      <c r="BT12" s="7">
        <v>0</v>
      </c>
      <c r="BV12" s="8">
        <f>BN12+BP12+BR12+BT12</f>
        <v>5760970</v>
      </c>
      <c r="BW12" s="8"/>
      <c r="BX12" s="8">
        <f>BV12-'Gov Fd BS'!AE12</f>
        <v>0</v>
      </c>
      <c r="BY12" s="8"/>
      <c r="CB12" s="101" t="str">
        <f t="shared" ref="CB12:CB76" si="1">A12</f>
        <v xml:space="preserve">Adena Local SD </v>
      </c>
      <c r="CC12" s="101" t="b">
        <f t="shared" ref="CC12:CC75" si="2">A12=AL12</f>
        <v>1</v>
      </c>
      <c r="CD12" s="101" t="str">
        <f>'Gov Fd Rv'!A12</f>
        <v xml:space="preserve">Adena Local SD </v>
      </c>
      <c r="CE12" s="8" t="b">
        <f t="shared" si="0"/>
        <v>1</v>
      </c>
      <c r="CG12" s="8" t="str">
        <f t="shared" ref="CG12:CG75" si="3">C12</f>
        <v>Ross</v>
      </c>
      <c r="CH12" s="8" t="b">
        <f t="shared" ref="CH12:CH75" si="4">C12=AN12</f>
        <v>1</v>
      </c>
      <c r="CI12" s="8" t="b">
        <f>C12='Gov Fd Rv'!C12</f>
        <v>1</v>
      </c>
    </row>
    <row r="13" spans="1:87">
      <c r="A13" s="12" t="s">
        <v>522</v>
      </c>
      <c r="B13" s="12"/>
      <c r="C13" s="12" t="s">
        <v>63</v>
      </c>
      <c r="D13" s="12"/>
      <c r="E13" s="12">
        <v>43489</v>
      </c>
      <c r="G13" s="7">
        <v>154706390</v>
      </c>
      <c r="I13" s="7">
        <v>36676644</v>
      </c>
      <c r="K13" s="7">
        <v>12267316</v>
      </c>
      <c r="M13" s="7">
        <v>758113</v>
      </c>
      <c r="O13" s="7">
        <v>11636947</v>
      </c>
      <c r="Q13" s="7">
        <v>20086261</v>
      </c>
      <c r="S13" s="7">
        <v>28112431</v>
      </c>
      <c r="U13" s="7">
        <v>97275</v>
      </c>
      <c r="W13" s="7">
        <v>20982380</v>
      </c>
      <c r="Y13" s="7">
        <v>4496875</v>
      </c>
      <c r="AA13" s="7">
        <v>3080411</v>
      </c>
      <c r="AC13" s="7">
        <v>32866388</v>
      </c>
      <c r="AE13" s="7">
        <v>11963252</v>
      </c>
      <c r="AG13" s="7">
        <v>9228239</v>
      </c>
      <c r="AI13" s="7">
        <v>9976381</v>
      </c>
      <c r="AK13" s="7">
        <v>3862012</v>
      </c>
      <c r="AL13" s="12" t="s">
        <v>522</v>
      </c>
      <c r="AM13" s="12"/>
      <c r="AN13" s="12" t="s">
        <v>63</v>
      </c>
      <c r="AP13" s="7">
        <v>3485632</v>
      </c>
      <c r="AR13" s="7">
        <v>29772037</v>
      </c>
      <c r="AT13" s="7">
        <v>0</v>
      </c>
      <c r="AV13" s="7">
        <v>0</v>
      </c>
      <c r="AX13" s="7">
        <v>0</v>
      </c>
      <c r="AZ13" s="7">
        <v>0</v>
      </c>
      <c r="BB13" s="8">
        <f>SUM(G13:AZ13)</f>
        <v>394054984</v>
      </c>
      <c r="BD13" s="7">
        <v>77837</v>
      </c>
      <c r="BF13" s="7">
        <v>0</v>
      </c>
      <c r="BH13" s="7">
        <v>0</v>
      </c>
      <c r="BJ13" s="7">
        <v>0</v>
      </c>
      <c r="BL13" s="8">
        <f t="shared" ref="BL13:BL79" si="5">BB13+BD13+BJ13</f>
        <v>394132821</v>
      </c>
      <c r="BN13" s="8">
        <f>'Gov Fd Rv'!AQ13-'Gov Fnd Exp'!BL13</f>
        <v>-2680258</v>
      </c>
      <c r="BP13" s="7">
        <v>67653762</v>
      </c>
      <c r="BR13" s="7">
        <v>0</v>
      </c>
      <c r="BT13" s="7">
        <v>0</v>
      </c>
      <c r="BV13" s="8">
        <f>BN13+BP13+BR13+BT13</f>
        <v>64973504</v>
      </c>
      <c r="BW13" s="8"/>
      <c r="BX13" s="8">
        <f>BV13-'Gov Fd BS'!AE13</f>
        <v>0</v>
      </c>
      <c r="BY13" s="8"/>
      <c r="CB13" s="101" t="str">
        <f t="shared" si="1"/>
        <v>Akron City SD</v>
      </c>
      <c r="CC13" s="101" t="b">
        <f t="shared" si="2"/>
        <v>1</v>
      </c>
      <c r="CD13" s="101" t="str">
        <f>'Gov Fd Rv'!A13</f>
        <v>Akron City SD</v>
      </c>
      <c r="CE13" s="8" t="b">
        <f t="shared" si="0"/>
        <v>1</v>
      </c>
      <c r="CG13" s="8" t="str">
        <f t="shared" si="3"/>
        <v>Summit</v>
      </c>
      <c r="CH13" s="8" t="b">
        <f t="shared" si="4"/>
        <v>1</v>
      </c>
      <c r="CI13" s="8" t="b">
        <f>C13='Gov Fd Rv'!C13</f>
        <v>1</v>
      </c>
    </row>
    <row r="14" spans="1:87" hidden="1">
      <c r="A14" s="12" t="s">
        <v>643</v>
      </c>
      <c r="B14" s="12"/>
      <c r="C14" s="12" t="s">
        <v>13</v>
      </c>
      <c r="D14" s="12"/>
      <c r="E14" s="12">
        <v>45906</v>
      </c>
      <c r="AL14" s="12" t="s">
        <v>643</v>
      </c>
      <c r="AM14" s="12"/>
      <c r="AN14" s="12" t="s">
        <v>13</v>
      </c>
      <c r="BB14" s="8">
        <f t="shared" ref="BB14:BB32" si="6">SUM(G14:AZ14)</f>
        <v>0</v>
      </c>
      <c r="BF14" s="7">
        <v>0</v>
      </c>
      <c r="BH14" s="7">
        <v>0</v>
      </c>
      <c r="BL14" s="8">
        <f t="shared" si="5"/>
        <v>0</v>
      </c>
      <c r="BN14" s="8">
        <f>'Gov Fd Rv'!AQ14-'Gov Fnd Exp'!BL14</f>
        <v>0</v>
      </c>
      <c r="BV14" s="8">
        <f t="shared" ref="BV14:BV16" si="7">BN14+BP14+BR14+BT14</f>
        <v>0</v>
      </c>
      <c r="BW14" s="8"/>
      <c r="BX14" s="8">
        <f>BV14-'Gov Fd BS'!AE14</f>
        <v>0</v>
      </c>
      <c r="BY14" s="8"/>
      <c r="BZ14" s="7" t="s">
        <v>778</v>
      </c>
      <c r="CB14" s="101" t="str">
        <f t="shared" si="1"/>
        <v>Alexander Local SD (CASH)</v>
      </c>
      <c r="CC14" s="101" t="b">
        <f t="shared" si="2"/>
        <v>1</v>
      </c>
      <c r="CD14" s="101" t="str">
        <f>'Gov Fd Rv'!A14</f>
        <v>Alexander Local SD (CASH)</v>
      </c>
      <c r="CE14" s="8" t="b">
        <f t="shared" si="0"/>
        <v>1</v>
      </c>
      <c r="CG14" s="8" t="str">
        <f t="shared" si="3"/>
        <v>Athens</v>
      </c>
      <c r="CH14" s="8" t="b">
        <f t="shared" si="4"/>
        <v>1</v>
      </c>
      <c r="CI14" s="8" t="b">
        <f>C14='Gov Fd Rv'!C14</f>
        <v>1</v>
      </c>
    </row>
    <row r="15" spans="1:87">
      <c r="A15" s="12" t="s">
        <v>508</v>
      </c>
      <c r="B15" s="12"/>
      <c r="C15" s="12" t="s">
        <v>62</v>
      </c>
      <c r="D15" s="12"/>
      <c r="E15" s="12">
        <v>43497</v>
      </c>
      <c r="G15" s="7">
        <v>11765508</v>
      </c>
      <c r="I15" s="7">
        <v>4858490</v>
      </c>
      <c r="K15" s="7">
        <v>1420308</v>
      </c>
      <c r="M15" s="7">
        <v>882608</v>
      </c>
      <c r="O15" s="7">
        <f>179866+289409</f>
        <v>469275</v>
      </c>
      <c r="Q15" s="7">
        <v>2128394</v>
      </c>
      <c r="S15" s="7">
        <v>1511095</v>
      </c>
      <c r="U15" s="7">
        <v>39069</v>
      </c>
      <c r="W15" s="7">
        <v>2548929</v>
      </c>
      <c r="Y15" s="7">
        <v>547379</v>
      </c>
      <c r="AA15" s="7">
        <v>410295</v>
      </c>
      <c r="AC15" s="7">
        <v>5493450</v>
      </c>
      <c r="AE15" s="7">
        <v>881894</v>
      </c>
      <c r="AG15" s="7">
        <v>88600</v>
      </c>
      <c r="AI15" s="7">
        <v>1415166</v>
      </c>
      <c r="AK15" s="7">
        <v>126000</v>
      </c>
      <c r="AL15" s="12" t="s">
        <v>508</v>
      </c>
      <c r="AM15" s="12"/>
      <c r="AN15" s="12" t="s">
        <v>62</v>
      </c>
      <c r="AP15" s="7">
        <v>591473</v>
      </c>
      <c r="AR15" s="7">
        <v>63723</v>
      </c>
      <c r="AT15" s="7">
        <v>0</v>
      </c>
      <c r="AV15" s="7">
        <v>310736</v>
      </c>
      <c r="AX15" s="7">
        <f>678542+63436</f>
        <v>741978</v>
      </c>
      <c r="AZ15" s="7">
        <v>0</v>
      </c>
      <c r="BB15" s="8">
        <f t="shared" si="6"/>
        <v>36294370</v>
      </c>
      <c r="BD15" s="7">
        <v>0</v>
      </c>
      <c r="BF15" s="7">
        <v>0</v>
      </c>
      <c r="BH15" s="7">
        <v>0</v>
      </c>
      <c r="BJ15" s="7">
        <v>0</v>
      </c>
      <c r="BL15" s="8">
        <f t="shared" si="5"/>
        <v>36294370</v>
      </c>
      <c r="BN15" s="8">
        <f>'Gov Fd Rv'!AQ15-'Gov Fnd Exp'!BL15</f>
        <v>2235835</v>
      </c>
      <c r="BP15" s="7">
        <v>5755295</v>
      </c>
      <c r="BR15" s="7">
        <v>0</v>
      </c>
      <c r="BT15" s="7">
        <v>0</v>
      </c>
      <c r="BV15" s="8">
        <f t="shared" si="7"/>
        <v>7991130</v>
      </c>
      <c r="BW15" s="8"/>
      <c r="BX15" s="8">
        <f>BV15-'Gov Fd BS'!AE15</f>
        <v>0</v>
      </c>
      <c r="BY15" s="8"/>
      <c r="CB15" s="101" t="str">
        <f t="shared" si="1"/>
        <v>Alliance City SD</v>
      </c>
      <c r="CC15" s="101" t="b">
        <f t="shared" si="2"/>
        <v>1</v>
      </c>
      <c r="CD15" s="101" t="str">
        <f>'Gov Fd Rv'!A15</f>
        <v>Alliance City SD</v>
      </c>
      <c r="CE15" s="8" t="b">
        <f t="shared" si="0"/>
        <v>1</v>
      </c>
      <c r="CG15" s="8" t="str">
        <f t="shared" si="3"/>
        <v>Stark</v>
      </c>
      <c r="CH15" s="8" t="b">
        <f t="shared" si="4"/>
        <v>1</v>
      </c>
      <c r="CI15" s="8" t="b">
        <f>C15='Gov Fd Rv'!C15</f>
        <v>1</v>
      </c>
    </row>
    <row r="16" spans="1:87">
      <c r="A16" s="12" t="s">
        <v>298</v>
      </c>
      <c r="B16" s="12"/>
      <c r="C16" s="12" t="s">
        <v>25</v>
      </c>
      <c r="D16" s="12"/>
      <c r="E16" s="12">
        <v>46847</v>
      </c>
      <c r="G16" s="7">
        <v>5845602</v>
      </c>
      <c r="I16" s="7">
        <v>2222615</v>
      </c>
      <c r="K16" s="7">
        <v>467614</v>
      </c>
      <c r="M16" s="7">
        <v>175859</v>
      </c>
      <c r="O16" s="7">
        <v>45366</v>
      </c>
      <c r="Q16" s="7">
        <v>584870</v>
      </c>
      <c r="S16" s="7">
        <v>399212</v>
      </c>
      <c r="U16" s="7">
        <v>55556</v>
      </c>
      <c r="W16" s="7">
        <v>936025</v>
      </c>
      <c r="Y16" s="7">
        <v>366546</v>
      </c>
      <c r="AA16" s="7">
        <v>33946</v>
      </c>
      <c r="AC16" s="7">
        <v>1454803</v>
      </c>
      <c r="AE16" s="7">
        <v>1102296</v>
      </c>
      <c r="AG16" s="7">
        <v>18316</v>
      </c>
      <c r="AI16" s="7">
        <v>0</v>
      </c>
      <c r="AK16" s="7">
        <v>741816</v>
      </c>
      <c r="AL16" s="12" t="s">
        <v>298</v>
      </c>
      <c r="AM16" s="12"/>
      <c r="AN16" s="12" t="s">
        <v>25</v>
      </c>
      <c r="AP16" s="7">
        <v>292714</v>
      </c>
      <c r="AR16" s="7">
        <v>4906</v>
      </c>
      <c r="AT16" s="7">
        <v>0</v>
      </c>
      <c r="AV16" s="7">
        <v>254953</v>
      </c>
      <c r="AX16" s="7">
        <v>143341</v>
      </c>
      <c r="AZ16" s="7">
        <v>0</v>
      </c>
      <c r="BB16" s="8">
        <f t="shared" si="6"/>
        <v>15146356</v>
      </c>
      <c r="BD16" s="7">
        <v>0</v>
      </c>
      <c r="BF16" s="7">
        <v>0</v>
      </c>
      <c r="BH16" s="7">
        <v>0</v>
      </c>
      <c r="BJ16" s="7">
        <v>0</v>
      </c>
      <c r="BL16" s="8">
        <f t="shared" si="5"/>
        <v>15146356</v>
      </c>
      <c r="BN16" s="8">
        <f>'Gov Fd Rv'!AQ16-'Gov Fnd Exp'!BL16</f>
        <v>570190</v>
      </c>
      <c r="BP16" s="7">
        <v>1405090</v>
      </c>
      <c r="BR16" s="7">
        <v>0</v>
      </c>
      <c r="BT16" s="7">
        <v>0</v>
      </c>
      <c r="BV16" s="8">
        <f t="shared" si="7"/>
        <v>1975280</v>
      </c>
      <c r="BW16" s="8"/>
      <c r="BX16" s="8">
        <f>BV16-'Gov Fd BS'!AE16</f>
        <v>0</v>
      </c>
      <c r="BY16" s="8"/>
      <c r="CB16" s="101" t="str">
        <f t="shared" si="1"/>
        <v>Amanda-Clearcreek Local SD</v>
      </c>
      <c r="CC16" s="101" t="b">
        <f t="shared" si="2"/>
        <v>1</v>
      </c>
      <c r="CD16" s="101" t="str">
        <f>'Gov Fd Rv'!A16</f>
        <v>Amanda-Clearcreek Local SD</v>
      </c>
      <c r="CE16" s="8" t="b">
        <f t="shared" si="0"/>
        <v>1</v>
      </c>
      <c r="CG16" s="8" t="str">
        <f t="shared" si="3"/>
        <v>Fairfield</v>
      </c>
      <c r="CH16" s="8" t="b">
        <f t="shared" si="4"/>
        <v>1</v>
      </c>
      <c r="CI16" s="8" t="b">
        <f>C16='Gov Fd Rv'!C16</f>
        <v>1</v>
      </c>
    </row>
    <row r="17" spans="1:87">
      <c r="A17" s="12" t="s">
        <v>858</v>
      </c>
      <c r="B17" s="12"/>
      <c r="C17" s="12" t="s">
        <v>44</v>
      </c>
      <c r="D17" s="12"/>
      <c r="E17" s="12">
        <v>45195</v>
      </c>
      <c r="F17" s="10"/>
      <c r="G17" s="7">
        <v>17962322</v>
      </c>
      <c r="I17" s="7">
        <v>5177401</v>
      </c>
      <c r="K17" s="7">
        <v>381777</v>
      </c>
      <c r="M17" s="7">
        <v>0</v>
      </c>
      <c r="O17" s="7">
        <v>0</v>
      </c>
      <c r="Q17" s="7">
        <v>1660809</v>
      </c>
      <c r="S17" s="7">
        <v>1833989</v>
      </c>
      <c r="U17" s="7">
        <v>20656</v>
      </c>
      <c r="W17" s="7">
        <v>3079478</v>
      </c>
      <c r="Y17" s="7">
        <v>716451</v>
      </c>
      <c r="AA17" s="7">
        <v>0</v>
      </c>
      <c r="AC17" s="7">
        <v>3675971</v>
      </c>
      <c r="AE17" s="7">
        <v>1266045</v>
      </c>
      <c r="AG17" s="7">
        <v>29562</v>
      </c>
      <c r="AI17" s="7">
        <v>0</v>
      </c>
      <c r="AK17" s="7">
        <v>1689769</v>
      </c>
      <c r="AL17" s="12" t="s">
        <v>858</v>
      </c>
      <c r="AM17" s="12"/>
      <c r="AN17" s="12" t="s">
        <v>44</v>
      </c>
      <c r="AP17" s="7">
        <v>709322</v>
      </c>
      <c r="AR17" s="7">
        <v>45383</v>
      </c>
      <c r="AT17" s="7">
        <v>0</v>
      </c>
      <c r="AV17" s="7">
        <v>1455000</v>
      </c>
      <c r="AX17" s="7">
        <v>769163</v>
      </c>
      <c r="AZ17" s="7">
        <v>0</v>
      </c>
      <c r="BB17" s="8">
        <f t="shared" si="6"/>
        <v>40473098</v>
      </c>
      <c r="BD17" s="7">
        <v>10000</v>
      </c>
      <c r="BF17" s="7">
        <v>0</v>
      </c>
      <c r="BH17" s="7">
        <v>0</v>
      </c>
      <c r="BJ17" s="7">
        <v>0</v>
      </c>
      <c r="BL17" s="8">
        <f>BB17+BD17+BJ17</f>
        <v>40483098</v>
      </c>
      <c r="BN17" s="8">
        <f>'Gov Fd Rv'!AQ17-'Gov Fnd Exp'!BL17</f>
        <v>1698208</v>
      </c>
      <c r="BP17" s="7">
        <v>4908374</v>
      </c>
      <c r="BR17" s="7">
        <v>0</v>
      </c>
      <c r="BT17" s="7">
        <v>0</v>
      </c>
      <c r="BV17" s="8">
        <f t="shared" ref="BV17:BV84" si="8">BN17+BP17+BR17+BT17</f>
        <v>6606582</v>
      </c>
      <c r="BW17" s="8"/>
      <c r="BX17" s="8">
        <f>BV17-'Gov Fd BS'!AE17</f>
        <v>0</v>
      </c>
      <c r="BY17" s="8"/>
      <c r="CB17" s="101" t="str">
        <f t="shared" si="1"/>
        <v xml:space="preserve">Amherst Exempted Village SD </v>
      </c>
      <c r="CC17" s="101" t="b">
        <f t="shared" si="2"/>
        <v>1</v>
      </c>
      <c r="CD17" s="101" t="str">
        <f>'Gov Fd Rv'!A17</f>
        <v xml:space="preserve">Amherst Exempted Village SD </v>
      </c>
      <c r="CE17" s="8" t="b">
        <f t="shared" si="0"/>
        <v>1</v>
      </c>
      <c r="CG17" s="8" t="str">
        <f t="shared" si="3"/>
        <v>Lorain</v>
      </c>
      <c r="CH17" s="8" t="b">
        <f t="shared" si="4"/>
        <v>1</v>
      </c>
      <c r="CI17" s="8" t="b">
        <f>C17='Gov Fd Rv'!C17</f>
        <v>1</v>
      </c>
    </row>
    <row r="18" spans="1:87">
      <c r="A18" s="12" t="s">
        <v>928</v>
      </c>
      <c r="B18" s="12"/>
      <c r="C18" s="12" t="s">
        <v>61</v>
      </c>
      <c r="D18" s="12"/>
      <c r="E18" s="12">
        <v>49759</v>
      </c>
      <c r="G18" s="7">
        <v>5126344</v>
      </c>
      <c r="I18" s="7">
        <v>1009170</v>
      </c>
      <c r="K18" s="7">
        <v>420253</v>
      </c>
      <c r="M18" s="7">
        <v>0</v>
      </c>
      <c r="O18" s="7">
        <v>25167</v>
      </c>
      <c r="Q18" s="7">
        <v>469536</v>
      </c>
      <c r="S18" s="7">
        <v>336130</v>
      </c>
      <c r="U18" s="7">
        <v>62309</v>
      </c>
      <c r="W18" s="7">
        <v>766748</v>
      </c>
      <c r="Y18" s="7">
        <v>409630</v>
      </c>
      <c r="AA18" s="7">
        <v>68336</v>
      </c>
      <c r="AC18" s="7">
        <v>1056295</v>
      </c>
      <c r="AE18" s="7">
        <v>502154</v>
      </c>
      <c r="AG18" s="7">
        <v>3183</v>
      </c>
      <c r="AI18" s="7">
        <v>0</v>
      </c>
      <c r="AK18" s="7">
        <v>462322</v>
      </c>
      <c r="AL18" s="12" t="s">
        <v>928</v>
      </c>
      <c r="AM18" s="12"/>
      <c r="AN18" s="12" t="s">
        <v>61</v>
      </c>
      <c r="AP18" s="7">
        <v>607647</v>
      </c>
      <c r="AR18" s="7">
        <v>112625</v>
      </c>
      <c r="AT18" s="7">
        <v>0</v>
      </c>
      <c r="AV18" s="7">
        <v>240000</v>
      </c>
      <c r="AX18" s="7">
        <v>157730</v>
      </c>
      <c r="AZ18" s="7">
        <v>0</v>
      </c>
      <c r="BB18" s="8">
        <f t="shared" si="6"/>
        <v>11835579</v>
      </c>
      <c r="BD18" s="7">
        <v>0</v>
      </c>
      <c r="BF18" s="7">
        <v>0</v>
      </c>
      <c r="BH18" s="7">
        <v>0</v>
      </c>
      <c r="BJ18" s="7">
        <v>0</v>
      </c>
      <c r="BL18" s="8">
        <f t="shared" si="5"/>
        <v>11835579</v>
      </c>
      <c r="BN18" s="8">
        <f>'Gov Fd Rv'!AQ18-'Gov Fnd Exp'!BL18</f>
        <v>-102746</v>
      </c>
      <c r="BP18" s="7">
        <v>5324695</v>
      </c>
      <c r="BR18" s="7">
        <v>0</v>
      </c>
      <c r="BT18" s="7">
        <v>0</v>
      </c>
      <c r="BV18" s="8">
        <f t="shared" si="8"/>
        <v>5221949</v>
      </c>
      <c r="BW18" s="8"/>
      <c r="BX18" s="8">
        <f>BV18-'Gov Fd BS'!AE18</f>
        <v>0</v>
      </c>
      <c r="BY18" s="8"/>
      <c r="BZ18" s="7" t="s">
        <v>929</v>
      </c>
      <c r="CB18" s="101" t="str">
        <f t="shared" si="1"/>
        <v>Anna Local SD</v>
      </c>
      <c r="CC18" s="101" t="b">
        <f t="shared" si="2"/>
        <v>1</v>
      </c>
      <c r="CD18" s="101" t="str">
        <f>'Gov Fd Rv'!A18</f>
        <v>Anna Local SD</v>
      </c>
      <c r="CE18" s="8" t="b">
        <f t="shared" si="0"/>
        <v>1</v>
      </c>
      <c r="CG18" s="8" t="str">
        <f t="shared" si="3"/>
        <v>Shelby</v>
      </c>
      <c r="CH18" s="8" t="b">
        <f t="shared" si="4"/>
        <v>1</v>
      </c>
      <c r="CI18" s="8" t="b">
        <f>C18='Gov Fd Rv'!C18</f>
        <v>1</v>
      </c>
    </row>
    <row r="19" spans="1:87" hidden="1">
      <c r="A19" s="12" t="s">
        <v>727</v>
      </c>
      <c r="B19" s="12"/>
      <c r="C19" s="12" t="s">
        <v>628</v>
      </c>
      <c r="D19" s="12"/>
      <c r="E19" s="12"/>
      <c r="AL19" s="12" t="s">
        <v>727</v>
      </c>
      <c r="AM19" s="12"/>
      <c r="AN19" s="12" t="s">
        <v>628</v>
      </c>
      <c r="BB19" s="8">
        <f t="shared" si="6"/>
        <v>0</v>
      </c>
      <c r="BF19" s="7">
        <v>0</v>
      </c>
      <c r="BH19" s="7">
        <v>0</v>
      </c>
      <c r="BL19" s="8">
        <f t="shared" si="5"/>
        <v>0</v>
      </c>
      <c r="BN19" s="8">
        <f>'Gov Fd Rv'!AQ19-'Gov Fnd Exp'!BL19</f>
        <v>0</v>
      </c>
      <c r="BV19" s="8">
        <f t="shared" si="8"/>
        <v>0</v>
      </c>
      <c r="BW19" s="8"/>
      <c r="BX19" s="8">
        <f>BV19-'Gov Fd BS'!AE19</f>
        <v>0</v>
      </c>
      <c r="BY19" s="8"/>
      <c r="BZ19" s="7" t="s">
        <v>778</v>
      </c>
      <c r="CB19" s="101" t="str">
        <f t="shared" si="1"/>
        <v>Ansonia Local SD (CASH)</v>
      </c>
      <c r="CC19" s="101" t="b">
        <f t="shared" si="2"/>
        <v>1</v>
      </c>
      <c r="CD19" s="101" t="str">
        <f>'Gov Fd Rv'!A19</f>
        <v>Ansonia Local SD (CASH)</v>
      </c>
      <c r="CE19" s="8" t="b">
        <f t="shared" si="0"/>
        <v>1</v>
      </c>
      <c r="CG19" s="8" t="str">
        <f t="shared" si="3"/>
        <v xml:space="preserve">Darke </v>
      </c>
      <c r="CH19" s="8" t="b">
        <f t="shared" si="4"/>
        <v>1</v>
      </c>
      <c r="CI19" s="8" t="b">
        <f>C19='Gov Fd Rv'!C19</f>
        <v>1</v>
      </c>
    </row>
    <row r="20" spans="1:87">
      <c r="A20" s="12" t="s">
        <v>402</v>
      </c>
      <c r="B20" s="12"/>
      <c r="C20" s="12" t="s">
        <v>115</v>
      </c>
      <c r="D20" s="12"/>
      <c r="E20" s="12">
        <v>48207</v>
      </c>
      <c r="G20" s="7">
        <v>18442639</v>
      </c>
      <c r="I20" s="7">
        <v>3142929</v>
      </c>
      <c r="K20" s="7">
        <v>3347</v>
      </c>
      <c r="M20" s="7">
        <v>0</v>
      </c>
      <c r="O20" s="7">
        <v>0</v>
      </c>
      <c r="Q20" s="7">
        <v>1764667</v>
      </c>
      <c r="S20" s="7">
        <v>908452</v>
      </c>
      <c r="U20" s="7">
        <v>795091</v>
      </c>
      <c r="W20" s="7">
        <v>2982335</v>
      </c>
      <c r="Y20" s="7">
        <v>875785</v>
      </c>
      <c r="AA20" s="7">
        <v>49155</v>
      </c>
      <c r="AC20" s="7">
        <v>3938824</v>
      </c>
      <c r="AE20" s="7">
        <v>2548560</v>
      </c>
      <c r="AG20" s="7">
        <v>72723</v>
      </c>
      <c r="AI20" s="7">
        <v>1086585</v>
      </c>
      <c r="AK20" s="7">
        <v>234635</v>
      </c>
      <c r="AL20" s="12" t="s">
        <v>402</v>
      </c>
      <c r="AM20" s="12"/>
      <c r="AN20" s="12" t="s">
        <v>115</v>
      </c>
      <c r="AP20" s="7">
        <v>1028093</v>
      </c>
      <c r="AR20" s="7">
        <v>429389</v>
      </c>
      <c r="AT20" s="7">
        <v>0</v>
      </c>
      <c r="AV20" s="7">
        <v>1263598</v>
      </c>
      <c r="AX20" s="7">
        <v>1469461</v>
      </c>
      <c r="AZ20" s="7">
        <v>106787</v>
      </c>
      <c r="BB20" s="8">
        <f t="shared" si="6"/>
        <v>41143055</v>
      </c>
      <c r="BD20" s="7">
        <v>705515</v>
      </c>
      <c r="BF20" s="7">
        <v>0</v>
      </c>
      <c r="BH20" s="7">
        <v>0</v>
      </c>
      <c r="BJ20" s="7">
        <v>5081927</v>
      </c>
      <c r="BL20" s="8">
        <f>BB20+BD20+BJ20</f>
        <v>46930497</v>
      </c>
      <c r="BN20" s="8">
        <f>'Gov Fd Rv'!AQ20-'Gov Fnd Exp'!BL20</f>
        <v>1721186</v>
      </c>
      <c r="BP20" s="7">
        <v>7265146</v>
      </c>
      <c r="BR20" s="7">
        <v>9933</v>
      </c>
      <c r="BT20" s="7">
        <v>0</v>
      </c>
      <c r="BV20" s="8">
        <f t="shared" si="8"/>
        <v>8996265</v>
      </c>
      <c r="BW20" s="8"/>
      <c r="BX20" s="8">
        <f>BV20-'Gov Fd BS'!AE20</f>
        <v>0</v>
      </c>
      <c r="BY20" s="8"/>
      <c r="CB20" s="101" t="str">
        <f t="shared" si="1"/>
        <v>Anthony Wayne Local SD</v>
      </c>
      <c r="CC20" s="101" t="b">
        <f t="shared" si="2"/>
        <v>1</v>
      </c>
      <c r="CD20" s="101" t="str">
        <f>'Gov Fd Rv'!A20</f>
        <v>Anthony Wayne Local SD</v>
      </c>
      <c r="CE20" s="8" t="b">
        <f t="shared" si="0"/>
        <v>1</v>
      </c>
      <c r="CG20" s="8" t="str">
        <f t="shared" si="3"/>
        <v>Lucas</v>
      </c>
      <c r="CH20" s="8" t="b">
        <f t="shared" si="4"/>
        <v>1</v>
      </c>
      <c r="CI20" s="8" t="b">
        <f>C20='Gov Fd Rv'!C20</f>
        <v>1</v>
      </c>
    </row>
    <row r="21" spans="1:87">
      <c r="A21" s="12" t="s">
        <v>343</v>
      </c>
      <c r="B21" s="12"/>
      <c r="C21" s="12" t="s">
        <v>33</v>
      </c>
      <c r="D21" s="12"/>
      <c r="E21" s="12">
        <v>47415</v>
      </c>
      <c r="G21" s="7">
        <v>2692543</v>
      </c>
      <c r="I21" s="7">
        <v>632248</v>
      </c>
      <c r="K21" s="7">
        <v>299246</v>
      </c>
      <c r="M21" s="7">
        <v>0</v>
      </c>
      <c r="O21" s="7">
        <v>0</v>
      </c>
      <c r="Q21" s="7">
        <v>229263</v>
      </c>
      <c r="S21" s="7">
        <v>192800</v>
      </c>
      <c r="U21" s="7">
        <v>36946</v>
      </c>
      <c r="W21" s="7">
        <v>600834</v>
      </c>
      <c r="Y21" s="7">
        <v>204626</v>
      </c>
      <c r="AA21" s="7">
        <v>0</v>
      </c>
      <c r="AC21" s="7">
        <v>326031</v>
      </c>
      <c r="AE21" s="7">
        <v>250868</v>
      </c>
      <c r="AG21" s="7">
        <v>1054</v>
      </c>
      <c r="AI21" s="7">
        <v>0</v>
      </c>
      <c r="AK21" s="7">
        <v>257027</v>
      </c>
      <c r="AL21" s="12" t="s">
        <v>343</v>
      </c>
      <c r="AM21" s="12"/>
      <c r="AN21" s="12" t="s">
        <v>33</v>
      </c>
      <c r="AP21" s="7">
        <v>309295</v>
      </c>
      <c r="AR21" s="7">
        <v>34532</v>
      </c>
      <c r="AT21" s="7">
        <v>0</v>
      </c>
      <c r="AV21" s="7">
        <v>0</v>
      </c>
      <c r="AX21" s="7">
        <v>0</v>
      </c>
      <c r="AZ21" s="7">
        <v>0</v>
      </c>
      <c r="BB21" s="8">
        <f t="shared" si="6"/>
        <v>6067313</v>
      </c>
      <c r="BD21" s="7">
        <v>0</v>
      </c>
      <c r="BF21" s="7">
        <v>0</v>
      </c>
      <c r="BH21" s="7">
        <v>0</v>
      </c>
      <c r="BJ21" s="7">
        <v>0</v>
      </c>
      <c r="BL21" s="8">
        <f t="shared" si="5"/>
        <v>6067313</v>
      </c>
      <c r="BN21" s="8">
        <f>'Gov Fd Rv'!AQ21-'Gov Fnd Exp'!BL21</f>
        <v>391998</v>
      </c>
      <c r="BP21" s="7">
        <v>3055343</v>
      </c>
      <c r="BR21" s="7">
        <v>0</v>
      </c>
      <c r="BT21" s="7">
        <v>0</v>
      </c>
      <c r="BV21" s="8">
        <f t="shared" si="8"/>
        <v>3447341</v>
      </c>
      <c r="BW21" s="8"/>
      <c r="BX21" s="8">
        <f>BV21-'Gov Fd BS'!AE21</f>
        <v>0</v>
      </c>
      <c r="BY21" s="8"/>
      <c r="CB21" s="101" t="str">
        <f t="shared" si="1"/>
        <v>Arcadia Local SD</v>
      </c>
      <c r="CC21" s="101" t="b">
        <f t="shared" si="2"/>
        <v>1</v>
      </c>
      <c r="CD21" s="101" t="str">
        <f>'Gov Fd Rv'!A21</f>
        <v>Arcadia Local SD</v>
      </c>
      <c r="CE21" s="8" t="b">
        <f t="shared" si="0"/>
        <v>1</v>
      </c>
      <c r="CG21" s="8" t="str">
        <f t="shared" si="3"/>
        <v>Hancock</v>
      </c>
      <c r="CH21" s="8" t="b">
        <f t="shared" si="4"/>
        <v>1</v>
      </c>
      <c r="CI21" s="8" t="b">
        <f>C21='Gov Fd Rv'!C21</f>
        <v>1</v>
      </c>
    </row>
    <row r="22" spans="1:87" hidden="1">
      <c r="A22" s="12" t="s">
        <v>702</v>
      </c>
      <c r="B22" s="12"/>
      <c r="C22" s="12" t="s">
        <v>21</v>
      </c>
      <c r="D22" s="12"/>
      <c r="E22" s="12">
        <v>46631</v>
      </c>
      <c r="AL22" s="12" t="s">
        <v>702</v>
      </c>
      <c r="AM22" s="12"/>
      <c r="AN22" s="12" t="s">
        <v>21</v>
      </c>
      <c r="BB22" s="8">
        <f t="shared" si="6"/>
        <v>0</v>
      </c>
      <c r="BF22" s="7">
        <v>0</v>
      </c>
      <c r="BH22" s="7">
        <v>0</v>
      </c>
      <c r="BL22" s="8">
        <f t="shared" si="5"/>
        <v>0</v>
      </c>
      <c r="BN22" s="8">
        <f>'Gov Fd Rv'!AQ22-'Gov Fnd Exp'!BL22</f>
        <v>0</v>
      </c>
      <c r="BV22" s="8">
        <f t="shared" si="8"/>
        <v>0</v>
      </c>
      <c r="BW22" s="8"/>
      <c r="BX22" s="8">
        <f>BV22-'Gov Fd BS'!AE22</f>
        <v>0</v>
      </c>
      <c r="BY22" s="8"/>
      <c r="BZ22" s="7" t="s">
        <v>778</v>
      </c>
      <c r="CB22" s="101" t="str">
        <f t="shared" si="1"/>
        <v>Arcanum Butler Local SD (CASH)</v>
      </c>
      <c r="CC22" s="101" t="b">
        <f t="shared" si="2"/>
        <v>1</v>
      </c>
      <c r="CD22" s="101" t="str">
        <f>'Gov Fd Rv'!A22</f>
        <v>Arcanum Butler Local SD (CASH)</v>
      </c>
      <c r="CE22" s="8" t="b">
        <f t="shared" si="0"/>
        <v>1</v>
      </c>
      <c r="CG22" s="8" t="str">
        <f t="shared" si="3"/>
        <v>Darke</v>
      </c>
      <c r="CH22" s="8" t="b">
        <f t="shared" si="4"/>
        <v>1</v>
      </c>
      <c r="CI22" s="8" t="b">
        <f>C22='Gov Fd Rv'!C22</f>
        <v>1</v>
      </c>
    </row>
    <row r="23" spans="1:87">
      <c r="A23" s="12" t="s">
        <v>318</v>
      </c>
      <c r="B23" s="12"/>
      <c r="C23" s="12" t="s">
        <v>28</v>
      </c>
      <c r="D23" s="12"/>
      <c r="E23" s="12">
        <v>47043</v>
      </c>
      <c r="G23" s="7">
        <v>6538401</v>
      </c>
      <c r="I23" s="7">
        <v>1220732</v>
      </c>
      <c r="K23" s="7">
        <v>181456</v>
      </c>
      <c r="M23" s="7">
        <v>6646</v>
      </c>
      <c r="O23" s="7">
        <v>38948</v>
      </c>
      <c r="Q23" s="7">
        <v>911883</v>
      </c>
      <c r="S23" s="7">
        <v>507654</v>
      </c>
      <c r="U23" s="7">
        <v>33224</v>
      </c>
      <c r="W23" s="7">
        <v>796740</v>
      </c>
      <c r="Y23" s="7">
        <v>370651</v>
      </c>
      <c r="AA23" s="7">
        <v>0</v>
      </c>
      <c r="AC23" s="7">
        <v>1047532</v>
      </c>
      <c r="AE23" s="7">
        <v>539953</v>
      </c>
      <c r="AG23" s="7">
        <v>0</v>
      </c>
      <c r="AI23" s="7">
        <v>0</v>
      </c>
      <c r="AK23" s="7">
        <v>509755</v>
      </c>
      <c r="AL23" s="12" t="s">
        <v>318</v>
      </c>
      <c r="AM23" s="12"/>
      <c r="AN23" s="12" t="s">
        <v>28</v>
      </c>
      <c r="AP23" s="7">
        <v>630986</v>
      </c>
      <c r="AR23" s="7">
        <v>403595</v>
      </c>
      <c r="AT23" s="7">
        <v>0</v>
      </c>
      <c r="AV23" s="7">
        <v>3920000</v>
      </c>
      <c r="AX23" s="7">
        <f>423010+79266</f>
        <v>502276</v>
      </c>
      <c r="AZ23" s="7">
        <v>0</v>
      </c>
      <c r="BB23" s="8">
        <f t="shared" si="6"/>
        <v>18160432</v>
      </c>
      <c r="BD23" s="7">
        <v>0</v>
      </c>
      <c r="BF23" s="7">
        <v>0</v>
      </c>
      <c r="BH23" s="7">
        <v>0</v>
      </c>
      <c r="BJ23" s="7">
        <v>0</v>
      </c>
      <c r="BL23" s="8">
        <f t="shared" si="5"/>
        <v>18160432</v>
      </c>
      <c r="BN23" s="8">
        <f>'Gov Fd Rv'!AQ23-'Gov Fnd Exp'!BL23</f>
        <v>235221</v>
      </c>
      <c r="BP23" s="7">
        <v>7815909</v>
      </c>
      <c r="BR23" s="7">
        <v>0</v>
      </c>
      <c r="BT23" s="7">
        <v>0</v>
      </c>
      <c r="BV23" s="8">
        <f>BN23+BP23+BR23+BT23-BD23</f>
        <v>8051130</v>
      </c>
      <c r="BW23" s="8"/>
      <c r="BX23" s="8">
        <f>BV23-'Gov Fd BS'!AE23</f>
        <v>0</v>
      </c>
      <c r="BY23" s="8"/>
      <c r="CB23" s="101" t="str">
        <f t="shared" si="1"/>
        <v>Archbold-Area Local SD</v>
      </c>
      <c r="CC23" s="101" t="b">
        <f t="shared" si="2"/>
        <v>1</v>
      </c>
      <c r="CD23" s="101" t="str">
        <f>'Gov Fd Rv'!A23</f>
        <v>Archbold-Area Local SD</v>
      </c>
      <c r="CE23" s="8" t="b">
        <f t="shared" si="0"/>
        <v>1</v>
      </c>
      <c r="CG23" s="8" t="str">
        <f t="shared" si="3"/>
        <v>Fulton</v>
      </c>
      <c r="CH23" s="8" t="b">
        <f t="shared" si="4"/>
        <v>1</v>
      </c>
      <c r="CI23" s="8" t="b">
        <f>C23='Gov Fd Rv'!C23</f>
        <v>1</v>
      </c>
    </row>
    <row r="24" spans="1:87">
      <c r="A24" s="12" t="s">
        <v>344</v>
      </c>
      <c r="B24" s="12"/>
      <c r="C24" s="12" t="s">
        <v>33</v>
      </c>
      <c r="D24" s="12"/>
      <c r="E24" s="12">
        <v>47423</v>
      </c>
      <c r="G24" s="7">
        <v>3135637</v>
      </c>
      <c r="I24" s="7">
        <v>811067</v>
      </c>
      <c r="K24" s="7">
        <v>320832</v>
      </c>
      <c r="M24" s="7">
        <v>0</v>
      </c>
      <c r="O24" s="7">
        <v>0</v>
      </c>
      <c r="Q24" s="7">
        <v>284259</v>
      </c>
      <c r="S24" s="7">
        <v>355698</v>
      </c>
      <c r="U24" s="7">
        <v>32589</v>
      </c>
      <c r="W24" s="7">
        <v>495068</v>
      </c>
      <c r="Y24" s="7">
        <v>215352</v>
      </c>
      <c r="AA24" s="7">
        <v>0</v>
      </c>
      <c r="AC24" s="7">
        <v>513822</v>
      </c>
      <c r="AE24" s="7">
        <v>230882</v>
      </c>
      <c r="AG24" s="7">
        <v>683</v>
      </c>
      <c r="AI24" s="7">
        <v>0</v>
      </c>
      <c r="AK24" s="7">
        <v>249297</v>
      </c>
      <c r="AL24" s="12" t="s">
        <v>344</v>
      </c>
      <c r="AM24" s="12"/>
      <c r="AN24" s="12" t="s">
        <v>33</v>
      </c>
      <c r="AP24" s="7">
        <v>292054</v>
      </c>
      <c r="AR24" s="7">
        <v>0</v>
      </c>
      <c r="AT24" s="7">
        <v>0</v>
      </c>
      <c r="AV24" s="7">
        <v>115000</v>
      </c>
      <c r="AX24" s="7">
        <v>28800</v>
      </c>
      <c r="AZ24" s="7">
        <v>0</v>
      </c>
      <c r="BB24" s="8">
        <f t="shared" si="6"/>
        <v>7081040</v>
      </c>
      <c r="BD24" s="7">
        <v>0</v>
      </c>
      <c r="BF24" s="7">
        <v>0</v>
      </c>
      <c r="BH24" s="7">
        <v>0</v>
      </c>
      <c r="BJ24" s="7">
        <v>0</v>
      </c>
      <c r="BL24" s="8">
        <f t="shared" si="5"/>
        <v>7081040</v>
      </c>
      <c r="BN24" s="8">
        <f>'Gov Fd Rv'!AQ24-'Gov Fnd Exp'!BL24</f>
        <v>-387026</v>
      </c>
      <c r="BP24" s="7">
        <v>2679521</v>
      </c>
      <c r="BR24" s="7">
        <v>0</v>
      </c>
      <c r="BT24" s="7">
        <v>0</v>
      </c>
      <c r="BV24" s="8">
        <f t="shared" si="8"/>
        <v>2292495</v>
      </c>
      <c r="BW24" s="8"/>
      <c r="BX24" s="8">
        <f>BV24-'Gov Fd BS'!AE24</f>
        <v>0</v>
      </c>
      <c r="BY24" s="8"/>
      <c r="CB24" s="101" t="str">
        <f t="shared" si="1"/>
        <v>Arlington Local SD</v>
      </c>
      <c r="CC24" s="101" t="b">
        <f t="shared" si="2"/>
        <v>1</v>
      </c>
      <c r="CD24" s="101" t="str">
        <f>'Gov Fd Rv'!A24</f>
        <v>Arlington Local SD</v>
      </c>
      <c r="CE24" s="8" t="b">
        <f t="shared" si="0"/>
        <v>1</v>
      </c>
      <c r="CG24" s="8" t="str">
        <f t="shared" si="3"/>
        <v>Hancock</v>
      </c>
      <c r="CH24" s="8" t="b">
        <f t="shared" si="4"/>
        <v>1</v>
      </c>
      <c r="CI24" s="8" t="b">
        <f>C24='Gov Fd Rv'!C24</f>
        <v>1</v>
      </c>
    </row>
    <row r="25" spans="1:87">
      <c r="A25" s="12" t="s">
        <v>204</v>
      </c>
      <c r="B25" s="12"/>
      <c r="C25" s="12" t="s">
        <v>11</v>
      </c>
      <c r="D25" s="12"/>
      <c r="E25" s="12">
        <v>43505</v>
      </c>
      <c r="G25" s="7">
        <v>15490142</v>
      </c>
      <c r="I25" s="7">
        <v>4772220</v>
      </c>
      <c r="K25" s="7">
        <v>960297</v>
      </c>
      <c r="M25" s="7">
        <v>16</v>
      </c>
      <c r="O25" s="7">
        <v>866663</v>
      </c>
      <c r="Q25" s="7">
        <v>1826617</v>
      </c>
      <c r="S25" s="7">
        <v>1853424</v>
      </c>
      <c r="U25" s="7">
        <v>111658</v>
      </c>
      <c r="W25" s="7">
        <v>2505162</v>
      </c>
      <c r="Y25" s="7">
        <v>748898</v>
      </c>
      <c r="AA25" s="7">
        <v>319150</v>
      </c>
      <c r="AC25" s="7">
        <v>2415361</v>
      </c>
      <c r="AE25" s="7">
        <v>1254606</v>
      </c>
      <c r="AG25" s="7">
        <v>341920</v>
      </c>
      <c r="AI25" s="7">
        <v>1500787</v>
      </c>
      <c r="AK25" s="7">
        <v>188019</v>
      </c>
      <c r="AL25" s="12" t="s">
        <v>204</v>
      </c>
      <c r="AM25" s="12"/>
      <c r="AN25" s="12" t="s">
        <v>11</v>
      </c>
      <c r="AP25" s="7">
        <v>936061</v>
      </c>
      <c r="AR25" s="7">
        <v>140470</v>
      </c>
      <c r="AT25" s="7">
        <v>0</v>
      </c>
      <c r="AV25" s="7">
        <v>215014</v>
      </c>
      <c r="AX25" s="7">
        <v>127585</v>
      </c>
      <c r="AZ25" s="7">
        <v>0</v>
      </c>
      <c r="BB25" s="8">
        <f t="shared" si="6"/>
        <v>36574070</v>
      </c>
      <c r="BD25" s="7">
        <v>0</v>
      </c>
      <c r="BF25" s="7">
        <v>0</v>
      </c>
      <c r="BH25" s="7">
        <v>0</v>
      </c>
      <c r="BJ25" s="7">
        <v>0</v>
      </c>
      <c r="BL25" s="8">
        <f>BB25+BD25+BJ25+BD25</f>
        <v>36574070</v>
      </c>
      <c r="BN25" s="8">
        <f>'Gov Fd Rv'!AQ25-'Gov Fnd Exp'!BL25</f>
        <v>377589</v>
      </c>
      <c r="BP25" s="7">
        <v>8235158</v>
      </c>
      <c r="BR25" s="7">
        <v>0</v>
      </c>
      <c r="BT25" s="7">
        <v>0</v>
      </c>
      <c r="BV25" s="8">
        <f t="shared" si="8"/>
        <v>8612747</v>
      </c>
      <c r="BW25" s="8"/>
      <c r="BX25" s="8">
        <f>BV25-'Gov Fd BS'!AE25</f>
        <v>0</v>
      </c>
      <c r="BY25" s="8"/>
      <c r="CB25" s="101" t="str">
        <f t="shared" si="1"/>
        <v>Ashland City SD</v>
      </c>
      <c r="CC25" s="101" t="b">
        <f t="shared" si="2"/>
        <v>1</v>
      </c>
      <c r="CD25" s="101" t="str">
        <f>'Gov Fd Rv'!A25</f>
        <v>Ashland City SD</v>
      </c>
      <c r="CE25" s="8" t="b">
        <f t="shared" si="0"/>
        <v>1</v>
      </c>
      <c r="CG25" s="8" t="str">
        <f t="shared" si="3"/>
        <v>Ashland</v>
      </c>
      <c r="CH25" s="8" t="b">
        <f t="shared" si="4"/>
        <v>1</v>
      </c>
      <c r="CI25" s="8" t="b">
        <f>C25='Gov Fd Rv'!C25</f>
        <v>1</v>
      </c>
    </row>
    <row r="26" spans="1:87">
      <c r="A26" s="12" t="s">
        <v>701</v>
      </c>
      <c r="B26" s="12"/>
      <c r="C26" s="12" t="s">
        <v>12</v>
      </c>
      <c r="D26" s="12"/>
      <c r="E26" s="12">
        <v>43513</v>
      </c>
      <c r="G26" s="7">
        <v>19406136</v>
      </c>
      <c r="I26" s="7">
        <v>8059735</v>
      </c>
      <c r="K26" s="7">
        <v>202683</v>
      </c>
      <c r="M26" s="7">
        <v>0</v>
      </c>
      <c r="O26" s="7">
        <v>1323960</v>
      </c>
      <c r="Q26" s="7">
        <v>1821977</v>
      </c>
      <c r="S26" s="7">
        <v>3105111</v>
      </c>
      <c r="U26" s="7">
        <v>175086</v>
      </c>
      <c r="W26" s="7">
        <v>2534669</v>
      </c>
      <c r="Y26" s="7">
        <v>816685</v>
      </c>
      <c r="AA26" s="7">
        <v>548309</v>
      </c>
      <c r="AC26" s="7">
        <v>3798721</v>
      </c>
      <c r="AE26" s="7">
        <v>3032621</v>
      </c>
      <c r="AG26" s="7">
        <v>134157</v>
      </c>
      <c r="AI26" s="7">
        <v>1692744</v>
      </c>
      <c r="AK26" s="7">
        <v>0</v>
      </c>
      <c r="AL26" s="12" t="s">
        <v>701</v>
      </c>
      <c r="AM26" s="12"/>
      <c r="AN26" s="12" t="s">
        <v>12</v>
      </c>
      <c r="AP26" s="7">
        <v>830069</v>
      </c>
      <c r="AR26" s="7">
        <v>27286723</v>
      </c>
      <c r="AT26" s="7">
        <v>0</v>
      </c>
      <c r="AV26" s="7">
        <v>1520000</v>
      </c>
      <c r="AX26" s="7">
        <v>1666233</v>
      </c>
      <c r="AZ26" s="7">
        <v>3171</v>
      </c>
      <c r="BB26" s="8">
        <f t="shared" si="6"/>
        <v>77958790</v>
      </c>
      <c r="BD26" s="7">
        <v>83560</v>
      </c>
      <c r="BF26" s="7">
        <v>0</v>
      </c>
      <c r="BH26" s="7">
        <v>0</v>
      </c>
      <c r="BJ26" s="7">
        <v>0</v>
      </c>
      <c r="BL26" s="8">
        <f t="shared" si="5"/>
        <v>78042350</v>
      </c>
      <c r="BN26" s="8">
        <f>'Gov Fd Rv'!AQ26-'Gov Fnd Exp'!BL26</f>
        <v>-699324</v>
      </c>
      <c r="BP26" s="7">
        <v>20825805</v>
      </c>
      <c r="BR26" s="7">
        <v>0</v>
      </c>
      <c r="BT26" s="7">
        <v>0</v>
      </c>
      <c r="BV26" s="8">
        <f t="shared" si="8"/>
        <v>20126481</v>
      </c>
      <c r="BW26" s="8"/>
      <c r="BX26" s="8">
        <f>BV26-'Gov Fd BS'!AE26</f>
        <v>0</v>
      </c>
      <c r="BY26" s="8"/>
      <c r="CB26" s="101" t="str">
        <f t="shared" si="1"/>
        <v xml:space="preserve">Ashtabula Area City SD </v>
      </c>
      <c r="CC26" s="101" t="b">
        <f t="shared" si="2"/>
        <v>1</v>
      </c>
      <c r="CD26" s="101" t="str">
        <f>'Gov Fd Rv'!A26</f>
        <v xml:space="preserve">Ashtabula Area City SD </v>
      </c>
      <c r="CE26" s="8" t="b">
        <f t="shared" si="0"/>
        <v>1</v>
      </c>
      <c r="CG26" s="8" t="str">
        <f t="shared" si="3"/>
        <v>Ashtabula</v>
      </c>
      <c r="CH26" s="8" t="b">
        <f t="shared" si="4"/>
        <v>1</v>
      </c>
      <c r="CI26" s="8" t="b">
        <f>C26='Gov Fd Rv'!C26</f>
        <v>1</v>
      </c>
    </row>
    <row r="27" spans="1:87">
      <c r="A27" s="12" t="s">
        <v>211</v>
      </c>
      <c r="B27" s="12"/>
      <c r="C27" s="12" t="s">
        <v>13</v>
      </c>
      <c r="D27" s="12"/>
      <c r="E27" s="12">
        <v>43521</v>
      </c>
      <c r="G27" s="7">
        <v>15518842</v>
      </c>
      <c r="I27" s="7">
        <v>3557573</v>
      </c>
      <c r="K27" s="7">
        <v>506924</v>
      </c>
      <c r="M27" s="7">
        <v>0</v>
      </c>
      <c r="O27" s="7">
        <v>133998</v>
      </c>
      <c r="Q27" s="7">
        <v>1425414</v>
      </c>
      <c r="S27" s="7">
        <v>2587722</v>
      </c>
      <c r="U27" s="7">
        <v>122756</v>
      </c>
      <c r="W27" s="7">
        <v>1808306</v>
      </c>
      <c r="Y27" s="7">
        <v>663287</v>
      </c>
      <c r="AA27" s="7">
        <v>544321</v>
      </c>
      <c r="AC27" s="7">
        <v>3549628</v>
      </c>
      <c r="AE27" s="7">
        <v>1835374</v>
      </c>
      <c r="AG27" s="7">
        <v>124471</v>
      </c>
      <c r="AI27" s="7">
        <v>0</v>
      </c>
      <c r="AK27" s="7">
        <v>853286</v>
      </c>
      <c r="AL27" s="12" t="s">
        <v>211</v>
      </c>
      <c r="AM27" s="12"/>
      <c r="AN27" s="12" t="s">
        <v>13</v>
      </c>
      <c r="AP27" s="7">
        <v>578538</v>
      </c>
      <c r="AR27" s="7">
        <v>2410483</v>
      </c>
      <c r="AT27" s="7">
        <v>0</v>
      </c>
      <c r="AV27" s="7">
        <v>685000</v>
      </c>
      <c r="AX27" s="7">
        <v>585621</v>
      </c>
      <c r="AZ27" s="7">
        <v>0</v>
      </c>
      <c r="BB27" s="8">
        <f t="shared" si="6"/>
        <v>37491544</v>
      </c>
      <c r="BD27" s="7">
        <v>74825</v>
      </c>
      <c r="BF27" s="7">
        <v>0</v>
      </c>
      <c r="BH27" s="7">
        <v>0</v>
      </c>
      <c r="BJ27" s="7">
        <v>0</v>
      </c>
      <c r="BL27" s="8">
        <f t="shared" si="5"/>
        <v>37566369</v>
      </c>
      <c r="BN27" s="8">
        <f>'Gov Fd Rv'!AQ27-'Gov Fnd Exp'!BL27</f>
        <v>-317249</v>
      </c>
      <c r="BP27" s="7">
        <v>13899513</v>
      </c>
      <c r="BR27" s="7">
        <v>0</v>
      </c>
      <c r="BT27" s="7">
        <v>0</v>
      </c>
      <c r="BV27" s="8">
        <f>BN27+BP27+BR27+BT27</f>
        <v>13582264</v>
      </c>
      <c r="BW27" s="8"/>
      <c r="BX27" s="8">
        <f>BV27-'Gov Fd BS'!AE27</f>
        <v>0</v>
      </c>
      <c r="BY27" s="8"/>
      <c r="CB27" s="101" t="str">
        <f t="shared" si="1"/>
        <v>Athens City SD</v>
      </c>
      <c r="CC27" s="101" t="b">
        <f t="shared" si="2"/>
        <v>1</v>
      </c>
      <c r="CD27" s="101" t="str">
        <f>'Gov Fd Rv'!A27</f>
        <v>Athens City SD</v>
      </c>
      <c r="CE27" s="8" t="b">
        <f t="shared" si="0"/>
        <v>1</v>
      </c>
      <c r="CG27" s="8" t="str">
        <f t="shared" si="3"/>
        <v>Athens</v>
      </c>
      <c r="CH27" s="8" t="b">
        <f t="shared" si="4"/>
        <v>1</v>
      </c>
      <c r="CI27" s="8" t="b">
        <f>C27='Gov Fd Rv'!C27</f>
        <v>1</v>
      </c>
    </row>
    <row r="28" spans="1:87">
      <c r="A28" s="12" t="s">
        <v>474</v>
      </c>
      <c r="B28" s="12"/>
      <c r="C28" s="12" t="s">
        <v>56</v>
      </c>
      <c r="D28" s="12"/>
      <c r="E28" s="12">
        <v>49171</v>
      </c>
      <c r="G28" s="7">
        <v>14442020</v>
      </c>
      <c r="I28" s="7">
        <v>2232403</v>
      </c>
      <c r="K28" s="7">
        <v>250341</v>
      </c>
      <c r="M28" s="7">
        <v>0</v>
      </c>
      <c r="O28" s="7">
        <v>1310914</v>
      </c>
      <c r="Q28" s="7">
        <v>1866239</v>
      </c>
      <c r="S28" s="7">
        <v>2713189</v>
      </c>
      <c r="U28" s="7">
        <v>223248</v>
      </c>
      <c r="W28" s="7">
        <v>2185692</v>
      </c>
      <c r="Y28" s="7">
        <v>836818</v>
      </c>
      <c r="AA28" s="7">
        <v>211577</v>
      </c>
      <c r="AC28" s="7">
        <v>3278030</v>
      </c>
      <c r="AE28" s="7">
        <v>1539558</v>
      </c>
      <c r="AG28" s="7">
        <v>162879</v>
      </c>
      <c r="AI28" s="7">
        <v>770872</v>
      </c>
      <c r="AK28" s="7">
        <v>133961</v>
      </c>
      <c r="AL28" s="12" t="s">
        <v>474</v>
      </c>
      <c r="AM28" s="12"/>
      <c r="AN28" s="12" t="s">
        <v>56</v>
      </c>
      <c r="AP28" s="7">
        <v>931394</v>
      </c>
      <c r="AR28" s="7">
        <v>2254883</v>
      </c>
      <c r="AT28" s="7">
        <v>0</v>
      </c>
      <c r="AV28" s="7">
        <v>1615000</v>
      </c>
      <c r="AX28" s="7">
        <v>1461295</v>
      </c>
      <c r="AZ28" s="7">
        <v>0</v>
      </c>
      <c r="BB28" s="8">
        <f t="shared" si="6"/>
        <v>38420313</v>
      </c>
      <c r="BD28" s="7">
        <v>9227</v>
      </c>
      <c r="BF28" s="7">
        <v>0</v>
      </c>
      <c r="BH28" s="7">
        <v>0</v>
      </c>
      <c r="BJ28" s="7">
        <v>0</v>
      </c>
      <c r="BL28" s="8">
        <f>BB28+BD28+BJ28</f>
        <v>38429540</v>
      </c>
      <c r="BN28" s="8">
        <f>'Gov Fd Rv'!AQ28-'Gov Fnd Exp'!BL28</f>
        <v>-2931246</v>
      </c>
      <c r="BP28" s="7">
        <v>8001344</v>
      </c>
      <c r="BR28" s="7">
        <v>0</v>
      </c>
      <c r="BT28" s="7">
        <v>0</v>
      </c>
      <c r="BV28" s="8">
        <f>BN28+BP28+BR28+BT28</f>
        <v>5070098</v>
      </c>
      <c r="BW28" s="8"/>
      <c r="BX28" s="8">
        <f>BV28-'Gov Fd BS'!AE28</f>
        <v>0</v>
      </c>
      <c r="BY28" s="8"/>
      <c r="CB28" s="101" t="str">
        <f t="shared" si="1"/>
        <v>Aurora City SD</v>
      </c>
      <c r="CC28" s="101" t="b">
        <f t="shared" si="2"/>
        <v>1</v>
      </c>
      <c r="CD28" s="101" t="str">
        <f>'Gov Fd Rv'!A28</f>
        <v>Aurora City SD</v>
      </c>
      <c r="CE28" s="8" t="b">
        <f t="shared" si="0"/>
        <v>1</v>
      </c>
      <c r="CG28" s="8" t="str">
        <f t="shared" si="3"/>
        <v>Portage</v>
      </c>
      <c r="CH28" s="8" t="b">
        <f t="shared" si="4"/>
        <v>1</v>
      </c>
      <c r="CI28" s="8" t="b">
        <f>C28='Gov Fd Rv'!C28</f>
        <v>1</v>
      </c>
    </row>
    <row r="29" spans="1:87">
      <c r="A29" s="12" t="s">
        <v>414</v>
      </c>
      <c r="B29" s="12"/>
      <c r="C29" s="12" t="s">
        <v>45</v>
      </c>
      <c r="D29" s="12"/>
      <c r="E29" s="12">
        <v>48298</v>
      </c>
      <c r="G29" s="7">
        <v>19360689</v>
      </c>
      <c r="I29" s="7">
        <v>5791048</v>
      </c>
      <c r="K29" s="7">
        <v>236402</v>
      </c>
      <c r="M29" s="7">
        <v>0</v>
      </c>
      <c r="O29" s="7">
        <v>1788380</v>
      </c>
      <c r="Q29" s="7">
        <v>2835923</v>
      </c>
      <c r="S29" s="7">
        <v>1334236</v>
      </c>
      <c r="U29" s="7">
        <v>78862</v>
      </c>
      <c r="W29" s="7">
        <v>3697590</v>
      </c>
      <c r="Y29" s="7">
        <v>873475</v>
      </c>
      <c r="AA29" s="7">
        <v>66035</v>
      </c>
      <c r="AC29" s="7">
        <v>3814778</v>
      </c>
      <c r="AE29" s="7">
        <v>2473669</v>
      </c>
      <c r="AG29" s="7">
        <v>7278</v>
      </c>
      <c r="AI29" s="7">
        <v>1874849</v>
      </c>
      <c r="AK29" s="7">
        <v>158420</v>
      </c>
      <c r="AL29" s="12" t="s">
        <v>414</v>
      </c>
      <c r="AM29" s="12"/>
      <c r="AN29" s="12" t="s">
        <v>45</v>
      </c>
      <c r="AP29" s="7">
        <v>879926</v>
      </c>
      <c r="AR29" s="7">
        <v>1671462</v>
      </c>
      <c r="AT29" s="7">
        <v>0</v>
      </c>
      <c r="AV29" s="7">
        <v>27273657</v>
      </c>
      <c r="AX29" s="7">
        <f>2182301+399577</f>
        <v>2581878</v>
      </c>
      <c r="AZ29" s="7">
        <v>0</v>
      </c>
      <c r="BB29" s="8">
        <f t="shared" si="6"/>
        <v>76798557</v>
      </c>
      <c r="BD29" s="7">
        <v>649744</v>
      </c>
      <c r="BF29" s="7">
        <v>0</v>
      </c>
      <c r="BH29" s="7">
        <v>0</v>
      </c>
      <c r="BJ29" s="7">
        <v>0</v>
      </c>
      <c r="BL29" s="8">
        <f t="shared" si="5"/>
        <v>77448301</v>
      </c>
      <c r="BN29" s="8">
        <f>'Gov Fd Rv'!AQ29-'Gov Fnd Exp'!BL29</f>
        <v>34266573</v>
      </c>
      <c r="BP29" s="7">
        <v>2572571</v>
      </c>
      <c r="BR29" s="7">
        <v>8542</v>
      </c>
      <c r="BT29" s="7">
        <v>0</v>
      </c>
      <c r="BV29" s="8">
        <f t="shared" si="8"/>
        <v>36847686</v>
      </c>
      <c r="BW29" s="8"/>
      <c r="BX29" s="8">
        <f>BV29-'Gov Fd BS'!AE29</f>
        <v>0</v>
      </c>
      <c r="BY29" s="8"/>
      <c r="CB29" s="101" t="str">
        <f t="shared" si="1"/>
        <v>Austintown Local SD</v>
      </c>
      <c r="CC29" s="101" t="b">
        <f t="shared" si="2"/>
        <v>1</v>
      </c>
      <c r="CD29" s="101" t="str">
        <f>'Gov Fd Rv'!A29</f>
        <v>Austintown Local SD</v>
      </c>
      <c r="CE29" s="8" t="b">
        <f t="shared" si="0"/>
        <v>1</v>
      </c>
      <c r="CG29" s="8" t="str">
        <f t="shared" si="3"/>
        <v>Mahoning</v>
      </c>
      <c r="CH29" s="8" t="b">
        <f t="shared" si="4"/>
        <v>1</v>
      </c>
      <c r="CI29" s="8" t="b">
        <f>C29='Gov Fd Rv'!C29</f>
        <v>1</v>
      </c>
    </row>
    <row r="30" spans="1:87">
      <c r="A30" s="12" t="s">
        <v>392</v>
      </c>
      <c r="B30" s="12"/>
      <c r="C30" s="12" t="s">
        <v>44</v>
      </c>
      <c r="D30" s="12"/>
      <c r="E30" s="12">
        <v>48124</v>
      </c>
      <c r="G30" s="7">
        <v>18704165</v>
      </c>
      <c r="I30" s="7">
        <v>2938897</v>
      </c>
      <c r="K30" s="7">
        <v>211155</v>
      </c>
      <c r="M30" s="7">
        <v>24489</v>
      </c>
      <c r="O30" s="7">
        <v>1424724</v>
      </c>
      <c r="Q30" s="7">
        <v>3772336</v>
      </c>
      <c r="S30" s="7">
        <v>977290</v>
      </c>
      <c r="U30" s="7">
        <v>19913</v>
      </c>
      <c r="W30" s="7">
        <v>3039568</v>
      </c>
      <c r="Y30" s="7">
        <v>1122087</v>
      </c>
      <c r="AA30" s="7">
        <v>140589</v>
      </c>
      <c r="AC30" s="7">
        <v>4905476</v>
      </c>
      <c r="AE30" s="7">
        <v>1576223</v>
      </c>
      <c r="AG30" s="7">
        <v>160103</v>
      </c>
      <c r="AI30" s="7">
        <v>1264265</v>
      </c>
      <c r="AK30" s="7">
        <v>272656</v>
      </c>
      <c r="AL30" s="12" t="s">
        <v>392</v>
      </c>
      <c r="AM30" s="12"/>
      <c r="AN30" s="12" t="s">
        <v>44</v>
      </c>
      <c r="AP30" s="7">
        <v>1492792</v>
      </c>
      <c r="AR30" s="7">
        <v>14427006</v>
      </c>
      <c r="AT30" s="7">
        <v>0</v>
      </c>
      <c r="AV30" s="7">
        <v>16934248</v>
      </c>
      <c r="AX30" s="7">
        <v>3988594</v>
      </c>
      <c r="AZ30" s="7">
        <v>0</v>
      </c>
      <c r="BB30" s="8">
        <f t="shared" si="6"/>
        <v>77396576</v>
      </c>
      <c r="BD30" s="7">
        <v>223545</v>
      </c>
      <c r="BF30" s="7">
        <v>0</v>
      </c>
      <c r="BH30" s="7">
        <v>0</v>
      </c>
      <c r="BJ30" s="7">
        <v>0</v>
      </c>
      <c r="BL30" s="8">
        <f t="shared" si="5"/>
        <v>77620121</v>
      </c>
      <c r="BN30" s="8">
        <f>'Gov Fd Rv'!AQ30-'Gov Fnd Exp'!BL30</f>
        <v>-11527756</v>
      </c>
      <c r="BP30" s="7">
        <v>30896355</v>
      </c>
      <c r="BR30" s="7">
        <v>0</v>
      </c>
      <c r="BT30" s="7">
        <v>0</v>
      </c>
      <c r="BV30" s="8">
        <f t="shared" si="8"/>
        <v>19368599</v>
      </c>
      <c r="BW30" s="8"/>
      <c r="BX30" s="8">
        <f>BV30-'Gov Fd BS'!AE30</f>
        <v>0</v>
      </c>
      <c r="BY30" s="8"/>
      <c r="CB30" s="101" t="str">
        <f t="shared" si="1"/>
        <v>Avon Lake City SD</v>
      </c>
      <c r="CC30" s="101" t="b">
        <f t="shared" si="2"/>
        <v>1</v>
      </c>
      <c r="CD30" s="101" t="str">
        <f>'Gov Fd Rv'!A30</f>
        <v>Avon Lake City SD</v>
      </c>
      <c r="CE30" s="8" t="b">
        <f t="shared" si="0"/>
        <v>1</v>
      </c>
      <c r="CG30" s="8" t="str">
        <f t="shared" si="3"/>
        <v>Lorain</v>
      </c>
      <c r="CH30" s="8" t="b">
        <f t="shared" si="4"/>
        <v>1</v>
      </c>
      <c r="CI30" s="8" t="b">
        <f>C30='Gov Fd Rv'!C30</f>
        <v>1</v>
      </c>
    </row>
    <row r="31" spans="1:87">
      <c r="A31" s="12" t="s">
        <v>393</v>
      </c>
      <c r="B31" s="12"/>
      <c r="C31" s="12" t="s">
        <v>44</v>
      </c>
      <c r="D31" s="12"/>
      <c r="E31" s="12">
        <v>48116</v>
      </c>
      <c r="G31" s="7">
        <v>13710742</v>
      </c>
      <c r="I31" s="7">
        <v>3875279</v>
      </c>
      <c r="K31" s="7">
        <v>170072</v>
      </c>
      <c r="M31" s="7">
        <v>0</v>
      </c>
      <c r="O31" s="7">
        <v>684781</v>
      </c>
      <c r="Q31" s="7">
        <v>1073813</v>
      </c>
      <c r="S31" s="7">
        <v>1716710</v>
      </c>
      <c r="U31" s="7">
        <v>212223</v>
      </c>
      <c r="W31" s="7">
        <v>1860668</v>
      </c>
      <c r="Y31" s="7">
        <v>840115</v>
      </c>
      <c r="AA31" s="7">
        <v>18069</v>
      </c>
      <c r="AC31" s="7">
        <v>2285042</v>
      </c>
      <c r="AE31" s="7">
        <v>1547061</v>
      </c>
      <c r="AG31" s="7">
        <v>269400</v>
      </c>
      <c r="AI31" s="7">
        <v>792033</v>
      </c>
      <c r="AK31" s="7">
        <f>474800+188861</f>
        <v>663661</v>
      </c>
      <c r="AL31" s="12" t="s">
        <v>393</v>
      </c>
      <c r="AM31" s="12"/>
      <c r="AN31" s="12" t="s">
        <v>44</v>
      </c>
      <c r="AP31" s="7">
        <v>793970</v>
      </c>
      <c r="AR31" s="7">
        <v>240658</v>
      </c>
      <c r="AT31" s="7">
        <v>0</v>
      </c>
      <c r="AV31" s="7">
        <v>2990000</v>
      </c>
      <c r="AX31" s="7">
        <v>1541580</v>
      </c>
      <c r="AZ31" s="7">
        <v>0</v>
      </c>
      <c r="BB31" s="8">
        <f t="shared" si="6"/>
        <v>35285877</v>
      </c>
      <c r="BD31" s="7">
        <v>0</v>
      </c>
      <c r="BF31" s="7">
        <v>0</v>
      </c>
      <c r="BH31" s="7">
        <v>0</v>
      </c>
      <c r="BJ31" s="7">
        <v>0</v>
      </c>
      <c r="BL31" s="8">
        <f t="shared" si="5"/>
        <v>35285877</v>
      </c>
      <c r="BN31" s="8">
        <f>'Gov Fd Rv'!AQ31-'Gov Fnd Exp'!BL31</f>
        <v>4622518</v>
      </c>
      <c r="BP31" s="7">
        <v>4243392</v>
      </c>
      <c r="BR31" s="7">
        <v>0</v>
      </c>
      <c r="BT31" s="7">
        <v>0</v>
      </c>
      <c r="BV31" s="8">
        <f t="shared" si="8"/>
        <v>8865910</v>
      </c>
      <c r="BW31" s="8"/>
      <c r="BX31" s="8">
        <f>BV31-'Gov Fd BS'!AE31</f>
        <v>0</v>
      </c>
      <c r="BY31" s="8"/>
      <c r="CB31" s="101" t="str">
        <f t="shared" si="1"/>
        <v>Avon Local SD</v>
      </c>
      <c r="CC31" s="101" t="b">
        <f t="shared" si="2"/>
        <v>1</v>
      </c>
      <c r="CD31" s="101" t="str">
        <f>'Gov Fd Rv'!A31</f>
        <v>Avon Local SD</v>
      </c>
      <c r="CE31" s="8" t="b">
        <f t="shared" si="0"/>
        <v>1</v>
      </c>
      <c r="CG31" s="8" t="str">
        <f t="shared" si="3"/>
        <v>Lorain</v>
      </c>
      <c r="CH31" s="8" t="b">
        <f t="shared" si="4"/>
        <v>1</v>
      </c>
      <c r="CI31" s="8" t="b">
        <f>C31='Gov Fd Rv'!C31</f>
        <v>1</v>
      </c>
    </row>
    <row r="32" spans="1:87">
      <c r="A32" s="12" t="s">
        <v>289</v>
      </c>
      <c r="B32" s="12"/>
      <c r="C32" s="12" t="s">
        <v>22</v>
      </c>
      <c r="D32" s="12"/>
      <c r="E32" s="12">
        <v>46706</v>
      </c>
      <c r="G32" s="7">
        <v>3800321</v>
      </c>
      <c r="I32" s="7">
        <v>558746</v>
      </c>
      <c r="K32" s="7">
        <v>55832</v>
      </c>
      <c r="M32" s="7">
        <v>0</v>
      </c>
      <c r="O32" s="7">
        <v>357730</v>
      </c>
      <c r="Q32" s="7">
        <v>346918</v>
      </c>
      <c r="S32" s="7">
        <v>325505</v>
      </c>
      <c r="U32" s="7">
        <v>28123</v>
      </c>
      <c r="W32" s="7">
        <v>608255</v>
      </c>
      <c r="Y32" s="7">
        <v>292435</v>
      </c>
      <c r="AA32" s="7">
        <v>0</v>
      </c>
      <c r="AC32" s="7">
        <v>638055</v>
      </c>
      <c r="AE32" s="7">
        <v>272809</v>
      </c>
      <c r="AG32" s="7">
        <v>52316</v>
      </c>
      <c r="AI32" s="7">
        <v>346935</v>
      </c>
      <c r="AK32" s="7">
        <v>168254</v>
      </c>
      <c r="AL32" s="12" t="s">
        <v>289</v>
      </c>
      <c r="AM32" s="12"/>
      <c r="AN32" s="12" t="s">
        <v>22</v>
      </c>
      <c r="AP32" s="7">
        <v>450029</v>
      </c>
      <c r="AR32" s="7">
        <v>159401</v>
      </c>
      <c r="AT32" s="7">
        <v>0</v>
      </c>
      <c r="AV32" s="7">
        <v>98138</v>
      </c>
      <c r="AX32" s="7">
        <v>6580</v>
      </c>
      <c r="AZ32" s="7">
        <v>0</v>
      </c>
      <c r="BB32" s="8">
        <f t="shared" si="6"/>
        <v>8566382</v>
      </c>
      <c r="BD32" s="7">
        <v>77362</v>
      </c>
      <c r="BF32" s="7">
        <v>0</v>
      </c>
      <c r="BH32" s="7">
        <v>0</v>
      </c>
      <c r="BJ32" s="7">
        <v>0</v>
      </c>
      <c r="BL32" s="8">
        <f t="shared" si="5"/>
        <v>8643744</v>
      </c>
      <c r="BN32" s="8">
        <f>'Gov Fd Rv'!AQ32-'Gov Fnd Exp'!BL32</f>
        <v>256989</v>
      </c>
      <c r="BP32" s="7">
        <v>3197995</v>
      </c>
      <c r="BR32" s="7">
        <v>-1605</v>
      </c>
      <c r="BT32" s="7">
        <v>0</v>
      </c>
      <c r="BV32" s="8">
        <f t="shared" si="8"/>
        <v>3453379</v>
      </c>
      <c r="BW32" s="8"/>
      <c r="BX32" s="8">
        <f>BV32-'Gov Fd BS'!AE32</f>
        <v>0</v>
      </c>
      <c r="BY32" s="8"/>
      <c r="CB32" s="101" t="str">
        <f t="shared" si="1"/>
        <v>Ayersville Local SD</v>
      </c>
      <c r="CC32" s="101" t="b">
        <f t="shared" si="2"/>
        <v>1</v>
      </c>
      <c r="CD32" s="101" t="str">
        <f>'Gov Fd Rv'!A32</f>
        <v>Ayersville Local SD</v>
      </c>
      <c r="CE32" s="8" t="b">
        <f t="shared" si="0"/>
        <v>1</v>
      </c>
      <c r="CG32" s="8" t="str">
        <f t="shared" si="3"/>
        <v>Defiance</v>
      </c>
      <c r="CH32" s="8" t="b">
        <f t="shared" si="4"/>
        <v>1</v>
      </c>
      <c r="CI32" s="8" t="b">
        <f>C32='Gov Fd Rv'!C32</f>
        <v>1</v>
      </c>
    </row>
    <row r="33" spans="1:87">
      <c r="A33" s="12" t="s">
        <v>523</v>
      </c>
      <c r="B33" s="12"/>
      <c r="C33" s="12" t="s">
        <v>63</v>
      </c>
      <c r="D33" s="12"/>
      <c r="E33" s="12">
        <v>43539</v>
      </c>
      <c r="G33" s="7">
        <v>17895614</v>
      </c>
      <c r="I33" s="7">
        <v>6529850</v>
      </c>
      <c r="K33" s="7">
        <v>1324904</v>
      </c>
      <c r="M33" s="7">
        <v>0</v>
      </c>
      <c r="O33" s="7">
        <v>4937558</v>
      </c>
      <c r="Q33" s="7">
        <v>2308662</v>
      </c>
      <c r="S33" s="7">
        <v>2480516</v>
      </c>
      <c r="U33" s="7">
        <v>29089</v>
      </c>
      <c r="W33" s="7">
        <v>3378691</v>
      </c>
      <c r="Y33" s="7">
        <v>656924</v>
      </c>
      <c r="AA33" s="7">
        <v>379753</v>
      </c>
      <c r="AC33" s="7">
        <v>3819550</v>
      </c>
      <c r="AE33" s="7">
        <v>1295446</v>
      </c>
      <c r="AG33" s="7">
        <v>140497</v>
      </c>
      <c r="AI33" s="7">
        <v>2034138</v>
      </c>
      <c r="AK33" s="7">
        <v>277689</v>
      </c>
      <c r="AL33" s="12" t="s">
        <v>523</v>
      </c>
      <c r="AM33" s="12"/>
      <c r="AN33" s="12" t="s">
        <v>63</v>
      </c>
      <c r="AP33" s="7">
        <v>1718170</v>
      </c>
      <c r="AR33" s="7">
        <v>27733374</v>
      </c>
      <c r="AT33" s="7">
        <v>0</v>
      </c>
      <c r="AV33" s="7">
        <v>2070000</v>
      </c>
      <c r="AX33" s="7">
        <v>2446530</v>
      </c>
      <c r="AZ33" s="7">
        <v>0</v>
      </c>
      <c r="BB33" s="8">
        <f t="shared" ref="BB33:BB49" si="9">SUM(G33:AZ33)</f>
        <v>81456955</v>
      </c>
      <c r="BD33" s="7">
        <v>395140</v>
      </c>
      <c r="BF33" s="7">
        <v>0</v>
      </c>
      <c r="BH33" s="7">
        <v>0</v>
      </c>
      <c r="BJ33" s="7">
        <v>0</v>
      </c>
      <c r="BL33" s="8">
        <f>BB33+BD33+BJ33</f>
        <v>81852095</v>
      </c>
      <c r="BN33" s="8">
        <f>'Gov Fd Rv'!AQ33-'Gov Fnd Exp'!BL33</f>
        <v>-7994614</v>
      </c>
      <c r="BP33" s="7">
        <v>46888432</v>
      </c>
      <c r="BR33" s="7">
        <v>0</v>
      </c>
      <c r="BT33" s="7">
        <v>0</v>
      </c>
      <c r="BV33" s="8">
        <f t="shared" si="8"/>
        <v>38893818</v>
      </c>
      <c r="BW33" s="8"/>
      <c r="BX33" s="8">
        <f>BV33-'Gov Fd BS'!AE33</f>
        <v>0</v>
      </c>
      <c r="BY33" s="8"/>
      <c r="CB33" s="101" t="str">
        <f t="shared" si="1"/>
        <v>Barberton City SD</v>
      </c>
      <c r="CC33" s="101" t="b">
        <f t="shared" si="2"/>
        <v>1</v>
      </c>
      <c r="CD33" s="101" t="str">
        <f>'Gov Fd Rv'!A33</f>
        <v>Barberton City SD</v>
      </c>
      <c r="CE33" s="8" t="b">
        <f t="shared" si="0"/>
        <v>1</v>
      </c>
      <c r="CG33" s="8" t="str">
        <f t="shared" si="3"/>
        <v>Summit</v>
      </c>
      <c r="CH33" s="8" t="b">
        <f t="shared" si="4"/>
        <v>1</v>
      </c>
      <c r="CI33" s="8" t="b">
        <f>C33='Gov Fd Rv'!C33</f>
        <v>1</v>
      </c>
    </row>
    <row r="34" spans="1:87">
      <c r="A34" s="12" t="s">
        <v>859</v>
      </c>
      <c r="B34" s="12"/>
      <c r="C34" s="12" t="s">
        <v>15</v>
      </c>
      <c r="D34" s="12"/>
      <c r="E34" s="12"/>
      <c r="G34" s="7">
        <v>4933102</v>
      </c>
      <c r="I34" s="7">
        <v>1550565</v>
      </c>
      <c r="K34" s="7">
        <v>155924</v>
      </c>
      <c r="M34" s="7">
        <v>0</v>
      </c>
      <c r="O34" s="7">
        <v>236629</v>
      </c>
      <c r="Q34" s="7">
        <v>605125</v>
      </c>
      <c r="S34" s="7">
        <v>292626</v>
      </c>
      <c r="U34" s="7">
        <v>146752</v>
      </c>
      <c r="W34" s="7">
        <v>906388</v>
      </c>
      <c r="Y34" s="7">
        <v>375680</v>
      </c>
      <c r="AA34" s="7">
        <v>38576</v>
      </c>
      <c r="AC34" s="7">
        <v>1142033</v>
      </c>
      <c r="AE34" s="7">
        <v>505642</v>
      </c>
      <c r="AG34" s="7">
        <v>172420</v>
      </c>
      <c r="AI34" s="7">
        <v>332372</v>
      </c>
      <c r="AK34" s="7">
        <v>36044</v>
      </c>
      <c r="AL34" s="12" t="s">
        <v>859</v>
      </c>
      <c r="AM34" s="12"/>
      <c r="AN34" s="12" t="s">
        <v>15</v>
      </c>
      <c r="AP34" s="7">
        <v>197468</v>
      </c>
      <c r="AR34" s="7">
        <v>9108</v>
      </c>
      <c r="AT34" s="7">
        <v>0</v>
      </c>
      <c r="AV34" s="7">
        <v>215540</v>
      </c>
      <c r="AX34" s="7">
        <v>126971</v>
      </c>
      <c r="AZ34" s="7">
        <v>0</v>
      </c>
      <c r="BB34" s="8">
        <f t="shared" si="9"/>
        <v>11978965</v>
      </c>
      <c r="BD34" s="7">
        <v>1889541</v>
      </c>
      <c r="BF34" s="7">
        <v>0</v>
      </c>
      <c r="BH34" s="7">
        <v>0</v>
      </c>
      <c r="BJ34" s="7">
        <v>0</v>
      </c>
      <c r="BL34" s="8">
        <f t="shared" si="5"/>
        <v>13868506</v>
      </c>
      <c r="BN34" s="8">
        <f>'Gov Fd Rv'!AQ34-'Gov Fnd Exp'!BL34</f>
        <v>138495</v>
      </c>
      <c r="BP34" s="7">
        <v>2840202</v>
      </c>
      <c r="BR34" s="7">
        <v>0</v>
      </c>
      <c r="BT34" s="7">
        <v>0</v>
      </c>
      <c r="BV34" s="8">
        <f t="shared" si="8"/>
        <v>2978697</v>
      </c>
      <c r="BW34" s="8"/>
      <c r="BX34" s="8">
        <f>BV34-'Gov Fd BS'!AE34</f>
        <v>0</v>
      </c>
      <c r="BY34" s="8"/>
      <c r="CB34" s="101" t="str">
        <f t="shared" si="1"/>
        <v>Barnesville Exempted Village SD</v>
      </c>
      <c r="CC34" s="101" t="b">
        <f t="shared" si="2"/>
        <v>1</v>
      </c>
      <c r="CD34" s="101" t="str">
        <f>'Gov Fd Rv'!A34</f>
        <v>Barnesville Exempted Village SD</v>
      </c>
      <c r="CE34" s="8" t="b">
        <f t="shared" si="0"/>
        <v>1</v>
      </c>
      <c r="CG34" s="8" t="str">
        <f t="shared" si="3"/>
        <v>Belmont</v>
      </c>
      <c r="CH34" s="8" t="b">
        <f t="shared" si="4"/>
        <v>1</v>
      </c>
      <c r="CI34" s="8" t="b">
        <f>C34='Gov Fd Rv'!C34</f>
        <v>1</v>
      </c>
    </row>
    <row r="35" spans="1:87">
      <c r="A35" s="12" t="s">
        <v>242</v>
      </c>
      <c r="B35" s="12"/>
      <c r="C35" s="12" t="s">
        <v>113</v>
      </c>
      <c r="D35" s="12"/>
      <c r="E35" s="12">
        <v>46300</v>
      </c>
      <c r="G35" s="7">
        <v>8434851</v>
      </c>
      <c r="I35" s="7">
        <v>4517457</v>
      </c>
      <c r="K35" s="7">
        <v>0</v>
      </c>
      <c r="M35" s="7">
        <v>0</v>
      </c>
      <c r="O35" s="7">
        <v>92956</v>
      </c>
      <c r="Q35" s="7">
        <v>577480</v>
      </c>
      <c r="S35" s="7">
        <v>404762</v>
      </c>
      <c r="U35" s="7">
        <v>149184</v>
      </c>
      <c r="W35" s="7">
        <v>1370608</v>
      </c>
      <c r="Y35" s="7">
        <v>509427</v>
      </c>
      <c r="AA35" s="7">
        <v>0</v>
      </c>
      <c r="AC35" s="7">
        <v>1278109</v>
      </c>
      <c r="AE35" s="7">
        <v>1364182</v>
      </c>
      <c r="AG35" s="7">
        <v>11134</v>
      </c>
      <c r="AI35" s="7">
        <v>0</v>
      </c>
      <c r="AK35" s="7">
        <v>0</v>
      </c>
      <c r="AL35" s="12" t="s">
        <v>242</v>
      </c>
      <c r="AM35" s="12"/>
      <c r="AN35" s="12" t="s">
        <v>113</v>
      </c>
      <c r="AP35" s="7">
        <v>441732</v>
      </c>
      <c r="AR35" s="7">
        <v>100788</v>
      </c>
      <c r="AT35" s="7">
        <v>0</v>
      </c>
      <c r="AV35" s="7">
        <v>132968</v>
      </c>
      <c r="AX35" s="7">
        <v>637648</v>
      </c>
      <c r="AZ35" s="7">
        <v>0</v>
      </c>
      <c r="BB35" s="8">
        <f t="shared" si="9"/>
        <v>20023286</v>
      </c>
      <c r="BD35" s="7">
        <v>62860</v>
      </c>
      <c r="BF35" s="7">
        <v>0</v>
      </c>
      <c r="BH35" s="7">
        <v>0</v>
      </c>
      <c r="BJ35" s="7">
        <v>0</v>
      </c>
      <c r="BL35" s="8">
        <f t="shared" si="5"/>
        <v>20086146</v>
      </c>
      <c r="BN35" s="8">
        <f>'Gov Fd Rv'!AQ35-'Gov Fnd Exp'!BL35</f>
        <v>-198082</v>
      </c>
      <c r="BP35" s="7">
        <v>2265550</v>
      </c>
      <c r="BR35" s="7">
        <v>0</v>
      </c>
      <c r="BT35" s="7">
        <v>0</v>
      </c>
      <c r="BV35" s="8">
        <f t="shared" si="8"/>
        <v>2067468</v>
      </c>
      <c r="BW35" s="8"/>
      <c r="BX35" s="8">
        <f>BV35-'Gov Fd BS'!AE35</f>
        <v>0</v>
      </c>
      <c r="BY35" s="8"/>
      <c r="CB35" s="101" t="str">
        <f t="shared" si="1"/>
        <v>Batavia Local SD</v>
      </c>
      <c r="CC35" s="101" t="b">
        <f t="shared" si="2"/>
        <v>1</v>
      </c>
      <c r="CD35" s="101" t="str">
        <f>'Gov Fd Rv'!A35</f>
        <v>Batavia Local SD</v>
      </c>
      <c r="CE35" s="8" t="b">
        <f t="shared" si="0"/>
        <v>1</v>
      </c>
      <c r="CG35" s="8" t="str">
        <f t="shared" si="3"/>
        <v>Clermont</v>
      </c>
      <c r="CH35" s="8" t="b">
        <f t="shared" si="4"/>
        <v>1</v>
      </c>
      <c r="CI35" s="8" t="b">
        <f>C35='Gov Fd Rv'!C35</f>
        <v>1</v>
      </c>
    </row>
    <row r="36" spans="1:87" hidden="1">
      <c r="A36" s="12" t="s">
        <v>703</v>
      </c>
      <c r="B36" s="12"/>
      <c r="C36" s="12" t="s">
        <v>10</v>
      </c>
      <c r="D36" s="12"/>
      <c r="E36" s="12">
        <v>45765</v>
      </c>
      <c r="AL36" s="12" t="s">
        <v>703</v>
      </c>
      <c r="AM36" s="12"/>
      <c r="AN36" s="12" t="s">
        <v>10</v>
      </c>
      <c r="BB36" s="8">
        <f t="shared" si="9"/>
        <v>0</v>
      </c>
      <c r="BF36" s="7">
        <v>0</v>
      </c>
      <c r="BH36" s="7">
        <v>0</v>
      </c>
      <c r="BL36" s="8">
        <f t="shared" si="5"/>
        <v>0</v>
      </c>
      <c r="BN36" s="8">
        <f>'Gov Fd Rv'!AQ36-'Gov Fnd Exp'!BL36</f>
        <v>0</v>
      </c>
      <c r="BT36" s="7">
        <v>0</v>
      </c>
      <c r="BV36" s="8">
        <f t="shared" si="8"/>
        <v>0</v>
      </c>
      <c r="BW36" s="8"/>
      <c r="BX36" s="8">
        <f>BV36-'Gov Fd BS'!AE36</f>
        <v>0</v>
      </c>
      <c r="BY36" s="8"/>
      <c r="BZ36" s="7" t="s">
        <v>778</v>
      </c>
      <c r="CB36" s="101" t="str">
        <f t="shared" si="1"/>
        <v>Bath Local SD (CASH)</v>
      </c>
      <c r="CC36" s="101" t="b">
        <f t="shared" si="2"/>
        <v>1</v>
      </c>
      <c r="CD36" s="101" t="str">
        <f>'Gov Fd Rv'!A36</f>
        <v>Bath Local SD (CASH)</v>
      </c>
      <c r="CE36" s="8" t="b">
        <f t="shared" si="0"/>
        <v>1</v>
      </c>
      <c r="CG36" s="8" t="str">
        <f t="shared" si="3"/>
        <v>Allen</v>
      </c>
      <c r="CH36" s="8" t="b">
        <f t="shared" si="4"/>
        <v>1</v>
      </c>
      <c r="CI36" s="8" t="b">
        <f>C36='Gov Fd Rv'!C36</f>
        <v>1</v>
      </c>
    </row>
    <row r="37" spans="1:87">
      <c r="A37" s="12" t="s">
        <v>661</v>
      </c>
      <c r="B37" s="12"/>
      <c r="C37" s="12" t="s">
        <v>20</v>
      </c>
      <c r="D37" s="12"/>
      <c r="E37" s="12">
        <v>43547</v>
      </c>
      <c r="G37" s="7">
        <v>13003814</v>
      </c>
      <c r="I37" s="7">
        <v>2171389</v>
      </c>
      <c r="K37" s="7">
        <v>334886</v>
      </c>
      <c r="M37" s="7">
        <v>0</v>
      </c>
      <c r="O37" s="7">
        <v>873032</v>
      </c>
      <c r="Q37" s="7">
        <v>2828527</v>
      </c>
      <c r="S37" s="7">
        <v>880712</v>
      </c>
      <c r="U37" s="7">
        <v>27524</v>
      </c>
      <c r="W37" s="7">
        <v>2350680</v>
      </c>
      <c r="Y37" s="7">
        <v>757851</v>
      </c>
      <c r="AA37" s="7">
        <v>384707</v>
      </c>
      <c r="AC37" s="7">
        <v>2750240</v>
      </c>
      <c r="AE37" s="7">
        <v>1090750</v>
      </c>
      <c r="AG37" s="7">
        <v>450544</v>
      </c>
      <c r="AI37" s="7">
        <v>788484</v>
      </c>
      <c r="AK37" s="7">
        <f>599872+846609</f>
        <v>1446481</v>
      </c>
      <c r="AL37" s="12" t="s">
        <v>661</v>
      </c>
      <c r="AM37" s="12"/>
      <c r="AN37" s="12" t="s">
        <v>20</v>
      </c>
      <c r="AP37" s="7">
        <f>344859+789432</f>
        <v>1134291</v>
      </c>
      <c r="AR37" s="7">
        <v>236033</v>
      </c>
      <c r="AT37" s="7">
        <v>0</v>
      </c>
      <c r="AV37" s="7">
        <v>578064</v>
      </c>
      <c r="AX37" s="7">
        <v>1360569</v>
      </c>
      <c r="AZ37" s="7">
        <v>0</v>
      </c>
      <c r="BB37" s="8">
        <f t="shared" si="9"/>
        <v>33448578</v>
      </c>
      <c r="BD37" s="7">
        <v>92231</v>
      </c>
      <c r="BF37" s="7">
        <v>0</v>
      </c>
      <c r="BH37" s="7">
        <v>0</v>
      </c>
      <c r="BJ37" s="7">
        <v>0</v>
      </c>
      <c r="BL37" s="8">
        <f t="shared" si="5"/>
        <v>33540809</v>
      </c>
      <c r="BN37" s="8">
        <f>'Gov Fd Rv'!AQ37-'Gov Fnd Exp'!BL37</f>
        <v>1563570</v>
      </c>
      <c r="BP37" s="7">
        <v>8942574</v>
      </c>
      <c r="BR37" s="7">
        <v>0</v>
      </c>
      <c r="BT37" s="7">
        <v>0</v>
      </c>
      <c r="BV37" s="8">
        <f t="shared" si="8"/>
        <v>10506144</v>
      </c>
      <c r="BW37" s="8"/>
      <c r="BX37" s="8">
        <f>BV37-'Gov Fd BS'!AE37</f>
        <v>0</v>
      </c>
      <c r="BY37" s="8"/>
      <c r="CB37" s="101" t="str">
        <f t="shared" si="1"/>
        <v xml:space="preserve">Bay Village City SD </v>
      </c>
      <c r="CC37" s="101" t="b">
        <f t="shared" si="2"/>
        <v>1</v>
      </c>
      <c r="CD37" s="101" t="str">
        <f>'Gov Fd Rv'!A37</f>
        <v xml:space="preserve">Bay Village City SD </v>
      </c>
      <c r="CE37" s="8" t="b">
        <f t="shared" si="0"/>
        <v>1</v>
      </c>
      <c r="CG37" s="8" t="str">
        <f t="shared" si="3"/>
        <v>Cuyahoga</v>
      </c>
      <c r="CH37" s="8" t="b">
        <f t="shared" si="4"/>
        <v>1</v>
      </c>
      <c r="CI37" s="8" t="b">
        <f>C37='Gov Fd Rv'!C37</f>
        <v>1</v>
      </c>
    </row>
    <row r="38" spans="1:87">
      <c r="A38" s="12" t="s">
        <v>267</v>
      </c>
      <c r="B38" s="12"/>
      <c r="C38" s="12" t="s">
        <v>20</v>
      </c>
      <c r="D38" s="12"/>
      <c r="E38" s="12">
        <v>43554</v>
      </c>
      <c r="G38" s="7">
        <v>10962244</v>
      </c>
      <c r="I38" s="7">
        <v>6402388</v>
      </c>
      <c r="K38" s="7">
        <v>1495593</v>
      </c>
      <c r="M38" s="7">
        <v>170549</v>
      </c>
      <c r="O38" s="7">
        <v>128063</v>
      </c>
      <c r="Q38" s="7">
        <v>2488406</v>
      </c>
      <c r="S38" s="7">
        <v>1245680</v>
      </c>
      <c r="U38" s="7">
        <v>543728</v>
      </c>
      <c r="W38" s="7">
        <v>2357983</v>
      </c>
      <c r="Y38" s="7">
        <v>965920</v>
      </c>
      <c r="AA38" s="7">
        <v>456991</v>
      </c>
      <c r="AC38" s="7">
        <v>3228836</v>
      </c>
      <c r="AE38" s="7">
        <v>2256616</v>
      </c>
      <c r="AG38" s="7">
        <v>1317613</v>
      </c>
      <c r="AI38" s="7">
        <v>606356</v>
      </c>
      <c r="AK38" s="7">
        <v>978219</v>
      </c>
      <c r="AL38" s="12" t="s">
        <v>267</v>
      </c>
      <c r="AM38" s="12"/>
      <c r="AN38" s="12" t="s">
        <v>20</v>
      </c>
      <c r="AP38" s="7">
        <v>968684</v>
      </c>
      <c r="AR38" s="7">
        <v>3304901</v>
      </c>
      <c r="AT38" s="7">
        <v>0</v>
      </c>
      <c r="AV38" s="7">
        <f>2060000+292900</f>
        <v>2352900</v>
      </c>
      <c r="AX38" s="7">
        <v>1799918</v>
      </c>
      <c r="AZ38" s="7">
        <v>0</v>
      </c>
      <c r="BB38" s="8">
        <f t="shared" si="9"/>
        <v>44031588</v>
      </c>
      <c r="BD38" s="7">
        <v>243024</v>
      </c>
      <c r="BF38" s="7">
        <v>0</v>
      </c>
      <c r="BH38" s="7">
        <v>0</v>
      </c>
      <c r="BJ38" s="7">
        <v>0</v>
      </c>
      <c r="BL38" s="8">
        <f t="shared" si="5"/>
        <v>44274612</v>
      </c>
      <c r="BN38" s="8">
        <f>'Gov Fd Rv'!AQ38-'Gov Fnd Exp'!BL38</f>
        <v>28519736</v>
      </c>
      <c r="BP38" s="7">
        <v>26420352</v>
      </c>
      <c r="BR38" s="7">
        <v>0</v>
      </c>
      <c r="BT38" s="7">
        <v>0</v>
      </c>
      <c r="BV38" s="8">
        <f t="shared" si="8"/>
        <v>54940088</v>
      </c>
      <c r="BW38" s="8"/>
      <c r="BX38" s="8">
        <f>BV38-'Gov Fd BS'!AE38</f>
        <v>0</v>
      </c>
      <c r="BY38" s="8"/>
      <c r="CB38" s="101" t="str">
        <f t="shared" si="1"/>
        <v>Beachwood City SD</v>
      </c>
      <c r="CC38" s="101" t="b">
        <f t="shared" si="2"/>
        <v>1</v>
      </c>
      <c r="CD38" s="101" t="str">
        <f>'Gov Fd Rv'!A38</f>
        <v>Beachwood City SD</v>
      </c>
      <c r="CE38" s="8" t="b">
        <f t="shared" si="0"/>
        <v>1</v>
      </c>
      <c r="CG38" s="8" t="str">
        <f t="shared" si="3"/>
        <v>Cuyahoga</v>
      </c>
      <c r="CH38" s="8" t="b">
        <f t="shared" si="4"/>
        <v>1</v>
      </c>
      <c r="CI38" s="8" t="b">
        <f>C38='Gov Fd Rv'!C38</f>
        <v>1</v>
      </c>
    </row>
    <row r="39" spans="1:87">
      <c r="A39" s="12" t="s">
        <v>252</v>
      </c>
      <c r="B39" s="12"/>
      <c r="C39" s="12" t="s">
        <v>112</v>
      </c>
      <c r="D39" s="12"/>
      <c r="E39" s="12">
        <v>46425</v>
      </c>
      <c r="G39" s="7">
        <v>10349858</v>
      </c>
      <c r="I39" s="7">
        <v>2142668</v>
      </c>
      <c r="K39" s="7">
        <v>8441</v>
      </c>
      <c r="M39" s="7">
        <v>0</v>
      </c>
      <c r="O39" s="7">
        <f>175+7151</f>
        <v>7326</v>
      </c>
      <c r="Q39" s="7">
        <v>588070</v>
      </c>
      <c r="S39" s="7">
        <v>665936</v>
      </c>
      <c r="U39" s="7">
        <v>40780</v>
      </c>
      <c r="W39" s="7">
        <v>1700602</v>
      </c>
      <c r="Y39" s="7">
        <v>429153</v>
      </c>
      <c r="AA39" s="7">
        <v>0</v>
      </c>
      <c r="AC39" s="7">
        <v>1513493</v>
      </c>
      <c r="AE39" s="7">
        <v>1728367</v>
      </c>
      <c r="AG39" s="7">
        <v>13717</v>
      </c>
      <c r="AI39" s="7">
        <v>0</v>
      </c>
      <c r="AK39" s="7">
        <v>846263</v>
      </c>
      <c r="AL39" s="12" t="s">
        <v>252</v>
      </c>
      <c r="AM39" s="12"/>
      <c r="AN39" s="12" t="s">
        <v>112</v>
      </c>
      <c r="AP39" s="7">
        <v>539102</v>
      </c>
      <c r="AR39" s="7">
        <v>0</v>
      </c>
      <c r="AT39" s="7">
        <v>0</v>
      </c>
      <c r="AV39" s="7">
        <v>457677</v>
      </c>
      <c r="AX39" s="7">
        <v>3307</v>
      </c>
      <c r="AZ39" s="7">
        <v>0</v>
      </c>
      <c r="BB39" s="8">
        <f t="shared" si="9"/>
        <v>21034760</v>
      </c>
      <c r="BD39" s="7">
        <v>13785</v>
      </c>
      <c r="BF39" s="7">
        <v>0</v>
      </c>
      <c r="BH39" s="7">
        <v>0</v>
      </c>
      <c r="BJ39" s="7">
        <v>0</v>
      </c>
      <c r="BL39" s="8">
        <f t="shared" si="5"/>
        <v>21048545</v>
      </c>
      <c r="BN39" s="8">
        <f>'Gov Fd Rv'!AQ39-'Gov Fnd Exp'!BL39</f>
        <v>-79174</v>
      </c>
      <c r="BP39" s="7">
        <v>-1008276</v>
      </c>
      <c r="BR39" s="7">
        <v>0</v>
      </c>
      <c r="BT39" s="7">
        <v>0</v>
      </c>
      <c r="BV39" s="8">
        <f t="shared" si="8"/>
        <v>-1087450</v>
      </c>
      <c r="BW39" s="8"/>
      <c r="BX39" s="8">
        <f>BV39-'Gov Fd BS'!AE39</f>
        <v>0</v>
      </c>
      <c r="BY39" s="8"/>
      <c r="CB39" s="101" t="str">
        <f t="shared" si="1"/>
        <v>Beaver Local SD</v>
      </c>
      <c r="CC39" s="101" t="b">
        <f t="shared" si="2"/>
        <v>1</v>
      </c>
      <c r="CD39" s="101" t="str">
        <f>'Gov Fd Rv'!A39</f>
        <v>Beaver Local SD</v>
      </c>
      <c r="CE39" s="8" t="b">
        <f t="shared" si="0"/>
        <v>1</v>
      </c>
      <c r="CG39" s="8" t="str">
        <f t="shared" si="3"/>
        <v>Columbiana</v>
      </c>
      <c r="CH39" s="8" t="b">
        <f t="shared" si="4"/>
        <v>1</v>
      </c>
      <c r="CI39" s="8" t="b">
        <f>C39='Gov Fd Rv'!C39</f>
        <v>1</v>
      </c>
    </row>
    <row r="40" spans="1:87">
      <c r="A40" s="12" t="s">
        <v>325</v>
      </c>
      <c r="B40" s="12"/>
      <c r="C40" s="12" t="s">
        <v>114</v>
      </c>
      <c r="D40" s="12"/>
      <c r="E40" s="12">
        <v>47241</v>
      </c>
      <c r="G40" s="7">
        <v>35034299</v>
      </c>
      <c r="I40" s="7">
        <v>10506941</v>
      </c>
      <c r="K40" s="7">
        <v>354058</v>
      </c>
      <c r="M40" s="7">
        <v>0</v>
      </c>
      <c r="O40" s="7">
        <f>886644+1190219</f>
        <v>2076863</v>
      </c>
      <c r="Q40" s="7">
        <v>5155015</v>
      </c>
      <c r="S40" s="7">
        <v>6177291</v>
      </c>
      <c r="U40" s="7">
        <v>51215</v>
      </c>
      <c r="W40" s="7">
        <v>4676723</v>
      </c>
      <c r="Y40" s="7">
        <v>1740231</v>
      </c>
      <c r="AA40" s="7">
        <v>519206</v>
      </c>
      <c r="AC40" s="7">
        <v>6277819</v>
      </c>
      <c r="AE40" s="7">
        <v>5985280</v>
      </c>
      <c r="AG40" s="7">
        <v>1521368</v>
      </c>
      <c r="AI40" s="7">
        <v>2620082</v>
      </c>
      <c r="AK40" s="7">
        <v>1016169</v>
      </c>
      <c r="AL40" s="12" t="s">
        <v>325</v>
      </c>
      <c r="AM40" s="12"/>
      <c r="AN40" s="12" t="s">
        <v>114</v>
      </c>
      <c r="AP40" s="7">
        <f>466710+1082060+30165</f>
        <v>1578935</v>
      </c>
      <c r="AR40" s="7">
        <f>1235+2712369+3879988+659486+7298915+444671</f>
        <v>14996664</v>
      </c>
      <c r="AT40" s="7">
        <v>0</v>
      </c>
      <c r="AV40" s="7">
        <v>3130000</v>
      </c>
      <c r="AX40" s="7">
        <v>5286979</v>
      </c>
      <c r="AZ40" s="7">
        <v>0</v>
      </c>
      <c r="BB40" s="8">
        <f t="shared" si="9"/>
        <v>108705138</v>
      </c>
      <c r="BD40" s="7">
        <v>0</v>
      </c>
      <c r="BF40" s="7">
        <v>0</v>
      </c>
      <c r="BH40" s="7">
        <v>0</v>
      </c>
      <c r="BJ40" s="7">
        <v>0</v>
      </c>
      <c r="BL40" s="8">
        <f t="shared" si="5"/>
        <v>108705138</v>
      </c>
      <c r="BN40" s="8">
        <f>'Gov Fd Rv'!AQ40-'Gov Fnd Exp'!BL40</f>
        <v>-19047036</v>
      </c>
      <c r="BP40" s="7">
        <v>114674712</v>
      </c>
      <c r="BR40" s="7">
        <v>0</v>
      </c>
      <c r="BT40" s="7">
        <v>0</v>
      </c>
      <c r="BV40" s="8">
        <f t="shared" si="8"/>
        <v>95627676</v>
      </c>
      <c r="BW40" s="8"/>
      <c r="BX40" s="8">
        <f>BV40-'Gov Fd BS'!AE40</f>
        <v>0</v>
      </c>
      <c r="BY40" s="8"/>
      <c r="CB40" s="101" t="str">
        <f t="shared" si="1"/>
        <v>Beavercreek City SD</v>
      </c>
      <c r="CC40" s="101" t="b">
        <f t="shared" si="2"/>
        <v>1</v>
      </c>
      <c r="CD40" s="101" t="str">
        <f>'Gov Fd Rv'!A40</f>
        <v>Beavercreek City SD</v>
      </c>
      <c r="CE40" s="8" t="b">
        <f t="shared" si="0"/>
        <v>1</v>
      </c>
      <c r="CG40" s="8" t="str">
        <f t="shared" si="3"/>
        <v>Greene</v>
      </c>
      <c r="CH40" s="8" t="b">
        <f t="shared" si="4"/>
        <v>1</v>
      </c>
      <c r="CI40" s="8" t="b">
        <f>C40='Gov Fd Rv'!C40</f>
        <v>1</v>
      </c>
    </row>
    <row r="41" spans="1:87">
      <c r="A41" s="12" t="s">
        <v>268</v>
      </c>
      <c r="B41" s="12"/>
      <c r="C41" s="12" t="s">
        <v>20</v>
      </c>
      <c r="D41" s="12"/>
      <c r="E41" s="12">
        <v>43562</v>
      </c>
      <c r="G41" s="7">
        <v>18336536</v>
      </c>
      <c r="I41" s="7">
        <v>5333573</v>
      </c>
      <c r="K41" s="7">
        <v>906800</v>
      </c>
      <c r="M41" s="7">
        <v>0</v>
      </c>
      <c r="O41" s="7">
        <v>50876</v>
      </c>
      <c r="Q41" s="7">
        <v>3027990</v>
      </c>
      <c r="S41" s="7">
        <v>2735415</v>
      </c>
      <c r="U41" s="7">
        <v>85953</v>
      </c>
      <c r="W41" s="7">
        <v>3939104</v>
      </c>
      <c r="Y41" s="7">
        <v>1297089</v>
      </c>
      <c r="AA41" s="7">
        <v>628133</v>
      </c>
      <c r="AC41" s="7">
        <v>6184358</v>
      </c>
      <c r="AE41" s="7">
        <v>3610092</v>
      </c>
      <c r="AG41" s="7">
        <v>329489</v>
      </c>
      <c r="AI41" s="7">
        <v>1704502</v>
      </c>
      <c r="AK41" s="7">
        <v>355463</v>
      </c>
      <c r="AL41" s="12" t="s">
        <v>268</v>
      </c>
      <c r="AM41" s="12"/>
      <c r="AN41" s="12" t="s">
        <v>20</v>
      </c>
      <c r="AP41" s="7">
        <v>735104</v>
      </c>
      <c r="AR41" s="7">
        <v>2306236</v>
      </c>
      <c r="AT41" s="7">
        <v>0</v>
      </c>
      <c r="AV41" s="7">
        <v>1612105</v>
      </c>
      <c r="AX41" s="7">
        <v>221156</v>
      </c>
      <c r="AZ41" s="7">
        <v>0</v>
      </c>
      <c r="BB41" s="8">
        <f t="shared" si="9"/>
        <v>53399974</v>
      </c>
      <c r="BD41" s="7">
        <v>391980</v>
      </c>
      <c r="BF41" s="7">
        <v>0</v>
      </c>
      <c r="BH41" s="7">
        <v>0</v>
      </c>
      <c r="BJ41" s="7">
        <v>0</v>
      </c>
      <c r="BL41" s="8">
        <f t="shared" si="5"/>
        <v>53791954</v>
      </c>
      <c r="BN41" s="8">
        <f>'Gov Fd Rv'!AQ41-'Gov Fnd Exp'!BL41</f>
        <v>2748882</v>
      </c>
      <c r="BP41" s="7">
        <v>17647435</v>
      </c>
      <c r="BR41" s="7">
        <v>0</v>
      </c>
      <c r="BT41" s="7">
        <v>0</v>
      </c>
      <c r="BV41" s="8">
        <f t="shared" si="8"/>
        <v>20396317</v>
      </c>
      <c r="BW41" s="8"/>
      <c r="BX41" s="8">
        <f>BV41-'Gov Fd BS'!AE41</f>
        <v>0</v>
      </c>
      <c r="BY41" s="8"/>
      <c r="CB41" s="101" t="str">
        <f t="shared" si="1"/>
        <v>Bedford City SD</v>
      </c>
      <c r="CC41" s="101" t="b">
        <f t="shared" si="2"/>
        <v>1</v>
      </c>
      <c r="CD41" s="101" t="str">
        <f>'Gov Fd Rv'!A41</f>
        <v>Bedford City SD</v>
      </c>
      <c r="CE41" s="8" t="b">
        <f t="shared" si="0"/>
        <v>1</v>
      </c>
      <c r="CG41" s="8" t="str">
        <f t="shared" si="3"/>
        <v>Cuyahoga</v>
      </c>
      <c r="CH41" s="8" t="b">
        <f t="shared" si="4"/>
        <v>1</v>
      </c>
      <c r="CI41" s="8" t="b">
        <f>C41='Gov Fd Rv'!C41</f>
        <v>1</v>
      </c>
    </row>
    <row r="42" spans="1:87">
      <c r="A42" s="12" t="s">
        <v>216</v>
      </c>
      <c r="B42" s="12"/>
      <c r="C42" s="12" t="s">
        <v>15</v>
      </c>
      <c r="D42" s="12"/>
      <c r="E42" s="12">
        <v>43570</v>
      </c>
      <c r="G42" s="7">
        <v>7697055</v>
      </c>
      <c r="I42" s="7">
        <v>1980782</v>
      </c>
      <c r="K42" s="7">
        <v>2009</v>
      </c>
      <c r="M42" s="7">
        <v>0</v>
      </c>
      <c r="O42" s="7">
        <v>0</v>
      </c>
      <c r="Q42" s="7">
        <v>1399277</v>
      </c>
      <c r="S42" s="7">
        <v>155746</v>
      </c>
      <c r="U42" s="7">
        <v>23725</v>
      </c>
      <c r="W42" s="7">
        <v>1200493</v>
      </c>
      <c r="Y42" s="7">
        <v>406071</v>
      </c>
      <c r="AA42" s="7">
        <v>0</v>
      </c>
      <c r="AC42" s="7">
        <v>1408437</v>
      </c>
      <c r="AE42" s="7">
        <v>1096793</v>
      </c>
      <c r="AG42" s="7">
        <v>0</v>
      </c>
      <c r="AI42" s="7">
        <v>634393</v>
      </c>
      <c r="AK42" s="7">
        <v>146181</v>
      </c>
      <c r="AL42" s="12" t="s">
        <v>216</v>
      </c>
      <c r="AM42" s="12"/>
      <c r="AN42" s="12" t="s">
        <v>15</v>
      </c>
      <c r="AP42" s="7">
        <v>259665</v>
      </c>
      <c r="AR42" s="7">
        <v>136973</v>
      </c>
      <c r="AT42" s="7">
        <v>0</v>
      </c>
      <c r="AV42" s="7">
        <v>228759</v>
      </c>
      <c r="AX42" s="7">
        <v>118413</v>
      </c>
      <c r="AZ42" s="7">
        <v>0</v>
      </c>
      <c r="BB42" s="8">
        <f t="shared" si="9"/>
        <v>16894772</v>
      </c>
      <c r="BD42" s="7">
        <v>0</v>
      </c>
      <c r="BF42" s="7">
        <v>0</v>
      </c>
      <c r="BH42" s="7">
        <v>0</v>
      </c>
      <c r="BJ42" s="7">
        <v>0</v>
      </c>
      <c r="BL42" s="8">
        <f t="shared" si="5"/>
        <v>16894772</v>
      </c>
      <c r="BN42" s="8">
        <f>'Gov Fd Rv'!AQ42-'Gov Fnd Exp'!BL42</f>
        <v>1156761</v>
      </c>
      <c r="BP42" s="7">
        <v>-3087139</v>
      </c>
      <c r="BR42" s="7">
        <v>0</v>
      </c>
      <c r="BT42" s="7">
        <v>0</v>
      </c>
      <c r="BV42" s="8">
        <f t="shared" si="8"/>
        <v>-1930378</v>
      </c>
      <c r="BW42" s="8"/>
      <c r="BX42" s="8">
        <f>BV42-'Gov Fd BS'!AE42</f>
        <v>0</v>
      </c>
      <c r="BY42" s="8"/>
      <c r="CB42" s="101" t="str">
        <f t="shared" si="1"/>
        <v>Bellaire Local SD</v>
      </c>
      <c r="CC42" s="101" t="b">
        <f t="shared" si="2"/>
        <v>1</v>
      </c>
      <c r="CD42" s="101" t="str">
        <f>'Gov Fd Rv'!A42</f>
        <v>Bellaire Local SD</v>
      </c>
      <c r="CE42" s="8" t="b">
        <f t="shared" si="0"/>
        <v>1</v>
      </c>
      <c r="CG42" s="8" t="str">
        <f t="shared" si="3"/>
        <v>Belmont</v>
      </c>
      <c r="CH42" s="8" t="b">
        <f t="shared" si="4"/>
        <v>1</v>
      </c>
      <c r="CI42" s="8" t="b">
        <f>C42='Gov Fd Rv'!C42</f>
        <v>1</v>
      </c>
    </row>
    <row r="43" spans="1:87">
      <c r="A43" s="12" t="s">
        <v>796</v>
      </c>
      <c r="B43" s="12"/>
      <c r="C43" s="12" t="s">
        <v>114</v>
      </c>
      <c r="D43" s="12"/>
      <c r="E43" s="12"/>
      <c r="G43" s="7">
        <v>11206768</v>
      </c>
      <c r="I43" s="7">
        <v>3229056</v>
      </c>
      <c r="K43" s="7">
        <v>11160</v>
      </c>
      <c r="M43" s="7">
        <v>0</v>
      </c>
      <c r="O43" s="7">
        <v>0</v>
      </c>
      <c r="Q43" s="7">
        <v>1290076</v>
      </c>
      <c r="S43" s="7">
        <v>932183</v>
      </c>
      <c r="U43" s="7">
        <v>63976</v>
      </c>
      <c r="W43" s="7">
        <v>1945734</v>
      </c>
      <c r="Y43" s="7">
        <v>844112</v>
      </c>
      <c r="AA43" s="7">
        <v>104669</v>
      </c>
      <c r="AC43" s="7">
        <v>3051332</v>
      </c>
      <c r="AE43" s="7">
        <v>1413779</v>
      </c>
      <c r="AG43" s="7">
        <v>92742</v>
      </c>
      <c r="AI43" s="7">
        <v>0</v>
      </c>
      <c r="AK43" s="7">
        <v>701225</v>
      </c>
      <c r="AL43" s="12" t="s">
        <v>796</v>
      </c>
      <c r="AM43" s="12"/>
      <c r="AN43" s="12" t="s">
        <v>114</v>
      </c>
      <c r="AP43" s="7">
        <v>1162100</v>
      </c>
      <c r="AR43" s="7">
        <v>218819</v>
      </c>
      <c r="AT43" s="7">
        <v>0</v>
      </c>
      <c r="AV43" s="7">
        <v>1549194</v>
      </c>
      <c r="AX43" s="7">
        <v>1936058</v>
      </c>
      <c r="AZ43" s="7">
        <v>0</v>
      </c>
      <c r="BB43" s="8">
        <f t="shared" si="9"/>
        <v>29752983</v>
      </c>
      <c r="BD43" s="7">
        <v>16370</v>
      </c>
      <c r="BF43" s="7">
        <v>0</v>
      </c>
      <c r="BH43" s="7">
        <v>0</v>
      </c>
      <c r="BJ43" s="7">
        <v>0</v>
      </c>
      <c r="BL43" s="8">
        <f t="shared" si="5"/>
        <v>29769353</v>
      </c>
      <c r="BN43" s="8">
        <f>'Gov Fd Rv'!AQ43-'Gov Fnd Exp'!BL43</f>
        <v>1739578</v>
      </c>
      <c r="BP43" s="7">
        <v>356161</v>
      </c>
      <c r="BR43" s="7">
        <v>0</v>
      </c>
      <c r="BT43" s="7">
        <v>0</v>
      </c>
      <c r="BV43" s="8">
        <f t="shared" ref="BV43" si="10">BN43+BP43+BR43+BT43</f>
        <v>2095739</v>
      </c>
      <c r="BW43" s="8"/>
      <c r="BX43" s="8">
        <f>BV43-'Gov Fd BS'!AE43</f>
        <v>0</v>
      </c>
      <c r="BY43" s="8"/>
      <c r="BZ43" s="7" t="s">
        <v>780</v>
      </c>
      <c r="CB43" s="101" t="str">
        <f t="shared" ref="CB43" si="11">A43</f>
        <v>Bellbrook-Sugarcreek Local SD</v>
      </c>
      <c r="CC43" s="101" t="b">
        <f t="shared" si="2"/>
        <v>1</v>
      </c>
      <c r="CD43" s="101" t="str">
        <f>'Gov Fd Rv'!A43</f>
        <v>Bellbrook-Sugarcreek Local SD</v>
      </c>
      <c r="CE43" s="8" t="b">
        <f t="shared" si="0"/>
        <v>1</v>
      </c>
      <c r="CG43" s="8" t="str">
        <f t="shared" si="3"/>
        <v>Greene</v>
      </c>
      <c r="CH43" s="8" t="b">
        <f t="shared" si="4"/>
        <v>1</v>
      </c>
      <c r="CI43" s="8" t="b">
        <f>C43='Gov Fd Rv'!C43</f>
        <v>1</v>
      </c>
    </row>
    <row r="44" spans="1:87">
      <c r="A44" s="12" t="s">
        <v>365</v>
      </c>
      <c r="B44" s="12"/>
      <c r="C44" s="12" t="s">
        <v>37</v>
      </c>
      <c r="D44" s="12"/>
      <c r="E44" s="12">
        <v>43596</v>
      </c>
      <c r="G44" s="7">
        <v>7891137</v>
      </c>
      <c r="I44" s="7">
        <v>3383349</v>
      </c>
      <c r="K44" s="7">
        <v>401418</v>
      </c>
      <c r="M44" s="7">
        <v>0</v>
      </c>
      <c r="O44" s="7">
        <v>1010207</v>
      </c>
      <c r="Q44" s="7">
        <v>1213399</v>
      </c>
      <c r="S44" s="7">
        <v>935864</v>
      </c>
      <c r="U44" s="7">
        <v>21870</v>
      </c>
      <c r="W44" s="7">
        <v>1450283</v>
      </c>
      <c r="Y44" s="7">
        <v>532091</v>
      </c>
      <c r="AA44" s="7">
        <v>12623</v>
      </c>
      <c r="AC44" s="7">
        <v>1818647</v>
      </c>
      <c r="AE44" s="7">
        <v>948875</v>
      </c>
      <c r="AG44" s="7">
        <v>71568</v>
      </c>
      <c r="AI44" s="7">
        <v>799982</v>
      </c>
      <c r="AK44" s="7">
        <v>149801</v>
      </c>
      <c r="AL44" s="12" t="s">
        <v>365</v>
      </c>
      <c r="AM44" s="12"/>
      <c r="AN44" s="12" t="s">
        <v>37</v>
      </c>
      <c r="AP44" s="7">
        <v>691349</v>
      </c>
      <c r="AR44" s="7">
        <f>4754398+22330</f>
        <v>4776728</v>
      </c>
      <c r="AT44" s="7">
        <v>0</v>
      </c>
      <c r="AV44" s="7">
        <v>305398</v>
      </c>
      <c r="AX44" s="7">
        <v>998485</v>
      </c>
      <c r="AZ44" s="7">
        <v>0</v>
      </c>
      <c r="BB44" s="8">
        <f t="shared" si="9"/>
        <v>27413074</v>
      </c>
      <c r="BD44" s="7">
        <v>96137</v>
      </c>
      <c r="BF44" s="7">
        <v>0</v>
      </c>
      <c r="BH44" s="7">
        <v>0</v>
      </c>
      <c r="BJ44" s="7">
        <v>0</v>
      </c>
      <c r="BL44" s="8">
        <f t="shared" si="5"/>
        <v>27509211</v>
      </c>
      <c r="BN44" s="8">
        <f>'Gov Fd Rv'!AQ44-'Gov Fnd Exp'!BL44</f>
        <v>8414611</v>
      </c>
      <c r="BP44" s="7">
        <v>28909776</v>
      </c>
      <c r="BR44" s="7">
        <v>-11943</v>
      </c>
      <c r="BT44" s="7">
        <v>0</v>
      </c>
      <c r="BV44" s="8">
        <f t="shared" si="8"/>
        <v>37312444</v>
      </c>
      <c r="BW44" s="8"/>
      <c r="BX44" s="8">
        <f>BV44-'Gov Fd BS'!AE44</f>
        <v>0</v>
      </c>
      <c r="BY44" s="8"/>
      <c r="CB44" s="101" t="str">
        <f t="shared" si="1"/>
        <v>Bellevue City SD</v>
      </c>
      <c r="CC44" s="101" t="b">
        <f t="shared" si="2"/>
        <v>1</v>
      </c>
      <c r="CD44" s="101" t="str">
        <f>'Gov Fd Rv'!A44</f>
        <v>Bellevue City SD</v>
      </c>
      <c r="CE44" s="8" t="b">
        <f t="shared" si="0"/>
        <v>1</v>
      </c>
      <c r="CG44" s="8" t="str">
        <f t="shared" si="3"/>
        <v>Huron</v>
      </c>
      <c r="CH44" s="8" t="b">
        <f t="shared" si="4"/>
        <v>1</v>
      </c>
      <c r="CI44" s="8" t="b">
        <f>C44='Gov Fd Rv'!C44</f>
        <v>1</v>
      </c>
    </row>
    <row r="45" spans="1:87">
      <c r="A45" s="12" t="s">
        <v>564</v>
      </c>
      <c r="B45" s="12"/>
      <c r="C45" s="12" t="s">
        <v>70</v>
      </c>
      <c r="D45" s="12"/>
      <c r="E45" s="12">
        <v>43604</v>
      </c>
      <c r="G45" s="7">
        <v>3391121</v>
      </c>
      <c r="I45" s="7">
        <v>1837117</v>
      </c>
      <c r="K45" s="7">
        <v>13</v>
      </c>
      <c r="M45" s="7">
        <v>0</v>
      </c>
      <c r="O45" s="7">
        <v>833889</v>
      </c>
      <c r="Q45" s="7">
        <v>1024472</v>
      </c>
      <c r="S45" s="7">
        <v>658423</v>
      </c>
      <c r="U45" s="7">
        <v>62971</v>
      </c>
      <c r="W45" s="7">
        <v>1015587</v>
      </c>
      <c r="Y45" s="7">
        <v>383939</v>
      </c>
      <c r="AA45" s="7">
        <v>1491</v>
      </c>
      <c r="AC45" s="7">
        <v>1021626</v>
      </c>
      <c r="AE45" s="7">
        <v>363996</v>
      </c>
      <c r="AG45" s="7">
        <v>5072</v>
      </c>
      <c r="AI45" s="7">
        <v>448972</v>
      </c>
      <c r="AK45" s="7">
        <v>1095</v>
      </c>
      <c r="AL45" s="12" t="s">
        <v>564</v>
      </c>
      <c r="AM45" s="12"/>
      <c r="AN45" s="12" t="s">
        <v>70</v>
      </c>
      <c r="AP45" s="7">
        <v>261692</v>
      </c>
      <c r="AR45" s="7">
        <v>233556</v>
      </c>
      <c r="AT45" s="7">
        <v>0</v>
      </c>
      <c r="AV45" s="7">
        <v>34000</v>
      </c>
      <c r="AX45" s="7">
        <v>656</v>
      </c>
      <c r="AZ45" s="7">
        <v>0</v>
      </c>
      <c r="BB45" s="8">
        <f t="shared" si="9"/>
        <v>11579688</v>
      </c>
      <c r="BD45" s="7">
        <v>47570</v>
      </c>
      <c r="BF45" s="7">
        <v>0</v>
      </c>
      <c r="BH45" s="7">
        <v>0</v>
      </c>
      <c r="BJ45" s="7">
        <v>0</v>
      </c>
      <c r="BL45" s="8">
        <f t="shared" si="5"/>
        <v>11627258</v>
      </c>
      <c r="BN45" s="8">
        <f>'Gov Fd Rv'!AQ45-'Gov Fnd Exp'!BL45</f>
        <v>118854</v>
      </c>
      <c r="BP45" s="7">
        <v>510885</v>
      </c>
      <c r="BR45" s="7">
        <v>0</v>
      </c>
      <c r="BT45" s="7">
        <v>0</v>
      </c>
      <c r="BV45" s="8">
        <f t="shared" si="8"/>
        <v>629739</v>
      </c>
      <c r="BW45" s="8"/>
      <c r="BX45" s="8">
        <f>BV45-'Gov Fd BS'!AE45</f>
        <v>0</v>
      </c>
      <c r="BY45" s="8"/>
      <c r="CB45" s="101" t="str">
        <f t="shared" si="1"/>
        <v>Belpre City SD</v>
      </c>
      <c r="CC45" s="101" t="b">
        <f t="shared" si="2"/>
        <v>1</v>
      </c>
      <c r="CD45" s="101" t="str">
        <f>'Gov Fd Rv'!A45</f>
        <v>Belpre City SD</v>
      </c>
      <c r="CE45" s="8" t="b">
        <f t="shared" si="0"/>
        <v>1</v>
      </c>
      <c r="CG45" s="8" t="str">
        <f t="shared" si="3"/>
        <v>Washington</v>
      </c>
      <c r="CH45" s="8" t="b">
        <f t="shared" si="4"/>
        <v>1</v>
      </c>
      <c r="CI45" s="8" t="b">
        <f>C45='Gov Fd Rv'!C45</f>
        <v>1</v>
      </c>
    </row>
    <row r="46" spans="1:87">
      <c r="A46" s="12" t="s">
        <v>463</v>
      </c>
      <c r="B46" s="12"/>
      <c r="C46" s="12" t="s">
        <v>53</v>
      </c>
      <c r="D46" s="12"/>
      <c r="E46" s="12">
        <v>48926</v>
      </c>
      <c r="G46" s="7">
        <v>9753950</v>
      </c>
      <c r="I46" s="7">
        <v>1856726</v>
      </c>
      <c r="K46" s="7">
        <v>23576</v>
      </c>
      <c r="M46" s="7">
        <v>17723</v>
      </c>
      <c r="O46" s="7">
        <v>177890</v>
      </c>
      <c r="Q46" s="7">
        <v>1307192</v>
      </c>
      <c r="S46" s="7">
        <v>1376999</v>
      </c>
      <c r="U46" s="7">
        <v>106721</v>
      </c>
      <c r="W46" s="7">
        <v>1822044</v>
      </c>
      <c r="Y46" s="7">
        <v>480940</v>
      </c>
      <c r="AA46" s="7">
        <v>0</v>
      </c>
      <c r="AC46" s="7">
        <v>2512997</v>
      </c>
      <c r="AE46" s="7">
        <v>1159009</v>
      </c>
      <c r="AG46" s="7">
        <v>382865</v>
      </c>
      <c r="AI46" s="7">
        <v>855189</v>
      </c>
      <c r="AK46" s="7">
        <v>236043</v>
      </c>
      <c r="AL46" s="12" t="s">
        <v>463</v>
      </c>
      <c r="AM46" s="12"/>
      <c r="AN46" s="12" t="s">
        <v>53</v>
      </c>
      <c r="AP46" s="7">
        <v>664056</v>
      </c>
      <c r="AR46" s="7">
        <v>528112</v>
      </c>
      <c r="AT46" s="7">
        <v>0</v>
      </c>
      <c r="AV46" s="7">
        <v>0</v>
      </c>
      <c r="AX46" s="7">
        <v>0</v>
      </c>
      <c r="AZ46" s="7">
        <v>0</v>
      </c>
      <c r="BB46" s="8">
        <f t="shared" si="9"/>
        <v>23262032</v>
      </c>
      <c r="BD46" s="7">
        <v>0</v>
      </c>
      <c r="BF46" s="7">
        <v>0</v>
      </c>
      <c r="BH46" s="7">
        <v>0</v>
      </c>
      <c r="BJ46" s="7">
        <v>0</v>
      </c>
      <c r="BL46" s="8">
        <f t="shared" si="5"/>
        <v>23262032</v>
      </c>
      <c r="BN46" s="8">
        <f>'Gov Fd Rv'!AQ46-'Gov Fnd Exp'!BL46</f>
        <v>-1751014</v>
      </c>
      <c r="BP46" s="7">
        <v>5534047</v>
      </c>
      <c r="BR46" s="7">
        <v>0</v>
      </c>
      <c r="BT46" s="7">
        <v>0</v>
      </c>
      <c r="BV46" s="8">
        <f t="shared" si="8"/>
        <v>3783033</v>
      </c>
      <c r="BW46" s="8"/>
      <c r="BX46" s="8">
        <f>BV46-'Gov Fd BS'!AE46</f>
        <v>0</v>
      </c>
      <c r="BY46" s="8"/>
      <c r="CB46" s="101" t="str">
        <f t="shared" si="1"/>
        <v>Benton Carroll Salem Local SD</v>
      </c>
      <c r="CC46" s="101" t="b">
        <f t="shared" si="2"/>
        <v>1</v>
      </c>
      <c r="CD46" s="101" t="str">
        <f>'Gov Fd Rv'!A46</f>
        <v>Benton Carroll Salem Local SD</v>
      </c>
      <c r="CE46" s="8" t="b">
        <f t="shared" si="0"/>
        <v>1</v>
      </c>
      <c r="CG46" s="8" t="str">
        <f t="shared" si="3"/>
        <v>Ottawa</v>
      </c>
      <c r="CH46" s="8" t="b">
        <f t="shared" si="4"/>
        <v>1</v>
      </c>
      <c r="CI46" s="8" t="b">
        <f>C46='Gov Fd Rv'!C46</f>
        <v>1</v>
      </c>
    </row>
    <row r="47" spans="1:87">
      <c r="A47" s="12" t="s">
        <v>269</v>
      </c>
      <c r="B47" s="12"/>
      <c r="C47" s="12" t="s">
        <v>20</v>
      </c>
      <c r="D47" s="12"/>
      <c r="E47" s="12">
        <v>43612</v>
      </c>
      <c r="G47" s="7">
        <v>39077887</v>
      </c>
      <c r="I47" s="7">
        <v>10734786</v>
      </c>
      <c r="K47" s="7">
        <v>910458</v>
      </c>
      <c r="M47" s="7">
        <v>167</v>
      </c>
      <c r="O47" s="7">
        <v>0</v>
      </c>
      <c r="Q47" s="7">
        <v>5743923</v>
      </c>
      <c r="S47" s="7">
        <v>8253865</v>
      </c>
      <c r="U47" s="7">
        <v>40279</v>
      </c>
      <c r="W47" s="7">
        <v>5120714</v>
      </c>
      <c r="Y47" s="7">
        <v>1809713</v>
      </c>
      <c r="AA47" s="7">
        <v>888137</v>
      </c>
      <c r="AC47" s="7">
        <v>8583494</v>
      </c>
      <c r="AE47" s="7">
        <v>4801317</v>
      </c>
      <c r="AG47" s="7">
        <v>3059261</v>
      </c>
      <c r="AI47" s="7">
        <v>0</v>
      </c>
      <c r="AK47" s="7">
        <v>3640184</v>
      </c>
      <c r="AL47" s="12" t="s">
        <v>269</v>
      </c>
      <c r="AM47" s="12"/>
      <c r="AN47" s="12" t="s">
        <v>20</v>
      </c>
      <c r="AP47" s="7">
        <v>1761982</v>
      </c>
      <c r="AR47" s="7">
        <v>14998568</v>
      </c>
      <c r="AT47" s="7">
        <v>0</v>
      </c>
      <c r="AV47" s="7">
        <v>1320000</v>
      </c>
      <c r="AX47" s="7">
        <v>2152031</v>
      </c>
      <c r="AZ47" s="7">
        <v>0</v>
      </c>
      <c r="BB47" s="8">
        <f t="shared" si="9"/>
        <v>112896766</v>
      </c>
      <c r="BD47" s="7">
        <v>1005734</v>
      </c>
      <c r="BF47" s="7">
        <v>0</v>
      </c>
      <c r="BH47" s="7">
        <v>0</v>
      </c>
      <c r="BJ47" s="7">
        <v>0</v>
      </c>
      <c r="BL47" s="8">
        <f t="shared" si="5"/>
        <v>113902500</v>
      </c>
      <c r="BN47" s="8">
        <f>'Gov Fd Rv'!AQ47-'Gov Fnd Exp'!BL47</f>
        <v>-27401681</v>
      </c>
      <c r="BP47" s="7">
        <v>51633170</v>
      </c>
      <c r="BR47" s="7">
        <v>0</v>
      </c>
      <c r="BT47" s="7">
        <v>0</v>
      </c>
      <c r="BV47" s="8">
        <f t="shared" si="8"/>
        <v>24231489</v>
      </c>
      <c r="BW47" s="8"/>
      <c r="BX47" s="8">
        <f>BV47-'Gov Fd BS'!AE47</f>
        <v>0</v>
      </c>
      <c r="BY47" s="8"/>
      <c r="CB47" s="101" t="str">
        <f t="shared" si="1"/>
        <v>Berea City SD</v>
      </c>
      <c r="CC47" s="101" t="b">
        <f t="shared" si="2"/>
        <v>1</v>
      </c>
      <c r="CD47" s="101" t="str">
        <f>'Gov Fd Rv'!A47</f>
        <v>Berea City SD</v>
      </c>
      <c r="CE47" s="8" t="b">
        <f t="shared" si="0"/>
        <v>1</v>
      </c>
      <c r="CG47" s="8" t="str">
        <f t="shared" si="3"/>
        <v>Cuyahoga</v>
      </c>
      <c r="CH47" s="8" t="b">
        <f t="shared" si="4"/>
        <v>1</v>
      </c>
      <c r="CI47" s="8" t="b">
        <f>C47='Gov Fd Rv'!C47</f>
        <v>1</v>
      </c>
    </row>
    <row r="48" spans="1:87">
      <c r="A48" s="12" t="s">
        <v>668</v>
      </c>
      <c r="B48" s="12"/>
      <c r="C48" s="12" t="s">
        <v>30</v>
      </c>
      <c r="D48" s="12"/>
      <c r="E48" s="12">
        <v>47167</v>
      </c>
      <c r="G48" s="7">
        <v>4920559</v>
      </c>
      <c r="I48" s="7">
        <v>1799284</v>
      </c>
      <c r="K48" s="7">
        <v>71458</v>
      </c>
      <c r="M48" s="7">
        <v>0</v>
      </c>
      <c r="O48" s="7">
        <v>191649</v>
      </c>
      <c r="Q48" s="7">
        <v>642890</v>
      </c>
      <c r="S48" s="7">
        <v>453246</v>
      </c>
      <c r="U48" s="7">
        <v>50980</v>
      </c>
      <c r="W48" s="7">
        <v>1195284</v>
      </c>
      <c r="Y48" s="7">
        <v>432910</v>
      </c>
      <c r="AA48" s="7">
        <v>30680</v>
      </c>
      <c r="AC48" s="7">
        <v>1148327</v>
      </c>
      <c r="AE48" s="7">
        <v>1018781</v>
      </c>
      <c r="AG48" s="7">
        <v>0</v>
      </c>
      <c r="AI48" s="7">
        <v>279864</v>
      </c>
      <c r="AK48" s="7">
        <v>0</v>
      </c>
      <c r="AL48" s="12" t="s">
        <v>668</v>
      </c>
      <c r="AM48" s="12"/>
      <c r="AN48" s="12" t="s">
        <v>30</v>
      </c>
      <c r="AP48" s="7">
        <v>364396</v>
      </c>
      <c r="AR48" s="7">
        <v>8300</v>
      </c>
      <c r="AT48" s="7">
        <v>0</v>
      </c>
      <c r="AV48" s="7">
        <v>0</v>
      </c>
      <c r="AX48" s="7">
        <v>0</v>
      </c>
      <c r="AZ48" s="7">
        <v>0</v>
      </c>
      <c r="BB48" s="8">
        <f t="shared" si="9"/>
        <v>12608608</v>
      </c>
      <c r="BD48" s="7">
        <v>250000</v>
      </c>
      <c r="BF48" s="7">
        <v>0</v>
      </c>
      <c r="BH48" s="7">
        <v>0</v>
      </c>
      <c r="BJ48" s="7">
        <v>0</v>
      </c>
      <c r="BL48" s="8">
        <f t="shared" si="5"/>
        <v>12858608</v>
      </c>
      <c r="BN48" s="8">
        <f>'Gov Fd Rv'!AQ48-'Gov Fnd Exp'!BL48</f>
        <v>-452426</v>
      </c>
      <c r="BP48" s="7">
        <v>2788008</v>
      </c>
      <c r="BR48" s="7">
        <v>0</v>
      </c>
      <c r="BT48" s="7">
        <v>0</v>
      </c>
      <c r="BV48" s="8">
        <f t="shared" si="8"/>
        <v>2335582</v>
      </c>
      <c r="BW48" s="8"/>
      <c r="BX48" s="8">
        <f>BV48-'Gov Fd BS'!AE48</f>
        <v>0</v>
      </c>
      <c r="BY48" s="8"/>
      <c r="CB48" s="101" t="str">
        <f t="shared" si="1"/>
        <v xml:space="preserve">Berkshire Local SD </v>
      </c>
      <c r="CC48" s="101" t="b">
        <f t="shared" si="2"/>
        <v>1</v>
      </c>
      <c r="CD48" s="101" t="str">
        <f>'Gov Fd Rv'!A48</f>
        <v xml:space="preserve">Berkshire Local SD </v>
      </c>
      <c r="CE48" s="8" t="b">
        <f t="shared" si="0"/>
        <v>1</v>
      </c>
      <c r="CG48" s="8" t="str">
        <f t="shared" si="3"/>
        <v>Geauga</v>
      </c>
      <c r="CH48" s="8" t="b">
        <f t="shared" si="4"/>
        <v>1</v>
      </c>
      <c r="CI48" s="8" t="b">
        <f>C48='Gov Fd Rv'!C48</f>
        <v>1</v>
      </c>
    </row>
    <row r="49" spans="1:87">
      <c r="A49" s="12" t="s">
        <v>291</v>
      </c>
      <c r="B49" s="12"/>
      <c r="C49" s="12" t="s">
        <v>24</v>
      </c>
      <c r="D49" s="12"/>
      <c r="E49" s="12">
        <v>46789</v>
      </c>
      <c r="G49" s="7">
        <v>6954664</v>
      </c>
      <c r="I49" s="7">
        <v>2423056</v>
      </c>
      <c r="K49" s="7">
        <v>74935</v>
      </c>
      <c r="M49" s="7">
        <v>0</v>
      </c>
      <c r="O49" s="7">
        <v>724572</v>
      </c>
      <c r="Q49" s="7">
        <v>951129</v>
      </c>
      <c r="S49" s="7">
        <v>354311</v>
      </c>
      <c r="U49" s="7">
        <v>46207</v>
      </c>
      <c r="W49" s="7">
        <v>1320703</v>
      </c>
      <c r="Y49" s="7">
        <v>313499</v>
      </c>
      <c r="AA49" s="7">
        <v>0</v>
      </c>
      <c r="AC49" s="7">
        <v>1002256</v>
      </c>
      <c r="AE49" s="7">
        <v>778841</v>
      </c>
      <c r="AG49" s="7">
        <v>151301</v>
      </c>
      <c r="AI49" s="7">
        <v>641860</v>
      </c>
      <c r="AK49" s="7">
        <v>155389</v>
      </c>
      <c r="AL49" s="12" t="s">
        <v>291</v>
      </c>
      <c r="AM49" s="12"/>
      <c r="AN49" s="12" t="s">
        <v>24</v>
      </c>
      <c r="AP49" s="7">
        <v>699092</v>
      </c>
      <c r="AR49" s="7">
        <f>213249+154623</f>
        <v>367872</v>
      </c>
      <c r="AT49" s="7">
        <v>0</v>
      </c>
      <c r="AV49" s="7">
        <v>21790</v>
      </c>
      <c r="AX49" s="7">
        <v>4085</v>
      </c>
      <c r="AZ49" s="7">
        <v>0</v>
      </c>
      <c r="BB49" s="8">
        <f t="shared" si="9"/>
        <v>16985562</v>
      </c>
      <c r="BD49" s="7">
        <v>0</v>
      </c>
      <c r="BF49" s="7">
        <v>0</v>
      </c>
      <c r="BH49" s="7">
        <v>0</v>
      </c>
      <c r="BJ49" s="7">
        <v>0</v>
      </c>
      <c r="BL49" s="8">
        <f t="shared" si="5"/>
        <v>16985562</v>
      </c>
      <c r="BN49" s="8">
        <f>'Gov Fd Rv'!AQ49-'Gov Fnd Exp'!BL49</f>
        <v>642269</v>
      </c>
      <c r="BP49" s="7">
        <v>5240740</v>
      </c>
      <c r="BR49" s="7">
        <v>-795</v>
      </c>
      <c r="BT49" s="7">
        <v>0</v>
      </c>
      <c r="BV49" s="8">
        <f t="shared" si="8"/>
        <v>5882214</v>
      </c>
      <c r="BW49" s="8"/>
      <c r="BX49" s="8">
        <f>BV49-'Gov Fd BS'!AE49</f>
        <v>0</v>
      </c>
      <c r="BY49" s="8"/>
      <c r="CB49" s="101" t="str">
        <f t="shared" si="1"/>
        <v>Berlin-Milan Local SD</v>
      </c>
      <c r="CC49" s="101" t="b">
        <f t="shared" si="2"/>
        <v>1</v>
      </c>
      <c r="CD49" s="101" t="str">
        <f>'Gov Fd Rv'!A49</f>
        <v>Berlin-Milan Local SD</v>
      </c>
      <c r="CE49" s="8" t="b">
        <f t="shared" si="0"/>
        <v>1</v>
      </c>
      <c r="CG49" s="8" t="str">
        <f t="shared" si="3"/>
        <v>Erie</v>
      </c>
      <c r="CH49" s="8" t="b">
        <f t="shared" si="4"/>
        <v>1</v>
      </c>
      <c r="CI49" s="8" t="b">
        <f>C49='Gov Fd Rv'!C49</f>
        <v>1</v>
      </c>
    </row>
    <row r="50" spans="1:87" hidden="1">
      <c r="A50" s="12" t="s">
        <v>905</v>
      </c>
      <c r="B50" s="12"/>
      <c r="C50" s="12" t="s">
        <v>25</v>
      </c>
      <c r="D50" s="12"/>
      <c r="E50" s="12">
        <v>46854</v>
      </c>
      <c r="AL50" s="12" t="s">
        <v>905</v>
      </c>
      <c r="AM50" s="12"/>
      <c r="AN50" s="12" t="s">
        <v>25</v>
      </c>
      <c r="BB50" s="8">
        <f t="shared" ref="BB50:BB82" si="12">SUM(G50:AZ50)</f>
        <v>0</v>
      </c>
      <c r="BF50" s="7">
        <v>0</v>
      </c>
      <c r="BH50" s="7">
        <v>0</v>
      </c>
      <c r="BL50" s="8">
        <f t="shared" si="5"/>
        <v>0</v>
      </c>
      <c r="BN50" s="8">
        <f>'Gov Fd Rv'!AQ50-'Gov Fnd Exp'!BL50</f>
        <v>0</v>
      </c>
      <c r="BT50" s="7">
        <v>0</v>
      </c>
      <c r="BV50" s="8">
        <f t="shared" si="8"/>
        <v>0</v>
      </c>
      <c r="BW50" s="8"/>
      <c r="BX50" s="8">
        <f>BV50-'Gov Fd BS'!AE50</f>
        <v>0</v>
      </c>
      <c r="BY50" s="8"/>
      <c r="BZ50" s="7" t="s">
        <v>903</v>
      </c>
      <c r="CB50" s="101" t="str">
        <f t="shared" si="1"/>
        <v>Berne Union Local SD (CASH)</v>
      </c>
      <c r="CC50" s="101" t="b">
        <f t="shared" si="2"/>
        <v>1</v>
      </c>
      <c r="CD50" s="101" t="str">
        <f>'Gov Fd Rv'!A50</f>
        <v>Berne Union Local SD (CASH)</v>
      </c>
      <c r="CE50" s="8" t="b">
        <f t="shared" si="0"/>
        <v>1</v>
      </c>
      <c r="CG50" s="8" t="str">
        <f t="shared" si="3"/>
        <v>Fairfield</v>
      </c>
      <c r="CH50" s="8" t="b">
        <f t="shared" si="4"/>
        <v>1</v>
      </c>
      <c r="CI50" s="8" t="b">
        <f>C50='Gov Fd Rv'!C50</f>
        <v>1</v>
      </c>
    </row>
    <row r="51" spans="1:87">
      <c r="A51" s="12" t="s">
        <v>436</v>
      </c>
      <c r="B51" s="12"/>
      <c r="C51" s="12" t="s">
        <v>48</v>
      </c>
      <c r="D51" s="12"/>
      <c r="E51" s="12">
        <v>48611</v>
      </c>
      <c r="G51" s="7">
        <v>3570707</v>
      </c>
      <c r="I51" s="7">
        <v>1095462</v>
      </c>
      <c r="K51" s="7">
        <v>0</v>
      </c>
      <c r="M51" s="7">
        <v>0</v>
      </c>
      <c r="O51" s="7">
        <v>485388</v>
      </c>
      <c r="Q51" s="7">
        <v>269780</v>
      </c>
      <c r="S51" s="7">
        <v>271077</v>
      </c>
      <c r="U51" s="7">
        <v>63475</v>
      </c>
      <c r="W51" s="7">
        <v>623683</v>
      </c>
      <c r="Y51" s="7">
        <v>339474</v>
      </c>
      <c r="AA51" s="7">
        <v>58586</v>
      </c>
      <c r="AC51" s="7">
        <v>545667</v>
      </c>
      <c r="AE51" s="7">
        <v>741660</v>
      </c>
      <c r="AG51" s="7">
        <v>197285</v>
      </c>
      <c r="AI51" s="7">
        <v>0</v>
      </c>
      <c r="AK51" s="7">
        <v>687549</v>
      </c>
      <c r="AL51" s="12" t="s">
        <v>436</v>
      </c>
      <c r="AM51" s="12"/>
      <c r="AN51" s="12" t="s">
        <v>48</v>
      </c>
      <c r="AP51" s="7">
        <v>324261</v>
      </c>
      <c r="AR51" s="7">
        <v>0</v>
      </c>
      <c r="AT51" s="7">
        <v>0</v>
      </c>
      <c r="AV51" s="7">
        <v>80000</v>
      </c>
      <c r="AX51" s="7">
        <v>46385</v>
      </c>
      <c r="AZ51" s="7">
        <v>0</v>
      </c>
      <c r="BB51" s="8">
        <f t="shared" si="12"/>
        <v>9400439</v>
      </c>
      <c r="BD51" s="7">
        <v>0</v>
      </c>
      <c r="BF51" s="7">
        <v>0</v>
      </c>
      <c r="BH51" s="7">
        <v>0</v>
      </c>
      <c r="BJ51" s="7">
        <v>0</v>
      </c>
      <c r="BL51" s="8">
        <f t="shared" si="5"/>
        <v>9400439</v>
      </c>
      <c r="BN51" s="8">
        <f>'Gov Fd Rv'!AQ51-'Gov Fnd Exp'!BL51</f>
        <v>208385</v>
      </c>
      <c r="BP51" s="7">
        <v>1076424</v>
      </c>
      <c r="BR51" s="7">
        <v>0</v>
      </c>
      <c r="BT51" s="7">
        <v>0</v>
      </c>
      <c r="BV51" s="8">
        <f t="shared" si="8"/>
        <v>1284809</v>
      </c>
      <c r="BW51" s="8"/>
      <c r="BX51" s="8">
        <f>BV51-'Gov Fd BS'!AE51</f>
        <v>0</v>
      </c>
      <c r="BY51" s="8"/>
      <c r="CB51" s="101" t="str">
        <f t="shared" si="1"/>
        <v>Bethel Local SD</v>
      </c>
      <c r="CC51" s="101" t="b">
        <f t="shared" si="2"/>
        <v>1</v>
      </c>
      <c r="CD51" s="101" t="str">
        <f>'Gov Fd Rv'!A51</f>
        <v>Bethel Local SD</v>
      </c>
      <c r="CE51" s="8" t="b">
        <f t="shared" si="0"/>
        <v>1</v>
      </c>
      <c r="CG51" s="8" t="str">
        <f t="shared" si="3"/>
        <v>Miami</v>
      </c>
      <c r="CH51" s="8" t="b">
        <f t="shared" si="4"/>
        <v>1</v>
      </c>
      <c r="CI51" s="8" t="b">
        <f>C51='Gov Fd Rv'!C51</f>
        <v>1</v>
      </c>
    </row>
    <row r="52" spans="1:87">
      <c r="A52" s="12" t="s">
        <v>243</v>
      </c>
      <c r="B52" s="12"/>
      <c r="C52" s="12" t="s">
        <v>113</v>
      </c>
      <c r="D52" s="12"/>
      <c r="E52" s="12">
        <v>46318</v>
      </c>
      <c r="G52" s="7">
        <v>8263286</v>
      </c>
      <c r="I52" s="7">
        <v>1626345</v>
      </c>
      <c r="K52" s="7">
        <v>143310</v>
      </c>
      <c r="M52" s="7">
        <v>0</v>
      </c>
      <c r="O52" s="7">
        <v>25551</v>
      </c>
      <c r="Q52" s="7">
        <v>623268</v>
      </c>
      <c r="S52" s="7">
        <v>641106</v>
      </c>
      <c r="U52" s="7">
        <v>32126</v>
      </c>
      <c r="W52" s="7">
        <v>1134623</v>
      </c>
      <c r="Y52" s="7">
        <v>420945</v>
      </c>
      <c r="AA52" s="7">
        <v>0</v>
      </c>
      <c r="AC52" s="7">
        <v>1424641</v>
      </c>
      <c r="AE52" s="7">
        <v>791605</v>
      </c>
      <c r="AG52" s="7">
        <v>146165</v>
      </c>
      <c r="AI52" s="7">
        <v>0</v>
      </c>
      <c r="AK52" s="7">
        <v>601915</v>
      </c>
      <c r="AL52" s="12" t="s">
        <v>243</v>
      </c>
      <c r="AM52" s="12"/>
      <c r="AN52" s="12" t="s">
        <v>113</v>
      </c>
      <c r="AP52" s="7">
        <v>384866</v>
      </c>
      <c r="AR52" s="7">
        <v>162779</v>
      </c>
      <c r="AT52" s="7">
        <v>0</v>
      </c>
      <c r="AV52" s="7">
        <v>359401</v>
      </c>
      <c r="AX52" s="7">
        <v>357831</v>
      </c>
      <c r="AZ52" s="7">
        <v>0</v>
      </c>
      <c r="BB52" s="8">
        <f t="shared" si="12"/>
        <v>17139763</v>
      </c>
      <c r="BD52" s="7">
        <v>322240</v>
      </c>
      <c r="BF52" s="7">
        <v>0</v>
      </c>
      <c r="BH52" s="7">
        <v>0</v>
      </c>
      <c r="BJ52" s="7">
        <v>0</v>
      </c>
      <c r="BL52" s="8">
        <f t="shared" si="5"/>
        <v>17462003</v>
      </c>
      <c r="BN52" s="8">
        <f>'Gov Fd Rv'!AQ52-'Gov Fnd Exp'!BL52</f>
        <v>538308</v>
      </c>
      <c r="BP52" s="7">
        <v>3212763</v>
      </c>
      <c r="BR52" s="7">
        <v>0</v>
      </c>
      <c r="BT52" s="7">
        <v>0</v>
      </c>
      <c r="BV52" s="8">
        <f t="shared" si="8"/>
        <v>3751071</v>
      </c>
      <c r="BW52" s="8"/>
      <c r="BX52" s="8">
        <f>BV52-'Gov Fd BS'!AE52</f>
        <v>0</v>
      </c>
      <c r="BY52" s="8"/>
      <c r="CB52" s="101" t="str">
        <f t="shared" si="1"/>
        <v>Bethel-Tate Local SD</v>
      </c>
      <c r="CC52" s="101" t="b">
        <f t="shared" si="2"/>
        <v>1</v>
      </c>
      <c r="CD52" s="101" t="str">
        <f>'Gov Fd Rv'!A52</f>
        <v>Bethel-Tate Local SD</v>
      </c>
      <c r="CE52" s="8" t="b">
        <f t="shared" si="0"/>
        <v>1</v>
      </c>
      <c r="CG52" s="8" t="str">
        <f t="shared" si="3"/>
        <v>Clermont</v>
      </c>
      <c r="CH52" s="8" t="b">
        <f t="shared" si="4"/>
        <v>1</v>
      </c>
      <c r="CI52" s="8" t="b">
        <f>C52='Gov Fd Rv'!C52</f>
        <v>1</v>
      </c>
    </row>
    <row r="53" spans="1:87" hidden="1">
      <c r="A53" s="12" t="s">
        <v>705</v>
      </c>
      <c r="B53" s="12"/>
      <c r="C53" s="12" t="s">
        <v>60</v>
      </c>
      <c r="D53" s="12"/>
      <c r="E53" s="12">
        <v>49692</v>
      </c>
      <c r="AL53" s="12" t="s">
        <v>705</v>
      </c>
      <c r="AM53" s="12"/>
      <c r="AN53" s="12" t="s">
        <v>60</v>
      </c>
      <c r="BB53" s="8">
        <f t="shared" si="12"/>
        <v>0</v>
      </c>
      <c r="BF53" s="7">
        <v>0</v>
      </c>
      <c r="BH53" s="7">
        <v>0</v>
      </c>
      <c r="BL53" s="8">
        <f t="shared" si="5"/>
        <v>0</v>
      </c>
      <c r="BN53" s="8">
        <f>'Gov Fd Rv'!AQ53-'Gov Fnd Exp'!BL53</f>
        <v>0</v>
      </c>
      <c r="BT53" s="7">
        <v>0</v>
      </c>
      <c r="BV53" s="8">
        <f t="shared" si="8"/>
        <v>0</v>
      </c>
      <c r="BW53" s="8"/>
      <c r="BX53" s="8">
        <f>BV53-'Gov Fd BS'!AE53</f>
        <v>0</v>
      </c>
      <c r="BY53" s="8"/>
      <c r="BZ53" s="7" t="s">
        <v>778</v>
      </c>
      <c r="CB53" s="101" t="str">
        <f t="shared" si="1"/>
        <v>Bettsville Local SD (CASH)</v>
      </c>
      <c r="CC53" s="101" t="b">
        <f t="shared" si="2"/>
        <v>1</v>
      </c>
      <c r="CD53" s="101" t="str">
        <f>'Gov Fd Rv'!A53</f>
        <v>Bettsville Local SD (CASH)</v>
      </c>
      <c r="CE53" s="8" t="b">
        <f t="shared" si="0"/>
        <v>1</v>
      </c>
      <c r="CG53" s="8" t="str">
        <f t="shared" si="3"/>
        <v>Seneca</v>
      </c>
      <c r="CH53" s="8" t="b">
        <f t="shared" si="4"/>
        <v>1</v>
      </c>
      <c r="CI53" s="8" t="b">
        <f>C53='Gov Fd Rv'!C53</f>
        <v>1</v>
      </c>
    </row>
    <row r="54" spans="1:87">
      <c r="A54" s="12" t="s">
        <v>305</v>
      </c>
      <c r="B54" s="12"/>
      <c r="C54" s="12" t="s">
        <v>27</v>
      </c>
      <c r="D54" s="12"/>
      <c r="E54" s="12">
        <v>43620</v>
      </c>
      <c r="G54" s="7">
        <v>15133552</v>
      </c>
      <c r="I54" s="7">
        <v>3882290</v>
      </c>
      <c r="K54" s="7">
        <v>337040</v>
      </c>
      <c r="M54" s="7">
        <v>0</v>
      </c>
      <c r="O54" s="7">
        <v>0</v>
      </c>
      <c r="Q54" s="7">
        <v>1490430</v>
      </c>
      <c r="S54" s="7">
        <v>2156975</v>
      </c>
      <c r="U54" s="7">
        <v>47056</v>
      </c>
      <c r="W54" s="7">
        <v>1960564</v>
      </c>
      <c r="Y54" s="7">
        <v>1252098</v>
      </c>
      <c r="AA54" s="7">
        <v>0</v>
      </c>
      <c r="AC54" s="7">
        <v>3278950</v>
      </c>
      <c r="AE54" s="7">
        <v>485629</v>
      </c>
      <c r="AG54" s="7">
        <v>128162</v>
      </c>
      <c r="AI54" s="7">
        <v>590078</v>
      </c>
      <c r="AK54" s="7">
        <v>875421</v>
      </c>
      <c r="AL54" s="12" t="s">
        <v>305</v>
      </c>
      <c r="AM54" s="12"/>
      <c r="AN54" s="12" t="s">
        <v>27</v>
      </c>
      <c r="AP54" s="7">
        <v>1030998</v>
      </c>
      <c r="AR54" s="7">
        <v>379330</v>
      </c>
      <c r="AT54" s="7">
        <v>0</v>
      </c>
      <c r="AV54" s="7">
        <v>1900000</v>
      </c>
      <c r="AX54" s="7">
        <v>1033852</v>
      </c>
      <c r="AZ54" s="7">
        <v>0</v>
      </c>
      <c r="BB54" s="8">
        <f t="shared" si="12"/>
        <v>35962425</v>
      </c>
      <c r="BD54" s="7">
        <v>148000</v>
      </c>
      <c r="BF54" s="7">
        <v>0</v>
      </c>
      <c r="BH54" s="7">
        <v>0</v>
      </c>
      <c r="BJ54" s="7">
        <v>2472778</v>
      </c>
      <c r="BL54" s="8">
        <f t="shared" si="5"/>
        <v>38583203</v>
      </c>
      <c r="BN54" s="8">
        <f>'Gov Fd Rv'!AQ54-'Gov Fnd Exp'!BL54</f>
        <v>1840257</v>
      </c>
      <c r="BP54" s="7">
        <v>24792135</v>
      </c>
      <c r="BR54" s="7">
        <v>0</v>
      </c>
      <c r="BT54" s="7">
        <v>0</v>
      </c>
      <c r="BV54" s="8">
        <f t="shared" si="8"/>
        <v>26632392</v>
      </c>
      <c r="BW54" s="8"/>
      <c r="BX54" s="8">
        <f>BV54-'Gov Fd BS'!AE54</f>
        <v>0</v>
      </c>
      <c r="BY54" s="8"/>
      <c r="CB54" s="101" t="str">
        <f t="shared" si="1"/>
        <v>Bexley City SD</v>
      </c>
      <c r="CC54" s="101" t="b">
        <f t="shared" si="2"/>
        <v>1</v>
      </c>
      <c r="CD54" s="101" t="str">
        <f>'Gov Fd Rv'!A54</f>
        <v>Bexley City SD</v>
      </c>
      <c r="CE54" s="8" t="b">
        <f t="shared" si="0"/>
        <v>1</v>
      </c>
      <c r="CG54" s="8" t="str">
        <f t="shared" si="3"/>
        <v>Franklin</v>
      </c>
      <c r="CH54" s="8" t="b">
        <f t="shared" si="4"/>
        <v>1</v>
      </c>
      <c r="CI54" s="8" t="b">
        <f>C54='Gov Fd Rv'!C54</f>
        <v>1</v>
      </c>
    </row>
    <row r="55" spans="1:87">
      <c r="A55" s="12" t="s">
        <v>664</v>
      </c>
      <c r="B55" s="12"/>
      <c r="C55" s="12" t="s">
        <v>23</v>
      </c>
      <c r="D55" s="12"/>
      <c r="E55" s="12">
        <v>46748</v>
      </c>
      <c r="G55" s="7">
        <v>12340142</v>
      </c>
      <c r="I55" s="7">
        <v>2315126</v>
      </c>
      <c r="K55" s="7">
        <v>93861</v>
      </c>
      <c r="M55" s="7">
        <v>0</v>
      </c>
      <c r="O55" s="7">
        <v>0</v>
      </c>
      <c r="Q55" s="7">
        <v>1163840</v>
      </c>
      <c r="S55" s="7">
        <v>1538977</v>
      </c>
      <c r="U55" s="7">
        <v>122235</v>
      </c>
      <c r="W55" s="7">
        <v>2439799</v>
      </c>
      <c r="Y55" s="7">
        <v>975508</v>
      </c>
      <c r="AA55" s="7">
        <v>79686</v>
      </c>
      <c r="AC55" s="7">
        <v>2344097</v>
      </c>
      <c r="AE55" s="7">
        <v>1818841</v>
      </c>
      <c r="AG55" s="7">
        <v>7460</v>
      </c>
      <c r="AI55" s="7">
        <v>0</v>
      </c>
      <c r="AK55" s="7">
        <v>1174095</v>
      </c>
      <c r="AL55" s="12" t="s">
        <v>664</v>
      </c>
      <c r="AM55" s="12"/>
      <c r="AN55" s="12" t="s">
        <v>23</v>
      </c>
      <c r="AP55" s="7">
        <v>602885</v>
      </c>
      <c r="AR55" s="7">
        <v>13207951</v>
      </c>
      <c r="AT55" s="7">
        <v>0</v>
      </c>
      <c r="AV55" s="7">
        <v>1392616</v>
      </c>
      <c r="AX55" s="7">
        <f>1862610+457204</f>
        <v>2319814</v>
      </c>
      <c r="AZ55" s="7">
        <v>0</v>
      </c>
      <c r="BB55" s="8">
        <f t="shared" si="12"/>
        <v>43936933</v>
      </c>
      <c r="BD55" s="7">
        <v>316447</v>
      </c>
      <c r="BF55" s="7">
        <v>0</v>
      </c>
      <c r="BH55" s="7">
        <v>0</v>
      </c>
      <c r="BJ55" s="7">
        <v>0</v>
      </c>
      <c r="BL55" s="8">
        <f>BB55+BD55+BJ55</f>
        <v>44253380</v>
      </c>
      <c r="BN55" s="8">
        <f>'Gov Fd Rv'!AQ55-'Gov Fnd Exp'!BL55</f>
        <v>-7572816</v>
      </c>
      <c r="BP55" s="7">
        <v>19920172</v>
      </c>
      <c r="BR55" s="7">
        <v>0</v>
      </c>
      <c r="BT55" s="7">
        <v>0</v>
      </c>
      <c r="BV55" s="8">
        <f t="shared" si="8"/>
        <v>12347356</v>
      </c>
      <c r="BW55" s="8"/>
      <c r="BX55" s="8">
        <f>BV55-'Gov Fd BS'!AE55</f>
        <v>0</v>
      </c>
      <c r="BY55" s="8"/>
      <c r="CB55" s="101" t="str">
        <f t="shared" si="1"/>
        <v xml:space="preserve">Big Walnut Local SD </v>
      </c>
      <c r="CC55" s="101" t="b">
        <f t="shared" si="2"/>
        <v>1</v>
      </c>
      <c r="CD55" s="101" t="str">
        <f>'Gov Fd Rv'!A55</f>
        <v xml:space="preserve">Big Walnut Local SD </v>
      </c>
      <c r="CE55" s="8" t="b">
        <f t="shared" si="0"/>
        <v>1</v>
      </c>
      <c r="CG55" s="8" t="str">
        <f t="shared" si="3"/>
        <v>Delaware</v>
      </c>
      <c r="CH55" s="8" t="b">
        <f t="shared" si="4"/>
        <v>1</v>
      </c>
      <c r="CI55" s="8" t="b">
        <f>C55='Gov Fd Rv'!C55</f>
        <v>1</v>
      </c>
    </row>
    <row r="56" spans="1:87">
      <c r="A56" s="12" t="s">
        <v>427</v>
      </c>
      <c r="B56" s="12"/>
      <c r="C56" s="12" t="s">
        <v>47</v>
      </c>
      <c r="D56" s="12"/>
      <c r="E56" s="12">
        <v>48462</v>
      </c>
      <c r="G56" s="7">
        <v>6984001</v>
      </c>
      <c r="I56" s="7">
        <v>1662292</v>
      </c>
      <c r="K56" s="7">
        <v>134432</v>
      </c>
      <c r="M56" s="7">
        <v>0</v>
      </c>
      <c r="O56" s="7">
        <v>1966</v>
      </c>
      <c r="Q56" s="7">
        <v>616984</v>
      </c>
      <c r="S56" s="7">
        <v>841933</v>
      </c>
      <c r="U56" s="7">
        <v>33562</v>
      </c>
      <c r="W56" s="7">
        <v>944005</v>
      </c>
      <c r="Y56" s="7">
        <v>341257</v>
      </c>
      <c r="AA56" s="7">
        <v>31838</v>
      </c>
      <c r="AC56" s="7">
        <v>1021779</v>
      </c>
      <c r="AE56" s="7">
        <v>1147745</v>
      </c>
      <c r="AG56" s="7">
        <v>60070</v>
      </c>
      <c r="AI56" s="7">
        <v>423994</v>
      </c>
      <c r="AK56" s="7">
        <v>2337</v>
      </c>
      <c r="AL56" s="12" t="s">
        <v>427</v>
      </c>
      <c r="AM56" s="12"/>
      <c r="AN56" s="12" t="s">
        <v>47</v>
      </c>
      <c r="AP56" s="7">
        <v>514288</v>
      </c>
      <c r="AR56" s="7">
        <v>0</v>
      </c>
      <c r="AT56" s="7">
        <v>0</v>
      </c>
      <c r="AV56" s="7">
        <f>317016+15000</f>
        <v>332016</v>
      </c>
      <c r="AX56" s="7">
        <v>152135</v>
      </c>
      <c r="AZ56" s="7">
        <v>0</v>
      </c>
      <c r="BB56" s="8">
        <f t="shared" si="12"/>
        <v>15246634</v>
      </c>
      <c r="BD56" s="7">
        <v>200000</v>
      </c>
      <c r="BF56" s="7">
        <v>0</v>
      </c>
      <c r="BH56" s="7">
        <v>0</v>
      </c>
      <c r="BJ56" s="7">
        <v>3130000</v>
      </c>
      <c r="BL56" s="8">
        <f>BB56+BD56+BJ56</f>
        <v>18576634</v>
      </c>
      <c r="BN56" s="8">
        <f>'Gov Fd Rv'!AQ56-'Gov Fnd Exp'!BL56</f>
        <v>-148018</v>
      </c>
      <c r="BP56" s="7">
        <v>-658977</v>
      </c>
      <c r="BR56" s="7">
        <v>0</v>
      </c>
      <c r="BT56" s="7">
        <v>0</v>
      </c>
      <c r="BV56" s="8">
        <f t="shared" si="8"/>
        <v>-806995</v>
      </c>
      <c r="BW56" s="8"/>
      <c r="BX56" s="8">
        <f>BV56-'Gov Fd BS'!AE56</f>
        <v>0</v>
      </c>
      <c r="BY56" s="8"/>
      <c r="CB56" s="101" t="str">
        <f t="shared" si="1"/>
        <v>Black River Local SD</v>
      </c>
      <c r="CC56" s="101" t="b">
        <f t="shared" si="2"/>
        <v>1</v>
      </c>
      <c r="CD56" s="101" t="str">
        <f>'Gov Fd Rv'!A56</f>
        <v>Black River Local SD</v>
      </c>
      <c r="CE56" s="8" t="b">
        <f t="shared" si="0"/>
        <v>1</v>
      </c>
      <c r="CG56" s="8" t="str">
        <f t="shared" si="3"/>
        <v>Medina</v>
      </c>
      <c r="CH56" s="8" t="b">
        <f t="shared" si="4"/>
        <v>1</v>
      </c>
      <c r="CI56" s="8" t="b">
        <f>C56='Gov Fd Rv'!C56</f>
        <v>1</v>
      </c>
    </row>
    <row r="57" spans="1:87">
      <c r="A57" s="12" t="s">
        <v>248</v>
      </c>
      <c r="B57" s="12"/>
      <c r="C57" s="12" t="s">
        <v>18</v>
      </c>
      <c r="D57" s="12"/>
      <c r="E57" s="12">
        <v>46383</v>
      </c>
      <c r="G57" s="7">
        <v>6106358</v>
      </c>
      <c r="I57" s="7">
        <v>823872</v>
      </c>
      <c r="K57" s="7">
        <v>307832</v>
      </c>
      <c r="M57" s="7">
        <v>0</v>
      </c>
      <c r="O57" s="7">
        <v>732185</v>
      </c>
      <c r="Q57" s="7">
        <v>582512</v>
      </c>
      <c r="S57" s="7">
        <v>1785628</v>
      </c>
      <c r="U57" s="7">
        <v>24167</v>
      </c>
      <c r="W57" s="7">
        <v>1392704</v>
      </c>
      <c r="Y57" s="7">
        <v>391261</v>
      </c>
      <c r="AA57" s="7">
        <v>7506</v>
      </c>
      <c r="AC57" s="7">
        <v>1404968</v>
      </c>
      <c r="AE57" s="7">
        <v>855801</v>
      </c>
      <c r="AG57" s="7">
        <v>17286</v>
      </c>
      <c r="AI57" s="7">
        <v>0</v>
      </c>
      <c r="AK57" s="7">
        <v>872252</v>
      </c>
      <c r="AL57" s="12" t="s">
        <v>248</v>
      </c>
      <c r="AM57" s="12"/>
      <c r="AN57" s="12" t="s">
        <v>18</v>
      </c>
      <c r="AP57" s="7">
        <v>414412</v>
      </c>
      <c r="AR57" s="7">
        <v>88533</v>
      </c>
      <c r="AT57" s="7">
        <v>0</v>
      </c>
      <c r="AV57" s="7">
        <v>214000</v>
      </c>
      <c r="AX57" s="7">
        <v>133789</v>
      </c>
      <c r="AZ57" s="7">
        <v>0</v>
      </c>
      <c r="BB57" s="8">
        <f t="shared" si="12"/>
        <v>16155066</v>
      </c>
      <c r="BD57" s="7">
        <v>0</v>
      </c>
      <c r="BF57" s="7">
        <v>0</v>
      </c>
      <c r="BH57" s="7">
        <v>0</v>
      </c>
      <c r="BJ57" s="7">
        <v>0</v>
      </c>
      <c r="BL57" s="8">
        <f t="shared" si="5"/>
        <v>16155066</v>
      </c>
      <c r="BN57" s="8">
        <f>'Gov Fd Rv'!AQ57-'Gov Fnd Exp'!BL57</f>
        <v>371128</v>
      </c>
      <c r="BP57" s="7">
        <v>1557734</v>
      </c>
      <c r="BR57" s="7">
        <v>0</v>
      </c>
      <c r="BT57" s="7">
        <v>0</v>
      </c>
      <c r="BV57" s="8">
        <f t="shared" si="8"/>
        <v>1928862</v>
      </c>
      <c r="BW57" s="8"/>
      <c r="BX57" s="8">
        <f>BV57-'Gov Fd BS'!AE57</f>
        <v>0</v>
      </c>
      <c r="BY57" s="8"/>
      <c r="CB57" s="101" t="str">
        <f t="shared" si="1"/>
        <v>Blanchester Local SD</v>
      </c>
      <c r="CC57" s="101" t="b">
        <f t="shared" si="2"/>
        <v>1</v>
      </c>
      <c r="CD57" s="101" t="str">
        <f>'Gov Fd Rv'!A57</f>
        <v>Blanchester Local SD</v>
      </c>
      <c r="CE57" s="8" t="b">
        <f t="shared" si="0"/>
        <v>1</v>
      </c>
      <c r="CG57" s="8" t="str">
        <f t="shared" si="3"/>
        <v>Clinton</v>
      </c>
      <c r="CH57" s="8" t="b">
        <f t="shared" si="4"/>
        <v>1</v>
      </c>
      <c r="CI57" s="8" t="b">
        <f>C57='Gov Fd Rv'!C57</f>
        <v>1</v>
      </c>
    </row>
    <row r="58" spans="1:87">
      <c r="A58" s="12" t="s">
        <v>299</v>
      </c>
      <c r="B58" s="12"/>
      <c r="C58" s="12" t="s">
        <v>25</v>
      </c>
      <c r="D58" s="12"/>
      <c r="E58" s="12">
        <v>46862</v>
      </c>
      <c r="G58" s="7">
        <v>5984819</v>
      </c>
      <c r="I58" s="7">
        <v>1745493</v>
      </c>
      <c r="K58" s="7">
        <v>242528</v>
      </c>
      <c r="M58" s="7">
        <v>0</v>
      </c>
      <c r="O58" s="7">
        <f>70880+534657</f>
        <v>605537</v>
      </c>
      <c r="Q58" s="7">
        <v>723097</v>
      </c>
      <c r="S58" s="7">
        <v>918840</v>
      </c>
      <c r="U58" s="7">
        <v>236522</v>
      </c>
      <c r="W58" s="7">
        <v>1706936</v>
      </c>
      <c r="Y58" s="7">
        <v>239100</v>
      </c>
      <c r="AA58" s="7">
        <v>0</v>
      </c>
      <c r="AC58" s="7">
        <v>1512778</v>
      </c>
      <c r="AE58" s="7">
        <v>1366328</v>
      </c>
      <c r="AG58" s="7">
        <v>56391</v>
      </c>
      <c r="AI58" s="7">
        <v>507430</v>
      </c>
      <c r="AK58" s="7">
        <v>750</v>
      </c>
      <c r="AL58" s="12" t="s">
        <v>299</v>
      </c>
      <c r="AM58" s="12"/>
      <c r="AN58" s="12" t="s">
        <v>25</v>
      </c>
      <c r="AP58" s="7">
        <v>650737</v>
      </c>
      <c r="AR58" s="7">
        <v>2931013</v>
      </c>
      <c r="AT58" s="7">
        <v>0</v>
      </c>
      <c r="AV58" s="7">
        <v>990000</v>
      </c>
      <c r="AX58" s="7">
        <v>1784598</v>
      </c>
      <c r="AZ58" s="7">
        <v>0</v>
      </c>
      <c r="BB58" s="8">
        <f t="shared" si="12"/>
        <v>22202897</v>
      </c>
      <c r="BD58" s="7">
        <v>20000</v>
      </c>
      <c r="BF58" s="7">
        <v>0</v>
      </c>
      <c r="BH58" s="7">
        <v>0</v>
      </c>
      <c r="BJ58" s="7">
        <v>0</v>
      </c>
      <c r="BL58" s="8">
        <f t="shared" si="5"/>
        <v>22222897</v>
      </c>
      <c r="BN58" s="8">
        <f>'Gov Fd Rv'!AQ58-'Gov Fnd Exp'!BL58</f>
        <v>-3278078</v>
      </c>
      <c r="BP58" s="7">
        <v>29242731</v>
      </c>
      <c r="BR58" s="7">
        <v>0</v>
      </c>
      <c r="BT58" s="7">
        <v>0</v>
      </c>
      <c r="BV58" s="8">
        <f t="shared" si="8"/>
        <v>25964653</v>
      </c>
      <c r="BW58" s="8"/>
      <c r="BX58" s="8">
        <f>BV58-'Gov Fd BS'!AE58</f>
        <v>0</v>
      </c>
      <c r="BY58" s="8"/>
      <c r="CB58" s="101" t="str">
        <f t="shared" si="1"/>
        <v>Bloom-Carroll Local SD</v>
      </c>
      <c r="CC58" s="101" t="b">
        <f t="shared" si="2"/>
        <v>1</v>
      </c>
      <c r="CD58" s="101" t="str">
        <f>'Gov Fd Rv'!A58</f>
        <v>Bloom-Carroll Local SD</v>
      </c>
      <c r="CE58" s="8" t="b">
        <f t="shared" si="0"/>
        <v>1</v>
      </c>
      <c r="CG58" s="8" t="str">
        <f t="shared" si="3"/>
        <v>Fairfield</v>
      </c>
      <c r="CH58" s="8" t="b">
        <f t="shared" si="4"/>
        <v>1</v>
      </c>
      <c r="CI58" s="8" t="b">
        <f>C58='Gov Fd Rv'!C58</f>
        <v>1</v>
      </c>
    </row>
    <row r="59" spans="1:87">
      <c r="A59" s="12" t="s">
        <v>534</v>
      </c>
      <c r="B59" s="12"/>
      <c r="C59" s="12" t="s">
        <v>64</v>
      </c>
      <c r="D59" s="12"/>
      <c r="E59" s="12">
        <v>50096</v>
      </c>
      <c r="G59" s="7">
        <v>1591628</v>
      </c>
      <c r="I59" s="7">
        <v>741537</v>
      </c>
      <c r="K59" s="7">
        <v>69515</v>
      </c>
      <c r="M59" s="7">
        <v>0</v>
      </c>
      <c r="O59" s="7">
        <v>0</v>
      </c>
      <c r="Q59" s="7">
        <v>131712</v>
      </c>
      <c r="S59" s="7">
        <v>238704</v>
      </c>
      <c r="U59" s="7">
        <v>14135</v>
      </c>
      <c r="W59" s="7">
        <v>451593</v>
      </c>
      <c r="Y59" s="7">
        <v>219865</v>
      </c>
      <c r="AA59" s="7">
        <v>0</v>
      </c>
      <c r="AC59" s="7">
        <v>469806</v>
      </c>
      <c r="AE59" s="7">
        <v>316268</v>
      </c>
      <c r="AG59" s="7">
        <v>4550</v>
      </c>
      <c r="AI59" s="7">
        <v>137938</v>
      </c>
      <c r="AK59" s="7">
        <v>0</v>
      </c>
      <c r="AL59" s="12" t="s">
        <v>534</v>
      </c>
      <c r="AM59" s="12"/>
      <c r="AN59" s="12" t="s">
        <v>64</v>
      </c>
      <c r="AP59" s="7">
        <v>95086</v>
      </c>
      <c r="AR59" s="7">
        <v>0</v>
      </c>
      <c r="AT59" s="7">
        <v>0</v>
      </c>
      <c r="AV59" s="7">
        <v>41765</v>
      </c>
      <c r="AX59" s="7">
        <v>6073</v>
      </c>
      <c r="AZ59" s="7">
        <v>0</v>
      </c>
      <c r="BB59" s="8">
        <f t="shared" si="12"/>
        <v>4530175</v>
      </c>
      <c r="BD59" s="7">
        <v>0</v>
      </c>
      <c r="BF59" s="7">
        <v>0</v>
      </c>
      <c r="BH59" s="7">
        <v>0</v>
      </c>
      <c r="BJ59" s="7">
        <v>0</v>
      </c>
      <c r="BL59" s="8">
        <f t="shared" si="5"/>
        <v>4530175</v>
      </c>
      <c r="BN59" s="8">
        <f>'Gov Fd Rv'!AQ59-'Gov Fnd Exp'!BL59</f>
        <v>-262126</v>
      </c>
      <c r="BP59" s="7">
        <v>673145</v>
      </c>
      <c r="BR59" s="7">
        <v>0</v>
      </c>
      <c r="BT59" s="7">
        <v>0</v>
      </c>
      <c r="BV59" s="8">
        <f t="shared" si="8"/>
        <v>411019</v>
      </c>
      <c r="BW59" s="8"/>
      <c r="BX59" s="8">
        <f>BV59-'Gov Fd BS'!AE59</f>
        <v>0</v>
      </c>
      <c r="BY59" s="8"/>
      <c r="CB59" s="101" t="str">
        <f t="shared" si="1"/>
        <v>Bloomfield-Mespo Local SD</v>
      </c>
      <c r="CC59" s="101" t="b">
        <f t="shared" si="2"/>
        <v>1</v>
      </c>
      <c r="CD59" s="101" t="str">
        <f>'Gov Fd Rv'!A59</f>
        <v>Bloomfield-Mespo Local SD</v>
      </c>
      <c r="CE59" s="8" t="b">
        <f t="shared" si="0"/>
        <v>1</v>
      </c>
      <c r="CG59" s="8" t="str">
        <f t="shared" si="3"/>
        <v>Trumbull</v>
      </c>
      <c r="CH59" s="8" t="b">
        <f t="shared" si="4"/>
        <v>1</v>
      </c>
      <c r="CI59" s="8" t="b">
        <f>C59='Gov Fd Rv'!C59</f>
        <v>1</v>
      </c>
    </row>
    <row r="60" spans="1:87">
      <c r="A60" s="12" t="s">
        <v>494</v>
      </c>
      <c r="B60" s="12"/>
      <c r="C60" s="12" t="s">
        <v>59</v>
      </c>
      <c r="D60" s="12"/>
      <c r="E60" s="12">
        <v>49593</v>
      </c>
      <c r="G60" s="7">
        <v>4408372</v>
      </c>
      <c r="I60" s="7">
        <v>1283939</v>
      </c>
      <c r="K60" s="7">
        <v>10906</v>
      </c>
      <c r="M60" s="7">
        <v>0</v>
      </c>
      <c r="O60" s="7">
        <v>179189</v>
      </c>
      <c r="Q60" s="7">
        <v>298335</v>
      </c>
      <c r="S60" s="7">
        <v>429930</v>
      </c>
      <c r="U60" s="7">
        <v>34226</v>
      </c>
      <c r="W60" s="7">
        <v>793674</v>
      </c>
      <c r="Y60" s="7">
        <v>174743</v>
      </c>
      <c r="AA60" s="7">
        <v>22492</v>
      </c>
      <c r="AC60" s="7">
        <v>936603</v>
      </c>
      <c r="AE60" s="7">
        <v>799000</v>
      </c>
      <c r="AG60" s="7">
        <v>9489</v>
      </c>
      <c r="AI60" s="7">
        <v>522241</v>
      </c>
      <c r="AK60" s="7">
        <v>118</v>
      </c>
      <c r="AL60" s="12" t="s">
        <v>494</v>
      </c>
      <c r="AM60" s="12"/>
      <c r="AN60" s="12" t="s">
        <v>59</v>
      </c>
      <c r="AP60" s="7">
        <v>160601</v>
      </c>
      <c r="AR60" s="7">
        <v>659498</v>
      </c>
      <c r="AT60" s="7">
        <v>37500</v>
      </c>
      <c r="AV60" s="7">
        <v>40000</v>
      </c>
      <c r="AX60" s="7">
        <v>41270</v>
      </c>
      <c r="AZ60" s="7">
        <v>0</v>
      </c>
      <c r="BB60" s="8">
        <f>SUM(G60:AZ60)</f>
        <v>10842126</v>
      </c>
      <c r="BD60" s="7">
        <v>323</v>
      </c>
      <c r="BF60" s="7">
        <v>0</v>
      </c>
      <c r="BH60" s="7">
        <v>0</v>
      </c>
      <c r="BJ60" s="7">
        <v>0</v>
      </c>
      <c r="BL60" s="8">
        <f>BB60+BD60+BJ60</f>
        <v>10842449</v>
      </c>
      <c r="BN60" s="8">
        <f>'Gov Fd Rv'!AQ60-'Gov Fnd Exp'!BL60</f>
        <v>217746</v>
      </c>
      <c r="BP60" s="7">
        <v>1087537</v>
      </c>
      <c r="BR60" s="7">
        <v>0</v>
      </c>
      <c r="BT60" s="7">
        <v>0</v>
      </c>
      <c r="BV60" s="8">
        <f>BN60+BP60+BR60+BT60</f>
        <v>1305283</v>
      </c>
      <c r="BW60" s="8"/>
      <c r="BX60" s="8">
        <f>BV60-'Gov Fd BS'!AE60</f>
        <v>0</v>
      </c>
      <c r="BY60" s="8"/>
      <c r="CB60" s="101" t="str">
        <f t="shared" si="1"/>
        <v>Bloom-Vernon Local SD</v>
      </c>
      <c r="CC60" s="101" t="b">
        <f t="shared" si="2"/>
        <v>1</v>
      </c>
      <c r="CD60" s="101" t="str">
        <f>'Gov Fd Rv'!A60</f>
        <v>Bloom-Vernon Local SD</v>
      </c>
      <c r="CE60" s="8" t="b">
        <f t="shared" si="0"/>
        <v>1</v>
      </c>
      <c r="CG60" s="8" t="str">
        <f t="shared" si="3"/>
        <v>Scioto</v>
      </c>
      <c r="CH60" s="8" t="b">
        <f t="shared" si="4"/>
        <v>1</v>
      </c>
      <c r="CI60" s="8" t="b">
        <f>C60='Gov Fd Rv'!C60</f>
        <v>1</v>
      </c>
    </row>
    <row r="61" spans="1:87" hidden="1">
      <c r="A61" s="12" t="s">
        <v>676</v>
      </c>
      <c r="B61" s="12"/>
      <c r="C61" s="12" t="s">
        <v>10</v>
      </c>
      <c r="D61" s="12"/>
      <c r="E61" s="12">
        <v>49593</v>
      </c>
      <c r="AL61" s="12" t="s">
        <v>676</v>
      </c>
      <c r="AM61" s="12"/>
      <c r="AN61" s="12" t="s">
        <v>10</v>
      </c>
      <c r="BB61" s="8">
        <f t="shared" si="12"/>
        <v>0</v>
      </c>
      <c r="BF61" s="7">
        <v>0</v>
      </c>
      <c r="BH61" s="7">
        <v>0</v>
      </c>
      <c r="BL61" s="8">
        <f t="shared" si="5"/>
        <v>0</v>
      </c>
      <c r="BN61" s="8">
        <f>'Gov Fd Rv'!AQ61-'Gov Fnd Exp'!BL61</f>
        <v>0</v>
      </c>
      <c r="BT61" s="7">
        <v>0</v>
      </c>
      <c r="BV61" s="8">
        <f t="shared" si="8"/>
        <v>0</v>
      </c>
      <c r="BW61" s="8"/>
      <c r="BX61" s="8">
        <f>BV61-'Gov Fd BS'!AE61</f>
        <v>0</v>
      </c>
      <c r="BY61" s="8"/>
      <c r="BZ61" s="7" t="s">
        <v>778</v>
      </c>
      <c r="CB61" s="101" t="str">
        <f t="shared" si="1"/>
        <v>Bluffton Ex Vill SD (OCBOA)</v>
      </c>
      <c r="CC61" s="101" t="b">
        <f t="shared" si="2"/>
        <v>1</v>
      </c>
      <c r="CD61" s="101" t="str">
        <f>'Gov Fd Rv'!A61</f>
        <v>Bluffton Ex Vill SD (OCBOA)</v>
      </c>
      <c r="CE61" s="8" t="b">
        <f t="shared" si="0"/>
        <v>1</v>
      </c>
      <c r="CG61" s="8" t="str">
        <f t="shared" si="3"/>
        <v>Allen</v>
      </c>
      <c r="CH61" s="8" t="b">
        <f t="shared" si="4"/>
        <v>1</v>
      </c>
      <c r="CI61" s="8" t="b">
        <f>C61='Gov Fd Rv'!C61</f>
        <v>1</v>
      </c>
    </row>
    <row r="62" spans="1:87">
      <c r="A62" s="12" t="s">
        <v>415</v>
      </c>
      <c r="B62" s="12"/>
      <c r="C62" s="12" t="s">
        <v>45</v>
      </c>
      <c r="D62" s="12"/>
      <c r="E62" s="12">
        <v>48306</v>
      </c>
      <c r="G62" s="7">
        <v>22644803</v>
      </c>
      <c r="I62" s="7">
        <v>5354022</v>
      </c>
      <c r="K62" s="7">
        <v>0</v>
      </c>
      <c r="M62" s="7">
        <v>6174</v>
      </c>
      <c r="O62" s="7">
        <v>149855</v>
      </c>
      <c r="Q62" s="7">
        <v>2024406</v>
      </c>
      <c r="S62" s="7">
        <v>2483531</v>
      </c>
      <c r="U62" s="7">
        <v>159712</v>
      </c>
      <c r="W62" s="7">
        <v>2801781</v>
      </c>
      <c r="Y62" s="7">
        <v>1012161</v>
      </c>
      <c r="AA62" s="7">
        <v>149724</v>
      </c>
      <c r="AC62" s="7">
        <v>4417837</v>
      </c>
      <c r="AE62" s="7">
        <v>2911344</v>
      </c>
      <c r="AG62" s="7">
        <v>49214</v>
      </c>
      <c r="AI62" s="7">
        <v>1430092</v>
      </c>
      <c r="AK62" s="7">
        <v>815043</v>
      </c>
      <c r="AL62" s="12" t="s">
        <v>415</v>
      </c>
      <c r="AM62" s="12"/>
      <c r="AN62" s="12" t="s">
        <v>45</v>
      </c>
      <c r="AP62" s="7">
        <v>1069244</v>
      </c>
      <c r="AR62" s="7">
        <v>1214769</v>
      </c>
      <c r="AT62" s="7">
        <v>0</v>
      </c>
      <c r="AV62" s="7">
        <v>582628</v>
      </c>
      <c r="AX62" s="7">
        <v>413516</v>
      </c>
      <c r="AZ62" s="7">
        <v>0</v>
      </c>
      <c r="BB62" s="8">
        <f t="shared" si="12"/>
        <v>49689856</v>
      </c>
      <c r="BD62" s="7">
        <v>467671</v>
      </c>
      <c r="BF62" s="7">
        <v>0</v>
      </c>
      <c r="BH62" s="7">
        <v>0</v>
      </c>
      <c r="BJ62" s="7">
        <v>0</v>
      </c>
      <c r="BL62" s="8">
        <f t="shared" si="5"/>
        <v>50157527</v>
      </c>
      <c r="BN62" s="8">
        <f>'Gov Fd Rv'!AQ62-'Gov Fnd Exp'!BL62</f>
        <v>-3371879</v>
      </c>
      <c r="BP62" s="7">
        <v>7205165</v>
      </c>
      <c r="BR62" s="7">
        <v>0</v>
      </c>
      <c r="BT62" s="7">
        <v>0</v>
      </c>
      <c r="BV62" s="8">
        <f t="shared" si="8"/>
        <v>3833286</v>
      </c>
      <c r="BW62" s="8"/>
      <c r="BX62" s="8">
        <f>BV62-'Gov Fd BS'!AE62</f>
        <v>0</v>
      </c>
      <c r="BY62" s="8"/>
      <c r="CB62" s="101" t="str">
        <f t="shared" si="1"/>
        <v>Boardman Local SD</v>
      </c>
      <c r="CC62" s="101" t="b">
        <f t="shared" si="2"/>
        <v>1</v>
      </c>
      <c r="CD62" s="101" t="str">
        <f>'Gov Fd Rv'!A62</f>
        <v>Boardman Local SD</v>
      </c>
      <c r="CE62" s="8" t="b">
        <f t="shared" si="0"/>
        <v>1</v>
      </c>
      <c r="CG62" s="8" t="str">
        <f t="shared" si="3"/>
        <v>Mahoning</v>
      </c>
      <c r="CH62" s="8" t="b">
        <f t="shared" si="4"/>
        <v>1</v>
      </c>
      <c r="CI62" s="8" t="b">
        <f>C62='Gov Fd Rv'!C62</f>
        <v>1</v>
      </c>
    </row>
    <row r="63" spans="1:87">
      <c r="A63" s="12" t="s">
        <v>504</v>
      </c>
      <c r="B63" s="12"/>
      <c r="C63" s="12" t="s">
        <v>61</v>
      </c>
      <c r="D63" s="12"/>
      <c r="E63" s="12">
        <v>49767</v>
      </c>
      <c r="G63" s="7">
        <v>2173466</v>
      </c>
      <c r="I63" s="7">
        <v>468347</v>
      </c>
      <c r="K63" s="7">
        <v>154955</v>
      </c>
      <c r="M63" s="7">
        <v>0</v>
      </c>
      <c r="O63" s="7">
        <f>14442+19990</f>
        <v>34432</v>
      </c>
      <c r="Q63" s="7">
        <v>157250</v>
      </c>
      <c r="S63" s="7">
        <v>263322</v>
      </c>
      <c r="U63" s="7">
        <v>11076</v>
      </c>
      <c r="W63" s="7">
        <v>419991</v>
      </c>
      <c r="Y63" s="7">
        <v>187554</v>
      </c>
      <c r="AA63" s="7">
        <v>0</v>
      </c>
      <c r="AC63" s="7">
        <v>366133</v>
      </c>
      <c r="AE63" s="7">
        <v>141700</v>
      </c>
      <c r="AG63" s="7">
        <v>15273</v>
      </c>
      <c r="AI63" s="7">
        <v>0</v>
      </c>
      <c r="AK63" s="7">
        <v>223639</v>
      </c>
      <c r="AL63" s="12" t="s">
        <v>504</v>
      </c>
      <c r="AM63" s="12"/>
      <c r="AN63" s="12" t="s">
        <v>61</v>
      </c>
      <c r="AP63" s="7">
        <v>244486</v>
      </c>
      <c r="AR63" s="7">
        <v>26929</v>
      </c>
      <c r="AT63" s="7">
        <v>0</v>
      </c>
      <c r="AV63" s="7">
        <v>53076</v>
      </c>
      <c r="AX63" s="7">
        <v>16852</v>
      </c>
      <c r="AZ63" s="7">
        <v>0</v>
      </c>
      <c r="BB63" s="8">
        <f t="shared" si="12"/>
        <v>4958481</v>
      </c>
      <c r="BD63" s="7">
        <v>0</v>
      </c>
      <c r="BF63" s="7">
        <v>0</v>
      </c>
      <c r="BH63" s="7">
        <v>0</v>
      </c>
      <c r="BJ63" s="7">
        <v>0</v>
      </c>
      <c r="BL63" s="8">
        <f t="shared" si="5"/>
        <v>4958481</v>
      </c>
      <c r="BN63" s="8">
        <f>'Gov Fd Rv'!AQ63-'Gov Fnd Exp'!BL63</f>
        <v>915409</v>
      </c>
      <c r="BP63" s="7">
        <v>1718735</v>
      </c>
      <c r="BR63" s="7">
        <v>0</v>
      </c>
      <c r="BT63" s="7">
        <v>0</v>
      </c>
      <c r="BV63" s="8">
        <f t="shared" si="8"/>
        <v>2634144</v>
      </c>
      <c r="BW63" s="8"/>
      <c r="BX63" s="8">
        <f>BV63-'Gov Fd BS'!AE63</f>
        <v>0</v>
      </c>
      <c r="BY63" s="8"/>
      <c r="CB63" s="101" t="str">
        <f t="shared" si="1"/>
        <v>Botkins Local SD</v>
      </c>
      <c r="CC63" s="101" t="b">
        <f t="shared" si="2"/>
        <v>1</v>
      </c>
      <c r="CD63" s="101" t="str">
        <f>'Gov Fd Rv'!A63</f>
        <v>Botkins Local SD</v>
      </c>
      <c r="CE63" s="8" t="b">
        <f t="shared" si="0"/>
        <v>1</v>
      </c>
      <c r="CG63" s="8" t="str">
        <f t="shared" si="3"/>
        <v>Shelby</v>
      </c>
      <c r="CH63" s="8" t="b">
        <f t="shared" si="4"/>
        <v>1</v>
      </c>
      <c r="CI63" s="8" t="b">
        <f>C63='Gov Fd Rv'!C63</f>
        <v>1</v>
      </c>
    </row>
    <row r="64" spans="1:87">
      <c r="A64" s="12" t="s">
        <v>572</v>
      </c>
      <c r="B64" s="12"/>
      <c r="C64" s="12" t="s">
        <v>72</v>
      </c>
      <c r="D64" s="12"/>
      <c r="E64" s="12">
        <v>43638</v>
      </c>
      <c r="G64" s="7">
        <v>19821068</v>
      </c>
      <c r="I64" s="7">
        <v>0</v>
      </c>
      <c r="K64" s="7">
        <v>0</v>
      </c>
      <c r="M64" s="7">
        <v>0</v>
      </c>
      <c r="O64" s="7">
        <v>0</v>
      </c>
      <c r="Q64" s="7">
        <v>11403607</v>
      </c>
      <c r="S64" s="7">
        <v>0</v>
      </c>
      <c r="U64" s="7">
        <v>0</v>
      </c>
      <c r="W64" s="7">
        <v>0</v>
      </c>
      <c r="Y64" s="7">
        <v>0</v>
      </c>
      <c r="AA64" s="7">
        <v>0</v>
      </c>
      <c r="AC64" s="7">
        <v>0</v>
      </c>
      <c r="AE64" s="7">
        <v>0</v>
      </c>
      <c r="AG64" s="7">
        <v>0</v>
      </c>
      <c r="AI64" s="7">
        <v>0</v>
      </c>
      <c r="AK64" s="7">
        <v>401432</v>
      </c>
      <c r="AL64" s="12" t="s">
        <v>572</v>
      </c>
      <c r="AM64" s="12"/>
      <c r="AN64" s="12" t="s">
        <v>72</v>
      </c>
      <c r="AP64" s="7">
        <v>833032</v>
      </c>
      <c r="AR64" s="7">
        <v>740091</v>
      </c>
      <c r="AT64" s="7">
        <v>0</v>
      </c>
      <c r="AV64" s="7">
        <v>915000</v>
      </c>
      <c r="AX64" s="7">
        <v>1253722</v>
      </c>
      <c r="AZ64" s="7">
        <v>0</v>
      </c>
      <c r="BB64" s="8">
        <f t="shared" si="12"/>
        <v>35367952</v>
      </c>
      <c r="BD64" s="7">
        <v>0</v>
      </c>
      <c r="BF64" s="7">
        <v>0</v>
      </c>
      <c r="BH64" s="7">
        <v>0</v>
      </c>
      <c r="BJ64" s="7">
        <v>1781</v>
      </c>
      <c r="BL64" s="8">
        <f t="shared" si="5"/>
        <v>35369733</v>
      </c>
      <c r="BN64" s="8">
        <f>'Gov Fd Rv'!AQ64-'Gov Fnd Exp'!BL64</f>
        <v>37351</v>
      </c>
      <c r="BP64" s="7">
        <v>14582812</v>
      </c>
      <c r="BR64" s="7">
        <v>0</v>
      </c>
      <c r="BT64" s="7">
        <v>0</v>
      </c>
      <c r="BV64" s="8">
        <f t="shared" si="8"/>
        <v>14620163</v>
      </c>
      <c r="BW64" s="8"/>
      <c r="BX64" s="8">
        <f>BV64-'Gov Fd BS'!AE64</f>
        <v>0</v>
      </c>
      <c r="BY64" s="8"/>
      <c r="CB64" s="101" t="str">
        <f t="shared" si="1"/>
        <v>Bowling Green City SD</v>
      </c>
      <c r="CC64" s="101" t="b">
        <f t="shared" si="2"/>
        <v>1</v>
      </c>
      <c r="CD64" s="101" t="str">
        <f>'Gov Fd Rv'!A64</f>
        <v>Bowling Green City SD</v>
      </c>
      <c r="CE64" s="8" t="b">
        <f t="shared" si="0"/>
        <v>1</v>
      </c>
      <c r="CG64" s="8" t="str">
        <f t="shared" si="3"/>
        <v>Wood</v>
      </c>
      <c r="CH64" s="8" t="b">
        <f t="shared" si="4"/>
        <v>1</v>
      </c>
      <c r="CI64" s="8" t="b">
        <f>C64='Gov Fd Rv'!C64</f>
        <v>1</v>
      </c>
    </row>
    <row r="65" spans="1:87" hidden="1">
      <c r="A65" s="12" t="s">
        <v>704</v>
      </c>
      <c r="B65" s="12"/>
      <c r="C65" s="12" t="s">
        <v>48</v>
      </c>
      <c r="D65" s="12"/>
      <c r="E65" s="12">
        <v>43646</v>
      </c>
      <c r="AL65" s="12" t="s">
        <v>704</v>
      </c>
      <c r="AM65" s="12"/>
      <c r="AN65" s="12" t="s">
        <v>48</v>
      </c>
      <c r="BB65" s="8">
        <f>SUM(G65:AZ65)</f>
        <v>0</v>
      </c>
      <c r="BF65" s="7">
        <v>0</v>
      </c>
      <c r="BH65" s="7">
        <v>0</v>
      </c>
      <c r="BL65" s="8">
        <f>BB65+BD65+BJ65</f>
        <v>0</v>
      </c>
      <c r="BN65" s="8">
        <f>'Gov Fd Rv'!AQ65-'Gov Fnd Exp'!BL65</f>
        <v>0</v>
      </c>
      <c r="BT65" s="7">
        <v>0</v>
      </c>
      <c r="BV65" s="8">
        <f>BN65+BP65+BR65+BT65</f>
        <v>0</v>
      </c>
      <c r="BW65" s="8"/>
      <c r="BX65" s="8">
        <f>BV65-'Gov Fd BS'!AE65</f>
        <v>0</v>
      </c>
      <c r="BY65" s="8"/>
      <c r="BZ65" s="7" t="s">
        <v>778</v>
      </c>
      <c r="CB65" s="101" t="str">
        <f t="shared" si="1"/>
        <v>Bradford Ex Vill SD (cash) Two year audit</v>
      </c>
      <c r="CC65" s="101" t="b">
        <f t="shared" si="2"/>
        <v>1</v>
      </c>
      <c r="CD65" s="101" t="str">
        <f>'Gov Fd Rv'!A65</f>
        <v>Bradford Ex Vill SD (cash) Two year audit</v>
      </c>
      <c r="CE65" s="8" t="b">
        <f t="shared" si="0"/>
        <v>1</v>
      </c>
      <c r="CG65" s="8" t="str">
        <f t="shared" si="3"/>
        <v>Miami</v>
      </c>
      <c r="CH65" s="8" t="b">
        <f t="shared" si="4"/>
        <v>1</v>
      </c>
      <c r="CI65" s="8" t="b">
        <f>C65='Gov Fd Rv'!C65</f>
        <v>1</v>
      </c>
    </row>
    <row r="66" spans="1:87">
      <c r="A66" s="12" t="s">
        <v>895</v>
      </c>
      <c r="B66" s="12"/>
      <c r="C66" s="12" t="s">
        <v>20</v>
      </c>
      <c r="D66" s="12"/>
      <c r="E66" s="12">
        <v>43646</v>
      </c>
      <c r="G66" s="7">
        <v>22040906</v>
      </c>
      <c r="I66" s="7">
        <v>6538531</v>
      </c>
      <c r="K66" s="7">
        <v>129569</v>
      </c>
      <c r="M66" s="7">
        <v>16149</v>
      </c>
      <c r="O66" s="7">
        <v>50573</v>
      </c>
      <c r="Q66" s="7">
        <v>3696326</v>
      </c>
      <c r="S66" s="7">
        <v>3379802</v>
      </c>
      <c r="U66" s="7">
        <v>85536</v>
      </c>
      <c r="W66" s="7">
        <v>3356331</v>
      </c>
      <c r="Y66" s="7">
        <v>1219505</v>
      </c>
      <c r="AA66" s="7">
        <v>428167</v>
      </c>
      <c r="AC66" s="7">
        <v>4261830</v>
      </c>
      <c r="AE66" s="7">
        <v>3519398</v>
      </c>
      <c r="AG66" s="7">
        <v>269712</v>
      </c>
      <c r="AI66" s="7">
        <v>1674279</v>
      </c>
      <c r="AK66" s="7">
        <v>879101</v>
      </c>
      <c r="AL66" s="12" t="s">
        <v>895</v>
      </c>
      <c r="AM66" s="12"/>
      <c r="AN66" s="12" t="s">
        <v>20</v>
      </c>
      <c r="AP66" s="7">
        <v>1040570</v>
      </c>
      <c r="AR66" s="7">
        <v>529042</v>
      </c>
      <c r="AT66" s="7">
        <v>0</v>
      </c>
      <c r="AV66" s="7">
        <v>1694735</v>
      </c>
      <c r="AX66" s="7">
        <v>1194782</v>
      </c>
      <c r="AZ66" s="7">
        <v>394164</v>
      </c>
      <c r="BB66" s="8">
        <f t="shared" si="12"/>
        <v>56399008</v>
      </c>
      <c r="BD66" s="7">
        <v>264019</v>
      </c>
      <c r="BF66" s="7">
        <v>0</v>
      </c>
      <c r="BH66" s="7">
        <v>0</v>
      </c>
      <c r="BJ66" s="7">
        <v>0</v>
      </c>
      <c r="BL66" s="8">
        <f t="shared" si="5"/>
        <v>56663027</v>
      </c>
      <c r="BN66" s="8">
        <f>'Gov Fd Rv'!AQ66-'Gov Fnd Exp'!BL66</f>
        <v>1464606</v>
      </c>
      <c r="BP66" s="7">
        <v>14845766</v>
      </c>
      <c r="BR66" s="7">
        <v>0</v>
      </c>
      <c r="BT66" s="7">
        <v>0</v>
      </c>
      <c r="BV66" s="8">
        <f t="shared" si="8"/>
        <v>16310372</v>
      </c>
      <c r="BW66" s="8"/>
      <c r="BX66" s="8">
        <f>BV66-'Gov Fd BS'!AE66</f>
        <v>0</v>
      </c>
      <c r="BY66" s="8"/>
      <c r="CB66" s="101" t="str">
        <f t="shared" si="1"/>
        <v>Brecksville-Broadview Heights City SD</v>
      </c>
      <c r="CC66" s="101" t="b">
        <f t="shared" si="2"/>
        <v>1</v>
      </c>
      <c r="CD66" s="101" t="str">
        <f>'Gov Fd Rv'!A66</f>
        <v>Brecksville-Broadview Heights City SD</v>
      </c>
      <c r="CE66" s="8" t="b">
        <f t="shared" si="0"/>
        <v>1</v>
      </c>
      <c r="CG66" s="8" t="str">
        <f t="shared" si="3"/>
        <v>Cuyahoga</v>
      </c>
      <c r="CH66" s="8" t="b">
        <f t="shared" si="4"/>
        <v>1</v>
      </c>
      <c r="CI66" s="8" t="b">
        <f>C66='Gov Fd Rv'!C66</f>
        <v>1</v>
      </c>
    </row>
    <row r="67" spans="1:87">
      <c r="A67" s="12" t="s">
        <v>860</v>
      </c>
      <c r="B67" s="12"/>
      <c r="C67" s="12" t="s">
        <v>15</v>
      </c>
      <c r="D67" s="12"/>
      <c r="E67" s="12">
        <v>45237</v>
      </c>
      <c r="G67" s="7">
        <v>3540230</v>
      </c>
      <c r="I67" s="7">
        <v>894819</v>
      </c>
      <c r="K67" s="7">
        <v>38477</v>
      </c>
      <c r="M67" s="7">
        <v>0</v>
      </c>
      <c r="O67" s="7">
        <v>50536</v>
      </c>
      <c r="Q67" s="7">
        <v>206589</v>
      </c>
      <c r="S67" s="7">
        <v>393118</v>
      </c>
      <c r="U67" s="7">
        <v>33612</v>
      </c>
      <c r="W67" s="7">
        <v>549661</v>
      </c>
      <c r="Y67" s="7">
        <v>387091</v>
      </c>
      <c r="AA67" s="7">
        <v>42837</v>
      </c>
      <c r="AC67" s="7">
        <v>849136</v>
      </c>
      <c r="AE67" s="7">
        <v>389330</v>
      </c>
      <c r="AG67" s="7">
        <v>12524</v>
      </c>
      <c r="AI67" s="7">
        <v>342062</v>
      </c>
      <c r="AK67" s="7">
        <v>66448</v>
      </c>
      <c r="AL67" s="12" t="s">
        <v>860</v>
      </c>
      <c r="AM67" s="12"/>
      <c r="AN67" s="12" t="s">
        <v>15</v>
      </c>
      <c r="AP67" s="7">
        <v>157599</v>
      </c>
      <c r="AR67" s="7">
        <v>24888</v>
      </c>
      <c r="AT67" s="7">
        <v>442655</v>
      </c>
      <c r="AV67" s="7">
        <v>235258</v>
      </c>
      <c r="AX67" s="7">
        <v>210991</v>
      </c>
      <c r="AZ67" s="7">
        <v>0</v>
      </c>
      <c r="BB67" s="8">
        <f t="shared" si="12"/>
        <v>8867861</v>
      </c>
      <c r="BD67" s="7">
        <v>386814</v>
      </c>
      <c r="BF67" s="7">
        <v>0</v>
      </c>
      <c r="BH67" s="7">
        <v>0</v>
      </c>
      <c r="BJ67" s="7">
        <v>0</v>
      </c>
      <c r="BL67" s="8">
        <f t="shared" si="5"/>
        <v>9254675</v>
      </c>
      <c r="BN67" s="8">
        <f>'Gov Fd Rv'!AQ67-'Gov Fnd Exp'!BL67</f>
        <v>27555</v>
      </c>
      <c r="BP67" s="7">
        <v>1043854</v>
      </c>
      <c r="BR67" s="7">
        <v>0</v>
      </c>
      <c r="BT67" s="7">
        <v>0</v>
      </c>
      <c r="BV67" s="8">
        <f t="shared" si="8"/>
        <v>1071409</v>
      </c>
      <c r="BW67" s="8"/>
      <c r="BX67" s="8">
        <f>BV67-'Gov Fd BS'!AE67</f>
        <v>0</v>
      </c>
      <c r="BY67" s="8"/>
      <c r="CB67" s="101" t="str">
        <f t="shared" si="1"/>
        <v>Bridgeport Exempted Village SD</v>
      </c>
      <c r="CC67" s="101" t="b">
        <f t="shared" si="2"/>
        <v>1</v>
      </c>
      <c r="CD67" s="101" t="str">
        <f>'Gov Fd Rv'!A67</f>
        <v>Bridgeport Exempted Village SD</v>
      </c>
      <c r="CE67" s="8" t="b">
        <f t="shared" si="0"/>
        <v>1</v>
      </c>
      <c r="CG67" s="8" t="str">
        <f t="shared" si="3"/>
        <v>Belmont</v>
      </c>
      <c r="CH67" s="8" t="b">
        <f t="shared" si="4"/>
        <v>1</v>
      </c>
      <c r="CI67" s="8" t="b">
        <f>C67='Gov Fd Rv'!C67</f>
        <v>1</v>
      </c>
    </row>
    <row r="68" spans="1:87" hidden="1">
      <c r="A68" s="12" t="s">
        <v>906</v>
      </c>
      <c r="B68" s="12"/>
      <c r="C68" s="12" t="s">
        <v>358</v>
      </c>
      <c r="D68" s="12"/>
      <c r="E68" s="12">
        <v>47613</v>
      </c>
      <c r="AL68" s="12" t="s">
        <v>906</v>
      </c>
      <c r="AM68" s="12"/>
      <c r="AN68" s="12" t="s">
        <v>358</v>
      </c>
      <c r="BB68" s="8">
        <f t="shared" si="12"/>
        <v>0</v>
      </c>
      <c r="BF68" s="7">
        <v>0</v>
      </c>
      <c r="BH68" s="7">
        <v>0</v>
      </c>
      <c r="BL68" s="8">
        <f t="shared" si="5"/>
        <v>0</v>
      </c>
      <c r="BN68" s="8">
        <f>'Gov Fd Rv'!AQ68-'Gov Fnd Exp'!BL68</f>
        <v>0</v>
      </c>
      <c r="BT68" s="7">
        <v>0</v>
      </c>
      <c r="BV68" s="8">
        <f t="shared" si="8"/>
        <v>0</v>
      </c>
      <c r="BW68" s="8"/>
      <c r="BX68" s="8">
        <f>BV68-'Gov Fd BS'!AE68</f>
        <v>0</v>
      </c>
      <c r="BY68" s="8"/>
      <c r="BZ68" s="7" t="s">
        <v>903</v>
      </c>
      <c r="CB68" s="101" t="str">
        <f t="shared" si="1"/>
        <v>Bright Local SD (CASH)</v>
      </c>
      <c r="CC68" s="101" t="b">
        <f t="shared" si="2"/>
        <v>1</v>
      </c>
      <c r="CD68" s="101" t="str">
        <f>'Gov Fd Rv'!A68</f>
        <v>Bright Local SD (CASH)</v>
      </c>
      <c r="CE68" s="8" t="b">
        <f t="shared" si="0"/>
        <v>1</v>
      </c>
      <c r="CG68" s="8" t="str">
        <f t="shared" si="3"/>
        <v>Highland</v>
      </c>
      <c r="CH68" s="8" t="b">
        <f t="shared" si="4"/>
        <v>1</v>
      </c>
      <c r="CI68" s="8" t="b">
        <f>C68='Gov Fd Rv'!C68</f>
        <v>1</v>
      </c>
    </row>
    <row r="69" spans="1:87">
      <c r="A69" s="12" t="s">
        <v>535</v>
      </c>
      <c r="B69" s="12"/>
      <c r="C69" s="12" t="s">
        <v>64</v>
      </c>
      <c r="D69" s="12"/>
      <c r="E69" s="12">
        <v>50112</v>
      </c>
      <c r="G69" s="7">
        <v>3827351</v>
      </c>
      <c r="I69" s="7">
        <v>847503</v>
      </c>
      <c r="K69" s="7">
        <v>57789</v>
      </c>
      <c r="M69" s="7">
        <v>0</v>
      </c>
      <c r="O69" s="7">
        <v>6547</v>
      </c>
      <c r="Q69" s="7">
        <v>238749</v>
      </c>
      <c r="S69" s="7">
        <v>65377</v>
      </c>
      <c r="U69" s="7">
        <v>35787</v>
      </c>
      <c r="W69" s="7">
        <v>607320</v>
      </c>
      <c r="Y69" s="7">
        <v>236615</v>
      </c>
      <c r="AA69" s="7">
        <v>25256</v>
      </c>
      <c r="AC69" s="7">
        <v>572549</v>
      </c>
      <c r="AE69" s="7">
        <v>492304</v>
      </c>
      <c r="AG69" s="7">
        <v>9849</v>
      </c>
      <c r="AI69" s="7">
        <v>242920</v>
      </c>
      <c r="AK69" s="7">
        <v>0</v>
      </c>
      <c r="AL69" s="12" t="s">
        <v>535</v>
      </c>
      <c r="AM69" s="12"/>
      <c r="AN69" s="12" t="s">
        <v>64</v>
      </c>
      <c r="AP69" s="7">
        <v>194409</v>
      </c>
      <c r="AR69" s="7">
        <v>50887</v>
      </c>
      <c r="AT69" s="7">
        <v>0</v>
      </c>
      <c r="AV69" s="7">
        <v>126039</v>
      </c>
      <c r="AX69" s="7">
        <f>20608+51561</f>
        <v>72169</v>
      </c>
      <c r="AZ69" s="7">
        <v>0</v>
      </c>
      <c r="BB69" s="8">
        <f t="shared" si="12"/>
        <v>7709420</v>
      </c>
      <c r="BD69" s="7">
        <v>98894</v>
      </c>
      <c r="BF69" s="7">
        <v>0</v>
      </c>
      <c r="BH69" s="7">
        <v>0</v>
      </c>
      <c r="BJ69" s="7">
        <v>1560729</v>
      </c>
      <c r="BL69" s="8">
        <f t="shared" si="5"/>
        <v>9369043</v>
      </c>
      <c r="BN69" s="8">
        <f>'Gov Fd Rv'!AQ69-'Gov Fnd Exp'!BL69</f>
        <v>307356</v>
      </c>
      <c r="BP69" s="7">
        <v>2114672</v>
      </c>
      <c r="BR69" s="7">
        <v>2949</v>
      </c>
      <c r="BT69" s="7">
        <v>0</v>
      </c>
      <c r="BV69" s="8">
        <f t="shared" si="8"/>
        <v>2424977</v>
      </c>
      <c r="BW69" s="8"/>
      <c r="BX69" s="8">
        <f>BV69-'Gov Fd BS'!AE69</f>
        <v>0</v>
      </c>
      <c r="BY69" s="8"/>
      <c r="CB69" s="101" t="str">
        <f t="shared" si="1"/>
        <v>Bristol Local SD</v>
      </c>
      <c r="CC69" s="101" t="b">
        <f t="shared" si="2"/>
        <v>1</v>
      </c>
      <c r="CD69" s="101" t="str">
        <f>'Gov Fd Rv'!A69</f>
        <v>Bristol Local SD</v>
      </c>
      <c r="CE69" s="8" t="b">
        <f t="shared" si="0"/>
        <v>1</v>
      </c>
      <c r="CG69" s="8" t="str">
        <f t="shared" si="3"/>
        <v>Trumbull</v>
      </c>
      <c r="CH69" s="8" t="b">
        <f t="shared" si="4"/>
        <v>1</v>
      </c>
      <c r="CI69" s="8" t="b">
        <f>C69='Gov Fd Rv'!C69</f>
        <v>1</v>
      </c>
    </row>
    <row r="70" spans="1:87">
      <c r="A70" s="12" t="s">
        <v>706</v>
      </c>
      <c r="B70" s="12"/>
      <c r="C70" s="12" t="s">
        <v>64</v>
      </c>
      <c r="D70" s="12"/>
      <c r="E70" s="12">
        <v>50120</v>
      </c>
      <c r="G70" s="7">
        <v>5139521</v>
      </c>
      <c r="I70" s="7">
        <v>1799604</v>
      </c>
      <c r="K70" s="7">
        <v>153753</v>
      </c>
      <c r="M70" s="7">
        <v>0</v>
      </c>
      <c r="O70" s="7">
        <v>0</v>
      </c>
      <c r="Q70" s="7">
        <v>552160</v>
      </c>
      <c r="S70" s="7">
        <v>429967</v>
      </c>
      <c r="U70" s="7">
        <v>13737</v>
      </c>
      <c r="W70" s="7">
        <v>797331</v>
      </c>
      <c r="Y70" s="7">
        <v>295621</v>
      </c>
      <c r="AA70" s="7">
        <v>36330</v>
      </c>
      <c r="AC70" s="7">
        <v>1053512</v>
      </c>
      <c r="AE70" s="7">
        <v>695616</v>
      </c>
      <c r="AG70" s="7">
        <v>1954</v>
      </c>
      <c r="AI70" s="7">
        <v>529489</v>
      </c>
      <c r="AK70" s="7">
        <v>0</v>
      </c>
      <c r="AL70" s="12" t="s">
        <v>706</v>
      </c>
      <c r="AM70" s="12"/>
      <c r="AN70" s="12" t="s">
        <v>64</v>
      </c>
      <c r="AP70" s="7">
        <v>377702</v>
      </c>
      <c r="AR70" s="7">
        <v>13529630</v>
      </c>
      <c r="AT70" s="7">
        <v>0</v>
      </c>
      <c r="AV70" s="7">
        <v>203965</v>
      </c>
      <c r="AX70" s="7">
        <v>696914</v>
      </c>
      <c r="AZ70" s="7">
        <v>0</v>
      </c>
      <c r="BB70" s="8">
        <f t="shared" si="12"/>
        <v>26306806</v>
      </c>
      <c r="BD70" s="7">
        <v>0</v>
      </c>
      <c r="BF70" s="7">
        <v>0</v>
      </c>
      <c r="BH70" s="7">
        <v>0</v>
      </c>
      <c r="BJ70" s="7">
        <v>0</v>
      </c>
      <c r="BL70" s="8">
        <f t="shared" si="5"/>
        <v>26306806</v>
      </c>
      <c r="BN70" s="8">
        <f>'Gov Fd Rv'!AQ70-'Gov Fnd Exp'!BL70</f>
        <v>-13214292</v>
      </c>
      <c r="BP70" s="7">
        <v>18303986</v>
      </c>
      <c r="BR70" s="7">
        <v>0</v>
      </c>
      <c r="BT70" s="7">
        <v>0</v>
      </c>
      <c r="BV70" s="8">
        <f t="shared" si="8"/>
        <v>5089694</v>
      </c>
      <c r="BW70" s="8"/>
      <c r="BX70" s="8">
        <f>BV70-'Gov Fd BS'!AE70</f>
        <v>0</v>
      </c>
      <c r="BY70" s="8"/>
      <c r="CB70" s="101" t="str">
        <f t="shared" si="1"/>
        <v xml:space="preserve">Brookfield Local SD </v>
      </c>
      <c r="CC70" s="101" t="b">
        <f t="shared" si="2"/>
        <v>1</v>
      </c>
      <c r="CD70" s="101" t="str">
        <f>'Gov Fd Rv'!A70</f>
        <v xml:space="preserve">Brookfield Local SD </v>
      </c>
      <c r="CE70" s="8" t="b">
        <f t="shared" si="0"/>
        <v>1</v>
      </c>
      <c r="CG70" s="8" t="str">
        <f t="shared" si="3"/>
        <v>Trumbull</v>
      </c>
      <c r="CH70" s="8" t="b">
        <f t="shared" si="4"/>
        <v>1</v>
      </c>
      <c r="CI70" s="8" t="b">
        <f>C70='Gov Fd Rv'!C70</f>
        <v>1</v>
      </c>
    </row>
    <row r="71" spans="1:87">
      <c r="A71" s="12" t="s">
        <v>270</v>
      </c>
      <c r="B71" s="12"/>
      <c r="C71" s="12" t="s">
        <v>20</v>
      </c>
      <c r="D71" s="12"/>
      <c r="E71" s="12">
        <v>43653</v>
      </c>
      <c r="G71" s="7">
        <v>6885657</v>
      </c>
      <c r="I71" s="7">
        <v>2529515</v>
      </c>
      <c r="K71" s="7">
        <v>117455</v>
      </c>
      <c r="M71" s="7">
        <v>0</v>
      </c>
      <c r="O71" s="7">
        <v>0</v>
      </c>
      <c r="Q71" s="7">
        <v>1639361</v>
      </c>
      <c r="S71" s="7">
        <v>118158</v>
      </c>
      <c r="U71" s="7">
        <v>38511</v>
      </c>
      <c r="W71" s="7">
        <v>1526167</v>
      </c>
      <c r="Y71" s="7">
        <v>719554</v>
      </c>
      <c r="AA71" s="7">
        <v>94867</v>
      </c>
      <c r="AC71" s="7">
        <v>1181336</v>
      </c>
      <c r="AE71" s="7">
        <v>326670</v>
      </c>
      <c r="AG71" s="7">
        <v>247094</v>
      </c>
      <c r="AI71" s="7">
        <v>485892</v>
      </c>
      <c r="AK71" s="7">
        <v>318064</v>
      </c>
      <c r="AL71" s="12" t="s">
        <v>270</v>
      </c>
      <c r="AM71" s="12"/>
      <c r="AN71" s="12" t="s">
        <v>20</v>
      </c>
      <c r="AP71" s="7">
        <v>378634</v>
      </c>
      <c r="AR71" s="7">
        <v>93631</v>
      </c>
      <c r="AT71" s="7">
        <v>0</v>
      </c>
      <c r="AV71" s="7">
        <v>0</v>
      </c>
      <c r="AX71" s="7">
        <v>0</v>
      </c>
      <c r="AZ71" s="7">
        <v>0</v>
      </c>
      <c r="BB71" s="8">
        <f t="shared" si="12"/>
        <v>16700566</v>
      </c>
      <c r="BD71" s="7">
        <v>0</v>
      </c>
      <c r="BF71" s="7">
        <v>0</v>
      </c>
      <c r="BH71" s="7">
        <v>0</v>
      </c>
      <c r="BJ71" s="7">
        <v>0</v>
      </c>
      <c r="BL71" s="8">
        <f t="shared" si="5"/>
        <v>16700566</v>
      </c>
      <c r="BN71" s="8">
        <f>'Gov Fd Rv'!AQ71-'Gov Fnd Exp'!BL71</f>
        <v>888723</v>
      </c>
      <c r="BP71" s="7">
        <v>3356831</v>
      </c>
      <c r="BR71" s="7">
        <v>0</v>
      </c>
      <c r="BT71" s="7">
        <v>0</v>
      </c>
      <c r="BV71" s="8">
        <f t="shared" si="8"/>
        <v>4245554</v>
      </c>
      <c r="BW71" s="8"/>
      <c r="BX71" s="8">
        <f>BV71-'Gov Fd BS'!AE71</f>
        <v>0</v>
      </c>
      <c r="BY71" s="8"/>
      <c r="CB71" s="101" t="str">
        <f t="shared" si="1"/>
        <v>Brooklyn City SD</v>
      </c>
      <c r="CC71" s="101" t="b">
        <f t="shared" si="2"/>
        <v>1</v>
      </c>
      <c r="CD71" s="101" t="str">
        <f>'Gov Fd Rv'!A71</f>
        <v>Brooklyn City SD</v>
      </c>
      <c r="CE71" s="8" t="b">
        <f t="shared" si="0"/>
        <v>1</v>
      </c>
      <c r="CG71" s="8" t="str">
        <f t="shared" si="3"/>
        <v>Cuyahoga</v>
      </c>
      <c r="CH71" s="8" t="b">
        <f t="shared" si="4"/>
        <v>1</v>
      </c>
      <c r="CI71" s="8" t="b">
        <f>C71='Gov Fd Rv'!C71</f>
        <v>1</v>
      </c>
    </row>
    <row r="72" spans="1:87">
      <c r="A72" s="12" t="s">
        <v>441</v>
      </c>
      <c r="B72" s="12"/>
      <c r="C72" s="12" t="s">
        <v>50</v>
      </c>
      <c r="D72" s="12"/>
      <c r="E72" s="12">
        <v>48678</v>
      </c>
      <c r="G72" s="7">
        <v>5612202</v>
      </c>
      <c r="I72" s="7">
        <v>1319169</v>
      </c>
      <c r="K72" s="7">
        <v>171082</v>
      </c>
      <c r="M72" s="7">
        <v>0</v>
      </c>
      <c r="O72" s="7">
        <v>107016</v>
      </c>
      <c r="Q72" s="7">
        <v>943465</v>
      </c>
      <c r="S72" s="7">
        <v>1030169</v>
      </c>
      <c r="U72" s="7">
        <v>21133</v>
      </c>
      <c r="W72" s="7">
        <v>1393713</v>
      </c>
      <c r="Y72" s="7">
        <v>333605</v>
      </c>
      <c r="AA72" s="7">
        <v>876</v>
      </c>
      <c r="AC72" s="7">
        <v>1477434</v>
      </c>
      <c r="AE72" s="7">
        <v>695568</v>
      </c>
      <c r="AG72" s="7">
        <v>26128</v>
      </c>
      <c r="AI72" s="7">
        <v>0</v>
      </c>
      <c r="AK72" s="7">
        <v>722100</v>
      </c>
      <c r="AL72" s="12" t="s">
        <v>441</v>
      </c>
      <c r="AM72" s="12"/>
      <c r="AN72" s="12" t="s">
        <v>50</v>
      </c>
      <c r="AP72" s="7">
        <v>587992</v>
      </c>
      <c r="AR72" s="7">
        <v>9490885</v>
      </c>
      <c r="AT72" s="7">
        <v>0</v>
      </c>
      <c r="AV72" s="7">
        <v>590000</v>
      </c>
      <c r="AX72" s="7">
        <v>799914</v>
      </c>
      <c r="AZ72" s="7">
        <v>0</v>
      </c>
      <c r="BB72" s="8">
        <f t="shared" si="12"/>
        <v>25322451</v>
      </c>
      <c r="BD72" s="7">
        <v>117646</v>
      </c>
      <c r="BF72" s="7">
        <v>0</v>
      </c>
      <c r="BH72" s="7">
        <v>0</v>
      </c>
      <c r="BJ72" s="7">
        <v>0</v>
      </c>
      <c r="BL72" s="8">
        <f t="shared" si="5"/>
        <v>25440097</v>
      </c>
      <c r="BN72" s="8">
        <f>'Gov Fd Rv'!AQ72-'Gov Fnd Exp'!BL72</f>
        <v>-4779879</v>
      </c>
      <c r="BP72" s="7">
        <v>16282899</v>
      </c>
      <c r="BR72" s="7">
        <v>0</v>
      </c>
      <c r="BT72" s="7">
        <v>0</v>
      </c>
      <c r="BV72" s="8">
        <f t="shared" si="8"/>
        <v>11503020</v>
      </c>
      <c r="BW72" s="8"/>
      <c r="BX72" s="8">
        <f>BV72-'Gov Fd BS'!AE72</f>
        <v>0</v>
      </c>
      <c r="BY72" s="8"/>
      <c r="CB72" s="101" t="str">
        <f t="shared" si="1"/>
        <v>Brookville Local SD</v>
      </c>
      <c r="CC72" s="101" t="b">
        <f t="shared" si="2"/>
        <v>1</v>
      </c>
      <c r="CD72" s="101" t="str">
        <f>'Gov Fd Rv'!A72</f>
        <v>Brookville Local SD</v>
      </c>
      <c r="CE72" s="8" t="b">
        <f t="shared" si="0"/>
        <v>1</v>
      </c>
      <c r="CG72" s="8" t="str">
        <f t="shared" si="3"/>
        <v>Montgomery</v>
      </c>
      <c r="CH72" s="8" t="b">
        <f t="shared" si="4"/>
        <v>1</v>
      </c>
      <c r="CI72" s="8" t="b">
        <f>C72='Gov Fd Rv'!C72</f>
        <v>1</v>
      </c>
    </row>
    <row r="73" spans="1:87">
      <c r="A73" s="12" t="s">
        <v>231</v>
      </c>
      <c r="B73" s="12"/>
      <c r="C73" s="12" t="s">
        <v>16</v>
      </c>
      <c r="D73" s="12"/>
      <c r="E73" s="12">
        <v>46177</v>
      </c>
      <c r="G73" s="7">
        <v>4229089</v>
      </c>
      <c r="I73" s="7">
        <v>489475</v>
      </c>
      <c r="K73" s="7">
        <v>58360</v>
      </c>
      <c r="M73" s="7">
        <v>0</v>
      </c>
      <c r="O73" s="7">
        <v>0</v>
      </c>
      <c r="Q73" s="7">
        <v>257580</v>
      </c>
      <c r="S73" s="7">
        <v>376683</v>
      </c>
      <c r="U73" s="7">
        <v>189810</v>
      </c>
      <c r="W73" s="7">
        <v>593647</v>
      </c>
      <c r="Y73" s="7">
        <v>182023</v>
      </c>
      <c r="AA73" s="7">
        <v>5163</v>
      </c>
      <c r="AC73" s="7">
        <v>535459</v>
      </c>
      <c r="AE73" s="7">
        <v>508506</v>
      </c>
      <c r="AG73" s="7">
        <v>6866</v>
      </c>
      <c r="AI73" s="7">
        <v>361883</v>
      </c>
      <c r="AK73" s="7">
        <v>0</v>
      </c>
      <c r="AL73" s="12" t="s">
        <v>231</v>
      </c>
      <c r="AM73" s="12"/>
      <c r="AN73" s="12" t="s">
        <v>16</v>
      </c>
      <c r="AP73" s="7">
        <v>317222</v>
      </c>
      <c r="AR73" s="7">
        <v>1931</v>
      </c>
      <c r="AT73" s="7">
        <v>0</v>
      </c>
      <c r="AV73" s="7">
        <v>17487</v>
      </c>
      <c r="AX73" s="7">
        <v>2340</v>
      </c>
      <c r="AZ73" s="7">
        <v>0</v>
      </c>
      <c r="BB73" s="8">
        <f t="shared" si="12"/>
        <v>8133524</v>
      </c>
      <c r="BD73" s="7">
        <v>0</v>
      </c>
      <c r="BF73" s="7">
        <v>0</v>
      </c>
      <c r="BH73" s="7">
        <v>0</v>
      </c>
      <c r="BJ73" s="7">
        <v>0</v>
      </c>
      <c r="BL73" s="8">
        <f t="shared" si="5"/>
        <v>8133524</v>
      </c>
      <c r="BN73" s="8">
        <f>'Gov Fd Rv'!AQ73-'Gov Fnd Exp'!BL73</f>
        <v>911175</v>
      </c>
      <c r="BP73" s="7">
        <v>2696879</v>
      </c>
      <c r="BR73" s="7">
        <v>0</v>
      </c>
      <c r="BT73" s="7">
        <v>0</v>
      </c>
      <c r="BV73" s="8">
        <f t="shared" si="8"/>
        <v>3608054</v>
      </c>
      <c r="BW73" s="8"/>
      <c r="BX73" s="8">
        <f>BV73-'Gov Fd BS'!AE73</f>
        <v>0</v>
      </c>
      <c r="BY73" s="8"/>
      <c r="CB73" s="101" t="str">
        <f t="shared" si="1"/>
        <v>Brown Local SD</v>
      </c>
      <c r="CC73" s="101" t="b">
        <f t="shared" si="2"/>
        <v>1</v>
      </c>
      <c r="CD73" s="101" t="str">
        <f>'Gov Fd Rv'!A73</f>
        <v>Brown Local SD</v>
      </c>
      <c r="CE73" s="8" t="b">
        <f t="shared" si="0"/>
        <v>1</v>
      </c>
      <c r="CG73" s="8" t="str">
        <f t="shared" si="3"/>
        <v>Carroll</v>
      </c>
      <c r="CH73" s="8" t="b">
        <f t="shared" si="4"/>
        <v>1</v>
      </c>
      <c r="CI73" s="8" t="b">
        <f>C73='Gov Fd Rv'!C73</f>
        <v>1</v>
      </c>
    </row>
    <row r="74" spans="1:87">
      <c r="A74" s="12" t="s">
        <v>428</v>
      </c>
      <c r="B74" s="12"/>
      <c r="C74" s="12" t="s">
        <v>47</v>
      </c>
      <c r="D74" s="12"/>
      <c r="E74" s="12">
        <v>43661</v>
      </c>
      <c r="G74" s="7">
        <v>31477810</v>
      </c>
      <c r="I74" s="7">
        <v>8392601</v>
      </c>
      <c r="K74" s="7">
        <v>205318</v>
      </c>
      <c r="M74" s="7">
        <v>0</v>
      </c>
      <c r="O74" s="7">
        <v>1717450</v>
      </c>
      <c r="Q74" s="7">
        <v>5746049</v>
      </c>
      <c r="S74" s="7">
        <v>3386597</v>
      </c>
      <c r="U74" s="7">
        <v>682276</v>
      </c>
      <c r="W74" s="7">
        <v>4746461</v>
      </c>
      <c r="Y74" s="7">
        <v>1202435</v>
      </c>
      <c r="AA74" s="7">
        <v>447837</v>
      </c>
      <c r="AC74" s="7">
        <v>6263028</v>
      </c>
      <c r="AE74" s="7">
        <v>3948221</v>
      </c>
      <c r="AG74" s="7">
        <v>253165</v>
      </c>
      <c r="AI74" s="7">
        <v>2089952</v>
      </c>
      <c r="AK74" s="7">
        <v>507369</v>
      </c>
      <c r="AL74" s="12" t="s">
        <v>428</v>
      </c>
      <c r="AM74" s="12"/>
      <c r="AN74" s="12" t="s">
        <v>47</v>
      </c>
      <c r="AP74" s="7">
        <v>1824612</v>
      </c>
      <c r="AR74" s="7">
        <v>15002154</v>
      </c>
      <c r="AT74" s="7">
        <v>0</v>
      </c>
      <c r="AV74" s="7">
        <v>1162131</v>
      </c>
      <c r="AX74" s="7">
        <v>2153387</v>
      </c>
      <c r="AZ74" s="7">
        <v>586116</v>
      </c>
      <c r="BB74" s="8">
        <f t="shared" si="12"/>
        <v>91794969</v>
      </c>
      <c r="BD74" s="7">
        <v>300000</v>
      </c>
      <c r="BF74" s="7">
        <v>0</v>
      </c>
      <c r="BH74" s="7">
        <v>0</v>
      </c>
      <c r="BJ74" s="7">
        <v>0</v>
      </c>
      <c r="BL74" s="8">
        <f t="shared" si="5"/>
        <v>92094969</v>
      </c>
      <c r="BN74" s="8">
        <f>'Gov Fd Rv'!AQ74-'Gov Fnd Exp'!BL74</f>
        <v>7874036</v>
      </c>
      <c r="BP74" s="7">
        <v>13445905</v>
      </c>
      <c r="BR74" s="7">
        <v>0</v>
      </c>
      <c r="BT74" s="7">
        <v>0</v>
      </c>
      <c r="BV74" s="8">
        <f t="shared" si="8"/>
        <v>21319941</v>
      </c>
      <c r="BW74" s="8"/>
      <c r="BX74" s="8">
        <f>BV74-'Gov Fd BS'!AE74</f>
        <v>0</v>
      </c>
      <c r="BY74" s="8"/>
      <c r="CB74" s="101" t="str">
        <f t="shared" si="1"/>
        <v>Brunswick City SD</v>
      </c>
      <c r="CC74" s="101" t="b">
        <f t="shared" si="2"/>
        <v>1</v>
      </c>
      <c r="CD74" s="101" t="str">
        <f>'Gov Fd Rv'!A74</f>
        <v>Brunswick City SD</v>
      </c>
      <c r="CE74" s="8" t="b">
        <f t="shared" si="0"/>
        <v>1</v>
      </c>
      <c r="CG74" s="8" t="str">
        <f t="shared" si="3"/>
        <v>Medina</v>
      </c>
      <c r="CH74" s="8" t="b">
        <f t="shared" si="4"/>
        <v>1</v>
      </c>
      <c r="CI74" s="8" t="b">
        <f>C74='Gov Fd Rv'!C74</f>
        <v>1</v>
      </c>
    </row>
    <row r="75" spans="1:87" hidden="1">
      <c r="A75" s="12" t="s">
        <v>707</v>
      </c>
      <c r="B75" s="12"/>
      <c r="C75" s="12" t="s">
        <v>570</v>
      </c>
      <c r="D75" s="12"/>
      <c r="E75" s="12">
        <v>43679</v>
      </c>
      <c r="AL75" s="12" t="s">
        <v>707</v>
      </c>
      <c r="AM75" s="12"/>
      <c r="AN75" s="12" t="s">
        <v>570</v>
      </c>
      <c r="BB75" s="8">
        <f t="shared" si="12"/>
        <v>0</v>
      </c>
      <c r="BD75" s="24"/>
      <c r="BF75" s="7">
        <v>0</v>
      </c>
      <c r="BH75" s="7">
        <v>0</v>
      </c>
      <c r="BL75" s="8">
        <f t="shared" si="5"/>
        <v>0</v>
      </c>
      <c r="BN75" s="8">
        <f>'Gov Fd Rv'!AQ75-'Gov Fnd Exp'!BL75</f>
        <v>0</v>
      </c>
      <c r="BT75" s="7">
        <v>0</v>
      </c>
      <c r="BV75" s="8">
        <f t="shared" si="8"/>
        <v>0</v>
      </c>
      <c r="BW75" s="8"/>
      <c r="BX75" s="8">
        <f>BV75-'Gov Fd BS'!AE75</f>
        <v>0</v>
      </c>
      <c r="BY75" s="8"/>
      <c r="BZ75" s="7" t="s">
        <v>778</v>
      </c>
      <c r="CB75" s="101" t="str">
        <f t="shared" si="1"/>
        <v>Bryan City SD (CASH)</v>
      </c>
      <c r="CC75" s="101" t="b">
        <f t="shared" si="2"/>
        <v>1</v>
      </c>
      <c r="CD75" s="101" t="str">
        <f>'Gov Fd Rv'!A75</f>
        <v>Bryan City SD (CASH)</v>
      </c>
      <c r="CE75" s="8" t="b">
        <f t="shared" ref="CE75:CE138" si="13">CB75=CD75</f>
        <v>1</v>
      </c>
      <c r="CG75" s="8" t="str">
        <f t="shared" si="3"/>
        <v>Williams</v>
      </c>
      <c r="CH75" s="8" t="b">
        <f t="shared" si="4"/>
        <v>1</v>
      </c>
      <c r="CI75" s="8" t="b">
        <f>C75='Gov Fd Rv'!C75</f>
        <v>1</v>
      </c>
    </row>
    <row r="76" spans="1:87">
      <c r="A76" s="12" t="s">
        <v>262</v>
      </c>
      <c r="B76" s="12"/>
      <c r="C76" s="12" t="s">
        <v>111</v>
      </c>
      <c r="D76" s="12"/>
      <c r="E76" s="12">
        <v>46508</v>
      </c>
      <c r="G76" s="7">
        <v>4279711</v>
      </c>
      <c r="I76" s="7">
        <v>951657</v>
      </c>
      <c r="K76" s="7">
        <v>141520</v>
      </c>
      <c r="M76" s="7">
        <v>0</v>
      </c>
      <c r="O76" s="7">
        <v>1185</v>
      </c>
      <c r="Q76" s="7">
        <v>215693</v>
      </c>
      <c r="S76" s="7">
        <v>271980</v>
      </c>
      <c r="U76" s="7">
        <v>15024</v>
      </c>
      <c r="W76" s="7">
        <v>732267</v>
      </c>
      <c r="Y76" s="7">
        <v>289287</v>
      </c>
      <c r="AA76" s="7">
        <v>0</v>
      </c>
      <c r="AC76" s="7">
        <v>521864</v>
      </c>
      <c r="AE76" s="7">
        <v>603371</v>
      </c>
      <c r="AG76" s="7">
        <v>61296</v>
      </c>
      <c r="AI76" s="7">
        <v>312310</v>
      </c>
      <c r="AK76" s="7">
        <v>84154</v>
      </c>
      <c r="AL76" s="12" t="s">
        <v>262</v>
      </c>
      <c r="AM76" s="12"/>
      <c r="AN76" s="12" t="s">
        <v>111</v>
      </c>
      <c r="AP76" s="7">
        <v>383588</v>
      </c>
      <c r="AR76" s="7">
        <v>196073</v>
      </c>
      <c r="AT76" s="7">
        <v>0</v>
      </c>
      <c r="AV76" s="7">
        <v>249057</v>
      </c>
      <c r="AX76" s="7">
        <v>354663</v>
      </c>
      <c r="AZ76" s="7">
        <v>0</v>
      </c>
      <c r="BB76" s="8">
        <f t="shared" si="12"/>
        <v>9664700</v>
      </c>
      <c r="BD76" s="7">
        <v>25000</v>
      </c>
      <c r="BF76" s="7">
        <v>0</v>
      </c>
      <c r="BH76" s="7">
        <v>0</v>
      </c>
      <c r="BJ76" s="7">
        <v>0</v>
      </c>
      <c r="BL76" s="8">
        <f t="shared" si="5"/>
        <v>9689700</v>
      </c>
      <c r="BN76" s="8">
        <f>'Gov Fd Rv'!AQ76-'Gov Fnd Exp'!BL76</f>
        <v>387717</v>
      </c>
      <c r="BP76" s="7">
        <v>5551821</v>
      </c>
      <c r="BR76" s="7">
        <f>-321814+116000+8521</f>
        <v>-197293</v>
      </c>
      <c r="BT76" s="7">
        <v>0</v>
      </c>
      <c r="BV76" s="8">
        <f t="shared" si="8"/>
        <v>5742245</v>
      </c>
      <c r="BW76" s="8"/>
      <c r="BX76" s="8">
        <f>BV76-'Gov Fd BS'!AE76</f>
        <v>0</v>
      </c>
      <c r="BY76" s="8"/>
      <c r="CB76" s="101" t="str">
        <f t="shared" si="1"/>
        <v>Buckeye Central Local SD</v>
      </c>
      <c r="CC76" s="101" t="b">
        <f t="shared" ref="CC76:CC139" si="14">A76=AL76</f>
        <v>1</v>
      </c>
      <c r="CD76" s="101" t="str">
        <f>'Gov Fd Rv'!A76</f>
        <v>Buckeye Central Local SD</v>
      </c>
      <c r="CE76" s="8" t="b">
        <f t="shared" si="13"/>
        <v>1</v>
      </c>
      <c r="CG76" s="8" t="str">
        <f t="shared" ref="CG76:CG139" si="15">C76</f>
        <v>Crawford</v>
      </c>
      <c r="CH76" s="8" t="b">
        <f t="shared" ref="CH76:CH139" si="16">C76=AN76</f>
        <v>1</v>
      </c>
      <c r="CI76" s="8" t="b">
        <f>C76='Gov Fd Rv'!C76</f>
        <v>1</v>
      </c>
    </row>
    <row r="77" spans="1:87">
      <c r="A77" s="12" t="s">
        <v>207</v>
      </c>
      <c r="B77" s="12"/>
      <c r="C77" s="12" t="s">
        <v>12</v>
      </c>
      <c r="D77" s="12"/>
      <c r="E77" s="12">
        <v>45856</v>
      </c>
      <c r="G77" s="7">
        <v>9539667</v>
      </c>
      <c r="I77" s="7">
        <v>2175962</v>
      </c>
      <c r="K77" s="7">
        <v>278036</v>
      </c>
      <c r="M77" s="7">
        <v>4900</v>
      </c>
      <c r="O77" s="7">
        <v>0</v>
      </c>
      <c r="Q77" s="7">
        <v>554890</v>
      </c>
      <c r="S77" s="7">
        <v>308914</v>
      </c>
      <c r="U77" s="7">
        <v>28211</v>
      </c>
      <c r="W77" s="7">
        <v>1332577</v>
      </c>
      <c r="Y77" s="7">
        <v>513709</v>
      </c>
      <c r="AA77" s="7">
        <v>85818</v>
      </c>
      <c r="AC77" s="7">
        <v>1807918</v>
      </c>
      <c r="AE77" s="7">
        <v>921963</v>
      </c>
      <c r="AG77" s="7">
        <v>65285</v>
      </c>
      <c r="AI77" s="7">
        <v>884272</v>
      </c>
      <c r="AK77" s="7">
        <v>489162</v>
      </c>
      <c r="AL77" s="12" t="s">
        <v>207</v>
      </c>
      <c r="AM77" s="12"/>
      <c r="AN77" s="12" t="s">
        <v>12</v>
      </c>
      <c r="AP77" s="7">
        <v>0</v>
      </c>
      <c r="AR77" s="7">
        <v>372769</v>
      </c>
      <c r="AT77" s="7">
        <v>0</v>
      </c>
      <c r="AV77" s="7">
        <v>166921</v>
      </c>
      <c r="AX77" s="7">
        <v>11782</v>
      </c>
      <c r="AZ77" s="7">
        <v>0</v>
      </c>
      <c r="BB77" s="8">
        <f t="shared" si="12"/>
        <v>19542756</v>
      </c>
      <c r="BD77" s="7">
        <v>0</v>
      </c>
      <c r="BF77" s="7">
        <v>0</v>
      </c>
      <c r="BH77" s="7">
        <v>0</v>
      </c>
      <c r="BJ77" s="7">
        <v>0</v>
      </c>
      <c r="BL77" s="8">
        <f t="shared" si="5"/>
        <v>19542756</v>
      </c>
      <c r="BN77" s="8">
        <f>'Gov Fd Rv'!AQ77-'Gov Fnd Exp'!BL77</f>
        <v>1093894</v>
      </c>
      <c r="BP77" s="7">
        <v>6128558</v>
      </c>
      <c r="BR77" s="7">
        <v>0</v>
      </c>
      <c r="BT77" s="7">
        <v>0</v>
      </c>
      <c r="BV77" s="8">
        <f t="shared" si="8"/>
        <v>7222452</v>
      </c>
      <c r="BW77" s="8"/>
      <c r="BX77" s="8">
        <f>BV77-'Gov Fd BS'!AE77</f>
        <v>0</v>
      </c>
      <c r="BY77" s="8"/>
      <c r="CB77" s="101" t="str">
        <f t="shared" ref="CB77:CB140" si="17">A77</f>
        <v>Buckeye Local SD</v>
      </c>
      <c r="CC77" s="101" t="b">
        <f t="shared" si="14"/>
        <v>1</v>
      </c>
      <c r="CD77" s="101" t="str">
        <f>'Gov Fd Rv'!A77</f>
        <v>Buckeye Local SD</v>
      </c>
      <c r="CE77" s="8" t="b">
        <f t="shared" si="13"/>
        <v>1</v>
      </c>
      <c r="CG77" s="8" t="str">
        <f t="shared" si="15"/>
        <v>Ashtabula</v>
      </c>
      <c r="CH77" s="8" t="b">
        <f t="shared" si="16"/>
        <v>1</v>
      </c>
      <c r="CI77" s="8" t="b">
        <f>C77='Gov Fd Rv'!C77</f>
        <v>1</v>
      </c>
    </row>
    <row r="78" spans="1:87">
      <c r="A78" s="12" t="s">
        <v>207</v>
      </c>
      <c r="B78" s="12"/>
      <c r="C78" s="12" t="s">
        <v>39</v>
      </c>
      <c r="D78" s="12"/>
      <c r="E78" s="12">
        <v>47787</v>
      </c>
      <c r="G78" s="7">
        <v>9167736</v>
      </c>
      <c r="I78" s="7">
        <v>2517464</v>
      </c>
      <c r="K78" s="7">
        <v>611178</v>
      </c>
      <c r="M78" s="7">
        <v>153437</v>
      </c>
      <c r="O78" s="7">
        <v>0</v>
      </c>
      <c r="Q78" s="7">
        <v>776847</v>
      </c>
      <c r="S78" s="7">
        <v>640355</v>
      </c>
      <c r="U78" s="7">
        <v>103237</v>
      </c>
      <c r="W78" s="7">
        <v>2087043</v>
      </c>
      <c r="Y78" s="7">
        <v>457176</v>
      </c>
      <c r="AA78" s="7">
        <v>55197</v>
      </c>
      <c r="AC78" s="7">
        <v>2087700</v>
      </c>
      <c r="AE78" s="7">
        <v>1668821</v>
      </c>
      <c r="AG78" s="7">
        <v>0</v>
      </c>
      <c r="AI78" s="7">
        <v>881677</v>
      </c>
      <c r="AK78" s="7">
        <v>10200</v>
      </c>
      <c r="AL78" s="12" t="s">
        <v>207</v>
      </c>
      <c r="AM78" s="12"/>
      <c r="AN78" s="12" t="s">
        <v>39</v>
      </c>
      <c r="AP78" s="7">
        <v>388987</v>
      </c>
      <c r="AR78" s="7">
        <v>0</v>
      </c>
      <c r="AT78" s="7">
        <v>0</v>
      </c>
      <c r="AV78" s="7">
        <v>840000</v>
      </c>
      <c r="AX78" s="7">
        <v>42113</v>
      </c>
      <c r="AZ78" s="7">
        <v>0</v>
      </c>
      <c r="BB78" s="8">
        <f t="shared" si="12"/>
        <v>22489168</v>
      </c>
      <c r="BD78" s="7">
        <v>121318</v>
      </c>
      <c r="BF78" s="7">
        <v>0</v>
      </c>
      <c r="BH78" s="7">
        <v>0</v>
      </c>
      <c r="BJ78" s="7">
        <v>0</v>
      </c>
      <c r="BL78" s="8">
        <f t="shared" si="5"/>
        <v>22610486</v>
      </c>
      <c r="BN78" s="8">
        <f>'Gov Fd Rv'!AQ78-'Gov Fnd Exp'!BL78</f>
        <v>438336</v>
      </c>
      <c r="BP78" s="7">
        <v>272031</v>
      </c>
      <c r="BR78" s="7">
        <v>0</v>
      </c>
      <c r="BT78" s="7">
        <v>0</v>
      </c>
      <c r="BV78" s="8">
        <f t="shared" si="8"/>
        <v>710367</v>
      </c>
      <c r="BW78" s="8"/>
      <c r="BX78" s="8">
        <f>BV78-'Gov Fd BS'!AE78</f>
        <v>0</v>
      </c>
      <c r="BY78" s="8"/>
      <c r="CB78" s="101" t="str">
        <f t="shared" si="17"/>
        <v>Buckeye Local SD</v>
      </c>
      <c r="CC78" s="101" t="b">
        <f t="shared" si="14"/>
        <v>1</v>
      </c>
      <c r="CD78" s="101" t="str">
        <f>'Gov Fd Rv'!A78</f>
        <v>Buckeye Local SD</v>
      </c>
      <c r="CE78" s="8" t="b">
        <f t="shared" si="13"/>
        <v>1</v>
      </c>
      <c r="CG78" s="8" t="str">
        <f t="shared" si="15"/>
        <v>Jefferson</v>
      </c>
      <c r="CH78" s="8" t="b">
        <f t="shared" si="16"/>
        <v>1</v>
      </c>
      <c r="CI78" s="8" t="b">
        <f>C78='Gov Fd Rv'!C78</f>
        <v>1</v>
      </c>
    </row>
    <row r="79" spans="1:87">
      <c r="A79" s="12" t="s">
        <v>708</v>
      </c>
      <c r="B79" s="12"/>
      <c r="C79" s="12" t="s">
        <v>47</v>
      </c>
      <c r="D79" s="12"/>
      <c r="E79" s="12">
        <v>48470</v>
      </c>
      <c r="G79" s="7">
        <v>9515052</v>
      </c>
      <c r="I79" s="7">
        <v>2023677</v>
      </c>
      <c r="K79" s="7">
        <v>206106</v>
      </c>
      <c r="M79" s="7">
        <v>0</v>
      </c>
      <c r="O79" s="7">
        <v>723018</v>
      </c>
      <c r="Q79" s="7">
        <v>1072474</v>
      </c>
      <c r="S79" s="7">
        <v>1091031</v>
      </c>
      <c r="U79" s="7">
        <v>36876</v>
      </c>
      <c r="W79" s="7">
        <v>1500050</v>
      </c>
      <c r="Y79" s="7">
        <v>621643</v>
      </c>
      <c r="AA79" s="7">
        <v>26478</v>
      </c>
      <c r="AC79" s="7">
        <v>1798174</v>
      </c>
      <c r="AE79" s="7">
        <v>983296</v>
      </c>
      <c r="AG79" s="7">
        <v>768</v>
      </c>
      <c r="AI79" s="7">
        <v>501873</v>
      </c>
      <c r="AK79" s="7">
        <v>2829</v>
      </c>
      <c r="AL79" s="12" t="s">
        <v>708</v>
      </c>
      <c r="AM79" s="12"/>
      <c r="AN79" s="12" t="s">
        <v>47</v>
      </c>
      <c r="AP79" s="7">
        <v>645774</v>
      </c>
      <c r="AR79" s="7">
        <v>237447</v>
      </c>
      <c r="AT79" s="7">
        <v>0</v>
      </c>
      <c r="AV79" s="7">
        <v>1064354</v>
      </c>
      <c r="AX79" s="7">
        <v>916486</v>
      </c>
      <c r="AZ79" s="7">
        <v>166890</v>
      </c>
      <c r="BB79" s="8">
        <f t="shared" si="12"/>
        <v>23134296</v>
      </c>
      <c r="BD79" s="7">
        <v>168393</v>
      </c>
      <c r="BF79" s="7">
        <v>0</v>
      </c>
      <c r="BH79" s="7">
        <v>0</v>
      </c>
      <c r="BJ79" s="7">
        <v>7518175</v>
      </c>
      <c r="BL79" s="8">
        <f t="shared" si="5"/>
        <v>30820864</v>
      </c>
      <c r="BN79" s="8">
        <f>'Gov Fd Rv'!AQ79-'Gov Fnd Exp'!BL79</f>
        <v>-730917</v>
      </c>
      <c r="BP79" s="7">
        <v>2545306</v>
      </c>
      <c r="BR79" s="7">
        <v>0</v>
      </c>
      <c r="BT79" s="7">
        <v>0</v>
      </c>
      <c r="BV79" s="8">
        <f t="shared" si="8"/>
        <v>1814389</v>
      </c>
      <c r="BW79" s="8"/>
      <c r="BX79" s="8">
        <f>BV79-'Gov Fd BS'!AE79</f>
        <v>0</v>
      </c>
      <c r="BY79" s="8"/>
      <c r="CB79" s="101" t="str">
        <f t="shared" si="17"/>
        <v xml:space="preserve">Buckeye Local SD </v>
      </c>
      <c r="CC79" s="101" t="b">
        <f t="shared" si="14"/>
        <v>1</v>
      </c>
      <c r="CD79" s="101" t="str">
        <f>'Gov Fd Rv'!A79</f>
        <v xml:space="preserve">Buckeye Local SD </v>
      </c>
      <c r="CE79" s="8" t="b">
        <f t="shared" si="13"/>
        <v>1</v>
      </c>
      <c r="CG79" s="8" t="str">
        <f t="shared" si="15"/>
        <v>Medina</v>
      </c>
      <c r="CH79" s="8" t="b">
        <f t="shared" si="16"/>
        <v>1</v>
      </c>
      <c r="CI79" s="8" t="b">
        <f>C79='Gov Fd Rv'!C79</f>
        <v>1</v>
      </c>
    </row>
    <row r="80" spans="1:87" hidden="1">
      <c r="A80" s="54" t="s">
        <v>908</v>
      </c>
      <c r="B80" s="12"/>
      <c r="C80" s="12" t="s">
        <v>112</v>
      </c>
      <c r="D80" s="12"/>
      <c r="E80" s="12">
        <v>46755</v>
      </c>
      <c r="AL80" s="54" t="s">
        <v>908</v>
      </c>
      <c r="AM80" s="12"/>
      <c r="AN80" s="12" t="s">
        <v>112</v>
      </c>
      <c r="BB80" s="8">
        <f>SUM(G80:AZ80)</f>
        <v>0</v>
      </c>
      <c r="BF80" s="7">
        <v>0</v>
      </c>
      <c r="BH80" s="7">
        <v>0</v>
      </c>
      <c r="BL80" s="8">
        <f>BB80+BD80+BJ80</f>
        <v>0</v>
      </c>
      <c r="BN80" s="8">
        <f>'Gov Fd Rv'!AQ80-'Gov Fnd Exp'!BL80</f>
        <v>0</v>
      </c>
      <c r="BT80" s="7">
        <v>0</v>
      </c>
      <c r="BV80" s="8">
        <f>BN80+BP80+BR80+BT80</f>
        <v>0</v>
      </c>
      <c r="BW80" s="8"/>
      <c r="BX80" s="8">
        <f>BV80-'Gov Fd BS'!AE80</f>
        <v>0</v>
      </c>
      <c r="BY80" s="8"/>
      <c r="BZ80" s="7" t="s">
        <v>907</v>
      </c>
      <c r="CB80" s="101" t="str">
        <f t="shared" si="17"/>
        <v>Buckeye Online School for Success (now Community School)</v>
      </c>
      <c r="CC80" s="101" t="b">
        <f t="shared" si="14"/>
        <v>1</v>
      </c>
      <c r="CD80" s="101" t="str">
        <f>'Gov Fd Rv'!A80</f>
        <v>Buckeye Online School for Success (now Community School)</v>
      </c>
      <c r="CE80" s="8" t="b">
        <f t="shared" si="13"/>
        <v>1</v>
      </c>
      <c r="CG80" s="8" t="str">
        <f t="shared" si="15"/>
        <v>Columbiana</v>
      </c>
      <c r="CH80" s="8" t="b">
        <f t="shared" si="16"/>
        <v>1</v>
      </c>
      <c r="CI80" s="8" t="b">
        <f>C80='Gov Fd Rv'!C80</f>
        <v>1</v>
      </c>
    </row>
    <row r="81" spans="1:87">
      <c r="A81" s="12" t="s">
        <v>665</v>
      </c>
      <c r="B81" s="12"/>
      <c r="C81" s="12" t="s">
        <v>23</v>
      </c>
      <c r="D81" s="12"/>
      <c r="E81" s="12">
        <v>46755</v>
      </c>
      <c r="G81" s="7">
        <v>11393408</v>
      </c>
      <c r="I81" s="7">
        <v>1952833</v>
      </c>
      <c r="K81" s="7">
        <v>243567</v>
      </c>
      <c r="M81" s="7">
        <v>0</v>
      </c>
      <c r="O81" s="7">
        <v>16080</v>
      </c>
      <c r="Q81" s="7">
        <v>1993470</v>
      </c>
      <c r="S81" s="7">
        <v>411710</v>
      </c>
      <c r="U81" s="7">
        <v>162806</v>
      </c>
      <c r="W81" s="7">
        <v>2131130</v>
      </c>
      <c r="Y81" s="7">
        <v>603958</v>
      </c>
      <c r="AA81" s="7">
        <v>0</v>
      </c>
      <c r="AC81" s="7">
        <v>2616533</v>
      </c>
      <c r="AE81" s="7">
        <v>1839214</v>
      </c>
      <c r="AG81" s="7">
        <v>38148</v>
      </c>
      <c r="AI81" s="7">
        <v>825237</v>
      </c>
      <c r="AK81" s="7">
        <v>14086</v>
      </c>
      <c r="AL81" s="12" t="s">
        <v>665</v>
      </c>
      <c r="AM81" s="12"/>
      <c r="AN81" s="12" t="s">
        <v>23</v>
      </c>
      <c r="AP81" s="7">
        <v>508044</v>
      </c>
      <c r="AR81" s="7">
        <v>8408794</v>
      </c>
      <c r="AT81" s="7">
        <v>0</v>
      </c>
      <c r="AV81" s="7">
        <v>1050160</v>
      </c>
      <c r="AX81" s="7">
        <v>1059512</v>
      </c>
      <c r="AZ81" s="7">
        <v>0</v>
      </c>
      <c r="BB81" s="8">
        <f t="shared" si="12"/>
        <v>35268690</v>
      </c>
      <c r="BD81" s="7">
        <v>1290019</v>
      </c>
      <c r="BF81" s="7">
        <v>0</v>
      </c>
      <c r="BH81" s="7">
        <v>0</v>
      </c>
      <c r="BJ81" s="7">
        <v>0</v>
      </c>
      <c r="BL81" s="8">
        <f>BB81+BD81+BJ81</f>
        <v>36558709</v>
      </c>
      <c r="BN81" s="8">
        <f>'Gov Fd Rv'!AQ81-'Gov Fnd Exp'!BL81</f>
        <v>-7979419</v>
      </c>
      <c r="BP81" s="7">
        <v>20033451</v>
      </c>
      <c r="BR81" s="7">
        <v>0</v>
      </c>
      <c r="BT81" s="7">
        <v>0</v>
      </c>
      <c r="BV81" s="8">
        <f t="shared" si="8"/>
        <v>12054032</v>
      </c>
      <c r="BW81" s="8"/>
      <c r="BX81" s="8">
        <f>BV81-'Gov Fd BS'!AE81</f>
        <v>0</v>
      </c>
      <c r="BY81" s="8"/>
      <c r="CB81" s="101" t="str">
        <f t="shared" si="17"/>
        <v xml:space="preserve">Buckeye Valley Local SD </v>
      </c>
      <c r="CC81" s="101" t="b">
        <f t="shared" si="14"/>
        <v>1</v>
      </c>
      <c r="CD81" s="101" t="str">
        <f>'Gov Fd Rv'!A81</f>
        <v xml:space="preserve">Buckeye Valley Local SD </v>
      </c>
      <c r="CE81" s="8" t="b">
        <f t="shared" si="13"/>
        <v>1</v>
      </c>
      <c r="CG81" s="8" t="str">
        <f t="shared" si="15"/>
        <v>Delaware</v>
      </c>
      <c r="CH81" s="8" t="b">
        <f t="shared" si="16"/>
        <v>1</v>
      </c>
      <c r="CI81" s="8" t="b">
        <f>C81='Gov Fd Rv'!C81</f>
        <v>1</v>
      </c>
    </row>
    <row r="82" spans="1:87">
      <c r="A82" s="12" t="s">
        <v>263</v>
      </c>
      <c r="B82" s="12"/>
      <c r="C82" s="12" t="s">
        <v>111</v>
      </c>
      <c r="D82" s="12"/>
      <c r="E82" s="12">
        <v>43687</v>
      </c>
      <c r="G82" s="7">
        <v>7964875</v>
      </c>
      <c r="I82" s="7">
        <v>2153630</v>
      </c>
      <c r="K82" s="7">
        <v>154806</v>
      </c>
      <c r="M82" s="7">
        <v>0</v>
      </c>
      <c r="O82" s="7">
        <v>0</v>
      </c>
      <c r="Q82" s="7">
        <v>992338</v>
      </c>
      <c r="S82" s="7">
        <v>1588315</v>
      </c>
      <c r="U82" s="7">
        <v>94974</v>
      </c>
      <c r="W82" s="7">
        <v>1491829</v>
      </c>
      <c r="Y82" s="7">
        <v>459195</v>
      </c>
      <c r="AA82" s="7">
        <v>250092</v>
      </c>
      <c r="AC82" s="7">
        <v>1538421</v>
      </c>
      <c r="AE82" s="7">
        <v>329115</v>
      </c>
      <c r="AG82" s="7">
        <v>225631</v>
      </c>
      <c r="AI82" s="7">
        <v>0</v>
      </c>
      <c r="AK82" s="7">
        <v>1049992</v>
      </c>
      <c r="AL82" s="12" t="s">
        <v>263</v>
      </c>
      <c r="AM82" s="12"/>
      <c r="AN82" s="12" t="s">
        <v>111</v>
      </c>
      <c r="AP82" s="7">
        <v>485744</v>
      </c>
      <c r="AR82" s="7">
        <v>506925</v>
      </c>
      <c r="AT82" s="7">
        <v>0</v>
      </c>
      <c r="AV82" s="7">
        <v>240000</v>
      </c>
      <c r="AX82" s="7">
        <v>569950</v>
      </c>
      <c r="AZ82" s="7">
        <v>0</v>
      </c>
      <c r="BB82" s="8">
        <f t="shared" si="12"/>
        <v>20095832</v>
      </c>
      <c r="BD82" s="7">
        <v>0</v>
      </c>
      <c r="BF82" s="7">
        <v>0</v>
      </c>
      <c r="BH82" s="7">
        <v>0</v>
      </c>
      <c r="BJ82" s="7">
        <v>0</v>
      </c>
      <c r="BL82" s="8">
        <f>BB82+BD82+BJ82</f>
        <v>20095832</v>
      </c>
      <c r="BN82" s="8">
        <f>'Gov Fd Rv'!AQ82-'Gov Fnd Exp'!BL82</f>
        <v>-1111587</v>
      </c>
      <c r="BP82" s="7">
        <v>10296822</v>
      </c>
      <c r="BR82" s="7">
        <v>0</v>
      </c>
      <c r="BT82" s="7">
        <v>0</v>
      </c>
      <c r="BV82" s="8">
        <f t="shared" si="8"/>
        <v>9185235</v>
      </c>
      <c r="BW82" s="8"/>
      <c r="BX82" s="8">
        <f>BV82-'Gov Fd BS'!AE82</f>
        <v>0</v>
      </c>
      <c r="BY82" s="8"/>
      <c r="CB82" s="101" t="str">
        <f t="shared" si="17"/>
        <v>Bucyrus City SD</v>
      </c>
      <c r="CC82" s="101" t="b">
        <f t="shared" si="14"/>
        <v>1</v>
      </c>
      <c r="CD82" s="101" t="str">
        <f>'Gov Fd Rv'!A82</f>
        <v>Bucyrus City SD</v>
      </c>
      <c r="CE82" s="8" t="b">
        <f t="shared" si="13"/>
        <v>1</v>
      </c>
      <c r="CG82" s="8" t="str">
        <f t="shared" si="15"/>
        <v>Crawford</v>
      </c>
      <c r="CH82" s="8" t="b">
        <f t="shared" si="16"/>
        <v>1</v>
      </c>
      <c r="CI82" s="8" t="b">
        <f>C82='Gov Fd Rv'!C82</f>
        <v>1</v>
      </c>
    </row>
    <row r="83" spans="1:87">
      <c r="A83" s="12" t="s">
        <v>861</v>
      </c>
      <c r="B83" s="12"/>
      <c r="C83" s="12" t="s">
        <v>52</v>
      </c>
      <c r="D83" s="12"/>
      <c r="E83" s="12">
        <v>45252</v>
      </c>
      <c r="G83" s="7">
        <v>4064449</v>
      </c>
      <c r="I83" s="7">
        <v>827563</v>
      </c>
      <c r="K83" s="7">
        <v>103922</v>
      </c>
      <c r="M83" s="7">
        <v>5326</v>
      </c>
      <c r="O83" s="7">
        <v>927</v>
      </c>
      <c r="Q83" s="7">
        <v>572172</v>
      </c>
      <c r="S83" s="7">
        <v>560530</v>
      </c>
      <c r="U83" s="7">
        <v>37538</v>
      </c>
      <c r="W83" s="7">
        <v>684730</v>
      </c>
      <c r="Y83" s="7">
        <v>324105</v>
      </c>
      <c r="AA83" s="7">
        <v>0</v>
      </c>
      <c r="AC83" s="7">
        <v>588091</v>
      </c>
      <c r="AE83" s="7">
        <v>627937</v>
      </c>
      <c r="AG83" s="7">
        <v>4408</v>
      </c>
      <c r="AI83" s="7">
        <v>400177</v>
      </c>
      <c r="AK83" s="7">
        <v>0</v>
      </c>
      <c r="AL83" s="12" t="s">
        <v>861</v>
      </c>
      <c r="AM83" s="12"/>
      <c r="AN83" s="12" t="s">
        <v>52</v>
      </c>
      <c r="AP83" s="7">
        <v>308914</v>
      </c>
      <c r="AR83" s="7">
        <v>0</v>
      </c>
      <c r="AT83" s="7">
        <v>0</v>
      </c>
      <c r="AV83" s="7">
        <v>0</v>
      </c>
      <c r="AX83" s="7">
        <v>0</v>
      </c>
      <c r="AZ83" s="7">
        <v>0</v>
      </c>
      <c r="BB83" s="8">
        <f t="shared" ref="BB83" si="18">SUM(G83:AZ83)</f>
        <v>9110789</v>
      </c>
      <c r="BD83" s="7">
        <v>45000</v>
      </c>
      <c r="BF83" s="7">
        <v>0</v>
      </c>
      <c r="BH83" s="7">
        <v>0</v>
      </c>
      <c r="BJ83" s="7">
        <v>0</v>
      </c>
      <c r="BL83" s="8">
        <f t="shared" ref="BL83:BL149" si="19">BB83+BD83+BJ83</f>
        <v>9155789</v>
      </c>
      <c r="BN83" s="8">
        <f>'Gov Fd Rv'!AQ83-'Gov Fnd Exp'!BL83</f>
        <v>-548228</v>
      </c>
      <c r="BP83" s="7">
        <v>1368902</v>
      </c>
      <c r="BR83" s="7">
        <v>0</v>
      </c>
      <c r="BT83" s="7">
        <v>0</v>
      </c>
      <c r="BV83" s="8">
        <f t="shared" si="8"/>
        <v>820674</v>
      </c>
      <c r="BW83" s="8"/>
      <c r="BX83" s="8">
        <f>BV83-'Gov Fd BS'!AE83</f>
        <v>0</v>
      </c>
      <c r="BY83" s="8"/>
      <c r="CB83" s="101" t="str">
        <f t="shared" si="17"/>
        <v>Caldwell Exempted Village SD</v>
      </c>
      <c r="CC83" s="101" t="b">
        <f t="shared" si="14"/>
        <v>1</v>
      </c>
      <c r="CD83" s="101" t="str">
        <f>'Gov Fd Rv'!A83</f>
        <v>Caldwell Exempted Village SD</v>
      </c>
      <c r="CE83" s="8" t="b">
        <f t="shared" si="13"/>
        <v>1</v>
      </c>
      <c r="CG83" s="8" t="str">
        <f t="shared" si="15"/>
        <v>Noble</v>
      </c>
      <c r="CH83" s="8" t="b">
        <f t="shared" si="16"/>
        <v>1</v>
      </c>
      <c r="CI83" s="8" t="b">
        <f>C83='Gov Fd Rv'!C83</f>
        <v>1</v>
      </c>
    </row>
    <row r="84" spans="1:87">
      <c r="A84" s="12" t="s">
        <v>327</v>
      </c>
      <c r="B84" s="12"/>
      <c r="C84" s="12" t="s">
        <v>31</v>
      </c>
      <c r="D84" s="12"/>
      <c r="E84" s="12">
        <v>43695</v>
      </c>
      <c r="G84" s="7">
        <v>11246804</v>
      </c>
      <c r="I84" s="7">
        <v>3199443</v>
      </c>
      <c r="K84" s="7">
        <v>284106</v>
      </c>
      <c r="M84" s="7">
        <v>14240</v>
      </c>
      <c r="O84" s="7">
        <v>11011</v>
      </c>
      <c r="Q84" s="7">
        <v>1175890</v>
      </c>
      <c r="S84" s="7">
        <v>1443088</v>
      </c>
      <c r="U84" s="7">
        <v>70600</v>
      </c>
      <c r="W84" s="7">
        <v>1450294</v>
      </c>
      <c r="Y84" s="7">
        <v>494343</v>
      </c>
      <c r="AA84" s="7">
        <v>86150</v>
      </c>
      <c r="AC84" s="7">
        <v>2342396</v>
      </c>
      <c r="AE84" s="7">
        <v>1155421</v>
      </c>
      <c r="AG84" s="7">
        <v>222370</v>
      </c>
      <c r="AI84" s="7">
        <v>956619</v>
      </c>
      <c r="AK84" s="7">
        <v>109789</v>
      </c>
      <c r="AL84" s="12" t="s">
        <v>327</v>
      </c>
      <c r="AM84" s="12"/>
      <c r="AN84" s="12" t="s">
        <v>31</v>
      </c>
      <c r="AP84" s="7">
        <v>546170</v>
      </c>
      <c r="AR84" s="7">
        <v>25048</v>
      </c>
      <c r="AT84" s="7">
        <v>0</v>
      </c>
      <c r="AV84" s="7">
        <v>410247</v>
      </c>
      <c r="AX84" s="7">
        <v>230198</v>
      </c>
      <c r="AZ84" s="7">
        <v>0</v>
      </c>
      <c r="BB84" s="8">
        <f t="shared" ref="BB84:BB141" si="20">SUM(G84:AZ84)</f>
        <v>25474227</v>
      </c>
      <c r="BD84" s="7">
        <v>0</v>
      </c>
      <c r="BF84" s="7">
        <v>0</v>
      </c>
      <c r="BH84" s="7">
        <v>0</v>
      </c>
      <c r="BJ84" s="7">
        <v>0</v>
      </c>
      <c r="BL84" s="8">
        <f t="shared" si="19"/>
        <v>25474227</v>
      </c>
      <c r="BN84" s="8">
        <f>'Gov Fd Rv'!AQ84-'Gov Fnd Exp'!BL84</f>
        <v>939355</v>
      </c>
      <c r="BP84" s="7">
        <v>4206082</v>
      </c>
      <c r="BR84" s="7">
        <v>0</v>
      </c>
      <c r="BT84" s="7">
        <v>0</v>
      </c>
      <c r="BV84" s="8">
        <f t="shared" si="8"/>
        <v>5145437</v>
      </c>
      <c r="BW84" s="8"/>
      <c r="BX84" s="8">
        <f>BV84-'Gov Fd BS'!AE84</f>
        <v>0</v>
      </c>
      <c r="BY84" s="8"/>
      <c r="CB84" s="101" t="str">
        <f t="shared" si="17"/>
        <v>Cambridge City SD</v>
      </c>
      <c r="CC84" s="101" t="b">
        <f t="shared" si="14"/>
        <v>1</v>
      </c>
      <c r="CD84" s="101" t="str">
        <f>'Gov Fd Rv'!A84</f>
        <v>Cambridge City SD</v>
      </c>
      <c r="CE84" s="8" t="b">
        <f t="shared" si="13"/>
        <v>1</v>
      </c>
      <c r="CG84" s="8" t="str">
        <f t="shared" si="15"/>
        <v>Guernsey</v>
      </c>
      <c r="CH84" s="8" t="b">
        <f t="shared" si="16"/>
        <v>1</v>
      </c>
      <c r="CI84" s="8" t="b">
        <f>C84='Gov Fd Rv'!C84</f>
        <v>1</v>
      </c>
    </row>
    <row r="85" spans="1:87">
      <c r="A85" s="12" t="s">
        <v>677</v>
      </c>
      <c r="B85" s="12"/>
      <c r="C85" s="12" t="s">
        <v>45</v>
      </c>
      <c r="D85" s="12"/>
      <c r="E85" s="12">
        <v>43703</v>
      </c>
      <c r="G85" s="7">
        <v>7348260</v>
      </c>
      <c r="I85" s="7">
        <v>2453315</v>
      </c>
      <c r="K85" s="7">
        <v>206289</v>
      </c>
      <c r="M85" s="7">
        <v>0</v>
      </c>
      <c r="O85" s="7">
        <v>572399</v>
      </c>
      <c r="Q85" s="7">
        <v>334850</v>
      </c>
      <c r="S85" s="7">
        <v>620883</v>
      </c>
      <c r="U85" s="7">
        <v>16069</v>
      </c>
      <c r="W85" s="7">
        <v>925016</v>
      </c>
      <c r="Y85" s="7">
        <v>318789</v>
      </c>
      <c r="AA85" s="7">
        <v>56866</v>
      </c>
      <c r="AC85" s="7">
        <v>1407684</v>
      </c>
      <c r="AE85" s="7">
        <v>409731</v>
      </c>
      <c r="AG85" s="7">
        <v>0</v>
      </c>
      <c r="AI85" s="7">
        <v>545544</v>
      </c>
      <c r="AK85" s="7">
        <v>82118</v>
      </c>
      <c r="AL85" s="12" t="s">
        <v>677</v>
      </c>
      <c r="AM85" s="12"/>
      <c r="AN85" s="12" t="s">
        <v>45</v>
      </c>
      <c r="AP85" s="7">
        <v>405838</v>
      </c>
      <c r="AR85" s="7">
        <v>29517</v>
      </c>
      <c r="AT85" s="7">
        <v>0</v>
      </c>
      <c r="AV85" s="7">
        <v>310000</v>
      </c>
      <c r="AX85" s="7">
        <v>157214</v>
      </c>
      <c r="AZ85" s="7">
        <v>0</v>
      </c>
      <c r="BB85" s="8">
        <f t="shared" si="20"/>
        <v>16200382</v>
      </c>
      <c r="BD85" s="7">
        <v>0</v>
      </c>
      <c r="BF85" s="7">
        <v>0</v>
      </c>
      <c r="BH85" s="7">
        <v>0</v>
      </c>
      <c r="BJ85" s="7">
        <v>0</v>
      </c>
      <c r="BL85" s="8">
        <f t="shared" si="19"/>
        <v>16200382</v>
      </c>
      <c r="BN85" s="8">
        <f>'Gov Fd Rv'!AQ85-'Gov Fnd Exp'!BL85</f>
        <v>-373899</v>
      </c>
      <c r="BP85" s="7">
        <v>741734</v>
      </c>
      <c r="BR85" s="7">
        <v>0</v>
      </c>
      <c r="BT85" s="7">
        <v>0</v>
      </c>
      <c r="BV85" s="8">
        <f t="shared" ref="BV85:BV151" si="21">BN85+BP85+BR85+BT85</f>
        <v>367835</v>
      </c>
      <c r="BW85" s="8"/>
      <c r="BX85" s="8">
        <f>BV85-'Gov Fd BS'!AE85</f>
        <v>0</v>
      </c>
      <c r="BY85" s="8"/>
      <c r="CB85" s="101" t="str">
        <f t="shared" si="17"/>
        <v xml:space="preserve">Campbell City SD </v>
      </c>
      <c r="CC85" s="101" t="b">
        <f t="shared" si="14"/>
        <v>1</v>
      </c>
      <c r="CD85" s="101" t="str">
        <f>'Gov Fd Rv'!A85</f>
        <v xml:space="preserve">Campbell City SD </v>
      </c>
      <c r="CE85" s="8" t="b">
        <f t="shared" si="13"/>
        <v>1</v>
      </c>
      <c r="CG85" s="8" t="str">
        <f t="shared" si="15"/>
        <v>Mahoning</v>
      </c>
      <c r="CH85" s="8" t="b">
        <f t="shared" si="16"/>
        <v>1</v>
      </c>
      <c r="CI85" s="8" t="b">
        <f>C85='Gov Fd Rv'!C85</f>
        <v>1</v>
      </c>
    </row>
    <row r="86" spans="1:87">
      <c r="A86" s="12" t="s">
        <v>306</v>
      </c>
      <c r="B86" s="12"/>
      <c r="C86" s="12" t="s">
        <v>27</v>
      </c>
      <c r="D86" s="12"/>
      <c r="E86" s="12">
        <v>46946</v>
      </c>
      <c r="G86" s="7">
        <v>16140601</v>
      </c>
      <c r="I86" s="7">
        <v>3967804</v>
      </c>
      <c r="K86" s="7">
        <v>485680</v>
      </c>
      <c r="M86" s="7">
        <v>0</v>
      </c>
      <c r="O86" s="7">
        <v>414698</v>
      </c>
      <c r="Q86" s="7">
        <v>2150215</v>
      </c>
      <c r="S86" s="7">
        <v>1765596</v>
      </c>
      <c r="U86" s="7">
        <v>167590</v>
      </c>
      <c r="W86" s="7">
        <v>2828609</v>
      </c>
      <c r="Y86" s="7">
        <v>928939</v>
      </c>
      <c r="AA86" s="7">
        <v>0</v>
      </c>
      <c r="AC86" s="7">
        <v>4407317</v>
      </c>
      <c r="AE86" s="7">
        <v>2665689</v>
      </c>
      <c r="AG86" s="7">
        <v>363972</v>
      </c>
      <c r="AI86" s="7">
        <v>0</v>
      </c>
      <c r="AK86" s="7">
        <v>1985</v>
      </c>
      <c r="AL86" s="12" t="s">
        <v>306</v>
      </c>
      <c r="AM86" s="12"/>
      <c r="AN86" s="12" t="s">
        <v>27</v>
      </c>
      <c r="AP86" s="7">
        <v>952449</v>
      </c>
      <c r="AR86" s="7">
        <v>91000</v>
      </c>
      <c r="AT86" s="7">
        <v>0</v>
      </c>
      <c r="AV86" s="7">
        <v>3998337</v>
      </c>
      <c r="AX86" s="7">
        <f>2624872+19478</f>
        <v>2644350</v>
      </c>
      <c r="AZ86" s="7">
        <v>0</v>
      </c>
      <c r="BB86" s="8">
        <f t="shared" si="20"/>
        <v>43974831</v>
      </c>
      <c r="BD86" s="7">
        <v>0</v>
      </c>
      <c r="BF86" s="7">
        <v>0</v>
      </c>
      <c r="BH86" s="7">
        <v>0</v>
      </c>
      <c r="BJ86" s="7">
        <v>0</v>
      </c>
      <c r="BL86" s="8">
        <f t="shared" si="19"/>
        <v>43974831</v>
      </c>
      <c r="BN86" s="8">
        <f>'Gov Fd Rv'!AQ86-'Gov Fnd Exp'!BL86</f>
        <v>1071300</v>
      </c>
      <c r="BP86" s="7">
        <v>10007914</v>
      </c>
      <c r="BR86" s="7">
        <v>0</v>
      </c>
      <c r="BT86" s="7">
        <v>0</v>
      </c>
      <c r="BV86" s="8">
        <f t="shared" si="21"/>
        <v>11079214</v>
      </c>
      <c r="BW86" s="8"/>
      <c r="BX86" s="8">
        <f>BV86-'Gov Fd BS'!AE86</f>
        <v>0</v>
      </c>
      <c r="BY86" s="8"/>
      <c r="CB86" s="101" t="str">
        <f t="shared" si="17"/>
        <v>Canal Winchester Local SD</v>
      </c>
      <c r="CC86" s="101" t="b">
        <f t="shared" si="14"/>
        <v>1</v>
      </c>
      <c r="CD86" s="101" t="str">
        <f>'Gov Fd Rv'!A86</f>
        <v>Canal Winchester Local SD</v>
      </c>
      <c r="CE86" s="8" t="b">
        <f t="shared" si="13"/>
        <v>1</v>
      </c>
      <c r="CG86" s="8" t="str">
        <f t="shared" si="15"/>
        <v>Franklin</v>
      </c>
      <c r="CH86" s="8" t="b">
        <f t="shared" si="16"/>
        <v>1</v>
      </c>
      <c r="CI86" s="8" t="b">
        <f>C86='Gov Fd Rv'!C86</f>
        <v>1</v>
      </c>
    </row>
    <row r="87" spans="1:87">
      <c r="A87" s="12" t="s">
        <v>416</v>
      </c>
      <c r="B87" s="12"/>
      <c r="C87" s="12" t="s">
        <v>45</v>
      </c>
      <c r="D87" s="12"/>
      <c r="E87" s="12">
        <v>48314</v>
      </c>
      <c r="G87" s="7">
        <v>13970906</v>
      </c>
      <c r="I87" s="7">
        <v>2092705</v>
      </c>
      <c r="K87" s="7">
        <v>290639</v>
      </c>
      <c r="M87" s="7">
        <v>0</v>
      </c>
      <c r="O87" s="7">
        <v>0</v>
      </c>
      <c r="Q87" s="7">
        <v>1256398</v>
      </c>
      <c r="S87" s="7">
        <v>1461416</v>
      </c>
      <c r="U87" s="7">
        <v>34918</v>
      </c>
      <c r="W87" s="7">
        <v>1694529</v>
      </c>
      <c r="Y87" s="7">
        <v>565244</v>
      </c>
      <c r="AA87" s="7">
        <v>262616</v>
      </c>
      <c r="AC87" s="7">
        <v>2179112</v>
      </c>
      <c r="AE87" s="7">
        <v>1717691</v>
      </c>
      <c r="AG87" s="7">
        <v>145549</v>
      </c>
      <c r="AI87" s="7">
        <v>905744</v>
      </c>
      <c r="AK87" s="7">
        <v>59886</v>
      </c>
      <c r="AL87" s="12" t="s">
        <v>416</v>
      </c>
      <c r="AM87" s="12"/>
      <c r="AN87" s="12" t="s">
        <v>45</v>
      </c>
      <c r="AP87" s="7">
        <v>748227</v>
      </c>
      <c r="AR87" s="7">
        <v>49645</v>
      </c>
      <c r="AT87" s="7">
        <v>0</v>
      </c>
      <c r="AV87" s="7">
        <v>3662238</v>
      </c>
      <c r="AX87" s="7">
        <v>64931</v>
      </c>
      <c r="AZ87" s="7">
        <v>0</v>
      </c>
      <c r="BB87" s="8">
        <f t="shared" si="20"/>
        <v>31162394</v>
      </c>
      <c r="BD87" s="7">
        <v>85000</v>
      </c>
      <c r="BF87" s="7">
        <v>0</v>
      </c>
      <c r="BH87" s="7">
        <v>0</v>
      </c>
      <c r="BJ87" s="7">
        <v>0</v>
      </c>
      <c r="BL87" s="8">
        <f t="shared" si="19"/>
        <v>31247394</v>
      </c>
      <c r="BN87" s="8">
        <f>'Gov Fd Rv'!AQ87-'Gov Fnd Exp'!BL87</f>
        <v>-715757</v>
      </c>
      <c r="BP87" s="7">
        <v>7550007</v>
      </c>
      <c r="BR87" s="7">
        <v>0</v>
      </c>
      <c r="BT87" s="7">
        <v>0</v>
      </c>
      <c r="BV87" s="8">
        <f t="shared" si="21"/>
        <v>6834250</v>
      </c>
      <c r="BW87" s="8"/>
      <c r="BX87" s="8">
        <f>BV87-'Gov Fd BS'!AE87</f>
        <v>0</v>
      </c>
      <c r="BY87" s="8"/>
      <c r="CB87" s="101" t="str">
        <f t="shared" si="17"/>
        <v>Canfield Local SD</v>
      </c>
      <c r="CC87" s="101" t="b">
        <f t="shared" si="14"/>
        <v>1</v>
      </c>
      <c r="CD87" s="101" t="str">
        <f>'Gov Fd Rv'!A87</f>
        <v>Canfield Local SD</v>
      </c>
      <c r="CE87" s="8" t="b">
        <f t="shared" si="13"/>
        <v>1</v>
      </c>
      <c r="CG87" s="8" t="str">
        <f t="shared" si="15"/>
        <v>Mahoning</v>
      </c>
      <c r="CH87" s="8" t="b">
        <f t="shared" si="16"/>
        <v>1</v>
      </c>
      <c r="CI87" s="8" t="b">
        <f>C87='Gov Fd Rv'!C87</f>
        <v>1</v>
      </c>
    </row>
    <row r="88" spans="1:87">
      <c r="A88" s="12" t="s">
        <v>509</v>
      </c>
      <c r="B88" s="12"/>
      <c r="C88" s="12" t="s">
        <v>62</v>
      </c>
      <c r="D88" s="12"/>
      <c r="E88" s="12">
        <v>43711</v>
      </c>
      <c r="G88" s="7">
        <v>9702499</v>
      </c>
      <c r="I88" s="7">
        <v>2806517</v>
      </c>
      <c r="K88" s="7">
        <v>1704429</v>
      </c>
      <c r="M88" s="7">
        <v>1000</v>
      </c>
      <c r="O88" s="7">
        <v>670649</v>
      </c>
      <c r="Q88" s="7">
        <v>1293017</v>
      </c>
      <c r="S88" s="7">
        <v>1086294</v>
      </c>
      <c r="U88" s="7">
        <v>31050</v>
      </c>
      <c r="W88" s="7">
        <v>1858575</v>
      </c>
      <c r="Y88" s="7">
        <v>336581</v>
      </c>
      <c r="AA88" s="7">
        <v>269035</v>
      </c>
      <c r="AC88" s="7">
        <v>2171859</v>
      </c>
      <c r="AE88" s="7">
        <v>1073528</v>
      </c>
      <c r="AG88" s="7">
        <v>389892</v>
      </c>
      <c r="AI88" s="7">
        <v>1209369</v>
      </c>
      <c r="AK88" s="7">
        <v>46316</v>
      </c>
      <c r="AL88" s="12" t="s">
        <v>509</v>
      </c>
      <c r="AM88" s="12"/>
      <c r="AN88" s="12" t="s">
        <v>62</v>
      </c>
      <c r="AP88" s="7">
        <v>688415</v>
      </c>
      <c r="AR88" s="7">
        <v>103949</v>
      </c>
      <c r="AT88" s="7">
        <v>0</v>
      </c>
      <c r="AV88" s="7">
        <v>352155</v>
      </c>
      <c r="AX88" s="7">
        <v>50573</v>
      </c>
      <c r="AZ88" s="7">
        <v>0</v>
      </c>
      <c r="BB88" s="8">
        <f>SUM(G88:AZ88)</f>
        <v>25845702</v>
      </c>
      <c r="BD88" s="7">
        <v>0</v>
      </c>
      <c r="BF88" s="7">
        <v>0</v>
      </c>
      <c r="BH88" s="7">
        <v>0</v>
      </c>
      <c r="BJ88" s="7">
        <v>0</v>
      </c>
      <c r="BL88" s="8">
        <f t="shared" si="19"/>
        <v>25845702</v>
      </c>
      <c r="BN88" s="8">
        <f>'Gov Fd Rv'!AQ88-'Gov Fnd Exp'!BL88</f>
        <v>3158863</v>
      </c>
      <c r="BP88" s="7">
        <v>-2951265</v>
      </c>
      <c r="BR88" s="7">
        <v>0</v>
      </c>
      <c r="BT88" s="7">
        <v>0</v>
      </c>
      <c r="BV88" s="8">
        <f t="shared" si="21"/>
        <v>207598</v>
      </c>
      <c r="BW88" s="8"/>
      <c r="BX88" s="8">
        <f>BV88-'Gov Fd BS'!AE88</f>
        <v>0</v>
      </c>
      <c r="BY88" s="8"/>
      <c r="CB88" s="101" t="str">
        <f>A88</f>
        <v>Canton City SD</v>
      </c>
      <c r="CC88" s="101" t="b">
        <f>A88=AL88</f>
        <v>1</v>
      </c>
      <c r="CD88" s="101" t="str">
        <f>'Gov Fd Rv'!A88</f>
        <v>Canton City SD</v>
      </c>
      <c r="CE88" s="8" t="b">
        <f t="shared" si="13"/>
        <v>1</v>
      </c>
      <c r="CG88" s="8" t="str">
        <f>C88</f>
        <v>Stark</v>
      </c>
      <c r="CH88" s="8" t="b">
        <f>C88=AN88</f>
        <v>1</v>
      </c>
      <c r="CI88" s="8" t="b">
        <f>C88='Gov Fd Rv'!C88</f>
        <v>1</v>
      </c>
    </row>
    <row r="89" spans="1:87">
      <c r="A89" s="12" t="s">
        <v>510</v>
      </c>
      <c r="B89" s="12"/>
      <c r="C89" s="12" t="s">
        <v>62</v>
      </c>
      <c r="D89" s="12"/>
      <c r="E89" s="12">
        <v>49833</v>
      </c>
      <c r="G89" s="7">
        <v>44097000</v>
      </c>
      <c r="I89" s="7">
        <v>17703000</v>
      </c>
      <c r="K89" s="7">
        <v>2182000</v>
      </c>
      <c r="M89" s="7">
        <v>1685000</v>
      </c>
      <c r="O89" s="7">
        <v>11630000</v>
      </c>
      <c r="Q89" s="7">
        <v>7327000</v>
      </c>
      <c r="S89" s="7">
        <v>7393000</v>
      </c>
      <c r="U89" s="7">
        <v>35000</v>
      </c>
      <c r="W89" s="7">
        <v>7975000</v>
      </c>
      <c r="Y89" s="7">
        <v>1550000</v>
      </c>
      <c r="AA89" s="7">
        <v>547000</v>
      </c>
      <c r="AC89" s="7">
        <v>9908000</v>
      </c>
      <c r="AE89" s="7">
        <v>3127000</v>
      </c>
      <c r="AG89" s="7">
        <v>3002000</v>
      </c>
      <c r="AI89" s="7">
        <v>4284000</v>
      </c>
      <c r="AK89" s="7">
        <v>1203000</v>
      </c>
      <c r="AL89" s="12" t="s">
        <v>510</v>
      </c>
      <c r="AM89" s="12"/>
      <c r="AN89" s="12" t="s">
        <v>62</v>
      </c>
      <c r="AP89" s="7">
        <v>2292000</v>
      </c>
      <c r="AR89" s="7">
        <v>0</v>
      </c>
      <c r="AT89" s="7">
        <v>0</v>
      </c>
      <c r="AV89" s="7">
        <v>1505000</v>
      </c>
      <c r="AX89" s="7">
        <f>1563000+115000</f>
        <v>1678000</v>
      </c>
      <c r="AZ89" s="7">
        <v>6237000</v>
      </c>
      <c r="BB89" s="8">
        <f t="shared" ref="BB89" si="22">SUM(G89:AZ89)</f>
        <v>135360000</v>
      </c>
      <c r="BD89" s="7">
        <v>1296000</v>
      </c>
      <c r="BF89" s="7">
        <v>0</v>
      </c>
      <c r="BH89" s="7">
        <v>0</v>
      </c>
      <c r="BJ89" s="7">
        <v>0</v>
      </c>
      <c r="BL89" s="8">
        <f t="shared" si="19"/>
        <v>136656000</v>
      </c>
      <c r="BN89" s="8">
        <f>'Gov Fd Rv'!AQ89-'Gov Fnd Exp'!BL89</f>
        <v>4037000</v>
      </c>
      <c r="BP89" s="7">
        <v>28305000</v>
      </c>
      <c r="BR89" s="7">
        <v>-63000</v>
      </c>
      <c r="BT89" s="7">
        <v>0</v>
      </c>
      <c r="BV89" s="8">
        <f t="shared" si="21"/>
        <v>32279000</v>
      </c>
      <c r="BW89" s="8"/>
      <c r="BX89" s="8">
        <f>BV89-'Gov Fd BS'!AE89</f>
        <v>0</v>
      </c>
      <c r="BY89" s="8"/>
      <c r="CB89" s="101" t="str">
        <f t="shared" ref="CB89" si="23">A89</f>
        <v>Canton Local SD</v>
      </c>
      <c r="CC89" s="101" t="b">
        <f t="shared" si="14"/>
        <v>1</v>
      </c>
      <c r="CD89" s="101" t="str">
        <f>'Gov Fd Rv'!A89</f>
        <v>Canton Local SD</v>
      </c>
      <c r="CE89" s="8" t="b">
        <f t="shared" si="13"/>
        <v>1</v>
      </c>
      <c r="CG89" s="8" t="str">
        <f t="shared" si="15"/>
        <v>Stark</v>
      </c>
      <c r="CH89" s="8" t="b">
        <f t="shared" si="16"/>
        <v>1</v>
      </c>
      <c r="CI89" s="8" t="b">
        <f>C89='Gov Fd Rv'!C89</f>
        <v>1</v>
      </c>
    </row>
    <row r="90" spans="1:87">
      <c r="A90" s="12" t="s">
        <v>678</v>
      </c>
      <c r="B90" s="12"/>
      <c r="C90" s="12" t="s">
        <v>30</v>
      </c>
      <c r="D90" s="12"/>
      <c r="E90" s="12">
        <v>47175</v>
      </c>
      <c r="G90" s="7">
        <v>6159003</v>
      </c>
      <c r="I90" s="7">
        <v>2912590</v>
      </c>
      <c r="K90" s="7">
        <v>0</v>
      </c>
      <c r="M90" s="7">
        <v>0</v>
      </c>
      <c r="O90" s="7">
        <v>0</v>
      </c>
      <c r="Q90" s="7">
        <v>523183</v>
      </c>
      <c r="S90" s="7">
        <v>658357</v>
      </c>
      <c r="U90" s="7">
        <v>31831</v>
      </c>
      <c r="W90" s="7">
        <v>1092457</v>
      </c>
      <c r="Y90" s="7">
        <v>454410</v>
      </c>
      <c r="AA90" s="7">
        <v>68869</v>
      </c>
      <c r="AC90" s="7">
        <v>1306982</v>
      </c>
      <c r="AE90" s="7">
        <v>1344219</v>
      </c>
      <c r="AG90" s="7">
        <v>218130</v>
      </c>
      <c r="AI90" s="7">
        <v>518133</v>
      </c>
      <c r="AK90" s="7">
        <v>41486</v>
      </c>
      <c r="AL90" s="12" t="s">
        <v>678</v>
      </c>
      <c r="AM90" s="12"/>
      <c r="AN90" s="12" t="s">
        <v>30</v>
      </c>
      <c r="AP90" s="7">
        <v>320296</v>
      </c>
      <c r="AR90" s="7">
        <v>218681</v>
      </c>
      <c r="AT90" s="7">
        <v>0</v>
      </c>
      <c r="AV90" s="7">
        <v>623252</v>
      </c>
      <c r="AX90" s="7">
        <v>391540</v>
      </c>
      <c r="AZ90" s="7">
        <v>0</v>
      </c>
      <c r="BB90" s="8">
        <f t="shared" si="20"/>
        <v>16883419</v>
      </c>
      <c r="BD90" s="7">
        <v>125000</v>
      </c>
      <c r="BF90" s="7">
        <v>0</v>
      </c>
      <c r="BH90" s="7">
        <v>0</v>
      </c>
      <c r="BJ90" s="7">
        <v>0</v>
      </c>
      <c r="BL90" s="8">
        <f t="shared" si="19"/>
        <v>17008419</v>
      </c>
      <c r="BN90" s="8">
        <f>'Gov Fd Rv'!AQ90-'Gov Fnd Exp'!BL90</f>
        <v>-139781</v>
      </c>
      <c r="BP90" s="7">
        <v>2067946</v>
      </c>
      <c r="BR90" s="7">
        <v>0</v>
      </c>
      <c r="BT90" s="7">
        <v>0</v>
      </c>
      <c r="BV90" s="8">
        <f t="shared" si="21"/>
        <v>1928165</v>
      </c>
      <c r="BW90" s="8"/>
      <c r="BX90" s="8">
        <f>BV90-'Gov Fd BS'!AE90</f>
        <v>0</v>
      </c>
      <c r="BY90" s="8"/>
      <c r="CB90" s="101" t="str">
        <f t="shared" si="17"/>
        <v xml:space="preserve">Cardinal Local SD </v>
      </c>
      <c r="CC90" s="101" t="b">
        <f t="shared" si="14"/>
        <v>1</v>
      </c>
      <c r="CD90" s="101" t="str">
        <f>'Gov Fd Rv'!A90</f>
        <v xml:space="preserve">Cardinal Local SD </v>
      </c>
      <c r="CE90" s="8" t="b">
        <f t="shared" si="13"/>
        <v>1</v>
      </c>
      <c r="CG90" s="8" t="str">
        <f t="shared" si="15"/>
        <v>Geauga</v>
      </c>
      <c r="CH90" s="8" t="b">
        <f t="shared" si="16"/>
        <v>1</v>
      </c>
      <c r="CI90" s="8" t="b">
        <f>C90='Gov Fd Rv'!C90</f>
        <v>1</v>
      </c>
    </row>
    <row r="91" spans="1:87" hidden="1">
      <c r="A91" s="12" t="s">
        <v>454</v>
      </c>
      <c r="B91" s="12"/>
      <c r="C91" s="12" t="s">
        <v>78</v>
      </c>
      <c r="D91" s="12"/>
      <c r="E91" s="12">
        <v>48793</v>
      </c>
      <c r="AL91" s="12" t="s">
        <v>454</v>
      </c>
      <c r="AM91" s="12"/>
      <c r="AN91" s="12" t="s">
        <v>78</v>
      </c>
      <c r="BB91" s="8">
        <f t="shared" si="20"/>
        <v>0</v>
      </c>
      <c r="BF91" s="7">
        <v>0</v>
      </c>
      <c r="BH91" s="7">
        <v>0</v>
      </c>
      <c r="BL91" s="8">
        <f t="shared" si="19"/>
        <v>0</v>
      </c>
      <c r="BN91" s="8">
        <f>'Gov Fd Rv'!AQ91-'Gov Fnd Exp'!BL91</f>
        <v>0</v>
      </c>
      <c r="BT91" s="7">
        <v>0</v>
      </c>
      <c r="BV91" s="8">
        <f t="shared" si="21"/>
        <v>0</v>
      </c>
      <c r="BW91" s="8"/>
      <c r="BX91" s="8">
        <f>BV91-'Gov Fd BS'!AE91</f>
        <v>0</v>
      </c>
      <c r="BY91" s="8"/>
      <c r="BZ91" s="7" t="s">
        <v>981</v>
      </c>
      <c r="CB91" s="101" t="str">
        <f t="shared" si="17"/>
        <v>Cardington-Lincoln Local SD</v>
      </c>
      <c r="CC91" s="101" t="b">
        <f t="shared" si="14"/>
        <v>1</v>
      </c>
      <c r="CD91" s="101" t="str">
        <f>'Gov Fd Rv'!A91</f>
        <v>Cardington-Lincoln Local SD</v>
      </c>
      <c r="CE91" s="8" t="b">
        <f t="shared" si="13"/>
        <v>1</v>
      </c>
      <c r="CG91" s="8" t="str">
        <f t="shared" si="15"/>
        <v>Morrow</v>
      </c>
      <c r="CH91" s="8" t="b">
        <f t="shared" si="16"/>
        <v>1</v>
      </c>
      <c r="CI91" s="8" t="b">
        <f>C91='Gov Fd Rv'!C91</f>
        <v>1</v>
      </c>
    </row>
    <row r="92" spans="1:87" hidden="1">
      <c r="A92" s="12" t="s">
        <v>644</v>
      </c>
      <c r="B92" s="12"/>
      <c r="C92" s="12" t="s">
        <v>577</v>
      </c>
      <c r="D92" s="12"/>
      <c r="E92" s="12">
        <v>45260</v>
      </c>
      <c r="AK92" s="7">
        <v>0</v>
      </c>
      <c r="AL92" s="12" t="s">
        <v>644</v>
      </c>
      <c r="AM92" s="12"/>
      <c r="AN92" s="12" t="s">
        <v>577</v>
      </c>
      <c r="BB92" s="8">
        <f t="shared" si="20"/>
        <v>0</v>
      </c>
      <c r="BF92" s="7">
        <v>0</v>
      </c>
      <c r="BH92" s="7">
        <v>0</v>
      </c>
      <c r="BL92" s="8">
        <f t="shared" si="19"/>
        <v>0</v>
      </c>
      <c r="BN92" s="8">
        <f>'Gov Fd Rv'!AQ92-'Gov Fnd Exp'!BL92</f>
        <v>0</v>
      </c>
      <c r="BT92" s="7">
        <v>0</v>
      </c>
      <c r="BV92" s="8">
        <f t="shared" si="21"/>
        <v>0</v>
      </c>
      <c r="BW92" s="8"/>
      <c r="BX92" s="8">
        <f>BV92-'Gov Fd BS'!AE92</f>
        <v>0</v>
      </c>
      <c r="BY92" s="8"/>
      <c r="BZ92" s="7" t="s">
        <v>778</v>
      </c>
      <c r="CB92" s="101" t="str">
        <f t="shared" si="17"/>
        <v>Carey Ex Vill SD (CASH)</v>
      </c>
      <c r="CC92" s="101" t="b">
        <f t="shared" si="14"/>
        <v>1</v>
      </c>
      <c r="CD92" s="101" t="str">
        <f>'Gov Fd Rv'!A92</f>
        <v>Carey Ex Vill SD (CASH)</v>
      </c>
      <c r="CE92" s="8" t="b">
        <f t="shared" si="13"/>
        <v>1</v>
      </c>
      <c r="CG92" s="8" t="str">
        <f t="shared" si="15"/>
        <v>Wyandot</v>
      </c>
      <c r="CH92" s="8" t="b">
        <f t="shared" si="16"/>
        <v>1</v>
      </c>
      <c r="CI92" s="8" t="b">
        <f>C92='Gov Fd Rv'!C92</f>
        <v>1</v>
      </c>
    </row>
    <row r="93" spans="1:87" s="32" customFormat="1">
      <c r="A93" s="31" t="s">
        <v>560</v>
      </c>
      <c r="B93" s="31"/>
      <c r="C93" s="31" t="s">
        <v>69</v>
      </c>
      <c r="D93" s="31"/>
      <c r="E93" s="31">
        <v>50419</v>
      </c>
      <c r="G93" s="32">
        <v>8111504</v>
      </c>
      <c r="I93" s="32">
        <v>2137607</v>
      </c>
      <c r="K93" s="32">
        <v>213014</v>
      </c>
      <c r="M93" s="32">
        <v>0</v>
      </c>
      <c r="O93" s="32">
        <v>67312</v>
      </c>
      <c r="Q93" s="32">
        <v>748059</v>
      </c>
      <c r="S93" s="32">
        <v>1055662</v>
      </c>
      <c r="U93" s="32">
        <v>38895</v>
      </c>
      <c r="W93" s="32">
        <v>1100033</v>
      </c>
      <c r="Y93" s="32">
        <v>496438</v>
      </c>
      <c r="AA93" s="32">
        <v>12389</v>
      </c>
      <c r="AC93" s="32">
        <v>1569056</v>
      </c>
      <c r="AE93" s="32">
        <v>864390</v>
      </c>
      <c r="AG93" s="32">
        <v>48403</v>
      </c>
      <c r="AI93" s="32">
        <v>0</v>
      </c>
      <c r="AK93" s="32">
        <v>610803</v>
      </c>
      <c r="AL93" s="31" t="s">
        <v>560</v>
      </c>
      <c r="AM93" s="31"/>
      <c r="AN93" s="31" t="s">
        <v>69</v>
      </c>
      <c r="AP93" s="32">
        <v>605277</v>
      </c>
      <c r="AR93" s="32">
        <v>0</v>
      </c>
      <c r="AT93" s="32">
        <v>0</v>
      </c>
      <c r="AV93" s="32">
        <v>103951</v>
      </c>
      <c r="AX93" s="32">
        <v>23980</v>
      </c>
      <c r="AZ93" s="32">
        <v>0</v>
      </c>
      <c r="BB93" s="36">
        <f t="shared" si="20"/>
        <v>17806773</v>
      </c>
      <c r="BD93" s="32">
        <v>0</v>
      </c>
      <c r="BF93" s="32">
        <v>0</v>
      </c>
      <c r="BH93" s="32">
        <v>0</v>
      </c>
      <c r="BJ93" s="32">
        <v>0</v>
      </c>
      <c r="BL93" s="36">
        <f t="shared" si="19"/>
        <v>17806773</v>
      </c>
      <c r="BN93" s="36">
        <f>'Gov Fd Rv'!AQ93-'Gov Fnd Exp'!BL93</f>
        <v>-577869</v>
      </c>
      <c r="BP93" s="32">
        <v>877728</v>
      </c>
      <c r="BR93" s="32">
        <v>0</v>
      </c>
      <c r="BT93" s="32">
        <v>0</v>
      </c>
      <c r="BV93" s="36">
        <f t="shared" si="21"/>
        <v>299859</v>
      </c>
      <c r="BW93" s="36"/>
      <c r="BX93" s="36">
        <f>BV93-'Gov Fd BS'!AE93</f>
        <v>0</v>
      </c>
      <c r="BY93" s="36"/>
      <c r="CB93" s="106" t="str">
        <f t="shared" si="17"/>
        <v>Carlisle Local SD</v>
      </c>
      <c r="CC93" s="106" t="b">
        <f t="shared" si="14"/>
        <v>1</v>
      </c>
      <c r="CD93" s="106" t="str">
        <f>'Gov Fd Rv'!A93</f>
        <v>Carlisle Local SD</v>
      </c>
      <c r="CE93" s="36" t="b">
        <f t="shared" si="13"/>
        <v>1</v>
      </c>
      <c r="CG93" s="36" t="str">
        <f t="shared" si="15"/>
        <v>Warren</v>
      </c>
      <c r="CH93" s="36" t="b">
        <f t="shared" si="16"/>
        <v>1</v>
      </c>
      <c r="CI93" s="36" t="b">
        <f>C93='Gov Fd Rv'!C93</f>
        <v>1</v>
      </c>
    </row>
    <row r="94" spans="1:87">
      <c r="A94" s="12" t="s">
        <v>862</v>
      </c>
      <c r="B94" s="12"/>
      <c r="C94" s="12" t="s">
        <v>16</v>
      </c>
      <c r="D94" s="12"/>
      <c r="E94" s="12">
        <v>45278</v>
      </c>
      <c r="G94" s="7">
        <v>9575309</v>
      </c>
      <c r="I94" s="7">
        <v>2516899</v>
      </c>
      <c r="K94" s="7">
        <v>256274</v>
      </c>
      <c r="M94" s="7">
        <v>0</v>
      </c>
      <c r="O94" s="7">
        <f>21148+340624</f>
        <v>361772</v>
      </c>
      <c r="Q94" s="7">
        <v>1503985</v>
      </c>
      <c r="S94" s="7">
        <v>952331</v>
      </c>
      <c r="U94" s="7">
        <v>13442</v>
      </c>
      <c r="W94" s="7">
        <v>1514778</v>
      </c>
      <c r="Y94" s="7">
        <v>638711</v>
      </c>
      <c r="AA94" s="7">
        <v>115915</v>
      </c>
      <c r="AC94" s="7">
        <v>1788849</v>
      </c>
      <c r="AE94" s="7">
        <v>1503173</v>
      </c>
      <c r="AG94" s="7">
        <v>46807</v>
      </c>
      <c r="AI94" s="7">
        <v>722498</v>
      </c>
      <c r="AK94" s="7">
        <v>48212</v>
      </c>
      <c r="AL94" s="12" t="s">
        <v>862</v>
      </c>
      <c r="AM94" s="12"/>
      <c r="AN94" s="12" t="s">
        <v>16</v>
      </c>
      <c r="AP94" s="7">
        <v>551682</v>
      </c>
      <c r="AR94" s="7">
        <v>125723</v>
      </c>
      <c r="AT94" s="7">
        <v>0</v>
      </c>
      <c r="AV94" s="7">
        <v>16570</v>
      </c>
      <c r="AX94" s="7">
        <v>212</v>
      </c>
      <c r="AZ94" s="7">
        <v>0</v>
      </c>
      <c r="BB94" s="8">
        <f t="shared" si="20"/>
        <v>22253142</v>
      </c>
      <c r="BD94" s="7">
        <v>151652</v>
      </c>
      <c r="BF94" s="7">
        <v>0</v>
      </c>
      <c r="BH94" s="7">
        <v>0</v>
      </c>
      <c r="BJ94" s="7">
        <v>0</v>
      </c>
      <c r="BL94" s="8">
        <f t="shared" si="19"/>
        <v>22404794</v>
      </c>
      <c r="BN94" s="8">
        <f>'Gov Fd Rv'!AQ94-'Gov Fnd Exp'!BL94</f>
        <v>2261742</v>
      </c>
      <c r="BP94" s="7">
        <v>3327466</v>
      </c>
      <c r="BR94" s="7">
        <v>0</v>
      </c>
      <c r="BT94" s="7">
        <v>0</v>
      </c>
      <c r="BV94" s="8">
        <f t="shared" si="21"/>
        <v>5589208</v>
      </c>
      <c r="BW94" s="8"/>
      <c r="BX94" s="8">
        <f>BV94-'Gov Fd BS'!AE94</f>
        <v>0</v>
      </c>
      <c r="BY94" s="8"/>
      <c r="CB94" s="101" t="str">
        <f t="shared" si="17"/>
        <v>Carrollton Exempted Village SD</v>
      </c>
      <c r="CC94" s="101" t="b">
        <f t="shared" si="14"/>
        <v>1</v>
      </c>
      <c r="CD94" s="101" t="str">
        <f>'Gov Fd Rv'!A94</f>
        <v>Carrollton Exempted Village SD</v>
      </c>
      <c r="CE94" s="8" t="b">
        <f t="shared" si="13"/>
        <v>1</v>
      </c>
      <c r="CG94" s="8" t="str">
        <f t="shared" si="15"/>
        <v>Carroll</v>
      </c>
      <c r="CH94" s="8" t="b">
        <f t="shared" si="16"/>
        <v>1</v>
      </c>
      <c r="CI94" s="8" t="b">
        <f>C94='Gov Fd Rv'!C94</f>
        <v>1</v>
      </c>
    </row>
    <row r="95" spans="1:87">
      <c r="A95" s="12" t="s">
        <v>679</v>
      </c>
      <c r="B95" s="12"/>
      <c r="C95" s="12" t="s">
        <v>114</v>
      </c>
      <c r="D95" s="12"/>
      <c r="E95" s="12">
        <v>47258</v>
      </c>
      <c r="G95" s="7">
        <v>2614823</v>
      </c>
      <c r="I95" s="7">
        <v>575732</v>
      </c>
      <c r="K95" s="7">
        <v>6393</v>
      </c>
      <c r="M95" s="7">
        <v>0</v>
      </c>
      <c r="O95" s="7">
        <f>18063+368351</f>
        <v>386414</v>
      </c>
      <c r="Q95" s="7">
        <v>444007</v>
      </c>
      <c r="S95" s="7">
        <v>344838</v>
      </c>
      <c r="U95" s="7">
        <v>30283</v>
      </c>
      <c r="W95" s="7">
        <v>664165</v>
      </c>
      <c r="Y95" s="7">
        <v>343575</v>
      </c>
      <c r="AA95" s="7">
        <v>3131</v>
      </c>
      <c r="AC95" s="7">
        <v>497538</v>
      </c>
      <c r="AE95" s="7">
        <v>313033</v>
      </c>
      <c r="AG95" s="7">
        <v>99776</v>
      </c>
      <c r="AI95" s="7">
        <v>0</v>
      </c>
      <c r="AK95" s="7">
        <v>147833</v>
      </c>
      <c r="AL95" s="12" t="s">
        <v>679</v>
      </c>
      <c r="AM95" s="12"/>
      <c r="AN95" s="12" t="s">
        <v>114</v>
      </c>
      <c r="AP95" s="7">
        <v>265389</v>
      </c>
      <c r="AR95" s="7">
        <v>2061387</v>
      </c>
      <c r="AT95" s="7">
        <v>0</v>
      </c>
      <c r="AV95" s="7">
        <v>3830000</v>
      </c>
      <c r="AX95" s="7">
        <v>743292</v>
      </c>
      <c r="AZ95" s="7">
        <v>103718</v>
      </c>
      <c r="BB95" s="8">
        <f t="shared" si="20"/>
        <v>13475327</v>
      </c>
      <c r="BD95" s="24">
        <v>46118</v>
      </c>
      <c r="BF95" s="7">
        <v>0</v>
      </c>
      <c r="BH95" s="7">
        <v>0</v>
      </c>
      <c r="BJ95" s="7">
        <v>0</v>
      </c>
      <c r="BL95" s="8">
        <f t="shared" si="19"/>
        <v>13521445</v>
      </c>
      <c r="BN95" s="8">
        <f>'Gov Fd Rv'!AQ95-'Gov Fnd Exp'!BL95</f>
        <v>6036424</v>
      </c>
      <c r="BP95" s="7">
        <v>14468688</v>
      </c>
      <c r="BR95" s="7">
        <v>0</v>
      </c>
      <c r="BT95" s="7">
        <v>0</v>
      </c>
      <c r="BV95" s="8">
        <f t="shared" si="21"/>
        <v>20505112</v>
      </c>
      <c r="BW95" s="8"/>
      <c r="BX95" s="8">
        <f>BV95-'Gov Fd BS'!AE95</f>
        <v>0</v>
      </c>
      <c r="BY95" s="8"/>
      <c r="BZ95" s="7" t="s">
        <v>783</v>
      </c>
      <c r="CB95" s="101" t="str">
        <f t="shared" si="17"/>
        <v xml:space="preserve">Cedar Cliff Local SD </v>
      </c>
      <c r="CC95" s="101" t="b">
        <f t="shared" si="14"/>
        <v>1</v>
      </c>
      <c r="CD95" s="101" t="str">
        <f>'Gov Fd Rv'!A95</f>
        <v xml:space="preserve">Cedar Cliff Local SD </v>
      </c>
      <c r="CE95" s="8" t="b">
        <f t="shared" si="13"/>
        <v>1</v>
      </c>
      <c r="CG95" s="8" t="str">
        <f t="shared" si="15"/>
        <v>Greene</v>
      </c>
      <c r="CH95" s="8" t="b">
        <f t="shared" si="16"/>
        <v>1</v>
      </c>
      <c r="CI95" s="8" t="b">
        <f>C95='Gov Fd Rv'!C95</f>
        <v>1</v>
      </c>
    </row>
    <row r="96" spans="1:87" hidden="1">
      <c r="A96" s="12" t="s">
        <v>645</v>
      </c>
      <c r="B96" s="12"/>
      <c r="C96" s="12" t="s">
        <v>435</v>
      </c>
      <c r="D96" s="12"/>
      <c r="E96" s="12">
        <v>43729</v>
      </c>
      <c r="AL96" s="12" t="s">
        <v>645</v>
      </c>
      <c r="AM96" s="12"/>
      <c r="AN96" s="12" t="s">
        <v>435</v>
      </c>
      <c r="BB96" s="8">
        <f t="shared" si="20"/>
        <v>0</v>
      </c>
      <c r="BF96" s="7">
        <v>0</v>
      </c>
      <c r="BH96" s="7">
        <v>0</v>
      </c>
      <c r="BL96" s="8">
        <f t="shared" si="19"/>
        <v>0</v>
      </c>
      <c r="BN96" s="8">
        <f>'Gov Fd Rv'!AQ96-'Gov Fnd Exp'!BL96</f>
        <v>0</v>
      </c>
      <c r="BT96" s="7">
        <v>0</v>
      </c>
      <c r="BV96" s="8">
        <f t="shared" si="21"/>
        <v>0</v>
      </c>
      <c r="BW96" s="8"/>
      <c r="BX96" s="8">
        <f>BV96-'Gov Fd BS'!AE96</f>
        <v>0</v>
      </c>
      <c r="BY96" s="8"/>
      <c r="BZ96" s="7" t="s">
        <v>778</v>
      </c>
      <c r="CB96" s="101" t="str">
        <f t="shared" si="17"/>
        <v>Celina City SD (CASH)</v>
      </c>
      <c r="CC96" s="101" t="b">
        <f t="shared" si="14"/>
        <v>1</v>
      </c>
      <c r="CD96" s="101" t="str">
        <f>'Gov Fd Rv'!A96</f>
        <v>Celina City SD (CASH)</v>
      </c>
      <c r="CE96" s="8" t="b">
        <f t="shared" si="13"/>
        <v>1</v>
      </c>
      <c r="CG96" s="8" t="str">
        <f t="shared" si="15"/>
        <v>Mercer</v>
      </c>
      <c r="CH96" s="8" t="b">
        <f t="shared" si="16"/>
        <v>1</v>
      </c>
      <c r="CI96" s="8" t="b">
        <f>C96='Gov Fd Rv'!C96</f>
        <v>1</v>
      </c>
    </row>
    <row r="97" spans="1:87">
      <c r="A97" s="12" t="s">
        <v>680</v>
      </c>
      <c r="B97" s="12"/>
      <c r="C97" s="12" t="s">
        <v>40</v>
      </c>
      <c r="D97" s="12"/>
      <c r="E97" s="12">
        <v>47829</v>
      </c>
      <c r="G97" s="7">
        <v>4664765</v>
      </c>
      <c r="I97" s="7">
        <v>1352237</v>
      </c>
      <c r="K97" s="7">
        <v>200651</v>
      </c>
      <c r="M97" s="7">
        <v>0</v>
      </c>
      <c r="O97" s="7">
        <v>127053</v>
      </c>
      <c r="Q97" s="7">
        <v>353432</v>
      </c>
      <c r="S97" s="7">
        <v>298945</v>
      </c>
      <c r="U97" s="7">
        <v>9266</v>
      </c>
      <c r="W97" s="7">
        <v>1058361</v>
      </c>
      <c r="Y97" s="7">
        <v>314479</v>
      </c>
      <c r="AA97" s="7">
        <v>0</v>
      </c>
      <c r="AC97" s="7">
        <v>945393</v>
      </c>
      <c r="AE97" s="7">
        <v>718391</v>
      </c>
      <c r="AG97" s="7">
        <v>6000</v>
      </c>
      <c r="AI97" s="7">
        <v>0</v>
      </c>
      <c r="AK97" s="7">
        <v>236589</v>
      </c>
      <c r="AL97" s="12" t="s">
        <v>680</v>
      </c>
      <c r="AM97" s="12"/>
      <c r="AN97" s="12" t="s">
        <v>40</v>
      </c>
      <c r="AP97" s="7">
        <v>342792</v>
      </c>
      <c r="AR97" s="7">
        <v>52227</v>
      </c>
      <c r="AT97" s="7">
        <v>0</v>
      </c>
      <c r="AV97" s="7">
        <v>255000</v>
      </c>
      <c r="AX97" s="7">
        <v>202465</v>
      </c>
      <c r="AZ97" s="7">
        <v>0</v>
      </c>
      <c r="BB97" s="8">
        <f t="shared" si="20"/>
        <v>11138046</v>
      </c>
      <c r="BD97" s="7">
        <v>0</v>
      </c>
      <c r="BF97" s="7">
        <v>0</v>
      </c>
      <c r="BH97" s="7">
        <v>0</v>
      </c>
      <c r="BJ97" s="7">
        <v>0</v>
      </c>
      <c r="BL97" s="8">
        <f t="shared" si="19"/>
        <v>11138046</v>
      </c>
      <c r="BN97" s="8">
        <f>'Gov Fd Rv'!AQ97-'Gov Fnd Exp'!BL97</f>
        <v>-263151</v>
      </c>
      <c r="BP97" s="7">
        <v>5605745</v>
      </c>
      <c r="BR97" s="7">
        <v>0</v>
      </c>
      <c r="BT97" s="7">
        <v>0</v>
      </c>
      <c r="BV97" s="8">
        <f t="shared" si="21"/>
        <v>5342594</v>
      </c>
      <c r="BW97" s="8"/>
      <c r="BX97" s="8">
        <f>BV97-'Gov Fd BS'!AE97</f>
        <v>0</v>
      </c>
      <c r="BY97" s="8"/>
      <c r="CB97" s="101" t="str">
        <f t="shared" si="17"/>
        <v xml:space="preserve">Centerburg Local SD </v>
      </c>
      <c r="CC97" s="101" t="b">
        <f t="shared" si="14"/>
        <v>1</v>
      </c>
      <c r="CD97" s="101" t="str">
        <f>'Gov Fd Rv'!A97</f>
        <v xml:space="preserve">Centerburg Local SD </v>
      </c>
      <c r="CE97" s="8" t="b">
        <f t="shared" si="13"/>
        <v>1</v>
      </c>
      <c r="CG97" s="8" t="str">
        <f t="shared" si="15"/>
        <v>Knox</v>
      </c>
      <c r="CH97" s="8" t="b">
        <f t="shared" si="16"/>
        <v>1</v>
      </c>
      <c r="CI97" s="8" t="b">
        <f>C97='Gov Fd Rv'!C97</f>
        <v>1</v>
      </c>
    </row>
    <row r="98" spans="1:87">
      <c r="A98" s="12" t="s">
        <v>681</v>
      </c>
      <c r="B98" s="12"/>
      <c r="C98" s="12" t="s">
        <v>50</v>
      </c>
      <c r="D98" s="12"/>
      <c r="E98" s="12">
        <v>43737</v>
      </c>
      <c r="G98" s="7">
        <v>39241060</v>
      </c>
      <c r="I98" s="7">
        <v>10123759</v>
      </c>
      <c r="K98" s="7">
        <v>2682791</v>
      </c>
      <c r="M98" s="7">
        <v>0</v>
      </c>
      <c r="O98" s="7">
        <v>984476</v>
      </c>
      <c r="Q98" s="7">
        <v>4667754</v>
      </c>
      <c r="S98" s="7">
        <v>7533641</v>
      </c>
      <c r="U98" s="7">
        <v>18192</v>
      </c>
      <c r="W98" s="7">
        <v>4651791</v>
      </c>
      <c r="Y98" s="7">
        <v>1623008</v>
      </c>
      <c r="AA98" s="7">
        <v>514055</v>
      </c>
      <c r="AC98" s="7">
        <v>5807690</v>
      </c>
      <c r="AE98" s="7">
        <v>7038695</v>
      </c>
      <c r="AG98" s="7">
        <v>66148</v>
      </c>
      <c r="AI98" s="7">
        <v>0</v>
      </c>
      <c r="AK98" s="7">
        <v>4633203</v>
      </c>
      <c r="AL98" s="12" t="s">
        <v>681</v>
      </c>
      <c r="AM98" s="12"/>
      <c r="AN98" s="12" t="s">
        <v>50</v>
      </c>
      <c r="AP98" s="7">
        <v>794397</v>
      </c>
      <c r="AR98" s="7">
        <v>3436577</v>
      </c>
      <c r="AT98" s="7">
        <v>0</v>
      </c>
      <c r="AV98" s="7">
        <v>3450000</v>
      </c>
      <c r="AX98" s="7">
        <v>2984739</v>
      </c>
      <c r="AZ98" s="7">
        <v>0</v>
      </c>
      <c r="BB98" s="8">
        <f t="shared" si="20"/>
        <v>100251976</v>
      </c>
      <c r="BD98" s="7">
        <v>0</v>
      </c>
      <c r="BF98" s="7">
        <v>0</v>
      </c>
      <c r="BH98" s="7">
        <v>0</v>
      </c>
      <c r="BJ98" s="7">
        <v>0</v>
      </c>
      <c r="BL98" s="8">
        <f t="shared" si="19"/>
        <v>100251976</v>
      </c>
      <c r="BN98" s="8">
        <f>'Gov Fd Rv'!AQ98-'Gov Fnd Exp'!BL98</f>
        <v>790211</v>
      </c>
      <c r="BP98" s="7">
        <v>30718307</v>
      </c>
      <c r="BR98" s="7">
        <v>0</v>
      </c>
      <c r="BT98" s="7">
        <v>0</v>
      </c>
      <c r="BV98" s="8">
        <f t="shared" si="21"/>
        <v>31508518</v>
      </c>
      <c r="BW98" s="8"/>
      <c r="BX98" s="8">
        <f>BV98-'Gov Fd BS'!AE98</f>
        <v>0</v>
      </c>
      <c r="BY98" s="8"/>
      <c r="CB98" s="101" t="str">
        <f t="shared" si="17"/>
        <v xml:space="preserve">Centerville City SD </v>
      </c>
      <c r="CC98" s="101" t="b">
        <f t="shared" si="14"/>
        <v>1</v>
      </c>
      <c r="CD98" s="101" t="str">
        <f>'Gov Fd Rv'!A98</f>
        <v xml:space="preserve">Centerville City SD </v>
      </c>
      <c r="CE98" s="8" t="b">
        <f t="shared" si="13"/>
        <v>1</v>
      </c>
      <c r="CG98" s="8" t="str">
        <f t="shared" si="15"/>
        <v>Montgomery</v>
      </c>
      <c r="CH98" s="8" t="b">
        <f t="shared" si="16"/>
        <v>1</v>
      </c>
      <c r="CI98" s="8" t="b">
        <f>C98='Gov Fd Rv'!C98</f>
        <v>1</v>
      </c>
    </row>
    <row r="99" spans="1:87" hidden="1">
      <c r="A99" s="12" t="s">
        <v>797</v>
      </c>
      <c r="B99" s="12"/>
      <c r="C99" s="12" t="s">
        <v>22</v>
      </c>
      <c r="D99" s="12"/>
      <c r="E99" s="12">
        <v>46714</v>
      </c>
      <c r="AL99" s="12" t="s">
        <v>797</v>
      </c>
      <c r="AM99" s="12"/>
      <c r="AN99" s="12" t="s">
        <v>22</v>
      </c>
      <c r="BB99" s="8">
        <f t="shared" si="20"/>
        <v>0</v>
      </c>
      <c r="BF99" s="7">
        <v>0</v>
      </c>
      <c r="BH99" s="7">
        <v>0</v>
      </c>
      <c r="BL99" s="8">
        <f t="shared" si="19"/>
        <v>0</v>
      </c>
      <c r="BN99" s="8">
        <f>'Gov Fd Rv'!AQ99-'Gov Fnd Exp'!BL99</f>
        <v>0</v>
      </c>
      <c r="BT99" s="7">
        <v>0</v>
      </c>
      <c r="BV99" s="8">
        <f t="shared" si="21"/>
        <v>0</v>
      </c>
      <c r="BW99" s="8"/>
      <c r="BX99" s="8">
        <f>BV99-'Gov Fd BS'!AE99</f>
        <v>0</v>
      </c>
      <c r="BY99" s="8"/>
      <c r="BZ99" s="7" t="s">
        <v>779</v>
      </c>
      <c r="CB99" s="101" t="str">
        <f t="shared" si="17"/>
        <v>Central Local SD (CASH)</v>
      </c>
      <c r="CC99" s="101" t="b">
        <f t="shared" si="14"/>
        <v>1</v>
      </c>
      <c r="CD99" s="101" t="str">
        <f>'Gov Fd Rv'!A99</f>
        <v>Central Local SD (CASH)</v>
      </c>
      <c r="CE99" s="8" t="b">
        <f t="shared" si="13"/>
        <v>1</v>
      </c>
      <c r="CG99" s="8" t="str">
        <f t="shared" si="15"/>
        <v>Defiance</v>
      </c>
      <c r="CH99" s="8" t="b">
        <f t="shared" si="16"/>
        <v>1</v>
      </c>
      <c r="CI99" s="8" t="b">
        <f>C99='Gov Fd Rv'!C99</f>
        <v>1</v>
      </c>
    </row>
    <row r="100" spans="1:87">
      <c r="A100" s="12" t="s">
        <v>863</v>
      </c>
      <c r="B100" s="12"/>
      <c r="C100" s="12" t="s">
        <v>20</v>
      </c>
      <c r="D100" s="12"/>
      <c r="E100" s="12">
        <v>45286</v>
      </c>
      <c r="G100" s="7">
        <v>11425333</v>
      </c>
      <c r="I100" s="7">
        <v>2218241</v>
      </c>
      <c r="K100" s="7">
        <v>519757</v>
      </c>
      <c r="M100" s="7">
        <v>0</v>
      </c>
      <c r="O100" s="7">
        <v>20409</v>
      </c>
      <c r="Q100" s="7">
        <v>1087218</v>
      </c>
      <c r="S100" s="7">
        <v>1580327</v>
      </c>
      <c r="U100" s="7">
        <v>65485</v>
      </c>
      <c r="W100" s="7">
        <v>2283321</v>
      </c>
      <c r="Y100" s="7">
        <v>908087</v>
      </c>
      <c r="AA100" s="7">
        <v>400</v>
      </c>
      <c r="AC100" s="7">
        <v>2483910</v>
      </c>
      <c r="AE100" s="7">
        <v>1257667</v>
      </c>
      <c r="AG100" s="7">
        <v>18801</v>
      </c>
      <c r="AI100" s="7">
        <v>0</v>
      </c>
      <c r="AK100" s="7">
        <v>157709</v>
      </c>
      <c r="AL100" s="12" t="s">
        <v>863</v>
      </c>
      <c r="AM100" s="12"/>
      <c r="AN100" s="12" t="s">
        <v>20</v>
      </c>
      <c r="AP100" s="7">
        <v>945683</v>
      </c>
      <c r="AR100" s="7">
        <v>895156</v>
      </c>
      <c r="AT100" s="7">
        <v>0</v>
      </c>
      <c r="AV100" s="7">
        <v>1032466</v>
      </c>
      <c r="AX100" s="7">
        <v>1694010</v>
      </c>
      <c r="AZ100" s="7">
        <v>0</v>
      </c>
      <c r="BB100" s="8">
        <f t="shared" si="20"/>
        <v>28593980</v>
      </c>
      <c r="BD100" s="7">
        <v>417600</v>
      </c>
      <c r="BF100" s="7">
        <v>0</v>
      </c>
      <c r="BH100" s="7">
        <v>0</v>
      </c>
      <c r="BJ100" s="7">
        <v>0</v>
      </c>
      <c r="BL100" s="8">
        <f t="shared" si="19"/>
        <v>29011580</v>
      </c>
      <c r="BN100" s="8">
        <f>'Gov Fd Rv'!AQ100-'Gov Fnd Exp'!BL100</f>
        <v>2194402</v>
      </c>
      <c r="BP100" s="7">
        <v>9128714</v>
      </c>
      <c r="BR100" s="7">
        <v>0</v>
      </c>
      <c r="BT100" s="7">
        <v>0</v>
      </c>
      <c r="BV100" s="8">
        <f t="shared" si="21"/>
        <v>11323116</v>
      </c>
      <c r="BW100" s="8"/>
      <c r="BX100" s="8">
        <f>BV100-'Gov Fd BS'!AE100</f>
        <v>0</v>
      </c>
      <c r="BY100" s="8"/>
      <c r="CB100" s="101" t="str">
        <f t="shared" si="17"/>
        <v>Chagrin Falls Exempted Village SD</v>
      </c>
      <c r="CC100" s="101" t="b">
        <f t="shared" si="14"/>
        <v>1</v>
      </c>
      <c r="CD100" s="101" t="str">
        <f>'Gov Fd Rv'!A100</f>
        <v>Chagrin Falls Exempted Village SD</v>
      </c>
      <c r="CE100" s="8" t="b">
        <f t="shared" si="13"/>
        <v>1</v>
      </c>
      <c r="CG100" s="8" t="str">
        <f t="shared" si="15"/>
        <v>Cuyahoga</v>
      </c>
      <c r="CH100" s="8" t="b">
        <f t="shared" si="16"/>
        <v>1</v>
      </c>
      <c r="CI100" s="8" t="b">
        <f>C100='Gov Fd Rv'!C100</f>
        <v>1</v>
      </c>
    </row>
    <row r="101" spans="1:87">
      <c r="A101" s="12" t="s">
        <v>536</v>
      </c>
      <c r="B101" s="12"/>
      <c r="C101" s="12" t="s">
        <v>64</v>
      </c>
      <c r="D101" s="12"/>
      <c r="E101" s="12">
        <v>50138</v>
      </c>
      <c r="G101" s="7">
        <v>6412738</v>
      </c>
      <c r="I101" s="7">
        <v>1686986</v>
      </c>
      <c r="K101" s="7">
        <v>183154</v>
      </c>
      <c r="M101" s="7">
        <v>0</v>
      </c>
      <c r="O101" s="7">
        <v>458738</v>
      </c>
      <c r="Q101" s="7">
        <v>608062</v>
      </c>
      <c r="S101" s="7">
        <f>362010+2250</f>
        <v>364260</v>
      </c>
      <c r="U101" s="7">
        <v>36754</v>
      </c>
      <c r="W101" s="7">
        <v>1717621</v>
      </c>
      <c r="Y101" s="7">
        <v>378763</v>
      </c>
      <c r="AA101" s="7">
        <v>0</v>
      </c>
      <c r="AC101" s="7">
        <v>1793412</v>
      </c>
      <c r="AE101" s="7">
        <v>836144</v>
      </c>
      <c r="AG101" s="7">
        <v>11159</v>
      </c>
      <c r="AI101" s="7">
        <v>480528</v>
      </c>
      <c r="AK101" s="7">
        <v>0</v>
      </c>
      <c r="AL101" s="12" t="s">
        <v>536</v>
      </c>
      <c r="AM101" s="12"/>
      <c r="AN101" s="12" t="s">
        <v>64</v>
      </c>
      <c r="AP101" s="7">
        <v>461400</v>
      </c>
      <c r="AR101" s="7">
        <v>0</v>
      </c>
      <c r="AT101" s="7">
        <v>0</v>
      </c>
      <c r="AV101" s="7">
        <v>168681</v>
      </c>
      <c r="AX101" s="7">
        <v>81121</v>
      </c>
      <c r="AZ101" s="7">
        <v>0</v>
      </c>
      <c r="BB101" s="8">
        <f t="shared" si="20"/>
        <v>15679521</v>
      </c>
      <c r="BD101" s="7">
        <v>64387</v>
      </c>
      <c r="BF101" s="7">
        <v>0</v>
      </c>
      <c r="BH101" s="7">
        <v>0</v>
      </c>
      <c r="BJ101" s="7">
        <v>0</v>
      </c>
      <c r="BL101" s="8">
        <f t="shared" si="19"/>
        <v>15743908</v>
      </c>
      <c r="BN101" s="8">
        <f>'Gov Fd Rv'!AQ101-'Gov Fnd Exp'!BL101</f>
        <v>367929</v>
      </c>
      <c r="BP101" s="7">
        <v>-843089</v>
      </c>
      <c r="BR101" s="7">
        <v>-1308</v>
      </c>
      <c r="BT101" s="7">
        <v>0</v>
      </c>
      <c r="BV101" s="8">
        <f t="shared" si="21"/>
        <v>-476468</v>
      </c>
      <c r="BW101" s="8"/>
      <c r="BX101" s="8">
        <f>BV101-'Gov Fd BS'!AE101</f>
        <v>0</v>
      </c>
      <c r="BY101" s="8"/>
      <c r="CB101" s="101" t="str">
        <f t="shared" si="17"/>
        <v>Champion Local SD</v>
      </c>
      <c r="CC101" s="101" t="b">
        <f t="shared" si="14"/>
        <v>1</v>
      </c>
      <c r="CD101" s="101" t="str">
        <f>'Gov Fd Rv'!A101</f>
        <v>Champion Local SD</v>
      </c>
      <c r="CE101" s="8" t="b">
        <f t="shared" si="13"/>
        <v>1</v>
      </c>
      <c r="CG101" s="8" t="str">
        <f t="shared" si="15"/>
        <v>Trumbull</v>
      </c>
      <c r="CH101" s="8" t="b">
        <f t="shared" si="16"/>
        <v>1</v>
      </c>
      <c r="CI101" s="8" t="b">
        <f>C101='Gov Fd Rv'!C101</f>
        <v>1</v>
      </c>
    </row>
    <row r="102" spans="1:87" hidden="1">
      <c r="A102" s="12" t="s">
        <v>798</v>
      </c>
      <c r="B102" s="12"/>
      <c r="C102" s="12" t="s">
        <v>30</v>
      </c>
      <c r="D102" s="12"/>
      <c r="E102" s="12">
        <v>47183</v>
      </c>
      <c r="AL102" s="12" t="s">
        <v>798</v>
      </c>
      <c r="AM102" s="12"/>
      <c r="AN102" s="12" t="s">
        <v>30</v>
      </c>
      <c r="BB102" s="8">
        <f t="shared" si="20"/>
        <v>0</v>
      </c>
      <c r="BF102" s="7">
        <v>0</v>
      </c>
      <c r="BH102" s="7">
        <v>0</v>
      </c>
      <c r="BL102" s="8">
        <f t="shared" si="19"/>
        <v>0</v>
      </c>
      <c r="BN102" s="8">
        <f>'Gov Fd Rv'!AQ102-'Gov Fnd Exp'!BL102</f>
        <v>0</v>
      </c>
      <c r="BT102" s="7">
        <v>0</v>
      </c>
      <c r="BV102" s="8">
        <f t="shared" si="21"/>
        <v>0</v>
      </c>
      <c r="BW102" s="8"/>
      <c r="BX102" s="8">
        <f>BV102-'Gov Fd BS'!AE102</f>
        <v>0</v>
      </c>
      <c r="BY102" s="8"/>
      <c r="BZ102" s="7" t="s">
        <v>779</v>
      </c>
      <c r="CB102" s="101" t="str">
        <f t="shared" si="17"/>
        <v>Chardon Local SD (CASH)</v>
      </c>
      <c r="CC102" s="101" t="b">
        <f t="shared" si="14"/>
        <v>1</v>
      </c>
      <c r="CD102" s="101" t="str">
        <f>'Gov Fd Rv'!A102</f>
        <v>Chardon Local SD (CASH)</v>
      </c>
      <c r="CE102" s="8" t="b">
        <f t="shared" si="13"/>
        <v>1</v>
      </c>
      <c r="CG102" s="8" t="str">
        <f t="shared" si="15"/>
        <v>Geauga</v>
      </c>
      <c r="CH102" s="8" t="b">
        <f t="shared" si="16"/>
        <v>1</v>
      </c>
      <c r="CI102" s="8" t="b">
        <f>C102='Gov Fd Rv'!C102</f>
        <v>1</v>
      </c>
    </row>
    <row r="103" spans="1:87">
      <c r="A103" s="12" t="s">
        <v>864</v>
      </c>
      <c r="B103" s="12"/>
      <c r="C103" s="12" t="s">
        <v>377</v>
      </c>
      <c r="D103" s="12"/>
      <c r="E103" s="12">
        <v>45294</v>
      </c>
      <c r="G103" s="7">
        <v>6984034</v>
      </c>
      <c r="I103" s="7">
        <v>1560333</v>
      </c>
      <c r="K103" s="7">
        <v>0</v>
      </c>
      <c r="M103" s="7">
        <v>0</v>
      </c>
      <c r="O103" s="7">
        <v>151432</v>
      </c>
      <c r="Q103" s="7">
        <v>472883</v>
      </c>
      <c r="S103" s="7">
        <v>850253</v>
      </c>
      <c r="U103" s="7">
        <v>118316</v>
      </c>
      <c r="W103" s="7">
        <v>1163057</v>
      </c>
      <c r="Y103" s="7">
        <v>314063</v>
      </c>
      <c r="AA103" s="7">
        <v>0</v>
      </c>
      <c r="AC103" s="7">
        <v>1140676</v>
      </c>
      <c r="AE103" s="7">
        <v>805582</v>
      </c>
      <c r="AG103" s="7">
        <v>139204</v>
      </c>
      <c r="AI103" s="7">
        <v>0</v>
      </c>
      <c r="AK103" s="7">
        <v>477730</v>
      </c>
      <c r="AL103" s="12" t="s">
        <v>864</v>
      </c>
      <c r="AM103" s="12"/>
      <c r="AN103" s="12" t="s">
        <v>377</v>
      </c>
      <c r="AP103" s="7">
        <v>351345</v>
      </c>
      <c r="AR103" s="7">
        <v>250</v>
      </c>
      <c r="AT103" s="7">
        <v>0</v>
      </c>
      <c r="AV103" s="7">
        <v>142731</v>
      </c>
      <c r="AX103" s="7">
        <v>57098</v>
      </c>
      <c r="AZ103" s="7">
        <v>0</v>
      </c>
      <c r="BB103" s="8">
        <f t="shared" si="20"/>
        <v>14728987</v>
      </c>
      <c r="BD103" s="7">
        <v>5498</v>
      </c>
      <c r="BF103" s="7">
        <v>0</v>
      </c>
      <c r="BH103" s="7">
        <v>0</v>
      </c>
      <c r="BJ103" s="7">
        <v>0</v>
      </c>
      <c r="BL103" s="8">
        <f t="shared" si="19"/>
        <v>14734485</v>
      </c>
      <c r="BN103" s="8">
        <f>'Gov Fd Rv'!AQ103-'Gov Fnd Exp'!BL103</f>
        <v>-271625</v>
      </c>
      <c r="BP103" s="7">
        <v>2255257</v>
      </c>
      <c r="BR103" s="7">
        <v>0</v>
      </c>
      <c r="BT103" s="7">
        <v>0</v>
      </c>
      <c r="BV103" s="8">
        <f t="shared" si="21"/>
        <v>1983632</v>
      </c>
      <c r="BW103" s="8"/>
      <c r="BX103" s="8">
        <f>BV103-'Gov Fd BS'!AE103</f>
        <v>0</v>
      </c>
      <c r="BY103" s="8"/>
      <c r="CB103" s="101" t="str">
        <f t="shared" si="17"/>
        <v>Chesapeake Union Exempted Village SD</v>
      </c>
      <c r="CC103" s="101" t="b">
        <f t="shared" si="14"/>
        <v>1</v>
      </c>
      <c r="CD103" s="101" t="str">
        <f>'Gov Fd Rv'!A103</f>
        <v>Chesapeake Union Exempted Village SD</v>
      </c>
      <c r="CE103" s="8" t="b">
        <f t="shared" si="13"/>
        <v>1</v>
      </c>
      <c r="CG103" s="8" t="str">
        <f t="shared" si="15"/>
        <v>Lawrence</v>
      </c>
      <c r="CH103" s="8" t="b">
        <f t="shared" si="16"/>
        <v>1</v>
      </c>
      <c r="CI103" s="8" t="b">
        <f>C103='Gov Fd Rv'!C103</f>
        <v>1</v>
      </c>
    </row>
    <row r="104" spans="1:87">
      <c r="A104" s="12" t="s">
        <v>488</v>
      </c>
      <c r="B104" s="12"/>
      <c r="C104" s="12" t="s">
        <v>58</v>
      </c>
      <c r="D104" s="12"/>
      <c r="E104" s="12">
        <v>43745</v>
      </c>
      <c r="G104" s="7">
        <v>16730898</v>
      </c>
      <c r="I104" s="7">
        <v>3314200</v>
      </c>
      <c r="K104" s="7">
        <v>7226</v>
      </c>
      <c r="M104" s="7">
        <v>0</v>
      </c>
      <c r="O104" s="7">
        <v>491994</v>
      </c>
      <c r="Q104" s="7">
        <v>2037634</v>
      </c>
      <c r="S104" s="7">
        <v>1530243</v>
      </c>
      <c r="U104" s="7">
        <v>60106</v>
      </c>
      <c r="W104" s="7">
        <v>2522438</v>
      </c>
      <c r="Y104" s="7">
        <v>820111</v>
      </c>
      <c r="AA104" s="7">
        <v>95354</v>
      </c>
      <c r="AC104" s="7">
        <v>2519679</v>
      </c>
      <c r="AE104" s="7">
        <v>921507</v>
      </c>
      <c r="AG104" s="7">
        <v>211959</v>
      </c>
      <c r="AI104" s="7">
        <v>0</v>
      </c>
      <c r="AK104" s="7">
        <v>1543657</v>
      </c>
      <c r="AL104" s="12" t="s">
        <v>488</v>
      </c>
      <c r="AM104" s="12"/>
      <c r="AN104" s="12" t="s">
        <v>58</v>
      </c>
      <c r="AP104" s="7">
        <v>528399</v>
      </c>
      <c r="AR104" s="7">
        <v>354290</v>
      </c>
      <c r="AT104" s="7">
        <v>0</v>
      </c>
      <c r="AV104" s="7">
        <v>1156000</v>
      </c>
      <c r="AX104" s="7">
        <v>1253430</v>
      </c>
      <c r="AZ104" s="7">
        <v>0</v>
      </c>
      <c r="BB104" s="8">
        <f t="shared" si="20"/>
        <v>36099125</v>
      </c>
      <c r="BD104" s="7">
        <v>0</v>
      </c>
      <c r="BF104" s="7">
        <v>0</v>
      </c>
      <c r="BH104" s="7">
        <v>0</v>
      </c>
      <c r="BJ104" s="7">
        <v>0</v>
      </c>
      <c r="BL104" s="8">
        <f t="shared" si="19"/>
        <v>36099125</v>
      </c>
      <c r="BN104" s="8">
        <f>'Gov Fd Rv'!AQ104-'Gov Fnd Exp'!BL104</f>
        <v>-3114</v>
      </c>
      <c r="BP104" s="7">
        <v>6361303</v>
      </c>
      <c r="BR104" s="7">
        <v>0</v>
      </c>
      <c r="BT104" s="7">
        <v>0</v>
      </c>
      <c r="BV104" s="8">
        <f t="shared" si="21"/>
        <v>6358189</v>
      </c>
      <c r="BW104" s="8"/>
      <c r="BX104" s="8">
        <f>BV104-'Gov Fd BS'!AE104</f>
        <v>0</v>
      </c>
      <c r="BY104" s="8"/>
      <c r="CB104" s="101" t="str">
        <f t="shared" si="17"/>
        <v>Chillicothe City SD</v>
      </c>
      <c r="CC104" s="101" t="b">
        <f t="shared" si="14"/>
        <v>1</v>
      </c>
      <c r="CD104" s="101" t="str">
        <f>'Gov Fd Rv'!A104</f>
        <v>Chillicothe City SD</v>
      </c>
      <c r="CE104" s="8" t="b">
        <f t="shared" si="13"/>
        <v>1</v>
      </c>
      <c r="CG104" s="8" t="str">
        <f t="shared" si="15"/>
        <v>Ross</v>
      </c>
      <c r="CH104" s="8" t="b">
        <f t="shared" si="16"/>
        <v>1</v>
      </c>
      <c r="CI104" s="8" t="b">
        <f>C104='Gov Fd Rv'!C104</f>
        <v>1</v>
      </c>
    </row>
    <row r="105" spans="1:87">
      <c r="A105" s="12" t="s">
        <v>568</v>
      </c>
      <c r="B105" s="12"/>
      <c r="C105" s="12" t="s">
        <v>71</v>
      </c>
      <c r="D105" s="12"/>
      <c r="E105" s="12">
        <v>50534</v>
      </c>
      <c r="G105" s="7">
        <v>5289424</v>
      </c>
      <c r="I105" s="7">
        <v>1602682</v>
      </c>
      <c r="K105" s="7">
        <v>21933</v>
      </c>
      <c r="M105" s="7">
        <v>0</v>
      </c>
      <c r="O105" s="7">
        <v>237088</v>
      </c>
      <c r="Q105" s="7">
        <v>170034</v>
      </c>
      <c r="S105" s="7">
        <v>495258</v>
      </c>
      <c r="U105" s="7">
        <v>41165</v>
      </c>
      <c r="W105" s="7">
        <v>1125372</v>
      </c>
      <c r="Y105" s="7">
        <v>376044</v>
      </c>
      <c r="AA105" s="7">
        <v>0</v>
      </c>
      <c r="AC105" s="7">
        <v>1080900</v>
      </c>
      <c r="AE105" s="7">
        <v>629665</v>
      </c>
      <c r="AG105" s="7">
        <v>157896</v>
      </c>
      <c r="AI105" s="7">
        <v>458489</v>
      </c>
      <c r="AK105" s="7">
        <v>118117</v>
      </c>
      <c r="AL105" s="12" t="s">
        <v>568</v>
      </c>
      <c r="AM105" s="12"/>
      <c r="AN105" s="12" t="s">
        <v>71</v>
      </c>
      <c r="AP105" s="7">
        <v>476935</v>
      </c>
      <c r="AR105" s="7">
        <v>0</v>
      </c>
      <c r="AT105" s="7">
        <v>0</v>
      </c>
      <c r="AV105" s="7">
        <v>0</v>
      </c>
      <c r="AX105" s="7">
        <v>0</v>
      </c>
      <c r="AZ105" s="7">
        <v>0</v>
      </c>
      <c r="BB105" s="8">
        <f t="shared" si="20"/>
        <v>12281002</v>
      </c>
      <c r="BD105" s="7">
        <v>18500</v>
      </c>
      <c r="BF105" s="7">
        <v>0</v>
      </c>
      <c r="BH105" s="7">
        <v>0</v>
      </c>
      <c r="BJ105" s="7">
        <v>0</v>
      </c>
      <c r="BL105" s="8">
        <f t="shared" si="19"/>
        <v>12299502</v>
      </c>
      <c r="BN105" s="8">
        <f>'Gov Fd Rv'!AQ105-'Gov Fnd Exp'!BL105</f>
        <v>1116540</v>
      </c>
      <c r="BP105" s="7">
        <v>4880749</v>
      </c>
      <c r="BR105" s="7">
        <v>0</v>
      </c>
      <c r="BT105" s="7">
        <v>0</v>
      </c>
      <c r="BV105" s="8">
        <f t="shared" si="21"/>
        <v>5997289</v>
      </c>
      <c r="BW105" s="8"/>
      <c r="BX105" s="8">
        <f>BV105-'Gov Fd BS'!AE105</f>
        <v>0</v>
      </c>
      <c r="BY105" s="8"/>
      <c r="CB105" s="101" t="str">
        <f t="shared" si="17"/>
        <v>Chippewa Local SD</v>
      </c>
      <c r="CC105" s="101" t="b">
        <f t="shared" si="14"/>
        <v>1</v>
      </c>
      <c r="CD105" s="101" t="str">
        <f>'Gov Fd Rv'!A105</f>
        <v>Chippewa Local SD</v>
      </c>
      <c r="CE105" s="8" t="b">
        <f t="shared" si="13"/>
        <v>1</v>
      </c>
      <c r="CG105" s="8" t="str">
        <f t="shared" si="15"/>
        <v>Wayne</v>
      </c>
      <c r="CH105" s="8" t="b">
        <f t="shared" si="16"/>
        <v>1</v>
      </c>
      <c r="CI105" s="8" t="b">
        <f>C105='Gov Fd Rv'!C105</f>
        <v>1</v>
      </c>
    </row>
    <row r="106" spans="1:87">
      <c r="A106" s="12" t="s">
        <v>683</v>
      </c>
      <c r="B106" s="12"/>
      <c r="C106" s="12" t="s">
        <v>32</v>
      </c>
      <c r="D106" s="12"/>
      <c r="E106" s="12">
        <v>43752</v>
      </c>
      <c r="G106" s="7">
        <v>211093487</v>
      </c>
      <c r="I106" s="7">
        <v>78530889</v>
      </c>
      <c r="K106" s="7">
        <v>6851832</v>
      </c>
      <c r="M106" s="7">
        <v>0</v>
      </c>
      <c r="O106" s="7">
        <v>609796</v>
      </c>
      <c r="Q106" s="7">
        <v>30236201</v>
      </c>
      <c r="S106" s="7">
        <v>49750441</v>
      </c>
      <c r="U106" s="7">
        <v>346538</v>
      </c>
      <c r="W106" s="7">
        <v>36399488</v>
      </c>
      <c r="Y106" s="7">
        <v>7049604</v>
      </c>
      <c r="AA106" s="7">
        <v>1280016</v>
      </c>
      <c r="AC106" s="7">
        <v>48264749</v>
      </c>
      <c r="AE106" s="7">
        <v>27202285</v>
      </c>
      <c r="AG106" s="7">
        <v>14474208</v>
      </c>
      <c r="AI106" s="7">
        <v>0</v>
      </c>
      <c r="AK106" s="7">
        <v>30506964</v>
      </c>
      <c r="AL106" s="12" t="s">
        <v>683</v>
      </c>
      <c r="AM106" s="12"/>
      <c r="AN106" s="12" t="s">
        <v>32</v>
      </c>
      <c r="AP106" s="7">
        <v>5764915</v>
      </c>
      <c r="AR106" s="7">
        <v>125449441</v>
      </c>
      <c r="AT106" s="7">
        <v>0</v>
      </c>
      <c r="AV106" s="7">
        <v>24605000</v>
      </c>
      <c r="AX106" s="7">
        <v>36665669</v>
      </c>
      <c r="AZ106" s="7">
        <v>0</v>
      </c>
      <c r="BB106" s="8">
        <f t="shared" si="20"/>
        <v>735081523</v>
      </c>
      <c r="BD106" s="7">
        <v>196495786</v>
      </c>
      <c r="BF106" s="7">
        <v>0</v>
      </c>
      <c r="BH106" s="7">
        <v>0</v>
      </c>
      <c r="BJ106" s="7">
        <v>0</v>
      </c>
      <c r="BL106" s="8">
        <f t="shared" si="19"/>
        <v>931577309</v>
      </c>
      <c r="BN106" s="8">
        <f>'Gov Fd Rv'!AQ106-'Gov Fnd Exp'!BL106</f>
        <v>-56640794</v>
      </c>
      <c r="BP106" s="7">
        <v>469861986</v>
      </c>
      <c r="BR106" s="7">
        <v>0</v>
      </c>
      <c r="BT106" s="7">
        <v>0</v>
      </c>
      <c r="BV106" s="8">
        <f t="shared" si="21"/>
        <v>413221192</v>
      </c>
      <c r="BW106" s="8"/>
      <c r="BX106" s="8">
        <f>BV106-'Gov Fd BS'!AE106</f>
        <v>0</v>
      </c>
      <c r="BY106" s="8"/>
      <c r="CB106" s="101" t="str">
        <f t="shared" si="17"/>
        <v>Cincinnati City SD/Cincinnati Public SD</v>
      </c>
      <c r="CC106" s="101" t="b">
        <f t="shared" si="14"/>
        <v>1</v>
      </c>
      <c r="CD106" s="101" t="str">
        <f>'Gov Fd Rv'!A106</f>
        <v>Cincinnati City SD/Cincinnati Public SD</v>
      </c>
      <c r="CE106" s="8" t="b">
        <f t="shared" si="13"/>
        <v>1</v>
      </c>
      <c r="CG106" s="8" t="str">
        <f t="shared" si="15"/>
        <v>Hamilton</v>
      </c>
      <c r="CH106" s="8" t="b">
        <f t="shared" si="16"/>
        <v>1</v>
      </c>
      <c r="CI106" s="8" t="b">
        <f>C106='Gov Fd Rv'!C106</f>
        <v>1</v>
      </c>
    </row>
    <row r="107" spans="1:87">
      <c r="A107" s="12" t="s">
        <v>467</v>
      </c>
      <c r="B107" s="12"/>
      <c r="C107" s="12" t="s">
        <v>54</v>
      </c>
      <c r="D107" s="12"/>
      <c r="E107" s="12">
        <v>43760</v>
      </c>
      <c r="G107" s="7">
        <v>9873483</v>
      </c>
      <c r="I107" s="7">
        <v>2586938</v>
      </c>
      <c r="K107" s="7">
        <v>103044</v>
      </c>
      <c r="M107" s="7">
        <v>0</v>
      </c>
      <c r="O107" s="7">
        <v>96319</v>
      </c>
      <c r="Q107" s="7">
        <v>950544</v>
      </c>
      <c r="S107" s="7">
        <v>3467510</v>
      </c>
      <c r="U107" s="7">
        <v>144854</v>
      </c>
      <c r="W107" s="7">
        <v>1927528</v>
      </c>
      <c r="Y107" s="7">
        <v>601671</v>
      </c>
      <c r="AA107" s="7">
        <v>0</v>
      </c>
      <c r="AC107" s="7">
        <v>1628453</v>
      </c>
      <c r="AE107" s="7">
        <v>686070</v>
      </c>
      <c r="AG107" s="7">
        <v>0</v>
      </c>
      <c r="AI107" s="7">
        <v>1022770</v>
      </c>
      <c r="AK107" s="7">
        <v>113502</v>
      </c>
      <c r="AL107" s="12" t="s">
        <v>467</v>
      </c>
      <c r="AM107" s="12"/>
      <c r="AN107" s="12" t="s">
        <v>54</v>
      </c>
      <c r="AP107" s="7">
        <v>520979</v>
      </c>
      <c r="AR107" s="7">
        <v>2033477</v>
      </c>
      <c r="AT107" s="7">
        <v>0</v>
      </c>
      <c r="AV107" s="7">
        <v>172747</v>
      </c>
      <c r="AX107" s="7">
        <v>1869055</v>
      </c>
      <c r="AZ107" s="7">
        <f>510802+77732</f>
        <v>588534</v>
      </c>
      <c r="BB107" s="8">
        <f t="shared" si="20"/>
        <v>28387478</v>
      </c>
      <c r="BD107" s="7">
        <v>26965151</v>
      </c>
      <c r="BF107" s="7">
        <v>0</v>
      </c>
      <c r="BH107" s="7">
        <v>0</v>
      </c>
      <c r="BJ107" s="7">
        <v>0</v>
      </c>
      <c r="BL107" s="8">
        <f t="shared" si="19"/>
        <v>55352629</v>
      </c>
      <c r="BN107" s="8">
        <f>'Gov Fd Rv'!AQ107-'Gov Fnd Exp'!BL107</f>
        <v>52816380</v>
      </c>
      <c r="BP107" s="7">
        <v>13130166</v>
      </c>
      <c r="BR107" s="7">
        <v>-2852</v>
      </c>
      <c r="BT107" s="7">
        <v>0</v>
      </c>
      <c r="BV107" s="8">
        <f t="shared" si="21"/>
        <v>65943694</v>
      </c>
      <c r="BW107" s="8"/>
      <c r="BX107" s="8">
        <f>BV107-'Gov Fd BS'!AE107</f>
        <v>0</v>
      </c>
      <c r="BY107" s="8"/>
      <c r="CB107" s="101" t="str">
        <f t="shared" si="17"/>
        <v>Circleville City SD</v>
      </c>
      <c r="CC107" s="101" t="b">
        <f t="shared" si="14"/>
        <v>1</v>
      </c>
      <c r="CD107" s="101" t="str">
        <f>'Gov Fd Rv'!A107</f>
        <v>Circleville City SD</v>
      </c>
      <c r="CE107" s="8" t="b">
        <f t="shared" si="13"/>
        <v>1</v>
      </c>
      <c r="CG107" s="8" t="str">
        <f t="shared" si="15"/>
        <v>Pickaway</v>
      </c>
      <c r="CH107" s="8" t="b">
        <f t="shared" si="16"/>
        <v>1</v>
      </c>
      <c r="CI107" s="8" t="b">
        <f>C107='Gov Fd Rv'!C107</f>
        <v>1</v>
      </c>
    </row>
    <row r="108" spans="1:87">
      <c r="A108" s="12" t="s">
        <v>236</v>
      </c>
      <c r="B108" s="12"/>
      <c r="C108" s="12" t="s">
        <v>17</v>
      </c>
      <c r="D108" s="12"/>
      <c r="E108" s="12">
        <v>46284</v>
      </c>
      <c r="G108" s="7">
        <v>10007710</v>
      </c>
      <c r="I108" s="7">
        <v>2594666</v>
      </c>
      <c r="K108" s="7">
        <v>209069</v>
      </c>
      <c r="M108" s="7">
        <v>11527</v>
      </c>
      <c r="O108" s="7">
        <v>382363</v>
      </c>
      <c r="Q108" s="7">
        <v>661088</v>
      </c>
      <c r="S108" s="7">
        <v>632301</v>
      </c>
      <c r="U108" s="7">
        <v>81746</v>
      </c>
      <c r="W108" s="7">
        <v>1695103</v>
      </c>
      <c r="Y108" s="7">
        <v>490318</v>
      </c>
      <c r="AA108" s="7">
        <v>13464</v>
      </c>
      <c r="AC108" s="7">
        <v>1531636</v>
      </c>
      <c r="AE108" s="7">
        <v>981319</v>
      </c>
      <c r="AG108" s="7">
        <v>106330</v>
      </c>
      <c r="AI108" s="7">
        <v>0</v>
      </c>
      <c r="AK108" s="7">
        <v>937641</v>
      </c>
      <c r="AL108" s="12" t="s">
        <v>236</v>
      </c>
      <c r="AM108" s="12"/>
      <c r="AN108" s="12" t="s">
        <v>17</v>
      </c>
      <c r="AP108" s="7">
        <v>856685</v>
      </c>
      <c r="AR108" s="7">
        <v>384437</v>
      </c>
      <c r="AT108" s="7">
        <v>0</v>
      </c>
      <c r="AV108" s="7">
        <v>24564</v>
      </c>
      <c r="AX108" s="7">
        <v>1085</v>
      </c>
      <c r="AZ108" s="7">
        <v>0</v>
      </c>
      <c r="BB108" s="8">
        <f t="shared" si="20"/>
        <v>21603052</v>
      </c>
      <c r="BD108" s="7">
        <v>0</v>
      </c>
      <c r="BF108" s="7">
        <v>0</v>
      </c>
      <c r="BH108" s="7">
        <v>0</v>
      </c>
      <c r="BJ108" s="7">
        <v>0</v>
      </c>
      <c r="BL108" s="8">
        <f t="shared" si="19"/>
        <v>21603052</v>
      </c>
      <c r="BN108" s="8">
        <f>'Gov Fd Rv'!AQ108-'Gov Fnd Exp'!BL108</f>
        <v>849375</v>
      </c>
      <c r="BP108" s="7">
        <v>3374671</v>
      </c>
      <c r="BR108" s="7">
        <v>0</v>
      </c>
      <c r="BT108" s="7">
        <v>0</v>
      </c>
      <c r="BV108" s="8">
        <f t="shared" si="21"/>
        <v>4224046</v>
      </c>
      <c r="BW108" s="8"/>
      <c r="BX108" s="8">
        <f>BV108-'Gov Fd BS'!AE108</f>
        <v>0</v>
      </c>
      <c r="BY108" s="8"/>
      <c r="CB108" s="101" t="str">
        <f t="shared" si="17"/>
        <v>Clark-Shawnee Local SD</v>
      </c>
      <c r="CC108" s="101" t="b">
        <f t="shared" si="14"/>
        <v>1</v>
      </c>
      <c r="CD108" s="101" t="str">
        <f>'Gov Fd Rv'!A108</f>
        <v>Clark-Shawnee Local SD</v>
      </c>
      <c r="CE108" s="8" t="b">
        <f t="shared" si="13"/>
        <v>1</v>
      </c>
      <c r="CG108" s="8" t="str">
        <f t="shared" si="15"/>
        <v>Clark</v>
      </c>
      <c r="CH108" s="8" t="b">
        <f t="shared" si="16"/>
        <v>1</v>
      </c>
      <c r="CI108" s="8" t="b">
        <f>C108='Gov Fd Rv'!C108</f>
        <v>1</v>
      </c>
    </row>
    <row r="109" spans="1:87">
      <c r="A109" s="12" t="s">
        <v>495</v>
      </c>
      <c r="B109" s="12"/>
      <c r="C109" s="12" t="s">
        <v>59</v>
      </c>
      <c r="D109" s="12"/>
      <c r="E109" s="12">
        <v>49601</v>
      </c>
      <c r="G109" s="7">
        <v>3074537</v>
      </c>
      <c r="I109" s="7">
        <v>545048</v>
      </c>
      <c r="K109" s="7">
        <v>1697</v>
      </c>
      <c r="M109" s="7">
        <v>0</v>
      </c>
      <c r="O109" s="7">
        <v>2125</v>
      </c>
      <c r="Q109" s="7">
        <v>262464</v>
      </c>
      <c r="S109" s="7">
        <v>411166</v>
      </c>
      <c r="U109" s="7">
        <v>20279</v>
      </c>
      <c r="W109" s="7">
        <v>537358</v>
      </c>
      <c r="Y109" s="7">
        <v>152546</v>
      </c>
      <c r="AA109" s="7">
        <v>0</v>
      </c>
      <c r="AC109" s="7">
        <v>448165</v>
      </c>
      <c r="AE109" s="7">
        <v>237692</v>
      </c>
      <c r="AG109" s="7">
        <v>7651</v>
      </c>
      <c r="AI109" s="7">
        <v>307737</v>
      </c>
      <c r="AK109" s="7">
        <v>0</v>
      </c>
      <c r="AL109" s="12" t="s">
        <v>495</v>
      </c>
      <c r="AM109" s="12"/>
      <c r="AN109" s="12" t="s">
        <v>59</v>
      </c>
      <c r="AP109" s="7">
        <v>149080</v>
      </c>
      <c r="AR109" s="7">
        <v>16372945</v>
      </c>
      <c r="AT109" s="7">
        <v>0</v>
      </c>
      <c r="AV109" s="7">
        <v>89000</v>
      </c>
      <c r="AX109" s="7">
        <v>247807</v>
      </c>
      <c r="AZ109" s="7">
        <v>0</v>
      </c>
      <c r="BB109" s="8">
        <f t="shared" si="20"/>
        <v>22867297</v>
      </c>
      <c r="BD109" s="7">
        <v>40152</v>
      </c>
      <c r="BF109" s="7">
        <v>0</v>
      </c>
      <c r="BH109" s="7">
        <v>0</v>
      </c>
      <c r="BJ109" s="7">
        <v>0</v>
      </c>
      <c r="BL109" s="8">
        <f t="shared" si="19"/>
        <v>22907449</v>
      </c>
      <c r="BN109" s="8">
        <f>'Gov Fd Rv'!AQ109-'Gov Fnd Exp'!BL109</f>
        <v>-5829964</v>
      </c>
      <c r="BP109" s="7">
        <v>11538353</v>
      </c>
      <c r="BR109" s="7">
        <v>0</v>
      </c>
      <c r="BT109" s="7">
        <v>0</v>
      </c>
      <c r="BV109" s="8">
        <f t="shared" si="21"/>
        <v>5708389</v>
      </c>
      <c r="BW109" s="8"/>
      <c r="BX109" s="8">
        <f>BV109-'Gov Fd BS'!AE109</f>
        <v>0</v>
      </c>
      <c r="BY109" s="8"/>
      <c r="CB109" s="101" t="str">
        <f t="shared" si="17"/>
        <v>Clay Local SD</v>
      </c>
      <c r="CC109" s="101" t="b">
        <f t="shared" si="14"/>
        <v>1</v>
      </c>
      <c r="CD109" s="101" t="str">
        <f>'Gov Fd Rv'!A109</f>
        <v>Clay Local SD</v>
      </c>
      <c r="CE109" s="8" t="b">
        <f t="shared" si="13"/>
        <v>1</v>
      </c>
      <c r="CG109" s="8" t="str">
        <f t="shared" si="15"/>
        <v>Scioto</v>
      </c>
      <c r="CH109" s="8" t="b">
        <f t="shared" si="16"/>
        <v>1</v>
      </c>
      <c r="CI109" s="8" t="b">
        <f>C109='Gov Fd Rv'!C109</f>
        <v>1</v>
      </c>
    </row>
    <row r="110" spans="1:87">
      <c r="A110" s="12" t="s">
        <v>549</v>
      </c>
      <c r="B110" s="12"/>
      <c r="C110" s="12" t="s">
        <v>65</v>
      </c>
      <c r="D110" s="12"/>
      <c r="E110" s="12">
        <v>43778</v>
      </c>
      <c r="G110" s="7">
        <v>9368282</v>
      </c>
      <c r="I110" s="7">
        <v>2666097</v>
      </c>
      <c r="K110" s="7">
        <v>96650</v>
      </c>
      <c r="M110" s="7">
        <v>0</v>
      </c>
      <c r="O110" s="7">
        <v>7882</v>
      </c>
      <c r="Q110" s="7">
        <v>962529</v>
      </c>
      <c r="S110" s="7">
        <v>1307352</v>
      </c>
      <c r="U110" s="7">
        <v>40159</v>
      </c>
      <c r="W110" s="7">
        <v>1474851</v>
      </c>
      <c r="Y110" s="7">
        <v>357335</v>
      </c>
      <c r="AA110" s="7">
        <v>72000</v>
      </c>
      <c r="AC110" s="7">
        <v>2014987</v>
      </c>
      <c r="AE110" s="7">
        <v>877967</v>
      </c>
      <c r="AG110" s="7">
        <v>390564</v>
      </c>
      <c r="AI110" s="7">
        <v>837948</v>
      </c>
      <c r="AK110" s="7">
        <v>82002</v>
      </c>
      <c r="AL110" s="12" t="s">
        <v>549</v>
      </c>
      <c r="AM110" s="12"/>
      <c r="AN110" s="12" t="s">
        <v>65</v>
      </c>
      <c r="AP110" s="7">
        <v>520320</v>
      </c>
      <c r="AR110" s="7">
        <f>121931+296</f>
        <v>122227</v>
      </c>
      <c r="AT110" s="7">
        <v>0</v>
      </c>
      <c r="AV110" s="7">
        <v>391217</v>
      </c>
      <c r="AX110" s="7">
        <v>107405</v>
      </c>
      <c r="AZ110" s="7">
        <v>0</v>
      </c>
      <c r="BB110" s="8">
        <f t="shared" si="20"/>
        <v>21697774</v>
      </c>
      <c r="BD110" s="7">
        <v>0</v>
      </c>
      <c r="BF110" s="7">
        <v>0</v>
      </c>
      <c r="BH110" s="7">
        <v>0</v>
      </c>
      <c r="BJ110" s="7">
        <v>0</v>
      </c>
      <c r="BL110" s="8">
        <f t="shared" si="19"/>
        <v>21697774</v>
      </c>
      <c r="BN110" s="8">
        <f>'Gov Fd Rv'!AQ110-'Gov Fnd Exp'!BL110</f>
        <v>18667</v>
      </c>
      <c r="BP110" s="7">
        <v>2492545</v>
      </c>
      <c r="BR110" s="7">
        <v>-482</v>
      </c>
      <c r="BT110" s="7">
        <v>0</v>
      </c>
      <c r="BV110" s="8">
        <f t="shared" si="21"/>
        <v>2510730</v>
      </c>
      <c r="BW110" s="8"/>
      <c r="BX110" s="8">
        <f>BV110-'Gov Fd BS'!AE110</f>
        <v>0</v>
      </c>
      <c r="BY110" s="8"/>
      <c r="CB110" s="101" t="str">
        <f t="shared" si="17"/>
        <v>Claymont City SD</v>
      </c>
      <c r="CC110" s="101" t="b">
        <f t="shared" si="14"/>
        <v>1</v>
      </c>
      <c r="CD110" s="101" t="str">
        <f>'Gov Fd Rv'!A110</f>
        <v>Claymont City SD</v>
      </c>
      <c r="CE110" s="8" t="b">
        <f t="shared" si="13"/>
        <v>1</v>
      </c>
      <c r="CG110" s="8" t="str">
        <f t="shared" si="15"/>
        <v>Tuscarawas</v>
      </c>
      <c r="CH110" s="8" t="b">
        <f t="shared" si="16"/>
        <v>1</v>
      </c>
      <c r="CI110" s="8" t="b">
        <f>C110='Gov Fd Rv'!C110</f>
        <v>1</v>
      </c>
    </row>
    <row r="111" spans="1:87">
      <c r="A111" s="12" t="s">
        <v>483</v>
      </c>
      <c r="B111" s="12"/>
      <c r="C111" s="12" t="s">
        <v>110</v>
      </c>
      <c r="D111" s="12"/>
      <c r="E111" s="12">
        <v>49411</v>
      </c>
      <c r="G111" s="7">
        <v>6255859</v>
      </c>
      <c r="I111" s="7">
        <v>1860309</v>
      </c>
      <c r="K111" s="7">
        <v>168281</v>
      </c>
      <c r="M111" s="7">
        <v>0</v>
      </c>
      <c r="O111" s="7">
        <v>642522</v>
      </c>
      <c r="Q111" s="7">
        <v>474648</v>
      </c>
      <c r="S111" s="7">
        <v>679504</v>
      </c>
      <c r="U111" s="7">
        <v>69429</v>
      </c>
      <c r="W111" s="7">
        <v>978614</v>
      </c>
      <c r="Y111" s="7">
        <v>327866</v>
      </c>
      <c r="AA111" s="7">
        <v>0</v>
      </c>
      <c r="AC111" s="7">
        <v>1762686</v>
      </c>
      <c r="AE111" s="7">
        <v>1121590</v>
      </c>
      <c r="AG111" s="7">
        <v>21650</v>
      </c>
      <c r="AI111" s="7">
        <v>767335</v>
      </c>
      <c r="AK111" s="7">
        <v>3613</v>
      </c>
      <c r="AL111" s="12" t="s">
        <v>483</v>
      </c>
      <c r="AM111" s="12"/>
      <c r="AN111" s="12" t="s">
        <v>110</v>
      </c>
      <c r="AP111" s="7">
        <v>450212</v>
      </c>
      <c r="AR111" s="7">
        <v>23156</v>
      </c>
      <c r="AT111" s="7">
        <v>0</v>
      </c>
      <c r="AV111" s="7">
        <v>390000</v>
      </c>
      <c r="AX111" s="7">
        <v>254650</v>
      </c>
      <c r="AZ111" s="7">
        <v>0</v>
      </c>
      <c r="BB111" s="8">
        <f t="shared" si="20"/>
        <v>16251924</v>
      </c>
      <c r="BD111" s="7">
        <v>34706</v>
      </c>
      <c r="BF111" s="7">
        <v>0</v>
      </c>
      <c r="BH111" s="7">
        <v>0</v>
      </c>
      <c r="BJ111" s="7">
        <v>0</v>
      </c>
      <c r="BL111" s="8">
        <f t="shared" si="19"/>
        <v>16286630</v>
      </c>
      <c r="BN111" s="8">
        <f>'Gov Fd Rv'!AQ111-'Gov Fnd Exp'!BL111</f>
        <v>931558</v>
      </c>
      <c r="BP111" s="7">
        <v>6695091</v>
      </c>
      <c r="BR111" s="7">
        <v>-16249</v>
      </c>
      <c r="BT111" s="7">
        <v>0</v>
      </c>
      <c r="BV111" s="8">
        <f t="shared" si="21"/>
        <v>7610400</v>
      </c>
      <c r="BW111" s="8"/>
      <c r="BX111" s="8">
        <f>BV111-'Gov Fd BS'!AE111</f>
        <v>0</v>
      </c>
      <c r="BY111" s="8"/>
      <c r="CB111" s="101" t="str">
        <f t="shared" si="17"/>
        <v>Clear Fork Valley Local SD</v>
      </c>
      <c r="CC111" s="101" t="b">
        <f t="shared" si="14"/>
        <v>1</v>
      </c>
      <c r="CD111" s="101" t="str">
        <f>'Gov Fd Rv'!A111</f>
        <v>Clear Fork Valley Local SD</v>
      </c>
      <c r="CE111" s="8" t="b">
        <f t="shared" si="13"/>
        <v>1</v>
      </c>
      <c r="CG111" s="8" t="str">
        <f t="shared" si="15"/>
        <v>Richland</v>
      </c>
      <c r="CH111" s="8" t="b">
        <f t="shared" si="16"/>
        <v>1</v>
      </c>
      <c r="CI111" s="8" t="b">
        <f>C111='Gov Fd Rv'!C111</f>
        <v>1</v>
      </c>
    </row>
    <row r="112" spans="1:87">
      <c r="A112" s="12" t="s">
        <v>394</v>
      </c>
      <c r="B112" s="12"/>
      <c r="C112" s="12" t="s">
        <v>44</v>
      </c>
      <c r="D112" s="12"/>
      <c r="E112" s="12">
        <v>48132</v>
      </c>
      <c r="G112" s="7">
        <v>7351895</v>
      </c>
      <c r="I112" s="7">
        <v>1532678</v>
      </c>
      <c r="K112" s="7">
        <v>175793</v>
      </c>
      <c r="M112" s="7">
        <v>0</v>
      </c>
      <c r="O112" s="7">
        <v>54531</v>
      </c>
      <c r="Q112" s="7">
        <v>1053242</v>
      </c>
      <c r="S112" s="7">
        <v>532992</v>
      </c>
      <c r="U112" s="7">
        <v>54756</v>
      </c>
      <c r="W112" s="7">
        <v>1058609</v>
      </c>
      <c r="Y112" s="7">
        <v>392688</v>
      </c>
      <c r="AA112" s="7">
        <v>286972</v>
      </c>
      <c r="AC112" s="7">
        <v>1550154</v>
      </c>
      <c r="AE112" s="7">
        <v>485446</v>
      </c>
      <c r="AG112" s="7">
        <v>141486</v>
      </c>
      <c r="AI112" s="7">
        <v>867305</v>
      </c>
      <c r="AK112" s="7">
        <f>3654+27376</f>
        <v>31030</v>
      </c>
      <c r="AL112" s="12" t="s">
        <v>394</v>
      </c>
      <c r="AM112" s="12"/>
      <c r="AN112" s="12" t="s">
        <v>44</v>
      </c>
      <c r="AP112" s="7">
        <v>426417</v>
      </c>
      <c r="AR112" s="7">
        <v>15385</v>
      </c>
      <c r="AT112" s="7">
        <v>0</v>
      </c>
      <c r="AV112" s="7">
        <v>247582</v>
      </c>
      <c r="AX112" s="7">
        <v>241066</v>
      </c>
      <c r="AZ112" s="7">
        <v>0</v>
      </c>
      <c r="BB112" s="8">
        <f t="shared" si="20"/>
        <v>16500027</v>
      </c>
      <c r="BD112" s="7">
        <v>54400</v>
      </c>
      <c r="BF112" s="7">
        <v>0</v>
      </c>
      <c r="BH112" s="7">
        <v>0</v>
      </c>
      <c r="BJ112" s="7">
        <v>0</v>
      </c>
      <c r="BL112" s="8">
        <f t="shared" si="19"/>
        <v>16554427</v>
      </c>
      <c r="BN112" s="8">
        <f>'Gov Fd Rv'!AQ112-'Gov Fnd Exp'!BL112</f>
        <v>-394395</v>
      </c>
      <c r="BP112" s="7">
        <v>616035</v>
      </c>
      <c r="BR112" s="7">
        <v>0</v>
      </c>
      <c r="BT112" s="7">
        <v>0</v>
      </c>
      <c r="BV112" s="8">
        <f>BN112+BP112+BR112+BT112</f>
        <v>221640</v>
      </c>
      <c r="BW112" s="8"/>
      <c r="BX112" s="8">
        <f>BV112-'Gov Fd BS'!AE112</f>
        <v>0</v>
      </c>
      <c r="BY112" s="8"/>
      <c r="CB112" s="101" t="str">
        <f t="shared" si="17"/>
        <v>Clearview Local SD</v>
      </c>
      <c r="CC112" s="101" t="b">
        <f t="shared" si="14"/>
        <v>1</v>
      </c>
      <c r="CD112" s="101" t="str">
        <f>'Gov Fd Rv'!A112</f>
        <v>Clearview Local SD</v>
      </c>
      <c r="CE112" s="8" t="b">
        <f t="shared" si="13"/>
        <v>1</v>
      </c>
      <c r="CG112" s="8" t="str">
        <f t="shared" si="15"/>
        <v>Lorain</v>
      </c>
      <c r="CH112" s="8" t="b">
        <f t="shared" si="16"/>
        <v>1</v>
      </c>
      <c r="CI112" s="8" t="b">
        <f>C112='Gov Fd Rv'!C112</f>
        <v>1</v>
      </c>
    </row>
    <row r="113" spans="1:87">
      <c r="A113" s="12" t="s">
        <v>684</v>
      </c>
      <c r="B113" s="12"/>
      <c r="C113" s="12" t="s">
        <v>113</v>
      </c>
      <c r="D113" s="12"/>
      <c r="E113" s="12"/>
      <c r="G113" s="7">
        <v>7736068</v>
      </c>
      <c r="I113" s="7">
        <v>2268242</v>
      </c>
      <c r="K113" s="7">
        <v>0</v>
      </c>
      <c r="M113" s="7">
        <v>0</v>
      </c>
      <c r="O113" s="7">
        <v>247966</v>
      </c>
      <c r="Q113" s="7">
        <v>795518</v>
      </c>
      <c r="S113" s="7">
        <v>844784</v>
      </c>
      <c r="U113" s="7">
        <v>91721</v>
      </c>
      <c r="W113" s="7">
        <v>1467880</v>
      </c>
      <c r="Y113" s="7">
        <v>448700</v>
      </c>
      <c r="AA113" s="7">
        <v>60814</v>
      </c>
      <c r="AC113" s="7">
        <v>2208470</v>
      </c>
      <c r="AE113" s="7">
        <v>1704234</v>
      </c>
      <c r="AG113" s="7">
        <v>316791</v>
      </c>
      <c r="AI113" s="7">
        <v>722309</v>
      </c>
      <c r="AK113" s="7">
        <v>187232</v>
      </c>
      <c r="AL113" s="12" t="s">
        <v>684</v>
      </c>
      <c r="AM113" s="12"/>
      <c r="AN113" s="12" t="s">
        <v>113</v>
      </c>
      <c r="AP113" s="7">
        <v>402256</v>
      </c>
      <c r="AR113" s="7">
        <v>0</v>
      </c>
      <c r="AT113" s="7">
        <v>0</v>
      </c>
      <c r="AV113" s="7">
        <v>495000</v>
      </c>
      <c r="AX113" s="7">
        <v>9776</v>
      </c>
      <c r="AZ113" s="7">
        <v>0</v>
      </c>
      <c r="BB113" s="8">
        <f t="shared" si="20"/>
        <v>20007761</v>
      </c>
      <c r="BD113" s="7">
        <v>322000</v>
      </c>
      <c r="BF113" s="7">
        <v>0</v>
      </c>
      <c r="BH113" s="7">
        <v>0</v>
      </c>
      <c r="BJ113" s="7">
        <v>0</v>
      </c>
      <c r="BL113" s="8">
        <f t="shared" si="19"/>
        <v>20329761</v>
      </c>
      <c r="BN113" s="8">
        <f>'Gov Fd Rv'!AQ113-'Gov Fnd Exp'!BL113</f>
        <v>-192753</v>
      </c>
      <c r="BP113" s="7">
        <v>3000302</v>
      </c>
      <c r="BR113" s="7">
        <v>0</v>
      </c>
      <c r="BT113" s="7">
        <v>0</v>
      </c>
      <c r="BV113" s="8">
        <f>BN113+BP113+BR113+BT113</f>
        <v>2807549</v>
      </c>
      <c r="BW113" s="8"/>
      <c r="BX113" s="8">
        <f>BV113-'Gov Fd BS'!AE113</f>
        <v>0</v>
      </c>
      <c r="BY113" s="8"/>
      <c r="CB113" s="101" t="str">
        <f t="shared" si="17"/>
        <v>Clermont Northeastern Local SD</v>
      </c>
      <c r="CC113" s="101" t="b">
        <f t="shared" si="14"/>
        <v>1</v>
      </c>
      <c r="CD113" s="101" t="str">
        <f>'Gov Fd Rv'!A113</f>
        <v>Clermont Northeastern Local SD</v>
      </c>
      <c r="CE113" s="8" t="b">
        <f t="shared" si="13"/>
        <v>1</v>
      </c>
      <c r="CG113" s="8" t="str">
        <f t="shared" si="15"/>
        <v>Clermont</v>
      </c>
      <c r="CH113" s="8" t="b">
        <f t="shared" si="16"/>
        <v>1</v>
      </c>
      <c r="CI113" s="8" t="b">
        <f>C113='Gov Fd Rv'!C113</f>
        <v>1</v>
      </c>
    </row>
    <row r="114" spans="1:87">
      <c r="A114" s="12" t="s">
        <v>682</v>
      </c>
      <c r="B114" s="12"/>
      <c r="C114" s="12" t="s">
        <v>20</v>
      </c>
      <c r="D114" s="12"/>
      <c r="E114" s="12">
        <v>43794</v>
      </c>
      <c r="G114" s="7">
        <v>40290846</v>
      </c>
      <c r="I114" s="7">
        <v>13832857</v>
      </c>
      <c r="K114" s="7">
        <v>2134115</v>
      </c>
      <c r="M114" s="7">
        <v>348093</v>
      </c>
      <c r="O114" s="7">
        <v>5039676</v>
      </c>
      <c r="Q114" s="7">
        <v>8981456</v>
      </c>
      <c r="S114" s="7">
        <v>5882269</v>
      </c>
      <c r="U114" s="7">
        <v>590607</v>
      </c>
      <c r="W114" s="7">
        <v>6042356</v>
      </c>
      <c r="Y114" s="7">
        <v>2430065</v>
      </c>
      <c r="AA114" s="7">
        <v>1862753</v>
      </c>
      <c r="AC114" s="7">
        <v>13465376</v>
      </c>
      <c r="AE114" s="7">
        <v>4789133</v>
      </c>
      <c r="AG114" s="7">
        <v>3764033</v>
      </c>
      <c r="AI114" s="7">
        <v>5446</v>
      </c>
      <c r="AK114" s="7">
        <f>2349558+120907</f>
        <v>2470465</v>
      </c>
      <c r="AL114" s="12" t="s">
        <v>682</v>
      </c>
      <c r="AM114" s="12"/>
      <c r="AN114" s="12" t="s">
        <v>20</v>
      </c>
      <c r="AP114" s="7">
        <v>1602779</v>
      </c>
      <c r="AR114" s="7">
        <v>0</v>
      </c>
      <c r="AT114" s="7">
        <v>0</v>
      </c>
      <c r="AV114" s="7">
        <v>1815920</v>
      </c>
      <c r="AX114" s="7">
        <v>532226</v>
      </c>
      <c r="AZ114" s="7">
        <v>0</v>
      </c>
      <c r="BB114" s="8">
        <f t="shared" si="20"/>
        <v>115880471</v>
      </c>
      <c r="BD114" s="7">
        <v>1472669</v>
      </c>
      <c r="BF114" s="7">
        <v>0</v>
      </c>
      <c r="BH114" s="7">
        <v>0</v>
      </c>
      <c r="BJ114" s="7">
        <v>0</v>
      </c>
      <c r="BL114" s="8">
        <f t="shared" si="19"/>
        <v>117353140</v>
      </c>
      <c r="BN114" s="8">
        <f>'Gov Fd Rv'!AQ114-'Gov Fnd Exp'!BL114</f>
        <v>-8390185</v>
      </c>
      <c r="BP114" s="7">
        <v>67986783</v>
      </c>
      <c r="BR114" s="7">
        <v>0</v>
      </c>
      <c r="BT114" s="7">
        <v>0</v>
      </c>
      <c r="BV114" s="8">
        <f>BN114+BP114+BR114+BT114</f>
        <v>59596598</v>
      </c>
      <c r="BW114" s="8"/>
      <c r="BX114" s="8">
        <f>BV114-'Gov Fd BS'!AE114</f>
        <v>0</v>
      </c>
      <c r="BY114" s="8"/>
      <c r="CB114" s="101" t="str">
        <f t="shared" si="17"/>
        <v>Cleveland Heights-University Heights City SD</v>
      </c>
      <c r="CC114" s="101" t="b">
        <f t="shared" si="14"/>
        <v>1</v>
      </c>
      <c r="CD114" s="101" t="str">
        <f>'Gov Fd Rv'!A114</f>
        <v>Cleveland Heights-University Heights City SD</v>
      </c>
      <c r="CE114" s="8" t="b">
        <f t="shared" si="13"/>
        <v>1</v>
      </c>
      <c r="CG114" s="8" t="str">
        <f t="shared" si="15"/>
        <v>Cuyahoga</v>
      </c>
      <c r="CH114" s="8" t="b">
        <f t="shared" si="16"/>
        <v>1</v>
      </c>
      <c r="CI114" s="8" t="b">
        <f>C114='Gov Fd Rv'!C114</f>
        <v>1</v>
      </c>
    </row>
    <row r="115" spans="1:87">
      <c r="A115" s="12" t="s">
        <v>271</v>
      </c>
      <c r="B115" s="12"/>
      <c r="C115" s="12" t="s">
        <v>20</v>
      </c>
      <c r="D115" s="12"/>
      <c r="E115" s="12">
        <v>43786</v>
      </c>
      <c r="G115" s="7">
        <v>285176732</v>
      </c>
      <c r="I115" s="7">
        <v>207710557</v>
      </c>
      <c r="K115" s="7">
        <v>10325890</v>
      </c>
      <c r="M115" s="7">
        <v>135671</v>
      </c>
      <c r="O115" s="7">
        <v>6470346</v>
      </c>
      <c r="Q115" s="7">
        <v>36624319</v>
      </c>
      <c r="S115" s="7">
        <v>60147750</v>
      </c>
      <c r="U115" s="7">
        <v>245987</v>
      </c>
      <c r="W115" s="7">
        <v>36689828</v>
      </c>
      <c r="Y115" s="7">
        <v>15237357</v>
      </c>
      <c r="AA115" s="7">
        <v>1637398</v>
      </c>
      <c r="AC115" s="7">
        <v>86750620</v>
      </c>
      <c r="AE115" s="7">
        <v>27878194</v>
      </c>
      <c r="AG115" s="7">
        <v>12527955</v>
      </c>
      <c r="AI115" s="7">
        <v>0</v>
      </c>
      <c r="AK115" s="7">
        <v>18517941</v>
      </c>
      <c r="AL115" s="12" t="s">
        <v>271</v>
      </c>
      <c r="AM115" s="12"/>
      <c r="AN115" s="12" t="s">
        <v>20</v>
      </c>
      <c r="AP115" s="7">
        <v>6385611</v>
      </c>
      <c r="AR115" s="7">
        <v>56852634</v>
      </c>
      <c r="AT115" s="7">
        <v>0</v>
      </c>
      <c r="AV115" s="7">
        <v>24867030</v>
      </c>
      <c r="AX115" s="7">
        <v>10112550</v>
      </c>
      <c r="AZ115" s="7">
        <v>36949</v>
      </c>
      <c r="BB115" s="8">
        <f t="shared" si="20"/>
        <v>904331319</v>
      </c>
      <c r="BD115" s="7">
        <v>15573314</v>
      </c>
      <c r="BF115" s="7">
        <v>0</v>
      </c>
      <c r="BH115" s="7">
        <v>0</v>
      </c>
      <c r="BJ115" s="7">
        <v>0</v>
      </c>
      <c r="BL115" s="8">
        <f t="shared" si="19"/>
        <v>919904633</v>
      </c>
      <c r="BN115" s="8">
        <f>'Gov Fd Rv'!AQ115-'Gov Fnd Exp'!BL115</f>
        <v>38021981</v>
      </c>
      <c r="BP115" s="7">
        <v>148895473</v>
      </c>
      <c r="BR115" s="7">
        <v>0</v>
      </c>
      <c r="BT115" s="7">
        <v>0</v>
      </c>
      <c r="BV115" s="8">
        <f t="shared" si="21"/>
        <v>186917454</v>
      </c>
      <c r="BW115" s="8"/>
      <c r="BX115" s="8">
        <f>BV115-'Gov Fd BS'!AE115</f>
        <v>0</v>
      </c>
      <c r="BY115" s="8"/>
      <c r="CB115" s="101" t="str">
        <f t="shared" si="17"/>
        <v>Cleveland Municipal SD</v>
      </c>
      <c r="CC115" s="101" t="b">
        <f t="shared" si="14"/>
        <v>1</v>
      </c>
      <c r="CD115" s="101" t="str">
        <f>'Gov Fd Rv'!A115</f>
        <v>Cleveland Municipal SD</v>
      </c>
      <c r="CE115" s="8" t="b">
        <f t="shared" si="13"/>
        <v>1</v>
      </c>
      <c r="CG115" s="8" t="str">
        <f t="shared" si="15"/>
        <v>Cuyahoga</v>
      </c>
      <c r="CH115" s="8" t="b">
        <f t="shared" si="16"/>
        <v>1</v>
      </c>
      <c r="CI115" s="8" t="b">
        <f>C115='Gov Fd Rv'!C115</f>
        <v>1</v>
      </c>
    </row>
    <row r="116" spans="1:87">
      <c r="A116" s="12" t="s">
        <v>249</v>
      </c>
      <c r="B116" s="12"/>
      <c r="C116" s="12" t="s">
        <v>18</v>
      </c>
      <c r="D116" s="12"/>
      <c r="E116" s="12">
        <v>46391</v>
      </c>
      <c r="G116" s="7">
        <v>7078171</v>
      </c>
      <c r="I116" s="7">
        <v>1105756</v>
      </c>
      <c r="K116" s="7">
        <v>0</v>
      </c>
      <c r="M116" s="7">
        <v>0</v>
      </c>
      <c r="O116" s="7">
        <v>1049692</v>
      </c>
      <c r="Q116" s="7">
        <v>888044</v>
      </c>
      <c r="S116" s="7">
        <v>1016567</v>
      </c>
      <c r="U116" s="7">
        <v>74387</v>
      </c>
      <c r="W116" s="7">
        <v>1155080</v>
      </c>
      <c r="Y116" s="7">
        <v>404291</v>
      </c>
      <c r="AA116" s="7">
        <v>49</v>
      </c>
      <c r="AC116" s="7">
        <v>1735588</v>
      </c>
      <c r="AE116" s="7">
        <v>1026944</v>
      </c>
      <c r="AG116" s="7">
        <v>4997</v>
      </c>
      <c r="AI116" s="7">
        <v>0</v>
      </c>
      <c r="AK116" s="7">
        <v>705134</v>
      </c>
      <c r="AL116" s="12" t="s">
        <v>249</v>
      </c>
      <c r="AM116" s="12"/>
      <c r="AN116" s="12" t="s">
        <v>18</v>
      </c>
      <c r="AP116" s="7">
        <v>545576</v>
      </c>
      <c r="AR116" s="7">
        <v>619683</v>
      </c>
      <c r="AT116" s="7">
        <v>0</v>
      </c>
      <c r="AV116" s="7">
        <v>454584</v>
      </c>
      <c r="AX116" s="7">
        <v>566207</v>
      </c>
      <c r="AZ116" s="7">
        <v>162625</v>
      </c>
      <c r="BB116" s="8">
        <f t="shared" si="20"/>
        <v>18593375</v>
      </c>
      <c r="BD116" s="7">
        <v>7409635</v>
      </c>
      <c r="BF116" s="7">
        <v>0</v>
      </c>
      <c r="BH116" s="7">
        <v>0</v>
      </c>
      <c r="BJ116" s="7">
        <v>0</v>
      </c>
      <c r="BL116" s="8">
        <f t="shared" si="19"/>
        <v>26003010</v>
      </c>
      <c r="BN116" s="8">
        <f>'Gov Fd Rv'!AQ116-'Gov Fnd Exp'!BL116</f>
        <v>-253907</v>
      </c>
      <c r="BP116" s="7">
        <v>5103983</v>
      </c>
      <c r="BR116" s="7">
        <v>0</v>
      </c>
      <c r="BT116" s="7">
        <v>0</v>
      </c>
      <c r="BV116" s="8">
        <f>BN116+BP116+BR116+BT116</f>
        <v>4850076</v>
      </c>
      <c r="BW116" s="8"/>
      <c r="BX116" s="8">
        <f>BV116-'Gov Fd BS'!AE116</f>
        <v>0</v>
      </c>
      <c r="BY116" s="8"/>
      <c r="CB116" s="101" t="str">
        <f t="shared" si="17"/>
        <v>Clinton-Massie Local SD</v>
      </c>
      <c r="CC116" s="101" t="b">
        <f t="shared" si="14"/>
        <v>1</v>
      </c>
      <c r="CD116" s="101" t="str">
        <f>'Gov Fd Rv'!A116</f>
        <v>Clinton-Massie Local SD</v>
      </c>
      <c r="CE116" s="8" t="b">
        <f t="shared" si="13"/>
        <v>1</v>
      </c>
      <c r="CG116" s="8" t="str">
        <f t="shared" si="15"/>
        <v>Clinton</v>
      </c>
      <c r="CH116" s="8" t="b">
        <f t="shared" si="16"/>
        <v>1</v>
      </c>
      <c r="CI116" s="8" t="b">
        <f>C116='Gov Fd Rv'!C116</f>
        <v>1</v>
      </c>
    </row>
    <row r="117" spans="1:87">
      <c r="A117" s="12" t="s">
        <v>429</v>
      </c>
      <c r="B117" s="12"/>
      <c r="C117" s="12" t="s">
        <v>47</v>
      </c>
      <c r="D117" s="12"/>
      <c r="E117" s="12">
        <v>48488</v>
      </c>
      <c r="G117" s="7">
        <v>17477161</v>
      </c>
      <c r="I117" s="7">
        <v>0</v>
      </c>
      <c r="K117" s="7">
        <v>0</v>
      </c>
      <c r="M117" s="7">
        <v>0</v>
      </c>
      <c r="O117" s="7">
        <v>0</v>
      </c>
      <c r="Q117" s="7">
        <v>1451706</v>
      </c>
      <c r="S117" s="7">
        <v>1899407</v>
      </c>
      <c r="U117" s="7">
        <v>30351</v>
      </c>
      <c r="W117" s="7">
        <v>1780538</v>
      </c>
      <c r="Y117" s="7">
        <v>646242</v>
      </c>
      <c r="AA117" s="7">
        <v>284012</v>
      </c>
      <c r="AC117" s="7">
        <v>2109143</v>
      </c>
      <c r="AE117" s="7">
        <v>2328323</v>
      </c>
      <c r="AG117" s="7">
        <v>379109</v>
      </c>
      <c r="AI117" s="7">
        <v>1064313</v>
      </c>
      <c r="AK117" s="7">
        <v>467077</v>
      </c>
      <c r="AL117" s="12" t="s">
        <v>429</v>
      </c>
      <c r="AM117" s="12"/>
      <c r="AN117" s="12" t="s">
        <v>47</v>
      </c>
      <c r="AP117" s="7">
        <v>831465</v>
      </c>
      <c r="AR117" s="7">
        <v>12360498</v>
      </c>
      <c r="AT117" s="7">
        <v>0</v>
      </c>
      <c r="AV117" s="7">
        <v>0</v>
      </c>
      <c r="AX117" s="7">
        <v>1824530</v>
      </c>
      <c r="AZ117" s="7">
        <v>0</v>
      </c>
      <c r="BB117" s="8">
        <f t="shared" si="20"/>
        <v>44933875</v>
      </c>
      <c r="BD117" s="7">
        <v>80758</v>
      </c>
      <c r="BF117" s="7">
        <v>0</v>
      </c>
      <c r="BH117" s="7">
        <v>0</v>
      </c>
      <c r="BJ117" s="7">
        <v>0</v>
      </c>
      <c r="BL117" s="8">
        <f t="shared" si="19"/>
        <v>45014633</v>
      </c>
      <c r="BN117" s="8">
        <f>'Gov Fd Rv'!AQ117-'Gov Fnd Exp'!BL117</f>
        <v>-11878690</v>
      </c>
      <c r="BP117" s="7">
        <v>23579010</v>
      </c>
      <c r="BR117" s="7">
        <v>0</v>
      </c>
      <c r="BT117" s="7">
        <v>0</v>
      </c>
      <c r="BV117" s="8">
        <f>BN117+BP117+BR117+BT117</f>
        <v>11700320</v>
      </c>
      <c r="BW117" s="8"/>
      <c r="BX117" s="8">
        <f>BV117-'Gov Fd BS'!AE117</f>
        <v>0</v>
      </c>
      <c r="BY117" s="8"/>
      <c r="CB117" s="101" t="str">
        <f t="shared" si="17"/>
        <v>Cloverleaf Local SD</v>
      </c>
      <c r="CC117" s="101" t="b">
        <f t="shared" si="14"/>
        <v>1</v>
      </c>
      <c r="CD117" s="101" t="str">
        <f>'Gov Fd Rv'!A117</f>
        <v>Cloverleaf Local SD</v>
      </c>
      <c r="CE117" s="8" t="b">
        <f t="shared" si="13"/>
        <v>1</v>
      </c>
      <c r="CG117" s="8" t="str">
        <f t="shared" si="15"/>
        <v>Medina</v>
      </c>
      <c r="CH117" s="8" t="b">
        <f t="shared" si="16"/>
        <v>1</v>
      </c>
      <c r="CI117" s="8" t="b">
        <f>C117='Gov Fd Rv'!C117</f>
        <v>1</v>
      </c>
    </row>
    <row r="118" spans="1:87">
      <c r="A118" s="12" t="s">
        <v>865</v>
      </c>
      <c r="B118" s="12"/>
      <c r="C118" s="12" t="s">
        <v>79</v>
      </c>
      <c r="D118" s="12"/>
      <c r="E118" s="12">
        <v>45302</v>
      </c>
      <c r="G118" s="7">
        <v>10007738</v>
      </c>
      <c r="I118" s="7">
        <v>2505921</v>
      </c>
      <c r="K118" s="7">
        <v>85971</v>
      </c>
      <c r="M118" s="7">
        <v>0</v>
      </c>
      <c r="O118" s="7">
        <v>739017</v>
      </c>
      <c r="Q118" s="7">
        <v>1292115</v>
      </c>
      <c r="S118" s="7">
        <v>548297</v>
      </c>
      <c r="U118" s="7">
        <v>27605</v>
      </c>
      <c r="W118" s="7">
        <v>1647820</v>
      </c>
      <c r="Y118" s="7">
        <v>543457</v>
      </c>
      <c r="AA118" s="7">
        <v>8543</v>
      </c>
      <c r="AC118" s="7">
        <v>1944393</v>
      </c>
      <c r="AE118" s="7">
        <v>1384393</v>
      </c>
      <c r="AG118" s="7">
        <v>107900</v>
      </c>
      <c r="AI118" s="7">
        <v>1139009</v>
      </c>
      <c r="AK118" s="7">
        <v>35929</v>
      </c>
      <c r="AL118" s="12" t="s">
        <v>865</v>
      </c>
      <c r="AM118" s="12"/>
      <c r="AN118" s="12" t="s">
        <v>79</v>
      </c>
      <c r="AP118" s="7">
        <v>737978</v>
      </c>
      <c r="AR118" s="7">
        <v>9119671</v>
      </c>
      <c r="AT118" s="7">
        <v>0</v>
      </c>
      <c r="AV118" s="7">
        <v>997340</v>
      </c>
      <c r="AX118" s="7">
        <v>1211798</v>
      </c>
      <c r="AZ118" s="7">
        <v>0</v>
      </c>
      <c r="BB118" s="8">
        <f t="shared" si="20"/>
        <v>34084895</v>
      </c>
      <c r="BD118" s="7">
        <v>1778761</v>
      </c>
      <c r="BF118" s="7">
        <v>0</v>
      </c>
      <c r="BH118" s="7">
        <v>0</v>
      </c>
      <c r="BJ118" s="7">
        <v>0</v>
      </c>
      <c r="BL118" s="8">
        <f t="shared" si="19"/>
        <v>35863656</v>
      </c>
      <c r="BN118" s="8">
        <f>'Gov Fd Rv'!AQ118-'Gov Fnd Exp'!BL118</f>
        <v>-7496201</v>
      </c>
      <c r="BP118" s="7">
        <v>20734740</v>
      </c>
      <c r="BR118" s="7">
        <v>-2571</v>
      </c>
      <c r="BT118" s="7">
        <v>0</v>
      </c>
      <c r="BV118" s="8">
        <f t="shared" si="21"/>
        <v>13235968</v>
      </c>
      <c r="BW118" s="8"/>
      <c r="BX118" s="8">
        <f>BV118-'Gov Fd BS'!AE118</f>
        <v>0</v>
      </c>
      <c r="BY118" s="8"/>
      <c r="CB118" s="101" t="str">
        <f t="shared" si="17"/>
        <v>Clyde-Green Springs Exempted Village SD</v>
      </c>
      <c r="CC118" s="101" t="b">
        <f t="shared" si="14"/>
        <v>1</v>
      </c>
      <c r="CD118" s="101" t="str">
        <f>'Gov Fd Rv'!A118</f>
        <v>Clyde-Green Springs Exempted Village SD</v>
      </c>
      <c r="CE118" s="8" t="b">
        <f t="shared" si="13"/>
        <v>1</v>
      </c>
      <c r="CG118" s="8" t="str">
        <f t="shared" si="15"/>
        <v>Sandusky</v>
      </c>
      <c r="CH118" s="8" t="b">
        <f t="shared" si="16"/>
        <v>1</v>
      </c>
      <c r="CI118" s="8" t="b">
        <f>C118='Gov Fd Rv'!C118</f>
        <v>1</v>
      </c>
    </row>
    <row r="119" spans="1:87" hidden="1">
      <c r="A119" s="12" t="s">
        <v>685</v>
      </c>
      <c r="B119" s="12"/>
      <c r="C119" s="12" t="s">
        <v>435</v>
      </c>
      <c r="D119" s="12"/>
      <c r="E119" s="12"/>
      <c r="AL119" s="12" t="s">
        <v>685</v>
      </c>
      <c r="AM119" s="12"/>
      <c r="AN119" s="12" t="s">
        <v>435</v>
      </c>
      <c r="BB119" s="8">
        <f t="shared" si="20"/>
        <v>0</v>
      </c>
      <c r="BF119" s="7">
        <v>0</v>
      </c>
      <c r="BH119" s="7">
        <v>0</v>
      </c>
      <c r="BL119" s="8">
        <f t="shared" si="19"/>
        <v>0</v>
      </c>
      <c r="BN119" s="8">
        <f>'Gov Fd Rv'!AQ119-'Gov Fnd Exp'!BL119</f>
        <v>0</v>
      </c>
      <c r="BT119" s="7">
        <v>0</v>
      </c>
      <c r="BV119" s="8">
        <f t="shared" si="21"/>
        <v>0</v>
      </c>
      <c r="BW119" s="8"/>
      <c r="BX119" s="8">
        <f>BV119-'Gov Fd BS'!AE119</f>
        <v>0</v>
      </c>
      <c r="BY119" s="8"/>
      <c r="BZ119" s="7" t="s">
        <v>778</v>
      </c>
      <c r="CB119" s="101" t="str">
        <f t="shared" si="17"/>
        <v>Coldwater Exempted Village SD (CASH)</v>
      </c>
      <c r="CC119" s="101" t="b">
        <f t="shared" si="14"/>
        <v>1</v>
      </c>
      <c r="CD119" s="101" t="str">
        <f>'Gov Fd Rv'!A119</f>
        <v>Coldwater Exempted Village SD (CASH)</v>
      </c>
      <c r="CE119" s="8" t="b">
        <f t="shared" si="13"/>
        <v>1</v>
      </c>
      <c r="CG119" s="8" t="str">
        <f t="shared" si="15"/>
        <v>Mercer</v>
      </c>
      <c r="CH119" s="8" t="b">
        <f t="shared" si="16"/>
        <v>1</v>
      </c>
      <c r="CI119" s="8" t="b">
        <f>C119='Gov Fd Rv'!C119</f>
        <v>1</v>
      </c>
    </row>
    <row r="120" spans="1:87" hidden="1">
      <c r="A120" s="12" t="s">
        <v>636</v>
      </c>
      <c r="B120" s="12"/>
      <c r="C120" s="12" t="s">
        <v>57</v>
      </c>
      <c r="D120" s="12"/>
      <c r="E120" s="12">
        <v>64964</v>
      </c>
      <c r="AL120" s="12" t="s">
        <v>636</v>
      </c>
      <c r="AM120" s="12"/>
      <c r="AN120" s="12" t="s">
        <v>57</v>
      </c>
      <c r="BB120" s="8">
        <f t="shared" si="20"/>
        <v>0</v>
      </c>
      <c r="BF120" s="7">
        <v>0</v>
      </c>
      <c r="BH120" s="7">
        <v>0</v>
      </c>
      <c r="BL120" s="8">
        <f t="shared" si="19"/>
        <v>0</v>
      </c>
      <c r="BN120" s="8">
        <f>'Gov Fd Rv'!AQ120-'Gov Fnd Exp'!BL120</f>
        <v>0</v>
      </c>
      <c r="BT120" s="7">
        <v>0</v>
      </c>
      <c r="BV120" s="8">
        <f t="shared" si="21"/>
        <v>0</v>
      </c>
      <c r="BW120" s="8"/>
      <c r="BX120" s="8">
        <f>BV120-'Gov Fd BS'!AE120</f>
        <v>0</v>
      </c>
      <c r="BY120" s="8"/>
      <c r="BZ120" s="7" t="s">
        <v>778</v>
      </c>
      <c r="CB120" s="101" t="str">
        <f t="shared" si="17"/>
        <v>College Corner Local SD (CASH)</v>
      </c>
      <c r="CC120" s="101" t="b">
        <f t="shared" si="14"/>
        <v>1</v>
      </c>
      <c r="CD120" s="101" t="str">
        <f>'Gov Fd Rv'!A120</f>
        <v>College Corner Local SD (CASH)</v>
      </c>
      <c r="CE120" s="8" t="b">
        <f t="shared" si="13"/>
        <v>1</v>
      </c>
      <c r="CG120" s="8" t="str">
        <f t="shared" si="15"/>
        <v>Preble</v>
      </c>
      <c r="CH120" s="8" t="b">
        <f t="shared" si="16"/>
        <v>1</v>
      </c>
      <c r="CI120" s="8" t="b">
        <f>C120='Gov Fd Rv'!C120</f>
        <v>1</v>
      </c>
    </row>
    <row r="121" spans="1:87">
      <c r="A121" s="12" t="s">
        <v>264</v>
      </c>
      <c r="B121" s="12"/>
      <c r="C121" s="12" t="s">
        <v>111</v>
      </c>
      <c r="D121" s="12"/>
      <c r="E121" s="12">
        <v>46516</v>
      </c>
      <c r="G121" s="7">
        <v>3721338</v>
      </c>
      <c r="I121" s="7">
        <v>1367654</v>
      </c>
      <c r="K121" s="7">
        <v>25759</v>
      </c>
      <c r="M121" s="7">
        <v>0</v>
      </c>
      <c r="O121" s="7">
        <v>418</v>
      </c>
      <c r="Q121" s="7">
        <v>610585</v>
      </c>
      <c r="S121" s="7">
        <v>253379</v>
      </c>
      <c r="U121" s="7">
        <v>23900</v>
      </c>
      <c r="W121" s="7">
        <v>751466</v>
      </c>
      <c r="Y121" s="7">
        <v>319252</v>
      </c>
      <c r="AA121" s="7">
        <v>206</v>
      </c>
      <c r="AC121" s="7">
        <v>937721</v>
      </c>
      <c r="AE121" s="7">
        <v>568434</v>
      </c>
      <c r="AG121" s="7">
        <v>59847</v>
      </c>
      <c r="AI121" s="7">
        <v>338651</v>
      </c>
      <c r="AK121" s="7">
        <v>49648</v>
      </c>
      <c r="AL121" s="12" t="s">
        <v>264</v>
      </c>
      <c r="AM121" s="12"/>
      <c r="AN121" s="12" t="s">
        <v>111</v>
      </c>
      <c r="AP121" s="7">
        <v>404648</v>
      </c>
      <c r="AR121" s="7">
        <v>62537</v>
      </c>
      <c r="AT121" s="7">
        <v>0</v>
      </c>
      <c r="AV121" s="7">
        <v>430686</v>
      </c>
      <c r="AX121" s="7">
        <v>510907</v>
      </c>
      <c r="AZ121" s="7">
        <v>0</v>
      </c>
      <c r="BB121" s="8">
        <f t="shared" si="20"/>
        <v>10437036</v>
      </c>
      <c r="BD121" s="7">
        <v>0</v>
      </c>
      <c r="BF121" s="7">
        <v>0</v>
      </c>
      <c r="BH121" s="7">
        <v>0</v>
      </c>
      <c r="BJ121" s="7">
        <v>0</v>
      </c>
      <c r="BL121" s="8">
        <f t="shared" si="19"/>
        <v>10437036</v>
      </c>
      <c r="BN121" s="8">
        <f>'Gov Fd Rv'!AQ121-'Gov Fnd Exp'!BL121</f>
        <v>243978</v>
      </c>
      <c r="BP121" s="7">
        <v>3214334</v>
      </c>
      <c r="BR121" s="7">
        <v>0</v>
      </c>
      <c r="BT121" s="7">
        <v>0</v>
      </c>
      <c r="BV121" s="8">
        <f t="shared" si="21"/>
        <v>3458312</v>
      </c>
      <c r="BW121" s="8"/>
      <c r="BX121" s="8">
        <f>BV121-'Gov Fd BS'!AE121</f>
        <v>0</v>
      </c>
      <c r="BY121" s="8"/>
      <c r="CB121" s="101" t="str">
        <f t="shared" si="17"/>
        <v>Colonel Crawford Local SD</v>
      </c>
      <c r="CC121" s="101" t="b">
        <f t="shared" si="14"/>
        <v>1</v>
      </c>
      <c r="CD121" s="101" t="str">
        <f>'Gov Fd Rv'!A121</f>
        <v>Colonel Crawford Local SD</v>
      </c>
      <c r="CE121" s="8" t="b">
        <f t="shared" si="13"/>
        <v>1</v>
      </c>
      <c r="CG121" s="8" t="str">
        <f t="shared" si="15"/>
        <v>Crawford</v>
      </c>
      <c r="CH121" s="8" t="b">
        <f t="shared" si="16"/>
        <v>1</v>
      </c>
      <c r="CI121" s="8" t="b">
        <f>C121='Gov Fd Rv'!C121</f>
        <v>1</v>
      </c>
    </row>
    <row r="122" spans="1:87">
      <c r="A122" s="12" t="s">
        <v>395</v>
      </c>
      <c r="B122" s="12"/>
      <c r="C122" s="12" t="s">
        <v>44</v>
      </c>
      <c r="D122" s="12"/>
      <c r="E122" s="12">
        <v>48140</v>
      </c>
      <c r="G122" s="7">
        <v>4560774</v>
      </c>
      <c r="I122" s="7">
        <v>1003464</v>
      </c>
      <c r="K122" s="7">
        <v>177371</v>
      </c>
      <c r="M122" s="7">
        <v>0</v>
      </c>
      <c r="O122" s="7">
        <v>385394</v>
      </c>
      <c r="Q122" s="7">
        <v>666872</v>
      </c>
      <c r="S122" s="7">
        <v>391575</v>
      </c>
      <c r="U122" s="7">
        <v>26217</v>
      </c>
      <c r="W122" s="7">
        <v>999368</v>
      </c>
      <c r="Y122" s="7">
        <v>376142</v>
      </c>
      <c r="AA122" s="7">
        <v>0</v>
      </c>
      <c r="AC122" s="7">
        <v>983721</v>
      </c>
      <c r="AE122" s="7">
        <v>723515</v>
      </c>
      <c r="AG122" s="7">
        <v>142542</v>
      </c>
      <c r="AI122" s="7">
        <v>373822</v>
      </c>
      <c r="AK122" s="7">
        <v>0</v>
      </c>
      <c r="AL122" s="12" t="s">
        <v>395</v>
      </c>
      <c r="AM122" s="12"/>
      <c r="AN122" s="12" t="s">
        <v>44</v>
      </c>
      <c r="AP122" s="7">
        <v>370564</v>
      </c>
      <c r="AR122" s="7">
        <f>39174+449997</f>
        <v>489171</v>
      </c>
      <c r="AT122" s="7">
        <v>0</v>
      </c>
      <c r="AV122" s="7">
        <v>22377</v>
      </c>
      <c r="AX122" s="7">
        <v>25561</v>
      </c>
      <c r="AZ122" s="7">
        <v>19782</v>
      </c>
      <c r="BB122" s="8">
        <f t="shared" si="20"/>
        <v>11738232</v>
      </c>
      <c r="BD122" s="7">
        <v>30000</v>
      </c>
      <c r="BF122" s="7">
        <v>0</v>
      </c>
      <c r="BH122" s="7">
        <v>0</v>
      </c>
      <c r="BJ122" s="7">
        <v>0</v>
      </c>
      <c r="BL122" s="8">
        <f t="shared" si="19"/>
        <v>11768232</v>
      </c>
      <c r="BN122" s="8">
        <f>'Gov Fd Rv'!AQ122-'Gov Fnd Exp'!BL122</f>
        <v>-287091</v>
      </c>
      <c r="BP122" s="7">
        <v>908928</v>
      </c>
      <c r="BR122" s="7">
        <v>0</v>
      </c>
      <c r="BT122" s="7">
        <v>0</v>
      </c>
      <c r="BV122" s="8">
        <f t="shared" si="21"/>
        <v>621837</v>
      </c>
      <c r="BW122" s="8"/>
      <c r="BX122" s="8">
        <f>BV122-'Gov Fd BS'!AE122</f>
        <v>0</v>
      </c>
      <c r="BY122" s="8"/>
      <c r="CB122" s="101" t="str">
        <f t="shared" si="17"/>
        <v>Columbia Local SD</v>
      </c>
      <c r="CC122" s="101" t="b">
        <f t="shared" si="14"/>
        <v>1</v>
      </c>
      <c r="CD122" s="101" t="str">
        <f>'Gov Fd Rv'!A122</f>
        <v>Columbia Local SD</v>
      </c>
      <c r="CE122" s="8" t="b">
        <f t="shared" si="13"/>
        <v>1</v>
      </c>
      <c r="CG122" s="8" t="str">
        <f t="shared" si="15"/>
        <v>Lorain</v>
      </c>
      <c r="CH122" s="8" t="b">
        <f t="shared" si="16"/>
        <v>1</v>
      </c>
      <c r="CI122" s="8" t="b">
        <f>C122='Gov Fd Rv'!C122</f>
        <v>1</v>
      </c>
    </row>
    <row r="123" spans="1:87">
      <c r="A123" s="12" t="s">
        <v>866</v>
      </c>
      <c r="B123" s="12"/>
      <c r="C123" s="12" t="s">
        <v>112</v>
      </c>
      <c r="D123" s="12"/>
      <c r="E123" s="12">
        <v>45328</v>
      </c>
      <c r="G123" s="7">
        <v>5189540</v>
      </c>
      <c r="I123" s="7">
        <v>1493509</v>
      </c>
      <c r="K123" s="7">
        <v>0</v>
      </c>
      <c r="M123" s="7">
        <v>0</v>
      </c>
      <c r="O123" s="7">
        <v>0</v>
      </c>
      <c r="Q123" s="7">
        <v>348991</v>
      </c>
      <c r="S123" s="7">
        <v>336800</v>
      </c>
      <c r="U123" s="7">
        <v>21732</v>
      </c>
      <c r="W123" s="7">
        <v>793323</v>
      </c>
      <c r="Y123" s="7">
        <v>356146</v>
      </c>
      <c r="AA123" s="7">
        <v>0</v>
      </c>
      <c r="AC123" s="7">
        <v>587783</v>
      </c>
      <c r="AE123" s="7">
        <v>324763</v>
      </c>
      <c r="AG123" s="7">
        <v>31359</v>
      </c>
      <c r="AI123" s="7">
        <v>330955</v>
      </c>
      <c r="AK123" s="7">
        <v>0</v>
      </c>
      <c r="AL123" s="12" t="s">
        <v>866</v>
      </c>
      <c r="AM123" s="12"/>
      <c r="AN123" s="12" t="s">
        <v>112</v>
      </c>
      <c r="AP123" s="7">
        <v>372538</v>
      </c>
      <c r="AR123" s="7">
        <v>4469927</v>
      </c>
      <c r="AT123" s="7">
        <v>0</v>
      </c>
      <c r="AV123" s="7">
        <v>706474</v>
      </c>
      <c r="AX123" s="7">
        <v>720108</v>
      </c>
      <c r="AZ123" s="7">
        <v>237395</v>
      </c>
      <c r="BB123" s="8">
        <f t="shared" si="20"/>
        <v>16321343</v>
      </c>
      <c r="BD123" s="7">
        <v>0</v>
      </c>
      <c r="BF123" s="7">
        <v>0</v>
      </c>
      <c r="BH123" s="7">
        <v>0</v>
      </c>
      <c r="BJ123" s="7">
        <v>8724</v>
      </c>
      <c r="BL123" s="8">
        <f t="shared" si="19"/>
        <v>16330067</v>
      </c>
      <c r="BN123" s="8">
        <f>'Gov Fd Rv'!AQ123-'Gov Fnd Exp'!BL123</f>
        <v>2623623</v>
      </c>
      <c r="BP123" s="7">
        <v>2105514</v>
      </c>
      <c r="BR123" s="7">
        <v>0</v>
      </c>
      <c r="BT123" s="7">
        <v>0</v>
      </c>
      <c r="BV123" s="8">
        <f t="shared" si="21"/>
        <v>4729137</v>
      </c>
      <c r="BW123" s="8"/>
      <c r="BX123" s="8">
        <f>BV123-'Gov Fd BS'!AE123</f>
        <v>0</v>
      </c>
      <c r="BY123" s="8"/>
      <c r="CB123" s="101" t="str">
        <f t="shared" si="17"/>
        <v>Columbiana Exempted Village SD</v>
      </c>
      <c r="CC123" s="101" t="b">
        <f t="shared" si="14"/>
        <v>1</v>
      </c>
      <c r="CD123" s="101" t="str">
        <f>'Gov Fd Rv'!A123</f>
        <v>Columbiana Exempted Village SD</v>
      </c>
      <c r="CE123" s="8" t="b">
        <f t="shared" si="13"/>
        <v>1</v>
      </c>
      <c r="CG123" s="8" t="str">
        <f t="shared" si="15"/>
        <v>Columbiana</v>
      </c>
      <c r="CH123" s="8" t="b">
        <f t="shared" si="16"/>
        <v>1</v>
      </c>
      <c r="CI123" s="8" t="b">
        <f>C123='Gov Fd Rv'!C123</f>
        <v>1</v>
      </c>
    </row>
    <row r="124" spans="1:87">
      <c r="A124" s="12" t="s">
        <v>307</v>
      </c>
      <c r="B124" s="12"/>
      <c r="C124" s="12" t="s">
        <v>27</v>
      </c>
      <c r="D124" s="12"/>
      <c r="E124" s="12">
        <v>43802</v>
      </c>
      <c r="G124" s="7">
        <v>350365312</v>
      </c>
      <c r="I124" s="7">
        <v>117685826</v>
      </c>
      <c r="K124" s="7">
        <v>10054383</v>
      </c>
      <c r="M124" s="7">
        <v>2389770</v>
      </c>
      <c r="O124" s="7">
        <v>2144577</v>
      </c>
      <c r="Q124" s="7">
        <v>61362756</v>
      </c>
      <c r="S124" s="7">
        <v>75940761</v>
      </c>
      <c r="U124" s="7">
        <v>79137</v>
      </c>
      <c r="W124" s="7">
        <v>47746912</v>
      </c>
      <c r="Y124" s="7">
        <v>10123234</v>
      </c>
      <c r="AA124" s="7">
        <v>4159232</v>
      </c>
      <c r="AC124" s="7">
        <v>62315756</v>
      </c>
      <c r="AE124" s="7">
        <v>53949605</v>
      </c>
      <c r="AG124" s="7">
        <v>15928828</v>
      </c>
      <c r="AI124" s="7">
        <v>0</v>
      </c>
      <c r="AK124" s="7">
        <v>37846792</v>
      </c>
      <c r="AL124" s="12" t="s">
        <v>307</v>
      </c>
      <c r="AM124" s="12"/>
      <c r="AN124" s="12" t="s">
        <v>27</v>
      </c>
      <c r="AP124" s="7">
        <v>8251788</v>
      </c>
      <c r="AR124" s="7">
        <v>35172356</v>
      </c>
      <c r="AT124" s="7">
        <v>0</v>
      </c>
      <c r="AV124" s="7">
        <v>14265000</v>
      </c>
      <c r="AX124" s="7">
        <v>18462203</v>
      </c>
      <c r="AZ124" s="7">
        <f>237510+3782728</f>
        <v>4020238</v>
      </c>
      <c r="BB124" s="8">
        <f t="shared" si="20"/>
        <v>932264466</v>
      </c>
      <c r="BD124" s="7">
        <v>32927852</v>
      </c>
      <c r="BF124" s="7">
        <v>0</v>
      </c>
      <c r="BH124" s="7">
        <v>0</v>
      </c>
      <c r="BJ124" s="7">
        <v>0</v>
      </c>
      <c r="BL124" s="8">
        <f t="shared" si="19"/>
        <v>965192318</v>
      </c>
      <c r="BN124" s="8">
        <f>'Gov Fd Rv'!AQ124-'Gov Fnd Exp'!BL124</f>
        <v>63753526</v>
      </c>
      <c r="BP124" s="7">
        <v>441016162</v>
      </c>
      <c r="BR124" s="7">
        <v>0</v>
      </c>
      <c r="BT124" s="7">
        <v>0</v>
      </c>
      <c r="BV124" s="8">
        <f t="shared" si="21"/>
        <v>504769688</v>
      </c>
      <c r="BW124" s="8"/>
      <c r="BX124" s="8">
        <f>BV124-'Gov Fd BS'!AE124</f>
        <v>0</v>
      </c>
      <c r="BY124" s="8"/>
      <c r="CB124" s="101" t="str">
        <f t="shared" si="17"/>
        <v>Columbus City SD</v>
      </c>
      <c r="CC124" s="101" t="b">
        <f t="shared" si="14"/>
        <v>1</v>
      </c>
      <c r="CD124" s="101" t="str">
        <f>'Gov Fd Rv'!A124</f>
        <v>Columbus City SD</v>
      </c>
      <c r="CE124" s="8" t="b">
        <f t="shared" si="13"/>
        <v>1</v>
      </c>
      <c r="CG124" s="8" t="str">
        <f t="shared" si="15"/>
        <v>Franklin</v>
      </c>
      <c r="CH124" s="8" t="b">
        <f t="shared" si="16"/>
        <v>1</v>
      </c>
      <c r="CI124" s="8" t="b">
        <f>C124='Gov Fd Rv'!C124</f>
        <v>1</v>
      </c>
    </row>
    <row r="125" spans="1:87" hidden="1">
      <c r="A125" s="12" t="s">
        <v>637</v>
      </c>
      <c r="B125" s="12"/>
      <c r="C125" s="12" t="s">
        <v>482</v>
      </c>
      <c r="D125" s="12"/>
      <c r="E125" s="12">
        <v>49312</v>
      </c>
      <c r="AL125" s="12" t="s">
        <v>637</v>
      </c>
      <c r="AM125" s="12"/>
      <c r="AN125" s="12" t="s">
        <v>482</v>
      </c>
      <c r="BB125" s="8">
        <f t="shared" si="20"/>
        <v>0</v>
      </c>
      <c r="BF125" s="7">
        <v>0</v>
      </c>
      <c r="BH125" s="7">
        <v>0</v>
      </c>
      <c r="BL125" s="8">
        <f t="shared" si="19"/>
        <v>0</v>
      </c>
      <c r="BN125" s="8">
        <f>'Gov Fd Rv'!AQ125-'Gov Fnd Exp'!BL125</f>
        <v>0</v>
      </c>
      <c r="BT125" s="7">
        <v>0</v>
      </c>
      <c r="BV125" s="8">
        <f t="shared" si="21"/>
        <v>0</v>
      </c>
      <c r="BW125" s="8"/>
      <c r="BX125" s="8">
        <f>BV125-'Gov Fd BS'!AE125</f>
        <v>0</v>
      </c>
      <c r="BY125" s="8"/>
      <c r="BZ125" s="7" t="s">
        <v>778</v>
      </c>
      <c r="CB125" s="101" t="str">
        <f t="shared" si="17"/>
        <v>Columbus Grove Local SD (CASH)</v>
      </c>
      <c r="CC125" s="101" t="b">
        <f t="shared" si="14"/>
        <v>1</v>
      </c>
      <c r="CD125" s="101" t="str">
        <f>'Gov Fd Rv'!A125</f>
        <v>Columbus Grove Local SD (CASH)</v>
      </c>
      <c r="CE125" s="8" t="b">
        <f t="shared" si="13"/>
        <v>1</v>
      </c>
      <c r="CG125" s="8" t="str">
        <f t="shared" si="15"/>
        <v>Putnam</v>
      </c>
      <c r="CH125" s="8" t="b">
        <f t="shared" si="16"/>
        <v>1</v>
      </c>
      <c r="CI125" s="8" t="b">
        <f>C125='Gov Fd Rv'!C125</f>
        <v>1</v>
      </c>
    </row>
    <row r="126" spans="1:87">
      <c r="A126" s="12" t="s">
        <v>208</v>
      </c>
      <c r="B126" s="12"/>
      <c r="C126" s="12" t="s">
        <v>12</v>
      </c>
      <c r="D126" s="12"/>
      <c r="E126" s="12">
        <v>43810</v>
      </c>
      <c r="G126" s="7">
        <v>7826013</v>
      </c>
      <c r="I126" s="7">
        <v>2174180</v>
      </c>
      <c r="K126" s="7">
        <v>110938</v>
      </c>
      <c r="M126" s="7">
        <v>0</v>
      </c>
      <c r="O126" s="7">
        <v>1256707</v>
      </c>
      <c r="Q126" s="7">
        <v>1318600</v>
      </c>
      <c r="S126" s="7">
        <v>1437919</v>
      </c>
      <c r="U126" s="7">
        <v>30906</v>
      </c>
      <c r="W126" s="7">
        <v>1823963</v>
      </c>
      <c r="Y126" s="7">
        <v>410175</v>
      </c>
      <c r="AA126" s="7">
        <v>0</v>
      </c>
      <c r="AC126" s="7">
        <v>1885936</v>
      </c>
      <c r="AE126" s="7">
        <v>714869</v>
      </c>
      <c r="AG126" s="7">
        <v>59842</v>
      </c>
      <c r="AI126" s="7">
        <v>755408</v>
      </c>
      <c r="AK126" s="7">
        <v>0</v>
      </c>
      <c r="AL126" s="12" t="s">
        <v>208</v>
      </c>
      <c r="AM126" s="12"/>
      <c r="AN126" s="12" t="s">
        <v>12</v>
      </c>
      <c r="AP126" s="7">
        <v>365146</v>
      </c>
      <c r="AR126" s="7">
        <v>1793849</v>
      </c>
      <c r="AT126" s="7">
        <v>0</v>
      </c>
      <c r="AV126" s="7">
        <v>120264</v>
      </c>
      <c r="AX126" s="7">
        <v>178917</v>
      </c>
      <c r="AZ126" s="7">
        <f>139004+174736</f>
        <v>313740</v>
      </c>
      <c r="BB126" s="8">
        <f t="shared" si="20"/>
        <v>22577372</v>
      </c>
      <c r="BD126" s="7">
        <v>0</v>
      </c>
      <c r="BF126" s="7">
        <v>0</v>
      </c>
      <c r="BH126" s="7">
        <v>0</v>
      </c>
      <c r="BJ126" s="7">
        <v>4741517</v>
      </c>
      <c r="BL126" s="8">
        <f t="shared" si="19"/>
        <v>27318889</v>
      </c>
      <c r="BN126" s="8">
        <f>'Gov Fd Rv'!AQ126-'Gov Fnd Exp'!BL126</f>
        <v>850499</v>
      </c>
      <c r="BP126" s="7">
        <v>7709726</v>
      </c>
      <c r="BR126" s="7">
        <v>0</v>
      </c>
      <c r="BT126" s="7">
        <v>0</v>
      </c>
      <c r="BV126" s="8">
        <f t="shared" si="21"/>
        <v>8560225</v>
      </c>
      <c r="BW126" s="8"/>
      <c r="BX126" s="8">
        <f>BV126-'Gov Fd BS'!AE126</f>
        <v>0</v>
      </c>
      <c r="BY126" s="8"/>
      <c r="CB126" s="101" t="str">
        <f t="shared" si="17"/>
        <v>Conneaut Area City SD</v>
      </c>
      <c r="CC126" s="101" t="b">
        <f t="shared" si="14"/>
        <v>1</v>
      </c>
      <c r="CD126" s="101" t="str">
        <f>'Gov Fd Rv'!A126</f>
        <v>Conneaut Area City SD</v>
      </c>
      <c r="CE126" s="8" t="b">
        <f t="shared" si="13"/>
        <v>1</v>
      </c>
      <c r="CG126" s="8" t="str">
        <f t="shared" si="15"/>
        <v>Ashtabula</v>
      </c>
      <c r="CH126" s="8" t="b">
        <f t="shared" si="16"/>
        <v>1</v>
      </c>
      <c r="CI126" s="8" t="b">
        <f>C126='Gov Fd Rv'!C126</f>
        <v>1</v>
      </c>
    </row>
    <row r="127" spans="1:87">
      <c r="A127" s="12" t="s">
        <v>351</v>
      </c>
      <c r="B127" s="12"/>
      <c r="C127" s="12" t="s">
        <v>352</v>
      </c>
      <c r="D127" s="12"/>
      <c r="E127" s="12">
        <v>47548</v>
      </c>
      <c r="G127" s="7">
        <v>2705466</v>
      </c>
      <c r="I127" s="7">
        <v>669005</v>
      </c>
      <c r="K127" s="7">
        <v>68309</v>
      </c>
      <c r="M127" s="7">
        <v>0</v>
      </c>
      <c r="O127" s="7">
        <v>13447</v>
      </c>
      <c r="Q127" s="7">
        <v>213437</v>
      </c>
      <c r="S127" s="7">
        <v>308507</v>
      </c>
      <c r="U127" s="7">
        <v>14471</v>
      </c>
      <c r="W127" s="7">
        <v>483700</v>
      </c>
      <c r="Y127" s="7">
        <v>236229</v>
      </c>
      <c r="AA127" s="7">
        <v>41</v>
      </c>
      <c r="AC127" s="7">
        <v>484651</v>
      </c>
      <c r="AE127" s="7">
        <v>410237</v>
      </c>
      <c r="AG127" s="7">
        <v>10311</v>
      </c>
      <c r="AI127" s="7">
        <v>273878</v>
      </c>
      <c r="AK127" s="7">
        <v>3539</v>
      </c>
      <c r="AL127" s="12" t="s">
        <v>351</v>
      </c>
      <c r="AM127" s="12"/>
      <c r="AN127" s="12" t="s">
        <v>352</v>
      </c>
      <c r="AP127" s="7">
        <v>157241</v>
      </c>
      <c r="AR127" s="7">
        <v>78913</v>
      </c>
      <c r="AT127" s="7">
        <v>0</v>
      </c>
      <c r="AV127" s="7">
        <v>16037</v>
      </c>
      <c r="AX127" s="7">
        <v>703</v>
      </c>
      <c r="AZ127" s="7">
        <v>0</v>
      </c>
      <c r="BB127" s="8">
        <f t="shared" si="20"/>
        <v>6148122</v>
      </c>
      <c r="BD127" s="7">
        <v>50000</v>
      </c>
      <c r="BF127" s="7">
        <v>0</v>
      </c>
      <c r="BH127" s="7">
        <v>0</v>
      </c>
      <c r="BJ127" s="7">
        <v>0</v>
      </c>
      <c r="BL127" s="8">
        <f t="shared" si="19"/>
        <v>6198122</v>
      </c>
      <c r="BN127" s="8">
        <f>'Gov Fd Rv'!AQ127-'Gov Fnd Exp'!BL127</f>
        <v>342554</v>
      </c>
      <c r="BP127" s="7">
        <v>556707</v>
      </c>
      <c r="BR127" s="7">
        <v>0</v>
      </c>
      <c r="BT127" s="7">
        <v>0</v>
      </c>
      <c r="BV127" s="8">
        <f t="shared" si="21"/>
        <v>899261</v>
      </c>
      <c r="BW127" s="8"/>
      <c r="BX127" s="8">
        <f>BV127-'Gov Fd BS'!AE127</f>
        <v>0</v>
      </c>
      <c r="BY127" s="8"/>
      <c r="CB127" s="101" t="str">
        <f t="shared" si="17"/>
        <v>Conotton Valley Union Local SD</v>
      </c>
      <c r="CC127" s="101" t="b">
        <f t="shared" si="14"/>
        <v>1</v>
      </c>
      <c r="CD127" s="101" t="str">
        <f>'Gov Fd Rv'!A127</f>
        <v>Conotton Valley Union Local SD</v>
      </c>
      <c r="CE127" s="8" t="b">
        <f t="shared" si="13"/>
        <v>1</v>
      </c>
      <c r="CG127" s="8" t="str">
        <f t="shared" si="15"/>
        <v>Harrison</v>
      </c>
      <c r="CH127" s="8" t="b">
        <f t="shared" si="16"/>
        <v>1</v>
      </c>
      <c r="CI127" s="8" t="b">
        <f>C127='Gov Fd Rv'!C127</f>
        <v>1</v>
      </c>
    </row>
    <row r="128" spans="1:87" hidden="1">
      <c r="A128" s="12" t="s">
        <v>709</v>
      </c>
      <c r="B128" s="12"/>
      <c r="C128" s="12" t="s">
        <v>482</v>
      </c>
      <c r="D128" s="12"/>
      <c r="E128" s="12">
        <v>49320</v>
      </c>
      <c r="AL128" s="12" t="s">
        <v>709</v>
      </c>
      <c r="AM128" s="12"/>
      <c r="AN128" s="12" t="s">
        <v>482</v>
      </c>
      <c r="BB128" s="8">
        <f t="shared" si="20"/>
        <v>0</v>
      </c>
      <c r="BF128" s="7">
        <v>0</v>
      </c>
      <c r="BH128" s="7">
        <v>0</v>
      </c>
      <c r="BL128" s="8">
        <f t="shared" si="19"/>
        <v>0</v>
      </c>
      <c r="BN128" s="8">
        <f>'Gov Fd Rv'!AQ128-'Gov Fnd Exp'!BL128</f>
        <v>0</v>
      </c>
      <c r="BT128" s="7">
        <v>0</v>
      </c>
      <c r="BV128" s="8">
        <f t="shared" si="21"/>
        <v>0</v>
      </c>
      <c r="BW128" s="8"/>
      <c r="BX128" s="8">
        <f>BV128-'Gov Fd BS'!AE128</f>
        <v>0</v>
      </c>
      <c r="BY128" s="8"/>
      <c r="BZ128" s="7" t="s">
        <v>778</v>
      </c>
      <c r="CB128" s="101" t="str">
        <f t="shared" si="17"/>
        <v>Continental Local SD (CASH) Two year Audit</v>
      </c>
      <c r="CC128" s="101" t="b">
        <f t="shared" si="14"/>
        <v>1</v>
      </c>
      <c r="CD128" s="101" t="str">
        <f>'Gov Fd Rv'!A128</f>
        <v>Continental Local SD (CASH) Two year Audit</v>
      </c>
      <c r="CE128" s="8" t="b">
        <f t="shared" si="13"/>
        <v>1</v>
      </c>
      <c r="CG128" s="8" t="str">
        <f t="shared" si="15"/>
        <v>Putnam</v>
      </c>
      <c r="CH128" s="8" t="b">
        <f t="shared" si="16"/>
        <v>1</v>
      </c>
      <c r="CI128" s="8" t="b">
        <f>C128='Gov Fd Rv'!C128</f>
        <v>1</v>
      </c>
    </row>
    <row r="129" spans="1:87">
      <c r="A129" s="12" t="s">
        <v>524</v>
      </c>
      <c r="B129" s="12"/>
      <c r="C129" s="12" t="s">
        <v>63</v>
      </c>
      <c r="D129" s="12"/>
      <c r="E129" s="12">
        <v>49981</v>
      </c>
      <c r="G129" s="7">
        <v>16494796</v>
      </c>
      <c r="I129" s="7">
        <v>3119065</v>
      </c>
      <c r="K129" s="7">
        <v>571419</v>
      </c>
      <c r="M129" s="7">
        <v>0</v>
      </c>
      <c r="O129" s="7">
        <v>0</v>
      </c>
      <c r="Q129" s="7">
        <v>1695200</v>
      </c>
      <c r="S129" s="7">
        <v>1684392</v>
      </c>
      <c r="U129" s="7">
        <v>141438</v>
      </c>
      <c r="W129" s="7">
        <v>1974543</v>
      </c>
      <c r="Y129" s="7">
        <v>959511</v>
      </c>
      <c r="AA129" s="7">
        <v>128652</v>
      </c>
      <c r="AC129" s="7">
        <v>2680681</v>
      </c>
      <c r="AE129" s="7">
        <v>1612320</v>
      </c>
      <c r="AG129" s="7">
        <v>242715</v>
      </c>
      <c r="AI129" s="7">
        <v>878539</v>
      </c>
      <c r="AK129" s="7">
        <v>553246</v>
      </c>
      <c r="AL129" s="12" t="s">
        <v>524</v>
      </c>
      <c r="AM129" s="12"/>
      <c r="AN129" s="12" t="s">
        <v>63</v>
      </c>
      <c r="AP129" s="7">
        <v>1064468</v>
      </c>
      <c r="AR129" s="7">
        <v>261147</v>
      </c>
      <c r="AT129" s="7">
        <v>0</v>
      </c>
      <c r="AV129" s="7">
        <v>1476156</v>
      </c>
      <c r="AX129" s="7">
        <v>188637</v>
      </c>
      <c r="AZ129" s="7">
        <v>0</v>
      </c>
      <c r="BB129" s="8">
        <f t="shared" si="20"/>
        <v>35726925</v>
      </c>
      <c r="BD129" s="7">
        <v>69000</v>
      </c>
      <c r="BF129" s="7">
        <v>0</v>
      </c>
      <c r="BH129" s="7">
        <v>0</v>
      </c>
      <c r="BJ129" s="7">
        <v>0</v>
      </c>
      <c r="BL129" s="8">
        <f t="shared" si="19"/>
        <v>35795925</v>
      </c>
      <c r="BN129" s="8">
        <f>'Gov Fd Rv'!AQ129-'Gov Fnd Exp'!BL129</f>
        <v>2803612</v>
      </c>
      <c r="BP129" s="7">
        <v>7748923</v>
      </c>
      <c r="BR129" s="7">
        <v>0</v>
      </c>
      <c r="BT129" s="7">
        <v>0</v>
      </c>
      <c r="BV129" s="8">
        <f t="shared" si="21"/>
        <v>10552535</v>
      </c>
      <c r="BW129" s="8"/>
      <c r="BX129" s="8">
        <f>BV129-'Gov Fd BS'!AE129</f>
        <v>0</v>
      </c>
      <c r="BY129" s="8"/>
      <c r="CB129" s="101" t="str">
        <f t="shared" si="17"/>
        <v>Copley-Fairlawn City SD</v>
      </c>
      <c r="CC129" s="101" t="b">
        <f t="shared" si="14"/>
        <v>1</v>
      </c>
      <c r="CD129" s="101" t="str">
        <f>'Gov Fd Rv'!A129</f>
        <v>Copley-Fairlawn City SD</v>
      </c>
      <c r="CE129" s="8" t="b">
        <f t="shared" si="13"/>
        <v>1</v>
      </c>
      <c r="CG129" s="8" t="str">
        <f t="shared" si="15"/>
        <v>Summit</v>
      </c>
      <c r="CH129" s="8" t="b">
        <f t="shared" si="16"/>
        <v>1</v>
      </c>
      <c r="CI129" s="8" t="b">
        <f>C129='Gov Fd Rv'!C129</f>
        <v>1</v>
      </c>
    </row>
    <row r="130" spans="1:87">
      <c r="A130" s="12" t="s">
        <v>345</v>
      </c>
      <c r="B130" s="12"/>
      <c r="C130" s="12" t="s">
        <v>33</v>
      </c>
      <c r="D130" s="12"/>
      <c r="E130" s="12">
        <v>47431</v>
      </c>
      <c r="G130" s="7">
        <v>3162283</v>
      </c>
      <c r="I130" s="7">
        <v>571990</v>
      </c>
      <c r="K130" s="7">
        <v>296842</v>
      </c>
      <c r="M130" s="7">
        <v>0</v>
      </c>
      <c r="O130" s="7">
        <v>0</v>
      </c>
      <c r="Q130" s="7">
        <v>225222</v>
      </c>
      <c r="S130" s="7">
        <v>302410</v>
      </c>
      <c r="U130" s="7">
        <v>42012</v>
      </c>
      <c r="W130" s="7">
        <v>863300</v>
      </c>
      <c r="Y130" s="7">
        <v>221242</v>
      </c>
      <c r="AA130" s="7">
        <v>0</v>
      </c>
      <c r="AC130" s="7">
        <v>667268</v>
      </c>
      <c r="AE130" s="7">
        <v>304218</v>
      </c>
      <c r="AG130" s="7">
        <v>11811</v>
      </c>
      <c r="AI130" s="7">
        <v>0</v>
      </c>
      <c r="AK130" s="7">
        <v>261998</v>
      </c>
      <c r="AL130" s="12" t="s">
        <v>345</v>
      </c>
      <c r="AM130" s="12"/>
      <c r="AN130" s="12" t="s">
        <v>33</v>
      </c>
      <c r="AP130" s="7">
        <v>251196</v>
      </c>
      <c r="AR130" s="7">
        <v>732553</v>
      </c>
      <c r="AT130" s="7">
        <v>0</v>
      </c>
      <c r="AV130" s="7">
        <v>106956</v>
      </c>
      <c r="AX130" s="7">
        <v>265919</v>
      </c>
      <c r="AZ130" s="7">
        <v>0</v>
      </c>
      <c r="BB130" s="8">
        <f t="shared" si="20"/>
        <v>8287220</v>
      </c>
      <c r="BD130" s="7">
        <v>21420</v>
      </c>
      <c r="BF130" s="7">
        <v>0</v>
      </c>
      <c r="BH130" s="7">
        <v>0</v>
      </c>
      <c r="BJ130" s="7">
        <v>0</v>
      </c>
      <c r="BL130" s="8">
        <f t="shared" si="19"/>
        <v>8308640</v>
      </c>
      <c r="BN130" s="8">
        <f>'Gov Fd Rv'!AQ130-'Gov Fnd Exp'!BL130</f>
        <v>3255911</v>
      </c>
      <c r="BP130" s="7">
        <v>6550867</v>
      </c>
      <c r="BR130" s="7">
        <v>0</v>
      </c>
      <c r="BT130" s="7">
        <v>0</v>
      </c>
      <c r="BV130" s="8">
        <f t="shared" si="21"/>
        <v>9806778</v>
      </c>
      <c r="BW130" s="8"/>
      <c r="BX130" s="8">
        <f>BV130-'Gov Fd BS'!AE130</f>
        <v>0</v>
      </c>
      <c r="BY130" s="8"/>
      <c r="CB130" s="101" t="str">
        <f t="shared" si="17"/>
        <v>Cory-Rawson Local SD</v>
      </c>
      <c r="CC130" s="101" t="b">
        <f t="shared" si="14"/>
        <v>1</v>
      </c>
      <c r="CD130" s="101" t="str">
        <f>'Gov Fd Rv'!A130</f>
        <v>Cory-Rawson Local SD</v>
      </c>
      <c r="CE130" s="8" t="b">
        <f t="shared" si="13"/>
        <v>1</v>
      </c>
      <c r="CG130" s="8" t="str">
        <f t="shared" si="15"/>
        <v>Hancock</v>
      </c>
      <c r="CH130" s="8" t="b">
        <f t="shared" si="16"/>
        <v>1</v>
      </c>
      <c r="CI130" s="8" t="b">
        <f>C130='Gov Fd Rv'!C130</f>
        <v>1</v>
      </c>
    </row>
    <row r="131" spans="1:87">
      <c r="A131" s="12" t="s">
        <v>259</v>
      </c>
      <c r="B131" s="12"/>
      <c r="C131" s="12" t="s">
        <v>19</v>
      </c>
      <c r="D131" s="12"/>
      <c r="E131" s="12">
        <v>43828</v>
      </c>
      <c r="G131" s="7">
        <v>11978945</v>
      </c>
      <c r="I131" s="7">
        <v>0</v>
      </c>
      <c r="K131" s="7">
        <v>0</v>
      </c>
      <c r="M131" s="7">
        <v>0</v>
      </c>
      <c r="O131" s="7">
        <v>0</v>
      </c>
      <c r="Q131" s="7">
        <v>697798</v>
      </c>
      <c r="S131" s="7">
        <v>849772</v>
      </c>
      <c r="U131" s="7">
        <v>34194</v>
      </c>
      <c r="W131" s="7">
        <v>1428322</v>
      </c>
      <c r="Y131" s="7">
        <v>433276</v>
      </c>
      <c r="AA131" s="7">
        <v>313535</v>
      </c>
      <c r="AC131" s="7">
        <v>1517340</v>
      </c>
      <c r="AE131" s="7">
        <v>314750</v>
      </c>
      <c r="AG131" s="7">
        <v>60105</v>
      </c>
      <c r="AI131" s="7">
        <v>791725</v>
      </c>
      <c r="AK131" s="7">
        <v>72471</v>
      </c>
      <c r="AL131" s="12" t="s">
        <v>259</v>
      </c>
      <c r="AM131" s="12"/>
      <c r="AN131" s="12" t="s">
        <v>19</v>
      </c>
      <c r="AP131" s="7">
        <v>394846</v>
      </c>
      <c r="AR131" s="7">
        <v>1274151</v>
      </c>
      <c r="AT131" s="7">
        <v>0</v>
      </c>
      <c r="AV131" s="7">
        <v>0</v>
      </c>
      <c r="AX131" s="7">
        <v>523591</v>
      </c>
      <c r="AZ131" s="7">
        <v>0</v>
      </c>
      <c r="BB131" s="8">
        <f t="shared" si="20"/>
        <v>20684821</v>
      </c>
      <c r="BD131" s="7">
        <v>139210</v>
      </c>
      <c r="BF131" s="7">
        <v>0</v>
      </c>
      <c r="BH131" s="7">
        <v>0</v>
      </c>
      <c r="BJ131" s="7">
        <v>0</v>
      </c>
      <c r="BL131" s="8">
        <f t="shared" si="19"/>
        <v>20824031</v>
      </c>
      <c r="BN131" s="8">
        <f>'Gov Fd Rv'!AQ131-'Gov Fnd Exp'!BL131</f>
        <v>13113193</v>
      </c>
      <c r="BP131" s="7">
        <v>803758</v>
      </c>
      <c r="BR131" s="7">
        <v>66</v>
      </c>
      <c r="BT131" s="7">
        <v>0</v>
      </c>
      <c r="BV131" s="8">
        <f t="shared" si="21"/>
        <v>13917017</v>
      </c>
      <c r="BW131" s="8"/>
      <c r="BX131" s="8">
        <f>BV131-'Gov Fd BS'!AE131</f>
        <v>0</v>
      </c>
      <c r="BY131" s="8"/>
      <c r="CB131" s="101" t="str">
        <f t="shared" si="17"/>
        <v>Coshocton City SD</v>
      </c>
      <c r="CC131" s="101" t="b">
        <f t="shared" si="14"/>
        <v>1</v>
      </c>
      <c r="CD131" s="101" t="str">
        <f>'Gov Fd Rv'!A131</f>
        <v>Coshocton City SD</v>
      </c>
      <c r="CE131" s="8" t="b">
        <f t="shared" si="13"/>
        <v>1</v>
      </c>
      <c r="CG131" s="8" t="str">
        <f t="shared" si="15"/>
        <v>Coshocton</v>
      </c>
      <c r="CH131" s="8" t="b">
        <f t="shared" si="16"/>
        <v>1</v>
      </c>
      <c r="CI131" s="8" t="b">
        <f>C131='Gov Fd Rv'!C131</f>
        <v>1</v>
      </c>
    </row>
    <row r="132" spans="1:87">
      <c r="A132" s="12" t="s">
        <v>629</v>
      </c>
      <c r="B132" s="12"/>
      <c r="C132" s="12" t="s">
        <v>63</v>
      </c>
      <c r="D132" s="12"/>
      <c r="E132" s="12"/>
      <c r="G132" s="7">
        <v>10009508</v>
      </c>
      <c r="I132" s="7">
        <v>2975004</v>
      </c>
      <c r="K132" s="7">
        <v>86867</v>
      </c>
      <c r="M132" s="7">
        <v>0</v>
      </c>
      <c r="O132" s="7">
        <v>654251</v>
      </c>
      <c r="Q132" s="7">
        <v>1080071</v>
      </c>
      <c r="S132" s="7">
        <v>1277139</v>
      </c>
      <c r="U132" s="7">
        <v>116886</v>
      </c>
      <c r="W132" s="7">
        <v>1971148</v>
      </c>
      <c r="Y132" s="7">
        <v>403363</v>
      </c>
      <c r="AA132" s="7">
        <v>45692</v>
      </c>
      <c r="AC132" s="7">
        <v>2478928</v>
      </c>
      <c r="AE132" s="7">
        <v>1120771</v>
      </c>
      <c r="AG132" s="7">
        <v>162505</v>
      </c>
      <c r="AI132" s="7">
        <v>851698</v>
      </c>
      <c r="AK132" s="7">
        <v>283610</v>
      </c>
      <c r="AL132" s="12" t="s">
        <v>629</v>
      </c>
      <c r="AM132" s="12"/>
      <c r="AN132" s="12" t="s">
        <v>63</v>
      </c>
      <c r="AP132" s="7">
        <v>414302</v>
      </c>
      <c r="AR132" s="7">
        <v>650509</v>
      </c>
      <c r="AT132" s="7">
        <v>0</v>
      </c>
      <c r="AV132" s="7">
        <v>486687</v>
      </c>
      <c r="AX132" s="7">
        <f>240265+143117</f>
        <v>383382</v>
      </c>
      <c r="AZ132" s="7">
        <v>0</v>
      </c>
      <c r="BB132" s="8">
        <f t="shared" si="20"/>
        <v>25452321</v>
      </c>
      <c r="BD132" s="7">
        <v>43434</v>
      </c>
      <c r="BF132" s="7">
        <v>0</v>
      </c>
      <c r="BH132" s="7">
        <v>0</v>
      </c>
      <c r="BJ132" s="7">
        <v>0</v>
      </c>
      <c r="BL132" s="8">
        <f t="shared" si="19"/>
        <v>25495755</v>
      </c>
      <c r="BN132" s="8">
        <f>'Gov Fd Rv'!AQ132-'Gov Fnd Exp'!BL132</f>
        <v>-243045</v>
      </c>
      <c r="BP132" s="7">
        <v>-2617184</v>
      </c>
      <c r="BR132" s="7">
        <v>0</v>
      </c>
      <c r="BT132" s="7">
        <v>0</v>
      </c>
      <c r="BV132" s="8">
        <f t="shared" si="21"/>
        <v>-2860229</v>
      </c>
      <c r="BW132" s="8"/>
      <c r="BX132" s="8">
        <f>BV132-'Gov Fd BS'!AE132</f>
        <v>0</v>
      </c>
      <c r="BY132" s="8"/>
      <c r="CB132" s="101" t="str">
        <f t="shared" si="17"/>
        <v>Coventry Local SD</v>
      </c>
      <c r="CC132" s="101" t="b">
        <f t="shared" si="14"/>
        <v>1</v>
      </c>
      <c r="CD132" s="101" t="str">
        <f>'Gov Fd Rv'!A132</f>
        <v>Coventry Local SD</v>
      </c>
      <c r="CE132" s="8" t="b">
        <f t="shared" si="13"/>
        <v>1</v>
      </c>
      <c r="CG132" s="8" t="str">
        <f t="shared" si="15"/>
        <v>Summit</v>
      </c>
      <c r="CH132" s="8" t="b">
        <f t="shared" si="16"/>
        <v>1</v>
      </c>
      <c r="CI132" s="8" t="b">
        <f>C132='Gov Fd Rv'!C132</f>
        <v>1</v>
      </c>
    </row>
    <row r="133" spans="1:87">
      <c r="A133" s="12" t="s">
        <v>867</v>
      </c>
      <c r="B133" s="12"/>
      <c r="C133" s="12" t="s">
        <v>48</v>
      </c>
      <c r="D133" s="12"/>
      <c r="E133" s="12">
        <v>45336</v>
      </c>
      <c r="G133" s="7">
        <v>3846570</v>
      </c>
      <c r="I133" s="7">
        <v>914682</v>
      </c>
      <c r="K133" s="7">
        <v>0</v>
      </c>
      <c r="M133" s="7">
        <v>0</v>
      </c>
      <c r="O133" s="7">
        <v>7712</v>
      </c>
      <c r="Q133" s="7">
        <v>384472</v>
      </c>
      <c r="S133" s="7">
        <v>494396</v>
      </c>
      <c r="U133" s="7">
        <v>12180</v>
      </c>
      <c r="W133" s="7">
        <v>797454</v>
      </c>
      <c r="Y133" s="7">
        <v>257773</v>
      </c>
      <c r="AA133" s="7">
        <v>0</v>
      </c>
      <c r="AC133" s="7">
        <v>624464</v>
      </c>
      <c r="AE133" s="7">
        <v>378710</v>
      </c>
      <c r="AG133" s="7">
        <v>93856</v>
      </c>
      <c r="AI133" s="7">
        <v>312335</v>
      </c>
      <c r="AK133" s="7">
        <v>99175</v>
      </c>
      <c r="AL133" s="12" t="s">
        <v>867</v>
      </c>
      <c r="AM133" s="12"/>
      <c r="AN133" s="12" t="s">
        <v>48</v>
      </c>
      <c r="AP133" s="7">
        <v>476407</v>
      </c>
      <c r="AR133" s="7">
        <v>46810</v>
      </c>
      <c r="AT133" s="7">
        <v>0</v>
      </c>
      <c r="AV133" s="7">
        <v>41972</v>
      </c>
      <c r="AX133" s="7">
        <v>7191</v>
      </c>
      <c r="AZ133" s="7">
        <v>0</v>
      </c>
      <c r="BB133" s="8">
        <f t="shared" si="20"/>
        <v>8796159</v>
      </c>
      <c r="BD133" s="7">
        <v>8</v>
      </c>
      <c r="BF133" s="7">
        <v>0</v>
      </c>
      <c r="BH133" s="7">
        <v>0</v>
      </c>
      <c r="BJ133" s="7">
        <v>0</v>
      </c>
      <c r="BL133" s="8">
        <f t="shared" si="19"/>
        <v>8796167</v>
      </c>
      <c r="BN133" s="8">
        <f>'Gov Fd Rv'!AQ133-'Gov Fnd Exp'!BL133</f>
        <v>-35898</v>
      </c>
      <c r="BP133" s="7">
        <v>1667914</v>
      </c>
      <c r="BR133" s="7">
        <v>0</v>
      </c>
      <c r="BT133" s="7">
        <v>0</v>
      </c>
      <c r="BV133" s="8">
        <f t="shared" si="21"/>
        <v>1632016</v>
      </c>
      <c r="BW133" s="8"/>
      <c r="BX133" s="8">
        <f>BV133-'Gov Fd BS'!AE133</f>
        <v>0</v>
      </c>
      <c r="BY133" s="8"/>
      <c r="CB133" s="101" t="str">
        <f t="shared" si="17"/>
        <v>Covington Exempted Village SD</v>
      </c>
      <c r="CC133" s="101" t="b">
        <f t="shared" si="14"/>
        <v>1</v>
      </c>
      <c r="CD133" s="101" t="str">
        <f>'Gov Fd Rv'!A133</f>
        <v>Covington Exempted Village SD</v>
      </c>
      <c r="CE133" s="8" t="b">
        <f t="shared" si="13"/>
        <v>1</v>
      </c>
      <c r="CG133" s="8" t="str">
        <f t="shared" si="15"/>
        <v>Miami</v>
      </c>
      <c r="CH133" s="8" t="b">
        <f t="shared" si="16"/>
        <v>1</v>
      </c>
      <c r="CI133" s="8" t="b">
        <f>C133='Gov Fd Rv'!C133</f>
        <v>1</v>
      </c>
    </row>
    <row r="134" spans="1:87" hidden="1">
      <c r="A134" s="12" t="s">
        <v>982</v>
      </c>
      <c r="B134" s="12"/>
      <c r="C134" s="12" t="s">
        <v>111</v>
      </c>
      <c r="D134" s="12"/>
      <c r="E134" s="12">
        <v>45344</v>
      </c>
      <c r="AL134" s="12" t="s">
        <v>982</v>
      </c>
      <c r="AM134" s="12"/>
      <c r="AN134" s="12" t="s">
        <v>111</v>
      </c>
      <c r="BB134" s="8">
        <f t="shared" si="20"/>
        <v>0</v>
      </c>
      <c r="BF134" s="7">
        <v>0</v>
      </c>
      <c r="BH134" s="7">
        <v>0</v>
      </c>
      <c r="BL134" s="8">
        <f t="shared" si="19"/>
        <v>0</v>
      </c>
      <c r="BN134" s="8">
        <f>'Gov Fd Rv'!AQ134-'Gov Fnd Exp'!BL134</f>
        <v>0</v>
      </c>
      <c r="BT134" s="7">
        <v>0</v>
      </c>
      <c r="BV134" s="8">
        <f t="shared" si="21"/>
        <v>0</v>
      </c>
      <c r="BW134" s="8"/>
      <c r="BX134" s="8">
        <f>BV134-'Gov Fd BS'!AE134</f>
        <v>0</v>
      </c>
      <c r="BY134" s="8"/>
      <c r="BZ134" s="7" t="s">
        <v>903</v>
      </c>
      <c r="CB134" s="101" t="str">
        <f t="shared" si="17"/>
        <v>Crestline Exempted Village SD (CASH)</v>
      </c>
      <c r="CC134" s="101" t="b">
        <f t="shared" si="14"/>
        <v>1</v>
      </c>
      <c r="CD134" s="101" t="str">
        <f>'Gov Fd Rv'!A134</f>
        <v>Crestline Exempted Village SD (CASH)</v>
      </c>
      <c r="CE134" s="8" t="b">
        <f t="shared" si="13"/>
        <v>1</v>
      </c>
      <c r="CG134" s="8" t="str">
        <f t="shared" si="15"/>
        <v>Crawford</v>
      </c>
      <c r="CH134" s="8" t="b">
        <f t="shared" si="16"/>
        <v>1</v>
      </c>
      <c r="CI134" s="8" t="b">
        <f>C134='Gov Fd Rv'!C134</f>
        <v>1</v>
      </c>
    </row>
    <row r="135" spans="1:87">
      <c r="A135" s="12" t="s">
        <v>253</v>
      </c>
      <c r="B135" s="12"/>
      <c r="C135" s="12" t="s">
        <v>112</v>
      </c>
      <c r="D135" s="12"/>
      <c r="E135" s="12">
        <v>46433</v>
      </c>
      <c r="G135" s="7">
        <v>5523479</v>
      </c>
      <c r="I135" s="7">
        <v>994270</v>
      </c>
      <c r="K135" s="7">
        <v>97038</v>
      </c>
      <c r="M135" s="7">
        <v>0</v>
      </c>
      <c r="O135" s="7">
        <v>98237</v>
      </c>
      <c r="Q135" s="7">
        <v>567622</v>
      </c>
      <c r="S135" s="7">
        <v>384984</v>
      </c>
      <c r="U135" s="7">
        <v>15650</v>
      </c>
      <c r="W135" s="7">
        <v>865313</v>
      </c>
      <c r="Y135" s="7">
        <v>325863</v>
      </c>
      <c r="AA135" s="7">
        <v>0</v>
      </c>
      <c r="AC135" s="7">
        <v>1253131</v>
      </c>
      <c r="AE135" s="7">
        <v>754078</v>
      </c>
      <c r="AG135" s="7">
        <v>18786</v>
      </c>
      <c r="AI135" s="7">
        <v>537095</v>
      </c>
      <c r="AK135" s="7">
        <v>285</v>
      </c>
      <c r="AL135" s="12" t="s">
        <v>253</v>
      </c>
      <c r="AM135" s="12"/>
      <c r="AN135" s="12" t="s">
        <v>112</v>
      </c>
      <c r="AP135" s="7">
        <v>364648</v>
      </c>
      <c r="AR135" s="7">
        <v>2589357</v>
      </c>
      <c r="AT135" s="7">
        <v>0</v>
      </c>
      <c r="AV135" s="7">
        <v>344000</v>
      </c>
      <c r="AX135" s="7">
        <v>151634</v>
      </c>
      <c r="AZ135" s="7">
        <v>189719</v>
      </c>
      <c r="BB135" s="8">
        <f t="shared" si="20"/>
        <v>15075189</v>
      </c>
      <c r="BD135" s="7">
        <v>700</v>
      </c>
      <c r="BF135" s="7">
        <v>0</v>
      </c>
      <c r="BH135" s="7">
        <v>0</v>
      </c>
      <c r="BJ135" s="7">
        <v>13320</v>
      </c>
      <c r="BL135" s="8">
        <f t="shared" si="19"/>
        <v>15089209</v>
      </c>
      <c r="BN135" s="8">
        <f>'Gov Fd Rv'!AQ135-'Gov Fnd Exp'!BL135</f>
        <v>2774757</v>
      </c>
      <c r="BP135" s="7">
        <v>945013</v>
      </c>
      <c r="BR135" s="7">
        <v>69262</v>
      </c>
      <c r="BT135" s="7">
        <v>0</v>
      </c>
      <c r="BV135" s="8">
        <f t="shared" si="21"/>
        <v>3789032</v>
      </c>
      <c r="BW135" s="8"/>
      <c r="BX135" s="8">
        <f>BV135-'Gov Fd BS'!AE135</f>
        <v>0</v>
      </c>
      <c r="BY135" s="8"/>
      <c r="CB135" s="101" t="str">
        <f t="shared" si="17"/>
        <v>Crestview Local SD</v>
      </c>
      <c r="CC135" s="101" t="b">
        <f t="shared" si="14"/>
        <v>1</v>
      </c>
      <c r="CD135" s="101" t="str">
        <f>'Gov Fd Rv'!A135</f>
        <v>Crestview Local SD</v>
      </c>
      <c r="CE135" s="8" t="b">
        <f t="shared" si="13"/>
        <v>1</v>
      </c>
      <c r="CG135" s="8" t="str">
        <f t="shared" si="15"/>
        <v>Columbiana</v>
      </c>
      <c r="CH135" s="8" t="b">
        <f t="shared" si="16"/>
        <v>1</v>
      </c>
      <c r="CI135" s="8" t="b">
        <f>C135='Gov Fd Rv'!C135</f>
        <v>1</v>
      </c>
    </row>
    <row r="136" spans="1:87">
      <c r="A136" s="12" t="s">
        <v>253</v>
      </c>
      <c r="B136" s="12"/>
      <c r="C136" s="12" t="s">
        <v>110</v>
      </c>
      <c r="D136" s="12"/>
      <c r="E136" s="12">
        <v>49429</v>
      </c>
      <c r="G136" s="7">
        <v>5024537</v>
      </c>
      <c r="I136" s="7">
        <v>1323080</v>
      </c>
      <c r="K136" s="7">
        <v>246923</v>
      </c>
      <c r="M136" s="7">
        <v>0</v>
      </c>
      <c r="O136" s="7">
        <v>0</v>
      </c>
      <c r="Q136" s="7">
        <v>540510</v>
      </c>
      <c r="S136" s="7">
        <v>534916</v>
      </c>
      <c r="U136" s="7">
        <v>85079</v>
      </c>
      <c r="W136" s="7">
        <v>789354</v>
      </c>
      <c r="Y136" s="7">
        <v>251215</v>
      </c>
      <c r="AA136" s="7">
        <v>897</v>
      </c>
      <c r="AC136" s="7">
        <v>1048671</v>
      </c>
      <c r="AE136" s="7">
        <v>815395</v>
      </c>
      <c r="AG136" s="7">
        <v>29259</v>
      </c>
      <c r="AI136" s="7">
        <v>468549</v>
      </c>
      <c r="AK136" s="7">
        <v>22296</v>
      </c>
      <c r="AL136" s="12" t="s">
        <v>253</v>
      </c>
      <c r="AM136" s="12"/>
      <c r="AN136" s="12" t="s">
        <v>110</v>
      </c>
      <c r="AP136" s="7">
        <v>480521</v>
      </c>
      <c r="AR136" s="7">
        <v>1193</v>
      </c>
      <c r="AT136" s="7">
        <v>0</v>
      </c>
      <c r="AV136" s="7">
        <v>325000</v>
      </c>
      <c r="AX136" s="7">
        <v>154394</v>
      </c>
      <c r="AZ136" s="7">
        <v>0</v>
      </c>
      <c r="BB136" s="8">
        <f t="shared" si="20"/>
        <v>12141789</v>
      </c>
      <c r="BD136" s="7">
        <v>13000</v>
      </c>
      <c r="BF136" s="7">
        <v>0</v>
      </c>
      <c r="BH136" s="7">
        <v>0</v>
      </c>
      <c r="BJ136" s="7">
        <v>0</v>
      </c>
      <c r="BL136" s="8">
        <f t="shared" si="19"/>
        <v>12154789</v>
      </c>
      <c r="BN136" s="8">
        <f>'Gov Fd Rv'!AQ136-'Gov Fnd Exp'!BL136</f>
        <v>629839</v>
      </c>
      <c r="BP136" s="7">
        <v>6909825</v>
      </c>
      <c r="BR136" s="7">
        <v>0</v>
      </c>
      <c r="BT136" s="7">
        <v>0</v>
      </c>
      <c r="BV136" s="8">
        <f t="shared" si="21"/>
        <v>7539664</v>
      </c>
      <c r="BW136" s="8"/>
      <c r="BX136" s="8">
        <f>BV136-'Gov Fd BS'!AE136</f>
        <v>0</v>
      </c>
      <c r="BY136" s="8"/>
      <c r="CB136" s="101" t="str">
        <f t="shared" si="17"/>
        <v>Crestview Local SD</v>
      </c>
      <c r="CC136" s="101" t="b">
        <f t="shared" si="14"/>
        <v>1</v>
      </c>
      <c r="CD136" s="101" t="str">
        <f>'Gov Fd Rv'!A136</f>
        <v>Crestview Local SD</v>
      </c>
      <c r="CE136" s="8" t="b">
        <f t="shared" si="13"/>
        <v>1</v>
      </c>
      <c r="CG136" s="8" t="str">
        <f t="shared" si="15"/>
        <v>Richland</v>
      </c>
      <c r="CH136" s="8" t="b">
        <f t="shared" si="16"/>
        <v>1</v>
      </c>
      <c r="CI136" s="8" t="b">
        <f>C136='Gov Fd Rv'!C136</f>
        <v>1</v>
      </c>
    </row>
    <row r="137" spans="1:87" hidden="1">
      <c r="A137" s="12" t="s">
        <v>686</v>
      </c>
      <c r="B137" s="12"/>
      <c r="C137" s="12" t="s">
        <v>67</v>
      </c>
      <c r="D137" s="12"/>
      <c r="E137" s="12"/>
      <c r="AL137" s="12" t="s">
        <v>686</v>
      </c>
      <c r="AM137" s="12"/>
      <c r="AN137" s="12" t="s">
        <v>67</v>
      </c>
      <c r="BB137" s="8">
        <f t="shared" si="20"/>
        <v>0</v>
      </c>
      <c r="BF137" s="7">
        <v>0</v>
      </c>
      <c r="BH137" s="7">
        <v>0</v>
      </c>
      <c r="BL137" s="8">
        <f t="shared" si="19"/>
        <v>0</v>
      </c>
      <c r="BN137" s="8">
        <f>'Gov Fd Rv'!AQ137-'Gov Fnd Exp'!BL137</f>
        <v>0</v>
      </c>
      <c r="BT137" s="7">
        <v>0</v>
      </c>
      <c r="BV137" s="8">
        <f t="shared" si="21"/>
        <v>0</v>
      </c>
      <c r="BW137" s="8"/>
      <c r="BX137" s="8">
        <f>BV137-'Gov Fd BS'!AE137</f>
        <v>0</v>
      </c>
      <c r="BY137" s="8"/>
      <c r="BZ137" s="7" t="s">
        <v>778</v>
      </c>
      <c r="CB137" s="101" t="str">
        <f t="shared" si="17"/>
        <v>Crestview Local SD (CASH)</v>
      </c>
      <c r="CC137" s="101" t="b">
        <f t="shared" si="14"/>
        <v>1</v>
      </c>
      <c r="CD137" s="101" t="str">
        <f>'Gov Fd Rv'!A137</f>
        <v>Crestview Local SD (CASH)</v>
      </c>
      <c r="CE137" s="8" t="b">
        <f t="shared" si="13"/>
        <v>1</v>
      </c>
      <c r="CG137" s="8" t="str">
        <f t="shared" si="15"/>
        <v>Van Wert</v>
      </c>
      <c r="CH137" s="8" t="b">
        <f t="shared" si="16"/>
        <v>1</v>
      </c>
      <c r="CI137" s="8" t="b">
        <f>C137='Gov Fd Rv'!C137</f>
        <v>1</v>
      </c>
    </row>
    <row r="138" spans="1:87">
      <c r="A138" s="12" t="s">
        <v>758</v>
      </c>
      <c r="B138" s="12"/>
      <c r="C138" s="12" t="s">
        <v>56</v>
      </c>
      <c r="D138" s="12"/>
      <c r="E138" s="12">
        <v>49189</v>
      </c>
      <c r="G138" s="7">
        <v>8931797</v>
      </c>
      <c r="I138" s="7">
        <v>2212016</v>
      </c>
      <c r="K138" s="7">
        <v>219914</v>
      </c>
      <c r="M138" s="7">
        <f>214+163453</f>
        <v>163667</v>
      </c>
      <c r="O138" s="7">
        <v>1140873</v>
      </c>
      <c r="Q138" s="7">
        <v>996447</v>
      </c>
      <c r="S138" s="7">
        <v>1111336</v>
      </c>
      <c r="U138" s="7">
        <v>19635</v>
      </c>
      <c r="W138" s="7">
        <v>2347461</v>
      </c>
      <c r="Y138" s="7">
        <v>461515</v>
      </c>
      <c r="AA138" s="7">
        <v>43154</v>
      </c>
      <c r="AC138" s="7">
        <v>2172501</v>
      </c>
      <c r="AE138" s="7">
        <v>1838248</v>
      </c>
      <c r="AG138" s="7">
        <v>603600</v>
      </c>
      <c r="AI138" s="7">
        <v>622565</v>
      </c>
      <c r="AK138" s="7">
        <v>4440</v>
      </c>
      <c r="AL138" s="12" t="s">
        <v>758</v>
      </c>
      <c r="AM138" s="12"/>
      <c r="AN138" s="12" t="s">
        <v>56</v>
      </c>
      <c r="AP138" s="7">
        <v>548269</v>
      </c>
      <c r="AR138" s="7">
        <v>724223</v>
      </c>
      <c r="AT138" s="7">
        <v>0</v>
      </c>
      <c r="AV138" s="7">
        <v>119301</v>
      </c>
      <c r="AX138" s="7">
        <f>542207+113264</f>
        <v>655471</v>
      </c>
      <c r="AZ138" s="7">
        <v>0</v>
      </c>
      <c r="BB138" s="8">
        <f t="shared" si="20"/>
        <v>24936433</v>
      </c>
      <c r="BD138" s="7">
        <v>115801</v>
      </c>
      <c r="BF138" s="7">
        <v>0</v>
      </c>
      <c r="BH138" s="7">
        <v>0</v>
      </c>
      <c r="BJ138" s="7">
        <v>5935509</v>
      </c>
      <c r="BL138" s="8">
        <f t="shared" si="19"/>
        <v>30987743</v>
      </c>
      <c r="BN138" s="8">
        <f>'Gov Fd Rv'!AQ138-'Gov Fnd Exp'!BL138</f>
        <v>-1445931</v>
      </c>
      <c r="BP138" s="7">
        <v>7220996</v>
      </c>
      <c r="BR138" s="7">
        <v>0</v>
      </c>
      <c r="BT138" s="7">
        <v>0</v>
      </c>
      <c r="BV138" s="8">
        <f t="shared" si="21"/>
        <v>5775065</v>
      </c>
      <c r="BW138" s="8"/>
      <c r="BX138" s="8">
        <f>BV138-'Gov Fd BS'!AE138</f>
        <v>0</v>
      </c>
      <c r="BY138" s="8"/>
      <c r="CB138" s="101" t="str">
        <f t="shared" si="17"/>
        <v xml:space="preserve">Crestwood Local SD </v>
      </c>
      <c r="CC138" s="101" t="b">
        <f t="shared" si="14"/>
        <v>1</v>
      </c>
      <c r="CD138" s="101" t="str">
        <f>'Gov Fd Rv'!A138</f>
        <v xml:space="preserve">Crestwood Local SD </v>
      </c>
      <c r="CE138" s="8" t="b">
        <f t="shared" si="13"/>
        <v>1</v>
      </c>
      <c r="CG138" s="8" t="str">
        <f t="shared" si="15"/>
        <v>Portage</v>
      </c>
      <c r="CH138" s="8" t="b">
        <f t="shared" si="16"/>
        <v>1</v>
      </c>
      <c r="CI138" s="8" t="b">
        <f>C138='Gov Fd Rv'!C138</f>
        <v>1</v>
      </c>
    </row>
    <row r="139" spans="1:87">
      <c r="A139" s="12" t="s">
        <v>868</v>
      </c>
      <c r="B139" s="12"/>
      <c r="C139" s="12" t="s">
        <v>466</v>
      </c>
      <c r="D139" s="12"/>
      <c r="E139" s="12"/>
      <c r="G139" s="7">
        <v>6812151</v>
      </c>
      <c r="I139" s="7">
        <v>0</v>
      </c>
      <c r="K139" s="7">
        <v>0</v>
      </c>
      <c r="M139" s="7">
        <v>0</v>
      </c>
      <c r="O139" s="7">
        <v>0</v>
      </c>
      <c r="Q139" s="7">
        <v>893139</v>
      </c>
      <c r="S139" s="7">
        <v>452772</v>
      </c>
      <c r="U139" s="7">
        <v>37548</v>
      </c>
      <c r="W139" s="7">
        <v>971455</v>
      </c>
      <c r="Y139" s="7">
        <v>280055</v>
      </c>
      <c r="AA139" s="7">
        <v>0</v>
      </c>
      <c r="AC139" s="7">
        <v>1166437</v>
      </c>
      <c r="AE139" s="7">
        <v>800406</v>
      </c>
      <c r="AG139" s="7">
        <v>0</v>
      </c>
      <c r="AI139" s="7">
        <v>0</v>
      </c>
      <c r="AK139" s="7">
        <v>530516</v>
      </c>
      <c r="AL139" s="12" t="s">
        <v>868</v>
      </c>
      <c r="AM139" s="12"/>
      <c r="AN139" s="12" t="s">
        <v>466</v>
      </c>
      <c r="AP139" s="7">
        <v>407541</v>
      </c>
      <c r="AR139" s="7">
        <v>0</v>
      </c>
      <c r="AT139" s="7">
        <v>0</v>
      </c>
      <c r="AV139" s="7">
        <v>155505</v>
      </c>
      <c r="AX139" s="7">
        <v>46260</v>
      </c>
      <c r="AZ139" s="7">
        <v>0</v>
      </c>
      <c r="BB139" s="8">
        <f t="shared" si="20"/>
        <v>12553785</v>
      </c>
      <c r="BD139" s="7">
        <v>0</v>
      </c>
      <c r="BF139" s="7">
        <v>0</v>
      </c>
      <c r="BH139" s="7">
        <v>0</v>
      </c>
      <c r="BJ139" s="7">
        <v>710703</v>
      </c>
      <c r="BL139" s="8">
        <f t="shared" si="19"/>
        <v>13264488</v>
      </c>
      <c r="BN139" s="8">
        <f>'Gov Fd Rv'!AQ139-'Gov Fnd Exp'!BL139</f>
        <v>-541818</v>
      </c>
      <c r="BP139" s="7">
        <v>1261555</v>
      </c>
      <c r="BR139" s="7">
        <v>-8685</v>
      </c>
      <c r="BT139" s="7">
        <v>0</v>
      </c>
      <c r="BV139" s="8">
        <f t="shared" si="21"/>
        <v>711052</v>
      </c>
      <c r="BW139" s="8"/>
      <c r="BX139" s="8">
        <f>BV139-'Gov Fd BS'!AE139</f>
        <v>0</v>
      </c>
      <c r="BY139" s="8"/>
      <c r="CB139" s="101" t="str">
        <f t="shared" si="17"/>
        <v>Crooksville Exempted Village SD</v>
      </c>
      <c r="CC139" s="101" t="b">
        <f t="shared" si="14"/>
        <v>1</v>
      </c>
      <c r="CD139" s="101" t="str">
        <f>'Gov Fd Rv'!A139</f>
        <v>Crooksville Exempted Village SD</v>
      </c>
      <c r="CE139" s="8" t="b">
        <f t="shared" ref="CE139:CE202" si="24">CB139=CD139</f>
        <v>1</v>
      </c>
      <c r="CG139" s="8" t="str">
        <f t="shared" si="15"/>
        <v>Perry</v>
      </c>
      <c r="CH139" s="8" t="b">
        <f t="shared" si="16"/>
        <v>1</v>
      </c>
      <c r="CI139" s="8" t="b">
        <f>C139='Gov Fd Rv'!C139</f>
        <v>1</v>
      </c>
    </row>
    <row r="140" spans="1:87">
      <c r="A140" s="12" t="s">
        <v>687</v>
      </c>
      <c r="B140" s="12"/>
      <c r="C140" s="12" t="s">
        <v>63</v>
      </c>
      <c r="D140" s="12"/>
      <c r="E140" s="12">
        <v>43836</v>
      </c>
      <c r="G140" s="7">
        <v>21395421</v>
      </c>
      <c r="I140" s="7">
        <v>5370712</v>
      </c>
      <c r="K140" s="7">
        <v>1318009</v>
      </c>
      <c r="M140" s="7">
        <v>0</v>
      </c>
      <c r="O140" s="7">
        <v>5976520</v>
      </c>
      <c r="Q140" s="7">
        <v>2788611</v>
      </c>
      <c r="S140" s="7">
        <v>1160802</v>
      </c>
      <c r="U140" s="7">
        <v>69632</v>
      </c>
      <c r="W140" s="7">
        <v>2823378</v>
      </c>
      <c r="Y140" s="7">
        <v>1031740</v>
      </c>
      <c r="AA140" s="7">
        <v>377526</v>
      </c>
      <c r="AC140" s="7">
        <v>4873703</v>
      </c>
      <c r="AE140" s="7">
        <v>1299635</v>
      </c>
      <c r="AG140" s="7">
        <v>302263</v>
      </c>
      <c r="AI140" s="7">
        <v>1518034</v>
      </c>
      <c r="AK140" s="7">
        <v>1179837</v>
      </c>
      <c r="AL140" s="12" t="s">
        <v>687</v>
      </c>
      <c r="AM140" s="12"/>
      <c r="AN140" s="12" t="s">
        <v>63</v>
      </c>
      <c r="AP140" s="7">
        <v>1096408</v>
      </c>
      <c r="AR140" s="7">
        <v>34151</v>
      </c>
      <c r="AT140" s="7">
        <v>0</v>
      </c>
      <c r="AV140" s="7">
        <v>532309</v>
      </c>
      <c r="AX140" s="7">
        <v>199745</v>
      </c>
      <c r="AZ140" s="7">
        <v>0</v>
      </c>
      <c r="BB140" s="8">
        <f t="shared" si="20"/>
        <v>53348436</v>
      </c>
      <c r="BD140" s="7">
        <v>26364</v>
      </c>
      <c r="BF140" s="7">
        <v>0</v>
      </c>
      <c r="BH140" s="7">
        <v>0</v>
      </c>
      <c r="BJ140" s="7">
        <v>0</v>
      </c>
      <c r="BL140" s="8">
        <f t="shared" si="19"/>
        <v>53374800</v>
      </c>
      <c r="BN140" s="8">
        <f>'Gov Fd Rv'!AQ140-'Gov Fnd Exp'!BL140</f>
        <v>-173470</v>
      </c>
      <c r="BP140" s="7">
        <v>4542103</v>
      </c>
      <c r="BR140" s="7">
        <v>0</v>
      </c>
      <c r="BT140" s="7">
        <v>0</v>
      </c>
      <c r="BV140" s="8">
        <f t="shared" si="21"/>
        <v>4368633</v>
      </c>
      <c r="BW140" s="8"/>
      <c r="BX140" s="8">
        <f>BV140-'Gov Fd BS'!AE140</f>
        <v>0</v>
      </c>
      <c r="BY140" s="8"/>
      <c r="CB140" s="101" t="str">
        <f t="shared" si="17"/>
        <v xml:space="preserve">Cuyahoga Falls City SD </v>
      </c>
      <c r="CC140" s="101" t="b">
        <f t="shared" ref="CC140:CC203" si="25">A140=AL140</f>
        <v>1</v>
      </c>
      <c r="CD140" s="101" t="str">
        <f>'Gov Fd Rv'!A140</f>
        <v xml:space="preserve">Cuyahoga Falls City SD </v>
      </c>
      <c r="CE140" s="8" t="b">
        <f t="shared" si="24"/>
        <v>1</v>
      </c>
      <c r="CG140" s="8" t="str">
        <f t="shared" ref="CG140:CG203" si="26">C140</f>
        <v>Summit</v>
      </c>
      <c r="CH140" s="8" t="b">
        <f t="shared" ref="CH140:CH203" si="27">C140=AN140</f>
        <v>1</v>
      </c>
      <c r="CI140" s="8" t="b">
        <f>C140='Gov Fd Rv'!C140</f>
        <v>1</v>
      </c>
    </row>
    <row r="141" spans="1:87">
      <c r="A141" s="12" t="s">
        <v>759</v>
      </c>
      <c r="B141" s="12"/>
      <c r="C141" s="12" t="s">
        <v>20</v>
      </c>
      <c r="D141" s="12"/>
      <c r="E141" s="12">
        <v>46557</v>
      </c>
      <c r="G141" s="7">
        <v>5883872</v>
      </c>
      <c r="I141" s="7">
        <v>1294099</v>
      </c>
      <c r="K141" s="7">
        <v>0</v>
      </c>
      <c r="M141" s="7">
        <v>0</v>
      </c>
      <c r="O141" s="7">
        <v>817</v>
      </c>
      <c r="Q141" s="7">
        <v>827691</v>
      </c>
      <c r="S141" s="7">
        <v>885121</v>
      </c>
      <c r="U141" s="7">
        <v>99870</v>
      </c>
      <c r="W141" s="7">
        <v>1559955</v>
      </c>
      <c r="Y141" s="7">
        <v>629113</v>
      </c>
      <c r="AA141" s="7">
        <v>127886</v>
      </c>
      <c r="AC141" s="7">
        <v>1803503</v>
      </c>
      <c r="AE141" s="7">
        <v>806240</v>
      </c>
      <c r="AG141" s="7">
        <v>1434566</v>
      </c>
      <c r="AI141" s="7">
        <v>351427</v>
      </c>
      <c r="AK141" s="7">
        <v>58518</v>
      </c>
      <c r="AL141" s="12" t="s">
        <v>759</v>
      </c>
      <c r="AM141" s="12"/>
      <c r="AN141" s="12" t="s">
        <v>20</v>
      </c>
      <c r="AP141" s="7">
        <v>1046195</v>
      </c>
      <c r="AR141" s="7">
        <v>92261</v>
      </c>
      <c r="AT141" s="7">
        <v>0</v>
      </c>
      <c r="AV141" s="7">
        <v>498431</v>
      </c>
      <c r="AX141" s="7">
        <v>86777</v>
      </c>
      <c r="AZ141" s="7">
        <v>0</v>
      </c>
      <c r="BB141" s="8">
        <f t="shared" si="20"/>
        <v>17486342</v>
      </c>
      <c r="BD141" s="7">
        <v>251451</v>
      </c>
      <c r="BF141" s="7">
        <v>0</v>
      </c>
      <c r="BH141" s="7">
        <v>0</v>
      </c>
      <c r="BJ141" s="7">
        <v>0</v>
      </c>
      <c r="BL141" s="8">
        <f t="shared" si="19"/>
        <v>17737793</v>
      </c>
      <c r="BN141" s="8">
        <f>'Gov Fd Rv'!AQ141-'Gov Fnd Exp'!BL141</f>
        <v>-2226617</v>
      </c>
      <c r="BP141" s="7">
        <v>4693242</v>
      </c>
      <c r="BR141" s="7">
        <v>0</v>
      </c>
      <c r="BT141" s="7">
        <v>0</v>
      </c>
      <c r="BV141" s="8">
        <f t="shared" si="21"/>
        <v>2466625</v>
      </c>
      <c r="BW141" s="8"/>
      <c r="BX141" s="8">
        <f>BV141-'Gov Fd BS'!AE141</f>
        <v>0</v>
      </c>
      <c r="BY141" s="8"/>
      <c r="CB141" s="101" t="str">
        <f t="shared" ref="CB141:CB204" si="28">A141</f>
        <v xml:space="preserve">Cuyahoga Heights Local SD </v>
      </c>
      <c r="CC141" s="101" t="b">
        <f t="shared" si="25"/>
        <v>1</v>
      </c>
      <c r="CD141" s="101" t="str">
        <f>'Gov Fd Rv'!A141</f>
        <v xml:space="preserve">Cuyahoga Heights Local SD </v>
      </c>
      <c r="CE141" s="8" t="b">
        <f t="shared" si="24"/>
        <v>1</v>
      </c>
      <c r="CG141" s="8" t="str">
        <f t="shared" si="26"/>
        <v>Cuyahoga</v>
      </c>
      <c r="CH141" s="8" t="b">
        <f t="shared" si="27"/>
        <v>1</v>
      </c>
      <c r="CI141" s="8" t="b">
        <f>C141='Gov Fd Rv'!C141</f>
        <v>1</v>
      </c>
    </row>
    <row r="142" spans="1:87">
      <c r="A142" s="12" t="s">
        <v>635</v>
      </c>
      <c r="B142" s="12"/>
      <c r="C142" s="12" t="s">
        <v>71</v>
      </c>
      <c r="D142" s="12"/>
      <c r="E142" s="12">
        <v>48934</v>
      </c>
      <c r="G142" s="7">
        <v>3316542</v>
      </c>
      <c r="I142" s="7">
        <v>821890</v>
      </c>
      <c r="K142" s="7">
        <v>225479</v>
      </c>
      <c r="M142" s="7">
        <v>0</v>
      </c>
      <c r="O142" s="7">
        <v>248766</v>
      </c>
      <c r="Q142" s="7">
        <v>393953</v>
      </c>
      <c r="S142" s="7">
        <v>574738</v>
      </c>
      <c r="U142" s="7">
        <v>24585</v>
      </c>
      <c r="W142" s="7">
        <v>730254</v>
      </c>
      <c r="Y142" s="7">
        <v>291229</v>
      </c>
      <c r="AA142" s="7">
        <v>0</v>
      </c>
      <c r="AC142" s="7">
        <v>746945</v>
      </c>
      <c r="AE142" s="7">
        <v>498210</v>
      </c>
      <c r="AG142" s="7">
        <v>41400</v>
      </c>
      <c r="AI142" s="7">
        <v>247798</v>
      </c>
      <c r="AK142" s="7">
        <v>169976</v>
      </c>
      <c r="AL142" s="12" t="s">
        <v>635</v>
      </c>
      <c r="AM142" s="12"/>
      <c r="AN142" s="12" t="s">
        <v>71</v>
      </c>
      <c r="AP142" s="7">
        <v>382587</v>
      </c>
      <c r="AR142" s="7">
        <v>523247</v>
      </c>
      <c r="AT142" s="7">
        <v>0</v>
      </c>
      <c r="AV142" s="7">
        <v>17133</v>
      </c>
      <c r="AX142" s="7">
        <v>2626</v>
      </c>
      <c r="AZ142" s="7">
        <v>0</v>
      </c>
      <c r="BB142" s="8">
        <f t="shared" ref="BB142:BB143" si="29">SUM(G142:AZ142)</f>
        <v>9257358</v>
      </c>
      <c r="BD142" s="7">
        <v>87223</v>
      </c>
      <c r="BF142" s="7">
        <v>0</v>
      </c>
      <c r="BH142" s="7">
        <v>0</v>
      </c>
      <c r="BJ142" s="7">
        <v>0</v>
      </c>
      <c r="BL142" s="8">
        <f t="shared" si="19"/>
        <v>9344581</v>
      </c>
      <c r="BN142" s="8">
        <f>'Gov Fd Rv'!AQ142-'Gov Fnd Exp'!BL142</f>
        <v>45149</v>
      </c>
      <c r="BP142" s="7">
        <v>341223</v>
      </c>
      <c r="BR142" s="7">
        <v>0</v>
      </c>
      <c r="BT142" s="7">
        <v>0</v>
      </c>
      <c r="BV142" s="8">
        <f t="shared" si="21"/>
        <v>386372</v>
      </c>
      <c r="BW142" s="8"/>
      <c r="BX142" s="8">
        <f>BV142-'Gov Fd BS'!AE142</f>
        <v>0</v>
      </c>
      <c r="BY142" s="8"/>
      <c r="CB142" s="101" t="str">
        <f t="shared" si="28"/>
        <v>Dalton Local SD</v>
      </c>
      <c r="CC142" s="101" t="b">
        <f t="shared" si="25"/>
        <v>1</v>
      </c>
      <c r="CD142" s="101" t="str">
        <f>'Gov Fd Rv'!A142</f>
        <v>Dalton Local SD</v>
      </c>
      <c r="CE142" s="8" t="b">
        <f t="shared" si="24"/>
        <v>1</v>
      </c>
      <c r="CG142" s="8" t="str">
        <f t="shared" si="26"/>
        <v>Wayne</v>
      </c>
      <c r="CH142" s="8" t="b">
        <f t="shared" si="27"/>
        <v>1</v>
      </c>
      <c r="CI142" s="8" t="b">
        <f>C142='Gov Fd Rv'!C142</f>
        <v>1</v>
      </c>
    </row>
    <row r="143" spans="1:87" hidden="1">
      <c r="A143" s="12" t="s">
        <v>838</v>
      </c>
      <c r="B143" s="12"/>
      <c r="C143" s="12" t="s">
        <v>53</v>
      </c>
      <c r="D143" s="12"/>
      <c r="E143" s="12">
        <v>48934</v>
      </c>
      <c r="AL143" s="12" t="s">
        <v>838</v>
      </c>
      <c r="AM143" s="12"/>
      <c r="AN143" s="12" t="s">
        <v>53</v>
      </c>
      <c r="BB143" s="8">
        <f t="shared" si="29"/>
        <v>0</v>
      </c>
      <c r="BD143" s="24"/>
      <c r="BL143" s="8">
        <f t="shared" si="19"/>
        <v>0</v>
      </c>
      <c r="BN143" s="8">
        <f>'Gov Fd Rv'!AQ143-'Gov Fnd Exp'!BL143</f>
        <v>0</v>
      </c>
      <c r="BT143" s="7">
        <v>0</v>
      </c>
      <c r="BV143" s="8">
        <f t="shared" si="21"/>
        <v>0</v>
      </c>
      <c r="BW143" s="8"/>
      <c r="BX143" s="8">
        <f>BV143-'Gov Fd BS'!AE143</f>
        <v>0</v>
      </c>
      <c r="BY143" s="8"/>
      <c r="BZ143" s="7" t="s">
        <v>837</v>
      </c>
      <c r="CB143" s="101" t="str">
        <f t="shared" si="28"/>
        <v>Danbury Local SD (CASH)</v>
      </c>
      <c r="CC143" s="101" t="b">
        <f t="shared" si="25"/>
        <v>1</v>
      </c>
      <c r="CD143" s="101" t="str">
        <f>'Gov Fd Rv'!A143</f>
        <v>Danbury Local SD (CASH)</v>
      </c>
      <c r="CE143" s="8" t="b">
        <f t="shared" si="24"/>
        <v>1</v>
      </c>
      <c r="CG143" s="8" t="str">
        <f t="shared" si="26"/>
        <v>Ottawa</v>
      </c>
      <c r="CH143" s="8" t="b">
        <f t="shared" si="27"/>
        <v>1</v>
      </c>
      <c r="CI143" s="8" t="b">
        <f>C143='Gov Fd Rv'!C143</f>
        <v>1</v>
      </c>
    </row>
    <row r="144" spans="1:87" hidden="1">
      <c r="A144" s="12" t="s">
        <v>688</v>
      </c>
      <c r="B144" s="12"/>
      <c r="C144" s="12" t="s">
        <v>40</v>
      </c>
      <c r="D144" s="12"/>
      <c r="E144" s="12">
        <v>47837</v>
      </c>
      <c r="AL144" s="12" t="s">
        <v>688</v>
      </c>
      <c r="AM144" s="12"/>
      <c r="AN144" s="12" t="s">
        <v>40</v>
      </c>
      <c r="BB144" s="8">
        <f t="shared" ref="BB144:BB154" si="30">SUM(G144:AZ144)</f>
        <v>0</v>
      </c>
      <c r="BL144" s="8">
        <f t="shared" si="19"/>
        <v>0</v>
      </c>
      <c r="BN144" s="8">
        <f>'Gov Fd Rv'!AQ144-'Gov Fnd Exp'!BL144</f>
        <v>0</v>
      </c>
      <c r="BT144" s="7">
        <v>0</v>
      </c>
      <c r="BV144" s="8">
        <f t="shared" si="21"/>
        <v>0</v>
      </c>
      <c r="BW144" s="8"/>
      <c r="BX144" s="8">
        <f>BV144-'Gov Fd BS'!AE144</f>
        <v>0</v>
      </c>
      <c r="BY144" s="8"/>
      <c r="BZ144" s="7" t="s">
        <v>839</v>
      </c>
      <c r="CB144" s="101" t="str">
        <f t="shared" si="28"/>
        <v>Danville Local SD (CASH)</v>
      </c>
      <c r="CC144" s="101" t="b">
        <f t="shared" si="25"/>
        <v>1</v>
      </c>
      <c r="CD144" s="101" t="str">
        <f>'Gov Fd Rv'!A144</f>
        <v>Danville Local SD (CASH)</v>
      </c>
      <c r="CE144" s="8" t="b">
        <f t="shared" si="24"/>
        <v>1</v>
      </c>
      <c r="CG144" s="8" t="str">
        <f t="shared" si="26"/>
        <v>Knox</v>
      </c>
      <c r="CH144" s="8" t="b">
        <f t="shared" si="27"/>
        <v>1</v>
      </c>
      <c r="CI144" s="8" t="b">
        <f>C144='Gov Fd Rv'!C144</f>
        <v>1</v>
      </c>
    </row>
    <row r="145" spans="1:87">
      <c r="A145" s="12" t="s">
        <v>378</v>
      </c>
      <c r="B145" s="12"/>
      <c r="C145" s="12" t="s">
        <v>377</v>
      </c>
      <c r="D145" s="12"/>
      <c r="E145" s="12">
        <v>47928</v>
      </c>
      <c r="G145" s="7">
        <v>7424998</v>
      </c>
      <c r="I145" s="7">
        <v>683588</v>
      </c>
      <c r="K145" s="7">
        <v>176731</v>
      </c>
      <c r="M145" s="7">
        <v>0</v>
      </c>
      <c r="O145" s="7">
        <v>0</v>
      </c>
      <c r="Q145" s="7">
        <v>496356</v>
      </c>
      <c r="S145" s="7">
        <v>286464</v>
      </c>
      <c r="U145" s="7">
        <v>36935</v>
      </c>
      <c r="W145" s="7">
        <v>789549</v>
      </c>
      <c r="Y145" s="7">
        <v>423127</v>
      </c>
      <c r="AA145" s="7">
        <v>80325</v>
      </c>
      <c r="AC145" s="7">
        <v>1260297</v>
      </c>
      <c r="AE145" s="7">
        <v>718515</v>
      </c>
      <c r="AG145" s="7">
        <v>175570</v>
      </c>
      <c r="AI145" s="7">
        <v>545770</v>
      </c>
      <c r="AK145" s="7">
        <v>13442</v>
      </c>
      <c r="AL145" s="12" t="s">
        <v>378</v>
      </c>
      <c r="AM145" s="12"/>
      <c r="AN145" s="12" t="s">
        <v>377</v>
      </c>
      <c r="AP145" s="7">
        <v>416177</v>
      </c>
      <c r="AR145" s="7">
        <v>741941</v>
      </c>
      <c r="AT145" s="7">
        <v>0</v>
      </c>
      <c r="AV145" s="7">
        <v>126000</v>
      </c>
      <c r="AX145" s="7">
        <f>57109+32000</f>
        <v>89109</v>
      </c>
      <c r="AZ145" s="7">
        <v>0</v>
      </c>
      <c r="BB145" s="8">
        <f t="shared" si="30"/>
        <v>14484894</v>
      </c>
      <c r="BD145" s="24">
        <v>279127</v>
      </c>
      <c r="BF145" s="7">
        <v>0</v>
      </c>
      <c r="BH145" s="7">
        <v>0</v>
      </c>
      <c r="BJ145" s="7">
        <v>0</v>
      </c>
      <c r="BL145" s="8">
        <f t="shared" si="19"/>
        <v>14764021</v>
      </c>
      <c r="BN145" s="8">
        <f>'Gov Fd Rv'!AQ145-'Gov Fnd Exp'!BL145</f>
        <v>710723</v>
      </c>
      <c r="BP145" s="7">
        <v>4972876</v>
      </c>
      <c r="BR145" s="7">
        <v>0</v>
      </c>
      <c r="BT145" s="7">
        <v>0</v>
      </c>
      <c r="BV145" s="8">
        <f t="shared" si="21"/>
        <v>5683599</v>
      </c>
      <c r="BW145" s="8"/>
      <c r="BX145" s="8">
        <f>BV145-'Gov Fd BS'!AE145</f>
        <v>0</v>
      </c>
      <c r="BY145" s="8"/>
      <c r="CB145" s="101" t="str">
        <f t="shared" si="28"/>
        <v>Dawson-Bryant Local SD</v>
      </c>
      <c r="CC145" s="101" t="b">
        <f t="shared" si="25"/>
        <v>1</v>
      </c>
      <c r="CD145" s="101" t="str">
        <f>'Gov Fd Rv'!A145</f>
        <v>Dawson-Bryant Local SD</v>
      </c>
      <c r="CE145" s="8" t="b">
        <f t="shared" si="24"/>
        <v>1</v>
      </c>
      <c r="CG145" s="8" t="str">
        <f t="shared" si="26"/>
        <v>Lawrence</v>
      </c>
      <c r="CH145" s="8" t="b">
        <f t="shared" si="27"/>
        <v>1</v>
      </c>
      <c r="CI145" s="8" t="b">
        <f>C145='Gov Fd Rv'!C145</f>
        <v>1</v>
      </c>
    </row>
    <row r="146" spans="1:87">
      <c r="A146" s="12" t="s">
        <v>442</v>
      </c>
      <c r="B146" s="12"/>
      <c r="C146" s="12" t="s">
        <v>50</v>
      </c>
      <c r="D146" s="12"/>
      <c r="E146" s="12">
        <v>43844</v>
      </c>
      <c r="G146" s="7">
        <v>60734083</v>
      </c>
      <c r="I146" s="7">
        <v>27656184</v>
      </c>
      <c r="K146" s="7">
        <v>3135403</v>
      </c>
      <c r="M146" s="7">
        <v>18154</v>
      </c>
      <c r="O146" s="7">
        <f>4953666+627334</f>
        <v>5581000</v>
      </c>
      <c r="Q146" s="7">
        <v>11509619</v>
      </c>
      <c r="S146" s="7">
        <v>18142239</v>
      </c>
      <c r="U146" s="7">
        <v>732653</v>
      </c>
      <c r="W146" s="7">
        <v>15194443</v>
      </c>
      <c r="Y146" s="7">
        <v>3602078</v>
      </c>
      <c r="AA146" s="7">
        <v>1515999</v>
      </c>
      <c r="AC146" s="7">
        <v>20512238</v>
      </c>
      <c r="AE146" s="7">
        <v>17123253</v>
      </c>
      <c r="AG146" s="7">
        <v>7687374</v>
      </c>
      <c r="AI146" s="7">
        <v>0</v>
      </c>
      <c r="AK146" s="7">
        <v>72775088</v>
      </c>
      <c r="AL146" s="12" t="s">
        <v>442</v>
      </c>
      <c r="AM146" s="12"/>
      <c r="AN146" s="12" t="s">
        <v>50</v>
      </c>
      <c r="AP146" s="7">
        <v>1871742</v>
      </c>
      <c r="AR146" s="7">
        <v>67536348</v>
      </c>
      <c r="AT146" s="7">
        <v>0</v>
      </c>
      <c r="AV146" s="7">
        <v>7842900</v>
      </c>
      <c r="AX146" s="7">
        <v>11246601</v>
      </c>
      <c r="AZ146" s="7">
        <v>0</v>
      </c>
      <c r="BB146" s="8">
        <f t="shared" si="30"/>
        <v>354417399</v>
      </c>
      <c r="BD146" s="7">
        <v>2494518</v>
      </c>
      <c r="BF146" s="7">
        <v>0</v>
      </c>
      <c r="BH146" s="7">
        <v>0</v>
      </c>
      <c r="BJ146" s="7">
        <v>0</v>
      </c>
      <c r="BL146" s="8">
        <f t="shared" si="19"/>
        <v>356911917</v>
      </c>
      <c r="BN146" s="8">
        <f>'Gov Fd Rv'!AQ146-'Gov Fnd Exp'!BL146</f>
        <v>-49407832</v>
      </c>
      <c r="BP146" s="7">
        <v>151011267</v>
      </c>
      <c r="BR146" s="7">
        <v>0</v>
      </c>
      <c r="BT146" s="7">
        <v>0</v>
      </c>
      <c r="BV146" s="8">
        <f t="shared" si="21"/>
        <v>101603435</v>
      </c>
      <c r="BW146" s="8"/>
      <c r="BX146" s="8">
        <f>BV146-'Gov Fd BS'!AE146</f>
        <v>0</v>
      </c>
      <c r="BY146" s="8"/>
      <c r="BZ146" s="7" t="s">
        <v>843</v>
      </c>
      <c r="CB146" s="101" t="str">
        <f t="shared" si="28"/>
        <v>Dayton City SD</v>
      </c>
      <c r="CC146" s="101" t="b">
        <f t="shared" si="25"/>
        <v>1</v>
      </c>
      <c r="CD146" s="101" t="str">
        <f>'Gov Fd Rv'!A146</f>
        <v>Dayton City SD</v>
      </c>
      <c r="CE146" s="8" t="b">
        <f t="shared" si="24"/>
        <v>1</v>
      </c>
      <c r="CG146" s="8" t="str">
        <f t="shared" si="26"/>
        <v>Montgomery</v>
      </c>
      <c r="CH146" s="8" t="b">
        <f t="shared" si="27"/>
        <v>1</v>
      </c>
      <c r="CI146" s="8" t="b">
        <f>C146='Gov Fd Rv'!C146</f>
        <v>1</v>
      </c>
    </row>
    <row r="147" spans="1:87">
      <c r="A147" s="12" t="s">
        <v>689</v>
      </c>
      <c r="B147" s="12"/>
      <c r="C147" s="12" t="s">
        <v>32</v>
      </c>
      <c r="D147" s="12"/>
      <c r="E147" s="12">
        <v>43851</v>
      </c>
      <c r="G147" s="7">
        <v>7034224</v>
      </c>
      <c r="I147" s="7">
        <v>1649707</v>
      </c>
      <c r="K147" s="7">
        <v>191044</v>
      </c>
      <c r="M147" s="7">
        <v>0</v>
      </c>
      <c r="O147" s="7">
        <v>0</v>
      </c>
      <c r="Q147" s="7">
        <v>957159</v>
      </c>
      <c r="S147" s="7">
        <v>952272</v>
      </c>
      <c r="U147" s="7">
        <v>84588</v>
      </c>
      <c r="W147" s="7">
        <v>1207156</v>
      </c>
      <c r="Y147" s="7">
        <v>550612</v>
      </c>
      <c r="AA147" s="7">
        <v>143773</v>
      </c>
      <c r="AC147" s="7">
        <v>1462852</v>
      </c>
      <c r="AE147" s="7">
        <v>381782</v>
      </c>
      <c r="AG147" s="7">
        <v>134861</v>
      </c>
      <c r="AI147" s="7">
        <v>0</v>
      </c>
      <c r="AK147" s="7">
        <v>592382</v>
      </c>
      <c r="AL147" s="12" t="s">
        <v>689</v>
      </c>
      <c r="AM147" s="12"/>
      <c r="AN147" s="12" t="s">
        <v>32</v>
      </c>
      <c r="AP147" s="7">
        <v>571216</v>
      </c>
      <c r="AR147" s="7">
        <v>0</v>
      </c>
      <c r="AT147" s="7">
        <v>0</v>
      </c>
      <c r="AV147" s="7">
        <v>126828</v>
      </c>
      <c r="AX147" s="7">
        <v>21384</v>
      </c>
      <c r="AZ147" s="7">
        <v>0</v>
      </c>
      <c r="BB147" s="8">
        <f t="shared" si="30"/>
        <v>16061840</v>
      </c>
      <c r="BD147" s="7">
        <v>69978</v>
      </c>
      <c r="BF147" s="7">
        <v>0</v>
      </c>
      <c r="BH147" s="7">
        <v>0</v>
      </c>
      <c r="BJ147" s="7">
        <v>0</v>
      </c>
      <c r="BL147" s="8">
        <f t="shared" si="19"/>
        <v>16131818</v>
      </c>
      <c r="BN147" s="8">
        <f>'Gov Fd Rv'!AQ147-'Gov Fnd Exp'!BL147</f>
        <v>328468</v>
      </c>
      <c r="BP147" s="7">
        <v>7694018</v>
      </c>
      <c r="BR147" s="7">
        <v>0</v>
      </c>
      <c r="BT147" s="7">
        <v>0</v>
      </c>
      <c r="BV147" s="8">
        <f t="shared" si="21"/>
        <v>8022486</v>
      </c>
      <c r="BW147" s="8"/>
      <c r="BX147" s="8">
        <f>BV147-'Gov Fd BS'!AE147</f>
        <v>0</v>
      </c>
      <c r="BY147" s="8"/>
      <c r="CB147" s="101" t="str">
        <f t="shared" si="28"/>
        <v>Deer Park City SD</v>
      </c>
      <c r="CC147" s="101" t="b">
        <f t="shared" si="25"/>
        <v>1</v>
      </c>
      <c r="CD147" s="101" t="str">
        <f>'Gov Fd Rv'!A147</f>
        <v>Deer Park City SD</v>
      </c>
      <c r="CE147" s="8" t="b">
        <f t="shared" si="24"/>
        <v>1</v>
      </c>
      <c r="CG147" s="8" t="str">
        <f t="shared" si="26"/>
        <v>Hamilton</v>
      </c>
      <c r="CH147" s="8" t="b">
        <f t="shared" si="27"/>
        <v>1</v>
      </c>
      <c r="CI147" s="8" t="b">
        <f>C147='Gov Fd Rv'!C147</f>
        <v>1</v>
      </c>
    </row>
    <row r="148" spans="1:87" hidden="1">
      <c r="A148" s="12" t="s">
        <v>690</v>
      </c>
      <c r="B148" s="12"/>
      <c r="C148" s="12" t="s">
        <v>22</v>
      </c>
      <c r="D148" s="12"/>
      <c r="E148" s="12">
        <v>43869</v>
      </c>
      <c r="AL148" s="12" t="s">
        <v>690</v>
      </c>
      <c r="AM148" s="12"/>
      <c r="AN148" s="12" t="s">
        <v>22</v>
      </c>
      <c r="BB148" s="8">
        <f t="shared" si="30"/>
        <v>0</v>
      </c>
      <c r="BL148" s="8">
        <f t="shared" si="19"/>
        <v>0</v>
      </c>
      <c r="BN148" s="8">
        <f>'Gov Fd Rv'!AQ148-'Gov Fnd Exp'!BL148</f>
        <v>0</v>
      </c>
      <c r="BV148" s="8">
        <f t="shared" si="21"/>
        <v>0</v>
      </c>
      <c r="BW148" s="8"/>
      <c r="BX148" s="8">
        <f>BV148-'Gov Fd BS'!AE148</f>
        <v>0</v>
      </c>
      <c r="BY148" s="8"/>
      <c r="BZ148" s="7" t="s">
        <v>839</v>
      </c>
      <c r="CB148" s="101" t="str">
        <f t="shared" si="28"/>
        <v>Defiance City SD (CASH)</v>
      </c>
      <c r="CC148" s="101" t="b">
        <f t="shared" si="25"/>
        <v>1</v>
      </c>
      <c r="CD148" s="101" t="str">
        <f>'Gov Fd Rv'!A148</f>
        <v>Defiance City SD (CASH)</v>
      </c>
      <c r="CE148" s="8" t="b">
        <f t="shared" si="24"/>
        <v>1</v>
      </c>
      <c r="CG148" s="8" t="str">
        <f t="shared" si="26"/>
        <v>Defiance</v>
      </c>
      <c r="CH148" s="8" t="b">
        <f t="shared" si="27"/>
        <v>1</v>
      </c>
      <c r="CI148" s="8" t="b">
        <f>C148='Gov Fd Rv'!C148</f>
        <v>1</v>
      </c>
    </row>
    <row r="149" spans="1:87">
      <c r="A149" s="12" t="s">
        <v>840</v>
      </c>
      <c r="B149" s="12"/>
      <c r="C149" s="12" t="s">
        <v>23</v>
      </c>
      <c r="D149" s="12"/>
      <c r="E149" s="12"/>
      <c r="G149" s="7">
        <v>22440012</v>
      </c>
      <c r="I149" s="7">
        <v>6223816</v>
      </c>
      <c r="K149" s="7">
        <v>310320</v>
      </c>
      <c r="M149" s="7">
        <v>0</v>
      </c>
      <c r="O149" s="7">
        <f>108645+2138369</f>
        <v>2247014</v>
      </c>
      <c r="Q149" s="7">
        <v>2488683</v>
      </c>
      <c r="S149" s="7">
        <v>3131096</v>
      </c>
      <c r="U149" s="7">
        <v>163664</v>
      </c>
      <c r="W149" s="7">
        <v>2917671</v>
      </c>
      <c r="Y149" s="7">
        <v>1093959</v>
      </c>
      <c r="AA149" s="7">
        <v>372441</v>
      </c>
      <c r="AC149" s="7">
        <v>4496769</v>
      </c>
      <c r="AE149" s="7">
        <v>3122007</v>
      </c>
      <c r="AG149" s="7">
        <v>148832</v>
      </c>
      <c r="AI149" s="7">
        <v>0</v>
      </c>
      <c r="AK149" s="7">
        <v>1776700</v>
      </c>
      <c r="AL149" s="12" t="s">
        <v>840</v>
      </c>
      <c r="AM149" s="12"/>
      <c r="AN149" s="12" t="s">
        <v>23</v>
      </c>
      <c r="AP149" s="7">
        <v>1155990</v>
      </c>
      <c r="AR149" s="7">
        <v>997972</v>
      </c>
      <c r="AT149" s="7">
        <v>0</v>
      </c>
      <c r="AV149" s="7">
        <v>2328452</v>
      </c>
      <c r="AX149" s="7">
        <v>1220525</v>
      </c>
      <c r="AZ149" s="7">
        <v>0</v>
      </c>
      <c r="BB149" s="8">
        <f t="shared" si="30"/>
        <v>56635923</v>
      </c>
      <c r="BD149" s="7">
        <v>20000</v>
      </c>
      <c r="BF149" s="7">
        <v>0</v>
      </c>
      <c r="BH149" s="7">
        <v>0</v>
      </c>
      <c r="BJ149" s="7">
        <v>0</v>
      </c>
      <c r="BL149" s="8">
        <f t="shared" si="19"/>
        <v>56655923</v>
      </c>
      <c r="BN149" s="8">
        <f>'Gov Fd Rv'!AQ149-'Gov Fnd Exp'!BL149</f>
        <v>-1681150</v>
      </c>
      <c r="BP149" s="7">
        <v>9477760</v>
      </c>
      <c r="BR149" s="7">
        <v>0</v>
      </c>
      <c r="BT149" s="7">
        <v>0</v>
      </c>
      <c r="BV149" s="8">
        <f t="shared" si="21"/>
        <v>7796610</v>
      </c>
      <c r="BW149" s="8"/>
      <c r="BX149" s="8">
        <f>BV149-'Gov Fd BS'!AE149</f>
        <v>0</v>
      </c>
      <c r="BY149" s="8"/>
      <c r="CB149" s="101" t="str">
        <f t="shared" si="28"/>
        <v>Delaware City SD</v>
      </c>
      <c r="CC149" s="101" t="b">
        <f t="shared" si="25"/>
        <v>1</v>
      </c>
      <c r="CD149" s="101" t="str">
        <f>'Gov Fd Rv'!A149</f>
        <v>Delaware City SD</v>
      </c>
      <c r="CE149" s="8" t="b">
        <f t="shared" si="24"/>
        <v>1</v>
      </c>
      <c r="CG149" s="8" t="str">
        <f t="shared" si="26"/>
        <v>Delaware</v>
      </c>
      <c r="CH149" s="8" t="b">
        <f t="shared" si="27"/>
        <v>1</v>
      </c>
      <c r="CI149" s="8" t="b">
        <f>C149='Gov Fd Rv'!C149</f>
        <v>1</v>
      </c>
    </row>
    <row r="150" spans="1:87">
      <c r="A150" s="12" t="s">
        <v>202</v>
      </c>
      <c r="B150" s="12"/>
      <c r="C150" s="12" t="s">
        <v>10</v>
      </c>
      <c r="D150" s="12"/>
      <c r="E150" s="12">
        <v>43885</v>
      </c>
      <c r="G150" s="7">
        <v>4520991</v>
      </c>
      <c r="I150" s="7">
        <v>1174838</v>
      </c>
      <c r="K150" s="7">
        <v>580302</v>
      </c>
      <c r="M150" s="7">
        <v>0</v>
      </c>
      <c r="O150" s="7">
        <v>0</v>
      </c>
      <c r="Q150" s="7">
        <v>488467</v>
      </c>
      <c r="S150" s="7">
        <v>501440</v>
      </c>
      <c r="U150" s="7">
        <v>30682</v>
      </c>
      <c r="W150" s="7">
        <v>918323</v>
      </c>
      <c r="Y150" s="7">
        <v>362121</v>
      </c>
      <c r="AA150" s="7">
        <v>0</v>
      </c>
      <c r="AC150" s="7">
        <v>607358</v>
      </c>
      <c r="AE150" s="7">
        <v>481727</v>
      </c>
      <c r="AG150" s="7">
        <v>771</v>
      </c>
      <c r="AI150" s="7">
        <v>0</v>
      </c>
      <c r="AK150" s="7">
        <v>1130536</v>
      </c>
      <c r="AL150" s="12" t="s">
        <v>202</v>
      </c>
      <c r="AM150" s="12"/>
      <c r="AN150" s="12" t="s">
        <v>10</v>
      </c>
      <c r="AP150" s="7">
        <v>337948</v>
      </c>
      <c r="AR150" s="7">
        <v>120820</v>
      </c>
      <c r="AT150" s="7">
        <v>0</v>
      </c>
      <c r="AV150" s="7">
        <v>0</v>
      </c>
      <c r="AX150" s="7">
        <v>0</v>
      </c>
      <c r="AZ150" s="7">
        <v>0</v>
      </c>
      <c r="BB150" s="8">
        <f t="shared" si="30"/>
        <v>11256324</v>
      </c>
      <c r="BD150" s="7">
        <v>0</v>
      </c>
      <c r="BF150" s="7">
        <v>0</v>
      </c>
      <c r="BH150" s="7">
        <v>0</v>
      </c>
      <c r="BJ150" s="7">
        <v>0</v>
      </c>
      <c r="BL150" s="8">
        <f t="shared" ref="BL150:BL151" si="31">BB150+BD150+BJ150</f>
        <v>11256324</v>
      </c>
      <c r="BN150" s="8">
        <f>'Gov Fd Rv'!AQ150-'Gov Fnd Exp'!BL150</f>
        <v>-114381</v>
      </c>
      <c r="BP150" s="7">
        <v>534081</v>
      </c>
      <c r="BR150" s="7">
        <v>0</v>
      </c>
      <c r="BT150" s="7">
        <v>0</v>
      </c>
      <c r="BV150" s="8">
        <f t="shared" si="21"/>
        <v>419700</v>
      </c>
      <c r="BW150" s="8"/>
      <c r="BX150" s="8">
        <f>BV150-'Gov Fd BS'!AE150</f>
        <v>0</v>
      </c>
      <c r="BY150" s="8"/>
      <c r="CB150" s="101" t="str">
        <f t="shared" si="28"/>
        <v>Delphos City SD</v>
      </c>
      <c r="CC150" s="101" t="b">
        <f t="shared" si="25"/>
        <v>1</v>
      </c>
      <c r="CD150" s="101" t="str">
        <f>'Gov Fd Rv'!A150</f>
        <v>Delphos City SD</v>
      </c>
      <c r="CE150" s="8" t="b">
        <f t="shared" si="24"/>
        <v>1</v>
      </c>
      <c r="CG150" s="8" t="str">
        <f t="shared" si="26"/>
        <v>Allen</v>
      </c>
      <c r="CH150" s="8" t="b">
        <f t="shared" si="27"/>
        <v>1</v>
      </c>
      <c r="CI150" s="8" t="b">
        <f>C150='Gov Fd Rv'!C150</f>
        <v>1</v>
      </c>
    </row>
    <row r="151" spans="1:87">
      <c r="A151" s="12" t="s">
        <v>550</v>
      </c>
      <c r="B151" s="12"/>
      <c r="C151" s="12" t="s">
        <v>65</v>
      </c>
      <c r="D151" s="12"/>
      <c r="E151" s="12">
        <v>43893</v>
      </c>
      <c r="G151" s="7">
        <v>10692581</v>
      </c>
      <c r="I151" s="7">
        <v>1939280</v>
      </c>
      <c r="K151" s="7">
        <v>25266</v>
      </c>
      <c r="M151" s="7">
        <v>0</v>
      </c>
      <c r="O151" s="7">
        <f>110155+189211</f>
        <v>299366</v>
      </c>
      <c r="Q151" s="7">
        <v>1354697</v>
      </c>
      <c r="S151" s="7">
        <v>1215484</v>
      </c>
      <c r="U151" s="7">
        <v>61439</v>
      </c>
      <c r="W151" s="7">
        <v>1766257</v>
      </c>
      <c r="Y151" s="7">
        <v>684864</v>
      </c>
      <c r="AA151" s="7">
        <v>0</v>
      </c>
      <c r="AC151" s="7">
        <v>1940573</v>
      </c>
      <c r="AE151" s="7">
        <v>836664</v>
      </c>
      <c r="AG151" s="7">
        <v>0</v>
      </c>
      <c r="AI151" s="7">
        <v>800231</v>
      </c>
      <c r="AK151" s="7">
        <v>181660</v>
      </c>
      <c r="AL151" s="12" t="s">
        <v>550</v>
      </c>
      <c r="AM151" s="12"/>
      <c r="AN151" s="12" t="s">
        <v>65</v>
      </c>
      <c r="AP151" s="7">
        <v>994851</v>
      </c>
      <c r="AR151" s="7">
        <v>0</v>
      </c>
      <c r="AT151" s="7">
        <v>0</v>
      </c>
      <c r="AV151" s="7">
        <v>642087</v>
      </c>
      <c r="AX151" s="7">
        <v>117345</v>
      </c>
      <c r="AZ151" s="7">
        <v>0</v>
      </c>
      <c r="BB151" s="8">
        <f t="shared" si="30"/>
        <v>23552645</v>
      </c>
      <c r="BD151" s="7">
        <v>0</v>
      </c>
      <c r="BF151" s="7">
        <v>0</v>
      </c>
      <c r="BH151" s="7">
        <v>0</v>
      </c>
      <c r="BJ151" s="7">
        <v>0</v>
      </c>
      <c r="BL151" s="8">
        <f t="shared" si="31"/>
        <v>23552645</v>
      </c>
      <c r="BN151" s="8">
        <f>'Gov Fd Rv'!AQ151-'Gov Fnd Exp'!BL151</f>
        <v>1606850</v>
      </c>
      <c r="BP151" s="7">
        <v>6600699</v>
      </c>
      <c r="BR151" s="7">
        <v>0</v>
      </c>
      <c r="BT151" s="7">
        <v>0</v>
      </c>
      <c r="BV151" s="8">
        <f t="shared" si="21"/>
        <v>8207549</v>
      </c>
      <c r="BW151" s="8"/>
      <c r="BX151" s="8">
        <f>BV151-'Gov Fd BS'!AE151</f>
        <v>0</v>
      </c>
      <c r="BY151" s="8"/>
      <c r="CB151" s="101" t="str">
        <f t="shared" si="28"/>
        <v>Dover City SD</v>
      </c>
      <c r="CC151" s="101" t="b">
        <f t="shared" si="25"/>
        <v>1</v>
      </c>
      <c r="CD151" s="101" t="str">
        <f>'Gov Fd Rv'!A151</f>
        <v>Dover City SD</v>
      </c>
      <c r="CE151" s="8" t="b">
        <f t="shared" si="24"/>
        <v>1</v>
      </c>
      <c r="CG151" s="8" t="str">
        <f t="shared" si="26"/>
        <v>Tuscarawas</v>
      </c>
      <c r="CH151" s="8" t="b">
        <f t="shared" si="27"/>
        <v>1</v>
      </c>
      <c r="CI151" s="8" t="b">
        <f>C151='Gov Fd Rv'!C151</f>
        <v>1</v>
      </c>
    </row>
    <row r="152" spans="1:87">
      <c r="A152" s="12" t="s">
        <v>308</v>
      </c>
      <c r="B152" s="12"/>
      <c r="C152" s="12" t="s">
        <v>27</v>
      </c>
      <c r="D152" s="12"/>
      <c r="E152" s="12">
        <v>47027</v>
      </c>
      <c r="G152" s="7">
        <v>79297917</v>
      </c>
      <c r="I152" s="7">
        <v>21934515</v>
      </c>
      <c r="K152" s="7">
        <v>238026</v>
      </c>
      <c r="M152" s="7">
        <v>0</v>
      </c>
      <c r="O152" s="7">
        <v>115329</v>
      </c>
      <c r="Q152" s="7">
        <v>10310614</v>
      </c>
      <c r="S152" s="7">
        <v>14965271</v>
      </c>
      <c r="U152" s="7">
        <v>170418</v>
      </c>
      <c r="W152" s="7">
        <v>11879894</v>
      </c>
      <c r="Y152" s="7">
        <v>3674371</v>
      </c>
      <c r="AA152" s="7">
        <v>897651</v>
      </c>
      <c r="AC152" s="7">
        <v>14642312</v>
      </c>
      <c r="AE152" s="7">
        <v>7882107</v>
      </c>
      <c r="AG152" s="7">
        <v>502089</v>
      </c>
      <c r="AI152" s="7">
        <v>0</v>
      </c>
      <c r="AK152" s="7">
        <f>629081</f>
        <v>629081</v>
      </c>
      <c r="AL152" s="12" t="s">
        <v>308</v>
      </c>
      <c r="AM152" s="12"/>
      <c r="AN152" s="12" t="s">
        <v>27</v>
      </c>
      <c r="AP152" s="7">
        <v>5228098</v>
      </c>
      <c r="AR152" s="7">
        <f>287634+9349361</f>
        <v>9636995</v>
      </c>
      <c r="AT152" s="7">
        <v>0</v>
      </c>
      <c r="AV152" s="7">
        <v>33522709</v>
      </c>
      <c r="AX152" s="7">
        <v>7086204</v>
      </c>
      <c r="AZ152" s="7">
        <v>14203</v>
      </c>
      <c r="BB152" s="8">
        <f t="shared" si="30"/>
        <v>222627804</v>
      </c>
      <c r="BD152" s="7">
        <v>72921</v>
      </c>
      <c r="BF152" s="7">
        <v>0</v>
      </c>
      <c r="BH152" s="7">
        <v>0</v>
      </c>
      <c r="BJ152" s="7">
        <v>0</v>
      </c>
      <c r="BL152" s="8">
        <f>BB152+BD152+BJ152</f>
        <v>222700725</v>
      </c>
      <c r="BN152" s="8">
        <f>'Gov Fd Rv'!AQ152-'Gov Fnd Exp'!BL152</f>
        <v>1763591</v>
      </c>
      <c r="BP152" s="7">
        <v>98417531</v>
      </c>
      <c r="BR152" s="7">
        <v>11497</v>
      </c>
      <c r="BT152" s="7">
        <v>0</v>
      </c>
      <c r="BV152" s="8">
        <f t="shared" ref="BV152:BV221" si="32">BN152+BP152+BR152+BT152</f>
        <v>100192619</v>
      </c>
      <c r="BW152" s="8"/>
      <c r="BX152" s="8">
        <f>BV152-'Gov Fd BS'!AE152</f>
        <v>0</v>
      </c>
      <c r="BY152" s="8"/>
      <c r="CB152" s="101" t="str">
        <f t="shared" si="28"/>
        <v>Dublin City SD</v>
      </c>
      <c r="CC152" s="101" t="b">
        <f t="shared" si="25"/>
        <v>1</v>
      </c>
      <c r="CD152" s="101" t="str">
        <f>'Gov Fd Rv'!A152</f>
        <v>Dublin City SD</v>
      </c>
      <c r="CE152" s="8" t="b">
        <f t="shared" si="24"/>
        <v>1</v>
      </c>
      <c r="CG152" s="8" t="str">
        <f t="shared" si="26"/>
        <v>Franklin</v>
      </c>
      <c r="CH152" s="8" t="b">
        <f t="shared" si="27"/>
        <v>1</v>
      </c>
      <c r="CI152" s="8" t="b">
        <f>C152='Gov Fd Rv'!C152</f>
        <v>1</v>
      </c>
    </row>
    <row r="153" spans="1:87">
      <c r="A153" s="12" t="s">
        <v>272</v>
      </c>
      <c r="B153" s="12"/>
      <c r="C153" s="12" t="s">
        <v>20</v>
      </c>
      <c r="D153" s="12"/>
      <c r="E153" s="12">
        <v>43901</v>
      </c>
      <c r="G153" s="7">
        <v>16319713</v>
      </c>
      <c r="I153" s="7">
        <v>13124859</v>
      </c>
      <c r="K153" s="7">
        <v>1518971</v>
      </c>
      <c r="M153" s="7">
        <v>57362</v>
      </c>
      <c r="O153" s="7">
        <v>5212766</v>
      </c>
      <c r="Q153" s="7">
        <v>3877887</v>
      </c>
      <c r="S153" s="7">
        <v>4769659</v>
      </c>
      <c r="U153" s="7">
        <v>52061</v>
      </c>
      <c r="W153" s="7">
        <v>4386227</v>
      </c>
      <c r="Y153" s="7">
        <v>2674479</v>
      </c>
      <c r="AA153" s="7">
        <v>460675</v>
      </c>
      <c r="AC153" s="7">
        <v>5704923</v>
      </c>
      <c r="AE153" s="7">
        <v>1162350</v>
      </c>
      <c r="AG153" s="7">
        <v>2926315</v>
      </c>
      <c r="AI153" s="7">
        <v>1624621</v>
      </c>
      <c r="AK153" s="7">
        <v>56276</v>
      </c>
      <c r="AL153" s="12" t="s">
        <v>272</v>
      </c>
      <c r="AM153" s="12"/>
      <c r="AN153" s="12" t="s">
        <v>20</v>
      </c>
      <c r="AP153" s="7">
        <v>443589</v>
      </c>
      <c r="AR153" s="7">
        <v>312427</v>
      </c>
      <c r="AT153" s="7">
        <v>0</v>
      </c>
      <c r="AV153" s="7">
        <v>221470</v>
      </c>
      <c r="AX153" s="7">
        <f>293530+270750</f>
        <v>564280</v>
      </c>
      <c r="AZ153" s="7">
        <v>0</v>
      </c>
      <c r="BB153" s="8">
        <f t="shared" si="30"/>
        <v>65470910</v>
      </c>
      <c r="BD153" s="7">
        <v>45000</v>
      </c>
      <c r="BF153" s="7">
        <v>0</v>
      </c>
      <c r="BH153" s="7">
        <v>0</v>
      </c>
      <c r="BJ153" s="7">
        <v>0</v>
      </c>
      <c r="BL153" s="8">
        <f t="shared" ref="BL153:BL219" si="33">BB153+BD153+BJ153</f>
        <v>65515910</v>
      </c>
      <c r="BN153" s="8">
        <f>'Gov Fd Rv'!AQ153-'Gov Fnd Exp'!BL153</f>
        <v>-19265</v>
      </c>
      <c r="BP153" s="7">
        <v>38168867</v>
      </c>
      <c r="BR153" s="7">
        <v>0</v>
      </c>
      <c r="BT153" s="7">
        <v>0</v>
      </c>
      <c r="BV153" s="8">
        <f t="shared" si="32"/>
        <v>38149602</v>
      </c>
      <c r="BW153" s="8"/>
      <c r="BX153" s="8">
        <f>BV153-'Gov Fd BS'!AE153</f>
        <v>0</v>
      </c>
      <c r="BY153" s="8"/>
      <c r="BZ153" s="7" t="s">
        <v>843</v>
      </c>
      <c r="CB153" s="101" t="str">
        <f t="shared" si="28"/>
        <v>East Cleveland City SD</v>
      </c>
      <c r="CC153" s="101" t="b">
        <f t="shared" si="25"/>
        <v>1</v>
      </c>
      <c r="CD153" s="101" t="str">
        <f>'Gov Fd Rv'!A153</f>
        <v>East Cleveland City SD</v>
      </c>
      <c r="CE153" s="8" t="b">
        <f t="shared" si="24"/>
        <v>1</v>
      </c>
      <c r="CG153" s="8" t="str">
        <f t="shared" si="26"/>
        <v>Cuyahoga</v>
      </c>
      <c r="CH153" s="8" t="b">
        <f t="shared" si="27"/>
        <v>1</v>
      </c>
      <c r="CI153" s="8" t="b">
        <f>C153='Gov Fd Rv'!C153</f>
        <v>1</v>
      </c>
    </row>
    <row r="154" spans="1:87">
      <c r="A154" s="12" t="s">
        <v>250</v>
      </c>
      <c r="B154" s="12"/>
      <c r="C154" s="12" t="s">
        <v>18</v>
      </c>
      <c r="D154" s="12"/>
      <c r="E154" s="12">
        <v>46409</v>
      </c>
      <c r="G154" s="7">
        <v>5799457</v>
      </c>
      <c r="I154" s="7">
        <v>1476353</v>
      </c>
      <c r="K154" s="7">
        <v>81707</v>
      </c>
      <c r="M154" s="7">
        <v>0</v>
      </c>
      <c r="O154" s="7">
        <v>179</v>
      </c>
      <c r="Q154" s="7">
        <v>472231</v>
      </c>
      <c r="S154" s="7">
        <v>923837</v>
      </c>
      <c r="U154" s="7">
        <v>39642</v>
      </c>
      <c r="W154" s="7">
        <v>1036383</v>
      </c>
      <c r="Y154" s="7">
        <v>321672</v>
      </c>
      <c r="AA154" s="7">
        <v>4213</v>
      </c>
      <c r="AC154" s="7">
        <v>1446615</v>
      </c>
      <c r="AE154" s="7">
        <v>869572</v>
      </c>
      <c r="AG154" s="7">
        <v>122069</v>
      </c>
      <c r="AI154" s="7">
        <v>574942</v>
      </c>
      <c r="AK154" s="7">
        <v>14589</v>
      </c>
      <c r="AL154" s="12" t="s">
        <v>250</v>
      </c>
      <c r="AM154" s="12"/>
      <c r="AN154" s="12" t="s">
        <v>18</v>
      </c>
      <c r="AP154" s="7">
        <v>246928</v>
      </c>
      <c r="AR154" s="7">
        <v>0</v>
      </c>
      <c r="AT154" s="7">
        <v>0</v>
      </c>
      <c r="AV154" s="7">
        <v>295000</v>
      </c>
      <c r="AX154" s="7">
        <v>52084</v>
      </c>
      <c r="AZ154" s="7">
        <v>0</v>
      </c>
      <c r="BB154" s="8">
        <f t="shared" si="30"/>
        <v>13777473</v>
      </c>
      <c r="BD154" s="7">
        <v>19</v>
      </c>
      <c r="BF154" s="7">
        <v>0</v>
      </c>
      <c r="BH154" s="7">
        <v>0</v>
      </c>
      <c r="BJ154" s="7">
        <v>0</v>
      </c>
      <c r="BL154" s="8">
        <f t="shared" si="33"/>
        <v>13777492</v>
      </c>
      <c r="BN154" s="8">
        <f>'Gov Fd Rv'!AQ154-'Gov Fnd Exp'!BL154</f>
        <v>547071</v>
      </c>
      <c r="BP154" s="7">
        <v>2459795</v>
      </c>
      <c r="BR154" s="7">
        <v>0</v>
      </c>
      <c r="BT154" s="7">
        <v>0</v>
      </c>
      <c r="BV154" s="8">
        <f t="shared" si="32"/>
        <v>3006866</v>
      </c>
      <c r="BW154" s="8"/>
      <c r="BX154" s="8">
        <f>BV154-'Gov Fd BS'!AE154</f>
        <v>0</v>
      </c>
      <c r="BY154" s="8"/>
      <c r="CB154" s="101" t="str">
        <f t="shared" si="28"/>
        <v>East Clinton Local SD</v>
      </c>
      <c r="CC154" s="101" t="b">
        <f t="shared" si="25"/>
        <v>1</v>
      </c>
      <c r="CD154" s="101" t="str">
        <f>'Gov Fd Rv'!A154</f>
        <v>East Clinton Local SD</v>
      </c>
      <c r="CE154" s="8" t="b">
        <f t="shared" si="24"/>
        <v>1</v>
      </c>
      <c r="CG154" s="8" t="str">
        <f t="shared" si="26"/>
        <v>Clinton</v>
      </c>
      <c r="CH154" s="8" t="b">
        <f t="shared" si="27"/>
        <v>1</v>
      </c>
      <c r="CI154" s="8" t="b">
        <f>C154='Gov Fd Rv'!C154</f>
        <v>1</v>
      </c>
    </row>
    <row r="155" spans="1:87">
      <c r="A155" s="12" t="s">
        <v>328</v>
      </c>
      <c r="B155" s="12"/>
      <c r="C155" s="12" t="s">
        <v>31</v>
      </c>
      <c r="D155" s="12"/>
      <c r="E155" s="12">
        <v>69682</v>
      </c>
      <c r="G155" s="7">
        <v>4768895</v>
      </c>
      <c r="I155" s="7">
        <v>1151952</v>
      </c>
      <c r="K155" s="7">
        <v>277198</v>
      </c>
      <c r="M155" s="7">
        <v>6610</v>
      </c>
      <c r="O155" s="7">
        <v>26831</v>
      </c>
      <c r="Q155" s="7">
        <v>683253</v>
      </c>
      <c r="S155" s="7">
        <v>553709</v>
      </c>
      <c r="U155" s="7">
        <v>30589</v>
      </c>
      <c r="W155" s="7">
        <v>885290</v>
      </c>
      <c r="Y155" s="7">
        <v>331517</v>
      </c>
      <c r="AA155" s="7">
        <v>0</v>
      </c>
      <c r="AC155" s="7">
        <v>1223396</v>
      </c>
      <c r="AE155" s="7">
        <v>1041913</v>
      </c>
      <c r="AG155" s="7">
        <v>40706</v>
      </c>
      <c r="AI155" s="7">
        <v>482837</v>
      </c>
      <c r="AK155" s="7">
        <v>0</v>
      </c>
      <c r="AL155" s="12" t="s">
        <v>328</v>
      </c>
      <c r="AM155" s="12"/>
      <c r="AN155" s="12" t="s">
        <v>31</v>
      </c>
      <c r="AP155" s="7">
        <v>275234</v>
      </c>
      <c r="AR155" s="7">
        <v>1246234</v>
      </c>
      <c r="AT155" s="7">
        <v>0</v>
      </c>
      <c r="AV155" s="7">
        <v>229127</v>
      </c>
      <c r="AX155" s="7">
        <f>117663+54479+700000</f>
        <v>872142</v>
      </c>
      <c r="AZ155" s="7">
        <v>0</v>
      </c>
      <c r="BB155" s="8">
        <f t="shared" ref="BB155:BB219" si="34">SUM(G155:AZ155)</f>
        <v>14127433</v>
      </c>
      <c r="BD155" s="7">
        <v>88732</v>
      </c>
      <c r="BF155" s="7">
        <v>0</v>
      </c>
      <c r="BH155" s="7">
        <v>0</v>
      </c>
      <c r="BJ155" s="7">
        <v>1478478</v>
      </c>
      <c r="BL155" s="8">
        <f>BB155+BD155+BJ155</f>
        <v>15694643</v>
      </c>
      <c r="BN155" s="8">
        <f>'Gov Fd Rv'!AQ155-'Gov Fnd Exp'!BL155</f>
        <v>-612005</v>
      </c>
      <c r="BP155" s="7">
        <v>4730342</v>
      </c>
      <c r="BR155" s="7">
        <v>0</v>
      </c>
      <c r="BT155" s="7">
        <v>0</v>
      </c>
      <c r="BV155" s="8">
        <f t="shared" si="32"/>
        <v>4118337</v>
      </c>
      <c r="BW155" s="8"/>
      <c r="BX155" s="8">
        <f>BV155-'Gov Fd BS'!AE155</f>
        <v>0</v>
      </c>
      <c r="BY155" s="8"/>
      <c r="CB155" s="101" t="str">
        <f t="shared" si="28"/>
        <v>East Guernsey Local SD</v>
      </c>
      <c r="CC155" s="101" t="b">
        <f t="shared" si="25"/>
        <v>1</v>
      </c>
      <c r="CD155" s="101" t="str">
        <f>'Gov Fd Rv'!A155</f>
        <v>East Guernsey Local SD</v>
      </c>
      <c r="CE155" s="8" t="b">
        <f t="shared" si="24"/>
        <v>1</v>
      </c>
      <c r="CG155" s="8" t="str">
        <f t="shared" si="26"/>
        <v>Guernsey</v>
      </c>
      <c r="CH155" s="8" t="b">
        <f t="shared" si="27"/>
        <v>1</v>
      </c>
      <c r="CI155" s="8" t="b">
        <f>C155='Gov Fd Rv'!C155</f>
        <v>1</v>
      </c>
    </row>
    <row r="156" spans="1:87">
      <c r="A156" s="12" t="s">
        <v>363</v>
      </c>
      <c r="B156" s="12"/>
      <c r="C156" s="12" t="s">
        <v>36</v>
      </c>
      <c r="D156" s="12"/>
      <c r="E156" s="12">
        <v>47688</v>
      </c>
      <c r="G156" s="7">
        <v>7876730</v>
      </c>
      <c r="I156" s="7">
        <v>2240710</v>
      </c>
      <c r="K156" s="7">
        <v>406410</v>
      </c>
      <c r="M156" s="7">
        <v>0</v>
      </c>
      <c r="O156" s="7">
        <v>0</v>
      </c>
      <c r="Q156" s="7">
        <v>869773</v>
      </c>
      <c r="S156" s="7">
        <v>926027</v>
      </c>
      <c r="U156" s="7">
        <v>27526</v>
      </c>
      <c r="W156" s="7">
        <v>1689415</v>
      </c>
      <c r="Y156" s="7">
        <v>461917</v>
      </c>
      <c r="AA156" s="7">
        <v>0</v>
      </c>
      <c r="AC156" s="7">
        <v>1456072</v>
      </c>
      <c r="AE156" s="7">
        <v>1199755</v>
      </c>
      <c r="AG156" s="7">
        <v>118767</v>
      </c>
      <c r="AI156" s="7">
        <v>799919</v>
      </c>
      <c r="AK156" s="7">
        <v>0</v>
      </c>
      <c r="AL156" s="12" t="s">
        <v>363</v>
      </c>
      <c r="AM156" s="12"/>
      <c r="AN156" s="12" t="s">
        <v>36</v>
      </c>
      <c r="AP156" s="7">
        <v>413871</v>
      </c>
      <c r="AR156" s="7">
        <v>126455</v>
      </c>
      <c r="AT156" s="7">
        <v>0</v>
      </c>
      <c r="AV156" s="7">
        <v>180000</v>
      </c>
      <c r="AX156" s="7">
        <v>72998</v>
      </c>
      <c r="AZ156" s="7">
        <v>0</v>
      </c>
      <c r="BB156" s="8">
        <f t="shared" si="34"/>
        <v>18866345</v>
      </c>
      <c r="BD156" s="7">
        <v>250000</v>
      </c>
      <c r="BF156" s="7">
        <v>0</v>
      </c>
      <c r="BH156" s="7">
        <v>0</v>
      </c>
      <c r="BJ156" s="7">
        <v>0</v>
      </c>
      <c r="BL156" s="8">
        <f t="shared" si="33"/>
        <v>19116345</v>
      </c>
      <c r="BN156" s="8">
        <f>'Gov Fd Rv'!AQ156-'Gov Fnd Exp'!BL156</f>
        <v>162890</v>
      </c>
      <c r="BP156" s="7">
        <v>5258828</v>
      </c>
      <c r="BR156" s="7">
        <v>0</v>
      </c>
      <c r="BT156" s="7">
        <v>0</v>
      </c>
      <c r="BV156" s="8">
        <f t="shared" si="32"/>
        <v>5421718</v>
      </c>
      <c r="BW156" s="8"/>
      <c r="BX156" s="8">
        <f>BV156-'Gov Fd BS'!AE156</f>
        <v>0</v>
      </c>
      <c r="BY156" s="8"/>
      <c r="BZ156" s="7" t="s">
        <v>843</v>
      </c>
      <c r="CB156" s="101" t="str">
        <f t="shared" si="28"/>
        <v>East Holmes Local SD</v>
      </c>
      <c r="CC156" s="101" t="b">
        <f t="shared" si="25"/>
        <v>1</v>
      </c>
      <c r="CD156" s="101" t="str">
        <f>'Gov Fd Rv'!A156</f>
        <v>East Holmes Local SD</v>
      </c>
      <c r="CE156" s="8" t="b">
        <f t="shared" si="24"/>
        <v>1</v>
      </c>
      <c r="CG156" s="8" t="str">
        <f t="shared" si="26"/>
        <v>Holmes</v>
      </c>
      <c r="CH156" s="8" t="b">
        <f t="shared" si="27"/>
        <v>1</v>
      </c>
      <c r="CI156" s="8" t="b">
        <f>C156='Gov Fd Rv'!C156</f>
        <v>1</v>
      </c>
    </row>
    <row r="157" spans="1:87" hidden="1">
      <c r="A157" s="12" t="s">
        <v>691</v>
      </c>
      <c r="B157" s="12"/>
      <c r="C157" s="12" t="s">
        <v>40</v>
      </c>
      <c r="D157" s="12"/>
      <c r="E157" s="12"/>
      <c r="AL157" s="12" t="s">
        <v>691</v>
      </c>
      <c r="AM157" s="12"/>
      <c r="AN157" s="12" t="s">
        <v>40</v>
      </c>
      <c r="BB157" s="8">
        <f t="shared" si="34"/>
        <v>0</v>
      </c>
      <c r="BL157" s="8">
        <f t="shared" si="33"/>
        <v>0</v>
      </c>
      <c r="BN157" s="8">
        <f>'Gov Fd Rv'!AQ157-'Gov Fnd Exp'!BL157</f>
        <v>0</v>
      </c>
      <c r="BV157" s="8">
        <f t="shared" si="32"/>
        <v>0</v>
      </c>
      <c r="BW157" s="8"/>
      <c r="BX157" s="8">
        <f>BV157-'Gov Fd BS'!AE157</f>
        <v>0</v>
      </c>
      <c r="BY157" s="8"/>
      <c r="BZ157" s="7" t="s">
        <v>839</v>
      </c>
      <c r="CB157" s="101" t="str">
        <f t="shared" si="28"/>
        <v>East Knox Local SD (CASH)</v>
      </c>
      <c r="CC157" s="101" t="b">
        <f t="shared" si="25"/>
        <v>1</v>
      </c>
      <c r="CD157" s="101" t="str">
        <f>'Gov Fd Rv'!A157</f>
        <v>East Knox Local SD (CASH)</v>
      </c>
      <c r="CE157" s="8" t="b">
        <f t="shared" si="24"/>
        <v>1</v>
      </c>
      <c r="CG157" s="8" t="str">
        <f t="shared" si="26"/>
        <v>Knox</v>
      </c>
      <c r="CH157" s="8" t="b">
        <f t="shared" si="27"/>
        <v>1</v>
      </c>
      <c r="CI157" s="8" t="b">
        <f>C157='Gov Fd Rv'!C157</f>
        <v>1</v>
      </c>
    </row>
    <row r="158" spans="1:87">
      <c r="A158" s="12" t="s">
        <v>254</v>
      </c>
      <c r="B158" s="12"/>
      <c r="C158" s="12" t="s">
        <v>112</v>
      </c>
      <c r="D158" s="12"/>
      <c r="E158" s="12">
        <v>43919</v>
      </c>
      <c r="G158" s="7">
        <v>11304754</v>
      </c>
      <c r="I158" s="7">
        <v>2939328</v>
      </c>
      <c r="K158" s="7">
        <v>991127</v>
      </c>
      <c r="M158" s="7">
        <v>5888</v>
      </c>
      <c r="O158" s="7">
        <f>32453+1807621</f>
        <v>1840074</v>
      </c>
      <c r="Q158" s="7">
        <v>1036498</v>
      </c>
      <c r="S158" s="7">
        <v>1716352</v>
      </c>
      <c r="U158" s="7">
        <v>173964</v>
      </c>
      <c r="W158" s="7">
        <v>1615794</v>
      </c>
      <c r="Y158" s="7">
        <v>488227</v>
      </c>
      <c r="AA158" s="7">
        <v>8713</v>
      </c>
      <c r="AC158" s="7">
        <v>3273170</v>
      </c>
      <c r="AE158" s="7">
        <v>1023350</v>
      </c>
      <c r="AG158" s="7">
        <v>47246</v>
      </c>
      <c r="AI158" s="7">
        <v>1202820</v>
      </c>
      <c r="AK158" s="7">
        <v>93198</v>
      </c>
      <c r="AL158" s="12" t="s">
        <v>254</v>
      </c>
      <c r="AM158" s="12"/>
      <c r="AN158" s="12" t="s">
        <v>112</v>
      </c>
      <c r="AP158" s="7">
        <v>373402</v>
      </c>
      <c r="AR158" s="7">
        <v>1508071</v>
      </c>
      <c r="AT158" s="7">
        <v>0</v>
      </c>
      <c r="AV158" s="7">
        <v>120114</v>
      </c>
      <c r="AX158" s="7">
        <v>44669</v>
      </c>
      <c r="AZ158" s="7">
        <v>0</v>
      </c>
      <c r="BB158" s="8">
        <f t="shared" si="34"/>
        <v>29806759</v>
      </c>
      <c r="BD158" s="7">
        <v>603000</v>
      </c>
      <c r="BF158" s="7">
        <v>0</v>
      </c>
      <c r="BH158" s="7">
        <v>0</v>
      </c>
      <c r="BJ158" s="7">
        <v>0</v>
      </c>
      <c r="BL158" s="8">
        <f t="shared" si="33"/>
        <v>30409759</v>
      </c>
      <c r="BN158" s="8">
        <f>'Gov Fd Rv'!AQ158-'Gov Fnd Exp'!BL158</f>
        <v>811432</v>
      </c>
      <c r="BP158" s="7">
        <v>12195335</v>
      </c>
      <c r="BR158" s="7">
        <v>0</v>
      </c>
      <c r="BT158" s="7">
        <v>0</v>
      </c>
      <c r="BV158" s="8">
        <f t="shared" si="32"/>
        <v>13006767</v>
      </c>
      <c r="BW158" s="8"/>
      <c r="BX158" s="8">
        <f>BV158-'Gov Fd BS'!AE158</f>
        <v>0</v>
      </c>
      <c r="BY158" s="8"/>
      <c r="CB158" s="101" t="str">
        <f t="shared" si="28"/>
        <v>East Liverpool City SD</v>
      </c>
      <c r="CC158" s="101" t="b">
        <f t="shared" si="25"/>
        <v>1</v>
      </c>
      <c r="CD158" s="101" t="str">
        <f>'Gov Fd Rv'!A158</f>
        <v>East Liverpool City SD</v>
      </c>
      <c r="CE158" s="8" t="b">
        <f t="shared" si="24"/>
        <v>1</v>
      </c>
      <c r="CG158" s="8" t="str">
        <f t="shared" si="26"/>
        <v>Columbiana</v>
      </c>
      <c r="CH158" s="8" t="b">
        <f t="shared" si="27"/>
        <v>1</v>
      </c>
      <c r="CI158" s="8" t="b">
        <f>C158='Gov Fd Rv'!C158</f>
        <v>1</v>
      </c>
    </row>
    <row r="159" spans="1:87">
      <c r="A159" s="12" t="s">
        <v>456</v>
      </c>
      <c r="B159" s="12"/>
      <c r="C159" s="12" t="s">
        <v>51</v>
      </c>
      <c r="D159" s="12"/>
      <c r="E159" s="12">
        <v>48835</v>
      </c>
      <c r="G159" s="7">
        <v>8489740</v>
      </c>
      <c r="I159" s="7">
        <v>1702481</v>
      </c>
      <c r="K159" s="7">
        <v>299078</v>
      </c>
      <c r="M159" s="7">
        <v>0</v>
      </c>
      <c r="O159" s="7">
        <v>386670</v>
      </c>
      <c r="Q159" s="7">
        <v>416322</v>
      </c>
      <c r="S159" s="7">
        <v>1296142</v>
      </c>
      <c r="U159" s="7">
        <v>39822</v>
      </c>
      <c r="W159" s="7">
        <v>1769716</v>
      </c>
      <c r="Y159" s="7">
        <v>405303</v>
      </c>
      <c r="AA159" s="7">
        <v>0</v>
      </c>
      <c r="AC159" s="7">
        <v>1825766</v>
      </c>
      <c r="AE159" s="7">
        <v>1277190</v>
      </c>
      <c r="AG159" s="7">
        <v>184024</v>
      </c>
      <c r="AI159" s="7">
        <v>939355</v>
      </c>
      <c r="AK159" s="7">
        <v>0</v>
      </c>
      <c r="AL159" s="12" t="s">
        <v>456</v>
      </c>
      <c r="AM159" s="12"/>
      <c r="AN159" s="12" t="s">
        <v>51</v>
      </c>
      <c r="AP159" s="7">
        <v>453338</v>
      </c>
      <c r="AR159" s="7">
        <v>214152</v>
      </c>
      <c r="AT159" s="7">
        <v>0</v>
      </c>
      <c r="AV159" s="7">
        <v>140996</v>
      </c>
      <c r="AX159" s="7">
        <f>204649+280737</f>
        <v>485386</v>
      </c>
      <c r="AZ159" s="7">
        <v>0</v>
      </c>
      <c r="BB159" s="8">
        <f t="shared" si="34"/>
        <v>20325481</v>
      </c>
      <c r="BD159" s="7">
        <v>0</v>
      </c>
      <c r="BF159" s="7">
        <v>0</v>
      </c>
      <c r="BH159" s="7">
        <v>0</v>
      </c>
      <c r="BJ159" s="7">
        <v>0</v>
      </c>
      <c r="BL159" s="8">
        <f t="shared" si="33"/>
        <v>20325481</v>
      </c>
      <c r="BN159" s="8">
        <f>'Gov Fd Rv'!AQ159-'Gov Fnd Exp'!BL159</f>
        <v>1048795</v>
      </c>
      <c r="BP159" s="7">
        <v>4530075</v>
      </c>
      <c r="BR159" s="7">
        <v>0</v>
      </c>
      <c r="BT159" s="7">
        <v>0</v>
      </c>
      <c r="BV159" s="8">
        <f t="shared" si="32"/>
        <v>5578870</v>
      </c>
      <c r="BW159" s="8"/>
      <c r="BX159" s="8">
        <f>BV159-'Gov Fd BS'!AE159</f>
        <v>0</v>
      </c>
      <c r="BY159" s="8"/>
      <c r="CB159" s="101" t="str">
        <f t="shared" si="28"/>
        <v>East Muskingum Local SD</v>
      </c>
      <c r="CC159" s="101" t="b">
        <f t="shared" si="25"/>
        <v>1</v>
      </c>
      <c r="CD159" s="101" t="str">
        <f>'Gov Fd Rv'!A159</f>
        <v>East Muskingum Local SD</v>
      </c>
      <c r="CE159" s="8" t="b">
        <f t="shared" si="24"/>
        <v>1</v>
      </c>
      <c r="CG159" s="8" t="str">
        <f t="shared" si="26"/>
        <v>Muskingum</v>
      </c>
      <c r="CH159" s="8" t="b">
        <f t="shared" si="27"/>
        <v>1</v>
      </c>
      <c r="CI159" s="8" t="b">
        <f>C159='Gov Fd Rv'!C159</f>
        <v>1</v>
      </c>
    </row>
    <row r="160" spans="1:87">
      <c r="A160" s="12" t="s">
        <v>255</v>
      </c>
      <c r="B160" s="12"/>
      <c r="C160" s="12" t="s">
        <v>112</v>
      </c>
      <c r="D160" s="12"/>
      <c r="E160" s="12">
        <v>43927</v>
      </c>
      <c r="G160" s="7">
        <v>4618946</v>
      </c>
      <c r="I160" s="7">
        <v>2124039</v>
      </c>
      <c r="K160" s="7">
        <v>37976</v>
      </c>
      <c r="M160" s="7">
        <v>0</v>
      </c>
      <c r="O160" s="7">
        <v>0</v>
      </c>
      <c r="Q160" s="7">
        <v>570368</v>
      </c>
      <c r="S160" s="7">
        <v>307522</v>
      </c>
      <c r="U160" s="7">
        <v>26506</v>
      </c>
      <c r="W160" s="7">
        <v>688749</v>
      </c>
      <c r="Y160" s="7">
        <v>273666</v>
      </c>
      <c r="AA160" s="7">
        <v>672101</v>
      </c>
      <c r="AC160" s="7">
        <v>992819</v>
      </c>
      <c r="AE160" s="7">
        <v>605407</v>
      </c>
      <c r="AG160" s="7">
        <v>0</v>
      </c>
      <c r="AI160" s="7">
        <v>501773</v>
      </c>
      <c r="AK160" s="7">
        <v>28895</v>
      </c>
      <c r="AL160" s="12" t="s">
        <v>255</v>
      </c>
      <c r="AM160" s="12"/>
      <c r="AN160" s="12" t="s">
        <v>112</v>
      </c>
      <c r="AP160" s="7">
        <v>333267</v>
      </c>
      <c r="AR160" s="7">
        <v>83056</v>
      </c>
      <c r="AT160" s="7">
        <v>0</v>
      </c>
      <c r="AV160" s="7">
        <v>409868</v>
      </c>
      <c r="AX160" s="7">
        <v>110061</v>
      </c>
      <c r="AZ160" s="7">
        <v>0</v>
      </c>
      <c r="BB160" s="8">
        <f t="shared" si="34"/>
        <v>12385019</v>
      </c>
      <c r="BD160" s="7">
        <v>67363</v>
      </c>
      <c r="BF160" s="7">
        <v>0</v>
      </c>
      <c r="BH160" s="7">
        <v>0</v>
      </c>
      <c r="BJ160" s="7">
        <v>0</v>
      </c>
      <c r="BL160" s="8">
        <f t="shared" si="33"/>
        <v>12452382</v>
      </c>
      <c r="BN160" s="8">
        <f>'Gov Fd Rv'!AQ160-'Gov Fnd Exp'!BL160</f>
        <v>859813</v>
      </c>
      <c r="BP160" s="7">
        <v>-46982</v>
      </c>
      <c r="BR160" s="7">
        <v>0</v>
      </c>
      <c r="BT160" s="7">
        <v>0</v>
      </c>
      <c r="BV160" s="8">
        <f t="shared" si="32"/>
        <v>812831</v>
      </c>
      <c r="BW160" s="8"/>
      <c r="BX160" s="8">
        <f>BV160-'Gov Fd BS'!AE160</f>
        <v>0</v>
      </c>
      <c r="BY160" s="8"/>
      <c r="CB160" s="101" t="str">
        <f t="shared" si="28"/>
        <v>East Palestine City SD</v>
      </c>
      <c r="CC160" s="101" t="b">
        <f t="shared" si="25"/>
        <v>1</v>
      </c>
      <c r="CD160" s="101" t="str">
        <f>'Gov Fd Rv'!A160</f>
        <v>East Palestine City SD</v>
      </c>
      <c r="CE160" s="8" t="b">
        <f t="shared" si="24"/>
        <v>1</v>
      </c>
      <c r="CG160" s="8" t="str">
        <f t="shared" si="26"/>
        <v>Columbiana</v>
      </c>
      <c r="CH160" s="8" t="b">
        <f t="shared" si="27"/>
        <v>1</v>
      </c>
      <c r="CI160" s="8" t="b">
        <f>C160='Gov Fd Rv'!C160</f>
        <v>1</v>
      </c>
    </row>
    <row r="161" spans="1:87">
      <c r="A161" s="12" t="s">
        <v>220</v>
      </c>
      <c r="B161" s="12"/>
      <c r="C161" s="12" t="s">
        <v>77</v>
      </c>
      <c r="D161" s="12"/>
      <c r="E161" s="12">
        <v>46037</v>
      </c>
      <c r="G161" s="7">
        <v>4697903</v>
      </c>
      <c r="I161" s="7">
        <v>1547369</v>
      </c>
      <c r="K161" s="7">
        <v>171606</v>
      </c>
      <c r="M161" s="7">
        <v>0</v>
      </c>
      <c r="O161" s="7">
        <v>1113149</v>
      </c>
      <c r="Q161" s="7">
        <v>375537</v>
      </c>
      <c r="S161" s="7">
        <v>898799</v>
      </c>
      <c r="U161" s="7">
        <v>23896</v>
      </c>
      <c r="W161" s="7">
        <v>1038259</v>
      </c>
      <c r="Y161" s="7">
        <v>420303</v>
      </c>
      <c r="AA161" s="7">
        <v>0</v>
      </c>
      <c r="AC161" s="7">
        <v>1079212</v>
      </c>
      <c r="AE161" s="7">
        <v>1019786</v>
      </c>
      <c r="AG161" s="7">
        <v>36076</v>
      </c>
      <c r="AI161" s="7">
        <v>0</v>
      </c>
      <c r="AK161" s="7">
        <v>576901</v>
      </c>
      <c r="AL161" s="12" t="s">
        <v>220</v>
      </c>
      <c r="AM161" s="12"/>
      <c r="AN161" s="12" t="s">
        <v>77</v>
      </c>
      <c r="AP161" s="7">
        <v>198258</v>
      </c>
      <c r="AR161" s="7">
        <v>8753683</v>
      </c>
      <c r="AT161" s="7">
        <v>0</v>
      </c>
      <c r="AV161" s="7">
        <v>360000</v>
      </c>
      <c r="AX161" s="7">
        <v>406126</v>
      </c>
      <c r="AZ161" s="7">
        <v>0</v>
      </c>
      <c r="BB161" s="8">
        <f t="shared" si="34"/>
        <v>22716863</v>
      </c>
      <c r="BD161" s="7">
        <v>0</v>
      </c>
      <c r="BF161" s="7">
        <v>0</v>
      </c>
      <c r="BH161" s="7">
        <v>0</v>
      </c>
      <c r="BJ161" s="7">
        <v>0</v>
      </c>
      <c r="BL161" s="8">
        <f t="shared" si="33"/>
        <v>22716863</v>
      </c>
      <c r="BN161" s="8">
        <f>'Gov Fd Rv'!AQ161-'Gov Fnd Exp'!BL161</f>
        <v>-2492905</v>
      </c>
      <c r="BP161" s="7">
        <v>8414025</v>
      </c>
      <c r="BR161" s="7">
        <v>0</v>
      </c>
      <c r="BT161" s="7">
        <v>0</v>
      </c>
      <c r="BV161" s="8">
        <f t="shared" si="32"/>
        <v>5921120</v>
      </c>
      <c r="BW161" s="8"/>
      <c r="BX161" s="8">
        <f>BV161-'Gov Fd BS'!AE161</f>
        <v>0</v>
      </c>
      <c r="BY161" s="8"/>
      <c r="CB161" s="101" t="str">
        <f t="shared" si="28"/>
        <v>Eastern Local SD</v>
      </c>
      <c r="CC161" s="101" t="b">
        <f t="shared" si="25"/>
        <v>1</v>
      </c>
      <c r="CD161" s="101" t="str">
        <f>'Gov Fd Rv'!A161</f>
        <v>Eastern Local SD</v>
      </c>
      <c r="CE161" s="8" t="b">
        <f t="shared" si="24"/>
        <v>1</v>
      </c>
      <c r="CG161" s="8" t="str">
        <f t="shared" si="26"/>
        <v>Brown</v>
      </c>
      <c r="CH161" s="8" t="b">
        <f t="shared" si="27"/>
        <v>1</v>
      </c>
      <c r="CI161" s="8" t="b">
        <f>C161='Gov Fd Rv'!C161</f>
        <v>1</v>
      </c>
    </row>
    <row r="162" spans="1:87">
      <c r="A162" s="12" t="s">
        <v>220</v>
      </c>
      <c r="B162" s="12"/>
      <c r="C162" s="12" t="s">
        <v>433</v>
      </c>
      <c r="D162" s="12"/>
      <c r="E162" s="12">
        <v>48512</v>
      </c>
      <c r="G162" s="7">
        <v>3792365</v>
      </c>
      <c r="I162" s="7">
        <v>916935</v>
      </c>
      <c r="K162" s="7">
        <v>0</v>
      </c>
      <c r="M162" s="7">
        <v>0</v>
      </c>
      <c r="O162" s="7">
        <v>13131</v>
      </c>
      <c r="Q162" s="7">
        <v>472165</v>
      </c>
      <c r="S162" s="7">
        <v>392368</v>
      </c>
      <c r="U162" s="7">
        <v>33111</v>
      </c>
      <c r="W162" s="7">
        <v>556408</v>
      </c>
      <c r="Y162" s="7">
        <v>279611</v>
      </c>
      <c r="AA162" s="7">
        <v>0</v>
      </c>
      <c r="AC162" s="7">
        <v>772793</v>
      </c>
      <c r="AE162" s="7">
        <v>531588</v>
      </c>
      <c r="AG162" s="7">
        <v>100482</v>
      </c>
      <c r="AI162" s="7">
        <v>0</v>
      </c>
      <c r="AK162" s="7">
        <v>387368</v>
      </c>
      <c r="AL162" s="12" t="s">
        <v>220</v>
      </c>
      <c r="AM162" s="12"/>
      <c r="AN162" s="12" t="s">
        <v>433</v>
      </c>
      <c r="AP162" s="7">
        <v>193353</v>
      </c>
      <c r="AR162" s="7">
        <v>89319</v>
      </c>
      <c r="AT162" s="7">
        <v>0</v>
      </c>
      <c r="AV162" s="7">
        <v>65000</v>
      </c>
      <c r="AX162" s="7">
        <v>45741</v>
      </c>
      <c r="AZ162" s="7">
        <v>0</v>
      </c>
      <c r="BB162" s="8">
        <f t="shared" si="34"/>
        <v>8641738</v>
      </c>
      <c r="BD162" s="7">
        <v>0</v>
      </c>
      <c r="BF162" s="7">
        <v>0</v>
      </c>
      <c r="BH162" s="7">
        <v>0</v>
      </c>
      <c r="BJ162" s="7">
        <v>0</v>
      </c>
      <c r="BL162" s="8">
        <f t="shared" si="33"/>
        <v>8641738</v>
      </c>
      <c r="BN162" s="8">
        <f>'Gov Fd Rv'!AQ162-'Gov Fnd Exp'!BL162</f>
        <v>741377</v>
      </c>
      <c r="BP162" s="7">
        <v>482603</v>
      </c>
      <c r="BR162" s="7">
        <v>0</v>
      </c>
      <c r="BT162" s="7">
        <v>0</v>
      </c>
      <c r="BV162" s="8">
        <f t="shared" si="32"/>
        <v>1223980</v>
      </c>
      <c r="BW162" s="8"/>
      <c r="BX162" s="8">
        <f>BV162-'Gov Fd BS'!AE162</f>
        <v>0</v>
      </c>
      <c r="BY162" s="8"/>
      <c r="CB162" s="101" t="str">
        <f t="shared" si="28"/>
        <v>Eastern Local SD</v>
      </c>
      <c r="CC162" s="101" t="b">
        <f t="shared" si="25"/>
        <v>1</v>
      </c>
      <c r="CD162" s="101" t="str">
        <f>'Gov Fd Rv'!A162</f>
        <v>Eastern Local SD</v>
      </c>
      <c r="CE162" s="8" t="b">
        <f t="shared" si="24"/>
        <v>1</v>
      </c>
      <c r="CG162" s="8" t="str">
        <f t="shared" si="26"/>
        <v>Meigs</v>
      </c>
      <c r="CH162" s="8" t="b">
        <f t="shared" si="27"/>
        <v>1</v>
      </c>
      <c r="CI162" s="8" t="b">
        <f>C162='Gov Fd Rv'!C162</f>
        <v>1</v>
      </c>
    </row>
    <row r="163" spans="1:87" hidden="1">
      <c r="A163" s="12" t="s">
        <v>692</v>
      </c>
      <c r="B163" s="12"/>
      <c r="C163" s="12" t="s">
        <v>55</v>
      </c>
      <c r="D163" s="12"/>
      <c r="E163" s="12">
        <v>49122</v>
      </c>
      <c r="AL163" s="12" t="s">
        <v>692</v>
      </c>
      <c r="AM163" s="12"/>
      <c r="AN163" s="12" t="s">
        <v>55</v>
      </c>
      <c r="BB163" s="8">
        <f t="shared" si="34"/>
        <v>0</v>
      </c>
      <c r="BL163" s="8">
        <f t="shared" si="33"/>
        <v>0</v>
      </c>
      <c r="BN163" s="8">
        <f>'Gov Fd Rv'!AQ163-'Gov Fnd Exp'!BL163</f>
        <v>0</v>
      </c>
      <c r="BV163" s="8">
        <f t="shared" si="32"/>
        <v>0</v>
      </c>
      <c r="BW163" s="8"/>
      <c r="BX163" s="8">
        <f>BV163-'Gov Fd BS'!AE163</f>
        <v>0</v>
      </c>
      <c r="BY163" s="8"/>
      <c r="BZ163" s="7" t="s">
        <v>839</v>
      </c>
      <c r="CB163" s="101" t="str">
        <f t="shared" si="28"/>
        <v>Eastern Local SD (CASH)</v>
      </c>
      <c r="CC163" s="101" t="b">
        <f t="shared" si="25"/>
        <v>1</v>
      </c>
      <c r="CD163" s="101" t="str">
        <f>'Gov Fd Rv'!A163</f>
        <v>Eastern Local SD (CASH)</v>
      </c>
      <c r="CE163" s="8" t="b">
        <f t="shared" si="24"/>
        <v>1</v>
      </c>
      <c r="CG163" s="8" t="str">
        <f t="shared" si="26"/>
        <v>Pike</v>
      </c>
      <c r="CH163" s="8" t="b">
        <f t="shared" si="27"/>
        <v>1</v>
      </c>
      <c r="CI163" s="8" t="b">
        <f>C163='Gov Fd Rv'!C163</f>
        <v>1</v>
      </c>
    </row>
    <row r="164" spans="1:87">
      <c r="A164" s="12" t="s">
        <v>573</v>
      </c>
      <c r="B164" s="12"/>
      <c r="C164" s="12" t="s">
        <v>72</v>
      </c>
      <c r="D164" s="12"/>
      <c r="E164" s="12">
        <v>50674</v>
      </c>
      <c r="G164" s="7">
        <v>7273656</v>
      </c>
      <c r="I164" s="7">
        <v>1412639</v>
      </c>
      <c r="K164" s="7">
        <v>102074</v>
      </c>
      <c r="M164" s="7">
        <v>0</v>
      </c>
      <c r="O164" s="7">
        <v>0</v>
      </c>
      <c r="Q164" s="7">
        <v>390055</v>
      </c>
      <c r="S164" s="7">
        <v>496908</v>
      </c>
      <c r="U164" s="7">
        <v>71408</v>
      </c>
      <c r="W164" s="7">
        <v>1209823</v>
      </c>
      <c r="Y164" s="7">
        <v>759003</v>
      </c>
      <c r="AA164" s="7">
        <v>0</v>
      </c>
      <c r="AC164" s="7">
        <v>1637452</v>
      </c>
      <c r="AE164" s="7">
        <v>1020359</v>
      </c>
      <c r="AG164" s="7">
        <v>0</v>
      </c>
      <c r="AI164" s="7">
        <v>0</v>
      </c>
      <c r="AK164" s="7">
        <v>742002</v>
      </c>
      <c r="AL164" s="12" t="s">
        <v>573</v>
      </c>
      <c r="AM164" s="12"/>
      <c r="AN164" s="12" t="s">
        <v>72</v>
      </c>
      <c r="AP164" s="7">
        <v>702151</v>
      </c>
      <c r="AR164" s="7">
        <v>120330</v>
      </c>
      <c r="AT164" s="7">
        <v>0</v>
      </c>
      <c r="AV164" s="7">
        <v>314313</v>
      </c>
      <c r="AX164" s="7">
        <v>97426</v>
      </c>
      <c r="AZ164" s="7">
        <v>0</v>
      </c>
      <c r="BB164" s="8">
        <f t="shared" si="34"/>
        <v>16349599</v>
      </c>
      <c r="BD164" s="7">
        <v>18240</v>
      </c>
      <c r="BF164" s="7">
        <v>0</v>
      </c>
      <c r="BH164" s="7">
        <v>0</v>
      </c>
      <c r="BJ164" s="7">
        <v>0</v>
      </c>
      <c r="BL164" s="8">
        <f t="shared" si="33"/>
        <v>16367839</v>
      </c>
      <c r="BN164" s="8">
        <f>'Gov Fd Rv'!AQ164-'Gov Fnd Exp'!BL164</f>
        <v>1435762</v>
      </c>
      <c r="BP164" s="7">
        <v>7206022</v>
      </c>
      <c r="BR164" s="7">
        <v>0</v>
      </c>
      <c r="BT164" s="7">
        <v>0</v>
      </c>
      <c r="BV164" s="8">
        <f t="shared" si="32"/>
        <v>8641784</v>
      </c>
      <c r="BW164" s="8"/>
      <c r="BX164" s="8">
        <f>BV164-'Gov Fd BS'!AE164</f>
        <v>0</v>
      </c>
      <c r="BY164" s="8"/>
      <c r="BZ164" s="7" t="s">
        <v>845</v>
      </c>
      <c r="CB164" s="101" t="str">
        <f t="shared" si="28"/>
        <v>Eastwood Local SD</v>
      </c>
      <c r="CC164" s="101" t="b">
        <f t="shared" si="25"/>
        <v>1</v>
      </c>
      <c r="CD164" s="101" t="str">
        <f>'Gov Fd Rv'!A164</f>
        <v>Eastwood Local SD</v>
      </c>
      <c r="CE164" s="8" t="b">
        <f t="shared" si="24"/>
        <v>1</v>
      </c>
      <c r="CG164" s="8" t="str">
        <f t="shared" si="26"/>
        <v>Wood</v>
      </c>
      <c r="CH164" s="8" t="b">
        <f t="shared" si="27"/>
        <v>1</v>
      </c>
      <c r="CI164" s="8" t="b">
        <f>C164='Gov Fd Rv'!C164</f>
        <v>1</v>
      </c>
    </row>
    <row r="165" spans="1:87">
      <c r="A165" s="12" t="s">
        <v>712</v>
      </c>
      <c r="B165" s="12"/>
      <c r="C165" s="12" t="s">
        <v>57</v>
      </c>
      <c r="D165" s="12"/>
      <c r="E165" s="12">
        <v>43935</v>
      </c>
      <c r="G165" s="7">
        <v>11677434</v>
      </c>
      <c r="I165" s="7">
        <v>0</v>
      </c>
      <c r="K165" s="7">
        <v>0</v>
      </c>
      <c r="M165" s="7">
        <v>0</v>
      </c>
      <c r="O165" s="7">
        <v>0</v>
      </c>
      <c r="Q165" s="7">
        <v>1241499</v>
      </c>
      <c r="S165" s="7">
        <v>865205</v>
      </c>
      <c r="U165" s="7">
        <v>28191</v>
      </c>
      <c r="W165" s="7">
        <v>1617023</v>
      </c>
      <c r="Y165" s="7">
        <v>608943</v>
      </c>
      <c r="AA165" s="7">
        <v>3639</v>
      </c>
      <c r="AC165" s="7">
        <v>1973812</v>
      </c>
      <c r="AE165" s="7">
        <v>1293838</v>
      </c>
      <c r="AG165" s="7">
        <v>241093</v>
      </c>
      <c r="AI165" s="7">
        <v>0</v>
      </c>
      <c r="AK165" s="7">
        <v>0</v>
      </c>
      <c r="AL165" s="12" t="s">
        <v>712</v>
      </c>
      <c r="AM165" s="12"/>
      <c r="AN165" s="12" t="s">
        <v>57</v>
      </c>
      <c r="AP165" s="7">
        <v>689038</v>
      </c>
      <c r="AR165" s="7">
        <v>2901617</v>
      </c>
      <c r="AT165" s="7">
        <v>0</v>
      </c>
      <c r="AV165" s="7">
        <v>715000</v>
      </c>
      <c r="AX165" s="7">
        <v>1608519</v>
      </c>
      <c r="AZ165" s="7">
        <v>0</v>
      </c>
      <c r="BB165" s="8">
        <f t="shared" si="34"/>
        <v>25464851</v>
      </c>
      <c r="BD165" s="7">
        <v>0</v>
      </c>
      <c r="BF165" s="7">
        <v>0</v>
      </c>
      <c r="BH165" s="7">
        <v>0</v>
      </c>
      <c r="BJ165" s="7">
        <v>0</v>
      </c>
      <c r="BL165" s="8">
        <f t="shared" si="33"/>
        <v>25464851</v>
      </c>
      <c r="BN165" s="8">
        <f>'Gov Fd Rv'!AQ165-'Gov Fnd Exp'!BL165</f>
        <v>11863938</v>
      </c>
      <c r="BP165" s="7">
        <v>14330782</v>
      </c>
      <c r="BR165" s="7">
        <v>1089</v>
      </c>
      <c r="BT165" s="7">
        <v>0</v>
      </c>
      <c r="BV165" s="8">
        <f t="shared" si="32"/>
        <v>26195809</v>
      </c>
      <c r="BW165" s="8"/>
      <c r="BX165" s="8">
        <f>BV165-'Gov Fd BS'!AE165</f>
        <v>0</v>
      </c>
      <c r="BY165" s="8"/>
      <c r="BZ165" s="7" t="s">
        <v>846</v>
      </c>
      <c r="CB165" s="101" t="str">
        <f t="shared" si="28"/>
        <v>Eaton Community SD</v>
      </c>
      <c r="CC165" s="101" t="b">
        <f t="shared" si="25"/>
        <v>1</v>
      </c>
      <c r="CD165" s="101" t="str">
        <f>'Gov Fd Rv'!A165</f>
        <v>Eaton Community SD</v>
      </c>
      <c r="CE165" s="8" t="b">
        <f t="shared" si="24"/>
        <v>1</v>
      </c>
      <c r="CG165" s="8" t="str">
        <f t="shared" si="26"/>
        <v>Preble</v>
      </c>
      <c r="CH165" s="8" t="b">
        <f t="shared" si="27"/>
        <v>1</v>
      </c>
      <c r="CI165" s="8" t="b">
        <f>C165='Gov Fd Rv'!C165</f>
        <v>1</v>
      </c>
    </row>
    <row r="166" spans="1:87" hidden="1">
      <c r="A166" s="12" t="s">
        <v>693</v>
      </c>
      <c r="B166" s="12"/>
      <c r="C166" s="12" t="s">
        <v>570</v>
      </c>
      <c r="D166" s="12"/>
      <c r="E166" s="12">
        <v>50617</v>
      </c>
      <c r="AL166" s="12" t="s">
        <v>693</v>
      </c>
      <c r="AM166" s="12"/>
      <c r="AN166" s="12" t="s">
        <v>570</v>
      </c>
      <c r="BB166" s="8">
        <f t="shared" si="34"/>
        <v>0</v>
      </c>
      <c r="BL166" s="8">
        <f t="shared" si="33"/>
        <v>0</v>
      </c>
      <c r="BN166" s="8">
        <f>'Gov Fd Rv'!AQ166-'Gov Fnd Exp'!BL166</f>
        <v>0</v>
      </c>
      <c r="BV166" s="8">
        <f t="shared" si="32"/>
        <v>0</v>
      </c>
      <c r="BW166" s="8"/>
      <c r="BX166" s="8">
        <f>BV166-'Gov Fd BS'!AE166</f>
        <v>0</v>
      </c>
      <c r="BY166" s="8"/>
      <c r="BZ166" s="7" t="s">
        <v>839</v>
      </c>
      <c r="CB166" s="101" t="str">
        <f t="shared" si="28"/>
        <v>Edgerton Local SD (CASH)</v>
      </c>
      <c r="CC166" s="101" t="b">
        <f t="shared" si="25"/>
        <v>1</v>
      </c>
      <c r="CD166" s="101" t="str">
        <f>'Gov Fd Rv'!A166</f>
        <v>Edgerton Local SD (CASH)</v>
      </c>
      <c r="CE166" s="8" t="b">
        <f t="shared" si="24"/>
        <v>1</v>
      </c>
      <c r="CG166" s="8" t="str">
        <f t="shared" si="26"/>
        <v>Williams</v>
      </c>
      <c r="CH166" s="8" t="b">
        <f t="shared" si="27"/>
        <v>1</v>
      </c>
      <c r="CI166" s="8" t="b">
        <f>C166='Gov Fd Rv'!C166</f>
        <v>1</v>
      </c>
    </row>
    <row r="167" spans="1:87">
      <c r="A167" s="12" t="s">
        <v>694</v>
      </c>
      <c r="B167" s="12"/>
      <c r="C167" s="12" t="s">
        <v>223</v>
      </c>
      <c r="D167" s="12"/>
      <c r="E167" s="12">
        <v>46094</v>
      </c>
      <c r="G167" s="7">
        <v>14158600</v>
      </c>
      <c r="I167" s="7">
        <v>3957075</v>
      </c>
      <c r="K167" s="7">
        <v>0</v>
      </c>
      <c r="M167" s="7">
        <v>0</v>
      </c>
      <c r="O167" s="7">
        <v>51623</v>
      </c>
      <c r="Q167" s="7">
        <v>2505078</v>
      </c>
      <c r="S167" s="7">
        <v>2860200</v>
      </c>
      <c r="U167" s="7">
        <v>174231</v>
      </c>
      <c r="W167" s="7">
        <v>2062010</v>
      </c>
      <c r="Y167" s="7">
        <v>658013</v>
      </c>
      <c r="AA167" s="7">
        <v>153784</v>
      </c>
      <c r="AC167" s="7">
        <v>2628194</v>
      </c>
      <c r="AE167" s="7">
        <v>1258587</v>
      </c>
      <c r="AG167" s="7">
        <v>205887</v>
      </c>
      <c r="AI167" s="7">
        <v>1496398</v>
      </c>
      <c r="AK167" s="7">
        <v>26277</v>
      </c>
      <c r="AL167" s="12" t="s">
        <v>694</v>
      </c>
      <c r="AM167" s="12"/>
      <c r="AN167" s="12" t="s">
        <v>223</v>
      </c>
      <c r="AP167" s="7">
        <v>479090</v>
      </c>
      <c r="AR167" s="7">
        <v>16286709</v>
      </c>
      <c r="AT167" s="7">
        <v>0</v>
      </c>
      <c r="AV167" s="7">
        <v>4457968</v>
      </c>
      <c r="AX167" s="7">
        <v>2148358</v>
      </c>
      <c r="AZ167" s="7">
        <v>0</v>
      </c>
      <c r="BB167" s="8">
        <f t="shared" si="34"/>
        <v>55568082</v>
      </c>
      <c r="BD167" s="7">
        <v>0</v>
      </c>
      <c r="BF167" s="7">
        <v>0</v>
      </c>
      <c r="BH167" s="7">
        <v>0</v>
      </c>
      <c r="BJ167" s="7">
        <v>0</v>
      </c>
      <c r="BL167" s="8">
        <f t="shared" si="33"/>
        <v>55568082</v>
      </c>
      <c r="BN167" s="8">
        <f>'Gov Fd Rv'!AQ167-'Gov Fnd Exp'!BL167</f>
        <v>-8252069</v>
      </c>
      <c r="BP167" s="7">
        <v>34852116</v>
      </c>
      <c r="BR167" s="7">
        <v>4696</v>
      </c>
      <c r="BT167" s="7">
        <v>0</v>
      </c>
      <c r="BV167" s="8">
        <f t="shared" si="32"/>
        <v>26604743</v>
      </c>
      <c r="BW167" s="8"/>
      <c r="BX167" s="8">
        <f>BV167-'Gov Fd BS'!AE167</f>
        <v>0</v>
      </c>
      <c r="BY167" s="8"/>
      <c r="CB167" s="101" t="str">
        <f t="shared" si="28"/>
        <v xml:space="preserve">Edgewood City SD </v>
      </c>
      <c r="CC167" s="101" t="b">
        <f t="shared" si="25"/>
        <v>1</v>
      </c>
      <c r="CD167" s="101" t="str">
        <f>'Gov Fd Rv'!A167</f>
        <v xml:space="preserve">Edgewood City SD </v>
      </c>
      <c r="CE167" s="8" t="b">
        <f t="shared" si="24"/>
        <v>1</v>
      </c>
      <c r="CG167" s="8" t="str">
        <f t="shared" si="26"/>
        <v>Butler</v>
      </c>
      <c r="CH167" s="8" t="b">
        <f t="shared" si="27"/>
        <v>1</v>
      </c>
      <c r="CI167" s="8" t="b">
        <f>C167='Gov Fd Rv'!C167</f>
        <v>1</v>
      </c>
    </row>
    <row r="168" spans="1:87">
      <c r="A168" s="12" t="s">
        <v>372</v>
      </c>
      <c r="B168" s="12"/>
      <c r="C168" s="12" t="s">
        <v>39</v>
      </c>
      <c r="D168" s="12"/>
      <c r="E168" s="12">
        <v>47795</v>
      </c>
      <c r="G168" s="7">
        <v>7468571</v>
      </c>
      <c r="I168" s="7">
        <v>1999629</v>
      </c>
      <c r="K168" s="7">
        <v>124161</v>
      </c>
      <c r="M168" s="7">
        <v>4650</v>
      </c>
      <c r="O168" s="7">
        <v>2622540</v>
      </c>
      <c r="Q168" s="7">
        <v>813743</v>
      </c>
      <c r="S168" s="7">
        <v>1031216</v>
      </c>
      <c r="U168" s="7">
        <v>107127</v>
      </c>
      <c r="W168" s="7">
        <v>1639500</v>
      </c>
      <c r="Y168" s="7">
        <v>477958</v>
      </c>
      <c r="AA168" s="7">
        <v>92244</v>
      </c>
      <c r="AC168" s="7">
        <v>1872886</v>
      </c>
      <c r="AE168" s="7">
        <v>1482506</v>
      </c>
      <c r="AG168" s="7">
        <v>252819</v>
      </c>
      <c r="AI168" s="7">
        <v>856826</v>
      </c>
      <c r="AK168" s="7">
        <v>2252</v>
      </c>
      <c r="AL168" s="12" t="s">
        <v>372</v>
      </c>
      <c r="AM168" s="12"/>
      <c r="AN168" s="12" t="s">
        <v>39</v>
      </c>
      <c r="AP168" s="7">
        <v>396187</v>
      </c>
      <c r="AR168" s="7">
        <v>221313</v>
      </c>
      <c r="AT168" s="7">
        <v>0</v>
      </c>
      <c r="AV168" s="7">
        <v>280421</v>
      </c>
      <c r="AX168" s="7">
        <v>22427</v>
      </c>
      <c r="AZ168" s="7">
        <v>0</v>
      </c>
      <c r="BB168" s="8">
        <f t="shared" si="34"/>
        <v>21768976</v>
      </c>
      <c r="BD168" s="7">
        <v>272735</v>
      </c>
      <c r="BF168" s="7">
        <v>0</v>
      </c>
      <c r="BH168" s="7">
        <v>0</v>
      </c>
      <c r="BJ168" s="7">
        <v>0</v>
      </c>
      <c r="BL168" s="8">
        <f>BB168+BD168+BJ168</f>
        <v>22041711</v>
      </c>
      <c r="BN168" s="8">
        <f>'Gov Fd Rv'!AQ168-'Gov Fnd Exp'!BL168</f>
        <v>-285052</v>
      </c>
      <c r="BP168" s="7">
        <v>553536</v>
      </c>
      <c r="BR168" s="7">
        <v>2965</v>
      </c>
      <c r="BT168" s="7">
        <v>0</v>
      </c>
      <c r="BV168" s="8">
        <f>BN168+BP168+BR168+BT168</f>
        <v>271449</v>
      </c>
      <c r="BW168" s="8"/>
      <c r="BX168" s="8">
        <f>BV168-'Gov Fd BS'!AE168</f>
        <v>0</v>
      </c>
      <c r="BY168" s="8"/>
      <c r="BZ168" s="8"/>
      <c r="CB168" s="101" t="str">
        <f t="shared" si="28"/>
        <v>Edison Local SD</v>
      </c>
      <c r="CC168" s="101" t="b">
        <f t="shared" si="25"/>
        <v>1</v>
      </c>
      <c r="CD168" s="101" t="str">
        <f>'Gov Fd Rv'!A168</f>
        <v>Edison Local SD</v>
      </c>
      <c r="CE168" s="8" t="b">
        <f t="shared" si="24"/>
        <v>1</v>
      </c>
      <c r="CG168" s="8" t="str">
        <f t="shared" si="26"/>
        <v>Jefferson</v>
      </c>
      <c r="CH168" s="8" t="b">
        <f t="shared" si="27"/>
        <v>1</v>
      </c>
      <c r="CI168" s="8" t="b">
        <f>C168='Gov Fd Rv'!C168</f>
        <v>1</v>
      </c>
    </row>
    <row r="169" spans="1:87" hidden="1">
      <c r="A169" s="12" t="s">
        <v>847</v>
      </c>
      <c r="B169" s="12"/>
      <c r="C169" s="12" t="s">
        <v>570</v>
      </c>
      <c r="D169" s="12"/>
      <c r="E169" s="12">
        <v>50625</v>
      </c>
      <c r="AL169" s="12" t="s">
        <v>847</v>
      </c>
      <c r="AM169" s="12"/>
      <c r="AN169" s="12" t="s">
        <v>570</v>
      </c>
      <c r="BB169" s="8">
        <f t="shared" si="34"/>
        <v>0</v>
      </c>
      <c r="BL169" s="8">
        <f t="shared" si="33"/>
        <v>0</v>
      </c>
      <c r="BN169" s="8">
        <f>'Gov Fd Rv'!AQ169-'Gov Fnd Exp'!BL169</f>
        <v>0</v>
      </c>
      <c r="BV169" s="8">
        <f t="shared" si="32"/>
        <v>0</v>
      </c>
      <c r="BW169" s="8"/>
      <c r="BX169" s="8">
        <f>BV169-'Gov Fd BS'!AE169</f>
        <v>0</v>
      </c>
      <c r="BY169" s="8"/>
      <c r="BZ169" s="7" t="s">
        <v>837</v>
      </c>
      <c r="CB169" s="101" t="str">
        <f t="shared" si="28"/>
        <v>Edon-Northwest Local SD (CASH)</v>
      </c>
      <c r="CC169" s="101" t="b">
        <f t="shared" si="25"/>
        <v>1</v>
      </c>
      <c r="CD169" s="101" t="str">
        <f>'Gov Fd Rv'!A169</f>
        <v>Edon-Northwest Local SD (CASH)</v>
      </c>
      <c r="CE169" s="8" t="b">
        <f t="shared" si="24"/>
        <v>1</v>
      </c>
      <c r="CG169" s="8" t="str">
        <f t="shared" si="26"/>
        <v>Williams</v>
      </c>
      <c r="CH169" s="8" t="b">
        <f t="shared" si="27"/>
        <v>1</v>
      </c>
      <c r="CI169" s="8" t="b">
        <f>C169='Gov Fd Rv'!C169</f>
        <v>1</v>
      </c>
    </row>
    <row r="170" spans="1:87" hidden="1">
      <c r="A170" s="12" t="s">
        <v>695</v>
      </c>
      <c r="B170" s="12"/>
      <c r="C170" s="12" t="s">
        <v>10</v>
      </c>
      <c r="D170" s="12"/>
      <c r="E170" s="12"/>
      <c r="AL170" s="12" t="s">
        <v>695</v>
      </c>
      <c r="AM170" s="12"/>
      <c r="AN170" s="12" t="s">
        <v>10</v>
      </c>
      <c r="BB170" s="8">
        <f t="shared" si="34"/>
        <v>0</v>
      </c>
      <c r="BL170" s="8">
        <f t="shared" si="33"/>
        <v>0</v>
      </c>
      <c r="BN170" s="8">
        <f>'Gov Fd Rv'!AQ170-'Gov Fnd Exp'!BL170</f>
        <v>0</v>
      </c>
      <c r="BV170" s="8">
        <f t="shared" si="32"/>
        <v>0</v>
      </c>
      <c r="BW170" s="8"/>
      <c r="BX170" s="8">
        <f>BV170-'Gov Fd BS'!AE170</f>
        <v>0</v>
      </c>
      <c r="BY170" s="8"/>
      <c r="BZ170" s="7" t="s">
        <v>839</v>
      </c>
      <c r="CB170" s="101" t="str">
        <f t="shared" si="28"/>
        <v>Elida Local SD (CASH)</v>
      </c>
      <c r="CC170" s="101" t="b">
        <f t="shared" si="25"/>
        <v>1</v>
      </c>
      <c r="CD170" s="101" t="str">
        <f>'Gov Fd Rv'!A170</f>
        <v>Elida Local SD (CASH)</v>
      </c>
      <c r="CE170" s="8" t="b">
        <f t="shared" si="24"/>
        <v>1</v>
      </c>
      <c r="CG170" s="8" t="str">
        <f t="shared" si="26"/>
        <v>Allen</v>
      </c>
      <c r="CH170" s="8" t="b">
        <f t="shared" si="27"/>
        <v>1</v>
      </c>
      <c r="CI170" s="8" t="b">
        <f>C170='Gov Fd Rv'!C170</f>
        <v>1</v>
      </c>
    </row>
    <row r="171" spans="1:87">
      <c r="A171" s="12" t="s">
        <v>713</v>
      </c>
      <c r="B171" s="12"/>
      <c r="C171" s="12" t="s">
        <v>46</v>
      </c>
      <c r="D171" s="12"/>
      <c r="E171" s="12">
        <v>48413</v>
      </c>
      <c r="G171" s="7">
        <v>6061357</v>
      </c>
      <c r="I171" s="7">
        <v>1476881</v>
      </c>
      <c r="K171" s="7">
        <v>113615</v>
      </c>
      <c r="M171" s="7">
        <v>0</v>
      </c>
      <c r="O171" s="7">
        <v>0</v>
      </c>
      <c r="Q171" s="7">
        <v>767130</v>
      </c>
      <c r="S171" s="7">
        <v>418145</v>
      </c>
      <c r="U171" s="7">
        <v>48423</v>
      </c>
      <c r="W171" s="7">
        <v>1149834</v>
      </c>
      <c r="Y171" s="7">
        <v>461438</v>
      </c>
      <c r="AA171" s="7">
        <v>0</v>
      </c>
      <c r="AC171" s="7">
        <v>1098732</v>
      </c>
      <c r="AE171" s="7">
        <v>1034729</v>
      </c>
      <c r="AG171" s="7">
        <v>118220</v>
      </c>
      <c r="AI171" s="7">
        <v>0</v>
      </c>
      <c r="AK171" s="7">
        <v>611904</v>
      </c>
      <c r="AL171" s="12" t="s">
        <v>713</v>
      </c>
      <c r="AM171" s="12"/>
      <c r="AN171" s="12" t="s">
        <v>46</v>
      </c>
      <c r="AP171" s="7">
        <v>351429</v>
      </c>
      <c r="AR171" s="7">
        <v>1663310</v>
      </c>
      <c r="AT171" s="7">
        <v>0</v>
      </c>
      <c r="AV171" s="7">
        <v>700915</v>
      </c>
      <c r="AX171" s="7">
        <f>694081+297819</f>
        <v>991900</v>
      </c>
      <c r="AZ171" s="7">
        <v>0</v>
      </c>
      <c r="BB171" s="8">
        <f t="shared" ref="BB171:BB172" si="35">SUM(G171:AZ171)</f>
        <v>17067962</v>
      </c>
      <c r="BD171" s="7">
        <v>16719308</v>
      </c>
      <c r="BF171" s="7">
        <v>0</v>
      </c>
      <c r="BH171" s="7">
        <v>0</v>
      </c>
      <c r="BJ171" s="7">
        <v>0</v>
      </c>
      <c r="BL171" s="8">
        <f t="shared" ref="BL171:BL172" si="36">BB171+BD171+BJ171</f>
        <v>33787270</v>
      </c>
      <c r="BN171" s="8">
        <f>'Gov Fd Rv'!AQ171-'Gov Fnd Exp'!BL171</f>
        <v>19999795</v>
      </c>
      <c r="BP171" s="7">
        <v>3823736</v>
      </c>
      <c r="BR171" s="7">
        <v>0</v>
      </c>
      <c r="BT171" s="7">
        <v>0</v>
      </c>
      <c r="BV171" s="8">
        <f t="shared" ref="BV171:BV172" si="37">BN171+BP171+BR171+BT171</f>
        <v>23823531</v>
      </c>
      <c r="BW171" s="8"/>
      <c r="BX171" s="8">
        <f>BV171-'Gov Fd BS'!AE171</f>
        <v>0</v>
      </c>
      <c r="BY171" s="8"/>
      <c r="BZ171" s="8"/>
      <c r="CB171" s="101" t="str">
        <f t="shared" ref="CB171" si="38">A171</f>
        <v xml:space="preserve">Elgin Local SD </v>
      </c>
      <c r="CC171" s="101" t="b">
        <f t="shared" si="25"/>
        <v>1</v>
      </c>
      <c r="CD171" s="101" t="str">
        <f>'Gov Fd Rv'!A171</f>
        <v xml:space="preserve">Elgin Local SD </v>
      </c>
      <c r="CE171" s="8" t="b">
        <f t="shared" si="24"/>
        <v>1</v>
      </c>
      <c r="CG171" s="8" t="str">
        <f t="shared" si="26"/>
        <v>Marion</v>
      </c>
      <c r="CH171" s="8" t="b">
        <f t="shared" si="27"/>
        <v>1</v>
      </c>
      <c r="CI171" s="8" t="b">
        <f>C171='Gov Fd Rv'!C171</f>
        <v>1</v>
      </c>
    </row>
    <row r="172" spans="1:87" hidden="1">
      <c r="A172" s="12" t="s">
        <v>728</v>
      </c>
      <c r="B172" s="12"/>
      <c r="C172" s="12" t="s">
        <v>72</v>
      </c>
      <c r="D172" s="12"/>
      <c r="E172" s="12"/>
      <c r="AA172" s="7">
        <v>0</v>
      </c>
      <c r="AL172" s="12" t="s">
        <v>728</v>
      </c>
      <c r="AM172" s="12"/>
      <c r="AN172" s="12" t="s">
        <v>72</v>
      </c>
      <c r="BB172" s="8">
        <f t="shared" si="35"/>
        <v>0</v>
      </c>
      <c r="BL172" s="8">
        <f t="shared" si="36"/>
        <v>0</v>
      </c>
      <c r="BN172" s="8">
        <f>'Gov Fd Rv'!AQ172-'Gov Fnd Exp'!BL172</f>
        <v>0</v>
      </c>
      <c r="BV172" s="8">
        <f t="shared" si="37"/>
        <v>0</v>
      </c>
      <c r="BW172" s="8"/>
      <c r="BX172" s="8">
        <f>BV172-'Gov Fd BS'!AE172</f>
        <v>0</v>
      </c>
      <c r="BY172" s="8"/>
      <c r="BZ172" s="7" t="s">
        <v>839</v>
      </c>
      <c r="CB172" s="101" t="str">
        <f t="shared" si="28"/>
        <v>Elmwood Local SD (CASH)</v>
      </c>
      <c r="CC172" s="101" t="b">
        <f t="shared" si="25"/>
        <v>1</v>
      </c>
      <c r="CD172" s="101" t="str">
        <f>'Gov Fd Rv'!A172</f>
        <v>Elmwood Local SD (CASH)</v>
      </c>
      <c r="CE172" s="8" t="b">
        <f t="shared" si="24"/>
        <v>1</v>
      </c>
      <c r="CG172" s="8" t="str">
        <f t="shared" si="26"/>
        <v>Wood</v>
      </c>
      <c r="CH172" s="8" t="b">
        <f t="shared" si="27"/>
        <v>1</v>
      </c>
      <c r="CI172" s="8" t="b">
        <f>C172='Gov Fd Rv'!C172</f>
        <v>1</v>
      </c>
    </row>
    <row r="173" spans="1:87">
      <c r="A173" s="12" t="s">
        <v>396</v>
      </c>
      <c r="B173" s="12"/>
      <c r="C173" s="12" t="s">
        <v>44</v>
      </c>
      <c r="D173" s="12"/>
      <c r="E173" s="12">
        <v>43943</v>
      </c>
      <c r="G173" s="7">
        <v>29863714</v>
      </c>
      <c r="I173" s="7">
        <v>11054715</v>
      </c>
      <c r="K173" s="7">
        <v>234433</v>
      </c>
      <c r="M173" s="7">
        <v>0</v>
      </c>
      <c r="O173" s="7">
        <f>295731+8172429</f>
        <v>8468160</v>
      </c>
      <c r="Q173" s="7">
        <v>4375148</v>
      </c>
      <c r="S173" s="7">
        <v>5163013</v>
      </c>
      <c r="U173" s="7">
        <v>0</v>
      </c>
      <c r="W173" s="7">
        <v>5130180</v>
      </c>
      <c r="Y173" s="7">
        <v>1756369</v>
      </c>
      <c r="AA173" s="7">
        <v>620267</v>
      </c>
      <c r="AC173" s="7">
        <v>6160275</v>
      </c>
      <c r="AE173" s="7">
        <v>3118652</v>
      </c>
      <c r="AG173" s="7">
        <v>1453842</v>
      </c>
      <c r="AI173" s="7">
        <v>0</v>
      </c>
      <c r="AK173" s="7">
        <v>1824142</v>
      </c>
      <c r="AL173" s="12" t="s">
        <v>396</v>
      </c>
      <c r="AM173" s="12"/>
      <c r="AN173" s="12" t="s">
        <v>44</v>
      </c>
      <c r="AP173" s="7">
        <v>1223816</v>
      </c>
      <c r="AR173" s="7">
        <v>19876585</v>
      </c>
      <c r="AT173" s="7">
        <v>0</v>
      </c>
      <c r="AV173" s="7">
        <v>1144683</v>
      </c>
      <c r="AX173" s="7">
        <v>2273834</v>
      </c>
      <c r="AZ173" s="7">
        <v>0</v>
      </c>
      <c r="BB173" s="8">
        <f t="shared" si="34"/>
        <v>103741828</v>
      </c>
      <c r="BD173" s="7">
        <v>0</v>
      </c>
      <c r="BF173" s="7">
        <v>0</v>
      </c>
      <c r="BH173" s="7">
        <v>0</v>
      </c>
      <c r="BJ173" s="7">
        <v>0</v>
      </c>
      <c r="BL173" s="8">
        <f t="shared" si="33"/>
        <v>103741828</v>
      </c>
      <c r="BN173" s="8">
        <f>'Gov Fd Rv'!AQ173-'Gov Fnd Exp'!BL173</f>
        <v>-12916296</v>
      </c>
      <c r="BP173" s="7">
        <v>27063790</v>
      </c>
      <c r="BR173" s="7">
        <v>0</v>
      </c>
      <c r="BT173" s="7">
        <v>0</v>
      </c>
      <c r="BV173" s="8">
        <f t="shared" si="32"/>
        <v>14147494</v>
      </c>
      <c r="BW173" s="8"/>
      <c r="BX173" s="8">
        <f>BV173-'Gov Fd BS'!AE173</f>
        <v>0</v>
      </c>
      <c r="BY173" s="8"/>
      <c r="BZ173" s="8"/>
      <c r="CB173" s="101" t="str">
        <f t="shared" si="28"/>
        <v>Elyria City SD</v>
      </c>
      <c r="CC173" s="101" t="b">
        <f t="shared" si="25"/>
        <v>1</v>
      </c>
      <c r="CD173" s="101" t="str">
        <f>'Gov Fd Rv'!A173</f>
        <v>Elyria City SD</v>
      </c>
      <c r="CE173" s="8" t="b">
        <f t="shared" si="24"/>
        <v>1</v>
      </c>
      <c r="CG173" s="8" t="str">
        <f t="shared" si="26"/>
        <v>Lorain</v>
      </c>
      <c r="CH173" s="8" t="b">
        <f t="shared" si="27"/>
        <v>1</v>
      </c>
      <c r="CI173" s="8" t="b">
        <f>C173='Gov Fd Rv'!C173</f>
        <v>1</v>
      </c>
    </row>
    <row r="174" spans="1:87">
      <c r="A174" s="12" t="s">
        <v>273</v>
      </c>
      <c r="B174" s="12"/>
      <c r="C174" s="12" t="s">
        <v>20</v>
      </c>
      <c r="D174" s="12"/>
      <c r="E174" s="12">
        <v>43950</v>
      </c>
      <c r="G174" s="7">
        <v>29859520</v>
      </c>
      <c r="I174" s="7">
        <v>16149784</v>
      </c>
      <c r="K174" s="7">
        <v>1122036</v>
      </c>
      <c r="M174" s="7">
        <v>151728</v>
      </c>
      <c r="O174" s="7">
        <v>78515</v>
      </c>
      <c r="Q174" s="7">
        <v>4780133</v>
      </c>
      <c r="S174" s="7">
        <v>6810183</v>
      </c>
      <c r="U174" s="7">
        <v>54028</v>
      </c>
      <c r="W174" s="7">
        <v>5348000</v>
      </c>
      <c r="Y174" s="7">
        <v>1996702</v>
      </c>
      <c r="AA174" s="7">
        <v>702247</v>
      </c>
      <c r="AC174" s="7">
        <v>7841111</v>
      </c>
      <c r="AE174" s="7">
        <v>4919999</v>
      </c>
      <c r="AG174" s="7">
        <v>1672025</v>
      </c>
      <c r="AI174" s="7">
        <v>0</v>
      </c>
      <c r="AK174" s="7">
        <v>1095179</v>
      </c>
      <c r="AL174" s="12" t="s">
        <v>273</v>
      </c>
      <c r="AM174" s="12"/>
      <c r="AN174" s="12" t="s">
        <v>20</v>
      </c>
      <c r="AP174" s="7">
        <v>1126356</v>
      </c>
      <c r="AR174" s="7">
        <v>5345016</v>
      </c>
      <c r="AT174" s="7">
        <v>0</v>
      </c>
      <c r="AV174" s="7">
        <v>3629300</v>
      </c>
      <c r="AX174" s="7">
        <v>1783315</v>
      </c>
      <c r="AZ174" s="7">
        <v>0</v>
      </c>
      <c r="BB174" s="8">
        <f t="shared" si="34"/>
        <v>94465177</v>
      </c>
      <c r="BD174" s="7">
        <v>304732</v>
      </c>
      <c r="BF174" s="7">
        <v>0</v>
      </c>
      <c r="BH174" s="7">
        <v>0</v>
      </c>
      <c r="BJ174" s="7">
        <v>0</v>
      </c>
      <c r="BL174" s="8">
        <f t="shared" si="33"/>
        <v>94769909</v>
      </c>
      <c r="BN174" s="8">
        <f>'Gov Fd Rv'!AQ174-'Gov Fnd Exp'!BL174</f>
        <v>-949645</v>
      </c>
      <c r="BP174" s="7">
        <v>51859435</v>
      </c>
      <c r="BR174" s="7">
        <v>0</v>
      </c>
      <c r="BT174" s="7">
        <v>0</v>
      </c>
      <c r="BV174" s="8">
        <f t="shared" si="32"/>
        <v>50909790</v>
      </c>
      <c r="BW174" s="8"/>
      <c r="BX174" s="8">
        <f>BV174-'Gov Fd BS'!AE174</f>
        <v>0</v>
      </c>
      <c r="BY174" s="8"/>
      <c r="BZ174" s="8"/>
      <c r="CB174" s="101" t="str">
        <f t="shared" si="28"/>
        <v>Euclid City SD</v>
      </c>
      <c r="CC174" s="101" t="b">
        <f t="shared" si="25"/>
        <v>1</v>
      </c>
      <c r="CD174" s="101" t="str">
        <f>'Gov Fd Rv'!A174</f>
        <v>Euclid City SD</v>
      </c>
      <c r="CE174" s="8" t="b">
        <f t="shared" si="24"/>
        <v>1</v>
      </c>
      <c r="CG174" s="8" t="str">
        <f t="shared" si="26"/>
        <v>Cuyahoga</v>
      </c>
      <c r="CH174" s="8" t="b">
        <f t="shared" si="27"/>
        <v>1</v>
      </c>
      <c r="CI174" s="8" t="b">
        <f>C174='Gov Fd Rv'!C174</f>
        <v>1</v>
      </c>
    </row>
    <row r="175" spans="1:87" hidden="1">
      <c r="A175" s="12" t="s">
        <v>646</v>
      </c>
      <c r="B175" s="12"/>
      <c r="C175" s="12" t="s">
        <v>28</v>
      </c>
      <c r="D175" s="12"/>
      <c r="E175" s="12">
        <v>47050</v>
      </c>
      <c r="AL175" s="12" t="s">
        <v>646</v>
      </c>
      <c r="AM175" s="12"/>
      <c r="AN175" s="12" t="s">
        <v>28</v>
      </c>
      <c r="AZ175" s="7">
        <v>0</v>
      </c>
      <c r="BB175" s="8">
        <f t="shared" si="34"/>
        <v>0</v>
      </c>
      <c r="BL175" s="8">
        <f t="shared" si="33"/>
        <v>0</v>
      </c>
      <c r="BN175" s="8">
        <f>'Gov Fd Rv'!AQ175-'Gov Fnd Exp'!BL175</f>
        <v>0</v>
      </c>
      <c r="BV175" s="8">
        <f t="shared" si="32"/>
        <v>0</v>
      </c>
      <c r="BW175" s="8"/>
      <c r="BX175" s="8">
        <f>BV175-'Gov Fd BS'!AE175</f>
        <v>0</v>
      </c>
      <c r="BY175" s="8"/>
      <c r="BZ175" s="7" t="s">
        <v>839</v>
      </c>
      <c r="CB175" s="101" t="str">
        <f t="shared" si="28"/>
        <v>Evergreen Local SD (CASH)</v>
      </c>
      <c r="CC175" s="101" t="b">
        <f t="shared" si="25"/>
        <v>1</v>
      </c>
      <c r="CD175" s="101" t="str">
        <f>'Gov Fd Rv'!A175</f>
        <v>Evergreen Local SD (CASH)</v>
      </c>
      <c r="CE175" s="8" t="b">
        <f t="shared" si="24"/>
        <v>1</v>
      </c>
      <c r="CG175" s="8" t="str">
        <f t="shared" si="26"/>
        <v>Fulton</v>
      </c>
      <c r="CH175" s="8" t="b">
        <f t="shared" si="27"/>
        <v>1</v>
      </c>
      <c r="CI175" s="8" t="b">
        <f>C175='Gov Fd Rv'!C175</f>
        <v>1</v>
      </c>
    </row>
    <row r="176" spans="1:87">
      <c r="A176" s="12" t="s">
        <v>555</v>
      </c>
      <c r="B176" s="12"/>
      <c r="C176" s="12" t="s">
        <v>66</v>
      </c>
      <c r="D176" s="12"/>
      <c r="E176" s="12">
        <v>50328</v>
      </c>
      <c r="G176" s="7">
        <v>4762427</v>
      </c>
      <c r="I176" s="7">
        <v>968612</v>
      </c>
      <c r="K176" s="7">
        <v>40752</v>
      </c>
      <c r="M176" s="7">
        <v>0</v>
      </c>
      <c r="O176" s="7">
        <v>65298</v>
      </c>
      <c r="Q176" s="7">
        <v>680380</v>
      </c>
      <c r="S176" s="7">
        <v>404142</v>
      </c>
      <c r="U176" s="7">
        <v>63073</v>
      </c>
      <c r="W176" s="7">
        <v>930624</v>
      </c>
      <c r="Y176" s="7">
        <v>408272</v>
      </c>
      <c r="AA176" s="7">
        <v>0</v>
      </c>
      <c r="AC176" s="7">
        <v>1099273</v>
      </c>
      <c r="AE176" s="7">
        <v>803660</v>
      </c>
      <c r="AG176" s="7">
        <v>6825</v>
      </c>
      <c r="AI176" s="7">
        <v>332562</v>
      </c>
      <c r="AK176" s="7">
        <v>145288</v>
      </c>
      <c r="AL176" s="12" t="s">
        <v>555</v>
      </c>
      <c r="AM176" s="12"/>
      <c r="AN176" s="12" t="s">
        <v>66</v>
      </c>
      <c r="AP176" s="7">
        <v>304682</v>
      </c>
      <c r="AR176" s="7">
        <v>90864</v>
      </c>
      <c r="AT176" s="7">
        <v>0</v>
      </c>
      <c r="AV176" s="7">
        <v>659069</v>
      </c>
      <c r="AX176" s="7">
        <v>488742</v>
      </c>
      <c r="AZ176" s="7">
        <v>0</v>
      </c>
      <c r="BB176" s="8">
        <f t="shared" si="34"/>
        <v>12254545</v>
      </c>
      <c r="BD176" s="7">
        <v>368467</v>
      </c>
      <c r="BF176" s="7">
        <v>0</v>
      </c>
      <c r="BH176" s="7">
        <v>0</v>
      </c>
      <c r="BJ176" s="7">
        <v>0</v>
      </c>
      <c r="BL176" s="8">
        <f t="shared" si="33"/>
        <v>12623012</v>
      </c>
      <c r="BN176" s="8">
        <f>'Gov Fd Rv'!AQ176-'Gov Fnd Exp'!BL176</f>
        <v>-170373</v>
      </c>
      <c r="BP176" s="7">
        <v>3125785</v>
      </c>
      <c r="BR176" s="7">
        <v>0</v>
      </c>
      <c r="BT176" s="7">
        <v>0</v>
      </c>
      <c r="BV176" s="8">
        <f t="shared" si="32"/>
        <v>2955412</v>
      </c>
      <c r="BW176" s="8"/>
      <c r="BX176" s="8">
        <f>BV176-'Gov Fd BS'!AE176</f>
        <v>0</v>
      </c>
      <c r="BY176" s="8"/>
      <c r="BZ176" s="8"/>
      <c r="CB176" s="101" t="str">
        <f t="shared" si="28"/>
        <v>Fairbanks Local SD</v>
      </c>
      <c r="CC176" s="101" t="b">
        <f t="shared" si="25"/>
        <v>1</v>
      </c>
      <c r="CD176" s="101" t="str">
        <f>'Gov Fd Rv'!A176</f>
        <v>Fairbanks Local SD</v>
      </c>
      <c r="CE176" s="8" t="b">
        <f t="shared" si="24"/>
        <v>1</v>
      </c>
      <c r="CG176" s="8" t="str">
        <f t="shared" si="26"/>
        <v>Union</v>
      </c>
      <c r="CH176" s="8" t="b">
        <f t="shared" si="27"/>
        <v>1</v>
      </c>
      <c r="CI176" s="8" t="b">
        <f>C176='Gov Fd Rv'!C176</f>
        <v>1</v>
      </c>
    </row>
    <row r="177" spans="1:87">
      <c r="A177" s="12" t="s">
        <v>653</v>
      </c>
      <c r="B177" s="12"/>
      <c r="C177" s="12" t="s">
        <v>114</v>
      </c>
      <c r="D177" s="12"/>
      <c r="E177" s="12">
        <v>50328</v>
      </c>
      <c r="G177" s="7">
        <v>18400378</v>
      </c>
      <c r="I177" s="7">
        <v>7875363</v>
      </c>
      <c r="K177" s="7">
        <v>0</v>
      </c>
      <c r="M177" s="7">
        <v>0</v>
      </c>
      <c r="O177" s="7">
        <v>3284479</v>
      </c>
      <c r="Q177" s="7">
        <v>3169393</v>
      </c>
      <c r="S177" s="7">
        <v>2403786</v>
      </c>
      <c r="U177" s="7">
        <v>68524</v>
      </c>
      <c r="W177" s="7">
        <v>3183857</v>
      </c>
      <c r="Y177" s="7">
        <v>864251</v>
      </c>
      <c r="AA177" s="7">
        <v>232685</v>
      </c>
      <c r="AC177" s="7">
        <v>3725907</v>
      </c>
      <c r="AE177" s="7">
        <v>2250011</v>
      </c>
      <c r="AG177" s="7">
        <v>448006</v>
      </c>
      <c r="AI177" s="7">
        <v>0</v>
      </c>
      <c r="AK177" s="7">
        <v>1610688</v>
      </c>
      <c r="AL177" s="12" t="s">
        <v>653</v>
      </c>
      <c r="AM177" s="12"/>
      <c r="AN177" s="12" t="s">
        <v>114</v>
      </c>
      <c r="AP177" s="7">
        <v>759851</v>
      </c>
      <c r="AR177" s="7">
        <v>147993</v>
      </c>
      <c r="AT177" s="7">
        <v>0</v>
      </c>
      <c r="AV177" s="7">
        <v>890000</v>
      </c>
      <c r="AX177" s="7">
        <v>750305</v>
      </c>
      <c r="AZ177" s="7">
        <v>0</v>
      </c>
      <c r="BB177" s="8">
        <f t="shared" si="34"/>
        <v>50065477</v>
      </c>
      <c r="BD177" s="7">
        <v>243875</v>
      </c>
      <c r="BF177" s="7">
        <v>0</v>
      </c>
      <c r="BH177" s="7">
        <v>0</v>
      </c>
      <c r="BJ177" s="7">
        <v>0</v>
      </c>
      <c r="BL177" s="8">
        <f t="shared" si="33"/>
        <v>50309352</v>
      </c>
      <c r="BN177" s="8">
        <f>'Gov Fd Rv'!AQ177-'Gov Fnd Exp'!BL177</f>
        <v>236436</v>
      </c>
      <c r="BP177" s="7">
        <v>5098321</v>
      </c>
      <c r="BR177" s="7">
        <v>0</v>
      </c>
      <c r="BT177" s="7">
        <v>0</v>
      </c>
      <c r="BV177" s="8">
        <f t="shared" si="32"/>
        <v>5334757</v>
      </c>
      <c r="BW177" s="8"/>
      <c r="BX177" s="8">
        <f>BV177-'Gov Fd BS'!AE177</f>
        <v>0</v>
      </c>
      <c r="BY177" s="8"/>
      <c r="BZ177" s="8"/>
      <c r="CB177" s="101" t="str">
        <f t="shared" si="28"/>
        <v>Fairborn City SD</v>
      </c>
      <c r="CC177" s="101" t="b">
        <f t="shared" si="25"/>
        <v>1</v>
      </c>
      <c r="CD177" s="101" t="str">
        <f>'Gov Fd Rv'!A177</f>
        <v>Fairborn City SD</v>
      </c>
      <c r="CE177" s="8" t="b">
        <f t="shared" si="24"/>
        <v>1</v>
      </c>
      <c r="CG177" s="8" t="str">
        <f t="shared" si="26"/>
        <v>Greene</v>
      </c>
      <c r="CH177" s="8" t="b">
        <f t="shared" si="27"/>
        <v>1</v>
      </c>
      <c r="CI177" s="8" t="b">
        <f>C177='Gov Fd Rv'!C177</f>
        <v>1</v>
      </c>
    </row>
    <row r="178" spans="1:87">
      <c r="A178" s="12" t="s">
        <v>224</v>
      </c>
      <c r="B178" s="12"/>
      <c r="C178" s="12" t="s">
        <v>223</v>
      </c>
      <c r="D178" s="12"/>
      <c r="E178" s="12">
        <v>46102</v>
      </c>
      <c r="G178" s="7">
        <v>35908992</v>
      </c>
      <c r="I178" s="7">
        <v>10870415</v>
      </c>
      <c r="K178" s="7">
        <v>0</v>
      </c>
      <c r="M178" s="7">
        <v>0</v>
      </c>
      <c r="O178" s="7">
        <v>2362636</v>
      </c>
      <c r="Q178" s="7">
        <v>3909328</v>
      </c>
      <c r="S178" s="7">
        <v>6501453</v>
      </c>
      <c r="U178" s="7">
        <v>19095</v>
      </c>
      <c r="W178" s="7">
        <v>6374612</v>
      </c>
      <c r="Y178" s="7">
        <v>1222122</v>
      </c>
      <c r="AA178" s="7">
        <v>315651</v>
      </c>
      <c r="AC178" s="7">
        <v>6124617</v>
      </c>
      <c r="AE178" s="7">
        <v>6861904</v>
      </c>
      <c r="AG178" s="7">
        <v>126922</v>
      </c>
      <c r="AI178" s="7">
        <v>0</v>
      </c>
      <c r="AK178" s="7">
        <v>5141810</v>
      </c>
      <c r="AL178" s="12" t="s">
        <v>224</v>
      </c>
      <c r="AM178" s="12"/>
      <c r="AN178" s="12" t="s">
        <v>223</v>
      </c>
      <c r="AP178" s="7">
        <v>1500230</v>
      </c>
      <c r="AR178" s="7">
        <v>2293193</v>
      </c>
      <c r="AT178" s="7">
        <v>0</v>
      </c>
      <c r="AV178" s="7">
        <v>2460599</v>
      </c>
      <c r="AX178" s="7">
        <f>1437894+71500</f>
        <v>1509394</v>
      </c>
      <c r="AZ178" s="7">
        <v>0</v>
      </c>
      <c r="BB178" s="8">
        <f t="shared" si="34"/>
        <v>93502973</v>
      </c>
      <c r="BD178" s="7">
        <v>0</v>
      </c>
      <c r="BF178" s="7">
        <v>0</v>
      </c>
      <c r="BH178" s="7">
        <v>0</v>
      </c>
      <c r="BJ178" s="7">
        <v>0</v>
      </c>
      <c r="BL178" s="8">
        <f t="shared" si="33"/>
        <v>93502973</v>
      </c>
      <c r="BN178" s="8">
        <f>'Gov Fd Rv'!AQ178-'Gov Fnd Exp'!BL178</f>
        <v>-235930</v>
      </c>
      <c r="BP178" s="7">
        <v>7573574</v>
      </c>
      <c r="BR178" s="7">
        <v>0</v>
      </c>
      <c r="BT178" s="7">
        <v>0</v>
      </c>
      <c r="BV178" s="8">
        <f t="shared" si="32"/>
        <v>7337644</v>
      </c>
      <c r="BW178" s="8"/>
      <c r="BX178" s="8">
        <f>BV178-'Gov Fd BS'!AE178</f>
        <v>0</v>
      </c>
      <c r="BY178" s="8"/>
      <c r="BZ178" s="8"/>
      <c r="CB178" s="101" t="str">
        <f t="shared" si="28"/>
        <v>Fairfield City SD</v>
      </c>
      <c r="CC178" s="101" t="b">
        <f t="shared" si="25"/>
        <v>1</v>
      </c>
      <c r="CD178" s="101" t="str">
        <f>'Gov Fd Rv'!A178</f>
        <v>Fairfield City SD</v>
      </c>
      <c r="CE178" s="8" t="b">
        <f t="shared" si="24"/>
        <v>1</v>
      </c>
      <c r="CG178" s="8" t="str">
        <f t="shared" si="26"/>
        <v>Butler</v>
      </c>
      <c r="CH178" s="8" t="b">
        <f t="shared" si="27"/>
        <v>1</v>
      </c>
      <c r="CI178" s="8" t="b">
        <f>C178='Gov Fd Rv'!C178</f>
        <v>1</v>
      </c>
    </row>
    <row r="179" spans="1:87">
      <c r="A179" s="12" t="s">
        <v>359</v>
      </c>
      <c r="B179" s="12"/>
      <c r="C179" s="12" t="s">
        <v>358</v>
      </c>
      <c r="D179" s="12"/>
      <c r="E179" s="12">
        <v>47621</v>
      </c>
      <c r="G179" s="7">
        <v>3728277</v>
      </c>
      <c r="I179" s="7">
        <v>390632</v>
      </c>
      <c r="K179" s="7">
        <v>186943</v>
      </c>
      <c r="M179" s="7">
        <v>0</v>
      </c>
      <c r="O179" s="7">
        <v>1092</v>
      </c>
      <c r="Q179" s="7">
        <v>282513</v>
      </c>
      <c r="S179" s="7">
        <v>702708</v>
      </c>
      <c r="U179" s="7">
        <v>40874</v>
      </c>
      <c r="W179" s="7">
        <v>572162</v>
      </c>
      <c r="Y179" s="7">
        <v>301992</v>
      </c>
      <c r="AA179" s="7">
        <v>24811</v>
      </c>
      <c r="AC179" s="7">
        <v>498973</v>
      </c>
      <c r="AE179" s="7">
        <v>396720</v>
      </c>
      <c r="AG179" s="7">
        <v>140712</v>
      </c>
      <c r="AI179" s="7">
        <v>298321</v>
      </c>
      <c r="AK179" s="7">
        <v>0</v>
      </c>
      <c r="AL179" s="12" t="s">
        <v>359</v>
      </c>
      <c r="AM179" s="12"/>
      <c r="AN179" s="12" t="s">
        <v>358</v>
      </c>
      <c r="AP179" s="7">
        <v>178954</v>
      </c>
      <c r="AR179" s="7">
        <v>0</v>
      </c>
      <c r="AT179" s="7">
        <v>0</v>
      </c>
      <c r="AV179" s="7">
        <v>115000</v>
      </c>
      <c r="AX179" s="7">
        <v>60987</v>
      </c>
      <c r="AZ179" s="7">
        <v>0</v>
      </c>
      <c r="BB179" s="8">
        <f t="shared" si="34"/>
        <v>7921671</v>
      </c>
      <c r="BD179" s="7">
        <v>0</v>
      </c>
      <c r="BF179" s="7">
        <v>0</v>
      </c>
      <c r="BH179" s="7">
        <v>0</v>
      </c>
      <c r="BJ179" s="7">
        <v>0</v>
      </c>
      <c r="BL179" s="8">
        <f t="shared" si="33"/>
        <v>7921671</v>
      </c>
      <c r="BN179" s="8">
        <f>'Gov Fd Rv'!AQ179-'Gov Fnd Exp'!BL179</f>
        <v>572203</v>
      </c>
      <c r="BP179" s="7">
        <v>1655207</v>
      </c>
      <c r="BR179" s="7">
        <v>0</v>
      </c>
      <c r="BT179" s="7">
        <v>0</v>
      </c>
      <c r="BV179" s="8">
        <f t="shared" si="32"/>
        <v>2227410</v>
      </c>
      <c r="BW179" s="8"/>
      <c r="BX179" s="8">
        <f>BV179-'Gov Fd BS'!AE179</f>
        <v>0</v>
      </c>
      <c r="BY179" s="8"/>
      <c r="BZ179" s="8"/>
      <c r="CB179" s="101" t="str">
        <f t="shared" si="28"/>
        <v>Fairfield Local SD</v>
      </c>
      <c r="CC179" s="101" t="b">
        <f t="shared" si="25"/>
        <v>1</v>
      </c>
      <c r="CD179" s="101" t="str">
        <f>'Gov Fd Rv'!A179</f>
        <v>Fairfield Local SD</v>
      </c>
      <c r="CE179" s="8" t="b">
        <f t="shared" si="24"/>
        <v>1</v>
      </c>
      <c r="CG179" s="8" t="str">
        <f t="shared" si="26"/>
        <v>Highland</v>
      </c>
      <c r="CH179" s="8" t="b">
        <f t="shared" si="27"/>
        <v>1</v>
      </c>
      <c r="CI179" s="8" t="b">
        <f>C179='Gov Fd Rv'!C179</f>
        <v>1</v>
      </c>
    </row>
    <row r="180" spans="1:87">
      <c r="A180" s="12" t="s">
        <v>300</v>
      </c>
      <c r="B180" s="12"/>
      <c r="C180" s="12" t="s">
        <v>25</v>
      </c>
      <c r="D180" s="12"/>
      <c r="E180" s="12">
        <v>46870</v>
      </c>
      <c r="G180" s="7">
        <v>8324625</v>
      </c>
      <c r="I180" s="7">
        <v>2003876</v>
      </c>
      <c r="K180" s="7">
        <v>380741</v>
      </c>
      <c r="M180" s="7">
        <v>0</v>
      </c>
      <c r="O180" s="7">
        <v>303597</v>
      </c>
      <c r="Q180" s="7">
        <v>1244358</v>
      </c>
      <c r="S180" s="7">
        <v>801392</v>
      </c>
      <c r="U180" s="7">
        <v>42973</v>
      </c>
      <c r="W180" s="7">
        <v>1366452</v>
      </c>
      <c r="Y180" s="7">
        <v>591395</v>
      </c>
      <c r="AA180" s="7">
        <v>0</v>
      </c>
      <c r="AC180" s="7">
        <v>1490873</v>
      </c>
      <c r="AE180" s="7">
        <v>1267972</v>
      </c>
      <c r="AG180" s="7">
        <v>104283</v>
      </c>
      <c r="AI180" s="7">
        <v>841246</v>
      </c>
      <c r="AK180" s="7">
        <v>4310</v>
      </c>
      <c r="AL180" s="12" t="s">
        <v>300</v>
      </c>
      <c r="AM180" s="12"/>
      <c r="AN180" s="12" t="s">
        <v>25</v>
      </c>
      <c r="AP180" s="7">
        <v>617804</v>
      </c>
      <c r="AR180" s="7">
        <v>8129467</v>
      </c>
      <c r="AT180" s="7">
        <v>0</v>
      </c>
      <c r="AV180" s="7">
        <v>573027</v>
      </c>
      <c r="AX180" s="7">
        <v>1151936</v>
      </c>
      <c r="AZ180" s="7">
        <v>0</v>
      </c>
      <c r="BB180" s="8">
        <f t="shared" si="34"/>
        <v>29240327</v>
      </c>
      <c r="BD180" s="7">
        <v>1578525</v>
      </c>
      <c r="BF180" s="7">
        <v>0</v>
      </c>
      <c r="BH180" s="7">
        <v>0</v>
      </c>
      <c r="BJ180" s="7">
        <v>0</v>
      </c>
      <c r="BL180" s="8">
        <f t="shared" si="33"/>
        <v>30818852</v>
      </c>
      <c r="BN180" s="8">
        <f>'Gov Fd Rv'!AQ180-'Gov Fnd Exp'!BL180</f>
        <v>-5194200</v>
      </c>
      <c r="BP180" s="7">
        <v>24693954</v>
      </c>
      <c r="BR180" s="7">
        <v>0</v>
      </c>
      <c r="BT180" s="7">
        <v>0</v>
      </c>
      <c r="BV180" s="8">
        <f t="shared" si="32"/>
        <v>19499754</v>
      </c>
      <c r="BW180" s="8"/>
      <c r="BX180" s="8">
        <f>BV180-'Gov Fd BS'!AE180</f>
        <v>0</v>
      </c>
      <c r="BY180" s="8"/>
      <c r="BZ180" s="8"/>
      <c r="CB180" s="101" t="str">
        <f t="shared" si="28"/>
        <v>Fairfield Union Local SD</v>
      </c>
      <c r="CC180" s="101" t="b">
        <f t="shared" si="25"/>
        <v>1</v>
      </c>
      <c r="CD180" s="101" t="str">
        <f>'Gov Fd Rv'!A180</f>
        <v>Fairfield Union Local SD</v>
      </c>
      <c r="CE180" s="8" t="b">
        <f t="shared" si="24"/>
        <v>1</v>
      </c>
      <c r="CG180" s="8" t="str">
        <f t="shared" si="26"/>
        <v>Fairfield</v>
      </c>
      <c r="CH180" s="8" t="b">
        <f t="shared" si="27"/>
        <v>1</v>
      </c>
      <c r="CI180" s="8" t="b">
        <f>C180='Gov Fd Rv'!C180</f>
        <v>1</v>
      </c>
    </row>
    <row r="181" spans="1:87" s="32" customFormat="1">
      <c r="A181" s="31" t="s">
        <v>379</v>
      </c>
      <c r="B181" s="31"/>
      <c r="C181" s="31" t="s">
        <v>377</v>
      </c>
      <c r="D181" s="31"/>
      <c r="E181" s="31">
        <v>47936</v>
      </c>
      <c r="G181" s="32">
        <v>6579161</v>
      </c>
      <c r="I181" s="32">
        <v>2169419</v>
      </c>
      <c r="K181" s="32">
        <v>72700</v>
      </c>
      <c r="M181" s="32">
        <v>0</v>
      </c>
      <c r="O181" s="32">
        <f>20639+76643</f>
        <v>97282</v>
      </c>
      <c r="Q181" s="32">
        <v>452959</v>
      </c>
      <c r="S181" s="32">
        <v>822416</v>
      </c>
      <c r="U181" s="32">
        <v>157141</v>
      </c>
      <c r="W181" s="32">
        <v>1363496</v>
      </c>
      <c r="Y181" s="32">
        <v>389506</v>
      </c>
      <c r="AA181" s="32">
        <v>1269</v>
      </c>
      <c r="AC181" s="32">
        <v>2091755</v>
      </c>
      <c r="AE181" s="32">
        <v>819267</v>
      </c>
      <c r="AG181" s="32">
        <v>904</v>
      </c>
      <c r="AI181" s="32">
        <v>0</v>
      </c>
      <c r="AK181" s="32">
        <v>678588</v>
      </c>
      <c r="AL181" s="31" t="s">
        <v>379</v>
      </c>
      <c r="AM181" s="31"/>
      <c r="AN181" s="31" t="s">
        <v>377</v>
      </c>
      <c r="AP181" s="32">
        <v>273088</v>
      </c>
      <c r="AR181" s="32">
        <v>0</v>
      </c>
      <c r="AT181" s="32">
        <v>0</v>
      </c>
      <c r="AV181" s="32">
        <v>160000</v>
      </c>
      <c r="AX181" s="32">
        <v>134080</v>
      </c>
      <c r="AZ181" s="32">
        <v>0</v>
      </c>
      <c r="BB181" s="36">
        <f t="shared" si="34"/>
        <v>16263031</v>
      </c>
      <c r="BD181" s="32">
        <v>15972</v>
      </c>
      <c r="BF181" s="32">
        <v>0</v>
      </c>
      <c r="BH181" s="32">
        <v>0</v>
      </c>
      <c r="BJ181" s="32">
        <v>0</v>
      </c>
      <c r="BL181" s="36">
        <f t="shared" si="33"/>
        <v>16279003</v>
      </c>
      <c r="BN181" s="36">
        <f>'Gov Fd Rv'!AQ181-'Gov Fnd Exp'!BL181</f>
        <v>118165</v>
      </c>
      <c r="BP181" s="32">
        <v>5418015</v>
      </c>
      <c r="BR181" s="32">
        <v>0</v>
      </c>
      <c r="BT181" s="32">
        <v>0</v>
      </c>
      <c r="BV181" s="36">
        <f t="shared" si="32"/>
        <v>5536180</v>
      </c>
      <c r="BW181" s="36"/>
      <c r="BX181" s="36">
        <f>BV181-'Gov Fd BS'!AE181</f>
        <v>0</v>
      </c>
      <c r="BY181" s="36"/>
      <c r="BZ181" s="36"/>
      <c r="CB181" s="106" t="str">
        <f t="shared" si="28"/>
        <v>Fairland Local SD</v>
      </c>
      <c r="CC181" s="106" t="b">
        <f t="shared" si="25"/>
        <v>1</v>
      </c>
      <c r="CD181" s="106" t="str">
        <f>'Gov Fd Rv'!A181</f>
        <v>Fairland Local SD</v>
      </c>
      <c r="CE181" s="36" t="b">
        <f t="shared" si="24"/>
        <v>1</v>
      </c>
      <c r="CG181" s="36" t="str">
        <f t="shared" si="26"/>
        <v>Lawrence</v>
      </c>
      <c r="CH181" s="36" t="b">
        <f t="shared" si="27"/>
        <v>1</v>
      </c>
      <c r="CI181" s="36" t="b">
        <f>C181='Gov Fd Rv'!C181</f>
        <v>1</v>
      </c>
    </row>
    <row r="182" spans="1:87" ht="12" hidden="1" customHeight="1">
      <c r="A182" s="12" t="s">
        <v>647</v>
      </c>
      <c r="B182" s="12"/>
      <c r="C182" s="12" t="s">
        <v>61</v>
      </c>
      <c r="D182" s="12"/>
      <c r="E182" s="12">
        <v>49775</v>
      </c>
      <c r="AL182" s="12" t="s">
        <v>647</v>
      </c>
      <c r="AM182" s="12"/>
      <c r="AN182" s="12" t="s">
        <v>61</v>
      </c>
      <c r="BB182" s="8">
        <f t="shared" si="34"/>
        <v>0</v>
      </c>
      <c r="BL182" s="8">
        <f t="shared" si="33"/>
        <v>0</v>
      </c>
      <c r="BN182" s="8">
        <f>'Gov Fd Rv'!AQ182-'Gov Fnd Exp'!BL182</f>
        <v>0</v>
      </c>
      <c r="BV182" s="8">
        <f t="shared" si="32"/>
        <v>0</v>
      </c>
      <c r="BW182" s="8"/>
      <c r="BX182" s="8">
        <f>BV182-'Gov Fd BS'!AE182</f>
        <v>0</v>
      </c>
      <c r="BY182" s="8"/>
      <c r="BZ182" s="7" t="s">
        <v>839</v>
      </c>
      <c r="CB182" s="101" t="str">
        <f t="shared" si="28"/>
        <v>Fairlawn Local SD (CASH)</v>
      </c>
      <c r="CC182" s="101" t="b">
        <f t="shared" si="25"/>
        <v>1</v>
      </c>
      <c r="CD182" s="101" t="str">
        <f>'Gov Fd Rv'!A182</f>
        <v>Fairlawn Local SD (CASH)</v>
      </c>
      <c r="CE182" s="8" t="b">
        <f t="shared" si="24"/>
        <v>1</v>
      </c>
      <c r="CG182" s="8" t="str">
        <f t="shared" si="26"/>
        <v>Shelby</v>
      </c>
      <c r="CH182" s="8" t="b">
        <f t="shared" si="27"/>
        <v>1</v>
      </c>
      <c r="CI182" s="8" t="b">
        <f>C182='Gov Fd Rv'!C182</f>
        <v>1</v>
      </c>
    </row>
    <row r="183" spans="1:87">
      <c r="A183" s="12" t="s">
        <v>511</v>
      </c>
      <c r="B183" s="12"/>
      <c r="C183" s="12" t="s">
        <v>62</v>
      </c>
      <c r="D183" s="12"/>
      <c r="E183" s="12">
        <v>49841</v>
      </c>
      <c r="G183" s="7">
        <v>7120912</v>
      </c>
      <c r="I183" s="7">
        <v>2200099</v>
      </c>
      <c r="K183" s="7">
        <v>298936</v>
      </c>
      <c r="M183" s="7">
        <v>0</v>
      </c>
      <c r="O183" s="7">
        <v>288033</v>
      </c>
      <c r="Q183" s="7">
        <v>1045236</v>
      </c>
      <c r="S183" s="7">
        <v>548851</v>
      </c>
      <c r="U183" s="7">
        <v>16210</v>
      </c>
      <c r="W183" s="7">
        <v>1605218</v>
      </c>
      <c r="Y183" s="7">
        <v>419655</v>
      </c>
      <c r="AA183" s="7">
        <v>0</v>
      </c>
      <c r="AC183" s="7">
        <v>1512937</v>
      </c>
      <c r="AE183" s="7">
        <v>984465</v>
      </c>
      <c r="AG183" s="7">
        <v>34732</v>
      </c>
      <c r="AI183" s="7">
        <v>723606</v>
      </c>
      <c r="AK183" s="7">
        <v>31905</v>
      </c>
      <c r="AL183" s="12" t="s">
        <v>511</v>
      </c>
      <c r="AM183" s="12"/>
      <c r="AN183" s="12" t="s">
        <v>62</v>
      </c>
      <c r="AP183" s="7">
        <v>413885</v>
      </c>
      <c r="AR183" s="7">
        <v>80093</v>
      </c>
      <c r="AT183" s="7">
        <v>0</v>
      </c>
      <c r="AV183" s="7">
        <v>330000</v>
      </c>
      <c r="AX183" s="7">
        <v>587750</v>
      </c>
      <c r="AZ183" s="7">
        <v>0</v>
      </c>
      <c r="BB183" s="8">
        <f t="shared" si="34"/>
        <v>18242523</v>
      </c>
      <c r="BD183" s="7">
        <v>115713</v>
      </c>
      <c r="BF183" s="7">
        <v>0</v>
      </c>
      <c r="BH183" s="7">
        <v>0</v>
      </c>
      <c r="BJ183" s="7">
        <v>0</v>
      </c>
      <c r="BL183" s="8">
        <f t="shared" si="33"/>
        <v>18358236</v>
      </c>
      <c r="BN183" s="8">
        <f>'Gov Fd Rv'!AQ183-'Gov Fnd Exp'!BL183</f>
        <v>1131222</v>
      </c>
      <c r="BP183" s="7">
        <v>3163855</v>
      </c>
      <c r="BR183" s="7">
        <v>9509</v>
      </c>
      <c r="BT183" s="7">
        <v>0</v>
      </c>
      <c r="BV183" s="8">
        <f t="shared" si="32"/>
        <v>4304586</v>
      </c>
      <c r="BW183" s="8"/>
      <c r="BX183" s="8">
        <f>BV183-'Gov Fd BS'!AE183</f>
        <v>0</v>
      </c>
      <c r="BY183" s="8"/>
      <c r="BZ183" s="8"/>
      <c r="CB183" s="101" t="str">
        <f t="shared" si="28"/>
        <v>Fairless Local SD</v>
      </c>
      <c r="CC183" s="101" t="b">
        <f t="shared" si="25"/>
        <v>1</v>
      </c>
      <c r="CD183" s="101" t="str">
        <f>'Gov Fd Rv'!A183</f>
        <v>Fairless Local SD</v>
      </c>
      <c r="CE183" s="8" t="b">
        <f t="shared" si="24"/>
        <v>1</v>
      </c>
      <c r="CG183" s="8" t="str">
        <f t="shared" si="26"/>
        <v>Stark</v>
      </c>
      <c r="CH183" s="8" t="b">
        <f t="shared" si="27"/>
        <v>1</v>
      </c>
      <c r="CI183" s="8" t="b">
        <f>C183='Gov Fd Rv'!C183</f>
        <v>1</v>
      </c>
    </row>
    <row r="184" spans="1:87" ht="12" hidden="1" customHeight="1">
      <c r="A184" s="12" t="s">
        <v>711</v>
      </c>
      <c r="B184" s="12"/>
      <c r="C184" s="12" t="s">
        <v>41</v>
      </c>
      <c r="D184" s="12"/>
      <c r="E184" s="12">
        <v>45369</v>
      </c>
      <c r="AL184" s="12" t="s">
        <v>711</v>
      </c>
      <c r="AM184" s="12"/>
      <c r="AN184" s="12" t="s">
        <v>41</v>
      </c>
      <c r="BB184" s="8">
        <f t="shared" si="34"/>
        <v>0</v>
      </c>
      <c r="BL184" s="8">
        <f t="shared" si="33"/>
        <v>0</v>
      </c>
      <c r="BN184" s="8">
        <f>'Gov Fd Rv'!AQ184-'Gov Fnd Exp'!BL184</f>
        <v>0</v>
      </c>
      <c r="BV184" s="8">
        <f t="shared" si="32"/>
        <v>0</v>
      </c>
      <c r="BW184" s="8"/>
      <c r="BX184" s="8">
        <f>BV184-'Gov Fd BS'!AE184</f>
        <v>0</v>
      </c>
      <c r="BY184" s="8"/>
      <c r="BZ184" s="7" t="s">
        <v>848</v>
      </c>
      <c r="CB184" s="101" t="str">
        <f t="shared" si="28"/>
        <v>Fairport Harbor Ex Vill SD - Two Year Audit</v>
      </c>
      <c r="CC184" s="101" t="b">
        <f t="shared" si="25"/>
        <v>1</v>
      </c>
      <c r="CD184" s="101" t="str">
        <f>'Gov Fd Rv'!A184</f>
        <v>Fairport Harbor Ex Vill SD - Two Year Audit</v>
      </c>
      <c r="CE184" s="8" t="b">
        <f t="shared" si="24"/>
        <v>1</v>
      </c>
      <c r="CG184" s="8" t="str">
        <f t="shared" si="26"/>
        <v>Lake</v>
      </c>
      <c r="CH184" s="8" t="b">
        <f t="shared" si="27"/>
        <v>1</v>
      </c>
      <c r="CI184" s="8" t="b">
        <f>C184='Gov Fd Rv'!C184</f>
        <v>1</v>
      </c>
    </row>
    <row r="185" spans="1:87">
      <c r="A185" s="12" t="s">
        <v>274</v>
      </c>
      <c r="B185" s="12"/>
      <c r="C185" s="12" t="s">
        <v>20</v>
      </c>
      <c r="D185" s="12"/>
      <c r="E185" s="12">
        <v>43976</v>
      </c>
      <c r="G185" s="7">
        <v>9292770</v>
      </c>
      <c r="I185" s="7">
        <v>2127551</v>
      </c>
      <c r="K185" s="7">
        <v>88669</v>
      </c>
      <c r="M185" s="7">
        <v>0</v>
      </c>
      <c r="O185" s="7">
        <v>24695</v>
      </c>
      <c r="Q185" s="7">
        <v>1253749</v>
      </c>
      <c r="S185" s="7">
        <v>1382636</v>
      </c>
      <c r="U185" s="7">
        <v>27523</v>
      </c>
      <c r="W185" s="7">
        <v>1434797</v>
      </c>
      <c r="Y185" s="7">
        <v>852313</v>
      </c>
      <c r="AA185" s="7">
        <v>37798</v>
      </c>
      <c r="AC185" s="7">
        <v>1809114</v>
      </c>
      <c r="AE185" s="7">
        <v>535905</v>
      </c>
      <c r="AG185" s="7">
        <v>598003</v>
      </c>
      <c r="AI185" s="7">
        <v>0</v>
      </c>
      <c r="AK185" s="7">
        <v>562698</v>
      </c>
      <c r="AL185" s="12" t="s">
        <v>274</v>
      </c>
      <c r="AM185" s="12"/>
      <c r="AN185" s="12" t="s">
        <v>20</v>
      </c>
      <c r="AP185" s="7">
        <v>554880</v>
      </c>
      <c r="AR185" s="7">
        <v>1573926</v>
      </c>
      <c r="AT185" s="7">
        <v>0</v>
      </c>
      <c r="AV185" s="7">
        <v>1265000</v>
      </c>
      <c r="AX185" s="7">
        <v>1197228</v>
      </c>
      <c r="AZ185" s="7">
        <v>0</v>
      </c>
      <c r="BB185" s="8">
        <f t="shared" si="34"/>
        <v>24619255</v>
      </c>
      <c r="BD185" s="7">
        <v>1092883</v>
      </c>
      <c r="BF185" s="7">
        <v>0</v>
      </c>
      <c r="BH185" s="7">
        <v>0</v>
      </c>
      <c r="BJ185" s="7">
        <v>0</v>
      </c>
      <c r="BL185" s="8">
        <f t="shared" si="33"/>
        <v>25712138</v>
      </c>
      <c r="BN185" s="8">
        <f>'Gov Fd Rv'!AQ185-'Gov Fnd Exp'!BL185</f>
        <v>23062</v>
      </c>
      <c r="BP185" s="7">
        <v>15946585</v>
      </c>
      <c r="BR185" s="7">
        <v>0</v>
      </c>
      <c r="BT185" s="7">
        <v>0</v>
      </c>
      <c r="BV185" s="8">
        <f t="shared" si="32"/>
        <v>15969647</v>
      </c>
      <c r="BW185" s="8"/>
      <c r="BX185" s="8">
        <f>BV185-'Gov Fd BS'!AE185</f>
        <v>0</v>
      </c>
      <c r="BY185" s="8"/>
      <c r="BZ185" s="8"/>
      <c r="CB185" s="101" t="str">
        <f t="shared" si="28"/>
        <v>Fairview Park City SD</v>
      </c>
      <c r="CC185" s="101" t="b">
        <f t="shared" si="25"/>
        <v>1</v>
      </c>
      <c r="CD185" s="101" t="str">
        <f>'Gov Fd Rv'!A185</f>
        <v>Fairview Park City SD</v>
      </c>
      <c r="CE185" s="8" t="b">
        <f t="shared" si="24"/>
        <v>1</v>
      </c>
      <c r="CG185" s="8" t="str">
        <f t="shared" si="26"/>
        <v>Cuyahoga</v>
      </c>
      <c r="CH185" s="8" t="b">
        <f t="shared" si="27"/>
        <v>1</v>
      </c>
      <c r="CI185" s="8" t="b">
        <f>C185='Gov Fd Rv'!C185</f>
        <v>1</v>
      </c>
    </row>
    <row r="186" spans="1:87" hidden="1">
      <c r="A186" s="12" t="s">
        <v>849</v>
      </c>
      <c r="B186" s="12"/>
      <c r="C186" s="12" t="s">
        <v>28</v>
      </c>
      <c r="D186" s="12"/>
      <c r="E186" s="12">
        <v>47068</v>
      </c>
      <c r="AL186" s="12" t="s">
        <v>849</v>
      </c>
      <c r="AM186" s="12"/>
      <c r="AN186" s="12" t="s">
        <v>28</v>
      </c>
      <c r="BB186" s="8">
        <f t="shared" si="34"/>
        <v>0</v>
      </c>
      <c r="BL186" s="8">
        <f t="shared" si="33"/>
        <v>0</v>
      </c>
      <c r="BN186" s="8">
        <f>'Gov Fd Rv'!AQ186-'Gov Fnd Exp'!BL186</f>
        <v>0</v>
      </c>
      <c r="BV186" s="8">
        <f t="shared" si="32"/>
        <v>0</v>
      </c>
      <c r="BW186" s="8"/>
      <c r="BX186" s="8">
        <f>BV186-'Gov Fd BS'!AE186</f>
        <v>0</v>
      </c>
      <c r="BY186" s="8"/>
      <c r="BZ186" s="7" t="s">
        <v>837</v>
      </c>
      <c r="CB186" s="101" t="str">
        <f t="shared" si="28"/>
        <v>Fayette Local SD (CASH)</v>
      </c>
      <c r="CC186" s="101" t="b">
        <f t="shared" si="25"/>
        <v>1</v>
      </c>
      <c r="CD186" s="101" t="str">
        <f>'Gov Fd Rv'!A186</f>
        <v>Fayette Local SD (CASH)</v>
      </c>
      <c r="CE186" s="8" t="b">
        <f t="shared" si="24"/>
        <v>1</v>
      </c>
      <c r="CG186" s="8" t="str">
        <f t="shared" si="26"/>
        <v>Fulton</v>
      </c>
      <c r="CH186" s="8" t="b">
        <f t="shared" si="27"/>
        <v>1</v>
      </c>
      <c r="CI186" s="8" t="b">
        <f>C186='Gov Fd Rv'!C186</f>
        <v>1</v>
      </c>
    </row>
    <row r="187" spans="1:87">
      <c r="A187" s="12" t="s">
        <v>221</v>
      </c>
      <c r="B187" s="12"/>
      <c r="C187" s="12" t="s">
        <v>77</v>
      </c>
      <c r="D187" s="12"/>
      <c r="E187" s="12">
        <v>46045</v>
      </c>
      <c r="G187" s="7">
        <v>3112023</v>
      </c>
      <c r="I187" s="7">
        <v>1198724</v>
      </c>
      <c r="K187" s="7">
        <v>185984</v>
      </c>
      <c r="M187" s="7">
        <v>0</v>
      </c>
      <c r="O187" s="7">
        <v>1836</v>
      </c>
      <c r="Q187" s="7">
        <v>309205</v>
      </c>
      <c r="S187" s="7">
        <v>588662</v>
      </c>
      <c r="U187" s="7">
        <v>52462</v>
      </c>
      <c r="W187" s="7">
        <v>798752</v>
      </c>
      <c r="Y187" s="7">
        <v>314816</v>
      </c>
      <c r="AA187" s="7">
        <v>0</v>
      </c>
      <c r="AC187" s="7">
        <v>850598</v>
      </c>
      <c r="AE187" s="7">
        <v>516409</v>
      </c>
      <c r="AG187" s="7">
        <v>3189</v>
      </c>
      <c r="AI187" s="7">
        <v>449096</v>
      </c>
      <c r="AK187" s="7">
        <v>85018</v>
      </c>
      <c r="AL187" s="12" t="s">
        <v>221</v>
      </c>
      <c r="AM187" s="12"/>
      <c r="AN187" s="12" t="s">
        <v>77</v>
      </c>
      <c r="AP187" s="7">
        <v>150833</v>
      </c>
      <c r="AR187" s="7">
        <v>884900</v>
      </c>
      <c r="AT187" s="7">
        <v>0</v>
      </c>
      <c r="AV187" s="7">
        <v>335000</v>
      </c>
      <c r="AX187" s="7">
        <v>341312</v>
      </c>
      <c r="AZ187" s="7">
        <v>0</v>
      </c>
      <c r="BB187" s="8">
        <f t="shared" si="34"/>
        <v>10178819</v>
      </c>
      <c r="BD187" s="7">
        <v>0</v>
      </c>
      <c r="BF187" s="7">
        <v>0</v>
      </c>
      <c r="BH187" s="7">
        <v>0</v>
      </c>
      <c r="BJ187" s="7">
        <v>0</v>
      </c>
      <c r="BL187" s="8">
        <f t="shared" si="33"/>
        <v>10178819</v>
      </c>
      <c r="BN187" s="8">
        <f>'Gov Fd Rv'!AQ187-'Gov Fnd Exp'!BL187</f>
        <v>145894</v>
      </c>
      <c r="BP187" s="7">
        <v>3318516</v>
      </c>
      <c r="BR187" s="7">
        <v>0</v>
      </c>
      <c r="BT187" s="7">
        <v>0</v>
      </c>
      <c r="BV187" s="8">
        <f t="shared" si="32"/>
        <v>3464410</v>
      </c>
      <c r="BW187" s="8"/>
      <c r="BX187" s="8">
        <f>BV187-'Gov Fd BS'!AE187</f>
        <v>0</v>
      </c>
      <c r="BY187" s="8"/>
      <c r="BZ187" s="7" t="s">
        <v>850</v>
      </c>
      <c r="CB187" s="101" t="str">
        <f t="shared" si="28"/>
        <v>Fayetteville-Perry Local SD</v>
      </c>
      <c r="CC187" s="101" t="b">
        <f t="shared" si="25"/>
        <v>1</v>
      </c>
      <c r="CD187" s="101" t="str">
        <f>'Gov Fd Rv'!A187</f>
        <v>Fayetteville-Perry Local SD</v>
      </c>
      <c r="CE187" s="8" t="b">
        <f t="shared" si="24"/>
        <v>1</v>
      </c>
      <c r="CG187" s="8" t="str">
        <f t="shared" si="26"/>
        <v>Brown</v>
      </c>
      <c r="CH187" s="8" t="b">
        <f t="shared" si="27"/>
        <v>1</v>
      </c>
      <c r="CI187" s="8" t="b">
        <f>C187='Gov Fd Rv'!C187</f>
        <v>1</v>
      </c>
    </row>
    <row r="188" spans="1:87">
      <c r="A188" s="12" t="s">
        <v>841</v>
      </c>
      <c r="B188" s="12"/>
      <c r="C188" s="12" t="s">
        <v>13</v>
      </c>
      <c r="D188" s="12"/>
      <c r="E188" s="12"/>
      <c r="G188" s="7">
        <v>5043132</v>
      </c>
      <c r="I188" s="7">
        <v>1869945</v>
      </c>
      <c r="K188" s="7">
        <v>208021</v>
      </c>
      <c r="M188" s="7">
        <v>0</v>
      </c>
      <c r="O188" s="7">
        <v>0</v>
      </c>
      <c r="Q188" s="7">
        <v>412135</v>
      </c>
      <c r="S188" s="7">
        <v>469949</v>
      </c>
      <c r="U188" s="7">
        <v>87335</v>
      </c>
      <c r="W188" s="7">
        <v>1327302</v>
      </c>
      <c r="Y188" s="7">
        <v>1974114</v>
      </c>
      <c r="AA188" s="7">
        <v>0</v>
      </c>
      <c r="AC188" s="7">
        <v>977775</v>
      </c>
      <c r="AE188" s="7">
        <v>1109203</v>
      </c>
      <c r="AG188" s="7">
        <v>44041</v>
      </c>
      <c r="AI188" s="7">
        <v>0</v>
      </c>
      <c r="AK188" s="7">
        <v>524776</v>
      </c>
      <c r="AL188" s="12" t="s">
        <v>841</v>
      </c>
      <c r="AM188" s="12"/>
      <c r="AN188" s="12" t="s">
        <v>13</v>
      </c>
      <c r="AP188" s="7">
        <v>73973</v>
      </c>
      <c r="AR188" s="7">
        <v>0</v>
      </c>
      <c r="AT188" s="7">
        <v>0</v>
      </c>
      <c r="AV188" s="7">
        <v>190000</v>
      </c>
      <c r="AX188" s="7">
        <v>24394</v>
      </c>
      <c r="AZ188" s="7">
        <v>0</v>
      </c>
      <c r="BB188" s="8">
        <f t="shared" si="34"/>
        <v>14336095</v>
      </c>
      <c r="BD188" s="7">
        <v>0</v>
      </c>
      <c r="BF188" s="7">
        <v>0</v>
      </c>
      <c r="BH188" s="7">
        <v>0</v>
      </c>
      <c r="BJ188" s="7">
        <v>0</v>
      </c>
      <c r="BL188" s="8">
        <f t="shared" si="33"/>
        <v>14336095</v>
      </c>
      <c r="BN188" s="8">
        <f>'Gov Fd Rv'!AQ188-'Gov Fnd Exp'!BL188</f>
        <v>736108</v>
      </c>
      <c r="BP188" s="7">
        <v>2119158</v>
      </c>
      <c r="BR188" s="7">
        <v>0</v>
      </c>
      <c r="BT188" s="7">
        <v>0</v>
      </c>
      <c r="BV188" s="8">
        <f t="shared" si="32"/>
        <v>2855266</v>
      </c>
      <c r="BW188" s="8"/>
      <c r="BX188" s="8">
        <f>BV188-'Gov Fd BS'!AE188</f>
        <v>0</v>
      </c>
      <c r="BY188" s="8"/>
      <c r="BZ188" s="8"/>
      <c r="CB188" s="101" t="str">
        <f t="shared" si="28"/>
        <v>Federal Hocking Local SD</v>
      </c>
      <c r="CC188" s="101" t="b">
        <f t="shared" si="25"/>
        <v>1</v>
      </c>
      <c r="CD188" s="101" t="str">
        <f>'Gov Fd Rv'!A188</f>
        <v>Federal Hocking Local SD</v>
      </c>
      <c r="CE188" s="8" t="b">
        <f t="shared" si="24"/>
        <v>1</v>
      </c>
      <c r="CG188" s="8" t="str">
        <f t="shared" si="26"/>
        <v>Athens</v>
      </c>
      <c r="CH188" s="8" t="b">
        <f t="shared" si="27"/>
        <v>1</v>
      </c>
      <c r="CI188" s="8" t="b">
        <f>C188='Gov Fd Rv'!C188</f>
        <v>1</v>
      </c>
    </row>
    <row r="189" spans="1:87">
      <c r="A189" s="12" t="s">
        <v>244</v>
      </c>
      <c r="B189" s="12"/>
      <c r="C189" s="12" t="s">
        <v>113</v>
      </c>
      <c r="D189" s="12"/>
      <c r="E189" s="12">
        <v>46334</v>
      </c>
      <c r="G189" s="7">
        <v>4471578</v>
      </c>
      <c r="I189" s="7">
        <v>1908091</v>
      </c>
      <c r="K189" s="7">
        <v>0</v>
      </c>
      <c r="M189" s="7">
        <v>0</v>
      </c>
      <c r="O189" s="7">
        <v>102359</v>
      </c>
      <c r="Q189" s="7">
        <v>715167</v>
      </c>
      <c r="S189" s="7">
        <v>388372</v>
      </c>
      <c r="U189" s="7">
        <v>16076</v>
      </c>
      <c r="W189" s="7">
        <v>617935</v>
      </c>
      <c r="Y189" s="7">
        <v>345617</v>
      </c>
      <c r="AA189" s="7">
        <v>0</v>
      </c>
      <c r="AC189" s="7">
        <v>941407</v>
      </c>
      <c r="AE189" s="7">
        <v>497687</v>
      </c>
      <c r="AG189" s="7">
        <v>38047</v>
      </c>
      <c r="AI189" s="7">
        <v>436489</v>
      </c>
      <c r="AK189" s="7">
        <v>0</v>
      </c>
      <c r="AL189" s="12" t="s">
        <v>244</v>
      </c>
      <c r="AM189" s="12"/>
      <c r="AN189" s="12" t="s">
        <v>113</v>
      </c>
      <c r="AP189" s="7">
        <v>140929</v>
      </c>
      <c r="AR189" s="7">
        <v>13702</v>
      </c>
      <c r="AT189" s="7">
        <v>0</v>
      </c>
      <c r="AV189" s="7">
        <v>194452</v>
      </c>
      <c r="AX189" s="7">
        <v>128192</v>
      </c>
      <c r="AZ189" s="7">
        <v>0</v>
      </c>
      <c r="BB189" s="8">
        <f t="shared" si="34"/>
        <v>10956100</v>
      </c>
      <c r="BD189" s="7">
        <v>0</v>
      </c>
      <c r="BF189" s="7">
        <v>0</v>
      </c>
      <c r="BH189" s="7">
        <v>0</v>
      </c>
      <c r="BJ189" s="7">
        <v>0</v>
      </c>
      <c r="BL189" s="8">
        <f t="shared" si="33"/>
        <v>10956100</v>
      </c>
      <c r="BN189" s="8">
        <f>'Gov Fd Rv'!AQ189-'Gov Fnd Exp'!BL189</f>
        <v>1055018</v>
      </c>
      <c r="BP189" s="7">
        <v>1148849</v>
      </c>
      <c r="BR189" s="7">
        <v>0</v>
      </c>
      <c r="BT189" s="7">
        <v>0</v>
      </c>
      <c r="BV189" s="8">
        <f t="shared" si="32"/>
        <v>2203867</v>
      </c>
      <c r="BW189" s="8"/>
      <c r="BX189" s="8">
        <f>BV189-'Gov Fd BS'!AE189</f>
        <v>0</v>
      </c>
      <c r="BY189" s="8"/>
      <c r="BZ189" s="8"/>
      <c r="CB189" s="101" t="str">
        <f t="shared" si="28"/>
        <v>Felicity-Franklin Local SD</v>
      </c>
      <c r="CC189" s="101" t="b">
        <f t="shared" si="25"/>
        <v>1</v>
      </c>
      <c r="CD189" s="101" t="str">
        <f>'Gov Fd Rv'!A189</f>
        <v>Felicity-Franklin Local SD</v>
      </c>
      <c r="CE189" s="8" t="b">
        <f t="shared" si="24"/>
        <v>1</v>
      </c>
      <c r="CG189" s="8" t="str">
        <f t="shared" si="26"/>
        <v>Clermont</v>
      </c>
      <c r="CH189" s="8" t="b">
        <f t="shared" si="27"/>
        <v>1</v>
      </c>
      <c r="CI189" s="8" t="b">
        <f>C189='Gov Fd Rv'!C189</f>
        <v>1</v>
      </c>
    </row>
    <row r="190" spans="1:87">
      <c r="A190" s="12" t="s">
        <v>760</v>
      </c>
      <c r="B190" s="12"/>
      <c r="C190" s="12" t="s">
        <v>56</v>
      </c>
      <c r="D190" s="12"/>
      <c r="E190" s="12">
        <v>49197</v>
      </c>
      <c r="G190" s="7">
        <v>11359404</v>
      </c>
      <c r="I190" s="7">
        <v>1831011</v>
      </c>
      <c r="K190" s="7">
        <v>143496</v>
      </c>
      <c r="M190" s="7">
        <v>2891</v>
      </c>
      <c r="O190" s="7">
        <v>8599</v>
      </c>
      <c r="Q190" s="7">
        <v>954697</v>
      </c>
      <c r="S190" s="7">
        <v>966562</v>
      </c>
      <c r="U190" s="7">
        <v>26424</v>
      </c>
      <c r="W190" s="7">
        <v>2263055</v>
      </c>
      <c r="Y190" s="7">
        <v>506208</v>
      </c>
      <c r="AA190" s="7">
        <v>204</v>
      </c>
      <c r="AC190" s="7">
        <v>1720799</v>
      </c>
      <c r="AE190" s="7">
        <v>1211429</v>
      </c>
      <c r="AG190" s="7">
        <v>102754</v>
      </c>
      <c r="AI190" s="7">
        <v>0</v>
      </c>
      <c r="AK190" s="7">
        <v>31470</v>
      </c>
      <c r="AL190" s="12" t="s">
        <v>760</v>
      </c>
      <c r="AM190" s="12"/>
      <c r="AN190" s="12" t="s">
        <v>56</v>
      </c>
      <c r="AP190" s="7">
        <v>409456</v>
      </c>
      <c r="AR190" s="7">
        <v>742137</v>
      </c>
      <c r="AT190" s="7">
        <v>0</v>
      </c>
      <c r="AV190" s="7">
        <v>271988</v>
      </c>
      <c r="AX190" s="7">
        <v>1207318</v>
      </c>
      <c r="AZ190" s="7">
        <v>0</v>
      </c>
      <c r="BB190" s="8">
        <f t="shared" si="34"/>
        <v>23759902</v>
      </c>
      <c r="BD190" s="7">
        <v>0</v>
      </c>
      <c r="BF190" s="7">
        <v>0</v>
      </c>
      <c r="BH190" s="7">
        <v>0</v>
      </c>
      <c r="BJ190" s="7">
        <v>0</v>
      </c>
      <c r="BL190" s="8">
        <f t="shared" si="33"/>
        <v>23759902</v>
      </c>
      <c r="BN190" s="8">
        <f>'Gov Fd Rv'!AQ190-'Gov Fnd Exp'!BL190</f>
        <v>-713417</v>
      </c>
      <c r="BP190" s="7">
        <v>2077586</v>
      </c>
      <c r="BR190" s="7">
        <v>0</v>
      </c>
      <c r="BT190" s="7">
        <v>0</v>
      </c>
      <c r="BV190" s="8">
        <f t="shared" si="32"/>
        <v>1364169</v>
      </c>
      <c r="BW190" s="8"/>
      <c r="BX190" s="8">
        <f>BV190-'Gov Fd BS'!AE190</f>
        <v>0</v>
      </c>
      <c r="BY190" s="8"/>
      <c r="BZ190" s="7" t="s">
        <v>850</v>
      </c>
      <c r="CB190" s="101" t="str">
        <f t="shared" si="28"/>
        <v xml:space="preserve">Field Local SD </v>
      </c>
      <c r="CC190" s="101" t="b">
        <f t="shared" si="25"/>
        <v>1</v>
      </c>
      <c r="CD190" s="101" t="str">
        <f>'Gov Fd Rv'!A190</f>
        <v xml:space="preserve">Field Local SD </v>
      </c>
      <c r="CE190" s="8" t="b">
        <f t="shared" si="24"/>
        <v>1</v>
      </c>
      <c r="CG190" s="8" t="str">
        <f t="shared" si="26"/>
        <v>Portage</v>
      </c>
      <c r="CH190" s="8" t="b">
        <f t="shared" si="27"/>
        <v>1</v>
      </c>
      <c r="CI190" s="8" t="b">
        <f>C190='Gov Fd Rv'!C190</f>
        <v>1</v>
      </c>
    </row>
    <row r="191" spans="1:87">
      <c r="A191" s="12" t="s">
        <v>346</v>
      </c>
      <c r="B191" s="12"/>
      <c r="C191" s="12" t="s">
        <v>33</v>
      </c>
      <c r="D191" s="12"/>
      <c r="E191" s="12">
        <v>43984</v>
      </c>
      <c r="G191" s="7">
        <v>24239559</v>
      </c>
      <c r="I191" s="7">
        <v>7860250</v>
      </c>
      <c r="K191" s="7">
        <v>2827020</v>
      </c>
      <c r="M191" s="7">
        <v>112271</v>
      </c>
      <c r="O191" s="7">
        <v>4233845</v>
      </c>
      <c r="Q191" s="7">
        <v>2949238</v>
      </c>
      <c r="S191" s="7">
        <v>4914694</v>
      </c>
      <c r="U191" s="7">
        <v>181030</v>
      </c>
      <c r="W191" s="7">
        <v>4142449</v>
      </c>
      <c r="Y191" s="7">
        <v>1528310</v>
      </c>
      <c r="AA191" s="7">
        <v>0</v>
      </c>
      <c r="AC191" s="7">
        <v>5664620</v>
      </c>
      <c r="AE191" s="7">
        <v>2375884</v>
      </c>
      <c r="AG191" s="7">
        <v>183106</v>
      </c>
      <c r="AI191" s="7">
        <v>1839679</v>
      </c>
      <c r="AK191" s="7">
        <v>595773</v>
      </c>
      <c r="AL191" s="12" t="s">
        <v>346</v>
      </c>
      <c r="AM191" s="12"/>
      <c r="AN191" s="12" t="s">
        <v>33</v>
      </c>
      <c r="AP191" s="7">
        <v>1432812</v>
      </c>
      <c r="AR191" s="7">
        <v>2949104</v>
      </c>
      <c r="AT191" s="7">
        <v>0</v>
      </c>
      <c r="AV191" s="7">
        <v>1258396</v>
      </c>
      <c r="AX191" s="7">
        <v>2948324</v>
      </c>
      <c r="AZ191" s="7">
        <v>0</v>
      </c>
      <c r="BB191" s="8">
        <f t="shared" si="34"/>
        <v>72236364</v>
      </c>
      <c r="BD191" s="7">
        <v>348273</v>
      </c>
      <c r="BF191" s="7">
        <v>0</v>
      </c>
      <c r="BH191" s="7">
        <v>0</v>
      </c>
      <c r="BJ191" s="7">
        <v>0</v>
      </c>
      <c r="BL191" s="8">
        <f t="shared" si="33"/>
        <v>72584637</v>
      </c>
      <c r="BN191" s="8">
        <f>'Gov Fd Rv'!AQ191-'Gov Fnd Exp'!BL191</f>
        <v>13394595</v>
      </c>
      <c r="BP191" s="7">
        <v>65230557</v>
      </c>
      <c r="BR191" s="7">
        <v>-6818</v>
      </c>
      <c r="BT191" s="7">
        <v>0</v>
      </c>
      <c r="BV191" s="8">
        <f t="shared" si="32"/>
        <v>78618334</v>
      </c>
      <c r="BW191" s="8"/>
      <c r="BX191" s="8">
        <f>BV191-'Gov Fd BS'!AE191</f>
        <v>0</v>
      </c>
      <c r="BY191" s="8"/>
      <c r="BZ191" s="8"/>
      <c r="CB191" s="101" t="str">
        <f t="shared" si="28"/>
        <v>Findlay City SD</v>
      </c>
      <c r="CC191" s="101" t="b">
        <f t="shared" si="25"/>
        <v>1</v>
      </c>
      <c r="CD191" s="101" t="str">
        <f>'Gov Fd Rv'!A191</f>
        <v>Findlay City SD</v>
      </c>
      <c r="CE191" s="8" t="b">
        <f t="shared" si="24"/>
        <v>1</v>
      </c>
      <c r="CG191" s="8" t="str">
        <f t="shared" si="26"/>
        <v>Hancock</v>
      </c>
      <c r="CH191" s="8" t="b">
        <f t="shared" si="27"/>
        <v>1</v>
      </c>
      <c r="CI191" s="8" t="b">
        <f>C191='Gov Fd Rv'!C191</f>
        <v>1</v>
      </c>
    </row>
    <row r="192" spans="1:87">
      <c r="A192" s="12" t="s">
        <v>330</v>
      </c>
      <c r="B192" s="12"/>
      <c r="C192" s="12" t="s">
        <v>32</v>
      </c>
      <c r="D192" s="12"/>
      <c r="E192" s="12">
        <v>47332</v>
      </c>
      <c r="G192" s="7">
        <v>7347013</v>
      </c>
      <c r="I192" s="7">
        <v>2497558</v>
      </c>
      <c r="K192" s="7">
        <v>147158</v>
      </c>
      <c r="M192" s="7">
        <v>0</v>
      </c>
      <c r="O192" s="7">
        <v>832953</v>
      </c>
      <c r="Q192" s="7">
        <v>1630071</v>
      </c>
      <c r="S192" s="7">
        <v>1396242</v>
      </c>
      <c r="U192" s="7">
        <v>24595</v>
      </c>
      <c r="W192" s="7">
        <v>1226759</v>
      </c>
      <c r="Y192" s="7">
        <v>442879</v>
      </c>
      <c r="AA192" s="7">
        <v>404351</v>
      </c>
      <c r="AC192" s="7">
        <v>1677945</v>
      </c>
      <c r="AE192" s="7">
        <v>877107</v>
      </c>
      <c r="AG192" s="7">
        <v>230323</v>
      </c>
      <c r="AI192" s="7">
        <v>0</v>
      </c>
      <c r="AK192" s="7">
        <v>2139722</v>
      </c>
      <c r="AL192" s="12" t="s">
        <v>330</v>
      </c>
      <c r="AM192" s="12"/>
      <c r="AN192" s="12" t="s">
        <v>32</v>
      </c>
      <c r="AP192" s="7">
        <v>604626</v>
      </c>
      <c r="AR192" s="7">
        <v>255783</v>
      </c>
      <c r="AT192" s="7">
        <v>0</v>
      </c>
      <c r="AV192" s="7">
        <v>4287000</v>
      </c>
      <c r="AX192" s="7">
        <f>318839+59752</f>
        <v>378591</v>
      </c>
      <c r="AZ192" s="7">
        <v>0</v>
      </c>
      <c r="BB192" s="8">
        <f t="shared" si="34"/>
        <v>26400676</v>
      </c>
      <c r="BD192" s="7">
        <v>5542</v>
      </c>
      <c r="BF192" s="7">
        <v>0</v>
      </c>
      <c r="BH192" s="7">
        <v>0</v>
      </c>
      <c r="BJ192" s="7">
        <v>0</v>
      </c>
      <c r="BL192" s="8">
        <f t="shared" si="33"/>
        <v>26406218</v>
      </c>
      <c r="BN192" s="8">
        <f>'Gov Fd Rv'!AQ192-'Gov Fnd Exp'!BL192</f>
        <v>541059</v>
      </c>
      <c r="BP192" s="7">
        <v>4259149</v>
      </c>
      <c r="BR192" s="7">
        <v>0</v>
      </c>
      <c r="BT192" s="7">
        <v>0</v>
      </c>
      <c r="BV192" s="8">
        <f t="shared" si="32"/>
        <v>4800208</v>
      </c>
      <c r="BW192" s="8"/>
      <c r="BX192" s="8">
        <f>BV192-'Gov Fd BS'!AE192</f>
        <v>0</v>
      </c>
      <c r="BY192" s="8"/>
      <c r="BZ192" s="7" t="s">
        <v>850</v>
      </c>
      <c r="CB192" s="101" t="str">
        <f t="shared" si="28"/>
        <v>Finneytown Local SD</v>
      </c>
      <c r="CC192" s="101" t="b">
        <f t="shared" si="25"/>
        <v>1</v>
      </c>
      <c r="CD192" s="101" t="str">
        <f>'Gov Fd Rv'!A192</f>
        <v>Finneytown Local SD</v>
      </c>
      <c r="CE192" s="8" t="b">
        <f t="shared" si="24"/>
        <v>1</v>
      </c>
      <c r="CG192" s="8" t="str">
        <f t="shared" si="26"/>
        <v>Hamilton</v>
      </c>
      <c r="CH192" s="8" t="b">
        <f t="shared" si="27"/>
        <v>1</v>
      </c>
      <c r="CI192" s="8" t="b">
        <f>C192='Gov Fd Rv'!C192</f>
        <v>1</v>
      </c>
    </row>
    <row r="193" spans="1:87">
      <c r="A193" s="12" t="s">
        <v>397</v>
      </c>
      <c r="B193" s="12"/>
      <c r="C193" s="12" t="s">
        <v>44</v>
      </c>
      <c r="D193" s="12"/>
      <c r="E193" s="12">
        <v>48157</v>
      </c>
      <c r="G193" s="7">
        <v>7453918</v>
      </c>
      <c r="I193" s="7">
        <v>2048410</v>
      </c>
      <c r="K193" s="7">
        <v>327709</v>
      </c>
      <c r="M193" s="7">
        <v>0</v>
      </c>
      <c r="O193" s="7">
        <v>1448947</v>
      </c>
      <c r="Q193" s="7">
        <v>1222984</v>
      </c>
      <c r="S193" s="7">
        <v>541063</v>
      </c>
      <c r="U193" s="7">
        <v>22204</v>
      </c>
      <c r="W193" s="7">
        <v>1662487</v>
      </c>
      <c r="Y193" s="7">
        <v>478435</v>
      </c>
      <c r="AA193" s="7">
        <v>0</v>
      </c>
      <c r="AC193" s="7">
        <v>1270395</v>
      </c>
      <c r="AE193" s="7">
        <v>1456936</v>
      </c>
      <c r="AG193" s="7">
        <v>318277</v>
      </c>
      <c r="AI193" s="7">
        <v>650607</v>
      </c>
      <c r="AK193" s="7">
        <v>28662</v>
      </c>
      <c r="AL193" s="12" t="s">
        <v>397</v>
      </c>
      <c r="AM193" s="12"/>
      <c r="AN193" s="12" t="s">
        <v>44</v>
      </c>
      <c r="AP193" s="7">
        <v>589448</v>
      </c>
      <c r="AR193" s="7">
        <f>1750578+84022</f>
        <v>1834600</v>
      </c>
      <c r="AT193" s="7">
        <v>0</v>
      </c>
      <c r="AV193" s="7">
        <v>77284</v>
      </c>
      <c r="AX193" s="7">
        <f>43996+21200</f>
        <v>65196</v>
      </c>
      <c r="AZ193" s="7">
        <v>0</v>
      </c>
      <c r="BB193" s="8">
        <f t="shared" si="34"/>
        <v>21497562</v>
      </c>
      <c r="BD193" s="7">
        <v>0</v>
      </c>
      <c r="BF193" s="7">
        <v>0</v>
      </c>
      <c r="BH193" s="7">
        <v>0</v>
      </c>
      <c r="BJ193" s="7">
        <v>0</v>
      </c>
      <c r="BL193" s="8">
        <f t="shared" si="33"/>
        <v>21497562</v>
      </c>
      <c r="BN193" s="8">
        <f>'Gov Fd Rv'!AQ193-'Gov Fnd Exp'!BL193</f>
        <v>-1346298</v>
      </c>
      <c r="BP193" s="7">
        <v>2860360</v>
      </c>
      <c r="BR193" s="7">
        <v>3942</v>
      </c>
      <c r="BT193" s="7">
        <v>0</v>
      </c>
      <c r="BV193" s="8">
        <f t="shared" si="32"/>
        <v>1518004</v>
      </c>
      <c r="BW193" s="8"/>
      <c r="BX193" s="8">
        <f>BV193-'Gov Fd BS'!AE193</f>
        <v>0</v>
      </c>
      <c r="BY193" s="8"/>
      <c r="BZ193" s="8"/>
      <c r="CB193" s="101" t="str">
        <f t="shared" si="28"/>
        <v>Firelands Local SD</v>
      </c>
      <c r="CC193" s="101" t="b">
        <f t="shared" si="25"/>
        <v>1</v>
      </c>
      <c r="CD193" s="101" t="str">
        <f>'Gov Fd Rv'!A193</f>
        <v>Firelands Local SD</v>
      </c>
      <c r="CE193" s="8" t="b">
        <f t="shared" si="24"/>
        <v>1</v>
      </c>
      <c r="CG193" s="8" t="str">
        <f t="shared" si="26"/>
        <v>Lorain</v>
      </c>
      <c r="CH193" s="8" t="b">
        <f t="shared" si="27"/>
        <v>1</v>
      </c>
      <c r="CI193" s="8" t="b">
        <f>C193='Gov Fd Rv'!C193</f>
        <v>1</v>
      </c>
    </row>
    <row r="194" spans="1:87">
      <c r="A194" s="12" t="s">
        <v>331</v>
      </c>
      <c r="B194" s="12"/>
      <c r="C194" s="12" t="s">
        <v>32</v>
      </c>
      <c r="D194" s="12"/>
      <c r="E194" s="12">
        <v>47340</v>
      </c>
      <c r="G194" s="7">
        <v>34687641</v>
      </c>
      <c r="I194" s="7">
        <v>9445265</v>
      </c>
      <c r="K194" s="7">
        <v>0</v>
      </c>
      <c r="M194" s="7">
        <v>0</v>
      </c>
      <c r="O194" s="7">
        <v>1513665</v>
      </c>
      <c r="Q194" s="7">
        <v>3476610</v>
      </c>
      <c r="S194" s="7">
        <v>8648544</v>
      </c>
      <c r="U194" s="7">
        <v>30316</v>
      </c>
      <c r="W194" s="7">
        <v>5302524</v>
      </c>
      <c r="Y194" s="7">
        <v>1265353</v>
      </c>
      <c r="AA194" s="7">
        <v>175178</v>
      </c>
      <c r="AC194" s="7">
        <v>5628676</v>
      </c>
      <c r="AE194" s="7">
        <v>3826358</v>
      </c>
      <c r="AG194" s="7">
        <v>548853</v>
      </c>
      <c r="AI194" s="7">
        <v>2230613</v>
      </c>
      <c r="AK194" s="7">
        <v>874930</v>
      </c>
      <c r="AL194" s="12" t="s">
        <v>331</v>
      </c>
      <c r="AM194" s="12"/>
      <c r="AN194" s="12" t="s">
        <v>32</v>
      </c>
      <c r="AP194" s="7">
        <v>2068835</v>
      </c>
      <c r="AR194" s="7">
        <v>71921</v>
      </c>
      <c r="AT194" s="7">
        <v>0</v>
      </c>
      <c r="AV194" s="7">
        <v>1880000</v>
      </c>
      <c r="AX194" s="7">
        <v>490252</v>
      </c>
      <c r="AZ194" s="7">
        <v>0</v>
      </c>
      <c r="BB194" s="8">
        <f t="shared" si="34"/>
        <v>82165534</v>
      </c>
      <c r="BD194" s="7">
        <v>233430</v>
      </c>
      <c r="BF194" s="7">
        <v>0</v>
      </c>
      <c r="BH194" s="7">
        <v>0</v>
      </c>
      <c r="BJ194" s="7">
        <v>0</v>
      </c>
      <c r="BL194" s="8">
        <f t="shared" si="33"/>
        <v>82398964</v>
      </c>
      <c r="BN194" s="8">
        <f>'Gov Fd Rv'!AQ194-'Gov Fnd Exp'!BL194</f>
        <v>-1115543</v>
      </c>
      <c r="BP194" s="7">
        <v>26978888</v>
      </c>
      <c r="BR194" s="7">
        <v>0</v>
      </c>
      <c r="BT194" s="7">
        <v>0</v>
      </c>
      <c r="BV194" s="8">
        <f t="shared" si="32"/>
        <v>25863345</v>
      </c>
      <c r="BW194" s="8"/>
      <c r="BX194" s="8">
        <f>BV194-'Gov Fd BS'!AE194</f>
        <v>0</v>
      </c>
      <c r="BY194" s="8"/>
      <c r="BZ194" s="101" t="s">
        <v>852</v>
      </c>
      <c r="CB194" s="101" t="str">
        <f t="shared" si="28"/>
        <v>Forest Hills Local SD</v>
      </c>
      <c r="CC194" s="101" t="b">
        <f t="shared" si="25"/>
        <v>1</v>
      </c>
      <c r="CD194" s="101" t="str">
        <f>'Gov Fd Rv'!A194</f>
        <v>Forest Hills Local SD</v>
      </c>
      <c r="CE194" s="8" t="b">
        <f t="shared" si="24"/>
        <v>1</v>
      </c>
      <c r="CG194" s="8" t="str">
        <f t="shared" si="26"/>
        <v>Hamilton</v>
      </c>
      <c r="CH194" s="8" t="b">
        <f t="shared" si="27"/>
        <v>1</v>
      </c>
      <c r="CI194" s="8" t="b">
        <f>C194='Gov Fd Rv'!C194</f>
        <v>1</v>
      </c>
    </row>
    <row r="195" spans="1:87" ht="12" hidden="1" customHeight="1">
      <c r="A195" s="12" t="s">
        <v>642</v>
      </c>
      <c r="B195" s="12"/>
      <c r="C195" s="12" t="s">
        <v>70</v>
      </c>
      <c r="D195" s="12"/>
      <c r="E195" s="12">
        <v>50484</v>
      </c>
      <c r="AL195" s="12" t="s">
        <v>642</v>
      </c>
      <c r="AM195" s="12"/>
      <c r="AN195" s="12" t="s">
        <v>70</v>
      </c>
      <c r="BB195" s="8">
        <f t="shared" si="34"/>
        <v>0</v>
      </c>
      <c r="BL195" s="8">
        <f t="shared" si="33"/>
        <v>0</v>
      </c>
      <c r="BN195" s="8">
        <f>'Gov Fd Rv'!AQ195-'Gov Fnd Exp'!BL195</f>
        <v>0</v>
      </c>
      <c r="BV195" s="8">
        <f t="shared" si="32"/>
        <v>0</v>
      </c>
      <c r="BW195" s="8"/>
      <c r="BX195" s="8">
        <f>BV195-'Gov Fd BS'!AE195</f>
        <v>0</v>
      </c>
      <c r="BY195" s="8"/>
      <c r="BZ195" s="7" t="s">
        <v>839</v>
      </c>
      <c r="CB195" s="101" t="str">
        <f t="shared" si="28"/>
        <v>Fort Frye Local SD (CASH)</v>
      </c>
      <c r="CC195" s="101" t="b">
        <f t="shared" si="25"/>
        <v>1</v>
      </c>
      <c r="CD195" s="101" t="str">
        <f>'Gov Fd Rv'!A195</f>
        <v>Fort Frye Local SD (CASH)</v>
      </c>
      <c r="CE195" s="8" t="b">
        <f t="shared" si="24"/>
        <v>1</v>
      </c>
      <c r="CG195" s="8" t="str">
        <f t="shared" si="26"/>
        <v>Washington</v>
      </c>
      <c r="CH195" s="8" t="b">
        <f t="shared" si="27"/>
        <v>1</v>
      </c>
      <c r="CI195" s="8" t="b">
        <f>C195='Gov Fd Rv'!C195</f>
        <v>1</v>
      </c>
    </row>
    <row r="196" spans="1:87">
      <c r="A196" s="12" t="s">
        <v>505</v>
      </c>
      <c r="B196" s="12"/>
      <c r="C196" s="12" t="s">
        <v>61</v>
      </c>
      <c r="D196" s="12"/>
      <c r="E196" s="12">
        <v>49783</v>
      </c>
      <c r="G196" s="7">
        <v>3705601</v>
      </c>
      <c r="I196" s="7">
        <v>537916</v>
      </c>
      <c r="K196" s="7">
        <v>56</v>
      </c>
      <c r="M196" s="7">
        <v>0</v>
      </c>
      <c r="O196" s="7">
        <v>0</v>
      </c>
      <c r="Q196" s="7">
        <v>633952</v>
      </c>
      <c r="S196" s="7">
        <v>392338</v>
      </c>
      <c r="U196" s="7">
        <v>20978</v>
      </c>
      <c r="W196" s="7">
        <v>557152</v>
      </c>
      <c r="Y196" s="7">
        <v>216837</v>
      </c>
      <c r="AA196" s="7">
        <v>626</v>
      </c>
      <c r="AC196" s="7">
        <v>648456</v>
      </c>
      <c r="AE196" s="7">
        <v>406899</v>
      </c>
      <c r="AG196" s="7">
        <v>58751</v>
      </c>
      <c r="AI196" s="7">
        <v>0</v>
      </c>
      <c r="AK196" s="7">
        <v>365947</v>
      </c>
      <c r="AL196" s="12" t="s">
        <v>505</v>
      </c>
      <c r="AM196" s="12"/>
      <c r="AN196" s="12" t="s">
        <v>61</v>
      </c>
      <c r="AP196" s="7">
        <v>409173</v>
      </c>
      <c r="AR196" s="7">
        <v>304068</v>
      </c>
      <c r="AT196" s="7">
        <v>0</v>
      </c>
      <c r="AV196" s="7">
        <v>1515000</v>
      </c>
      <c r="AX196" s="7">
        <v>429592</v>
      </c>
      <c r="AZ196" s="7">
        <v>0</v>
      </c>
      <c r="BB196" s="8">
        <f t="shared" si="34"/>
        <v>10203342</v>
      </c>
      <c r="BD196" s="7">
        <v>50105</v>
      </c>
      <c r="BF196" s="7">
        <v>0</v>
      </c>
      <c r="BH196" s="7">
        <v>0</v>
      </c>
      <c r="BJ196" s="7">
        <v>0</v>
      </c>
      <c r="BL196" s="8">
        <f t="shared" si="33"/>
        <v>10253447</v>
      </c>
      <c r="BN196" s="8">
        <f>'Gov Fd Rv'!AQ196-'Gov Fnd Exp'!BL196</f>
        <v>-188315</v>
      </c>
      <c r="BP196" s="7">
        <v>4111120</v>
      </c>
      <c r="BR196" s="7">
        <v>0</v>
      </c>
      <c r="BT196" s="7">
        <v>0</v>
      </c>
      <c r="BV196" s="8">
        <f t="shared" si="32"/>
        <v>3922805</v>
      </c>
      <c r="BW196" s="8"/>
      <c r="BX196" s="8">
        <f>BV196-'Gov Fd BS'!AE196</f>
        <v>0</v>
      </c>
      <c r="BY196" s="8"/>
      <c r="BZ196" s="7" t="s">
        <v>853</v>
      </c>
      <c r="CB196" s="101" t="str">
        <f t="shared" si="28"/>
        <v>Fort Loramie Local SD</v>
      </c>
      <c r="CC196" s="101" t="b">
        <f t="shared" si="25"/>
        <v>1</v>
      </c>
      <c r="CD196" s="101" t="str">
        <f>'Gov Fd Rv'!A196</f>
        <v>Fort Loramie Local SD</v>
      </c>
      <c r="CE196" s="8" t="b">
        <f t="shared" si="24"/>
        <v>1</v>
      </c>
      <c r="CG196" s="8" t="str">
        <f t="shared" si="26"/>
        <v>Shelby</v>
      </c>
      <c r="CH196" s="8" t="b">
        <f t="shared" si="27"/>
        <v>1</v>
      </c>
      <c r="CI196" s="8" t="b">
        <f>C196='Gov Fd Rv'!C196</f>
        <v>1</v>
      </c>
    </row>
    <row r="197" spans="1:87" ht="12" hidden="1" customHeight="1">
      <c r="A197" s="12" t="s">
        <v>873</v>
      </c>
      <c r="B197" s="12"/>
      <c r="C197" s="12" t="s">
        <v>435</v>
      </c>
      <c r="D197" s="12"/>
      <c r="E197" s="12"/>
      <c r="AL197" s="12" t="s">
        <v>873</v>
      </c>
      <c r="AM197" s="12"/>
      <c r="AN197" s="12" t="s">
        <v>435</v>
      </c>
      <c r="BB197" s="8">
        <f t="shared" si="34"/>
        <v>0</v>
      </c>
      <c r="BL197" s="8">
        <f t="shared" si="33"/>
        <v>0</v>
      </c>
      <c r="BN197" s="8">
        <f>'Gov Fd Rv'!AQ197-'Gov Fnd Exp'!BL197</f>
        <v>0</v>
      </c>
      <c r="BV197" s="8">
        <f t="shared" si="32"/>
        <v>0</v>
      </c>
      <c r="BW197" s="8"/>
      <c r="BX197" s="8">
        <f>BV197-'Gov Fd BS'!AE197</f>
        <v>0</v>
      </c>
      <c r="BY197" s="8"/>
      <c r="BZ197" s="7" t="s">
        <v>839</v>
      </c>
      <c r="CB197" s="101" t="str">
        <f t="shared" si="28"/>
        <v>Fort Recovery Local SD (CASH)</v>
      </c>
      <c r="CC197" s="101" t="b">
        <f t="shared" si="25"/>
        <v>1</v>
      </c>
      <c r="CD197" s="101" t="str">
        <f>'Gov Fd Rv'!A197</f>
        <v>Fort Recovery Local SD (CASH)</v>
      </c>
      <c r="CE197" s="8" t="b">
        <f t="shared" si="24"/>
        <v>1</v>
      </c>
      <c r="CG197" s="8" t="str">
        <f t="shared" si="26"/>
        <v>Mercer</v>
      </c>
      <c r="CH197" s="8" t="b">
        <f t="shared" si="27"/>
        <v>1</v>
      </c>
      <c r="CI197" s="8" t="b">
        <f>C197='Gov Fd Rv'!C197</f>
        <v>1</v>
      </c>
    </row>
    <row r="198" spans="1:87" ht="13.5" hidden="1" customHeight="1">
      <c r="A198" s="12" t="s">
        <v>854</v>
      </c>
      <c r="B198" s="12"/>
      <c r="C198" s="12" t="s">
        <v>60</v>
      </c>
      <c r="D198" s="12"/>
      <c r="E198" s="12">
        <v>43992</v>
      </c>
      <c r="AL198" s="12" t="s">
        <v>854</v>
      </c>
      <c r="AM198" s="12"/>
      <c r="AN198" s="12" t="s">
        <v>60</v>
      </c>
      <c r="BB198" s="8">
        <f t="shared" si="34"/>
        <v>0</v>
      </c>
      <c r="BL198" s="8">
        <f t="shared" si="33"/>
        <v>0</v>
      </c>
      <c r="BN198" s="8">
        <f>'Gov Fd Rv'!AQ198-'Gov Fnd Exp'!BL198</f>
        <v>0</v>
      </c>
      <c r="BV198" s="8">
        <f t="shared" si="32"/>
        <v>0</v>
      </c>
      <c r="BW198" s="8"/>
      <c r="BX198" s="8">
        <f>BV198-'Gov Fd BS'!AE198</f>
        <v>0</v>
      </c>
      <c r="BY198" s="8"/>
      <c r="BZ198" s="7" t="s">
        <v>855</v>
      </c>
      <c r="CB198" s="101" t="str">
        <f t="shared" si="28"/>
        <v>Fostoria City SD (CASH)</v>
      </c>
      <c r="CC198" s="101" t="b">
        <f t="shared" si="25"/>
        <v>1</v>
      </c>
      <c r="CD198" s="101" t="str">
        <f>'Gov Fd Rv'!A198</f>
        <v>Fostoria City SD (CASH)</v>
      </c>
      <c r="CE198" s="8" t="b">
        <f t="shared" si="24"/>
        <v>1</v>
      </c>
      <c r="CG198" s="8" t="str">
        <f t="shared" si="26"/>
        <v>Seneca</v>
      </c>
      <c r="CH198" s="8" t="b">
        <f t="shared" si="27"/>
        <v>1</v>
      </c>
      <c r="CI198" s="8" t="b">
        <f>C198='Gov Fd Rv'!C198</f>
        <v>1</v>
      </c>
    </row>
    <row r="199" spans="1:87">
      <c r="A199" s="12" t="s">
        <v>561</v>
      </c>
      <c r="B199" s="12"/>
      <c r="C199" s="12" t="s">
        <v>69</v>
      </c>
      <c r="D199" s="12"/>
      <c r="E199" s="12">
        <v>44008</v>
      </c>
      <c r="G199" s="7">
        <v>14075984</v>
      </c>
      <c r="I199" s="7">
        <v>4237328</v>
      </c>
      <c r="K199" s="7">
        <v>425134</v>
      </c>
      <c r="M199" s="7">
        <v>0</v>
      </c>
      <c r="O199" s="7">
        <f>11170+57187</f>
        <v>68357</v>
      </c>
      <c r="Q199" s="7">
        <v>1523250</v>
      </c>
      <c r="S199" s="7">
        <v>1654711</v>
      </c>
      <c r="U199" s="7">
        <v>31392</v>
      </c>
      <c r="W199" s="7">
        <v>1919321</v>
      </c>
      <c r="Y199" s="7">
        <v>627187</v>
      </c>
      <c r="AA199" s="7">
        <v>187505</v>
      </c>
      <c r="AC199" s="7">
        <v>2227051</v>
      </c>
      <c r="AE199" s="7">
        <v>1186985</v>
      </c>
      <c r="AG199" s="7">
        <v>385942</v>
      </c>
      <c r="AI199" s="7">
        <v>0</v>
      </c>
      <c r="AK199" s="7">
        <v>1561822</v>
      </c>
      <c r="AL199" s="12" t="s">
        <v>561</v>
      </c>
      <c r="AM199" s="12"/>
      <c r="AN199" s="12" t="s">
        <v>69</v>
      </c>
      <c r="AP199" s="7">
        <v>777732</v>
      </c>
      <c r="AR199" s="7">
        <v>1504825</v>
      </c>
      <c r="AT199" s="7">
        <v>0</v>
      </c>
      <c r="AV199" s="7">
        <v>287503</v>
      </c>
      <c r="AX199" s="7">
        <f>255030+29890</f>
        <v>284920</v>
      </c>
      <c r="AZ199" s="7">
        <v>0</v>
      </c>
      <c r="BB199" s="8">
        <f t="shared" si="34"/>
        <v>32966949</v>
      </c>
      <c r="BD199" s="7">
        <v>0</v>
      </c>
      <c r="BF199" s="7">
        <v>0</v>
      </c>
      <c r="BH199" s="7">
        <v>0</v>
      </c>
      <c r="BJ199" s="7">
        <v>0</v>
      </c>
      <c r="BL199" s="8">
        <f t="shared" si="33"/>
        <v>32966949</v>
      </c>
      <c r="BN199" s="8">
        <f>'Gov Fd Rv'!AQ199-'Gov Fnd Exp'!BL199</f>
        <v>-14198</v>
      </c>
      <c r="BP199" s="7">
        <v>5815845</v>
      </c>
      <c r="BR199" s="7">
        <v>0</v>
      </c>
      <c r="BT199" s="7">
        <v>0</v>
      </c>
      <c r="BV199" s="8">
        <f t="shared" si="32"/>
        <v>5801647</v>
      </c>
      <c r="BW199" s="8"/>
      <c r="BX199" s="8">
        <f>BV199-'Gov Fd BS'!AE199</f>
        <v>0</v>
      </c>
      <c r="BY199" s="8"/>
      <c r="CB199" s="101" t="str">
        <f t="shared" si="28"/>
        <v>Franklin City SD</v>
      </c>
      <c r="CC199" s="101" t="b">
        <f t="shared" si="25"/>
        <v>1</v>
      </c>
      <c r="CD199" s="101" t="str">
        <f>'Gov Fd Rv'!A199</f>
        <v>Franklin City SD</v>
      </c>
      <c r="CE199" s="8" t="b">
        <f t="shared" si="24"/>
        <v>1</v>
      </c>
      <c r="CG199" s="8" t="str">
        <f t="shared" si="26"/>
        <v>Warren</v>
      </c>
      <c r="CH199" s="8" t="b">
        <f t="shared" si="27"/>
        <v>1</v>
      </c>
      <c r="CI199" s="8" t="b">
        <f>C199='Gov Fd Rv'!C199</f>
        <v>1</v>
      </c>
    </row>
    <row r="200" spans="1:87">
      <c r="A200" s="12" t="s">
        <v>457</v>
      </c>
      <c r="B200" s="12"/>
      <c r="C200" s="12" t="s">
        <v>51</v>
      </c>
      <c r="D200" s="12"/>
      <c r="E200" s="12">
        <v>48843</v>
      </c>
      <c r="G200" s="7">
        <v>11017230</v>
      </c>
      <c r="I200" s="7">
        <v>2496862</v>
      </c>
      <c r="K200" s="7">
        <v>144968</v>
      </c>
      <c r="M200" s="7">
        <v>0</v>
      </c>
      <c r="O200" s="7">
        <v>245313</v>
      </c>
      <c r="Q200" s="7">
        <v>658924</v>
      </c>
      <c r="S200" s="7">
        <v>1067517</v>
      </c>
      <c r="U200" s="7">
        <v>68588</v>
      </c>
      <c r="W200" s="7">
        <v>1432418</v>
      </c>
      <c r="Y200" s="7">
        <v>475323</v>
      </c>
      <c r="AA200" s="7">
        <v>0</v>
      </c>
      <c r="AC200" s="7">
        <v>1831130</v>
      </c>
      <c r="AE200" s="7">
        <v>1493435</v>
      </c>
      <c r="AG200" s="7">
        <v>203280</v>
      </c>
      <c r="AI200" s="7">
        <v>1120782</v>
      </c>
      <c r="AK200" s="7">
        <v>1931</v>
      </c>
      <c r="AL200" s="12" t="s">
        <v>457</v>
      </c>
      <c r="AM200" s="12"/>
      <c r="AN200" s="12" t="s">
        <v>51</v>
      </c>
      <c r="AP200" s="7">
        <v>533936</v>
      </c>
      <c r="AR200" s="7">
        <v>538287</v>
      </c>
      <c r="AT200" s="7">
        <v>0</v>
      </c>
      <c r="AV200" s="7">
        <v>484399</v>
      </c>
      <c r="AX200" s="7">
        <v>289826</v>
      </c>
      <c r="AZ200" s="7">
        <v>0</v>
      </c>
      <c r="BB200" s="8">
        <f t="shared" si="34"/>
        <v>24104149</v>
      </c>
      <c r="BD200" s="7">
        <v>283000</v>
      </c>
      <c r="BF200" s="7">
        <v>0</v>
      </c>
      <c r="BH200" s="7">
        <v>0</v>
      </c>
      <c r="BJ200" s="7">
        <v>0</v>
      </c>
      <c r="BL200" s="8">
        <f t="shared" si="33"/>
        <v>24387149</v>
      </c>
      <c r="BN200" s="8">
        <f>'Gov Fd Rv'!AQ200-'Gov Fnd Exp'!BL200</f>
        <v>644510</v>
      </c>
      <c r="BP200" s="7">
        <v>5519338</v>
      </c>
      <c r="BR200" s="7">
        <v>0</v>
      </c>
      <c r="BT200" s="7">
        <v>0</v>
      </c>
      <c r="BV200" s="8">
        <f t="shared" si="32"/>
        <v>6163848</v>
      </c>
      <c r="BW200" s="8"/>
      <c r="BX200" s="8">
        <f>BV200-'Gov Fd BS'!AE200</f>
        <v>0</v>
      </c>
      <c r="BY200" s="8"/>
      <c r="CB200" s="101" t="str">
        <f t="shared" si="28"/>
        <v>Franklin Local SD</v>
      </c>
      <c r="CC200" s="101" t="b">
        <f t="shared" si="25"/>
        <v>1</v>
      </c>
      <c r="CD200" s="101" t="str">
        <f>'Gov Fd Rv'!A200</f>
        <v>Franklin Local SD</v>
      </c>
      <c r="CE200" s="8" t="b">
        <f t="shared" si="24"/>
        <v>1</v>
      </c>
      <c r="CG200" s="8" t="str">
        <f t="shared" si="26"/>
        <v>Muskingum</v>
      </c>
      <c r="CH200" s="8" t="b">
        <f t="shared" si="27"/>
        <v>1</v>
      </c>
      <c r="CI200" s="8" t="b">
        <f>C200='Gov Fd Rv'!C200</f>
        <v>1</v>
      </c>
    </row>
    <row r="201" spans="1:87" ht="12" hidden="1" customHeight="1">
      <c r="A201" s="12" t="s">
        <v>641</v>
      </c>
      <c r="B201" s="12"/>
      <c r="C201" s="12" t="s">
        <v>21</v>
      </c>
      <c r="D201" s="12"/>
      <c r="E201" s="12">
        <v>46649</v>
      </c>
      <c r="AL201" s="12" t="s">
        <v>641</v>
      </c>
      <c r="AM201" s="12"/>
      <c r="AN201" s="12" t="s">
        <v>21</v>
      </c>
      <c r="BB201" s="8">
        <f t="shared" si="34"/>
        <v>0</v>
      </c>
      <c r="BL201" s="8">
        <f t="shared" si="33"/>
        <v>0</v>
      </c>
      <c r="BN201" s="8">
        <f>'Gov Fd Rv'!AQ201-'Gov Fnd Exp'!BL201</f>
        <v>0</v>
      </c>
      <c r="BV201" s="8">
        <f t="shared" si="32"/>
        <v>0</v>
      </c>
      <c r="BW201" s="8"/>
      <c r="BX201" s="8">
        <f>BV201-'Gov Fd BS'!AE201</f>
        <v>0</v>
      </c>
      <c r="BY201" s="8"/>
      <c r="BZ201" s="7" t="s">
        <v>839</v>
      </c>
      <c r="CB201" s="101" t="str">
        <f t="shared" si="28"/>
        <v>Franklin Monroe Local SD (CASH)</v>
      </c>
      <c r="CC201" s="101" t="b">
        <f t="shared" si="25"/>
        <v>1</v>
      </c>
      <c r="CD201" s="101" t="str">
        <f>'Gov Fd Rv'!A201</f>
        <v>Franklin Monroe Local SD (CASH)</v>
      </c>
      <c r="CE201" s="8" t="b">
        <f t="shared" si="24"/>
        <v>1</v>
      </c>
      <c r="CG201" s="8" t="str">
        <f t="shared" si="26"/>
        <v>Darke</v>
      </c>
      <c r="CH201" s="8" t="b">
        <f t="shared" si="27"/>
        <v>1</v>
      </c>
      <c r="CI201" s="8" t="b">
        <f>C201='Gov Fd Rv'!C201</f>
        <v>1</v>
      </c>
    </row>
    <row r="202" spans="1:87" ht="12" hidden="1" customHeight="1">
      <c r="A202" s="12" t="s">
        <v>696</v>
      </c>
      <c r="B202" s="12"/>
      <c r="C202" s="12" t="s">
        <v>40</v>
      </c>
      <c r="D202" s="12"/>
      <c r="E202" s="12">
        <v>47852</v>
      </c>
      <c r="AL202" s="12" t="s">
        <v>696</v>
      </c>
      <c r="AM202" s="12"/>
      <c r="AN202" s="12" t="s">
        <v>40</v>
      </c>
      <c r="BB202" s="8">
        <f t="shared" si="34"/>
        <v>0</v>
      </c>
      <c r="BL202" s="8">
        <f t="shared" si="33"/>
        <v>0</v>
      </c>
      <c r="BN202" s="8">
        <f>'Gov Fd Rv'!AQ202-'Gov Fnd Exp'!BL202</f>
        <v>0</v>
      </c>
      <c r="BV202" s="8">
        <f t="shared" si="32"/>
        <v>0</v>
      </c>
      <c r="BW202" s="8"/>
      <c r="BX202" s="8">
        <f>BV202-'Gov Fd BS'!AE202</f>
        <v>0</v>
      </c>
      <c r="BY202" s="8"/>
      <c r="BZ202" s="7" t="s">
        <v>839</v>
      </c>
      <c r="CB202" s="101" t="str">
        <f t="shared" si="28"/>
        <v>Fredericktown Local SD (CASH)</v>
      </c>
      <c r="CC202" s="101" t="b">
        <f t="shared" si="25"/>
        <v>1</v>
      </c>
      <c r="CD202" s="101" t="str">
        <f>'Gov Fd Rv'!A202</f>
        <v>Fredericktown Local SD (CASH)</v>
      </c>
      <c r="CE202" s="8" t="b">
        <f t="shared" si="24"/>
        <v>1</v>
      </c>
      <c r="CG202" s="8" t="str">
        <f t="shared" si="26"/>
        <v>Knox</v>
      </c>
      <c r="CH202" s="8" t="b">
        <f t="shared" si="27"/>
        <v>1</v>
      </c>
      <c r="CI202" s="8" t="b">
        <f>C202='Gov Fd Rv'!C202</f>
        <v>1</v>
      </c>
    </row>
    <row r="203" spans="1:87">
      <c r="A203" s="12" t="s">
        <v>673</v>
      </c>
      <c r="B203" s="12"/>
      <c r="C203" s="12" t="s">
        <v>79</v>
      </c>
      <c r="D203" s="12"/>
      <c r="E203" s="12">
        <v>44016</v>
      </c>
      <c r="G203" s="7">
        <v>17788856</v>
      </c>
      <c r="I203" s="7">
        <v>6222756</v>
      </c>
      <c r="K203" s="7">
        <v>66591</v>
      </c>
      <c r="M203" s="7">
        <v>0</v>
      </c>
      <c r="O203" s="7">
        <v>324696</v>
      </c>
      <c r="Q203" s="7">
        <v>2336351</v>
      </c>
      <c r="S203" s="7">
        <v>2184127</v>
      </c>
      <c r="U203" s="7">
        <v>82441</v>
      </c>
      <c r="W203" s="7">
        <v>2900830</v>
      </c>
      <c r="Y203" s="7">
        <v>727014</v>
      </c>
      <c r="AA203" s="7">
        <v>145126</v>
      </c>
      <c r="AC203" s="7">
        <v>2993961</v>
      </c>
      <c r="AE203" s="7">
        <v>1100520</v>
      </c>
      <c r="AG203" s="7">
        <v>81421</v>
      </c>
      <c r="AI203" s="7">
        <v>0</v>
      </c>
      <c r="AK203" s="7">
        <v>2125593</v>
      </c>
      <c r="AL203" s="12" t="s">
        <v>673</v>
      </c>
      <c r="AM203" s="12"/>
      <c r="AN203" s="12" t="s">
        <v>79</v>
      </c>
      <c r="AP203" s="7">
        <v>763173</v>
      </c>
      <c r="AR203" s="7">
        <v>1251831</v>
      </c>
      <c r="AT203" s="7">
        <v>0</v>
      </c>
      <c r="AV203" s="7">
        <v>10022007</v>
      </c>
      <c r="AX203" s="7">
        <f>774953+127559</f>
        <v>902512</v>
      </c>
      <c r="AZ203" s="7">
        <v>0</v>
      </c>
      <c r="BB203" s="8">
        <f t="shared" si="34"/>
        <v>52019806</v>
      </c>
      <c r="BD203" s="7">
        <v>321292</v>
      </c>
      <c r="BF203" s="7">
        <v>0</v>
      </c>
      <c r="BH203" s="7">
        <v>0</v>
      </c>
      <c r="BJ203" s="7">
        <v>0</v>
      </c>
      <c r="BL203" s="8">
        <f t="shared" si="33"/>
        <v>52341098</v>
      </c>
      <c r="BN203" s="8">
        <f>'Gov Fd Rv'!AQ203-'Gov Fnd Exp'!BL203</f>
        <v>7986833</v>
      </c>
      <c r="BP203" s="7">
        <v>31416205</v>
      </c>
      <c r="BR203" s="7">
        <v>0</v>
      </c>
      <c r="BT203" s="7">
        <v>0</v>
      </c>
      <c r="BV203" s="8">
        <f t="shared" si="32"/>
        <v>39403038</v>
      </c>
      <c r="BW203" s="8"/>
      <c r="BX203" s="8">
        <f>BV203-'Gov Fd BS'!AE203</f>
        <v>0</v>
      </c>
      <c r="BY203" s="8"/>
      <c r="CB203" s="101" t="str">
        <f t="shared" si="28"/>
        <v xml:space="preserve">Fremont City SD </v>
      </c>
      <c r="CC203" s="101" t="b">
        <f t="shared" si="25"/>
        <v>1</v>
      </c>
      <c r="CD203" s="101" t="str">
        <f>'Gov Fd Rv'!A203</f>
        <v xml:space="preserve">Fremont City SD </v>
      </c>
      <c r="CE203" s="8" t="b">
        <f t="shared" ref="CE203:CE266" si="39">CB203=CD203</f>
        <v>1</v>
      </c>
      <c r="CG203" s="8" t="str">
        <f t="shared" si="26"/>
        <v>Sandusky</v>
      </c>
      <c r="CH203" s="8" t="b">
        <f t="shared" si="27"/>
        <v>1</v>
      </c>
      <c r="CI203" s="8" t="b">
        <f>C203='Gov Fd Rv'!C203</f>
        <v>1</v>
      </c>
    </row>
    <row r="204" spans="1:87">
      <c r="A204" s="12" t="s">
        <v>565</v>
      </c>
      <c r="B204" s="12"/>
      <c r="C204" s="12" t="s">
        <v>70</v>
      </c>
      <c r="D204" s="12"/>
      <c r="E204" s="12">
        <v>50492</v>
      </c>
      <c r="G204" s="7">
        <v>3299639</v>
      </c>
      <c r="I204" s="7">
        <v>1170638</v>
      </c>
      <c r="K204" s="7">
        <v>278399</v>
      </c>
      <c r="M204" s="7">
        <v>0</v>
      </c>
      <c r="O204" s="7">
        <v>0</v>
      </c>
      <c r="Q204" s="7">
        <v>258034</v>
      </c>
      <c r="S204" s="7">
        <v>163942</v>
      </c>
      <c r="U204" s="7">
        <v>21060</v>
      </c>
      <c r="W204" s="7">
        <v>966240</v>
      </c>
      <c r="Y204" s="7">
        <v>274647</v>
      </c>
      <c r="AA204" s="7">
        <v>0</v>
      </c>
      <c r="AC204" s="7">
        <v>1079138</v>
      </c>
      <c r="AE204" s="7">
        <v>851040</v>
      </c>
      <c r="AG204" s="7">
        <v>10262</v>
      </c>
      <c r="AI204" s="7">
        <v>373514</v>
      </c>
      <c r="AK204" s="7">
        <v>0</v>
      </c>
      <c r="AL204" s="12" t="s">
        <v>565</v>
      </c>
      <c r="AM204" s="12"/>
      <c r="AN204" s="12" t="s">
        <v>70</v>
      </c>
      <c r="AP204" s="7">
        <v>148437</v>
      </c>
      <c r="AR204" s="7">
        <v>1305</v>
      </c>
      <c r="AT204" s="7">
        <v>0</v>
      </c>
      <c r="AV204" s="7">
        <v>117206</v>
      </c>
      <c r="AX204" s="7">
        <f>86817+25216</f>
        <v>112033</v>
      </c>
      <c r="AZ204" s="7">
        <v>0</v>
      </c>
      <c r="BB204" s="8">
        <f t="shared" si="34"/>
        <v>9125534</v>
      </c>
      <c r="BD204" s="7">
        <v>45000</v>
      </c>
      <c r="BF204" s="7">
        <v>0</v>
      </c>
      <c r="BH204" s="7">
        <v>0</v>
      </c>
      <c r="BJ204" s="7">
        <v>519930</v>
      </c>
      <c r="BL204" s="8">
        <f t="shared" si="33"/>
        <v>9690464</v>
      </c>
      <c r="BN204" s="8">
        <f>'Gov Fd Rv'!AQ204-'Gov Fnd Exp'!BL204</f>
        <v>239974</v>
      </c>
      <c r="BP204" s="7">
        <v>2175298</v>
      </c>
      <c r="BR204" s="7">
        <v>0</v>
      </c>
      <c r="BT204" s="7">
        <v>0</v>
      </c>
      <c r="BV204" s="8">
        <f t="shared" si="32"/>
        <v>2415272</v>
      </c>
      <c r="BW204" s="8"/>
      <c r="BX204" s="8">
        <f>BV204-'Gov Fd BS'!AE204</f>
        <v>0</v>
      </c>
      <c r="BY204" s="8"/>
      <c r="CB204" s="101" t="str">
        <f t="shared" si="28"/>
        <v>Frontier Local SD</v>
      </c>
      <c r="CC204" s="101" t="b">
        <f t="shared" ref="CC204:CC267" si="40">A204=AL204</f>
        <v>1</v>
      </c>
      <c r="CD204" s="101" t="str">
        <f>'Gov Fd Rv'!A204</f>
        <v>Frontier Local SD</v>
      </c>
      <c r="CE204" s="8" t="b">
        <f t="shared" si="39"/>
        <v>1</v>
      </c>
      <c r="CG204" s="8" t="str">
        <f t="shared" ref="CG204:CG267" si="41">C204</f>
        <v>Washington</v>
      </c>
      <c r="CH204" s="8" t="b">
        <f t="shared" ref="CH204:CH267" si="42">C204=AN204</f>
        <v>1</v>
      </c>
      <c r="CI204" s="8" t="b">
        <f>C204='Gov Fd Rv'!C204</f>
        <v>1</v>
      </c>
    </row>
    <row r="205" spans="1:87">
      <c r="A205" s="12" t="s">
        <v>670</v>
      </c>
      <c r="B205" s="12"/>
      <c r="C205" s="12" t="s">
        <v>27</v>
      </c>
      <c r="D205" s="12"/>
      <c r="E205" s="12">
        <v>46961</v>
      </c>
      <c r="G205" s="7">
        <v>40869401</v>
      </c>
      <c r="I205" s="7">
        <v>12702222</v>
      </c>
      <c r="K205" s="7">
        <v>902313</v>
      </c>
      <c r="M205" s="7">
        <v>0</v>
      </c>
      <c r="O205" s="7">
        <v>0</v>
      </c>
      <c r="Q205" s="7">
        <v>3828604</v>
      </c>
      <c r="S205" s="7">
        <v>4247651</v>
      </c>
      <c r="U205" s="7">
        <v>264969</v>
      </c>
      <c r="W205" s="7">
        <v>6908686</v>
      </c>
      <c r="Y205" s="7">
        <v>1418034</v>
      </c>
      <c r="AA205" s="7">
        <v>13282</v>
      </c>
      <c r="AC205" s="7">
        <v>6040227</v>
      </c>
      <c r="AE205" s="7">
        <v>2688397</v>
      </c>
      <c r="AG205" s="7">
        <v>591155</v>
      </c>
      <c r="AI205" s="7">
        <v>0</v>
      </c>
      <c r="AK205" s="7">
        <v>1833816</v>
      </c>
      <c r="AL205" s="12" t="s">
        <v>670</v>
      </c>
      <c r="AM205" s="12"/>
      <c r="AN205" s="12" t="s">
        <v>27</v>
      </c>
      <c r="AP205" s="7">
        <v>1186176</v>
      </c>
      <c r="AR205" s="7">
        <v>12115050</v>
      </c>
      <c r="AT205" s="7">
        <v>0</v>
      </c>
      <c r="AV205" s="7">
        <v>3380675</v>
      </c>
      <c r="AX205" s="7">
        <v>1440836</v>
      </c>
      <c r="AZ205" s="7">
        <v>0</v>
      </c>
      <c r="BB205" s="8">
        <f t="shared" si="34"/>
        <v>100431494</v>
      </c>
      <c r="BD205" s="7">
        <v>1791514</v>
      </c>
      <c r="BF205" s="7">
        <v>0</v>
      </c>
      <c r="BH205" s="7">
        <v>0</v>
      </c>
      <c r="BJ205" s="7">
        <v>0</v>
      </c>
      <c r="BL205" s="8">
        <f t="shared" si="33"/>
        <v>102223008</v>
      </c>
      <c r="BN205" s="8">
        <f>'Gov Fd Rv'!AQ205-'Gov Fnd Exp'!BL205</f>
        <v>-13643119</v>
      </c>
      <c r="BP205" s="7">
        <v>40136984</v>
      </c>
      <c r="BR205" s="7">
        <v>0</v>
      </c>
      <c r="BT205" s="7">
        <v>0</v>
      </c>
      <c r="BV205" s="8">
        <f t="shared" si="32"/>
        <v>26493865</v>
      </c>
      <c r="BW205" s="8"/>
      <c r="BX205" s="8">
        <f>BV205-'Gov Fd BS'!AE205</f>
        <v>0</v>
      </c>
      <c r="BY205" s="8"/>
      <c r="CB205" s="101" t="str">
        <f t="shared" ref="CB205:CB268" si="43">A205</f>
        <v xml:space="preserve">Gahanna-Jefferson City SD </v>
      </c>
      <c r="CC205" s="101" t="b">
        <f t="shared" si="40"/>
        <v>1</v>
      </c>
      <c r="CD205" s="101" t="str">
        <f>'Gov Fd Rv'!A205</f>
        <v xml:space="preserve">Gahanna-Jefferson City SD </v>
      </c>
      <c r="CE205" s="8" t="b">
        <f t="shared" si="39"/>
        <v>1</v>
      </c>
      <c r="CG205" s="8" t="str">
        <f t="shared" si="41"/>
        <v>Franklin</v>
      </c>
      <c r="CH205" s="8" t="b">
        <f t="shared" si="42"/>
        <v>1</v>
      </c>
      <c r="CI205" s="8" t="b">
        <f>C205='Gov Fd Rv'!C205</f>
        <v>1</v>
      </c>
    </row>
    <row r="206" spans="1:87">
      <c r="A206" s="12" t="s">
        <v>265</v>
      </c>
      <c r="B206" s="12"/>
      <c r="C206" s="12" t="s">
        <v>111</v>
      </c>
      <c r="D206" s="12"/>
      <c r="E206" s="12">
        <v>44024</v>
      </c>
      <c r="G206" s="7">
        <v>8666317</v>
      </c>
      <c r="I206" s="7">
        <v>3577404</v>
      </c>
      <c r="K206" s="7">
        <v>59309</v>
      </c>
      <c r="M206" s="7">
        <v>0</v>
      </c>
      <c r="O206" s="7">
        <v>0</v>
      </c>
      <c r="Q206" s="7">
        <v>962338</v>
      </c>
      <c r="S206" s="7">
        <v>873470</v>
      </c>
      <c r="U206" s="7">
        <v>74290</v>
      </c>
      <c r="W206" s="7">
        <v>1340689</v>
      </c>
      <c r="Y206" s="7">
        <v>436484</v>
      </c>
      <c r="AA206" s="7">
        <v>0</v>
      </c>
      <c r="AC206" s="7">
        <v>1716197</v>
      </c>
      <c r="AE206" s="7">
        <v>850015</v>
      </c>
      <c r="AG206" s="7">
        <v>173586</v>
      </c>
      <c r="AI206" s="7">
        <v>0</v>
      </c>
      <c r="AK206" s="7">
        <v>931245</v>
      </c>
      <c r="AL206" s="12" t="s">
        <v>265</v>
      </c>
      <c r="AM206" s="12"/>
      <c r="AN206" s="12" t="s">
        <v>111</v>
      </c>
      <c r="AP206" s="7">
        <v>636988</v>
      </c>
      <c r="AR206" s="7">
        <v>533199</v>
      </c>
      <c r="AT206" s="7">
        <v>0</v>
      </c>
      <c r="AV206" s="7">
        <v>396175</v>
      </c>
      <c r="AX206" s="7">
        <v>796384</v>
      </c>
      <c r="AZ206" s="7">
        <v>0</v>
      </c>
      <c r="BB206" s="8">
        <f t="shared" si="34"/>
        <v>22024090</v>
      </c>
      <c r="BD206" s="7">
        <v>50182</v>
      </c>
      <c r="BF206" s="7">
        <v>0</v>
      </c>
      <c r="BH206" s="7">
        <v>0</v>
      </c>
      <c r="BJ206" s="7">
        <v>0</v>
      </c>
      <c r="BL206" s="8">
        <f t="shared" si="33"/>
        <v>22074272</v>
      </c>
      <c r="BN206" s="8">
        <f>'Gov Fd Rv'!AQ206-'Gov Fnd Exp'!BL206</f>
        <v>59370</v>
      </c>
      <c r="BP206" s="7">
        <v>4612234</v>
      </c>
      <c r="BR206" s="7">
        <v>0</v>
      </c>
      <c r="BT206" s="7">
        <v>0</v>
      </c>
      <c r="BV206" s="8">
        <f t="shared" si="32"/>
        <v>4671604</v>
      </c>
      <c r="BW206" s="8"/>
      <c r="BX206" s="8">
        <f>BV206-'Gov Fd BS'!AE206</f>
        <v>0</v>
      </c>
      <c r="BY206" s="8"/>
      <c r="CB206" s="101" t="str">
        <f t="shared" si="43"/>
        <v>Galion City SD</v>
      </c>
      <c r="CC206" s="101" t="b">
        <f t="shared" si="40"/>
        <v>1</v>
      </c>
      <c r="CD206" s="101" t="str">
        <f>'Gov Fd Rv'!A206</f>
        <v>Galion City SD</v>
      </c>
      <c r="CE206" s="8" t="b">
        <f t="shared" si="39"/>
        <v>1</v>
      </c>
      <c r="CG206" s="8" t="str">
        <f t="shared" si="41"/>
        <v>Crawford</v>
      </c>
      <c r="CH206" s="8" t="b">
        <f t="shared" si="42"/>
        <v>1</v>
      </c>
      <c r="CI206" s="8" t="b">
        <f>C206='Gov Fd Rv'!C206</f>
        <v>1</v>
      </c>
    </row>
    <row r="207" spans="1:87" hidden="1">
      <c r="A207" s="12" t="s">
        <v>671</v>
      </c>
      <c r="B207" s="12"/>
      <c r="C207" s="12" t="s">
        <v>29</v>
      </c>
      <c r="D207" s="12"/>
      <c r="E207" s="12">
        <v>65680</v>
      </c>
      <c r="AL207" s="12" t="s">
        <v>671</v>
      </c>
      <c r="AM207" s="12"/>
      <c r="AN207" s="12" t="s">
        <v>29</v>
      </c>
      <c r="BB207" s="8">
        <f t="shared" si="34"/>
        <v>0</v>
      </c>
      <c r="BL207" s="8">
        <f t="shared" si="33"/>
        <v>0</v>
      </c>
      <c r="BN207" s="8">
        <f>'Gov Fd Rv'!AQ207-'Gov Fnd Exp'!BL207</f>
        <v>0</v>
      </c>
      <c r="BV207" s="8">
        <f t="shared" si="32"/>
        <v>0</v>
      </c>
      <c r="BW207" s="8"/>
      <c r="BX207" s="8">
        <f>BV207-'Gov Fd BS'!AE207</f>
        <v>0</v>
      </c>
      <c r="BY207" s="8"/>
      <c r="BZ207" s="7" t="s">
        <v>856</v>
      </c>
      <c r="CB207" s="101" t="str">
        <f t="shared" si="43"/>
        <v xml:space="preserve">Gallia County Local SD </v>
      </c>
      <c r="CC207" s="101" t="b">
        <f t="shared" si="40"/>
        <v>1</v>
      </c>
      <c r="CD207" s="101" t="str">
        <f>'Gov Fd Rv'!A207</f>
        <v xml:space="preserve">Gallia County Local SD </v>
      </c>
      <c r="CE207" s="8" t="b">
        <f t="shared" si="39"/>
        <v>1</v>
      </c>
      <c r="CG207" s="8" t="str">
        <f t="shared" si="41"/>
        <v>Gallia</v>
      </c>
      <c r="CH207" s="8" t="b">
        <f t="shared" si="42"/>
        <v>1</v>
      </c>
      <c r="CI207" s="8" t="b">
        <f>C207='Gov Fd Rv'!C207</f>
        <v>1</v>
      </c>
    </row>
    <row r="208" spans="1:87">
      <c r="A208" s="12" t="s">
        <v>320</v>
      </c>
      <c r="B208" s="12"/>
      <c r="C208" s="12" t="s">
        <v>29</v>
      </c>
      <c r="D208" s="12"/>
      <c r="E208" s="12">
        <v>44032</v>
      </c>
      <c r="G208" s="7">
        <v>8831019</v>
      </c>
      <c r="I208" s="7">
        <v>3320524</v>
      </c>
      <c r="K208" s="7">
        <v>112188</v>
      </c>
      <c r="M208" s="7">
        <v>0</v>
      </c>
      <c r="O208" s="7">
        <v>804637</v>
      </c>
      <c r="Q208" s="7">
        <v>1074267</v>
      </c>
      <c r="S208" s="7">
        <v>1444173</v>
      </c>
      <c r="U208" s="7">
        <v>25750</v>
      </c>
      <c r="W208" s="7">
        <v>2037520</v>
      </c>
      <c r="Y208" s="7">
        <v>453894</v>
      </c>
      <c r="AA208" s="7">
        <v>0</v>
      </c>
      <c r="AC208" s="7">
        <v>2102940</v>
      </c>
      <c r="AE208" s="7">
        <v>1629795</v>
      </c>
      <c r="AG208" s="7">
        <v>142675</v>
      </c>
      <c r="AI208" s="7">
        <v>918477</v>
      </c>
      <c r="AK208" s="7">
        <v>0</v>
      </c>
      <c r="AL208" s="12" t="s">
        <v>320</v>
      </c>
      <c r="AM208" s="12"/>
      <c r="AN208" s="12" t="s">
        <v>29</v>
      </c>
      <c r="AP208" s="7">
        <v>508761</v>
      </c>
      <c r="AR208" s="7">
        <v>11959123</v>
      </c>
      <c r="AT208" s="7">
        <v>0</v>
      </c>
      <c r="AV208" s="7">
        <v>565000</v>
      </c>
      <c r="AX208" s="7">
        <v>1047240</v>
      </c>
      <c r="AZ208" s="7">
        <v>0</v>
      </c>
      <c r="BB208" s="8">
        <f t="shared" si="34"/>
        <v>36977983</v>
      </c>
      <c r="BD208" s="7">
        <v>0</v>
      </c>
      <c r="BF208" s="7">
        <v>0</v>
      </c>
      <c r="BH208" s="7">
        <v>0</v>
      </c>
      <c r="BJ208" s="7">
        <v>0</v>
      </c>
      <c r="BL208" s="8">
        <f t="shared" si="33"/>
        <v>36977983</v>
      </c>
      <c r="BN208" s="8">
        <f>'Gov Fd Rv'!AQ208-'Gov Fnd Exp'!BL208</f>
        <v>-5427483</v>
      </c>
      <c r="BP208" s="7">
        <v>14023400</v>
      </c>
      <c r="BR208" s="7">
        <v>41742</v>
      </c>
      <c r="BT208" s="7">
        <v>0</v>
      </c>
      <c r="BV208" s="8">
        <f t="shared" si="32"/>
        <v>8637659</v>
      </c>
      <c r="BW208" s="8"/>
      <c r="BX208" s="8">
        <f>BV208-'Gov Fd BS'!AE208</f>
        <v>0</v>
      </c>
      <c r="BY208" s="8"/>
      <c r="CB208" s="101" t="str">
        <f t="shared" si="43"/>
        <v>Gallipolis City SD</v>
      </c>
      <c r="CC208" s="101" t="b">
        <f t="shared" si="40"/>
        <v>1</v>
      </c>
      <c r="CD208" s="101" t="str">
        <f>'Gov Fd Rv'!A208</f>
        <v>Gallipolis City SD</v>
      </c>
      <c r="CE208" s="8" t="b">
        <f t="shared" si="39"/>
        <v>1</v>
      </c>
      <c r="CG208" s="8" t="str">
        <f t="shared" si="41"/>
        <v>Gallia</v>
      </c>
      <c r="CH208" s="8" t="b">
        <f t="shared" si="42"/>
        <v>1</v>
      </c>
      <c r="CI208" s="8" t="b">
        <f>C208='Gov Fd Rv'!C208</f>
        <v>1</v>
      </c>
    </row>
    <row r="209" spans="1:87">
      <c r="A209" s="12" t="s">
        <v>551</v>
      </c>
      <c r="B209" s="12"/>
      <c r="C209" s="12" t="s">
        <v>65</v>
      </c>
      <c r="D209" s="12"/>
      <c r="E209" s="12">
        <v>50278</v>
      </c>
      <c r="G209" s="7">
        <v>5732654</v>
      </c>
      <c r="I209" s="7">
        <v>1293209</v>
      </c>
      <c r="K209" s="7">
        <v>1126</v>
      </c>
      <c r="M209" s="7">
        <v>0</v>
      </c>
      <c r="O209" s="7">
        <v>96120</v>
      </c>
      <c r="Q209" s="7">
        <v>365587</v>
      </c>
      <c r="S209" s="7">
        <v>702062</v>
      </c>
      <c r="U209" s="7">
        <v>15057</v>
      </c>
      <c r="W209" s="7">
        <v>1103792</v>
      </c>
      <c r="Y209" s="7">
        <v>386363</v>
      </c>
      <c r="AA209" s="7">
        <v>0</v>
      </c>
      <c r="AC209" s="7">
        <v>967962</v>
      </c>
      <c r="AE209" s="7">
        <v>890136</v>
      </c>
      <c r="AG209" s="7">
        <v>39388</v>
      </c>
      <c r="AI209" s="7">
        <v>441346</v>
      </c>
      <c r="AK209" s="7">
        <v>0</v>
      </c>
      <c r="AL209" s="12" t="s">
        <v>551</v>
      </c>
      <c r="AM209" s="12"/>
      <c r="AN209" s="12" t="s">
        <v>65</v>
      </c>
      <c r="AP209" s="7">
        <v>359266</v>
      </c>
      <c r="AR209" s="7">
        <v>1299</v>
      </c>
      <c r="AT209" s="7">
        <v>0</v>
      </c>
      <c r="AV209" s="7">
        <v>177562</v>
      </c>
      <c r="AX209" s="7">
        <v>38328</v>
      </c>
      <c r="AZ209" s="7">
        <v>0</v>
      </c>
      <c r="BB209" s="8">
        <f t="shared" si="34"/>
        <v>12611257</v>
      </c>
      <c r="BD209" s="7">
        <v>10000</v>
      </c>
      <c r="BF209" s="7">
        <v>0</v>
      </c>
      <c r="BH209" s="7">
        <v>0</v>
      </c>
      <c r="BJ209" s="7">
        <v>0</v>
      </c>
      <c r="BL209" s="8">
        <f t="shared" si="33"/>
        <v>12621257</v>
      </c>
      <c r="BN209" s="8">
        <f>'Gov Fd Rv'!AQ209-'Gov Fnd Exp'!BL209</f>
        <v>-117186</v>
      </c>
      <c r="BP209" s="7">
        <v>3148158</v>
      </c>
      <c r="BR209" s="7">
        <v>0</v>
      </c>
      <c r="BT209" s="7">
        <v>0</v>
      </c>
      <c r="BV209" s="8">
        <f t="shared" si="32"/>
        <v>3030972</v>
      </c>
      <c r="BW209" s="8"/>
      <c r="BX209" s="8">
        <f>BV209-'Gov Fd BS'!AE209</f>
        <v>0</v>
      </c>
      <c r="BY209" s="8"/>
      <c r="CB209" s="101" t="str">
        <f t="shared" si="43"/>
        <v>Garaway Local SD</v>
      </c>
      <c r="CC209" s="101" t="b">
        <f t="shared" si="40"/>
        <v>1</v>
      </c>
      <c r="CD209" s="101" t="str">
        <f>'Gov Fd Rv'!A209</f>
        <v>Garaway Local SD</v>
      </c>
      <c r="CE209" s="8" t="b">
        <f t="shared" si="39"/>
        <v>1</v>
      </c>
      <c r="CG209" s="8" t="str">
        <f t="shared" si="41"/>
        <v>Tuscarawas</v>
      </c>
      <c r="CH209" s="8" t="b">
        <f t="shared" si="42"/>
        <v>1</v>
      </c>
      <c r="CI209" s="8" t="b">
        <f>C209='Gov Fd Rv'!C209</f>
        <v>1</v>
      </c>
    </row>
    <row r="210" spans="1:87">
      <c r="A210" s="12" t="s">
        <v>714</v>
      </c>
      <c r="B210" s="12"/>
      <c r="C210" s="12" t="s">
        <v>20</v>
      </c>
      <c r="D210" s="12"/>
      <c r="E210" s="12">
        <v>44040</v>
      </c>
      <c r="G210" s="7">
        <v>14812528</v>
      </c>
      <c r="I210" s="7">
        <v>3961351</v>
      </c>
      <c r="K210" s="7">
        <v>260268</v>
      </c>
      <c r="M210" s="7">
        <v>0</v>
      </c>
      <c r="O210" s="7">
        <v>2447096</v>
      </c>
      <c r="Q210" s="7">
        <v>2256735</v>
      </c>
      <c r="S210" s="7">
        <v>2106804</v>
      </c>
      <c r="U210" s="7">
        <v>42263</v>
      </c>
      <c r="W210" s="7">
        <v>3213433</v>
      </c>
      <c r="Y210" s="7">
        <v>844970</v>
      </c>
      <c r="AA210" s="7">
        <v>708322</v>
      </c>
      <c r="AC210" s="7">
        <v>3684217</v>
      </c>
      <c r="AE210" s="7">
        <v>777720</v>
      </c>
      <c r="AG210" s="7">
        <v>353433</v>
      </c>
      <c r="AI210" s="7">
        <v>1273527</v>
      </c>
      <c r="AK210" s="7">
        <v>1196292</v>
      </c>
      <c r="AL210" s="12" t="s">
        <v>714</v>
      </c>
      <c r="AM210" s="12"/>
      <c r="AN210" s="12" t="s">
        <v>20</v>
      </c>
      <c r="AP210" s="7">
        <v>451830</v>
      </c>
      <c r="AR210" s="7">
        <v>10124643</v>
      </c>
      <c r="AT210" s="7">
        <v>0</v>
      </c>
      <c r="AV210" s="7">
        <v>2521880</v>
      </c>
      <c r="AX210" s="7">
        <v>2058283</v>
      </c>
      <c r="AZ210" s="7">
        <v>0</v>
      </c>
      <c r="BB210" s="8">
        <f t="shared" si="34"/>
        <v>53095595</v>
      </c>
      <c r="BD210" s="7">
        <v>0</v>
      </c>
      <c r="BF210" s="7">
        <v>0</v>
      </c>
      <c r="BH210" s="7">
        <v>0</v>
      </c>
      <c r="BJ210" s="7">
        <v>0</v>
      </c>
      <c r="BL210" s="8">
        <f t="shared" si="33"/>
        <v>53095595</v>
      </c>
      <c r="BN210" s="8">
        <f>'Gov Fd Rv'!AQ210-'Gov Fnd Exp'!BL210</f>
        <v>4225048</v>
      </c>
      <c r="BP210" s="7">
        <v>7277961</v>
      </c>
      <c r="BR210" s="7">
        <v>0</v>
      </c>
      <c r="BT210" s="7">
        <v>0</v>
      </c>
      <c r="BV210" s="8">
        <f t="shared" si="32"/>
        <v>11503009</v>
      </c>
      <c r="BW210" s="8"/>
      <c r="BX210" s="8">
        <f>BV210-'Gov Fd BS'!AE210</f>
        <v>0</v>
      </c>
      <c r="BY210" s="8"/>
      <c r="BZ210" s="7" t="s">
        <v>850</v>
      </c>
      <c r="CB210" s="101" t="str">
        <f t="shared" si="43"/>
        <v xml:space="preserve">Garfield Heights City SD </v>
      </c>
      <c r="CC210" s="101" t="b">
        <f t="shared" si="40"/>
        <v>1</v>
      </c>
      <c r="CD210" s="101" t="str">
        <f>'Gov Fd Rv'!A210</f>
        <v xml:space="preserve">Garfield Heights City SD </v>
      </c>
      <c r="CE210" s="8" t="b">
        <f t="shared" si="39"/>
        <v>1</v>
      </c>
      <c r="CG210" s="8" t="str">
        <f t="shared" si="41"/>
        <v>Cuyahoga</v>
      </c>
      <c r="CH210" s="8" t="b">
        <f t="shared" si="42"/>
        <v>1</v>
      </c>
      <c r="CI210" s="8" t="b">
        <f>C210='Gov Fd Rv'!C210</f>
        <v>1</v>
      </c>
    </row>
    <row r="211" spans="1:87">
      <c r="A211" s="12" t="s">
        <v>672</v>
      </c>
      <c r="B211" s="12"/>
      <c r="C211" s="12" t="s">
        <v>12</v>
      </c>
      <c r="D211" s="12"/>
      <c r="E211" s="12">
        <v>44057</v>
      </c>
      <c r="G211" s="7">
        <v>10504753</v>
      </c>
      <c r="I211" s="7">
        <v>3397306</v>
      </c>
      <c r="K211" s="7">
        <v>392352</v>
      </c>
      <c r="M211" s="7">
        <v>0</v>
      </c>
      <c r="O211" s="7">
        <v>1385378</v>
      </c>
      <c r="Q211" s="7">
        <v>1469467</v>
      </c>
      <c r="S211" s="7">
        <v>727894</v>
      </c>
      <c r="U211" s="7">
        <v>20177</v>
      </c>
      <c r="W211" s="7">
        <v>1746431</v>
      </c>
      <c r="Y211" s="7">
        <v>544639</v>
      </c>
      <c r="AA211" s="7">
        <v>33992</v>
      </c>
      <c r="AC211" s="7">
        <v>2904541</v>
      </c>
      <c r="AE211" s="7">
        <v>1350995</v>
      </c>
      <c r="AG211" s="7">
        <v>4047</v>
      </c>
      <c r="AI211" s="7">
        <v>0</v>
      </c>
      <c r="AK211" s="7">
        <v>1324427</v>
      </c>
      <c r="AL211" s="12" t="s">
        <v>672</v>
      </c>
      <c r="AM211" s="12"/>
      <c r="AN211" s="12" t="s">
        <v>12</v>
      </c>
      <c r="AP211" s="7">
        <v>636825</v>
      </c>
      <c r="AR211" s="7">
        <v>22378915</v>
      </c>
      <c r="AT211" s="7">
        <v>0</v>
      </c>
      <c r="AV211" s="7">
        <v>675000</v>
      </c>
      <c r="AX211" s="7">
        <v>791345</v>
      </c>
      <c r="AZ211" s="7">
        <v>0</v>
      </c>
      <c r="BB211" s="8">
        <f t="shared" si="34"/>
        <v>50288484</v>
      </c>
      <c r="BD211" s="7">
        <v>55243</v>
      </c>
      <c r="BF211" s="7">
        <v>0</v>
      </c>
      <c r="BH211" s="7">
        <v>0</v>
      </c>
      <c r="BJ211" s="7">
        <v>0</v>
      </c>
      <c r="BL211" s="8">
        <f t="shared" si="33"/>
        <v>50343727</v>
      </c>
      <c r="BN211" s="8">
        <f>'Gov Fd Rv'!AQ211-'Gov Fnd Exp'!BL211</f>
        <v>95496</v>
      </c>
      <c r="BP211" s="7">
        <v>18865273</v>
      </c>
      <c r="BR211" s="7">
        <v>0</v>
      </c>
      <c r="BT211" s="7">
        <v>0</v>
      </c>
      <c r="BV211" s="8">
        <f t="shared" si="32"/>
        <v>18960769</v>
      </c>
      <c r="BW211" s="8"/>
      <c r="BX211" s="8">
        <f>BV211-'Gov Fd BS'!AE211</f>
        <v>0</v>
      </c>
      <c r="BY211" s="8"/>
      <c r="CB211" s="101" t="str">
        <f t="shared" si="43"/>
        <v>Geneva Area City SD</v>
      </c>
      <c r="CC211" s="101" t="b">
        <f t="shared" si="40"/>
        <v>1</v>
      </c>
      <c r="CD211" s="101" t="str">
        <f>'Gov Fd Rv'!A211</f>
        <v>Geneva Area City SD</v>
      </c>
      <c r="CE211" s="8" t="b">
        <f t="shared" si="39"/>
        <v>1</v>
      </c>
      <c r="CG211" s="8" t="str">
        <f t="shared" si="41"/>
        <v>Ashtabula</v>
      </c>
      <c r="CH211" s="8" t="b">
        <f t="shared" si="42"/>
        <v>1</v>
      </c>
      <c r="CI211" s="8" t="b">
        <f>C211='Gov Fd Rv'!C211</f>
        <v>1</v>
      </c>
    </row>
    <row r="212" spans="1:87" hidden="1">
      <c r="A212" s="12" t="s">
        <v>983</v>
      </c>
      <c r="B212" s="12"/>
      <c r="C212" s="12" t="s">
        <v>53</v>
      </c>
      <c r="D212" s="12"/>
      <c r="E212" s="12">
        <v>48942</v>
      </c>
      <c r="AL212" s="12" t="s">
        <v>464</v>
      </c>
      <c r="AM212" s="12"/>
      <c r="AN212" s="12" t="s">
        <v>53</v>
      </c>
      <c r="BB212" s="8">
        <f t="shared" si="34"/>
        <v>0</v>
      </c>
      <c r="BL212" s="8">
        <f t="shared" si="33"/>
        <v>0</v>
      </c>
      <c r="BN212" s="8">
        <f>'Gov Fd Rv'!AQ212-'Gov Fnd Exp'!BL212</f>
        <v>0</v>
      </c>
      <c r="BV212" s="8">
        <f t="shared" si="32"/>
        <v>0</v>
      </c>
      <c r="BW212" s="8"/>
      <c r="BX212" s="8">
        <f>BV212-'Gov Fd BS'!AE212</f>
        <v>0</v>
      </c>
      <c r="BY212" s="8"/>
      <c r="BZ212" s="7" t="s">
        <v>984</v>
      </c>
      <c r="CB212" s="101" t="str">
        <f t="shared" si="43"/>
        <v>Genoa Area Local SD (CASH)</v>
      </c>
      <c r="CC212" s="101" t="b">
        <f t="shared" si="40"/>
        <v>0</v>
      </c>
      <c r="CD212" s="101" t="str">
        <f>'Gov Fd Rv'!A212</f>
        <v>Genoa Area Local SD (CASH)</v>
      </c>
      <c r="CE212" s="8" t="b">
        <f t="shared" si="39"/>
        <v>1</v>
      </c>
      <c r="CG212" s="8" t="str">
        <f t="shared" si="41"/>
        <v>Ottawa</v>
      </c>
      <c r="CH212" s="8" t="b">
        <f t="shared" si="42"/>
        <v>1</v>
      </c>
      <c r="CI212" s="8" t="b">
        <f>C212='Gov Fd Rv'!C212</f>
        <v>1</v>
      </c>
    </row>
    <row r="213" spans="1:87" hidden="1">
      <c r="A213" s="12" t="s">
        <v>697</v>
      </c>
      <c r="B213" s="12"/>
      <c r="C213" s="12" t="s">
        <v>77</v>
      </c>
      <c r="D213" s="12"/>
      <c r="E213" s="12">
        <v>45377</v>
      </c>
      <c r="AL213" s="12" t="s">
        <v>697</v>
      </c>
      <c r="AM213" s="12"/>
      <c r="AN213" s="12" t="s">
        <v>77</v>
      </c>
      <c r="BB213" s="8">
        <f t="shared" si="34"/>
        <v>0</v>
      </c>
      <c r="BL213" s="8">
        <f t="shared" si="33"/>
        <v>0</v>
      </c>
      <c r="BN213" s="8">
        <f>'Gov Fd Rv'!AQ213-'Gov Fnd Exp'!BL213</f>
        <v>0</v>
      </c>
      <c r="BV213" s="8">
        <f t="shared" si="32"/>
        <v>0</v>
      </c>
      <c r="BW213" s="8"/>
      <c r="BX213" s="8">
        <f>BV213-'Gov Fd BS'!AE213</f>
        <v>0</v>
      </c>
      <c r="BY213" s="8"/>
      <c r="BZ213" s="7" t="s">
        <v>839</v>
      </c>
      <c r="CB213" s="101" t="str">
        <f t="shared" si="43"/>
        <v>Georgetown Exempted Village SD (CASH)</v>
      </c>
      <c r="CC213" s="101" t="b">
        <f t="shared" si="40"/>
        <v>1</v>
      </c>
      <c r="CD213" s="101" t="str">
        <f>'Gov Fd Rv'!A213</f>
        <v>Georgetown Exempted Village SD (CASH)</v>
      </c>
      <c r="CE213" s="8" t="b">
        <f t="shared" si="39"/>
        <v>1</v>
      </c>
      <c r="CG213" s="8" t="str">
        <f t="shared" si="41"/>
        <v>Brown</v>
      </c>
      <c r="CH213" s="8" t="b">
        <f t="shared" si="42"/>
        <v>1</v>
      </c>
      <c r="CI213" s="8" t="b">
        <f>C213='Gov Fd Rv'!C213</f>
        <v>1</v>
      </c>
    </row>
    <row r="214" spans="1:87">
      <c r="A214" s="12" t="s">
        <v>857</v>
      </c>
      <c r="B214" s="12"/>
      <c r="C214" s="12" t="s">
        <v>79</v>
      </c>
      <c r="D214" s="12"/>
      <c r="E214" s="12">
        <v>45385</v>
      </c>
      <c r="G214" s="7">
        <v>4632707</v>
      </c>
      <c r="I214" s="7">
        <v>1020023</v>
      </c>
      <c r="K214" s="7">
        <v>173516</v>
      </c>
      <c r="M214" s="7">
        <v>0</v>
      </c>
      <c r="O214" s="7">
        <v>0</v>
      </c>
      <c r="Q214" s="7">
        <v>414837</v>
      </c>
      <c r="S214" s="7">
        <v>86909</v>
      </c>
      <c r="U214" s="7">
        <v>42214</v>
      </c>
      <c r="W214" s="7">
        <v>779805</v>
      </c>
      <c r="Y214" s="7">
        <v>420605</v>
      </c>
      <c r="AA214" s="7">
        <v>6569</v>
      </c>
      <c r="AC214" s="7">
        <v>1183774</v>
      </c>
      <c r="AE214" s="7">
        <v>395081</v>
      </c>
      <c r="AG214" s="7">
        <v>1733</v>
      </c>
      <c r="AI214" s="7">
        <v>468307</v>
      </c>
      <c r="AK214" s="7">
        <v>109317</v>
      </c>
      <c r="AL214" s="12" t="s">
        <v>857</v>
      </c>
      <c r="AM214" s="12"/>
      <c r="AN214" s="12" t="s">
        <v>79</v>
      </c>
      <c r="AP214" s="7">
        <v>345621</v>
      </c>
      <c r="AR214" s="7">
        <v>234638</v>
      </c>
      <c r="AT214" s="7">
        <v>0</v>
      </c>
      <c r="AV214" s="7">
        <v>364351</v>
      </c>
      <c r="AX214" s="7">
        <v>145692</v>
      </c>
      <c r="AZ214" s="7">
        <v>0</v>
      </c>
      <c r="BB214" s="8">
        <f t="shared" si="34"/>
        <v>10825699</v>
      </c>
      <c r="BD214" s="7">
        <v>63555</v>
      </c>
      <c r="BF214" s="7">
        <v>0</v>
      </c>
      <c r="BH214" s="7">
        <v>0</v>
      </c>
      <c r="BJ214" s="7">
        <v>0</v>
      </c>
      <c r="BL214" s="8">
        <f t="shared" si="33"/>
        <v>10889254</v>
      </c>
      <c r="BN214" s="8">
        <f>'Gov Fd Rv'!AQ214-'Gov Fnd Exp'!BL214</f>
        <v>-181394</v>
      </c>
      <c r="BP214" s="7">
        <v>3772992</v>
      </c>
      <c r="BR214" s="7">
        <v>0</v>
      </c>
      <c r="BT214" s="7">
        <v>-67887</v>
      </c>
      <c r="BV214" s="8">
        <f t="shared" si="32"/>
        <v>3523711</v>
      </c>
      <c r="BW214" s="8"/>
      <c r="BX214" s="8">
        <f>BV214-'Gov Fd BS'!AE214</f>
        <v>0</v>
      </c>
      <c r="BY214" s="8"/>
      <c r="CA214" s="8"/>
      <c r="CB214" s="101" t="str">
        <f t="shared" si="43"/>
        <v>Gibsonburg Exempted Village SD</v>
      </c>
      <c r="CC214" s="101" t="b">
        <f t="shared" si="40"/>
        <v>1</v>
      </c>
      <c r="CD214" s="101" t="str">
        <f>'Gov Fd Rv'!A214</f>
        <v>Gibsonburg Exempted Village SD</v>
      </c>
      <c r="CE214" s="8" t="b">
        <f t="shared" si="39"/>
        <v>1</v>
      </c>
      <c r="CG214" s="8" t="str">
        <f t="shared" si="41"/>
        <v>Sandusky</v>
      </c>
      <c r="CH214" s="8" t="b">
        <f t="shared" si="42"/>
        <v>1</v>
      </c>
      <c r="CI214" s="8" t="b">
        <f>C214='Gov Fd Rv'!C214</f>
        <v>1</v>
      </c>
    </row>
    <row r="215" spans="1:87">
      <c r="A215" s="12" t="s">
        <v>537</v>
      </c>
      <c r="B215" s="12"/>
      <c r="C215" s="12" t="s">
        <v>64</v>
      </c>
      <c r="D215" s="12"/>
      <c r="E215" s="12">
        <v>44065</v>
      </c>
      <c r="G215" s="7">
        <v>6033871</v>
      </c>
      <c r="I215" s="7">
        <v>1801416</v>
      </c>
      <c r="K215" s="7">
        <v>165400</v>
      </c>
      <c r="M215" s="7">
        <v>0</v>
      </c>
      <c r="O215" s="7">
        <v>744339</v>
      </c>
      <c r="Q215" s="7">
        <v>1149384</v>
      </c>
      <c r="S215" s="7">
        <v>200368</v>
      </c>
      <c r="U215" s="7">
        <v>54406</v>
      </c>
      <c r="W215" s="7">
        <v>1264552</v>
      </c>
      <c r="Y215" s="7">
        <v>792889</v>
      </c>
      <c r="AA215" s="7">
        <v>0</v>
      </c>
      <c r="AC215" s="7">
        <v>1412254</v>
      </c>
      <c r="AE215" s="7">
        <v>579804</v>
      </c>
      <c r="AG215" s="7">
        <v>4000</v>
      </c>
      <c r="AI215" s="7">
        <v>537868</v>
      </c>
      <c r="AK215" s="7">
        <v>203526</v>
      </c>
      <c r="AL215" s="12" t="s">
        <v>537</v>
      </c>
      <c r="AM215" s="12"/>
      <c r="AN215" s="12" t="s">
        <v>64</v>
      </c>
      <c r="AP215" s="7">
        <v>501436</v>
      </c>
      <c r="AR215" s="7">
        <v>5069315</v>
      </c>
      <c r="AT215" s="7">
        <v>0</v>
      </c>
      <c r="AV215" s="7">
        <v>555000</v>
      </c>
      <c r="AX215" s="7">
        <v>567631</v>
      </c>
      <c r="AZ215" s="7">
        <v>0</v>
      </c>
      <c r="BB215" s="8">
        <f t="shared" si="34"/>
        <v>21637459</v>
      </c>
      <c r="BD215" s="7">
        <v>0</v>
      </c>
      <c r="BF215" s="7">
        <v>0</v>
      </c>
      <c r="BH215" s="7">
        <v>0</v>
      </c>
      <c r="BJ215" s="7">
        <v>0</v>
      </c>
      <c r="BL215" s="8">
        <f t="shared" si="33"/>
        <v>21637459</v>
      </c>
      <c r="BN215" s="8">
        <f>'Gov Fd Rv'!AQ215-'Gov Fnd Exp'!BL215</f>
        <v>-3973963</v>
      </c>
      <c r="BP215" s="7">
        <v>14830869</v>
      </c>
      <c r="BR215" s="7">
        <v>-2468</v>
      </c>
      <c r="BT215" s="7">
        <v>0</v>
      </c>
      <c r="BV215" s="8">
        <f t="shared" si="32"/>
        <v>10854438</v>
      </c>
      <c r="BW215" s="8"/>
      <c r="BX215" s="8">
        <f>BV215-'Gov Fd BS'!AE215</f>
        <v>0</v>
      </c>
      <c r="BY215" s="8"/>
      <c r="CB215" s="101" t="str">
        <f t="shared" si="43"/>
        <v>Girard City SD</v>
      </c>
      <c r="CC215" s="101" t="b">
        <f t="shared" si="40"/>
        <v>1</v>
      </c>
      <c r="CD215" s="101" t="str">
        <f>'Gov Fd Rv'!A215</f>
        <v>Girard City SD</v>
      </c>
      <c r="CE215" s="8" t="b">
        <f t="shared" si="39"/>
        <v>1</v>
      </c>
      <c r="CG215" s="8" t="str">
        <f t="shared" si="41"/>
        <v>Trumbull</v>
      </c>
      <c r="CH215" s="8" t="b">
        <f t="shared" si="42"/>
        <v>1</v>
      </c>
      <c r="CI215" s="8" t="b">
        <f>C215='Gov Fd Rv'!C215</f>
        <v>1</v>
      </c>
    </row>
    <row r="216" spans="1:87" hidden="1">
      <c r="A216" s="12" t="s">
        <v>735</v>
      </c>
      <c r="B216" s="12"/>
      <c r="C216" s="12" t="s">
        <v>28</v>
      </c>
      <c r="D216" s="12"/>
      <c r="E216" s="12">
        <v>47068</v>
      </c>
      <c r="AL216" s="12" t="s">
        <v>735</v>
      </c>
      <c r="AM216" s="12"/>
      <c r="AN216" s="12" t="s">
        <v>28</v>
      </c>
      <c r="BB216" s="8">
        <f t="shared" si="34"/>
        <v>0</v>
      </c>
      <c r="BL216" s="8">
        <f t="shared" si="33"/>
        <v>0</v>
      </c>
      <c r="BN216" s="8">
        <f>'Gov Fd Rv'!AQ216-'Gov Fnd Exp'!BL216</f>
        <v>0</v>
      </c>
      <c r="BV216" s="8">
        <f t="shared" si="32"/>
        <v>0</v>
      </c>
      <c r="BW216" s="8"/>
      <c r="BX216" s="8">
        <f>BV216-'Gov Fd BS'!AE216</f>
        <v>0</v>
      </c>
      <c r="BY216" s="8"/>
      <c r="BZ216" s="7" t="s">
        <v>787</v>
      </c>
      <c r="CB216" s="101" t="str">
        <f t="shared" si="43"/>
        <v>Gorham Fayette Local SD - name changed to Fayette Local.  See below</v>
      </c>
      <c r="CC216" s="101" t="b">
        <f t="shared" si="40"/>
        <v>1</v>
      </c>
      <c r="CD216" s="101" t="str">
        <f>'Gov Fd Rv'!A216</f>
        <v>Gorham Fayette Local SD - name changed to Fayette Local.  See below</v>
      </c>
      <c r="CE216" s="8" t="b">
        <f t="shared" si="39"/>
        <v>1</v>
      </c>
      <c r="CG216" s="8" t="str">
        <f t="shared" si="41"/>
        <v>Fulton</v>
      </c>
      <c r="CH216" s="8" t="b">
        <f t="shared" si="42"/>
        <v>1</v>
      </c>
      <c r="CI216" s="8" t="b">
        <f>C216='Gov Fd Rv'!C216</f>
        <v>1</v>
      </c>
    </row>
    <row r="217" spans="1:87">
      <c r="A217" s="12" t="s">
        <v>245</v>
      </c>
      <c r="B217" s="12"/>
      <c r="C217" s="12" t="s">
        <v>113</v>
      </c>
      <c r="D217" s="12"/>
      <c r="E217" s="12">
        <v>46342</v>
      </c>
      <c r="G217" s="7">
        <v>10375749</v>
      </c>
      <c r="I217" s="7">
        <v>2363118</v>
      </c>
      <c r="K217" s="7">
        <v>387030</v>
      </c>
      <c r="M217" s="7">
        <v>0</v>
      </c>
      <c r="O217" s="7">
        <v>0</v>
      </c>
      <c r="Q217" s="7">
        <v>2690157</v>
      </c>
      <c r="S217" s="7">
        <v>3626087</v>
      </c>
      <c r="U217" s="7">
        <v>35762</v>
      </c>
      <c r="W217" s="7">
        <v>1362671</v>
      </c>
      <c r="Y217" s="7">
        <v>506333</v>
      </c>
      <c r="AA217" s="7">
        <v>132744</v>
      </c>
      <c r="AC217" s="7">
        <v>1521064</v>
      </c>
      <c r="AE217" s="7">
        <v>2096693</v>
      </c>
      <c r="AG217" s="7">
        <v>0</v>
      </c>
      <c r="AI217" s="7">
        <v>1136509</v>
      </c>
      <c r="AK217" s="7">
        <v>26781</v>
      </c>
      <c r="AL217" s="12" t="s">
        <v>245</v>
      </c>
      <c r="AM217" s="12"/>
      <c r="AN217" s="12" t="s">
        <v>113</v>
      </c>
      <c r="AP217" s="7">
        <v>424422</v>
      </c>
      <c r="AR217" s="7">
        <v>2421</v>
      </c>
      <c r="AT217" s="7">
        <v>0</v>
      </c>
      <c r="AV217" s="7">
        <v>720752</v>
      </c>
      <c r="AX217" s="7">
        <v>460344</v>
      </c>
      <c r="AZ217" s="7">
        <v>0</v>
      </c>
      <c r="BB217" s="8">
        <f t="shared" si="34"/>
        <v>27868637</v>
      </c>
      <c r="BD217" s="7">
        <v>19881</v>
      </c>
      <c r="BF217" s="7">
        <v>0</v>
      </c>
      <c r="BH217" s="7">
        <v>0</v>
      </c>
      <c r="BJ217" s="7">
        <v>0</v>
      </c>
      <c r="BL217" s="8">
        <f t="shared" si="33"/>
        <v>27888518</v>
      </c>
      <c r="BN217" s="8">
        <f>'Gov Fd Rv'!AQ217-'Gov Fnd Exp'!BL217</f>
        <v>749557</v>
      </c>
      <c r="BP217" s="7">
        <v>4400192</v>
      </c>
      <c r="BR217" s="7">
        <v>0</v>
      </c>
      <c r="BT217" s="7">
        <v>0</v>
      </c>
      <c r="BV217" s="8">
        <f t="shared" si="32"/>
        <v>5149749</v>
      </c>
      <c r="BW217" s="8"/>
      <c r="BX217" s="8">
        <f>BV217-'Gov Fd BS'!AE217</f>
        <v>0</v>
      </c>
      <c r="BY217" s="8"/>
      <c r="CB217" s="101" t="str">
        <f t="shared" si="43"/>
        <v>Goshen Local SD</v>
      </c>
      <c r="CC217" s="101" t="b">
        <f t="shared" si="40"/>
        <v>1</v>
      </c>
      <c r="CD217" s="101" t="str">
        <f>'Gov Fd Rv'!A217</f>
        <v>Goshen Local SD</v>
      </c>
      <c r="CE217" s="8" t="b">
        <f t="shared" si="39"/>
        <v>1</v>
      </c>
      <c r="CG217" s="8" t="str">
        <f t="shared" si="41"/>
        <v>Clermont</v>
      </c>
      <c r="CH217" s="8" t="b">
        <f t="shared" si="42"/>
        <v>1</v>
      </c>
      <c r="CI217" s="8" t="b">
        <f>C217='Gov Fd Rv'!C217</f>
        <v>1</v>
      </c>
    </row>
    <row r="218" spans="1:87" hidden="1">
      <c r="A218" s="12" t="s">
        <v>902</v>
      </c>
      <c r="B218" s="12"/>
      <c r="C218" s="12" t="s">
        <v>232</v>
      </c>
      <c r="D218" s="12"/>
      <c r="E218" s="12">
        <v>46193</v>
      </c>
      <c r="AL218" s="12" t="s">
        <v>902</v>
      </c>
      <c r="AM218" s="12"/>
      <c r="AN218" s="12" t="s">
        <v>232</v>
      </c>
      <c r="BB218" s="8">
        <f t="shared" si="34"/>
        <v>0</v>
      </c>
      <c r="BL218" s="8">
        <f t="shared" si="33"/>
        <v>0</v>
      </c>
      <c r="BN218" s="8">
        <f>'Gov Fd Rv'!AQ218-'Gov Fnd Exp'!BL218</f>
        <v>0</v>
      </c>
      <c r="BV218" s="8">
        <f t="shared" si="32"/>
        <v>0</v>
      </c>
      <c r="BW218" s="8"/>
      <c r="BX218" s="8">
        <f>BV218-'Gov Fd BS'!AE218</f>
        <v>0</v>
      </c>
      <c r="BY218" s="8"/>
      <c r="BZ218" s="7" t="s">
        <v>901</v>
      </c>
      <c r="CB218" s="101" t="str">
        <f t="shared" si="43"/>
        <v>Graham Local SD (CASH)</v>
      </c>
      <c r="CC218" s="101" t="b">
        <f t="shared" si="40"/>
        <v>1</v>
      </c>
      <c r="CD218" s="101" t="str">
        <f>'Gov Fd Rv'!A218</f>
        <v>Graham Local SD (CASH)</v>
      </c>
      <c r="CE218" s="8" t="b">
        <f t="shared" si="39"/>
        <v>1</v>
      </c>
      <c r="CG218" s="8" t="str">
        <f t="shared" si="41"/>
        <v>Champaign</v>
      </c>
      <c r="CH218" s="8" t="b">
        <f t="shared" si="42"/>
        <v>1</v>
      </c>
      <c r="CI218" s="8" t="b">
        <f>C218='Gov Fd Rv'!C218</f>
        <v>1</v>
      </c>
    </row>
    <row r="219" spans="1:87">
      <c r="A219" s="12" t="s">
        <v>209</v>
      </c>
      <c r="B219" s="12"/>
      <c r="C219" s="12" t="s">
        <v>12</v>
      </c>
      <c r="D219" s="12"/>
      <c r="E219" s="12">
        <v>45864</v>
      </c>
      <c r="G219" s="7">
        <v>5922241</v>
      </c>
      <c r="I219" s="7">
        <v>786490</v>
      </c>
      <c r="K219" s="7">
        <v>182692</v>
      </c>
      <c r="M219" s="7">
        <v>0</v>
      </c>
      <c r="O219" s="7">
        <v>75432</v>
      </c>
      <c r="Q219" s="7">
        <v>448712</v>
      </c>
      <c r="S219" s="7">
        <v>297861</v>
      </c>
      <c r="U219" s="7">
        <v>17014</v>
      </c>
      <c r="W219" s="7">
        <v>1249871</v>
      </c>
      <c r="Y219" s="7">
        <v>328794</v>
      </c>
      <c r="AA219" s="7">
        <v>23575</v>
      </c>
      <c r="AC219" s="7">
        <v>1176112</v>
      </c>
      <c r="AE219" s="7">
        <v>1191034</v>
      </c>
      <c r="AG219" s="7">
        <v>17916</v>
      </c>
      <c r="AI219" s="7">
        <v>557654</v>
      </c>
      <c r="AK219" s="7">
        <v>0</v>
      </c>
      <c r="AL219" s="12" t="s">
        <v>209</v>
      </c>
      <c r="AM219" s="12"/>
      <c r="AN219" s="12" t="s">
        <v>12</v>
      </c>
      <c r="AP219" s="7">
        <v>369561</v>
      </c>
      <c r="AR219" s="7">
        <v>151492</v>
      </c>
      <c r="AT219" s="7">
        <v>0</v>
      </c>
      <c r="AV219" s="7">
        <v>546000</v>
      </c>
      <c r="AX219" s="7">
        <v>540626</v>
      </c>
      <c r="AZ219" s="7">
        <v>0</v>
      </c>
      <c r="BB219" s="8">
        <f t="shared" si="34"/>
        <v>13883077</v>
      </c>
      <c r="BD219" s="7">
        <v>10000</v>
      </c>
      <c r="BF219" s="7">
        <v>0</v>
      </c>
      <c r="BH219" s="7">
        <v>0</v>
      </c>
      <c r="BJ219" s="7">
        <v>0</v>
      </c>
      <c r="BL219" s="8">
        <f t="shared" si="33"/>
        <v>13893077</v>
      </c>
      <c r="BN219" s="8">
        <f>'Gov Fd Rv'!AQ219-'Gov Fnd Exp'!BL219</f>
        <v>-163604</v>
      </c>
      <c r="BP219" s="7">
        <v>10449625</v>
      </c>
      <c r="BR219" s="7">
        <v>0</v>
      </c>
      <c r="BT219" s="7">
        <v>0</v>
      </c>
      <c r="BV219" s="8">
        <f>BN219+BP219+BR219+BT219</f>
        <v>10286021</v>
      </c>
      <c r="BW219" s="8"/>
      <c r="BX219" s="8">
        <f>BV219-'Gov Fd BS'!AE219</f>
        <v>0</v>
      </c>
      <c r="BY219" s="8"/>
      <c r="CB219" s="101" t="str">
        <f t="shared" si="43"/>
        <v>Grand Valley Local SD</v>
      </c>
      <c r="CC219" s="101" t="b">
        <f t="shared" si="40"/>
        <v>1</v>
      </c>
      <c r="CD219" s="101" t="str">
        <f>'Gov Fd Rv'!A219</f>
        <v>Grand Valley Local SD</v>
      </c>
      <c r="CE219" s="8" t="b">
        <f t="shared" si="39"/>
        <v>1</v>
      </c>
      <c r="CG219" s="8" t="str">
        <f t="shared" si="41"/>
        <v>Ashtabula</v>
      </c>
      <c r="CH219" s="8" t="b">
        <f t="shared" si="42"/>
        <v>1</v>
      </c>
      <c r="CI219" s="8" t="b">
        <f>C219='Gov Fd Rv'!C219</f>
        <v>1</v>
      </c>
    </row>
    <row r="220" spans="1:87">
      <c r="A220" s="12" t="s">
        <v>309</v>
      </c>
      <c r="B220" s="12"/>
      <c r="C220" s="12" t="s">
        <v>27</v>
      </c>
      <c r="D220" s="12"/>
      <c r="E220" s="12">
        <v>44073</v>
      </c>
      <c r="G220" s="7">
        <v>7114753</v>
      </c>
      <c r="I220" s="7">
        <v>2477766</v>
      </c>
      <c r="K220" s="7">
        <v>115719</v>
      </c>
      <c r="M220" s="7">
        <v>0</v>
      </c>
      <c r="O220" s="7">
        <v>0</v>
      </c>
      <c r="Q220" s="7">
        <v>1638042</v>
      </c>
      <c r="S220" s="7">
        <v>867307</v>
      </c>
      <c r="U220" s="7">
        <v>17615</v>
      </c>
      <c r="W220" s="7">
        <v>1120684</v>
      </c>
      <c r="Y220" s="7">
        <v>701191</v>
      </c>
      <c r="AA220" s="7">
        <v>45197</v>
      </c>
      <c r="AC220" s="7">
        <v>1435860</v>
      </c>
      <c r="AE220" s="7">
        <v>10722</v>
      </c>
      <c r="AG220" s="7">
        <v>56794</v>
      </c>
      <c r="AI220" s="7">
        <v>0</v>
      </c>
      <c r="AK220" s="7">
        <v>329009</v>
      </c>
      <c r="AL220" s="12" t="s">
        <v>309</v>
      </c>
      <c r="AM220" s="12"/>
      <c r="AN220" s="12" t="s">
        <v>27</v>
      </c>
      <c r="AP220" s="7">
        <v>815061</v>
      </c>
      <c r="AR220" s="7">
        <v>241064</v>
      </c>
      <c r="AT220" s="7">
        <v>0</v>
      </c>
      <c r="AV220" s="7">
        <v>935402</v>
      </c>
      <c r="AX220" s="7">
        <v>265143</v>
      </c>
      <c r="AZ220" s="7">
        <v>0</v>
      </c>
      <c r="BB220" s="8">
        <f t="shared" ref="BB220:BB285" si="44">SUM(G220:AZ220)</f>
        <v>18187329</v>
      </c>
      <c r="BD220" s="7">
        <v>54140</v>
      </c>
      <c r="BF220" s="7">
        <v>0</v>
      </c>
      <c r="BH220" s="7">
        <v>0</v>
      </c>
      <c r="BJ220" s="7">
        <v>0</v>
      </c>
      <c r="BL220" s="8">
        <f t="shared" ref="BL220:BL285" si="45">BB220+BD220+BJ220</f>
        <v>18241469</v>
      </c>
      <c r="BN220" s="8">
        <f>'Gov Fd Rv'!AQ220-'Gov Fnd Exp'!BL220</f>
        <v>606541</v>
      </c>
      <c r="BP220" s="7">
        <v>9023304</v>
      </c>
      <c r="BR220" s="7">
        <v>0</v>
      </c>
      <c r="BT220" s="7">
        <v>0</v>
      </c>
      <c r="BV220" s="8">
        <f t="shared" si="32"/>
        <v>9629845</v>
      </c>
      <c r="BW220" s="8"/>
      <c r="BX220" s="8">
        <f>BV220-'Gov Fd BS'!AE220</f>
        <v>0</v>
      </c>
      <c r="BY220" s="8"/>
      <c r="CB220" s="101" t="str">
        <f t="shared" si="43"/>
        <v>Grandview Heights City SD</v>
      </c>
      <c r="CC220" s="101" t="b">
        <f t="shared" si="40"/>
        <v>1</v>
      </c>
      <c r="CD220" s="101" t="str">
        <f>'Gov Fd Rv'!A220</f>
        <v>Grandview Heights City SD</v>
      </c>
      <c r="CE220" s="8" t="b">
        <f t="shared" si="39"/>
        <v>1</v>
      </c>
      <c r="CG220" s="8" t="str">
        <f t="shared" si="41"/>
        <v>Franklin</v>
      </c>
      <c r="CH220" s="8" t="b">
        <f t="shared" si="42"/>
        <v>1</v>
      </c>
      <c r="CI220" s="8" t="b">
        <f>C220='Gov Fd Rv'!C220</f>
        <v>1</v>
      </c>
    </row>
    <row r="221" spans="1:87">
      <c r="A221" s="12" t="s">
        <v>698</v>
      </c>
      <c r="B221" s="12"/>
      <c r="C221" s="12" t="s">
        <v>42</v>
      </c>
      <c r="D221" s="12"/>
      <c r="E221" s="12">
        <v>45393</v>
      </c>
      <c r="G221" s="7">
        <v>12074408</v>
      </c>
      <c r="I221" s="7">
        <v>2502438</v>
      </c>
      <c r="K221" s="7">
        <v>155174</v>
      </c>
      <c r="M221" s="7">
        <v>0</v>
      </c>
      <c r="O221" s="7">
        <v>500</v>
      </c>
      <c r="Q221" s="7">
        <v>1916836</v>
      </c>
      <c r="S221" s="7">
        <v>1182531</v>
      </c>
      <c r="U221" s="7">
        <v>51918</v>
      </c>
      <c r="W221" s="7">
        <v>1566642</v>
      </c>
      <c r="Y221" s="7">
        <v>779016</v>
      </c>
      <c r="AA221" s="7">
        <v>134196</v>
      </c>
      <c r="AC221" s="7">
        <v>2132916</v>
      </c>
      <c r="AE221" s="7">
        <v>1534614</v>
      </c>
      <c r="AG221" s="7">
        <v>368839</v>
      </c>
      <c r="AI221" s="7">
        <v>0</v>
      </c>
      <c r="AK221" s="7">
        <v>961891</v>
      </c>
      <c r="AL221" s="12" t="s">
        <v>698</v>
      </c>
      <c r="AM221" s="12"/>
      <c r="AN221" s="12" t="s">
        <v>42</v>
      </c>
      <c r="AP221" s="7">
        <v>1023552</v>
      </c>
      <c r="AR221" s="7">
        <v>90246</v>
      </c>
      <c r="AT221" s="7">
        <v>0</v>
      </c>
      <c r="AV221" s="7">
        <v>1609433</v>
      </c>
      <c r="AX221" s="7">
        <v>1402275</v>
      </c>
      <c r="AZ221" s="7">
        <v>0</v>
      </c>
      <c r="BB221" s="8">
        <f t="shared" si="44"/>
        <v>29487425</v>
      </c>
      <c r="BD221" s="7">
        <v>0</v>
      </c>
      <c r="BF221" s="7">
        <v>0</v>
      </c>
      <c r="BH221" s="7">
        <v>0</v>
      </c>
      <c r="BJ221" s="7">
        <v>0</v>
      </c>
      <c r="BL221" s="8">
        <f t="shared" si="45"/>
        <v>29487425</v>
      </c>
      <c r="BN221" s="8">
        <f>'Gov Fd Rv'!AQ221-'Gov Fnd Exp'!BL221</f>
        <v>-1910946</v>
      </c>
      <c r="BP221" s="7">
        <v>7309989</v>
      </c>
      <c r="BR221" s="7">
        <v>0</v>
      </c>
      <c r="BT221" s="7">
        <v>0</v>
      </c>
      <c r="BV221" s="8">
        <f t="shared" si="32"/>
        <v>5399043</v>
      </c>
      <c r="BW221" s="8"/>
      <c r="BX221" s="8">
        <f>BV221-'Gov Fd BS'!AE221</f>
        <v>0</v>
      </c>
      <c r="BY221" s="8"/>
      <c r="CB221" s="101" t="str">
        <f t="shared" si="43"/>
        <v>Granville Exempted Village SD</v>
      </c>
      <c r="CC221" s="101" t="b">
        <f t="shared" si="40"/>
        <v>1</v>
      </c>
      <c r="CD221" s="101" t="str">
        <f>'Gov Fd Rv'!A221</f>
        <v>Granville Exempted Village SD</v>
      </c>
      <c r="CE221" s="8" t="b">
        <f t="shared" si="39"/>
        <v>1</v>
      </c>
      <c r="CG221" s="8" t="str">
        <f t="shared" si="41"/>
        <v>Licking</v>
      </c>
      <c r="CH221" s="8" t="b">
        <f t="shared" si="42"/>
        <v>1</v>
      </c>
      <c r="CI221" s="8" t="b">
        <f>C221='Gov Fd Rv'!C221</f>
        <v>1</v>
      </c>
    </row>
    <row r="222" spans="1:87">
      <c r="A222" s="12" t="s">
        <v>496</v>
      </c>
      <c r="B222" s="12"/>
      <c r="C222" s="12" t="s">
        <v>59</v>
      </c>
      <c r="D222" s="12"/>
      <c r="E222" s="12">
        <v>49619</v>
      </c>
      <c r="G222" s="7">
        <v>2204789</v>
      </c>
      <c r="I222" s="7">
        <v>718549</v>
      </c>
      <c r="K222" s="7">
        <v>27275</v>
      </c>
      <c r="M222" s="7">
        <v>0</v>
      </c>
      <c r="O222" s="7">
        <v>844016</v>
      </c>
      <c r="Q222" s="7">
        <v>403450</v>
      </c>
      <c r="S222" s="7">
        <v>304282</v>
      </c>
      <c r="U222" s="7">
        <v>36629</v>
      </c>
      <c r="W222" s="7">
        <v>509041</v>
      </c>
      <c r="Y222" s="7">
        <v>253056</v>
      </c>
      <c r="AA222" s="7">
        <v>0</v>
      </c>
      <c r="AC222" s="7">
        <v>581138</v>
      </c>
      <c r="AE222" s="7">
        <v>462062</v>
      </c>
      <c r="AG222" s="7">
        <v>0</v>
      </c>
      <c r="AI222" s="7">
        <v>0</v>
      </c>
      <c r="AK222" s="7">
        <v>289515</v>
      </c>
      <c r="AL222" s="12" t="s">
        <v>496</v>
      </c>
      <c r="AM222" s="12"/>
      <c r="AN222" s="12" t="s">
        <v>59</v>
      </c>
      <c r="AP222" s="7">
        <v>116316</v>
      </c>
      <c r="AR222" s="7">
        <v>255754</v>
      </c>
      <c r="AT222" s="7">
        <v>0</v>
      </c>
      <c r="AV222" s="7">
        <v>35714</v>
      </c>
      <c r="AX222" s="7">
        <v>4751</v>
      </c>
      <c r="AZ222" s="7">
        <v>0</v>
      </c>
      <c r="BB222" s="8">
        <f t="shared" si="44"/>
        <v>7046337</v>
      </c>
      <c r="BD222" s="7">
        <v>0</v>
      </c>
      <c r="BF222" s="7">
        <v>0</v>
      </c>
      <c r="BH222" s="7">
        <v>0</v>
      </c>
      <c r="BJ222" s="7">
        <v>0</v>
      </c>
      <c r="BL222" s="8">
        <f t="shared" si="45"/>
        <v>7046337</v>
      </c>
      <c r="BN222" s="8">
        <f>'Gov Fd Rv'!AQ222-'Gov Fnd Exp'!BL222</f>
        <v>153558</v>
      </c>
      <c r="BP222" s="7">
        <v>573386</v>
      </c>
      <c r="BR222" s="7">
        <v>0</v>
      </c>
      <c r="BT222" s="7">
        <v>0</v>
      </c>
      <c r="BV222" s="8">
        <f t="shared" ref="BV222:BV288" si="46">BN222+BP222+BR222+BT222</f>
        <v>726944</v>
      </c>
      <c r="BW222" s="8"/>
      <c r="BX222" s="8">
        <f>BV222-'Gov Fd BS'!AE222</f>
        <v>0</v>
      </c>
      <c r="BY222" s="8"/>
      <c r="CB222" s="101" t="str">
        <f t="shared" si="43"/>
        <v>Green Local SD</v>
      </c>
      <c r="CC222" s="101" t="b">
        <f t="shared" si="40"/>
        <v>1</v>
      </c>
      <c r="CD222" s="101" t="str">
        <f>'Gov Fd Rv'!A222</f>
        <v>Green Local SD</v>
      </c>
      <c r="CE222" s="8" t="b">
        <f t="shared" si="39"/>
        <v>1</v>
      </c>
      <c r="CG222" s="8" t="str">
        <f t="shared" si="41"/>
        <v>Scioto</v>
      </c>
      <c r="CH222" s="8" t="b">
        <f t="shared" si="42"/>
        <v>1</v>
      </c>
      <c r="CI222" s="8" t="b">
        <f>C222='Gov Fd Rv'!C222</f>
        <v>1</v>
      </c>
    </row>
    <row r="223" spans="1:87">
      <c r="A223" s="12" t="s">
        <v>496</v>
      </c>
      <c r="B223" s="12"/>
      <c r="C223" s="12" t="s">
        <v>63</v>
      </c>
      <c r="D223" s="12"/>
      <c r="E223" s="12">
        <v>50013</v>
      </c>
      <c r="G223" s="7">
        <v>16402983</v>
      </c>
      <c r="I223" s="7">
        <v>5645094</v>
      </c>
      <c r="K223" s="7">
        <v>155364</v>
      </c>
      <c r="M223" s="7">
        <v>60761</v>
      </c>
      <c r="O223" s="7">
        <v>980265</v>
      </c>
      <c r="Q223" s="7">
        <v>2316115</v>
      </c>
      <c r="S223" s="7">
        <v>1630657</v>
      </c>
      <c r="U223" s="7">
        <v>21594</v>
      </c>
      <c r="W223" s="7">
        <v>2913087</v>
      </c>
      <c r="Y223" s="7">
        <v>1341592</v>
      </c>
      <c r="AA223" s="7">
        <v>157917</v>
      </c>
      <c r="AC223" s="7">
        <v>3332204</v>
      </c>
      <c r="AE223" s="7">
        <v>1966520</v>
      </c>
      <c r="AG223" s="7">
        <v>9051</v>
      </c>
      <c r="AI223" s="7">
        <v>1267115</v>
      </c>
      <c r="AK223" s="7">
        <v>151120</v>
      </c>
      <c r="AL223" s="12" t="s">
        <v>496</v>
      </c>
      <c r="AM223" s="12"/>
      <c r="AN223" s="12" t="s">
        <v>63</v>
      </c>
      <c r="AP223" s="7">
        <v>1187061</v>
      </c>
      <c r="AR223" s="7">
        <v>1136843</v>
      </c>
      <c r="AT223" s="7">
        <v>0</v>
      </c>
      <c r="AV223" s="7">
        <v>1684520</v>
      </c>
      <c r="AX223" s="7">
        <v>844093</v>
      </c>
      <c r="AZ223" s="7">
        <v>0</v>
      </c>
      <c r="BB223" s="8">
        <f t="shared" si="44"/>
        <v>43203956</v>
      </c>
      <c r="BD223" s="7">
        <v>2094</v>
      </c>
      <c r="BF223" s="7">
        <v>0</v>
      </c>
      <c r="BH223" s="7">
        <v>0</v>
      </c>
      <c r="BJ223" s="7">
        <v>0</v>
      </c>
      <c r="BL223" s="8">
        <f>BB223+BD223+BJ223</f>
        <v>43206050</v>
      </c>
      <c r="BN223" s="8">
        <f>'Gov Fd Rv'!AQ223-'Gov Fnd Exp'!BL223</f>
        <v>-1133606</v>
      </c>
      <c r="BP223" s="7">
        <v>-820498</v>
      </c>
      <c r="BR223" s="7">
        <v>0</v>
      </c>
      <c r="BT223" s="7">
        <v>0</v>
      </c>
      <c r="BV223" s="8">
        <f t="shared" si="46"/>
        <v>-1954104</v>
      </c>
      <c r="BW223" s="8"/>
      <c r="BX223" s="8">
        <f>BV223-'Gov Fd BS'!AE223</f>
        <v>0</v>
      </c>
      <c r="BY223" s="8"/>
      <c r="CB223" s="101" t="str">
        <f t="shared" si="43"/>
        <v>Green Local SD</v>
      </c>
      <c r="CC223" s="101" t="b">
        <f t="shared" si="40"/>
        <v>1</v>
      </c>
      <c r="CD223" s="101" t="str">
        <f>'Gov Fd Rv'!A223</f>
        <v>Green Local SD</v>
      </c>
      <c r="CE223" s="8" t="b">
        <f t="shared" si="39"/>
        <v>1</v>
      </c>
      <c r="CG223" s="8" t="str">
        <f t="shared" si="41"/>
        <v>Summit</v>
      </c>
      <c r="CH223" s="8" t="b">
        <f t="shared" si="42"/>
        <v>1</v>
      </c>
      <c r="CI223" s="8" t="b">
        <f>C223='Gov Fd Rv'!C223</f>
        <v>1</v>
      </c>
    </row>
    <row r="224" spans="1:87" hidden="1">
      <c r="A224" s="12" t="s">
        <v>496</v>
      </c>
      <c r="B224" s="12"/>
      <c r="C224" s="12" t="s">
        <v>71</v>
      </c>
      <c r="D224" s="12"/>
      <c r="E224" s="12">
        <v>50559</v>
      </c>
      <c r="AI224" s="7">
        <v>0</v>
      </c>
      <c r="AL224" s="12" t="s">
        <v>496</v>
      </c>
      <c r="AM224" s="12"/>
      <c r="AN224" s="12" t="s">
        <v>71</v>
      </c>
      <c r="BB224" s="8">
        <f t="shared" si="44"/>
        <v>0</v>
      </c>
      <c r="BL224" s="8">
        <f>BB224+BD224+BJ224</f>
        <v>0</v>
      </c>
      <c r="BN224" s="8">
        <f>'Gov Fd Rv'!AQ224-'Gov Fnd Exp'!BL224</f>
        <v>0</v>
      </c>
      <c r="BV224" s="8">
        <f t="shared" si="46"/>
        <v>0</v>
      </c>
      <c r="BW224" s="8"/>
      <c r="BX224" s="8">
        <f>BV224-'Gov Fd BS'!AE224</f>
        <v>0</v>
      </c>
      <c r="BY224" s="8"/>
      <c r="BZ224" s="7" t="s">
        <v>839</v>
      </c>
      <c r="CB224" s="101" t="str">
        <f t="shared" si="43"/>
        <v>Green Local SD</v>
      </c>
      <c r="CC224" s="101" t="b">
        <f t="shared" si="40"/>
        <v>1</v>
      </c>
      <c r="CD224" s="101" t="str">
        <f>'Gov Fd Rv'!A224</f>
        <v>Green Local SD</v>
      </c>
      <c r="CE224" s="8" t="b">
        <f t="shared" si="39"/>
        <v>1</v>
      </c>
      <c r="CG224" s="8" t="str">
        <f t="shared" si="41"/>
        <v>Wayne</v>
      </c>
      <c r="CH224" s="8" t="b">
        <f t="shared" si="42"/>
        <v>1</v>
      </c>
      <c r="CI224" s="8" t="b">
        <f>C224='Gov Fd Rv'!C224</f>
        <v>1</v>
      </c>
    </row>
    <row r="225" spans="1:87">
      <c r="A225" s="12" t="s">
        <v>326</v>
      </c>
      <c r="B225" s="12"/>
      <c r="C225" s="12" t="s">
        <v>114</v>
      </c>
      <c r="D225" s="12"/>
      <c r="E225" s="12">
        <v>47266</v>
      </c>
      <c r="G225" s="7">
        <v>5497138</v>
      </c>
      <c r="I225" s="7">
        <v>1471238</v>
      </c>
      <c r="K225" s="7">
        <v>63281</v>
      </c>
      <c r="M225" s="7">
        <v>0</v>
      </c>
      <c r="O225" s="7">
        <v>11286</v>
      </c>
      <c r="Q225" s="7">
        <v>676994</v>
      </c>
      <c r="S225" s="7">
        <v>705084</v>
      </c>
      <c r="U225" s="7">
        <v>67056</v>
      </c>
      <c r="W225" s="7">
        <v>1337933</v>
      </c>
      <c r="Y225" s="7">
        <v>369475</v>
      </c>
      <c r="AA225" s="7">
        <v>0</v>
      </c>
      <c r="AC225" s="7">
        <v>1018111</v>
      </c>
      <c r="AE225" s="7">
        <v>872440</v>
      </c>
      <c r="AG225" s="7">
        <v>0</v>
      </c>
      <c r="AI225" s="7">
        <v>0</v>
      </c>
      <c r="AK225" s="7">
        <v>431216</v>
      </c>
      <c r="AL225" s="12" t="s">
        <v>326</v>
      </c>
      <c r="AM225" s="12"/>
      <c r="AN225" s="12" t="s">
        <v>114</v>
      </c>
      <c r="AP225" s="7">
        <v>444529</v>
      </c>
      <c r="AR225" s="7">
        <v>2106070</v>
      </c>
      <c r="AT225" s="7">
        <v>0</v>
      </c>
      <c r="AV225" s="7">
        <v>320000</v>
      </c>
      <c r="AX225" s="7">
        <v>299954</v>
      </c>
      <c r="AZ225" s="7">
        <v>0</v>
      </c>
      <c r="BB225" s="8">
        <f t="shared" si="44"/>
        <v>15691805</v>
      </c>
      <c r="BD225" s="7">
        <v>0</v>
      </c>
      <c r="BF225" s="7">
        <v>0</v>
      </c>
      <c r="BH225" s="7">
        <v>0</v>
      </c>
      <c r="BJ225" s="7">
        <v>0</v>
      </c>
      <c r="BL225" s="8">
        <f t="shared" ref="BL225" si="47">BB225+BD225+BJ225</f>
        <v>15691805</v>
      </c>
      <c r="BN225" s="8">
        <f>'Gov Fd Rv'!AQ225-'Gov Fnd Exp'!BL225</f>
        <v>9001591</v>
      </c>
      <c r="BP225" s="7">
        <v>8595320</v>
      </c>
      <c r="BR225" s="7">
        <v>0</v>
      </c>
      <c r="BT225" s="7">
        <v>0</v>
      </c>
      <c r="BV225" s="8">
        <f t="shared" si="46"/>
        <v>17596911</v>
      </c>
      <c r="BW225" s="8"/>
      <c r="BX225" s="8">
        <f>BV225-'Gov Fd BS'!AE225</f>
        <v>0</v>
      </c>
      <c r="BY225" s="8"/>
      <c r="CB225" s="101" t="str">
        <f t="shared" si="43"/>
        <v>Greeneview Local SD</v>
      </c>
      <c r="CC225" s="101" t="b">
        <f t="shared" si="40"/>
        <v>1</v>
      </c>
      <c r="CD225" s="101" t="str">
        <f>'Gov Fd Rv'!A225</f>
        <v>Greeneview Local SD</v>
      </c>
      <c r="CE225" s="8" t="b">
        <f t="shared" si="39"/>
        <v>1</v>
      </c>
      <c r="CG225" s="8" t="str">
        <f t="shared" si="41"/>
        <v>Greene</v>
      </c>
      <c r="CH225" s="8" t="b">
        <f t="shared" si="42"/>
        <v>1</v>
      </c>
      <c r="CI225" s="8" t="b">
        <f>C225='Gov Fd Rv'!C225</f>
        <v>1</v>
      </c>
    </row>
    <row r="226" spans="1:87">
      <c r="A226" s="12" t="s">
        <v>869</v>
      </c>
      <c r="B226" s="12"/>
      <c r="C226" s="12" t="s">
        <v>358</v>
      </c>
      <c r="D226" s="12"/>
      <c r="E226" s="12">
        <v>45401</v>
      </c>
      <c r="G226" s="7">
        <v>7603519</v>
      </c>
      <c r="I226" s="7">
        <v>1755161</v>
      </c>
      <c r="K226" s="7">
        <v>483956</v>
      </c>
      <c r="M226" s="7">
        <v>0</v>
      </c>
      <c r="O226" s="7">
        <v>1158451</v>
      </c>
      <c r="Q226" s="7">
        <v>684374</v>
      </c>
      <c r="S226" s="7">
        <v>853658</v>
      </c>
      <c r="U226" s="7">
        <v>60381</v>
      </c>
      <c r="W226" s="7">
        <v>1593807</v>
      </c>
      <c r="Y226" s="7">
        <v>397385</v>
      </c>
      <c r="AA226" s="7">
        <v>0</v>
      </c>
      <c r="AC226" s="7">
        <v>2650190</v>
      </c>
      <c r="AE226" s="7">
        <v>1262127</v>
      </c>
      <c r="AG226" s="7">
        <v>57249</v>
      </c>
      <c r="AI226" s="7">
        <v>0</v>
      </c>
      <c r="AK226" s="7">
        <v>693479</v>
      </c>
      <c r="AL226" s="12" t="s">
        <v>869</v>
      </c>
      <c r="AM226" s="12"/>
      <c r="AN226" s="12" t="s">
        <v>358</v>
      </c>
      <c r="AP226" s="7">
        <v>394827</v>
      </c>
      <c r="AR226" s="7">
        <v>659</v>
      </c>
      <c r="AT226" s="7">
        <v>0</v>
      </c>
      <c r="AV226" s="7">
        <v>204716</v>
      </c>
      <c r="AX226" s="7">
        <v>85968</v>
      </c>
      <c r="AZ226" s="7">
        <v>0</v>
      </c>
      <c r="BB226" s="8">
        <f t="shared" si="44"/>
        <v>19939907</v>
      </c>
      <c r="BD226" s="7">
        <v>242049</v>
      </c>
      <c r="BF226" s="7">
        <v>0</v>
      </c>
      <c r="BH226" s="7">
        <v>0</v>
      </c>
      <c r="BJ226" s="7">
        <v>0</v>
      </c>
      <c r="BL226" s="8">
        <f t="shared" si="45"/>
        <v>20181956</v>
      </c>
      <c r="BN226" s="8">
        <f>'Gov Fd Rv'!AQ226-'Gov Fnd Exp'!BL226</f>
        <v>1919865</v>
      </c>
      <c r="BP226" s="7">
        <v>7834962</v>
      </c>
      <c r="BR226" s="7">
        <v>0</v>
      </c>
      <c r="BT226" s="7">
        <v>0</v>
      </c>
      <c r="BV226" s="8">
        <f t="shared" si="46"/>
        <v>9754827</v>
      </c>
      <c r="BW226" s="8"/>
      <c r="BX226" s="8">
        <f>BV226-'Gov Fd BS'!AE226</f>
        <v>0</v>
      </c>
      <c r="BY226" s="8"/>
      <c r="CB226" s="101" t="str">
        <f t="shared" si="43"/>
        <v>Greenfield Exempted Village SD</v>
      </c>
      <c r="CC226" s="101" t="b">
        <f t="shared" si="40"/>
        <v>1</v>
      </c>
      <c r="CD226" s="101" t="str">
        <f>'Gov Fd Rv'!A226</f>
        <v>Greenfield Exempted Village SD</v>
      </c>
      <c r="CE226" s="8" t="b">
        <f t="shared" si="39"/>
        <v>1</v>
      </c>
      <c r="CG226" s="8" t="str">
        <f t="shared" si="41"/>
        <v>Highland</v>
      </c>
      <c r="CH226" s="8" t="b">
        <f t="shared" si="42"/>
        <v>1</v>
      </c>
      <c r="CI226" s="8" t="b">
        <f>C226='Gov Fd Rv'!C226</f>
        <v>1</v>
      </c>
    </row>
    <row r="227" spans="1:87">
      <c r="A227" s="12" t="s">
        <v>237</v>
      </c>
      <c r="B227" s="12"/>
      <c r="C227" s="12" t="s">
        <v>17</v>
      </c>
      <c r="D227" s="12"/>
      <c r="E227" s="12">
        <v>46235</v>
      </c>
      <c r="G227" s="7">
        <v>7228821</v>
      </c>
      <c r="I227" s="7">
        <v>1527790</v>
      </c>
      <c r="K227" s="7">
        <v>462137</v>
      </c>
      <c r="M227" s="7">
        <v>0</v>
      </c>
      <c r="O227" s="7">
        <v>367602</v>
      </c>
      <c r="Q227" s="7">
        <v>697913</v>
      </c>
      <c r="S227" s="7">
        <v>436853</v>
      </c>
      <c r="U227" s="7">
        <v>150236</v>
      </c>
      <c r="W227" s="7">
        <v>1558559</v>
      </c>
      <c r="Y227" s="7">
        <v>554973</v>
      </c>
      <c r="AA227" s="7">
        <v>193880</v>
      </c>
      <c r="AC227" s="7">
        <v>1490701</v>
      </c>
      <c r="AE227" s="7">
        <v>1146208</v>
      </c>
      <c r="AG227" s="7">
        <v>122749</v>
      </c>
      <c r="AI227" s="7">
        <v>0</v>
      </c>
      <c r="AK227" s="7">
        <v>734003</v>
      </c>
      <c r="AL227" s="12" t="s">
        <v>237</v>
      </c>
      <c r="AM227" s="12"/>
      <c r="AN227" s="12" t="s">
        <v>17</v>
      </c>
      <c r="AP227" s="7">
        <v>499670</v>
      </c>
      <c r="AR227" s="7">
        <v>153772</v>
      </c>
      <c r="AT227" s="7">
        <v>0</v>
      </c>
      <c r="AV227" s="7">
        <v>23290</v>
      </c>
      <c r="AX227" s="7">
        <v>753</v>
      </c>
      <c r="AZ227" s="7">
        <v>0</v>
      </c>
      <c r="BB227" s="8">
        <f t="shared" si="44"/>
        <v>17349910</v>
      </c>
      <c r="BD227" s="7">
        <v>0</v>
      </c>
      <c r="BF227" s="7">
        <v>0</v>
      </c>
      <c r="BH227" s="7">
        <v>0</v>
      </c>
      <c r="BJ227" s="7">
        <v>0</v>
      </c>
      <c r="BL227" s="8">
        <f t="shared" si="45"/>
        <v>17349910</v>
      </c>
      <c r="BN227" s="8">
        <f>'Gov Fd Rv'!AQ227-'Gov Fnd Exp'!BL227</f>
        <v>776720</v>
      </c>
      <c r="BP227" s="7">
        <v>2982414</v>
      </c>
      <c r="BR227" s="7">
        <v>0</v>
      </c>
      <c r="BT227" s="7">
        <v>0</v>
      </c>
      <c r="BV227" s="8">
        <f t="shared" si="46"/>
        <v>3759134</v>
      </c>
      <c r="BW227" s="8"/>
      <c r="BX227" s="8">
        <f>BV227-'Gov Fd BS'!AE227</f>
        <v>0</v>
      </c>
      <c r="BY227" s="8"/>
      <c r="BZ227" s="14"/>
      <c r="CB227" s="101" t="str">
        <f t="shared" si="43"/>
        <v>Greenon Local SD</v>
      </c>
      <c r="CC227" s="101" t="b">
        <f t="shared" si="40"/>
        <v>1</v>
      </c>
      <c r="CD227" s="101" t="str">
        <f>'Gov Fd Rv'!A227</f>
        <v>Greenon Local SD</v>
      </c>
      <c r="CE227" s="8" t="b">
        <f t="shared" si="39"/>
        <v>1</v>
      </c>
      <c r="CG227" s="8" t="str">
        <f t="shared" si="41"/>
        <v>Clark</v>
      </c>
      <c r="CH227" s="8" t="b">
        <f t="shared" si="42"/>
        <v>1</v>
      </c>
      <c r="CI227" s="8" t="b">
        <f>C227='Gov Fd Rv'!C227</f>
        <v>1</v>
      </c>
    </row>
    <row r="228" spans="1:87">
      <c r="A228" s="12" t="s">
        <v>288</v>
      </c>
      <c r="B228" s="12"/>
      <c r="C228" s="12" t="s">
        <v>21</v>
      </c>
      <c r="D228" s="12"/>
      <c r="E228" s="12">
        <v>44099</v>
      </c>
      <c r="G228" s="7">
        <v>12511692</v>
      </c>
      <c r="I228" s="7">
        <v>3598317</v>
      </c>
      <c r="K228" s="7">
        <v>1825116</v>
      </c>
      <c r="M228" s="7">
        <v>40608</v>
      </c>
      <c r="O228" s="7">
        <v>211292</v>
      </c>
      <c r="Q228" s="7">
        <v>1253922</v>
      </c>
      <c r="S228" s="7">
        <v>1542821</v>
      </c>
      <c r="U228" s="7">
        <v>112272</v>
      </c>
      <c r="W228" s="7">
        <v>2034764</v>
      </c>
      <c r="Y228" s="7">
        <v>732952</v>
      </c>
      <c r="AA228" s="7">
        <v>16853</v>
      </c>
      <c r="AC228" s="7">
        <v>1639932</v>
      </c>
      <c r="AE228" s="7">
        <v>892584</v>
      </c>
      <c r="AG228" s="7">
        <v>233840</v>
      </c>
      <c r="AI228" s="7">
        <v>0</v>
      </c>
      <c r="AK228" s="7">
        <v>971577</v>
      </c>
      <c r="AL228" s="12" t="s">
        <v>288</v>
      </c>
      <c r="AM228" s="12"/>
      <c r="AN228" s="12" t="s">
        <v>21</v>
      </c>
      <c r="AP228" s="7">
        <v>580282</v>
      </c>
      <c r="AR228" s="7">
        <v>248921</v>
      </c>
      <c r="AT228" s="7">
        <v>0</v>
      </c>
      <c r="AV228" s="7">
        <v>0</v>
      </c>
      <c r="AX228" s="7">
        <v>0</v>
      </c>
      <c r="AZ228" s="7">
        <v>0</v>
      </c>
      <c r="BB228" s="8">
        <f t="shared" si="44"/>
        <v>28447745</v>
      </c>
      <c r="BD228" s="7">
        <v>203000</v>
      </c>
      <c r="BF228" s="7">
        <v>0</v>
      </c>
      <c r="BH228" s="7">
        <v>0</v>
      </c>
      <c r="BJ228" s="7">
        <v>0</v>
      </c>
      <c r="BL228" s="8">
        <f t="shared" si="45"/>
        <v>28650745</v>
      </c>
      <c r="BN228" s="8">
        <f>'Gov Fd Rv'!AQ228-'Gov Fnd Exp'!BL228</f>
        <v>2354507</v>
      </c>
      <c r="BP228" s="7">
        <v>8907888</v>
      </c>
      <c r="BR228" s="7">
        <v>0</v>
      </c>
      <c r="BT228" s="7">
        <v>0</v>
      </c>
      <c r="BV228" s="8">
        <f t="shared" si="46"/>
        <v>11262395</v>
      </c>
      <c r="BW228" s="8"/>
      <c r="BX228" s="8">
        <f>BV228-'Gov Fd BS'!AE228</f>
        <v>0</v>
      </c>
      <c r="BY228" s="8"/>
      <c r="CB228" s="101" t="str">
        <f t="shared" si="43"/>
        <v>Greenville City SD</v>
      </c>
      <c r="CC228" s="101" t="b">
        <f t="shared" si="40"/>
        <v>1</v>
      </c>
      <c r="CD228" s="101" t="str">
        <f>'Gov Fd Rv'!A228</f>
        <v>Greenville City SD</v>
      </c>
      <c r="CE228" s="8" t="b">
        <f t="shared" si="39"/>
        <v>1</v>
      </c>
      <c r="CG228" s="8" t="str">
        <f t="shared" si="41"/>
        <v>Darke</v>
      </c>
      <c r="CH228" s="8" t="b">
        <f t="shared" si="42"/>
        <v>1</v>
      </c>
      <c r="CI228" s="8" t="b">
        <f>C228='Gov Fd Rv'!C228</f>
        <v>1</v>
      </c>
    </row>
    <row r="229" spans="1:87">
      <c r="A229" s="12" t="s">
        <v>310</v>
      </c>
      <c r="B229" s="12"/>
      <c r="C229" s="12" t="s">
        <v>27</v>
      </c>
      <c r="D229" s="12"/>
      <c r="E229" s="12">
        <v>46979</v>
      </c>
      <c r="G229" s="7">
        <v>32460982</v>
      </c>
      <c r="I229" s="7">
        <v>8750203</v>
      </c>
      <c r="K229" s="7">
        <v>106555</v>
      </c>
      <c r="M229" s="7">
        <v>0</v>
      </c>
      <c r="O229" s="7">
        <v>954610</v>
      </c>
      <c r="Q229" s="7">
        <v>3326292</v>
      </c>
      <c r="S229" s="7">
        <v>5705355</v>
      </c>
      <c r="U229" s="7">
        <v>254108</v>
      </c>
      <c r="W229" s="7">
        <v>4615383</v>
      </c>
      <c r="Y229" s="7">
        <v>1341516</v>
      </c>
      <c r="AA229" s="7">
        <v>109512</v>
      </c>
      <c r="AC229" s="7">
        <v>4915638</v>
      </c>
      <c r="AE229" s="7">
        <v>6364797</v>
      </c>
      <c r="AG229" s="7">
        <v>907255</v>
      </c>
      <c r="AI229" s="7">
        <v>0</v>
      </c>
      <c r="AK229" s="7">
        <v>3054254</v>
      </c>
      <c r="AL229" s="12" t="s">
        <v>310</v>
      </c>
      <c r="AM229" s="12"/>
      <c r="AN229" s="12" t="s">
        <v>27</v>
      </c>
      <c r="AP229" s="7">
        <v>763646</v>
      </c>
      <c r="AR229" s="7">
        <v>34422</v>
      </c>
      <c r="AT229" s="7">
        <v>0</v>
      </c>
      <c r="AV229" s="7">
        <v>150000</v>
      </c>
      <c r="AX229" s="7">
        <v>11398</v>
      </c>
      <c r="AZ229" s="7">
        <v>0</v>
      </c>
      <c r="BB229" s="8">
        <f t="shared" si="44"/>
        <v>73825926</v>
      </c>
      <c r="BD229" s="7">
        <v>331398</v>
      </c>
      <c r="BF229" s="7">
        <v>0</v>
      </c>
      <c r="BH229" s="7">
        <v>0</v>
      </c>
      <c r="BJ229" s="7">
        <v>0</v>
      </c>
      <c r="BL229" s="8">
        <f t="shared" si="45"/>
        <v>74157324</v>
      </c>
      <c r="BN229" s="8">
        <f>'Gov Fd Rv'!AQ229-'Gov Fnd Exp'!BL229</f>
        <v>1398857</v>
      </c>
      <c r="BP229" s="7">
        <v>6244785</v>
      </c>
      <c r="BR229" s="7">
        <v>0</v>
      </c>
      <c r="BT229" s="7">
        <v>0</v>
      </c>
      <c r="BV229" s="8">
        <f t="shared" si="46"/>
        <v>7643642</v>
      </c>
      <c r="BW229" s="8"/>
      <c r="BX229" s="8">
        <f>BV229-'Gov Fd BS'!AE229</f>
        <v>0</v>
      </c>
      <c r="BY229" s="8"/>
      <c r="BZ229" s="14"/>
      <c r="CB229" s="101" t="str">
        <f t="shared" si="43"/>
        <v>Groveport Madison Local SD</v>
      </c>
      <c r="CC229" s="101" t="b">
        <f t="shared" si="40"/>
        <v>1</v>
      </c>
      <c r="CD229" s="101" t="str">
        <f>'Gov Fd Rv'!A229</f>
        <v>Groveport Madison Local SD</v>
      </c>
      <c r="CE229" s="8" t="b">
        <f t="shared" si="39"/>
        <v>1</v>
      </c>
      <c r="CG229" s="8" t="str">
        <f t="shared" si="41"/>
        <v>Franklin</v>
      </c>
      <c r="CH229" s="8" t="b">
        <f t="shared" si="42"/>
        <v>1</v>
      </c>
      <c r="CI229" s="8" t="b">
        <f>C229='Gov Fd Rv'!C229</f>
        <v>1</v>
      </c>
    </row>
    <row r="230" spans="1:87" hidden="1">
      <c r="A230" s="12" t="s">
        <v>225</v>
      </c>
      <c r="B230" s="12"/>
      <c r="C230" s="12" t="s">
        <v>223</v>
      </c>
      <c r="D230" s="12"/>
      <c r="E230" s="12">
        <v>44107</v>
      </c>
      <c r="AL230" s="12" t="s">
        <v>225</v>
      </c>
      <c r="AM230" s="12"/>
      <c r="AN230" s="12" t="s">
        <v>223</v>
      </c>
      <c r="BB230" s="8">
        <f t="shared" si="44"/>
        <v>0</v>
      </c>
      <c r="BF230" s="7">
        <v>0</v>
      </c>
      <c r="BH230" s="7">
        <v>0</v>
      </c>
      <c r="BL230" s="8">
        <f t="shared" si="45"/>
        <v>0</v>
      </c>
      <c r="BN230" s="8">
        <f>'Gov Fd Rv'!AQ230-'Gov Fnd Exp'!BL230</f>
        <v>0</v>
      </c>
      <c r="BV230" s="8">
        <f t="shared" si="46"/>
        <v>0</v>
      </c>
      <c r="BW230" s="8"/>
      <c r="BX230" s="8">
        <f>BV230-'Gov Fd BS'!AE230</f>
        <v>0</v>
      </c>
      <c r="BY230" s="8"/>
      <c r="BZ230" s="7" t="s">
        <v>903</v>
      </c>
      <c r="CB230" s="101" t="str">
        <f t="shared" si="43"/>
        <v>Hamilton City SD</v>
      </c>
      <c r="CC230" s="101" t="b">
        <f t="shared" si="40"/>
        <v>1</v>
      </c>
      <c r="CD230" s="101" t="str">
        <f>'Gov Fd Rv'!A230</f>
        <v>Hamilton City SD</v>
      </c>
      <c r="CE230" s="8" t="b">
        <f t="shared" si="39"/>
        <v>1</v>
      </c>
      <c r="CG230" s="8" t="str">
        <f t="shared" si="41"/>
        <v>Butler</v>
      </c>
      <c r="CH230" s="8" t="b">
        <f t="shared" si="42"/>
        <v>1</v>
      </c>
      <c r="CI230" s="8" t="b">
        <f>C230='Gov Fd Rv'!C230</f>
        <v>1</v>
      </c>
    </row>
    <row r="231" spans="1:87">
      <c r="A231" s="12" t="s">
        <v>925</v>
      </c>
      <c r="B231" s="12"/>
      <c r="C231" s="12" t="s">
        <v>27</v>
      </c>
      <c r="D231" s="12"/>
      <c r="E231" s="12">
        <v>46953</v>
      </c>
      <c r="G231" s="7">
        <v>9541575</v>
      </c>
      <c r="I231" s="7">
        <v>3723384</v>
      </c>
      <c r="K231" s="7">
        <v>241207</v>
      </c>
      <c r="M231" s="7">
        <v>0</v>
      </c>
      <c r="O231" s="7">
        <v>1449087</v>
      </c>
      <c r="Q231" s="7">
        <v>1087486</v>
      </c>
      <c r="S231" s="7">
        <v>756430</v>
      </c>
      <c r="U231" s="7">
        <v>5149</v>
      </c>
      <c r="W231" s="7">
        <v>2266732</v>
      </c>
      <c r="Y231" s="7">
        <v>1259853</v>
      </c>
      <c r="AA231" s="7">
        <v>36417</v>
      </c>
      <c r="AC231" s="7">
        <v>2857807</v>
      </c>
      <c r="AE231" s="7">
        <v>960583</v>
      </c>
      <c r="AG231" s="7">
        <v>45154</v>
      </c>
      <c r="AI231" s="7">
        <v>0</v>
      </c>
      <c r="AK231" s="7">
        <v>1474272</v>
      </c>
      <c r="AL231" s="12" t="s">
        <v>925</v>
      </c>
      <c r="AM231" s="12"/>
      <c r="AN231" s="12" t="s">
        <v>27</v>
      </c>
      <c r="AP231" s="7">
        <v>807308</v>
      </c>
      <c r="AR231" s="7">
        <v>1153329</v>
      </c>
      <c r="AT231" s="7">
        <v>0</v>
      </c>
      <c r="AV231" s="7">
        <v>792707</v>
      </c>
      <c r="AX231" s="7">
        <v>1203131</v>
      </c>
      <c r="AZ231" s="7">
        <v>0</v>
      </c>
      <c r="BB231" s="8">
        <f t="shared" si="44"/>
        <v>29661611</v>
      </c>
      <c r="BD231" s="7">
        <v>112174</v>
      </c>
      <c r="BF231" s="7">
        <v>0</v>
      </c>
      <c r="BH231" s="7">
        <v>0</v>
      </c>
      <c r="BJ231" s="7">
        <v>3802123</v>
      </c>
      <c r="BL231" s="8">
        <f t="shared" si="45"/>
        <v>33575908</v>
      </c>
      <c r="BN231" s="8">
        <f>'Gov Fd Rv'!AQ231-'Gov Fnd Exp'!BL231</f>
        <v>968266</v>
      </c>
      <c r="BP231" s="7">
        <v>9765598</v>
      </c>
      <c r="BR231" s="7">
        <v>-1143</v>
      </c>
      <c r="BT231" s="7">
        <v>0</v>
      </c>
      <c r="BV231" s="8">
        <f t="shared" si="46"/>
        <v>10732721</v>
      </c>
      <c r="BW231" s="8"/>
      <c r="BX231" s="8">
        <f>BV231-'Gov Fd BS'!AE231</f>
        <v>0</v>
      </c>
      <c r="BY231" s="8"/>
      <c r="CB231" s="101" t="str">
        <f t="shared" si="43"/>
        <v>Hamilton Local SD</v>
      </c>
      <c r="CC231" s="101" t="b">
        <f t="shared" si="40"/>
        <v>1</v>
      </c>
      <c r="CD231" s="101" t="str">
        <f>'Gov Fd Rv'!A231</f>
        <v>Hamilton Local SD</v>
      </c>
      <c r="CE231" s="8" t="b">
        <f t="shared" si="39"/>
        <v>1</v>
      </c>
      <c r="CG231" s="8" t="str">
        <f t="shared" si="41"/>
        <v>Franklin</v>
      </c>
      <c r="CH231" s="8" t="b">
        <f t="shared" si="42"/>
        <v>1</v>
      </c>
      <c r="CI231" s="8" t="b">
        <f>C231='Gov Fd Rv'!C231</f>
        <v>1</v>
      </c>
    </row>
    <row r="232" spans="1:87">
      <c r="A232" s="12" t="s">
        <v>349</v>
      </c>
      <c r="B232" s="12"/>
      <c r="C232" s="12" t="s">
        <v>348</v>
      </c>
      <c r="D232" s="12"/>
      <c r="E232" s="12">
        <v>47498</v>
      </c>
      <c r="G232" s="7">
        <v>2309295</v>
      </c>
      <c r="I232" s="7">
        <v>461154</v>
      </c>
      <c r="K232" s="7">
        <v>316697</v>
      </c>
      <c r="M232" s="7">
        <v>0</v>
      </c>
      <c r="O232" s="7">
        <v>0</v>
      </c>
      <c r="Q232" s="7">
        <v>156103</v>
      </c>
      <c r="S232" s="7">
        <v>152231</v>
      </c>
      <c r="U232" s="7">
        <v>47605</v>
      </c>
      <c r="W232" s="7">
        <v>454731</v>
      </c>
      <c r="Y232" s="7">
        <v>222704</v>
      </c>
      <c r="AA232" s="7">
        <v>0</v>
      </c>
      <c r="AC232" s="7">
        <v>437184</v>
      </c>
      <c r="AE232" s="7">
        <v>177177</v>
      </c>
      <c r="AG232" s="7">
        <v>0</v>
      </c>
      <c r="AI232" s="7">
        <v>0</v>
      </c>
      <c r="AK232" s="7">
        <v>174863</v>
      </c>
      <c r="AL232" s="12" t="s">
        <v>349</v>
      </c>
      <c r="AM232" s="12"/>
      <c r="AN232" s="12" t="s">
        <v>348</v>
      </c>
      <c r="AP232" s="7">
        <v>193866</v>
      </c>
      <c r="AR232" s="7">
        <v>5726451</v>
      </c>
      <c r="AT232" s="7">
        <v>0</v>
      </c>
      <c r="AV232" s="7">
        <v>88179</v>
      </c>
      <c r="AX232" s="7">
        <v>204971</v>
      </c>
      <c r="AZ232" s="7">
        <v>0</v>
      </c>
      <c r="BB232" s="8">
        <f t="shared" si="44"/>
        <v>11123211</v>
      </c>
      <c r="BD232" s="7">
        <v>27800</v>
      </c>
      <c r="BF232" s="7">
        <v>0</v>
      </c>
      <c r="BH232" s="7">
        <v>0</v>
      </c>
      <c r="BJ232" s="7">
        <v>0</v>
      </c>
      <c r="BL232" s="8">
        <f t="shared" si="45"/>
        <v>11151011</v>
      </c>
      <c r="BN232" s="8">
        <f>'Gov Fd Rv'!AQ232-'Gov Fnd Exp'!BL232</f>
        <v>-5195204</v>
      </c>
      <c r="BP232" s="7">
        <v>8420521</v>
      </c>
      <c r="BR232" s="7">
        <v>0</v>
      </c>
      <c r="BT232" s="7">
        <v>0</v>
      </c>
      <c r="BV232" s="8">
        <f t="shared" si="46"/>
        <v>3225317</v>
      </c>
      <c r="BW232" s="8"/>
      <c r="BX232" s="8">
        <f>BV232-'Gov Fd BS'!AE232</f>
        <v>0</v>
      </c>
      <c r="BY232" s="8"/>
      <c r="BZ232" s="14"/>
      <c r="CB232" s="101" t="str">
        <f t="shared" si="43"/>
        <v>Hardin Northern Local SD</v>
      </c>
      <c r="CC232" s="101" t="b">
        <f t="shared" si="40"/>
        <v>1</v>
      </c>
      <c r="CD232" s="101" t="str">
        <f>'Gov Fd Rv'!A232</f>
        <v>Hardin Northern Local SD</v>
      </c>
      <c r="CE232" s="8" t="b">
        <f t="shared" si="39"/>
        <v>1</v>
      </c>
      <c r="CG232" s="8" t="str">
        <f t="shared" si="41"/>
        <v>Hardin</v>
      </c>
      <c r="CH232" s="8" t="b">
        <f t="shared" si="42"/>
        <v>1</v>
      </c>
      <c r="CI232" s="8" t="b">
        <f>C232='Gov Fd Rv'!C232</f>
        <v>1</v>
      </c>
    </row>
    <row r="233" spans="1:87">
      <c r="A233" s="12" t="s">
        <v>506</v>
      </c>
      <c r="B233" s="12"/>
      <c r="C233" s="12" t="s">
        <v>61</v>
      </c>
      <c r="D233" s="12"/>
      <c r="E233" s="12">
        <v>49791</v>
      </c>
      <c r="G233" s="7">
        <v>4019049</v>
      </c>
      <c r="I233" s="7">
        <v>603249</v>
      </c>
      <c r="K233" s="7">
        <v>101743</v>
      </c>
      <c r="M233" s="7">
        <v>0</v>
      </c>
      <c r="O233" s="7">
        <f>3064+62890</f>
        <v>65954</v>
      </c>
      <c r="Q233" s="7">
        <v>730658</v>
      </c>
      <c r="S233" s="7">
        <v>345676</v>
      </c>
      <c r="U233" s="7">
        <v>10273</v>
      </c>
      <c r="W233" s="7">
        <v>552056</v>
      </c>
      <c r="Y233" s="7">
        <v>248099</v>
      </c>
      <c r="AA233" s="7">
        <v>1539</v>
      </c>
      <c r="AC233" s="7">
        <v>567958</v>
      </c>
      <c r="AE233" s="7">
        <v>553909</v>
      </c>
      <c r="AG233" s="7">
        <v>11564</v>
      </c>
      <c r="AI233" s="7">
        <v>0</v>
      </c>
      <c r="AK233" s="7">
        <v>275744</v>
      </c>
      <c r="AL233" s="12" t="s">
        <v>506</v>
      </c>
      <c r="AM233" s="12"/>
      <c r="AN233" s="12" t="s">
        <v>61</v>
      </c>
      <c r="AP233" s="7">
        <v>200323</v>
      </c>
      <c r="AR233" s="7">
        <v>14735537</v>
      </c>
      <c r="AT233" s="7">
        <v>0</v>
      </c>
      <c r="AV233" s="7">
        <v>272451</v>
      </c>
      <c r="AX233" s="7">
        <v>436469</v>
      </c>
      <c r="AZ233" s="7">
        <v>0</v>
      </c>
      <c r="BB233" s="8">
        <f t="shared" si="44"/>
        <v>23732251</v>
      </c>
      <c r="BD233" s="7">
        <v>300000</v>
      </c>
      <c r="BF233" s="7">
        <v>0</v>
      </c>
      <c r="BH233" s="7">
        <v>0</v>
      </c>
      <c r="BJ233" s="7">
        <v>0</v>
      </c>
      <c r="BL233" s="8">
        <f t="shared" si="45"/>
        <v>24032251</v>
      </c>
      <c r="BN233" s="8">
        <f>'Gov Fd Rv'!AQ233-'Gov Fnd Exp'!BL233</f>
        <v>-13521030</v>
      </c>
      <c r="BP233" s="7">
        <v>19942956</v>
      </c>
      <c r="BR233" s="7">
        <v>0</v>
      </c>
      <c r="BT233" s="7">
        <v>0</v>
      </c>
      <c r="BV233" s="8">
        <f t="shared" si="46"/>
        <v>6421926</v>
      </c>
      <c r="BW233" s="8"/>
      <c r="BX233" s="8">
        <f>BV233-'Gov Fd BS'!AE233</f>
        <v>0</v>
      </c>
      <c r="BY233" s="8"/>
      <c r="CB233" s="101" t="str">
        <f t="shared" si="43"/>
        <v>Hardin-Houston Local SD</v>
      </c>
      <c r="CC233" s="101" t="b">
        <f t="shared" si="40"/>
        <v>1</v>
      </c>
      <c r="CD233" s="101" t="str">
        <f>'Gov Fd Rv'!A233</f>
        <v>Hardin-Houston Local SD</v>
      </c>
      <c r="CE233" s="8" t="b">
        <f t="shared" si="39"/>
        <v>1</v>
      </c>
      <c r="CG233" s="8" t="str">
        <f t="shared" si="41"/>
        <v>Shelby</v>
      </c>
      <c r="CH233" s="8" t="b">
        <f t="shared" si="42"/>
        <v>1</v>
      </c>
      <c r="CI233" s="8" t="b">
        <f>C233='Gov Fd Rv'!C233</f>
        <v>1</v>
      </c>
    </row>
    <row r="234" spans="1:87" hidden="1">
      <c r="A234" s="12" t="s">
        <v>353</v>
      </c>
      <c r="B234" s="12"/>
      <c r="C234" s="12" t="s">
        <v>352</v>
      </c>
      <c r="D234" s="12"/>
      <c r="E234" s="12">
        <v>45245</v>
      </c>
      <c r="AL234" s="12" t="s">
        <v>353</v>
      </c>
      <c r="AM234" s="12"/>
      <c r="AN234" s="12" t="s">
        <v>352</v>
      </c>
      <c r="BB234" s="8">
        <f t="shared" si="44"/>
        <v>0</v>
      </c>
      <c r="BL234" s="8">
        <f t="shared" si="45"/>
        <v>0</v>
      </c>
      <c r="BN234" s="8">
        <f>'Gov Fd Rv'!AQ234-'Gov Fnd Exp'!BL234</f>
        <v>0</v>
      </c>
      <c r="BV234" s="8">
        <f t="shared" si="46"/>
        <v>0</v>
      </c>
      <c r="BW234" s="8"/>
      <c r="BX234" s="8">
        <f>BV234-'Gov Fd BS'!AE234</f>
        <v>0</v>
      </c>
      <c r="BY234" s="8"/>
      <c r="BZ234" s="7" t="s">
        <v>903</v>
      </c>
      <c r="CB234" s="101" t="str">
        <f t="shared" si="43"/>
        <v>Harrison Hills City SD</v>
      </c>
      <c r="CC234" s="101" t="b">
        <f t="shared" si="40"/>
        <v>1</v>
      </c>
      <c r="CD234" s="101" t="str">
        <f>'Gov Fd Rv'!A234</f>
        <v>Harrison Hills City SD</v>
      </c>
      <c r="CE234" s="8" t="b">
        <f t="shared" si="39"/>
        <v>1</v>
      </c>
      <c r="CG234" s="8" t="str">
        <f t="shared" si="41"/>
        <v>Harrison</v>
      </c>
      <c r="CH234" s="8" t="b">
        <f t="shared" si="42"/>
        <v>1</v>
      </c>
      <c r="CI234" s="8" t="b">
        <f>C234='Gov Fd Rv'!C234</f>
        <v>1</v>
      </c>
    </row>
    <row r="235" spans="1:87">
      <c r="A235" s="12" t="s">
        <v>384</v>
      </c>
      <c r="B235" s="12"/>
      <c r="C235" s="12" t="s">
        <v>42</v>
      </c>
      <c r="D235" s="12"/>
      <c r="E235" s="12">
        <v>44115</v>
      </c>
      <c r="G235" s="7">
        <v>9795976</v>
      </c>
      <c r="I235" s="7">
        <v>0</v>
      </c>
      <c r="K235" s="7">
        <v>0</v>
      </c>
      <c r="M235" s="7">
        <v>0</v>
      </c>
      <c r="O235" s="7">
        <v>0</v>
      </c>
      <c r="Q235" s="7">
        <v>927881</v>
      </c>
      <c r="S235" s="7">
        <v>362563</v>
      </c>
      <c r="U235" s="7">
        <v>16901</v>
      </c>
      <c r="W235" s="7">
        <v>1384316</v>
      </c>
      <c r="Y235" s="7">
        <v>492914</v>
      </c>
      <c r="AA235" s="7">
        <v>34834</v>
      </c>
      <c r="AC235" s="7">
        <v>1189989</v>
      </c>
      <c r="AE235" s="7">
        <v>571969</v>
      </c>
      <c r="AG235" s="7">
        <v>311756</v>
      </c>
      <c r="AI235" s="7">
        <v>560267</v>
      </c>
      <c r="AK235" s="7">
        <v>6758</v>
      </c>
      <c r="AL235" s="12" t="s">
        <v>384</v>
      </c>
      <c r="AM235" s="12"/>
      <c r="AN235" s="12" t="s">
        <v>42</v>
      </c>
      <c r="AP235" s="7">
        <v>520440</v>
      </c>
      <c r="AR235" s="7">
        <v>88968</v>
      </c>
      <c r="AT235" s="7">
        <v>0</v>
      </c>
      <c r="AV235" s="7">
        <v>818702</v>
      </c>
      <c r="AX235" s="7">
        <v>514971</v>
      </c>
      <c r="AZ235" s="7">
        <v>0</v>
      </c>
      <c r="BB235" s="8">
        <f t="shared" si="44"/>
        <v>17599205</v>
      </c>
      <c r="BD235" s="7">
        <v>0</v>
      </c>
      <c r="BF235" s="7">
        <v>0</v>
      </c>
      <c r="BH235" s="7">
        <v>0</v>
      </c>
      <c r="BJ235" s="7">
        <v>0</v>
      </c>
      <c r="BL235" s="8">
        <f t="shared" si="45"/>
        <v>17599205</v>
      </c>
      <c r="BN235" s="8">
        <f>'Gov Fd Rv'!AQ235-'Gov Fnd Exp'!BL235</f>
        <v>-196156</v>
      </c>
      <c r="BP235" s="7">
        <v>4730510</v>
      </c>
      <c r="BR235" s="7">
        <v>1460</v>
      </c>
      <c r="BT235" s="7">
        <v>0</v>
      </c>
      <c r="BV235" s="8">
        <f t="shared" si="46"/>
        <v>4535814</v>
      </c>
      <c r="BW235" s="8"/>
      <c r="BX235" s="8">
        <f>BV235-'Gov Fd BS'!AE235</f>
        <v>0</v>
      </c>
      <c r="BY235" s="8"/>
      <c r="BZ235" s="7" t="s">
        <v>804</v>
      </c>
      <c r="CB235" s="101" t="str">
        <f t="shared" si="43"/>
        <v>Heath City SD</v>
      </c>
      <c r="CC235" s="101" t="b">
        <f t="shared" si="40"/>
        <v>1</v>
      </c>
      <c r="CD235" s="101" t="str">
        <f>'Gov Fd Rv'!A235</f>
        <v>Heath City SD</v>
      </c>
      <c r="CE235" s="8" t="b">
        <f t="shared" si="39"/>
        <v>1</v>
      </c>
      <c r="CG235" s="8" t="str">
        <f t="shared" si="41"/>
        <v>Licking</v>
      </c>
      <c r="CH235" s="8" t="b">
        <f t="shared" si="42"/>
        <v>1</v>
      </c>
      <c r="CI235" s="8" t="b">
        <f>C235='Gov Fd Rv'!C235</f>
        <v>1</v>
      </c>
    </row>
    <row r="236" spans="1:87" hidden="1">
      <c r="A236" s="12" t="s">
        <v>699</v>
      </c>
      <c r="B236" s="12"/>
      <c r="C236" s="12" t="s">
        <v>22</v>
      </c>
      <c r="D236" s="12"/>
      <c r="E236" s="12">
        <v>45419</v>
      </c>
      <c r="AL236" s="12" t="s">
        <v>699</v>
      </c>
      <c r="AM236" s="12"/>
      <c r="AN236" s="12" t="s">
        <v>22</v>
      </c>
      <c r="BB236" s="8">
        <f t="shared" si="44"/>
        <v>0</v>
      </c>
      <c r="BL236" s="8">
        <f t="shared" si="45"/>
        <v>0</v>
      </c>
      <c r="BN236" s="8">
        <f>'Gov Fd Rv'!AQ236-'Gov Fnd Exp'!BL236</f>
        <v>0</v>
      </c>
      <c r="BV236" s="8">
        <f t="shared" si="46"/>
        <v>0</v>
      </c>
      <c r="BW236" s="8"/>
      <c r="BX236" s="8">
        <f>BV236-'Gov Fd BS'!AE236</f>
        <v>0</v>
      </c>
      <c r="BY236" s="8"/>
      <c r="BZ236" s="7" t="s">
        <v>904</v>
      </c>
      <c r="CB236" s="101" t="str">
        <f t="shared" si="43"/>
        <v>Hicksville Ex Vill SD  (CASH)</v>
      </c>
      <c r="CC236" s="101" t="b">
        <f t="shared" si="40"/>
        <v>1</v>
      </c>
      <c r="CD236" s="101" t="str">
        <f>'Gov Fd Rv'!A236</f>
        <v>Hicksville Ex Vill SD  (CASH)</v>
      </c>
      <c r="CE236" s="8" t="b">
        <f t="shared" si="39"/>
        <v>1</v>
      </c>
      <c r="CG236" s="8" t="str">
        <f t="shared" si="41"/>
        <v>Defiance</v>
      </c>
      <c r="CH236" s="8" t="b">
        <f t="shared" si="42"/>
        <v>1</v>
      </c>
      <c r="CI236" s="8" t="b">
        <f>C236='Gov Fd Rv'!C236</f>
        <v>1</v>
      </c>
    </row>
    <row r="237" spans="1:87">
      <c r="A237" s="12" t="s">
        <v>430</v>
      </c>
      <c r="B237" s="12"/>
      <c r="C237" s="12" t="s">
        <v>47</v>
      </c>
      <c r="D237" s="12"/>
      <c r="E237" s="12">
        <v>48496</v>
      </c>
      <c r="G237" s="7">
        <v>12657182</v>
      </c>
      <c r="I237" s="7">
        <v>2831117</v>
      </c>
      <c r="K237" s="7">
        <v>141847</v>
      </c>
      <c r="M237" s="7">
        <v>0</v>
      </c>
      <c r="O237" s="7">
        <v>143339</v>
      </c>
      <c r="Q237" s="7">
        <v>1722396</v>
      </c>
      <c r="S237" s="7">
        <v>1704854</v>
      </c>
      <c r="U237" s="7">
        <v>24458</v>
      </c>
      <c r="W237" s="7">
        <v>1965762</v>
      </c>
      <c r="Y237" s="7">
        <v>724058</v>
      </c>
      <c r="AA237" s="7">
        <v>68273</v>
      </c>
      <c r="AC237" s="7">
        <v>2395486</v>
      </c>
      <c r="AE237" s="7">
        <v>1629459</v>
      </c>
      <c r="AG237" s="7">
        <v>263951</v>
      </c>
      <c r="AI237" s="7">
        <v>1109577</v>
      </c>
      <c r="AK237" s="7">
        <v>198365</v>
      </c>
      <c r="AL237" s="12" t="s">
        <v>430</v>
      </c>
      <c r="AM237" s="12"/>
      <c r="AN237" s="12" t="s">
        <v>47</v>
      </c>
      <c r="AP237" s="7">
        <v>1055419</v>
      </c>
      <c r="AR237" s="7">
        <v>406331</v>
      </c>
      <c r="AT237" s="7">
        <v>0</v>
      </c>
      <c r="AV237" s="7">
        <v>1861101</v>
      </c>
      <c r="AX237" s="7">
        <v>1310500</v>
      </c>
      <c r="AZ237" s="7">
        <v>0</v>
      </c>
      <c r="BB237" s="8">
        <f t="shared" si="44"/>
        <v>32213475</v>
      </c>
      <c r="BD237" s="7">
        <v>0</v>
      </c>
      <c r="BF237" s="7">
        <v>0</v>
      </c>
      <c r="BH237" s="7">
        <v>0</v>
      </c>
      <c r="BJ237" s="7">
        <v>0</v>
      </c>
      <c r="BL237" s="8">
        <f>BB237+BD237+BJ237</f>
        <v>32213475</v>
      </c>
      <c r="BN237" s="8">
        <f>'Gov Fd Rv'!AQ237-'Gov Fnd Exp'!BL237</f>
        <v>-1745602</v>
      </c>
      <c r="BP237" s="7">
        <v>11411157</v>
      </c>
      <c r="BR237" s="7">
        <v>0</v>
      </c>
      <c r="BT237" s="7">
        <v>0</v>
      </c>
      <c r="BV237" s="8">
        <f t="shared" si="46"/>
        <v>9665555</v>
      </c>
      <c r="BW237" s="8"/>
      <c r="BX237" s="8">
        <f>BV237-'Gov Fd BS'!AE237</f>
        <v>0</v>
      </c>
      <c r="BY237" s="8"/>
      <c r="CB237" s="101" t="str">
        <f t="shared" si="43"/>
        <v>Highland Local SD</v>
      </c>
      <c r="CC237" s="101" t="b">
        <f t="shared" si="40"/>
        <v>1</v>
      </c>
      <c r="CD237" s="101" t="str">
        <f>'Gov Fd Rv'!A237</f>
        <v>Highland Local SD</v>
      </c>
      <c r="CE237" s="8" t="b">
        <f t="shared" si="39"/>
        <v>1</v>
      </c>
      <c r="CG237" s="8" t="str">
        <f t="shared" si="41"/>
        <v>Medina</v>
      </c>
      <c r="CH237" s="8" t="b">
        <f t="shared" si="42"/>
        <v>1</v>
      </c>
      <c r="CI237" s="8" t="b">
        <f>C237='Gov Fd Rv'!C237</f>
        <v>1</v>
      </c>
    </row>
    <row r="238" spans="1:87">
      <c r="A238" s="12" t="s">
        <v>430</v>
      </c>
      <c r="B238" s="12"/>
      <c r="C238" s="12" t="s">
        <v>78</v>
      </c>
      <c r="D238" s="12"/>
      <c r="E238" s="12">
        <v>48801</v>
      </c>
      <c r="G238" s="7">
        <v>7263911</v>
      </c>
      <c r="I238" s="7">
        <v>2764835</v>
      </c>
      <c r="K238" s="7">
        <v>187252</v>
      </c>
      <c r="M238" s="7">
        <v>0</v>
      </c>
      <c r="O238" s="7">
        <v>0</v>
      </c>
      <c r="Q238" s="7">
        <v>864796</v>
      </c>
      <c r="S238" s="7">
        <v>752990</v>
      </c>
      <c r="U238" s="7">
        <v>212337</v>
      </c>
      <c r="W238" s="7">
        <v>463335</v>
      </c>
      <c r="Y238" s="7">
        <v>407012</v>
      </c>
      <c r="AA238" s="7">
        <v>0</v>
      </c>
      <c r="AC238" s="7">
        <v>1316379</v>
      </c>
      <c r="AE238" s="7">
        <v>1244550</v>
      </c>
      <c r="AG238" s="7">
        <v>5985</v>
      </c>
      <c r="AI238" s="7">
        <v>0</v>
      </c>
      <c r="AK238" s="7">
        <v>642407</v>
      </c>
      <c r="AL238" s="12" t="s">
        <v>430</v>
      </c>
      <c r="AM238" s="12"/>
      <c r="AN238" s="12" t="s">
        <v>78</v>
      </c>
      <c r="AP238" s="7">
        <v>356366</v>
      </c>
      <c r="AR238" s="7">
        <v>26259603</v>
      </c>
      <c r="AT238" s="7">
        <v>0</v>
      </c>
      <c r="AV238" s="7">
        <v>101000</v>
      </c>
      <c r="AX238" s="7">
        <v>757470</v>
      </c>
      <c r="AZ238" s="7">
        <v>0</v>
      </c>
      <c r="BB238" s="8">
        <f t="shared" si="44"/>
        <v>43600228</v>
      </c>
      <c r="BD238" s="7">
        <v>0</v>
      </c>
      <c r="BF238" s="7">
        <v>0</v>
      </c>
      <c r="BH238" s="7">
        <v>0</v>
      </c>
      <c r="BJ238" s="7">
        <v>0</v>
      </c>
      <c r="BL238" s="8">
        <f t="shared" si="45"/>
        <v>43600228</v>
      </c>
      <c r="BN238" s="8">
        <f>'Gov Fd Rv'!AQ238-'Gov Fnd Exp'!BL238</f>
        <v>-23460452</v>
      </c>
      <c r="BP238" s="7">
        <v>35847921</v>
      </c>
      <c r="BR238" s="7">
        <v>0</v>
      </c>
      <c r="BT238" s="7">
        <v>0</v>
      </c>
      <c r="BV238" s="8">
        <f t="shared" si="46"/>
        <v>12387469</v>
      </c>
      <c r="BW238" s="8"/>
      <c r="BX238" s="8">
        <f>BV238-'Gov Fd BS'!AE238</f>
        <v>0</v>
      </c>
      <c r="BY238" s="8"/>
      <c r="CB238" s="101" t="str">
        <f t="shared" si="43"/>
        <v>Highland Local SD</v>
      </c>
      <c r="CC238" s="101" t="b">
        <f t="shared" si="40"/>
        <v>1</v>
      </c>
      <c r="CD238" s="101" t="str">
        <f>'Gov Fd Rv'!A238</f>
        <v>Highland Local SD</v>
      </c>
      <c r="CE238" s="8" t="b">
        <f t="shared" si="39"/>
        <v>1</v>
      </c>
      <c r="CG238" s="8" t="str">
        <f t="shared" si="41"/>
        <v>Morrow</v>
      </c>
      <c r="CH238" s="8" t="b">
        <f t="shared" si="42"/>
        <v>1</v>
      </c>
      <c r="CI238" s="8" t="b">
        <f>C238='Gov Fd Rv'!C238</f>
        <v>1</v>
      </c>
    </row>
    <row r="239" spans="1:87">
      <c r="A239" s="12" t="s">
        <v>311</v>
      </c>
      <c r="B239" s="12"/>
      <c r="C239" s="12" t="s">
        <v>27</v>
      </c>
      <c r="D239" s="12"/>
      <c r="E239" s="12">
        <v>47019</v>
      </c>
      <c r="G239" s="7">
        <v>86826416</v>
      </c>
      <c r="I239" s="7">
        <v>20166794</v>
      </c>
      <c r="K239" s="7">
        <v>1448326</v>
      </c>
      <c r="M239" s="7">
        <v>0</v>
      </c>
      <c r="O239" s="7">
        <v>0</v>
      </c>
      <c r="Q239" s="7">
        <v>10653853</v>
      </c>
      <c r="S239" s="7">
        <v>8413999</v>
      </c>
      <c r="U239" s="7">
        <v>276592</v>
      </c>
      <c r="W239" s="7">
        <v>10882076</v>
      </c>
      <c r="Y239" s="7">
        <v>3860110</v>
      </c>
      <c r="AA239" s="7">
        <v>1011884</v>
      </c>
      <c r="AC239" s="7">
        <v>16708894</v>
      </c>
      <c r="AE239" s="7">
        <v>7715064</v>
      </c>
      <c r="AG239" s="7">
        <v>678564</v>
      </c>
      <c r="AI239" s="7">
        <v>5028995</v>
      </c>
      <c r="AK239" s="7">
        <v>2741814</v>
      </c>
      <c r="AL239" s="12" t="s">
        <v>311</v>
      </c>
      <c r="AM239" s="12"/>
      <c r="AN239" s="12" t="s">
        <v>27</v>
      </c>
      <c r="AP239" s="7">
        <v>4466193</v>
      </c>
      <c r="AR239" s="7">
        <v>4102437</v>
      </c>
      <c r="AT239" s="7">
        <v>0</v>
      </c>
      <c r="AV239" s="7">
        <v>12614561</v>
      </c>
      <c r="AX239" s="7">
        <v>5848628</v>
      </c>
      <c r="AZ239" s="7">
        <v>0</v>
      </c>
      <c r="BB239" s="8">
        <f t="shared" si="44"/>
        <v>203445200</v>
      </c>
      <c r="BD239" s="7">
        <v>0</v>
      </c>
      <c r="BF239" s="7">
        <v>0</v>
      </c>
      <c r="BH239" s="7">
        <v>0</v>
      </c>
      <c r="BJ239" s="7">
        <v>0</v>
      </c>
      <c r="BL239" s="8">
        <f t="shared" si="45"/>
        <v>203445200</v>
      </c>
      <c r="BN239" s="8">
        <f>'Gov Fd Rv'!AQ239-'Gov Fnd Exp'!BL239</f>
        <v>-3611369</v>
      </c>
      <c r="BP239" s="7">
        <v>67951153</v>
      </c>
      <c r="BR239" s="7">
        <v>0</v>
      </c>
      <c r="BT239" s="7">
        <v>0</v>
      </c>
      <c r="BV239" s="8">
        <f t="shared" si="46"/>
        <v>64339784</v>
      </c>
      <c r="BW239" s="8"/>
      <c r="BX239" s="8">
        <f>BV239-'Gov Fd BS'!AE239</f>
        <v>0</v>
      </c>
      <c r="BY239" s="8"/>
      <c r="CB239" s="101" t="str">
        <f t="shared" si="43"/>
        <v>Hilliard City SD</v>
      </c>
      <c r="CC239" s="101" t="b">
        <f t="shared" si="40"/>
        <v>1</v>
      </c>
      <c r="CD239" s="101" t="str">
        <f>'Gov Fd Rv'!A239</f>
        <v>Hilliard City SD</v>
      </c>
      <c r="CE239" s="8" t="b">
        <f t="shared" si="39"/>
        <v>1</v>
      </c>
      <c r="CG239" s="8" t="str">
        <f t="shared" si="41"/>
        <v>Franklin</v>
      </c>
      <c r="CH239" s="8" t="b">
        <f t="shared" si="42"/>
        <v>1</v>
      </c>
      <c r="CI239" s="8" t="b">
        <f>C239='Gov Fd Rv'!C239</f>
        <v>1</v>
      </c>
    </row>
    <row r="240" spans="1:87">
      <c r="A240" s="12" t="s">
        <v>360</v>
      </c>
      <c r="B240" s="12"/>
      <c r="C240" s="12" t="s">
        <v>358</v>
      </c>
      <c r="D240" s="12"/>
      <c r="E240" s="12">
        <v>44123</v>
      </c>
      <c r="G240" s="7">
        <v>10895561</v>
      </c>
      <c r="I240" s="7">
        <v>2584525</v>
      </c>
      <c r="K240" s="7">
        <v>655557</v>
      </c>
      <c r="M240" s="7">
        <v>0</v>
      </c>
      <c r="O240" s="7">
        <v>95764</v>
      </c>
      <c r="Q240" s="7">
        <v>1076834</v>
      </c>
      <c r="S240" s="7">
        <v>2119380</v>
      </c>
      <c r="U240" s="7">
        <v>22445</v>
      </c>
      <c r="W240" s="7">
        <v>1905107</v>
      </c>
      <c r="Y240" s="7">
        <v>592231</v>
      </c>
      <c r="AA240" s="7">
        <v>1375</v>
      </c>
      <c r="AC240" s="7">
        <v>1863726</v>
      </c>
      <c r="AE240" s="7">
        <v>1733786</v>
      </c>
      <c r="AG240" s="7">
        <v>112039</v>
      </c>
      <c r="AI240" s="7">
        <v>952325</v>
      </c>
      <c r="AK240" s="7">
        <f>84195+37728</f>
        <v>121923</v>
      </c>
      <c r="AL240" s="12" t="s">
        <v>360</v>
      </c>
      <c r="AM240" s="12"/>
      <c r="AN240" s="12" t="s">
        <v>358</v>
      </c>
      <c r="AP240" s="7">
        <v>565634</v>
      </c>
      <c r="AR240" s="7">
        <v>26329</v>
      </c>
      <c r="AT240" s="7">
        <v>0</v>
      </c>
      <c r="AV240" s="7">
        <v>396000</v>
      </c>
      <c r="AX240" s="7">
        <f>558469+100602</f>
        <v>659071</v>
      </c>
      <c r="AZ240" s="7">
        <v>0</v>
      </c>
      <c r="BB240" s="8">
        <f t="shared" si="44"/>
        <v>26379612</v>
      </c>
      <c r="BD240" s="7">
        <v>406241</v>
      </c>
      <c r="BF240" s="7">
        <v>0</v>
      </c>
      <c r="BH240" s="7">
        <v>0</v>
      </c>
      <c r="BJ240" s="7">
        <v>5968816</v>
      </c>
      <c r="BL240" s="8">
        <f t="shared" si="45"/>
        <v>32754669</v>
      </c>
      <c r="BN240" s="8">
        <f>'Gov Fd Rv'!AQ240-'Gov Fnd Exp'!BL240</f>
        <v>1822066</v>
      </c>
      <c r="BP240" s="7">
        <v>6748606</v>
      </c>
      <c r="BR240" s="7">
        <v>0</v>
      </c>
      <c r="BT240" s="7">
        <v>0</v>
      </c>
      <c r="BV240" s="8">
        <f t="shared" si="46"/>
        <v>8570672</v>
      </c>
      <c r="BW240" s="8"/>
      <c r="BX240" s="8">
        <f>BV240-'Gov Fd BS'!AE240</f>
        <v>0</v>
      </c>
      <c r="BY240" s="8"/>
      <c r="CB240" s="101" t="str">
        <f t="shared" si="43"/>
        <v>Hillsboro City SD</v>
      </c>
      <c r="CC240" s="101" t="b">
        <f t="shared" si="40"/>
        <v>1</v>
      </c>
      <c r="CD240" s="101" t="str">
        <f>'Gov Fd Rv'!A240</f>
        <v>Hillsboro City SD</v>
      </c>
      <c r="CE240" s="8" t="b">
        <f t="shared" si="39"/>
        <v>1</v>
      </c>
      <c r="CG240" s="8" t="str">
        <f t="shared" si="41"/>
        <v>Highland</v>
      </c>
      <c r="CH240" s="8" t="b">
        <f t="shared" si="42"/>
        <v>1</v>
      </c>
      <c r="CI240" s="8" t="b">
        <f>C240='Gov Fd Rv'!C240</f>
        <v>1</v>
      </c>
    </row>
    <row r="241" spans="1:87">
      <c r="A241" s="12" t="s">
        <v>205</v>
      </c>
      <c r="B241" s="12"/>
      <c r="C241" s="12" t="s">
        <v>11</v>
      </c>
      <c r="D241" s="12"/>
      <c r="E241" s="12">
        <v>45823</v>
      </c>
      <c r="G241" s="7">
        <v>4621903</v>
      </c>
      <c r="I241" s="7">
        <v>647001</v>
      </c>
      <c r="K241" s="7">
        <v>457955</v>
      </c>
      <c r="M241" s="7">
        <v>0</v>
      </c>
      <c r="O241" s="7">
        <v>232794</v>
      </c>
      <c r="Q241" s="7">
        <v>618203</v>
      </c>
      <c r="S241" s="7">
        <v>392871</v>
      </c>
      <c r="U241" s="7">
        <v>34401</v>
      </c>
      <c r="W241" s="7">
        <v>873209</v>
      </c>
      <c r="Y241" s="7">
        <v>331232</v>
      </c>
      <c r="AA241" s="7">
        <v>0</v>
      </c>
      <c r="AC241" s="7">
        <v>649844</v>
      </c>
      <c r="AE241" s="7">
        <v>856236</v>
      </c>
      <c r="AG241" s="7">
        <v>6825</v>
      </c>
      <c r="AI241" s="7">
        <v>370477</v>
      </c>
      <c r="AK241" s="7">
        <v>1966</v>
      </c>
      <c r="AL241" s="12" t="s">
        <v>205</v>
      </c>
      <c r="AM241" s="12"/>
      <c r="AN241" s="12" t="s">
        <v>11</v>
      </c>
      <c r="AP241" s="7">
        <v>447205</v>
      </c>
      <c r="AR241" s="7">
        <v>207118</v>
      </c>
      <c r="AT241" s="7">
        <v>0</v>
      </c>
      <c r="AV241" s="7">
        <v>41000</v>
      </c>
      <c r="AX241" s="7">
        <v>6429</v>
      </c>
      <c r="AZ241" s="7">
        <v>0</v>
      </c>
      <c r="BB241" s="8">
        <f t="shared" si="44"/>
        <v>10796669</v>
      </c>
      <c r="BD241" s="7">
        <v>47429</v>
      </c>
      <c r="BF241" s="7">
        <v>0</v>
      </c>
      <c r="BH241" s="7">
        <v>0</v>
      </c>
      <c r="BJ241" s="7">
        <v>0</v>
      </c>
      <c r="BL241" s="8">
        <f t="shared" si="45"/>
        <v>10844098</v>
      </c>
      <c r="BN241" s="8">
        <f>'Gov Fd Rv'!AQ241-'Gov Fnd Exp'!BL241</f>
        <v>85863</v>
      </c>
      <c r="BP241" s="7">
        <v>2032176</v>
      </c>
      <c r="BR241" s="7">
        <v>0</v>
      </c>
      <c r="BT241" s="7">
        <v>0</v>
      </c>
      <c r="BV241" s="8">
        <f t="shared" si="46"/>
        <v>2118039</v>
      </c>
      <c r="BW241" s="8"/>
      <c r="BX241" s="8">
        <f>BV241-'Gov Fd BS'!AE241</f>
        <v>0</v>
      </c>
      <c r="BY241" s="8"/>
      <c r="CB241" s="101" t="str">
        <f t="shared" si="43"/>
        <v>Hillsdale Local SD</v>
      </c>
      <c r="CC241" s="101" t="b">
        <f t="shared" si="40"/>
        <v>1</v>
      </c>
      <c r="CD241" s="101" t="str">
        <f>'Gov Fd Rv'!A241</f>
        <v>Hillsdale Local SD</v>
      </c>
      <c r="CE241" s="8" t="b">
        <f t="shared" si="39"/>
        <v>1</v>
      </c>
      <c r="CG241" s="8" t="str">
        <f t="shared" si="41"/>
        <v>Ashland</v>
      </c>
      <c r="CH241" s="8" t="b">
        <f t="shared" si="42"/>
        <v>1</v>
      </c>
      <c r="CI241" s="8" t="b">
        <f>C241='Gov Fd Rv'!C241</f>
        <v>1</v>
      </c>
    </row>
    <row r="242" spans="1:87">
      <c r="A242" s="12" t="s">
        <v>354</v>
      </c>
      <c r="B242" s="12"/>
      <c r="C242" s="12" t="s">
        <v>34</v>
      </c>
      <c r="D242" s="12"/>
      <c r="E242" s="12">
        <v>47571</v>
      </c>
      <c r="G242" s="7">
        <v>2624798</v>
      </c>
      <c r="I242" s="7">
        <v>594966</v>
      </c>
      <c r="K242" s="7">
        <v>105993</v>
      </c>
      <c r="M242" s="7">
        <v>0</v>
      </c>
      <c r="O242" s="7">
        <v>0</v>
      </c>
      <c r="Q242" s="7">
        <v>291532</v>
      </c>
      <c r="S242" s="7">
        <v>206041</v>
      </c>
      <c r="U242" s="7">
        <v>30296</v>
      </c>
      <c r="W242" s="7">
        <v>493561</v>
      </c>
      <c r="Y242" s="7">
        <v>164077</v>
      </c>
      <c r="AA242" s="7">
        <v>7283</v>
      </c>
      <c r="AC242" s="7">
        <v>378770</v>
      </c>
      <c r="AE242" s="7">
        <v>178709</v>
      </c>
      <c r="AG242" s="7">
        <v>67254</v>
      </c>
      <c r="AI242" s="7">
        <v>0</v>
      </c>
      <c r="AK242" s="7">
        <v>220529</v>
      </c>
      <c r="AL242" s="12" t="s">
        <v>354</v>
      </c>
      <c r="AM242" s="12"/>
      <c r="AN242" s="12" t="s">
        <v>34</v>
      </c>
      <c r="AP242" s="7">
        <v>207037</v>
      </c>
      <c r="AR242" s="7">
        <v>1338496</v>
      </c>
      <c r="AT242" s="7">
        <v>0</v>
      </c>
      <c r="AV242" s="7">
        <v>144081</v>
      </c>
      <c r="AX242" s="7">
        <v>216430</v>
      </c>
      <c r="AZ242" s="7">
        <v>0</v>
      </c>
      <c r="BB242" s="8">
        <f t="shared" si="44"/>
        <v>7269853</v>
      </c>
      <c r="BD242" s="7">
        <v>0</v>
      </c>
      <c r="BF242" s="7">
        <v>0</v>
      </c>
      <c r="BH242" s="7">
        <v>0</v>
      </c>
      <c r="BJ242" s="7">
        <v>0</v>
      </c>
      <c r="BL242" s="8">
        <f t="shared" si="45"/>
        <v>7269853</v>
      </c>
      <c r="BN242" s="8">
        <f>'Gov Fd Rv'!AQ242-'Gov Fnd Exp'!BL242</f>
        <v>-815819</v>
      </c>
      <c r="BP242" s="7">
        <v>3828954</v>
      </c>
      <c r="BR242" s="7">
        <v>0</v>
      </c>
      <c r="BT242" s="7">
        <v>0</v>
      </c>
      <c r="BV242" s="8">
        <f t="shared" si="46"/>
        <v>3013135</v>
      </c>
      <c r="BW242" s="8"/>
      <c r="BX242" s="8">
        <f>BV242-'Gov Fd BS'!AE242</f>
        <v>0</v>
      </c>
      <c r="BY242" s="8"/>
      <c r="CB242" s="101" t="str">
        <f t="shared" si="43"/>
        <v>Holgate Local SD</v>
      </c>
      <c r="CC242" s="101" t="b">
        <f t="shared" si="40"/>
        <v>1</v>
      </c>
      <c r="CD242" s="101" t="str">
        <f>'Gov Fd Rv'!A242</f>
        <v>Holgate Local SD</v>
      </c>
      <c r="CE242" s="8" t="b">
        <f t="shared" si="39"/>
        <v>1</v>
      </c>
      <c r="CG242" s="8" t="str">
        <f t="shared" si="41"/>
        <v>Henry</v>
      </c>
      <c r="CH242" s="8" t="b">
        <f t="shared" si="42"/>
        <v>1</v>
      </c>
      <c r="CI242" s="8" t="b">
        <f>C242='Gov Fd Rv'!C242</f>
        <v>1</v>
      </c>
    </row>
    <row r="243" spans="1:87">
      <c r="A243" s="12" t="s">
        <v>538</v>
      </c>
      <c r="B243" s="12"/>
      <c r="C243" s="12" t="s">
        <v>64</v>
      </c>
      <c r="D243" s="12"/>
      <c r="E243" s="12">
        <v>50161</v>
      </c>
      <c r="G243" s="7">
        <v>13159473</v>
      </c>
      <c r="I243" s="7">
        <v>5370605</v>
      </c>
      <c r="K243" s="7">
        <v>644076</v>
      </c>
      <c r="M243" s="7">
        <v>0</v>
      </c>
      <c r="O243" s="7">
        <v>0</v>
      </c>
      <c r="Q243" s="7">
        <v>1673707</v>
      </c>
      <c r="S243" s="7">
        <v>1334800</v>
      </c>
      <c r="U243" s="7">
        <v>337319</v>
      </c>
      <c r="W243" s="7">
        <v>2320202</v>
      </c>
      <c r="Y243" s="7">
        <v>705126</v>
      </c>
      <c r="AA243" s="7">
        <v>110463</v>
      </c>
      <c r="AC243" s="7">
        <v>2750154</v>
      </c>
      <c r="AE243" s="7">
        <v>1775858</v>
      </c>
      <c r="AG243" s="7">
        <v>16312</v>
      </c>
      <c r="AI243" s="7">
        <v>860466</v>
      </c>
      <c r="AK243" s="7">
        <v>224253</v>
      </c>
      <c r="AL243" s="12" t="s">
        <v>538</v>
      </c>
      <c r="AM243" s="12"/>
      <c r="AN243" s="12" t="s">
        <v>64</v>
      </c>
      <c r="AP243" s="7">
        <v>772148</v>
      </c>
      <c r="AR243" s="7">
        <v>2014477</v>
      </c>
      <c r="AT243" s="7">
        <v>0</v>
      </c>
      <c r="AV243" s="7">
        <v>95897</v>
      </c>
      <c r="AX243" s="7">
        <v>56023</v>
      </c>
      <c r="AZ243" s="7">
        <v>0</v>
      </c>
      <c r="BB243" s="8">
        <f t="shared" si="44"/>
        <v>34221359</v>
      </c>
      <c r="BD243" s="7">
        <v>118100</v>
      </c>
      <c r="BF243" s="7">
        <v>0</v>
      </c>
      <c r="BH243" s="7">
        <v>0</v>
      </c>
      <c r="BJ243" s="7">
        <v>0</v>
      </c>
      <c r="BL243" s="8">
        <f t="shared" si="45"/>
        <v>34339459</v>
      </c>
      <c r="BN243" s="8">
        <f>'Gov Fd Rv'!AQ243-'Gov Fnd Exp'!BL243</f>
        <v>4486</v>
      </c>
      <c r="BP243" s="7">
        <v>-1350454</v>
      </c>
      <c r="BR243" s="7">
        <v>0</v>
      </c>
      <c r="BT243" s="7">
        <v>0</v>
      </c>
      <c r="BV243" s="8">
        <f t="shared" si="46"/>
        <v>-1345968</v>
      </c>
      <c r="BW243" s="8"/>
      <c r="BX243" s="8">
        <f>BV243-'Gov Fd BS'!AE243</f>
        <v>0</v>
      </c>
      <c r="BY243" s="8"/>
      <c r="CB243" s="101" t="str">
        <f t="shared" si="43"/>
        <v>Howland Local SD</v>
      </c>
      <c r="CC243" s="101" t="b">
        <f t="shared" si="40"/>
        <v>1</v>
      </c>
      <c r="CD243" s="101" t="str">
        <f>'Gov Fd Rv'!A243</f>
        <v>Howland Local SD</v>
      </c>
      <c r="CE243" s="8" t="b">
        <f t="shared" si="39"/>
        <v>1</v>
      </c>
      <c r="CG243" s="8" t="str">
        <f t="shared" si="41"/>
        <v>Trumbull</v>
      </c>
      <c r="CH243" s="8" t="b">
        <f t="shared" si="42"/>
        <v>1</v>
      </c>
      <c r="CI243" s="8" t="b">
        <f>C243='Gov Fd Rv'!C243</f>
        <v>1</v>
      </c>
    </row>
    <row r="244" spans="1:87">
      <c r="A244" s="12" t="s">
        <v>870</v>
      </c>
      <c r="B244" s="12"/>
      <c r="C244" s="12" t="s">
        <v>64</v>
      </c>
      <c r="D244" s="12"/>
      <c r="E244" s="12">
        <v>45427</v>
      </c>
      <c r="G244" s="7">
        <v>9507530</v>
      </c>
      <c r="I244" s="7">
        <v>1802015</v>
      </c>
      <c r="K244" s="7">
        <v>353779</v>
      </c>
      <c r="M244" s="7">
        <v>0</v>
      </c>
      <c r="O244" s="7">
        <v>676352</v>
      </c>
      <c r="Q244" s="7">
        <v>1165616</v>
      </c>
      <c r="S244" s="7">
        <v>875109</v>
      </c>
      <c r="U244" s="7">
        <v>14748</v>
      </c>
      <c r="W244" s="7">
        <v>1506945</v>
      </c>
      <c r="Y244" s="7">
        <v>517287</v>
      </c>
      <c r="AA244" s="7">
        <v>27736</v>
      </c>
      <c r="AC244" s="7">
        <v>1954497</v>
      </c>
      <c r="AE244" s="7">
        <v>1056180</v>
      </c>
      <c r="AG244" s="7">
        <v>322412</v>
      </c>
      <c r="AI244" s="7">
        <v>914355</v>
      </c>
      <c r="AK244" s="7">
        <v>420571</v>
      </c>
      <c r="AL244" s="12" t="s">
        <v>870</v>
      </c>
      <c r="AM244" s="12"/>
      <c r="AN244" s="12" t="s">
        <v>64</v>
      </c>
      <c r="AP244" s="7">
        <v>693994</v>
      </c>
      <c r="AR244" s="7">
        <v>10735996</v>
      </c>
      <c r="AT244" s="7">
        <v>0</v>
      </c>
      <c r="AV244" s="7">
        <v>681000</v>
      </c>
      <c r="AX244" s="7">
        <v>778832</v>
      </c>
      <c r="AZ244" s="7">
        <v>0</v>
      </c>
      <c r="BB244" s="8">
        <f t="shared" si="44"/>
        <v>34004954</v>
      </c>
      <c r="BD244" s="7">
        <v>1053904</v>
      </c>
      <c r="BF244" s="7">
        <v>0</v>
      </c>
      <c r="BH244" s="7">
        <v>0</v>
      </c>
      <c r="BJ244" s="7">
        <v>0</v>
      </c>
      <c r="BL244" s="8">
        <f t="shared" si="45"/>
        <v>35058858</v>
      </c>
      <c r="BN244" s="8">
        <f>'Gov Fd Rv'!AQ244-'Gov Fnd Exp'!BL244</f>
        <v>-10065562</v>
      </c>
      <c r="BP244" s="7">
        <v>31003331</v>
      </c>
      <c r="BR244" s="7">
        <v>0</v>
      </c>
      <c r="BT244" s="7">
        <v>0</v>
      </c>
      <c r="BV244" s="8">
        <f t="shared" si="46"/>
        <v>20937769</v>
      </c>
      <c r="BW244" s="8"/>
      <c r="BX244" s="8">
        <f>BV244-'Gov Fd BS'!AE244</f>
        <v>0</v>
      </c>
      <c r="BY244" s="8"/>
      <c r="CB244" s="101" t="str">
        <f t="shared" si="43"/>
        <v>Hubbard Exempted Village SD</v>
      </c>
      <c r="CC244" s="101" t="b">
        <f t="shared" si="40"/>
        <v>1</v>
      </c>
      <c r="CD244" s="101" t="str">
        <f>'Gov Fd Rv'!A244</f>
        <v>Hubbard Exempted Village SD</v>
      </c>
      <c r="CE244" s="8" t="b">
        <f t="shared" si="39"/>
        <v>1</v>
      </c>
      <c r="CG244" s="8" t="str">
        <f t="shared" si="41"/>
        <v>Trumbull</v>
      </c>
      <c r="CH244" s="8" t="b">
        <f t="shared" si="42"/>
        <v>1</v>
      </c>
      <c r="CI244" s="8" t="b">
        <f>C244='Gov Fd Rv'!C244</f>
        <v>1</v>
      </c>
    </row>
    <row r="245" spans="1:87">
      <c r="A245" s="12" t="s">
        <v>443</v>
      </c>
      <c r="B245" s="12"/>
      <c r="C245" s="12" t="s">
        <v>50</v>
      </c>
      <c r="D245" s="12"/>
      <c r="E245" s="12">
        <v>48751</v>
      </c>
      <c r="G245" s="7">
        <v>48056278</v>
      </c>
      <c r="I245" s="7">
        <v>0</v>
      </c>
      <c r="K245" s="7">
        <v>0</v>
      </c>
      <c r="M245" s="7">
        <v>0</v>
      </c>
      <c r="O245" s="7">
        <v>0</v>
      </c>
      <c r="Q245" s="7">
        <v>3280850</v>
      </c>
      <c r="S245" s="7">
        <v>5011086</v>
      </c>
      <c r="U245" s="7">
        <v>36455</v>
      </c>
      <c r="W245" s="7">
        <v>4537643</v>
      </c>
      <c r="Y245" s="7">
        <v>1137559</v>
      </c>
      <c r="AA245" s="7">
        <v>581452</v>
      </c>
      <c r="AC245" s="7">
        <v>5698503</v>
      </c>
      <c r="AE245" s="7">
        <v>3397111</v>
      </c>
      <c r="AG245" s="7">
        <v>502803</v>
      </c>
      <c r="AI245" s="7">
        <v>2385497</v>
      </c>
      <c r="AK245" s="7">
        <v>517730</v>
      </c>
      <c r="AL245" s="12" t="s">
        <v>443</v>
      </c>
      <c r="AM245" s="12"/>
      <c r="AN245" s="12" t="s">
        <v>50</v>
      </c>
      <c r="AP245" s="7">
        <v>1103672</v>
      </c>
      <c r="AR245" s="7">
        <v>63772369</v>
      </c>
      <c r="AT245" s="7">
        <v>0</v>
      </c>
      <c r="AV245" s="7">
        <v>1101969</v>
      </c>
      <c r="AX245" s="7">
        <v>3825872</v>
      </c>
      <c r="AZ245" s="7">
        <v>0</v>
      </c>
      <c r="BB245" s="8">
        <f t="shared" si="44"/>
        <v>144946849</v>
      </c>
      <c r="BD245" s="7">
        <v>2839744</v>
      </c>
      <c r="BF245" s="7">
        <v>0</v>
      </c>
      <c r="BH245" s="7">
        <v>0</v>
      </c>
      <c r="BJ245" s="7">
        <v>0</v>
      </c>
      <c r="BL245" s="8">
        <f t="shared" si="45"/>
        <v>147786593</v>
      </c>
      <c r="BN245" s="8">
        <f>'Gov Fd Rv'!AQ245-'Gov Fnd Exp'!BL245</f>
        <v>-24680943</v>
      </c>
      <c r="BP245" s="7">
        <v>129793375</v>
      </c>
      <c r="BR245" s="7">
        <v>21763</v>
      </c>
      <c r="BT245" s="7">
        <v>0</v>
      </c>
      <c r="BV245" s="8">
        <f t="shared" si="46"/>
        <v>105134195</v>
      </c>
      <c r="BW245" s="8"/>
      <c r="BX245" s="8">
        <f>BV245-'Gov Fd BS'!AE245</f>
        <v>0</v>
      </c>
      <c r="BY245" s="8"/>
      <c r="BZ245" s="7" t="s">
        <v>804</v>
      </c>
      <c r="CB245" s="101" t="str">
        <f t="shared" si="43"/>
        <v>Huber Heights City SD</v>
      </c>
      <c r="CC245" s="101" t="b">
        <f t="shared" si="40"/>
        <v>1</v>
      </c>
      <c r="CD245" s="101" t="str">
        <f>'Gov Fd Rv'!A245</f>
        <v>Huber Heights City SD</v>
      </c>
      <c r="CE245" s="8" t="b">
        <f t="shared" si="39"/>
        <v>1</v>
      </c>
      <c r="CG245" s="8" t="str">
        <f t="shared" si="41"/>
        <v>Montgomery</v>
      </c>
      <c r="CH245" s="8" t="b">
        <f t="shared" si="42"/>
        <v>1</v>
      </c>
      <c r="CI245" s="8" t="b">
        <f>C245='Gov Fd Rv'!C245</f>
        <v>1</v>
      </c>
    </row>
    <row r="246" spans="1:87">
      <c r="A246" s="12" t="s">
        <v>525</v>
      </c>
      <c r="B246" s="12"/>
      <c r="C246" s="12" t="s">
        <v>63</v>
      </c>
      <c r="D246" s="12"/>
      <c r="E246" s="12">
        <v>50021</v>
      </c>
      <c r="G246" s="7">
        <v>29920213</v>
      </c>
      <c r="I246" s="7">
        <v>7160628</v>
      </c>
      <c r="K246" s="7">
        <v>395679</v>
      </c>
      <c r="M246" s="7">
        <v>0</v>
      </c>
      <c r="O246" s="7">
        <v>1394094</v>
      </c>
      <c r="Q246" s="7">
        <v>4744635</v>
      </c>
      <c r="S246" s="7">
        <v>5205729</v>
      </c>
      <c r="U246" s="7">
        <v>34423</v>
      </c>
      <c r="W246" s="7">
        <v>4178672</v>
      </c>
      <c r="Y246" s="7">
        <v>1482001</v>
      </c>
      <c r="AA246" s="7">
        <v>573689</v>
      </c>
      <c r="AC246" s="7">
        <v>5161634</v>
      </c>
      <c r="AE246" s="7">
        <v>3484103</v>
      </c>
      <c r="AG246" s="7">
        <v>464868</v>
      </c>
      <c r="AI246" s="7">
        <v>1572734</v>
      </c>
      <c r="AK246" s="7">
        <v>51019</v>
      </c>
      <c r="AL246" s="12" t="s">
        <v>525</v>
      </c>
      <c r="AM246" s="12"/>
      <c r="AN246" s="12" t="s">
        <v>63</v>
      </c>
      <c r="AP246" s="7">
        <v>1314292</v>
      </c>
      <c r="AR246" s="7">
        <v>1308126</v>
      </c>
      <c r="AT246" s="7">
        <v>0</v>
      </c>
      <c r="AV246" s="7">
        <v>2935517</v>
      </c>
      <c r="AX246" s="7">
        <v>1302867</v>
      </c>
      <c r="AZ246" s="7">
        <v>0</v>
      </c>
      <c r="BB246" s="8">
        <f t="shared" si="44"/>
        <v>72684923</v>
      </c>
      <c r="BD246" s="7">
        <v>1229317</v>
      </c>
      <c r="BF246" s="7">
        <v>0</v>
      </c>
      <c r="BH246" s="7">
        <v>0</v>
      </c>
      <c r="BJ246" s="7">
        <v>0</v>
      </c>
      <c r="BL246" s="8">
        <f t="shared" si="45"/>
        <v>73914240</v>
      </c>
      <c r="BN246" s="8">
        <f>'Gov Fd Rv'!AQ246-'Gov Fnd Exp'!BL246</f>
        <v>-1015735</v>
      </c>
      <c r="BP246" s="7">
        <v>15441500</v>
      </c>
      <c r="BR246" s="7">
        <v>0</v>
      </c>
      <c r="BT246" s="7">
        <v>0</v>
      </c>
      <c r="BV246" s="8">
        <f t="shared" si="46"/>
        <v>14425765</v>
      </c>
      <c r="BW246" s="8"/>
      <c r="BX246" s="8">
        <f>BV246-'Gov Fd BS'!AE246</f>
        <v>0</v>
      </c>
      <c r="BY246" s="8"/>
      <c r="CB246" s="101" t="str">
        <f t="shared" si="43"/>
        <v>Hudson City SD</v>
      </c>
      <c r="CC246" s="101" t="b">
        <f t="shared" si="40"/>
        <v>1</v>
      </c>
      <c r="CD246" s="101" t="str">
        <f>'Gov Fd Rv'!A246</f>
        <v>Hudson City SD</v>
      </c>
      <c r="CE246" s="8" t="b">
        <f t="shared" si="39"/>
        <v>1</v>
      </c>
      <c r="CG246" s="8" t="str">
        <f t="shared" si="41"/>
        <v>Summit</v>
      </c>
      <c r="CH246" s="8" t="b">
        <f t="shared" si="42"/>
        <v>1</v>
      </c>
      <c r="CI246" s="8" t="b">
        <f>C246='Gov Fd Rv'!C246</f>
        <v>1</v>
      </c>
    </row>
    <row r="247" spans="1:87">
      <c r="A247" s="12" t="s">
        <v>489</v>
      </c>
      <c r="B247" s="12"/>
      <c r="C247" s="12" t="s">
        <v>58</v>
      </c>
      <c r="D247" s="12"/>
      <c r="E247" s="12">
        <v>49502</v>
      </c>
      <c r="G247" s="7">
        <v>6819186</v>
      </c>
      <c r="I247" s="7">
        <v>1541549</v>
      </c>
      <c r="K247" s="7">
        <v>0</v>
      </c>
      <c r="M247" s="7">
        <v>0</v>
      </c>
      <c r="O247" s="7">
        <v>222876</v>
      </c>
      <c r="Q247" s="7">
        <v>326873</v>
      </c>
      <c r="S247" s="7">
        <v>133456</v>
      </c>
      <c r="U247" s="7">
        <v>28682</v>
      </c>
      <c r="W247" s="7">
        <v>771046</v>
      </c>
      <c r="Y247" s="7">
        <v>637537</v>
      </c>
      <c r="AA247" s="7">
        <v>0</v>
      </c>
      <c r="AC247" s="7">
        <v>1155159</v>
      </c>
      <c r="AE247" s="7">
        <v>871314</v>
      </c>
      <c r="AG247" s="7">
        <v>0</v>
      </c>
      <c r="AI247" s="7">
        <v>603691</v>
      </c>
      <c r="AK247" s="7">
        <v>0</v>
      </c>
      <c r="AL247" s="12" t="s">
        <v>489</v>
      </c>
      <c r="AM247" s="12"/>
      <c r="AN247" s="12" t="s">
        <v>58</v>
      </c>
      <c r="AP247" s="7">
        <v>265169</v>
      </c>
      <c r="AR247" s="7">
        <v>618</v>
      </c>
      <c r="AT247" s="7">
        <v>0</v>
      </c>
      <c r="AV247" s="7">
        <v>89851</v>
      </c>
      <c r="AX247" s="7">
        <v>43389</v>
      </c>
      <c r="AZ247" s="7">
        <v>0</v>
      </c>
      <c r="BB247" s="8">
        <f t="shared" si="44"/>
        <v>13510396</v>
      </c>
      <c r="BD247" s="7">
        <v>8738</v>
      </c>
      <c r="BF247" s="7">
        <v>0</v>
      </c>
      <c r="BH247" s="7">
        <v>0</v>
      </c>
      <c r="BJ247" s="7">
        <v>0</v>
      </c>
      <c r="BL247" s="8">
        <f t="shared" si="45"/>
        <v>13519134</v>
      </c>
      <c r="BN247" s="8">
        <f>'Gov Fd Rv'!AQ247-'Gov Fnd Exp'!BL247</f>
        <v>-47401</v>
      </c>
      <c r="BP247" s="7">
        <v>4549959</v>
      </c>
      <c r="BR247" s="7">
        <v>0</v>
      </c>
      <c r="BT247" s="7">
        <v>0</v>
      </c>
      <c r="BV247" s="8">
        <f t="shared" si="46"/>
        <v>4502558</v>
      </c>
      <c r="BW247" s="8"/>
      <c r="BX247" s="8">
        <f>BV247-'Gov Fd BS'!AE247</f>
        <v>0</v>
      </c>
      <c r="BY247" s="8"/>
      <c r="CB247" s="101" t="str">
        <f t="shared" si="43"/>
        <v>Huntington Local SD</v>
      </c>
      <c r="CC247" s="101" t="b">
        <f t="shared" si="40"/>
        <v>1</v>
      </c>
      <c r="CD247" s="101" t="str">
        <f>'Gov Fd Rv'!A247</f>
        <v>Huntington Local SD</v>
      </c>
      <c r="CE247" s="8" t="b">
        <f t="shared" si="39"/>
        <v>1</v>
      </c>
      <c r="CG247" s="8" t="str">
        <f t="shared" si="41"/>
        <v>Ross</v>
      </c>
      <c r="CH247" s="8" t="b">
        <f t="shared" si="42"/>
        <v>1</v>
      </c>
      <c r="CI247" s="8" t="b">
        <f>C247='Gov Fd Rv'!C247</f>
        <v>1</v>
      </c>
    </row>
    <row r="248" spans="1:87">
      <c r="A248" s="12" t="s">
        <v>292</v>
      </c>
      <c r="B248" s="12"/>
      <c r="C248" s="12" t="s">
        <v>24</v>
      </c>
      <c r="D248" s="12"/>
      <c r="E248" s="12">
        <v>44131</v>
      </c>
      <c r="G248" s="7">
        <v>7168105</v>
      </c>
      <c r="I248" s="7">
        <v>2147124</v>
      </c>
      <c r="K248" s="7">
        <v>0</v>
      </c>
      <c r="M248" s="7">
        <v>0</v>
      </c>
      <c r="O248" s="7">
        <v>90159</v>
      </c>
      <c r="Q248" s="7">
        <v>548474</v>
      </c>
      <c r="S248" s="7">
        <v>679728</v>
      </c>
      <c r="U248" s="7">
        <v>40410</v>
      </c>
      <c r="W248" s="7">
        <v>1558661</v>
      </c>
      <c r="Y248" s="7">
        <v>500637</v>
      </c>
      <c r="AA248" s="7">
        <v>0</v>
      </c>
      <c r="AC248" s="7">
        <v>2647867</v>
      </c>
      <c r="AE248" s="7">
        <v>851647</v>
      </c>
      <c r="AG248" s="7">
        <v>3306</v>
      </c>
      <c r="AI248" s="7">
        <v>652992</v>
      </c>
      <c r="AK248" s="7">
        <v>318926</v>
      </c>
      <c r="AL248" s="12" t="s">
        <v>292</v>
      </c>
      <c r="AM248" s="12"/>
      <c r="AN248" s="12" t="s">
        <v>24</v>
      </c>
      <c r="AP248" s="7">
        <v>739293</v>
      </c>
      <c r="AR248" s="7">
        <v>66176</v>
      </c>
      <c r="AT248" s="7">
        <v>0</v>
      </c>
      <c r="AV248" s="7">
        <v>752218</v>
      </c>
      <c r="AX248" s="7">
        <f>329798</f>
        <v>329798</v>
      </c>
      <c r="AZ248" s="7">
        <v>5230</v>
      </c>
      <c r="BB248" s="8">
        <f t="shared" si="44"/>
        <v>19100751</v>
      </c>
      <c r="BD248" s="7">
        <v>36184</v>
      </c>
      <c r="BF248" s="7">
        <v>0</v>
      </c>
      <c r="BH248" s="7">
        <v>0</v>
      </c>
      <c r="BJ248" s="7">
        <v>0</v>
      </c>
      <c r="BL248" s="8">
        <f t="shared" si="45"/>
        <v>19136935</v>
      </c>
      <c r="BN248" s="8">
        <f>'Gov Fd Rv'!AQ248-'Gov Fnd Exp'!BL248</f>
        <v>-595683</v>
      </c>
      <c r="BP248" s="7">
        <v>9148758</v>
      </c>
      <c r="BR248" s="7">
        <v>0</v>
      </c>
      <c r="BT248" s="7">
        <v>0</v>
      </c>
      <c r="BV248" s="8">
        <f t="shared" si="46"/>
        <v>8553075</v>
      </c>
      <c r="BW248" s="8"/>
      <c r="BX248" s="8">
        <f>BV248-'Gov Fd BS'!AE248</f>
        <v>0</v>
      </c>
      <c r="BY248" s="8"/>
      <c r="CB248" s="101" t="str">
        <f t="shared" si="43"/>
        <v>Huron City SD</v>
      </c>
      <c r="CC248" s="101" t="b">
        <f t="shared" si="40"/>
        <v>1</v>
      </c>
      <c r="CD248" s="101" t="str">
        <f>'Gov Fd Rv'!A248</f>
        <v>Huron City SD</v>
      </c>
      <c r="CE248" s="8" t="b">
        <f t="shared" si="39"/>
        <v>1</v>
      </c>
      <c r="CG248" s="8" t="str">
        <f t="shared" si="41"/>
        <v>Erie</v>
      </c>
      <c r="CH248" s="8" t="b">
        <f t="shared" si="42"/>
        <v>1</v>
      </c>
      <c r="CI248" s="8" t="b">
        <f>C248='Gov Fd Rv'!C248</f>
        <v>1</v>
      </c>
    </row>
    <row r="249" spans="1:87">
      <c r="A249" s="12" t="s">
        <v>275</v>
      </c>
      <c r="B249" s="12"/>
      <c r="C249" s="12" t="s">
        <v>20</v>
      </c>
      <c r="D249" s="12"/>
      <c r="E249" s="12">
        <v>46565</v>
      </c>
      <c r="G249" s="7">
        <v>7341998</v>
      </c>
      <c r="I249" s="7">
        <v>486557</v>
      </c>
      <c r="K249" s="7">
        <v>0</v>
      </c>
      <c r="M249" s="7">
        <v>0</v>
      </c>
      <c r="O249" s="7">
        <f>185530+27008</f>
        <v>212538</v>
      </c>
      <c r="Q249" s="7">
        <v>891805</v>
      </c>
      <c r="S249" s="7">
        <v>2037462</v>
      </c>
      <c r="U249" s="7">
        <v>212736</v>
      </c>
      <c r="W249" s="7">
        <v>1208296</v>
      </c>
      <c r="Y249" s="7">
        <v>567201</v>
      </c>
      <c r="AA249" s="7">
        <v>251530</v>
      </c>
      <c r="AC249" s="7">
        <v>1804816</v>
      </c>
      <c r="AE249" s="7">
        <v>867650</v>
      </c>
      <c r="AG249" s="7">
        <v>5000</v>
      </c>
      <c r="AI249" s="7">
        <v>321953</v>
      </c>
      <c r="AK249" s="7">
        <v>200194</v>
      </c>
      <c r="AL249" s="12" t="s">
        <v>275</v>
      </c>
      <c r="AM249" s="12"/>
      <c r="AN249" s="12" t="s">
        <v>20</v>
      </c>
      <c r="AP249" s="7">
        <v>574631</v>
      </c>
      <c r="AR249" s="7">
        <v>0</v>
      </c>
      <c r="AT249" s="7">
        <v>0</v>
      </c>
      <c r="AV249" s="7">
        <v>470000</v>
      </c>
      <c r="AX249" s="7">
        <v>675535</v>
      </c>
      <c r="AZ249" s="7">
        <v>0</v>
      </c>
      <c r="BB249" s="8">
        <f t="shared" si="44"/>
        <v>18129902</v>
      </c>
      <c r="BD249" s="7">
        <v>67970</v>
      </c>
      <c r="BF249" s="7">
        <v>0</v>
      </c>
      <c r="BH249" s="7">
        <v>0</v>
      </c>
      <c r="BJ249" s="7">
        <v>0</v>
      </c>
      <c r="BL249" s="8">
        <f t="shared" si="45"/>
        <v>18197872</v>
      </c>
      <c r="BN249" s="8">
        <f>'Gov Fd Rv'!AQ249-'Gov Fnd Exp'!BL249</f>
        <v>1246682</v>
      </c>
      <c r="BP249" s="7">
        <v>3115003</v>
      </c>
      <c r="BR249" s="7">
        <v>0</v>
      </c>
      <c r="BT249" s="7">
        <v>0</v>
      </c>
      <c r="BV249" s="8">
        <f t="shared" si="46"/>
        <v>4361685</v>
      </c>
      <c r="BW249" s="8"/>
      <c r="BX249" s="8">
        <f>BV249-'Gov Fd BS'!AE249</f>
        <v>0</v>
      </c>
      <c r="BY249" s="8"/>
      <c r="CB249" s="101" t="str">
        <f t="shared" si="43"/>
        <v>Independence Local SD</v>
      </c>
      <c r="CC249" s="101" t="b">
        <f t="shared" si="40"/>
        <v>1</v>
      </c>
      <c r="CD249" s="101" t="str">
        <f>'Gov Fd Rv'!A249</f>
        <v>Independence Local SD</v>
      </c>
      <c r="CE249" s="8" t="b">
        <f t="shared" si="39"/>
        <v>1</v>
      </c>
      <c r="CG249" s="8" t="str">
        <f t="shared" si="41"/>
        <v>Cuyahoga</v>
      </c>
      <c r="CH249" s="8" t="b">
        <f t="shared" si="42"/>
        <v>1</v>
      </c>
      <c r="CI249" s="8" t="b">
        <f>C249='Gov Fd Rv'!C249</f>
        <v>1</v>
      </c>
    </row>
    <row r="250" spans="1:87">
      <c r="A250" s="12" t="s">
        <v>373</v>
      </c>
      <c r="B250" s="12"/>
      <c r="C250" s="12" t="s">
        <v>39</v>
      </c>
      <c r="D250" s="12"/>
      <c r="E250" s="12">
        <v>47803</v>
      </c>
      <c r="G250" s="7">
        <v>10506098</v>
      </c>
      <c r="I250" s="7">
        <v>2658806</v>
      </c>
      <c r="K250" s="7">
        <v>206181</v>
      </c>
      <c r="M250" s="7">
        <v>1249</v>
      </c>
      <c r="O250" s="7">
        <v>156948</v>
      </c>
      <c r="Q250" s="7">
        <v>787394</v>
      </c>
      <c r="S250" s="7">
        <v>1097746</v>
      </c>
      <c r="U250" s="7">
        <v>16295</v>
      </c>
      <c r="W250" s="7">
        <v>1609793</v>
      </c>
      <c r="Y250" s="7">
        <v>454527</v>
      </c>
      <c r="AA250" s="7">
        <v>0</v>
      </c>
      <c r="AC250" s="7">
        <v>1786326</v>
      </c>
      <c r="AE250" s="7">
        <v>997783</v>
      </c>
      <c r="AG250" s="7">
        <v>141912</v>
      </c>
      <c r="AI250" s="7">
        <v>863784</v>
      </c>
      <c r="AK250" s="7">
        <v>98118</v>
      </c>
      <c r="AL250" s="12" t="s">
        <v>373</v>
      </c>
      <c r="AM250" s="12"/>
      <c r="AN250" s="12" t="s">
        <v>39</v>
      </c>
      <c r="AP250" s="7">
        <v>360408</v>
      </c>
      <c r="AR250" s="7">
        <v>1694911</v>
      </c>
      <c r="AT250" s="7">
        <v>0</v>
      </c>
      <c r="AV250" s="7">
        <v>352149</v>
      </c>
      <c r="AX250" s="7">
        <v>581105</v>
      </c>
      <c r="AZ250" s="7">
        <v>0</v>
      </c>
      <c r="BB250" s="8">
        <f t="shared" si="44"/>
        <v>24371533</v>
      </c>
      <c r="BD250" s="7">
        <v>668787</v>
      </c>
      <c r="BF250" s="7">
        <v>0</v>
      </c>
      <c r="BH250" s="7">
        <v>0</v>
      </c>
      <c r="BJ250" s="7">
        <v>0</v>
      </c>
      <c r="BL250" s="8">
        <f t="shared" si="45"/>
        <v>25040320</v>
      </c>
      <c r="BN250" s="8">
        <f>'Gov Fd Rv'!AQ250-'Gov Fnd Exp'!BL250</f>
        <v>-728154</v>
      </c>
      <c r="BP250" s="7">
        <v>13712273</v>
      </c>
      <c r="BR250" s="7">
        <v>0</v>
      </c>
      <c r="BT250" s="7">
        <v>0</v>
      </c>
      <c r="BV250" s="8">
        <f t="shared" si="46"/>
        <v>12984119</v>
      </c>
      <c r="BW250" s="8"/>
      <c r="BX250" s="8">
        <f>BV250-'Gov Fd BS'!AE250</f>
        <v>0</v>
      </c>
      <c r="BY250" s="8"/>
      <c r="CB250" s="101" t="str">
        <f t="shared" si="43"/>
        <v>Indian Creek Local SD</v>
      </c>
      <c r="CC250" s="101" t="b">
        <f t="shared" si="40"/>
        <v>1</v>
      </c>
      <c r="CD250" s="101" t="str">
        <f>'Gov Fd Rv'!A250</f>
        <v>Indian Creek Local SD</v>
      </c>
      <c r="CE250" s="8" t="b">
        <f t="shared" si="39"/>
        <v>1</v>
      </c>
      <c r="CG250" s="8" t="str">
        <f t="shared" si="41"/>
        <v>Jefferson</v>
      </c>
      <c r="CH250" s="8" t="b">
        <f t="shared" si="42"/>
        <v>1</v>
      </c>
      <c r="CI250" s="8" t="b">
        <f>C250='Gov Fd Rv'!C250</f>
        <v>1</v>
      </c>
    </row>
    <row r="251" spans="1:87">
      <c r="A251" s="12" t="s">
        <v>871</v>
      </c>
      <c r="B251" s="12"/>
      <c r="C251" s="12" t="s">
        <v>32</v>
      </c>
      <c r="D251" s="12"/>
      <c r="E251" s="12">
        <v>45435</v>
      </c>
      <c r="G251" s="7">
        <v>14037082</v>
      </c>
      <c r="I251" s="7">
        <v>2414952</v>
      </c>
      <c r="K251" s="7">
        <v>0</v>
      </c>
      <c r="M251" s="7">
        <v>0</v>
      </c>
      <c r="O251" s="7">
        <v>466314</v>
      </c>
      <c r="Q251" s="7">
        <v>2338189</v>
      </c>
      <c r="S251" s="7">
        <v>2773860</v>
      </c>
      <c r="U251" s="7">
        <v>21224</v>
      </c>
      <c r="W251" s="7">
        <v>2396214</v>
      </c>
      <c r="Y251" s="7">
        <v>779404</v>
      </c>
      <c r="AA251" s="7">
        <v>106709</v>
      </c>
      <c r="AC251" s="7">
        <v>3603686</v>
      </c>
      <c r="AE251" s="7">
        <v>1782344</v>
      </c>
      <c r="AG251" s="7">
        <v>57368</v>
      </c>
      <c r="AI251" s="7">
        <v>649249</v>
      </c>
      <c r="AK251" s="7">
        <v>920596</v>
      </c>
      <c r="AL251" s="12" t="s">
        <v>871</v>
      </c>
      <c r="AM251" s="12"/>
      <c r="AN251" s="12" t="s">
        <v>32</v>
      </c>
      <c r="AP251" s="7">
        <v>871183</v>
      </c>
      <c r="AR251" s="7">
        <v>591000</v>
      </c>
      <c r="AT251" s="7">
        <v>0</v>
      </c>
      <c r="AV251" s="7">
        <v>2165000</v>
      </c>
      <c r="AX251" s="7">
        <v>1518801</v>
      </c>
      <c r="AZ251" s="7">
        <v>0</v>
      </c>
      <c r="BB251" s="8">
        <f t="shared" si="44"/>
        <v>37493175</v>
      </c>
      <c r="BD251" s="7">
        <v>0</v>
      </c>
      <c r="BF251" s="7">
        <v>0</v>
      </c>
      <c r="BH251" s="7">
        <v>0</v>
      </c>
      <c r="BJ251" s="7">
        <v>0</v>
      </c>
      <c r="BL251" s="8">
        <f t="shared" si="45"/>
        <v>37493175</v>
      </c>
      <c r="BN251" s="8">
        <f>'Gov Fd Rv'!AQ251-'Gov Fnd Exp'!BL251</f>
        <v>4072856</v>
      </c>
      <c r="BP251" s="7">
        <v>35755304</v>
      </c>
      <c r="BR251" s="7">
        <v>0</v>
      </c>
      <c r="BT251" s="7">
        <v>0</v>
      </c>
      <c r="BV251" s="8">
        <f t="shared" si="46"/>
        <v>39828160</v>
      </c>
      <c r="BW251" s="8"/>
      <c r="BX251" s="8">
        <f>BV251-'Gov Fd BS'!AE251</f>
        <v>0</v>
      </c>
      <c r="BY251" s="8"/>
      <c r="CB251" s="101" t="str">
        <f t="shared" si="43"/>
        <v>Indian Hill Exempted Village SD</v>
      </c>
      <c r="CC251" s="101" t="b">
        <f t="shared" si="40"/>
        <v>1</v>
      </c>
      <c r="CD251" s="101" t="str">
        <f>'Gov Fd Rv'!A251</f>
        <v>Indian Hill Exempted Village SD</v>
      </c>
      <c r="CE251" s="8" t="b">
        <f t="shared" si="39"/>
        <v>1</v>
      </c>
      <c r="CG251" s="8" t="str">
        <f t="shared" si="41"/>
        <v>Hamilton</v>
      </c>
      <c r="CH251" s="8" t="b">
        <f t="shared" si="42"/>
        <v>1</v>
      </c>
      <c r="CI251" s="8" t="b">
        <f>C251='Gov Fd Rv'!C251</f>
        <v>1</v>
      </c>
    </row>
    <row r="252" spans="1:87" hidden="1">
      <c r="A252" s="12" t="s">
        <v>909</v>
      </c>
      <c r="B252" s="12"/>
      <c r="C252" s="12" t="s">
        <v>43</v>
      </c>
      <c r="D252" s="12"/>
      <c r="E252" s="12"/>
      <c r="AL252" s="12" t="s">
        <v>909</v>
      </c>
      <c r="AM252" s="12"/>
      <c r="AN252" s="12" t="s">
        <v>43</v>
      </c>
      <c r="AT252" s="7">
        <v>0</v>
      </c>
      <c r="BB252" s="8">
        <f t="shared" si="44"/>
        <v>0</v>
      </c>
      <c r="BF252" s="7">
        <v>0</v>
      </c>
      <c r="BH252" s="7">
        <v>0</v>
      </c>
      <c r="BJ252" s="7">
        <v>0</v>
      </c>
      <c r="BL252" s="8">
        <f t="shared" si="45"/>
        <v>0</v>
      </c>
      <c r="BN252" s="8">
        <f>'Gov Fd Rv'!AQ252-'Gov Fnd Exp'!BL252</f>
        <v>0</v>
      </c>
      <c r="BT252" s="7">
        <v>0</v>
      </c>
      <c r="BV252" s="8">
        <f t="shared" si="46"/>
        <v>0</v>
      </c>
      <c r="BW252" s="8"/>
      <c r="BX252" s="8">
        <f>BV252-'Gov Fd BS'!AE252</f>
        <v>0</v>
      </c>
      <c r="BY252" s="8"/>
      <c r="BZ252" s="7" t="s">
        <v>904</v>
      </c>
      <c r="CB252" s="101" t="str">
        <f t="shared" si="43"/>
        <v>Indian Lake Local SD (CASH)</v>
      </c>
      <c r="CC252" s="101" t="b">
        <f t="shared" si="40"/>
        <v>1</v>
      </c>
      <c r="CD252" s="101" t="str">
        <f>'Gov Fd Rv'!A252</f>
        <v>Indian Lake Local SD (CASH)</v>
      </c>
      <c r="CE252" s="8" t="b">
        <f t="shared" si="39"/>
        <v>1</v>
      </c>
      <c r="CG252" s="8" t="str">
        <f t="shared" si="41"/>
        <v>Logan</v>
      </c>
      <c r="CH252" s="8" t="b">
        <f t="shared" si="42"/>
        <v>1</v>
      </c>
      <c r="CI252" s="8" t="b">
        <f>C252='Gov Fd Rv'!C252</f>
        <v>1</v>
      </c>
    </row>
    <row r="253" spans="1:87">
      <c r="A253" s="12" t="s">
        <v>552</v>
      </c>
      <c r="B253" s="12"/>
      <c r="C253" s="12" t="s">
        <v>65</v>
      </c>
      <c r="D253" s="12"/>
      <c r="E253" s="12">
        <v>50286</v>
      </c>
      <c r="G253" s="7">
        <v>6207090</v>
      </c>
      <c r="I253" s="7">
        <v>1761016</v>
      </c>
      <c r="K253" s="7">
        <v>192308</v>
      </c>
      <c r="M253" s="7">
        <v>0</v>
      </c>
      <c r="O253" s="7">
        <f>863+1803505</f>
        <v>1804368</v>
      </c>
      <c r="Q253" s="7">
        <v>547619</v>
      </c>
      <c r="S253" s="7">
        <v>603459</v>
      </c>
      <c r="U253" s="7">
        <v>59774</v>
      </c>
      <c r="W253" s="7">
        <v>1135022</v>
      </c>
      <c r="Y253" s="7">
        <v>400827</v>
      </c>
      <c r="AA253" s="7">
        <v>117145</v>
      </c>
      <c r="AC253" s="7">
        <v>1602589</v>
      </c>
      <c r="AE253" s="7">
        <v>1096794</v>
      </c>
      <c r="AG253" s="7">
        <v>17992</v>
      </c>
      <c r="AI253" s="7">
        <v>763997</v>
      </c>
      <c r="AK253" s="7">
        <v>0</v>
      </c>
      <c r="AL253" s="12" t="s">
        <v>552</v>
      </c>
      <c r="AM253" s="12"/>
      <c r="AN253" s="12" t="s">
        <v>65</v>
      </c>
      <c r="AP253" s="7">
        <v>479135</v>
      </c>
      <c r="AR253" s="7">
        <v>114800</v>
      </c>
      <c r="AT253" s="7">
        <v>0</v>
      </c>
      <c r="AV253" s="7">
        <v>818007</v>
      </c>
      <c r="AX253" s="7">
        <v>401695</v>
      </c>
      <c r="AZ253" s="7">
        <v>0</v>
      </c>
      <c r="BB253" s="8">
        <f t="shared" si="44"/>
        <v>18123637</v>
      </c>
      <c r="BD253" s="7">
        <v>157300</v>
      </c>
      <c r="BF253" s="7">
        <v>0</v>
      </c>
      <c r="BH253" s="7">
        <v>0</v>
      </c>
      <c r="BJ253" s="7">
        <v>0</v>
      </c>
      <c r="BL253" s="8">
        <f t="shared" si="45"/>
        <v>18280937</v>
      </c>
      <c r="BN253" s="8">
        <f>'Gov Fd Rv'!AQ253-'Gov Fnd Exp'!BL253</f>
        <v>789380</v>
      </c>
      <c r="BP253" s="7">
        <v>2923980</v>
      </c>
      <c r="BR253" s="7">
        <v>0</v>
      </c>
      <c r="BT253" s="7">
        <v>0</v>
      </c>
      <c r="BV253" s="8">
        <f t="shared" si="46"/>
        <v>3713360</v>
      </c>
      <c r="BW253" s="8"/>
      <c r="BX253" s="8">
        <f>BV253-'Gov Fd BS'!AE253</f>
        <v>0</v>
      </c>
      <c r="BY253" s="8"/>
      <c r="BZ253" s="14"/>
      <c r="CB253" s="101" t="str">
        <f t="shared" si="43"/>
        <v>Indian Valley Local SD</v>
      </c>
      <c r="CC253" s="101" t="b">
        <f t="shared" si="40"/>
        <v>1</v>
      </c>
      <c r="CD253" s="101" t="str">
        <f>'Gov Fd Rv'!A253</f>
        <v>Indian Valley Local SD</v>
      </c>
      <c r="CE253" s="8" t="b">
        <f t="shared" si="39"/>
        <v>1</v>
      </c>
      <c r="CG253" s="8" t="str">
        <f t="shared" si="41"/>
        <v>Tuscarawas</v>
      </c>
      <c r="CH253" s="8" t="b">
        <f t="shared" si="42"/>
        <v>1</v>
      </c>
      <c r="CI253" s="8" t="b">
        <f>C253='Gov Fd Rv'!C253</f>
        <v>1</v>
      </c>
    </row>
    <row r="254" spans="1:87">
      <c r="A254" s="12" t="s">
        <v>380</v>
      </c>
      <c r="B254" s="12"/>
      <c r="C254" s="12" t="s">
        <v>377</v>
      </c>
      <c r="D254" s="12"/>
      <c r="E254" s="12">
        <v>44149</v>
      </c>
      <c r="G254" s="7">
        <v>6508066</v>
      </c>
      <c r="I254" s="7">
        <v>1661257</v>
      </c>
      <c r="K254" s="7">
        <v>240241</v>
      </c>
      <c r="M254" s="7">
        <v>0</v>
      </c>
      <c r="O254" s="7">
        <v>103688</v>
      </c>
      <c r="Q254" s="7">
        <v>748047</v>
      </c>
      <c r="S254" s="7">
        <v>478080</v>
      </c>
      <c r="U254" s="7">
        <v>252804</v>
      </c>
      <c r="W254" s="7">
        <v>1005433</v>
      </c>
      <c r="Y254" s="7">
        <v>560204</v>
      </c>
      <c r="AA254" s="7">
        <v>0</v>
      </c>
      <c r="AC254" s="7">
        <v>1808803</v>
      </c>
      <c r="AE254" s="7">
        <v>658411</v>
      </c>
      <c r="AG254" s="7">
        <v>97189</v>
      </c>
      <c r="AI254" s="7">
        <v>690969</v>
      </c>
      <c r="AK254" s="7">
        <v>175107</v>
      </c>
      <c r="AL254" s="12" t="s">
        <v>380</v>
      </c>
      <c r="AM254" s="12"/>
      <c r="AN254" s="12" t="s">
        <v>377</v>
      </c>
      <c r="AP254" s="7">
        <v>668682</v>
      </c>
      <c r="AR254" s="7">
        <v>3143862</v>
      </c>
      <c r="AT254" s="7">
        <v>0</v>
      </c>
      <c r="AV254" s="7">
        <v>225000</v>
      </c>
      <c r="AX254" s="7">
        <v>799231</v>
      </c>
      <c r="AZ254" s="7">
        <v>0</v>
      </c>
      <c r="BB254" s="8">
        <f t="shared" si="44"/>
        <v>19825074</v>
      </c>
      <c r="BD254" s="7">
        <v>75035</v>
      </c>
      <c r="BF254" s="7">
        <v>0</v>
      </c>
      <c r="BH254" s="7">
        <v>0</v>
      </c>
      <c r="BJ254" s="7">
        <v>0</v>
      </c>
      <c r="BL254" s="8">
        <f t="shared" si="45"/>
        <v>19900109</v>
      </c>
      <c r="BN254" s="8">
        <f>'Gov Fd Rv'!AQ254-'Gov Fnd Exp'!BL254</f>
        <v>-3114168</v>
      </c>
      <c r="BP254" s="7">
        <v>6188591</v>
      </c>
      <c r="BR254" s="7">
        <v>0</v>
      </c>
      <c r="BT254" s="7">
        <v>0</v>
      </c>
      <c r="BV254" s="8">
        <f t="shared" si="46"/>
        <v>3074423</v>
      </c>
      <c r="BW254" s="8"/>
      <c r="BX254" s="8">
        <f>BV254-'Gov Fd BS'!AE254</f>
        <v>0</v>
      </c>
      <c r="BY254" s="8"/>
      <c r="CB254" s="101" t="str">
        <f t="shared" si="43"/>
        <v>Ironton City SD</v>
      </c>
      <c r="CC254" s="101" t="b">
        <f t="shared" si="40"/>
        <v>1</v>
      </c>
      <c r="CD254" s="101" t="str">
        <f>'Gov Fd Rv'!A254</f>
        <v>Ironton City SD</v>
      </c>
      <c r="CE254" s="8" t="b">
        <f t="shared" si="39"/>
        <v>1</v>
      </c>
      <c r="CG254" s="8" t="str">
        <f t="shared" si="41"/>
        <v>Lawrence</v>
      </c>
      <c r="CH254" s="8" t="b">
        <f t="shared" si="42"/>
        <v>1</v>
      </c>
      <c r="CI254" s="8" t="b">
        <f>C254='Gov Fd Rv'!C254</f>
        <v>1</v>
      </c>
    </row>
    <row r="255" spans="1:87" hidden="1">
      <c r="A255" s="12" t="s">
        <v>700</v>
      </c>
      <c r="B255" s="12"/>
      <c r="C255" s="12" t="s">
        <v>61</v>
      </c>
      <c r="D255" s="12"/>
      <c r="E255" s="12">
        <v>49809</v>
      </c>
      <c r="AL255" s="12" t="s">
        <v>700</v>
      </c>
      <c r="AM255" s="12"/>
      <c r="AN255" s="12" t="s">
        <v>61</v>
      </c>
      <c r="AT255" s="7">
        <v>0</v>
      </c>
      <c r="BB255" s="8">
        <f t="shared" si="44"/>
        <v>0</v>
      </c>
      <c r="BF255" s="7">
        <v>0</v>
      </c>
      <c r="BH255" s="7">
        <v>0</v>
      </c>
      <c r="BJ255" s="7">
        <v>0</v>
      </c>
      <c r="BL255" s="8">
        <f t="shared" si="45"/>
        <v>0</v>
      </c>
      <c r="BN255" s="8">
        <f>'Gov Fd Rv'!AQ255-'Gov Fnd Exp'!BL255</f>
        <v>0</v>
      </c>
      <c r="BT255" s="7">
        <v>0</v>
      </c>
      <c r="BV255" s="8">
        <f t="shared" si="46"/>
        <v>0</v>
      </c>
      <c r="BW255" s="8"/>
      <c r="BX255" s="8">
        <f>BV255-'Gov Fd BS'!AE255</f>
        <v>0</v>
      </c>
      <c r="BY255" s="8"/>
      <c r="BZ255" s="7" t="s">
        <v>904</v>
      </c>
      <c r="CB255" s="101" t="str">
        <f t="shared" si="43"/>
        <v>Jackson Center Local SD (CASH)</v>
      </c>
      <c r="CC255" s="101" t="b">
        <f t="shared" si="40"/>
        <v>1</v>
      </c>
      <c r="CD255" s="101" t="str">
        <f>'Gov Fd Rv'!A255</f>
        <v>Jackson Center Local SD (CASH)</v>
      </c>
      <c r="CE255" s="8" t="b">
        <f t="shared" si="39"/>
        <v>1</v>
      </c>
      <c r="CG255" s="8" t="str">
        <f t="shared" si="41"/>
        <v>Shelby</v>
      </c>
      <c r="CH255" s="8" t="b">
        <f t="shared" si="42"/>
        <v>1</v>
      </c>
      <c r="CI255" s="8" t="b">
        <f>C255='Gov Fd Rv'!C255</f>
        <v>1</v>
      </c>
    </row>
    <row r="256" spans="1:87" hidden="1">
      <c r="A256" s="12" t="s">
        <v>715</v>
      </c>
      <c r="B256" s="12"/>
      <c r="C256" s="12" t="s">
        <v>38</v>
      </c>
      <c r="D256" s="12"/>
      <c r="E256" s="12"/>
      <c r="AL256" s="12" t="s">
        <v>715</v>
      </c>
      <c r="AM256" s="12"/>
      <c r="AN256" s="12" t="s">
        <v>38</v>
      </c>
      <c r="AT256" s="7">
        <v>0</v>
      </c>
      <c r="BB256" s="8">
        <f t="shared" si="44"/>
        <v>0</v>
      </c>
      <c r="BF256" s="7">
        <v>0</v>
      </c>
      <c r="BH256" s="7">
        <v>0</v>
      </c>
      <c r="BJ256" s="7">
        <v>0</v>
      </c>
      <c r="BL256" s="8">
        <f t="shared" si="45"/>
        <v>0</v>
      </c>
      <c r="BN256" s="8">
        <f>'Gov Fd Rv'!AQ256-'Gov Fnd Exp'!BL256</f>
        <v>0</v>
      </c>
      <c r="BT256" s="7">
        <v>0</v>
      </c>
      <c r="BV256" s="8">
        <f t="shared" si="46"/>
        <v>0</v>
      </c>
      <c r="BW256" s="8"/>
      <c r="BX256" s="8">
        <f>BV256-'Gov Fd BS'!AE256</f>
        <v>0</v>
      </c>
      <c r="BY256" s="8"/>
      <c r="BZ256" s="7" t="s">
        <v>904</v>
      </c>
      <c r="CB256" s="101" t="str">
        <f t="shared" si="43"/>
        <v>Jackson City SD (CASH)</v>
      </c>
      <c r="CC256" s="101" t="b">
        <f t="shared" si="40"/>
        <v>1</v>
      </c>
      <c r="CD256" s="101" t="str">
        <f>'Gov Fd Rv'!A256</f>
        <v>Jackson City SD (CASH)</v>
      </c>
      <c r="CE256" s="8" t="b">
        <f t="shared" si="39"/>
        <v>1</v>
      </c>
      <c r="CG256" s="8" t="str">
        <f t="shared" si="41"/>
        <v>Jackson</v>
      </c>
      <c r="CH256" s="8" t="b">
        <f t="shared" si="42"/>
        <v>1</v>
      </c>
      <c r="CI256" s="8" t="b">
        <f>C256='Gov Fd Rv'!C256</f>
        <v>1</v>
      </c>
    </row>
    <row r="257" spans="1:87">
      <c r="A257" s="12" t="s">
        <v>512</v>
      </c>
      <c r="B257" s="12"/>
      <c r="C257" s="12" t="s">
        <v>62</v>
      </c>
      <c r="D257" s="12"/>
      <c r="E257" s="12">
        <v>49858</v>
      </c>
      <c r="G257" s="7">
        <v>22123371</v>
      </c>
      <c r="I257" s="7">
        <v>3530001</v>
      </c>
      <c r="K257" s="7">
        <v>913139</v>
      </c>
      <c r="M257" s="7">
        <v>59556</v>
      </c>
      <c r="O257" s="7">
        <v>1524055</v>
      </c>
      <c r="Q257" s="7">
        <v>3729441</v>
      </c>
      <c r="S257" s="7">
        <v>3010335</v>
      </c>
      <c r="U257" s="7">
        <v>18784</v>
      </c>
      <c r="W257" s="7">
        <v>3065968</v>
      </c>
      <c r="Y257" s="7">
        <v>1174134</v>
      </c>
      <c r="AA257" s="7">
        <v>426497</v>
      </c>
      <c r="AC257" s="7">
        <v>4899659</v>
      </c>
      <c r="AE257" s="7">
        <v>3210574</v>
      </c>
      <c r="AG257" s="7">
        <v>1215259</v>
      </c>
      <c r="AI257" s="7">
        <v>1650929</v>
      </c>
      <c r="AK257" s="7">
        <v>20880</v>
      </c>
      <c r="AL257" s="12" t="s">
        <v>512</v>
      </c>
      <c r="AM257" s="12"/>
      <c r="AN257" s="12" t="s">
        <v>62</v>
      </c>
      <c r="AP257" s="7">
        <v>1846187</v>
      </c>
      <c r="AR257" s="7">
        <v>1171198</v>
      </c>
      <c r="AT257" s="7">
        <v>0</v>
      </c>
      <c r="AV257" s="7">
        <v>4615557</v>
      </c>
      <c r="AX257" s="7">
        <v>2642669</v>
      </c>
      <c r="AZ257" s="7">
        <v>0</v>
      </c>
      <c r="BB257" s="8">
        <f t="shared" si="44"/>
        <v>60848193</v>
      </c>
      <c r="BD257" s="7">
        <v>0</v>
      </c>
      <c r="BF257" s="7">
        <v>0</v>
      </c>
      <c r="BH257" s="7">
        <v>0</v>
      </c>
      <c r="BJ257" s="7">
        <v>0</v>
      </c>
      <c r="BL257" s="8">
        <f t="shared" si="45"/>
        <v>60848193</v>
      </c>
      <c r="BN257" s="8">
        <f>'Gov Fd Rv'!AQ257-'Gov Fnd Exp'!BL257</f>
        <v>7741797</v>
      </c>
      <c r="BP257" s="7">
        <v>13210990</v>
      </c>
      <c r="BR257" s="7">
        <v>32195</v>
      </c>
      <c r="BT257" s="7">
        <v>0</v>
      </c>
      <c r="BV257" s="8">
        <f t="shared" si="46"/>
        <v>20984982</v>
      </c>
      <c r="BW257" s="8"/>
      <c r="BX257" s="8">
        <f>BV257-'Gov Fd BS'!AE257</f>
        <v>0</v>
      </c>
      <c r="BY257" s="8"/>
      <c r="CB257" s="101" t="str">
        <f t="shared" si="43"/>
        <v>Jackson Local SD</v>
      </c>
      <c r="CC257" s="101" t="b">
        <f t="shared" si="40"/>
        <v>1</v>
      </c>
      <c r="CD257" s="101" t="str">
        <f>'Gov Fd Rv'!A257</f>
        <v>Jackson Local SD</v>
      </c>
      <c r="CE257" s="8" t="b">
        <f t="shared" si="39"/>
        <v>1</v>
      </c>
      <c r="CG257" s="8" t="str">
        <f t="shared" si="41"/>
        <v>Stark</v>
      </c>
      <c r="CH257" s="8" t="b">
        <f t="shared" si="42"/>
        <v>1</v>
      </c>
      <c r="CI257" s="8" t="b">
        <f>C257='Gov Fd Rv'!C257</f>
        <v>1</v>
      </c>
    </row>
    <row r="258" spans="1:87">
      <c r="A258" s="12" t="s">
        <v>417</v>
      </c>
      <c r="B258" s="12"/>
      <c r="C258" s="12" t="s">
        <v>45</v>
      </c>
      <c r="D258" s="12"/>
      <c r="E258" s="12">
        <v>48322</v>
      </c>
      <c r="G258" s="7">
        <v>4519325</v>
      </c>
      <c r="I258" s="7">
        <v>1463386</v>
      </c>
      <c r="K258" s="7">
        <v>87577</v>
      </c>
      <c r="M258" s="7">
        <v>0</v>
      </c>
      <c r="O258" s="7">
        <v>0</v>
      </c>
      <c r="Q258" s="7">
        <v>278953</v>
      </c>
      <c r="S258" s="7">
        <v>129958</v>
      </c>
      <c r="U258" s="7">
        <v>97247</v>
      </c>
      <c r="W258" s="7">
        <v>568790</v>
      </c>
      <c r="Y258" s="7">
        <v>445460</v>
      </c>
      <c r="AA258" s="7">
        <v>0</v>
      </c>
      <c r="AC258" s="7">
        <v>731552</v>
      </c>
      <c r="AE258" s="7">
        <v>644980</v>
      </c>
      <c r="AG258" s="7">
        <v>0</v>
      </c>
      <c r="AI258" s="7">
        <v>429812</v>
      </c>
      <c r="AK258" s="7">
        <v>2100</v>
      </c>
      <c r="AL258" s="12" t="s">
        <v>417</v>
      </c>
      <c r="AM258" s="12"/>
      <c r="AN258" s="12" t="s">
        <v>45</v>
      </c>
      <c r="AP258" s="7">
        <v>421773</v>
      </c>
      <c r="AR258" s="7">
        <v>796606</v>
      </c>
      <c r="AT258" s="7">
        <v>0</v>
      </c>
      <c r="AV258" s="7">
        <v>260000</v>
      </c>
      <c r="AX258" s="7">
        <v>655868</v>
      </c>
      <c r="AZ258" s="7">
        <v>0</v>
      </c>
      <c r="BB258" s="8">
        <f t="shared" si="44"/>
        <v>11533387</v>
      </c>
      <c r="BD258" s="7">
        <v>129172</v>
      </c>
      <c r="BF258" s="7">
        <v>0</v>
      </c>
      <c r="BH258" s="7">
        <v>0</v>
      </c>
      <c r="BJ258" s="7">
        <v>0</v>
      </c>
      <c r="BL258" s="8">
        <f t="shared" si="45"/>
        <v>11662559</v>
      </c>
      <c r="BN258" s="8">
        <f>'Gov Fd Rv'!AQ258-'Gov Fnd Exp'!BL258</f>
        <v>-610300</v>
      </c>
      <c r="BP258" s="7">
        <v>3576415</v>
      </c>
      <c r="BR258" s="7">
        <v>0</v>
      </c>
      <c r="BT258" s="7">
        <v>0</v>
      </c>
      <c r="BV258" s="8">
        <f t="shared" si="46"/>
        <v>2966115</v>
      </c>
      <c r="BW258" s="8"/>
      <c r="BX258" s="8">
        <f>BV258-'Gov Fd BS'!AE258</f>
        <v>0</v>
      </c>
      <c r="BY258" s="8"/>
      <c r="CB258" s="101" t="str">
        <f t="shared" si="43"/>
        <v>Jackson-Milton Local SD</v>
      </c>
      <c r="CC258" s="101" t="b">
        <f t="shared" si="40"/>
        <v>1</v>
      </c>
      <c r="CD258" s="101" t="str">
        <f>'Gov Fd Rv'!A258</f>
        <v>Jackson-Milton Local SD</v>
      </c>
      <c r="CE258" s="8" t="b">
        <f t="shared" si="39"/>
        <v>1</v>
      </c>
      <c r="CG258" s="8" t="str">
        <f t="shared" si="41"/>
        <v>Mahoning</v>
      </c>
      <c r="CH258" s="8" t="b">
        <f t="shared" si="42"/>
        <v>1</v>
      </c>
      <c r="CI258" s="8" t="b">
        <f>C258='Gov Fd Rv'!C258</f>
        <v>1</v>
      </c>
    </row>
    <row r="259" spans="1:87">
      <c r="A259" s="12" t="s">
        <v>475</v>
      </c>
      <c r="B259" s="12"/>
      <c r="C259" s="12" t="s">
        <v>56</v>
      </c>
      <c r="D259" s="12"/>
      <c r="E259" s="12">
        <v>49205</v>
      </c>
      <c r="G259" s="7">
        <v>6178744</v>
      </c>
      <c r="I259" s="7">
        <v>1260810</v>
      </c>
      <c r="K259" s="7">
        <v>0</v>
      </c>
      <c r="M259" s="7">
        <v>0</v>
      </c>
      <c r="O259" s="7">
        <v>7367</v>
      </c>
      <c r="Q259" s="7">
        <v>597707</v>
      </c>
      <c r="S259" s="7">
        <v>592874</v>
      </c>
      <c r="U259" s="7">
        <v>34113</v>
      </c>
      <c r="W259" s="7">
        <v>1042115</v>
      </c>
      <c r="Y259" s="7">
        <v>315574</v>
      </c>
      <c r="AA259" s="7">
        <v>0</v>
      </c>
      <c r="AC259" s="7">
        <v>1312822</v>
      </c>
      <c r="AE259" s="7">
        <v>886779</v>
      </c>
      <c r="AG259" s="7">
        <v>32502</v>
      </c>
      <c r="AI259" s="7">
        <v>590666</v>
      </c>
      <c r="AK259" s="7">
        <v>7807</v>
      </c>
      <c r="AL259" s="12" t="s">
        <v>475</v>
      </c>
      <c r="AM259" s="12"/>
      <c r="AN259" s="12" t="s">
        <v>56</v>
      </c>
      <c r="AP259" s="7">
        <v>506967</v>
      </c>
      <c r="AR259" s="7">
        <v>0</v>
      </c>
      <c r="AT259" s="7">
        <v>0</v>
      </c>
      <c r="AV259" s="7">
        <v>164159</v>
      </c>
      <c r="AX259" s="7">
        <v>342765</v>
      </c>
      <c r="AZ259" s="7">
        <v>0</v>
      </c>
      <c r="BB259" s="8">
        <f t="shared" si="44"/>
        <v>13873771</v>
      </c>
      <c r="BD259" s="7">
        <v>0</v>
      </c>
      <c r="BF259" s="7">
        <v>0</v>
      </c>
      <c r="BH259" s="7">
        <v>0</v>
      </c>
      <c r="BJ259" s="7">
        <v>0</v>
      </c>
      <c r="BL259" s="8">
        <f t="shared" si="45"/>
        <v>13873771</v>
      </c>
      <c r="BN259" s="8">
        <f>'Gov Fd Rv'!AQ259-'Gov Fnd Exp'!BL259</f>
        <v>-371808</v>
      </c>
      <c r="BP259" s="7">
        <v>2770666</v>
      </c>
      <c r="BR259" s="7">
        <v>0</v>
      </c>
      <c r="BT259" s="7">
        <v>0</v>
      </c>
      <c r="BV259" s="8">
        <f t="shared" si="46"/>
        <v>2398858</v>
      </c>
      <c r="BW259" s="8"/>
      <c r="BX259" s="8">
        <f>BV259-'Gov Fd BS'!AE259</f>
        <v>0</v>
      </c>
      <c r="BY259" s="8"/>
      <c r="CB259" s="101" t="str">
        <f t="shared" si="43"/>
        <v>James A Garfield Local SD</v>
      </c>
      <c r="CC259" s="101" t="b">
        <f t="shared" si="40"/>
        <v>1</v>
      </c>
      <c r="CD259" s="101" t="str">
        <f>'Gov Fd Rv'!A259</f>
        <v>James A Garfield Local SD</v>
      </c>
      <c r="CE259" s="8" t="b">
        <f t="shared" si="39"/>
        <v>1</v>
      </c>
      <c r="CG259" s="8" t="str">
        <f t="shared" si="41"/>
        <v>Portage</v>
      </c>
      <c r="CH259" s="8" t="b">
        <f t="shared" si="42"/>
        <v>1</v>
      </c>
      <c r="CI259" s="8" t="b">
        <f>C259='Gov Fd Rv'!C259</f>
        <v>1</v>
      </c>
    </row>
    <row r="260" spans="1:87">
      <c r="A260" s="12" t="s">
        <v>210</v>
      </c>
      <c r="B260" s="12"/>
      <c r="C260" s="12" t="s">
        <v>12</v>
      </c>
      <c r="D260" s="12"/>
      <c r="E260" s="12">
        <v>45872</v>
      </c>
      <c r="G260" s="7">
        <v>8650628</v>
      </c>
      <c r="I260" s="7">
        <v>1680721</v>
      </c>
      <c r="K260" s="7">
        <v>143838</v>
      </c>
      <c r="M260" s="7">
        <v>0</v>
      </c>
      <c r="O260" s="7">
        <v>0</v>
      </c>
      <c r="Q260" s="7">
        <v>1475369</v>
      </c>
      <c r="S260" s="7">
        <v>168254</v>
      </c>
      <c r="U260" s="7">
        <v>20942</v>
      </c>
      <c r="W260" s="7">
        <v>1167477</v>
      </c>
      <c r="Y260" s="7">
        <v>727053</v>
      </c>
      <c r="AA260" s="7">
        <v>12085</v>
      </c>
      <c r="AC260" s="7">
        <v>1668973</v>
      </c>
      <c r="AE260" s="7">
        <v>1284301</v>
      </c>
      <c r="AG260" s="7">
        <v>109620</v>
      </c>
      <c r="AI260" s="7">
        <v>729323</v>
      </c>
      <c r="AK260" s="7">
        <v>112372</v>
      </c>
      <c r="AL260" s="12" t="s">
        <v>210</v>
      </c>
      <c r="AM260" s="12"/>
      <c r="AN260" s="12" t="s">
        <v>12</v>
      </c>
      <c r="AP260" s="7">
        <v>449767</v>
      </c>
      <c r="AR260" s="7">
        <v>3284828</v>
      </c>
      <c r="AT260" s="7">
        <v>0</v>
      </c>
      <c r="AV260" s="7">
        <v>560000</v>
      </c>
      <c r="AX260" s="7">
        <v>864793</v>
      </c>
      <c r="AZ260" s="7">
        <v>0</v>
      </c>
      <c r="BB260" s="8">
        <f t="shared" si="44"/>
        <v>23110344</v>
      </c>
      <c r="BD260" s="7">
        <v>562105</v>
      </c>
      <c r="BF260" s="7">
        <v>0</v>
      </c>
      <c r="BH260" s="7">
        <v>0</v>
      </c>
      <c r="BJ260" s="7">
        <v>0</v>
      </c>
      <c r="BL260" s="8">
        <f t="shared" si="45"/>
        <v>23672449</v>
      </c>
      <c r="BN260" s="8">
        <f>'Gov Fd Rv'!AQ260-'Gov Fnd Exp'!BL260</f>
        <v>-3037898</v>
      </c>
      <c r="BP260" s="7">
        <v>11555273</v>
      </c>
      <c r="BR260" s="7">
        <v>0</v>
      </c>
      <c r="BT260" s="7">
        <v>0</v>
      </c>
      <c r="BV260" s="8">
        <f t="shared" si="46"/>
        <v>8517375</v>
      </c>
      <c r="BW260" s="8"/>
      <c r="BX260" s="8">
        <f>BV260-'Gov Fd BS'!AE260</f>
        <v>0</v>
      </c>
      <c r="BY260" s="8"/>
      <c r="CB260" s="101" t="str">
        <f t="shared" si="43"/>
        <v>Jefferson Area Local SD</v>
      </c>
      <c r="CC260" s="101" t="b">
        <f t="shared" si="40"/>
        <v>1</v>
      </c>
      <c r="CD260" s="101" t="str">
        <f>'Gov Fd Rv'!A260</f>
        <v>Jefferson Area Local SD</v>
      </c>
      <c r="CE260" s="8" t="b">
        <f t="shared" si="39"/>
        <v>1</v>
      </c>
      <c r="CG260" s="8" t="str">
        <f t="shared" si="41"/>
        <v>Ashtabula</v>
      </c>
      <c r="CH260" s="8" t="b">
        <f t="shared" si="42"/>
        <v>1</v>
      </c>
      <c r="CI260" s="8" t="b">
        <f>C260='Gov Fd Rv'!C260</f>
        <v>1</v>
      </c>
    </row>
    <row r="261" spans="1:87">
      <c r="A261" s="12" t="s">
        <v>410</v>
      </c>
      <c r="B261" s="12"/>
      <c r="C261" s="12" t="s">
        <v>411</v>
      </c>
      <c r="D261" s="12"/>
      <c r="E261" s="12">
        <v>48256</v>
      </c>
      <c r="G261" s="7">
        <v>5568701</v>
      </c>
      <c r="I261" s="7">
        <v>1697986</v>
      </c>
      <c r="K261" s="7">
        <v>0</v>
      </c>
      <c r="M261" s="7">
        <v>0</v>
      </c>
      <c r="O261" s="7">
        <v>0</v>
      </c>
      <c r="Q261" s="7">
        <v>663450</v>
      </c>
      <c r="S261" s="7">
        <v>724760</v>
      </c>
      <c r="U261" s="7">
        <v>75889</v>
      </c>
      <c r="W261" s="7">
        <v>850310</v>
      </c>
      <c r="Y261" s="7">
        <v>456165</v>
      </c>
      <c r="AA261" s="7">
        <v>64662</v>
      </c>
      <c r="AC261" s="7">
        <v>1330002</v>
      </c>
      <c r="AE261" s="7">
        <v>637858</v>
      </c>
      <c r="AG261" s="7">
        <v>312255</v>
      </c>
      <c r="AI261" s="7">
        <v>631037</v>
      </c>
      <c r="AK261" s="7">
        <v>14771</v>
      </c>
      <c r="AL261" s="12" t="s">
        <v>410</v>
      </c>
      <c r="AM261" s="12"/>
      <c r="AN261" s="12" t="s">
        <v>411</v>
      </c>
      <c r="AP261" s="7">
        <v>630185</v>
      </c>
      <c r="AR261" s="7">
        <v>79913</v>
      </c>
      <c r="AT261" s="7">
        <v>0</v>
      </c>
      <c r="AV261" s="7">
        <v>1576129</v>
      </c>
      <c r="AX261" s="7">
        <f>600963+8810</f>
        <v>609773</v>
      </c>
      <c r="AZ261" s="7">
        <v>0</v>
      </c>
      <c r="BB261" s="8">
        <f t="shared" si="44"/>
        <v>15923846</v>
      </c>
      <c r="BD261" s="7">
        <v>301998</v>
      </c>
      <c r="BF261" s="7">
        <v>0</v>
      </c>
      <c r="BH261" s="7">
        <v>0</v>
      </c>
      <c r="BJ261" s="7">
        <v>0</v>
      </c>
      <c r="BL261" s="8">
        <f t="shared" si="45"/>
        <v>16225844</v>
      </c>
      <c r="BN261" s="8">
        <f>'Gov Fd Rv'!AQ261-'Gov Fnd Exp'!BL261</f>
        <v>-1204917</v>
      </c>
      <c r="BP261" s="7">
        <v>9329978</v>
      </c>
      <c r="BR261" s="7">
        <v>0</v>
      </c>
      <c r="BT261" s="7">
        <v>0</v>
      </c>
      <c r="BV261" s="8">
        <f t="shared" si="46"/>
        <v>8125061</v>
      </c>
      <c r="BW261" s="8"/>
      <c r="BX261" s="8">
        <f>BV261-'Gov Fd BS'!AE261</f>
        <v>0</v>
      </c>
      <c r="BY261" s="8"/>
      <c r="CB261" s="101" t="str">
        <f t="shared" si="43"/>
        <v>Jefferson Local SD</v>
      </c>
      <c r="CC261" s="101" t="b">
        <f t="shared" si="40"/>
        <v>1</v>
      </c>
      <c r="CD261" s="101" t="str">
        <f>'Gov Fd Rv'!A261</f>
        <v>Jefferson Local SD</v>
      </c>
      <c r="CE261" s="8" t="b">
        <f t="shared" si="39"/>
        <v>1</v>
      </c>
      <c r="CG261" s="8" t="str">
        <f t="shared" si="41"/>
        <v>Madison</v>
      </c>
      <c r="CH261" s="8" t="b">
        <f t="shared" si="42"/>
        <v>1</v>
      </c>
      <c r="CI261" s="8" t="b">
        <f>C261='Gov Fd Rv'!C261</f>
        <v>1</v>
      </c>
    </row>
    <row r="262" spans="1:87">
      <c r="A262" s="12" t="s">
        <v>716</v>
      </c>
      <c r="B262" s="12"/>
      <c r="C262" s="12" t="s">
        <v>50</v>
      </c>
      <c r="D262" s="12"/>
      <c r="E262" s="12">
        <v>48686</v>
      </c>
      <c r="G262" s="7">
        <v>1619565</v>
      </c>
      <c r="I262" s="7">
        <v>1747581</v>
      </c>
      <c r="K262" s="7">
        <v>0</v>
      </c>
      <c r="M262" s="7">
        <v>0</v>
      </c>
      <c r="O262" s="7">
        <v>1806735</v>
      </c>
      <c r="Q262" s="7">
        <v>261076</v>
      </c>
      <c r="S262" s="7">
        <v>429907</v>
      </c>
      <c r="U262" s="7">
        <v>16596</v>
      </c>
      <c r="W262" s="7">
        <v>559688</v>
      </c>
      <c r="Y262" s="7">
        <v>242140</v>
      </c>
      <c r="AA262" s="7">
        <v>586</v>
      </c>
      <c r="AC262" s="7">
        <v>627521</v>
      </c>
      <c r="AE262" s="7">
        <v>345770</v>
      </c>
      <c r="AG262" s="7">
        <v>60134</v>
      </c>
      <c r="AI262" s="7">
        <v>337045</v>
      </c>
      <c r="AK262" s="7">
        <v>5648</v>
      </c>
      <c r="AL262" s="12" t="s">
        <v>716</v>
      </c>
      <c r="AM262" s="12"/>
      <c r="AN262" s="12" t="s">
        <v>50</v>
      </c>
      <c r="AP262" s="7">
        <v>105738</v>
      </c>
      <c r="AR262" s="7">
        <v>235584</v>
      </c>
      <c r="AT262" s="7">
        <v>0</v>
      </c>
      <c r="AV262" s="7">
        <v>764000</v>
      </c>
      <c r="AX262" s="7">
        <v>35906</v>
      </c>
      <c r="AZ262" s="7">
        <v>0</v>
      </c>
      <c r="BB262" s="8">
        <f t="shared" si="44"/>
        <v>9201220</v>
      </c>
      <c r="BD262" s="7">
        <v>11402</v>
      </c>
      <c r="BF262" s="7">
        <v>0</v>
      </c>
      <c r="BH262" s="7">
        <v>0</v>
      </c>
      <c r="BJ262" s="7">
        <v>0</v>
      </c>
      <c r="BL262" s="8">
        <f t="shared" si="45"/>
        <v>9212622</v>
      </c>
      <c r="BN262" s="8">
        <f>'Gov Fd Rv'!AQ262-'Gov Fnd Exp'!BL262</f>
        <v>78460</v>
      </c>
      <c r="BP262" s="7">
        <v>1826894</v>
      </c>
      <c r="BR262" s="7">
        <v>268</v>
      </c>
      <c r="BT262" s="7">
        <v>0</v>
      </c>
      <c r="BV262" s="8">
        <f t="shared" si="46"/>
        <v>1905622</v>
      </c>
      <c r="BW262" s="8"/>
      <c r="BX262" s="8">
        <f>BV262-'Gov Fd BS'!AE262</f>
        <v>0</v>
      </c>
      <c r="BY262" s="8"/>
      <c r="CB262" s="101" t="str">
        <f t="shared" si="43"/>
        <v xml:space="preserve">Jefferson Township Local SD </v>
      </c>
      <c r="CC262" s="101" t="b">
        <f t="shared" si="40"/>
        <v>1</v>
      </c>
      <c r="CD262" s="101" t="str">
        <f>'Gov Fd Rv'!A262</f>
        <v xml:space="preserve">Jefferson Township Local SD </v>
      </c>
      <c r="CE262" s="8" t="b">
        <f t="shared" si="39"/>
        <v>1</v>
      </c>
      <c r="CG262" s="8" t="str">
        <f t="shared" si="41"/>
        <v>Montgomery</v>
      </c>
      <c r="CH262" s="8" t="b">
        <f t="shared" si="42"/>
        <v>1</v>
      </c>
      <c r="CI262" s="8" t="b">
        <f>C262='Gov Fd Rv'!C262</f>
        <v>1</v>
      </c>
    </row>
    <row r="263" spans="1:87" hidden="1">
      <c r="A263" s="12" t="s">
        <v>910</v>
      </c>
      <c r="B263" s="12"/>
      <c r="C263" s="12" t="s">
        <v>482</v>
      </c>
      <c r="D263" s="12"/>
      <c r="E263" s="12"/>
      <c r="AL263" s="12" t="s">
        <v>910</v>
      </c>
      <c r="AM263" s="12"/>
      <c r="AN263" s="12" t="s">
        <v>482</v>
      </c>
      <c r="AT263" s="7">
        <v>0</v>
      </c>
      <c r="BB263" s="8">
        <f t="shared" si="44"/>
        <v>0</v>
      </c>
      <c r="BF263" s="7">
        <v>0</v>
      </c>
      <c r="BH263" s="7">
        <v>0</v>
      </c>
      <c r="BJ263" s="7">
        <v>0</v>
      </c>
      <c r="BL263" s="8">
        <f t="shared" si="45"/>
        <v>0</v>
      </c>
      <c r="BN263" s="8">
        <f>'Gov Fd Rv'!AQ263-'Gov Fnd Exp'!BL263</f>
        <v>0</v>
      </c>
      <c r="BT263" s="7">
        <v>0</v>
      </c>
      <c r="BV263" s="8">
        <f t="shared" si="46"/>
        <v>0</v>
      </c>
      <c r="BW263" s="8"/>
      <c r="BX263" s="8">
        <f>BV263-'Gov Fd BS'!AE263</f>
        <v>0</v>
      </c>
      <c r="BY263" s="8"/>
      <c r="BZ263" s="7" t="s">
        <v>904</v>
      </c>
      <c r="CB263" s="101" t="str">
        <f t="shared" si="43"/>
        <v xml:space="preserve">Jennings Local SD (CASH) </v>
      </c>
      <c r="CC263" s="101" t="b">
        <f t="shared" si="40"/>
        <v>1</v>
      </c>
      <c r="CD263" s="101" t="str">
        <f>'Gov Fd Rv'!A263</f>
        <v xml:space="preserve">Jennings Local SD (CASH) </v>
      </c>
      <c r="CE263" s="8" t="b">
        <f t="shared" si="39"/>
        <v>1</v>
      </c>
      <c r="CG263" s="8" t="str">
        <f t="shared" si="41"/>
        <v>Putnam</v>
      </c>
      <c r="CH263" s="8" t="b">
        <f t="shared" si="42"/>
        <v>1</v>
      </c>
      <c r="CI263" s="8" t="b">
        <f>C263='Gov Fd Rv'!C263</f>
        <v>1</v>
      </c>
    </row>
    <row r="264" spans="1:87">
      <c r="A264" s="12" t="s">
        <v>385</v>
      </c>
      <c r="B264" s="12"/>
      <c r="C264" s="12" t="s">
        <v>42</v>
      </c>
      <c r="D264" s="12"/>
      <c r="E264" s="12">
        <v>47985</v>
      </c>
      <c r="G264" s="7">
        <v>6077015</v>
      </c>
      <c r="I264" s="7">
        <v>1275688</v>
      </c>
      <c r="K264" s="7">
        <v>200894</v>
      </c>
      <c r="M264" s="7">
        <v>0</v>
      </c>
      <c r="O264" s="7">
        <v>340907</v>
      </c>
      <c r="Q264" s="7">
        <v>474955</v>
      </c>
      <c r="S264" s="7">
        <v>531021</v>
      </c>
      <c r="U264" s="7">
        <v>64483</v>
      </c>
      <c r="W264" s="7">
        <v>983419</v>
      </c>
      <c r="Y264" s="7">
        <v>403185</v>
      </c>
      <c r="AA264" s="7">
        <v>1230</v>
      </c>
      <c r="AC264" s="7">
        <v>1058935</v>
      </c>
      <c r="AE264" s="7">
        <v>815819</v>
      </c>
      <c r="AG264" s="7">
        <v>46801</v>
      </c>
      <c r="AI264" s="7">
        <v>355380</v>
      </c>
      <c r="AK264" s="7">
        <v>8445</v>
      </c>
      <c r="AL264" s="12" t="s">
        <v>385</v>
      </c>
      <c r="AM264" s="12"/>
      <c r="AN264" s="12" t="s">
        <v>42</v>
      </c>
      <c r="AP264" s="7">
        <v>403801</v>
      </c>
      <c r="AR264" s="7">
        <v>0</v>
      </c>
      <c r="AT264" s="7">
        <v>0</v>
      </c>
      <c r="AV264" s="7">
        <v>124241</v>
      </c>
      <c r="AX264" s="7">
        <v>16816</v>
      </c>
      <c r="AZ264" s="7">
        <v>0</v>
      </c>
      <c r="BB264" s="8">
        <f t="shared" si="44"/>
        <v>13183035</v>
      </c>
      <c r="BD264" s="7">
        <v>131229</v>
      </c>
      <c r="BF264" s="7">
        <v>0</v>
      </c>
      <c r="BH264" s="7">
        <v>0</v>
      </c>
      <c r="BJ264" s="7">
        <v>0</v>
      </c>
      <c r="BL264" s="8">
        <f t="shared" si="45"/>
        <v>13314264</v>
      </c>
      <c r="BN264" s="8">
        <f>'Gov Fd Rv'!AQ264-'Gov Fnd Exp'!BL264</f>
        <v>2118134</v>
      </c>
      <c r="BP264" s="7">
        <v>7378413</v>
      </c>
      <c r="BR264" s="7">
        <v>0</v>
      </c>
      <c r="BT264" s="7">
        <v>0</v>
      </c>
      <c r="BV264" s="8">
        <f t="shared" si="46"/>
        <v>9496547</v>
      </c>
      <c r="BW264" s="8"/>
      <c r="BX264" s="8">
        <f>BV264-'Gov Fd BS'!AE264</f>
        <v>0</v>
      </c>
      <c r="BY264" s="8"/>
      <c r="CB264" s="101" t="str">
        <f t="shared" si="43"/>
        <v>Johnstown-Monroe Local SD</v>
      </c>
      <c r="CC264" s="101" t="b">
        <f t="shared" si="40"/>
        <v>1</v>
      </c>
      <c r="CD264" s="101" t="str">
        <f>'Gov Fd Rv'!A264</f>
        <v>Johnstown-Monroe Local SD</v>
      </c>
      <c r="CE264" s="8" t="b">
        <f t="shared" si="39"/>
        <v>1</v>
      </c>
      <c r="CG264" s="8" t="str">
        <f t="shared" si="41"/>
        <v>Licking</v>
      </c>
      <c r="CH264" s="8" t="b">
        <f t="shared" si="42"/>
        <v>1</v>
      </c>
      <c r="CI264" s="8" t="b">
        <f>C264='Gov Fd Rv'!C264</f>
        <v>1</v>
      </c>
    </row>
    <row r="265" spans="1:87">
      <c r="A265" s="12" t="s">
        <v>412</v>
      </c>
      <c r="B265" s="12"/>
      <c r="C265" s="12" t="s">
        <v>411</v>
      </c>
      <c r="D265" s="12"/>
      <c r="E265" s="12">
        <v>48264</v>
      </c>
      <c r="G265" s="7">
        <v>8046107</v>
      </c>
      <c r="I265" s="7">
        <v>2196593</v>
      </c>
      <c r="K265" s="7">
        <v>160536</v>
      </c>
      <c r="M265" s="7">
        <v>0</v>
      </c>
      <c r="O265" s="7">
        <v>172945</v>
      </c>
      <c r="Q265" s="7">
        <v>1273487</v>
      </c>
      <c r="S265" s="7">
        <v>512897</v>
      </c>
      <c r="U265" s="7">
        <v>44578</v>
      </c>
      <c r="W265" s="7">
        <v>1482003</v>
      </c>
      <c r="Y265" s="7">
        <v>725029</v>
      </c>
      <c r="AA265" s="7">
        <v>12563</v>
      </c>
      <c r="AC265" s="7">
        <v>1676096</v>
      </c>
      <c r="AE265" s="7">
        <v>1026475</v>
      </c>
      <c r="AG265" s="7">
        <v>0</v>
      </c>
      <c r="AI265" s="7">
        <v>717926</v>
      </c>
      <c r="AK265" s="7">
        <v>0</v>
      </c>
      <c r="AL265" s="12" t="s">
        <v>412</v>
      </c>
      <c r="AM265" s="12"/>
      <c r="AN265" s="12" t="s">
        <v>411</v>
      </c>
      <c r="AP265" s="7">
        <v>607236</v>
      </c>
      <c r="AR265" s="7">
        <v>16427659</v>
      </c>
      <c r="AT265" s="7">
        <v>0</v>
      </c>
      <c r="AV265" s="7">
        <v>735000</v>
      </c>
      <c r="AX265" s="7">
        <v>928195</v>
      </c>
      <c r="AZ265" s="7">
        <v>0</v>
      </c>
      <c r="BB265" s="8">
        <f t="shared" si="44"/>
        <v>36745325</v>
      </c>
      <c r="BD265" s="7">
        <v>745587</v>
      </c>
      <c r="BF265" s="7">
        <v>0</v>
      </c>
      <c r="BH265" s="7">
        <v>0</v>
      </c>
      <c r="BJ265" s="7">
        <v>0</v>
      </c>
      <c r="BL265" s="8">
        <f t="shared" si="45"/>
        <v>37490912</v>
      </c>
      <c r="BN265" s="8">
        <f>'Gov Fd Rv'!AQ265-'Gov Fnd Exp'!BL265</f>
        <v>-4990082</v>
      </c>
      <c r="BP265" s="7">
        <v>16534334</v>
      </c>
      <c r="BR265" s="7">
        <v>0</v>
      </c>
      <c r="BT265" s="7">
        <v>0</v>
      </c>
      <c r="BV265" s="8">
        <f t="shared" si="46"/>
        <v>11544252</v>
      </c>
      <c r="BW265" s="8"/>
      <c r="BX265" s="8">
        <f>BV265-'Gov Fd BS'!AE265</f>
        <v>0</v>
      </c>
      <c r="BY265" s="8"/>
      <c r="CB265" s="101" t="str">
        <f t="shared" si="43"/>
        <v>Jonathan Alder Local SD</v>
      </c>
      <c r="CC265" s="101" t="b">
        <f t="shared" si="40"/>
        <v>1</v>
      </c>
      <c r="CD265" s="101" t="str">
        <f>'Gov Fd Rv'!A265</f>
        <v>Jonathan Alder Local SD</v>
      </c>
      <c r="CE265" s="8" t="b">
        <f t="shared" si="39"/>
        <v>1</v>
      </c>
      <c r="CG265" s="8" t="str">
        <f t="shared" si="41"/>
        <v>Madison</v>
      </c>
      <c r="CH265" s="8" t="b">
        <f t="shared" si="42"/>
        <v>1</v>
      </c>
      <c r="CI265" s="8" t="b">
        <f>C265='Gov Fd Rv'!C265</f>
        <v>1</v>
      </c>
    </row>
    <row r="266" spans="1:87">
      <c r="A266" s="12" t="s">
        <v>539</v>
      </c>
      <c r="B266" s="12"/>
      <c r="C266" s="12" t="s">
        <v>64</v>
      </c>
      <c r="D266" s="12"/>
      <c r="E266" s="12">
        <v>50179</v>
      </c>
      <c r="G266" s="7">
        <v>4015829</v>
      </c>
      <c r="I266" s="7">
        <v>655303</v>
      </c>
      <c r="K266" s="7">
        <v>71338</v>
      </c>
      <c r="M266" s="7">
        <v>0</v>
      </c>
      <c r="O266" s="7">
        <v>53835</v>
      </c>
      <c r="Q266" s="7">
        <v>375030</v>
      </c>
      <c r="S266" s="7">
        <v>93863</v>
      </c>
      <c r="U266" s="7">
        <v>84813</v>
      </c>
      <c r="W266" s="7">
        <v>682345</v>
      </c>
      <c r="Y266" s="7">
        <v>331378</v>
      </c>
      <c r="AA266" s="7">
        <v>0</v>
      </c>
      <c r="AC266" s="7">
        <v>785322</v>
      </c>
      <c r="AE266" s="7">
        <v>709156</v>
      </c>
      <c r="AG266" s="7">
        <v>127095</v>
      </c>
      <c r="AI266" s="7">
        <v>0</v>
      </c>
      <c r="AK266" s="7">
        <v>458094</v>
      </c>
      <c r="AL266" s="12" t="s">
        <v>539</v>
      </c>
      <c r="AM266" s="12"/>
      <c r="AN266" s="12" t="s">
        <v>64</v>
      </c>
      <c r="AP266" s="7">
        <v>242919</v>
      </c>
      <c r="AR266" s="7">
        <v>64003</v>
      </c>
      <c r="AT266" s="7">
        <v>0</v>
      </c>
      <c r="AV266" s="7">
        <v>320483</v>
      </c>
      <c r="AX266" s="7">
        <v>314755</v>
      </c>
      <c r="AZ266" s="7">
        <v>0</v>
      </c>
      <c r="BB266" s="8">
        <f t="shared" si="44"/>
        <v>9385561</v>
      </c>
      <c r="BD266" s="7">
        <v>1914</v>
      </c>
      <c r="BF266" s="7">
        <v>0</v>
      </c>
      <c r="BH266" s="7">
        <v>0</v>
      </c>
      <c r="BJ266" s="7">
        <v>0</v>
      </c>
      <c r="BL266" s="8">
        <f t="shared" si="45"/>
        <v>9387475</v>
      </c>
      <c r="BN266" s="8">
        <f>'Gov Fd Rv'!AQ266-'Gov Fnd Exp'!BL266</f>
        <v>25882</v>
      </c>
      <c r="BP266" s="7">
        <v>2471712</v>
      </c>
      <c r="BR266" s="7">
        <v>0</v>
      </c>
      <c r="BT266" s="7">
        <v>0</v>
      </c>
      <c r="BV266" s="8">
        <f t="shared" si="46"/>
        <v>2497594</v>
      </c>
      <c r="BW266" s="8"/>
      <c r="BX266" s="8">
        <f>BV266-'Gov Fd BS'!AE266</f>
        <v>0</v>
      </c>
      <c r="BY266" s="8"/>
      <c r="CB266" s="101" t="str">
        <f t="shared" si="43"/>
        <v>Joseph Badger Local SD</v>
      </c>
      <c r="CC266" s="101" t="b">
        <f t="shared" si="40"/>
        <v>1</v>
      </c>
      <c r="CD266" s="101" t="str">
        <f>'Gov Fd Rv'!A266</f>
        <v>Joseph Badger Local SD</v>
      </c>
      <c r="CE266" s="8" t="b">
        <f t="shared" si="39"/>
        <v>1</v>
      </c>
      <c r="CG266" s="8" t="str">
        <f t="shared" si="41"/>
        <v>Trumbull</v>
      </c>
      <c r="CH266" s="8" t="b">
        <f t="shared" si="42"/>
        <v>1</v>
      </c>
      <c r="CI266" s="8" t="b">
        <f>C266='Gov Fd Rv'!C266</f>
        <v>1</v>
      </c>
    </row>
    <row r="267" spans="1:87">
      <c r="A267" s="12" t="s">
        <v>293</v>
      </c>
      <c r="B267" s="12"/>
      <c r="C267" s="12" t="s">
        <v>24</v>
      </c>
      <c r="D267" s="12"/>
      <c r="E267" s="12">
        <v>46797</v>
      </c>
      <c r="G267" s="7">
        <v>390437</v>
      </c>
      <c r="I267" s="7">
        <v>143</v>
      </c>
      <c r="K267" s="7">
        <v>0</v>
      </c>
      <c r="M267" s="7">
        <v>0</v>
      </c>
      <c r="O267" s="7">
        <v>0</v>
      </c>
      <c r="Q267" s="7">
        <v>22559</v>
      </c>
      <c r="S267" s="7">
        <v>87663</v>
      </c>
      <c r="U267" s="7">
        <v>25839</v>
      </c>
      <c r="W267" s="7">
        <v>95859</v>
      </c>
      <c r="Y267" s="7">
        <v>36136</v>
      </c>
      <c r="AA267" s="7">
        <v>0</v>
      </c>
      <c r="AC267" s="7">
        <v>115524</v>
      </c>
      <c r="AE267" s="7">
        <v>0</v>
      </c>
      <c r="AG267" s="7">
        <v>0</v>
      </c>
      <c r="AI267" s="7">
        <v>0</v>
      </c>
      <c r="AK267" s="7">
        <v>0</v>
      </c>
      <c r="AL267" s="12" t="s">
        <v>293</v>
      </c>
      <c r="AM267" s="12"/>
      <c r="AN267" s="12" t="s">
        <v>24</v>
      </c>
      <c r="AP267" s="7">
        <v>1259</v>
      </c>
      <c r="AR267" s="7">
        <v>1875</v>
      </c>
      <c r="AT267" s="7">
        <v>0</v>
      </c>
      <c r="AV267" s="7">
        <v>0</v>
      </c>
      <c r="AX267" s="7">
        <v>0</v>
      </c>
      <c r="AZ267" s="7">
        <v>0</v>
      </c>
      <c r="BB267" s="8">
        <f t="shared" si="44"/>
        <v>777294</v>
      </c>
      <c r="BD267" s="7">
        <v>155410</v>
      </c>
      <c r="BF267" s="7">
        <v>0</v>
      </c>
      <c r="BH267" s="7">
        <v>0</v>
      </c>
      <c r="BJ267" s="7">
        <v>0</v>
      </c>
      <c r="BL267" s="8">
        <f t="shared" si="45"/>
        <v>932704</v>
      </c>
      <c r="BN267" s="8">
        <f>'Gov Fd Rv'!AQ267-'Gov Fnd Exp'!BL267</f>
        <v>343325</v>
      </c>
      <c r="BP267" s="7">
        <v>717182</v>
      </c>
      <c r="BR267" s="7">
        <v>0</v>
      </c>
      <c r="BT267" s="7">
        <v>0</v>
      </c>
      <c r="BV267" s="8">
        <f t="shared" si="46"/>
        <v>1060507</v>
      </c>
      <c r="BW267" s="8"/>
      <c r="BX267" s="8">
        <f>BV267-'Gov Fd BS'!AE267</f>
        <v>0</v>
      </c>
      <c r="BY267" s="8"/>
      <c r="CB267" s="101" t="str">
        <f t="shared" si="43"/>
        <v>Kelleys Island Local SD</v>
      </c>
      <c r="CC267" s="101" t="b">
        <f t="shared" si="40"/>
        <v>1</v>
      </c>
      <c r="CD267" s="101" t="str">
        <f>'Gov Fd Rv'!A267</f>
        <v>Kelleys Island Local SD</v>
      </c>
      <c r="CE267" s="8" t="b">
        <f t="shared" ref="CE267:CE331" si="48">CB267=CD267</f>
        <v>1</v>
      </c>
      <c r="CG267" s="8" t="str">
        <f t="shared" si="41"/>
        <v>Erie</v>
      </c>
      <c r="CH267" s="8" t="b">
        <f t="shared" si="42"/>
        <v>1</v>
      </c>
      <c r="CI267" s="8" t="b">
        <f>C267='Gov Fd Rv'!C267</f>
        <v>1</v>
      </c>
    </row>
    <row r="268" spans="1:87">
      <c r="A268" s="12" t="s">
        <v>321</v>
      </c>
      <c r="B268" s="12"/>
      <c r="C268" s="12" t="s">
        <v>30</v>
      </c>
      <c r="D268" s="12"/>
      <c r="E268" s="12">
        <v>47191</v>
      </c>
      <c r="G268" s="7">
        <v>15124003</v>
      </c>
      <c r="I268" s="7">
        <v>4204708</v>
      </c>
      <c r="K268" s="7">
        <v>159802</v>
      </c>
      <c r="M268" s="7">
        <v>0</v>
      </c>
      <c r="O268" s="7">
        <v>570629</v>
      </c>
      <c r="Q268" s="7">
        <v>2525031</v>
      </c>
      <c r="S268" s="7">
        <v>1256458</v>
      </c>
      <c r="U268" s="7">
        <v>42396</v>
      </c>
      <c r="W268" s="7">
        <v>2682176</v>
      </c>
      <c r="Y268" s="7">
        <v>1025788</v>
      </c>
      <c r="AA268" s="7">
        <v>38024</v>
      </c>
      <c r="AC268" s="7">
        <v>3586035</v>
      </c>
      <c r="AE268" s="7">
        <v>2392268</v>
      </c>
      <c r="AG268" s="7">
        <v>3751</v>
      </c>
      <c r="AI268" s="7">
        <v>0</v>
      </c>
      <c r="AK268" s="7">
        <f>124976+11500</f>
        <v>136476</v>
      </c>
      <c r="AL268" s="12" t="s">
        <v>321</v>
      </c>
      <c r="AM268" s="12"/>
      <c r="AN268" s="12" t="s">
        <v>30</v>
      </c>
      <c r="AP268" s="7">
        <v>1425784</v>
      </c>
      <c r="AR268" s="7">
        <v>920514</v>
      </c>
      <c r="AT268" s="7">
        <v>0</v>
      </c>
      <c r="AV268" s="7">
        <v>1510259</v>
      </c>
      <c r="AX268" s="7">
        <v>2011800</v>
      </c>
      <c r="AZ268" s="7">
        <v>0</v>
      </c>
      <c r="BB268" s="8">
        <f t="shared" si="44"/>
        <v>39615902</v>
      </c>
      <c r="BD268" s="7">
        <v>111815</v>
      </c>
      <c r="BF268" s="7">
        <v>0</v>
      </c>
      <c r="BH268" s="7">
        <v>0</v>
      </c>
      <c r="BJ268" s="7">
        <v>0</v>
      </c>
      <c r="BL268" s="8">
        <f t="shared" si="45"/>
        <v>39727717</v>
      </c>
      <c r="BN268" s="8">
        <f>'Gov Fd Rv'!AQ268-'Gov Fnd Exp'!BL268</f>
        <v>973700</v>
      </c>
      <c r="BP268" s="7">
        <v>13994372</v>
      </c>
      <c r="BR268" s="7">
        <v>0</v>
      </c>
      <c r="BT268" s="7">
        <v>0</v>
      </c>
      <c r="BV268" s="8">
        <f t="shared" si="46"/>
        <v>14968072</v>
      </c>
      <c r="BW268" s="8"/>
      <c r="BX268" s="8">
        <f>BV268-'Gov Fd BS'!AE268</f>
        <v>0</v>
      </c>
      <c r="BY268" s="8"/>
      <c r="CB268" s="101" t="str">
        <f t="shared" si="43"/>
        <v>Kenston Local SD</v>
      </c>
      <c r="CC268" s="101" t="b">
        <f t="shared" ref="CC268:CC332" si="49">A268=AL268</f>
        <v>1</v>
      </c>
      <c r="CD268" s="101" t="str">
        <f>'Gov Fd Rv'!A268</f>
        <v>Kenston Local SD</v>
      </c>
      <c r="CE268" s="8" t="b">
        <f t="shared" si="48"/>
        <v>1</v>
      </c>
      <c r="CG268" s="8" t="str">
        <f t="shared" ref="CG268:CG332" si="50">C268</f>
        <v>Geauga</v>
      </c>
      <c r="CH268" s="8" t="b">
        <f t="shared" ref="CH268:CH332" si="51">C268=AN268</f>
        <v>1</v>
      </c>
      <c r="CI268" s="8" t="b">
        <f>C268='Gov Fd Rv'!C268</f>
        <v>1</v>
      </c>
    </row>
    <row r="269" spans="1:87">
      <c r="A269" s="12" t="s">
        <v>476</v>
      </c>
      <c r="B269" s="12"/>
      <c r="C269" s="12" t="s">
        <v>56</v>
      </c>
      <c r="D269" s="12"/>
      <c r="E269" s="12">
        <v>44164</v>
      </c>
      <c r="G269" s="7">
        <v>18518980</v>
      </c>
      <c r="I269" s="7">
        <v>5533970</v>
      </c>
      <c r="K269" s="7">
        <v>2135797</v>
      </c>
      <c r="M269" s="7">
        <v>45589</v>
      </c>
      <c r="O269" s="7">
        <f>455736+542413</f>
        <v>998149</v>
      </c>
      <c r="Q269" s="7">
        <v>2511482</v>
      </c>
      <c r="S269" s="7">
        <v>2693828</v>
      </c>
      <c r="U269" s="7">
        <v>213430</v>
      </c>
      <c r="W269" s="7">
        <v>3063528</v>
      </c>
      <c r="Y269" s="7">
        <v>938863</v>
      </c>
      <c r="AA269" s="7">
        <v>356137</v>
      </c>
      <c r="AC269" s="7">
        <v>3070617</v>
      </c>
      <c r="AE269" s="7">
        <v>1567912</v>
      </c>
      <c r="AG269" s="7">
        <v>334116</v>
      </c>
      <c r="AI269" s="7">
        <v>1338156</v>
      </c>
      <c r="AK269" s="7">
        <v>469671</v>
      </c>
      <c r="AL269" s="12" t="s">
        <v>476</v>
      </c>
      <c r="AM269" s="12"/>
      <c r="AN269" s="12" t="s">
        <v>56</v>
      </c>
      <c r="AP269" s="7">
        <v>1169849</v>
      </c>
      <c r="AR269" s="7">
        <v>536939</v>
      </c>
      <c r="AT269" s="7">
        <v>0</v>
      </c>
      <c r="AV269" s="7">
        <v>1635449</v>
      </c>
      <c r="AX269" s="7">
        <v>1096988</v>
      </c>
      <c r="AZ269" s="7">
        <v>0</v>
      </c>
      <c r="BB269" s="8">
        <f t="shared" si="44"/>
        <v>48229450</v>
      </c>
      <c r="BD269" s="7">
        <v>454350</v>
      </c>
      <c r="BF269" s="7">
        <v>0</v>
      </c>
      <c r="BH269" s="7">
        <v>0</v>
      </c>
      <c r="BJ269" s="7">
        <v>0</v>
      </c>
      <c r="BL269" s="8">
        <f t="shared" si="45"/>
        <v>48683800</v>
      </c>
      <c r="BN269" s="8">
        <f>'Gov Fd Rv'!AQ269-'Gov Fnd Exp'!BL269</f>
        <v>-206743</v>
      </c>
      <c r="BP269" s="7">
        <v>17920638</v>
      </c>
      <c r="BR269" s="7">
        <v>0</v>
      </c>
      <c r="BT269" s="7">
        <v>0</v>
      </c>
      <c r="BV269" s="8">
        <f t="shared" si="46"/>
        <v>17713895</v>
      </c>
      <c r="BW269" s="8"/>
      <c r="BX269" s="8">
        <f>BV269-'Gov Fd BS'!AE269</f>
        <v>0</v>
      </c>
      <c r="BY269" s="8"/>
      <c r="CB269" s="101" t="str">
        <f t="shared" ref="CB269:CB334" si="52">A269</f>
        <v>Kent City SD</v>
      </c>
      <c r="CC269" s="101" t="b">
        <f t="shared" si="49"/>
        <v>1</v>
      </c>
      <c r="CD269" s="101" t="str">
        <f>'Gov Fd Rv'!A269</f>
        <v>Kent City SD</v>
      </c>
      <c r="CE269" s="8" t="b">
        <f t="shared" si="48"/>
        <v>1</v>
      </c>
      <c r="CG269" s="8" t="str">
        <f t="shared" si="50"/>
        <v>Portage</v>
      </c>
      <c r="CH269" s="8" t="b">
        <f t="shared" si="51"/>
        <v>1</v>
      </c>
      <c r="CI269" s="8" t="b">
        <f>C269='Gov Fd Rv'!C269</f>
        <v>1</v>
      </c>
    </row>
    <row r="270" spans="1:87">
      <c r="A270" s="12" t="s">
        <v>350</v>
      </c>
      <c r="B270" s="12"/>
      <c r="C270" s="12" t="s">
        <v>348</v>
      </c>
      <c r="D270" s="12"/>
      <c r="E270" s="12">
        <v>44172</v>
      </c>
      <c r="G270" s="7">
        <v>9389592</v>
      </c>
      <c r="I270" s="7">
        <v>2232523</v>
      </c>
      <c r="K270" s="7">
        <v>158156</v>
      </c>
      <c r="M270" s="7">
        <v>0</v>
      </c>
      <c r="O270" s="7">
        <v>0</v>
      </c>
      <c r="Q270" s="7">
        <v>568456</v>
      </c>
      <c r="S270" s="7">
        <v>1280881</v>
      </c>
      <c r="U270" s="7">
        <v>24637</v>
      </c>
      <c r="W270" s="7">
        <v>1584119</v>
      </c>
      <c r="Y270" s="7">
        <v>431235</v>
      </c>
      <c r="AA270" s="7">
        <v>0</v>
      </c>
      <c r="AC270" s="7">
        <v>1480637</v>
      </c>
      <c r="AE270" s="7">
        <v>675855</v>
      </c>
      <c r="AG270" s="7">
        <v>69471</v>
      </c>
      <c r="AI270" s="7">
        <v>0</v>
      </c>
      <c r="AK270" s="7">
        <v>917986</v>
      </c>
      <c r="AL270" s="12" t="s">
        <v>350</v>
      </c>
      <c r="AM270" s="12"/>
      <c r="AN270" s="12" t="s">
        <v>348</v>
      </c>
      <c r="AP270" s="7">
        <v>258926</v>
      </c>
      <c r="AR270" s="7">
        <v>0</v>
      </c>
      <c r="AT270" s="7">
        <v>0</v>
      </c>
      <c r="AV270" s="7">
        <v>31524</v>
      </c>
      <c r="AX270" s="7">
        <v>4970</v>
      </c>
      <c r="AZ270" s="7">
        <v>0</v>
      </c>
      <c r="BB270" s="8">
        <f t="shared" si="44"/>
        <v>19108968</v>
      </c>
      <c r="BD270" s="7">
        <v>0</v>
      </c>
      <c r="BF270" s="7">
        <v>0</v>
      </c>
      <c r="BH270" s="7">
        <v>0</v>
      </c>
      <c r="BJ270" s="7">
        <v>0</v>
      </c>
      <c r="BL270" s="8">
        <f t="shared" si="45"/>
        <v>19108968</v>
      </c>
      <c r="BN270" s="8">
        <f>'Gov Fd Rv'!AQ270-'Gov Fnd Exp'!BL270</f>
        <v>469973</v>
      </c>
      <c r="BP270" s="7">
        <v>1324995</v>
      </c>
      <c r="BR270" s="7">
        <v>0</v>
      </c>
      <c r="BT270" s="7">
        <v>0</v>
      </c>
      <c r="BV270" s="8">
        <f t="shared" si="46"/>
        <v>1794968</v>
      </c>
      <c r="BW270" s="8"/>
      <c r="BX270" s="8">
        <f>BV270-'Gov Fd BS'!AE270</f>
        <v>0</v>
      </c>
      <c r="BY270" s="8"/>
      <c r="CB270" s="101" t="str">
        <f t="shared" si="52"/>
        <v>Kenton City SD</v>
      </c>
      <c r="CC270" s="101" t="b">
        <f t="shared" si="49"/>
        <v>1</v>
      </c>
      <c r="CD270" s="101" t="str">
        <f>'Gov Fd Rv'!A270</f>
        <v>Kenton City SD</v>
      </c>
      <c r="CE270" s="8" t="b">
        <f t="shared" si="48"/>
        <v>1</v>
      </c>
      <c r="CG270" s="8" t="str">
        <f t="shared" si="50"/>
        <v>Hardin</v>
      </c>
      <c r="CH270" s="8" t="b">
        <f t="shared" si="51"/>
        <v>1</v>
      </c>
      <c r="CI270" s="8" t="b">
        <f>C270='Gov Fd Rv'!C270</f>
        <v>1</v>
      </c>
    </row>
    <row r="271" spans="1:87" s="32" customFormat="1">
      <c r="A271" s="31" t="s">
        <v>444</v>
      </c>
      <c r="B271" s="31"/>
      <c r="C271" s="31" t="s">
        <v>50</v>
      </c>
      <c r="D271" s="31"/>
      <c r="E271" s="31">
        <v>44180</v>
      </c>
      <c r="G271" s="32">
        <v>34765833</v>
      </c>
      <c r="I271" s="32">
        <v>9056671</v>
      </c>
      <c r="K271" s="32">
        <v>2693124</v>
      </c>
      <c r="M271" s="32">
        <v>88051</v>
      </c>
      <c r="O271" s="32">
        <v>2275425</v>
      </c>
      <c r="Q271" s="32">
        <v>7873544</v>
      </c>
      <c r="S271" s="32">
        <v>5732142</v>
      </c>
      <c r="U271" s="32">
        <v>62748</v>
      </c>
      <c r="W271" s="32">
        <v>5232622</v>
      </c>
      <c r="Y271" s="32">
        <v>1781258</v>
      </c>
      <c r="AA271" s="32">
        <v>588832</v>
      </c>
      <c r="AC271" s="32">
        <v>8808022</v>
      </c>
      <c r="AE271" s="32">
        <v>3350422</v>
      </c>
      <c r="AG271" s="32">
        <v>1866437</v>
      </c>
      <c r="AI271" s="32">
        <v>0</v>
      </c>
      <c r="AK271" s="32">
        <v>5451706</v>
      </c>
      <c r="AL271" s="31" t="s">
        <v>444</v>
      </c>
      <c r="AM271" s="31"/>
      <c r="AN271" s="31" t="s">
        <v>50</v>
      </c>
      <c r="AP271" s="32">
        <v>1605143</v>
      </c>
      <c r="AR271" s="32">
        <v>126392</v>
      </c>
      <c r="AT271" s="32">
        <v>0</v>
      </c>
      <c r="AV271" s="32">
        <v>3640783</v>
      </c>
      <c r="AX271" s="32">
        <v>4254556</v>
      </c>
      <c r="AZ271" s="32">
        <v>0</v>
      </c>
      <c r="BB271" s="36">
        <f t="shared" si="44"/>
        <v>99253711</v>
      </c>
      <c r="BD271" s="32">
        <v>13500</v>
      </c>
      <c r="BF271" s="32">
        <v>0</v>
      </c>
      <c r="BH271" s="32">
        <v>0</v>
      </c>
      <c r="BJ271" s="32">
        <v>0</v>
      </c>
      <c r="BL271" s="36">
        <f t="shared" si="45"/>
        <v>99267211</v>
      </c>
      <c r="BN271" s="36">
        <f>'Gov Fd Rv'!AQ271-'Gov Fnd Exp'!BL271</f>
        <v>3361644</v>
      </c>
      <c r="BP271" s="32">
        <v>8291177</v>
      </c>
      <c r="BR271" s="32">
        <v>-6824</v>
      </c>
      <c r="BT271" s="32">
        <v>0</v>
      </c>
      <c r="BV271" s="36">
        <f t="shared" si="46"/>
        <v>11645997</v>
      </c>
      <c r="BW271" s="36"/>
      <c r="BX271" s="36">
        <f>BV271-'Gov Fd BS'!AE271</f>
        <v>0</v>
      </c>
      <c r="BY271" s="36"/>
      <c r="CB271" s="106" t="str">
        <f t="shared" si="52"/>
        <v>Kettering City SD</v>
      </c>
      <c r="CC271" s="106" t="b">
        <f t="shared" si="49"/>
        <v>1</v>
      </c>
      <c r="CD271" s="106" t="str">
        <f>'Gov Fd Rv'!A271</f>
        <v>Kettering City SD</v>
      </c>
      <c r="CE271" s="36" t="b">
        <f t="shared" si="48"/>
        <v>1</v>
      </c>
      <c r="CG271" s="36" t="str">
        <f t="shared" si="50"/>
        <v>Montgomery</v>
      </c>
      <c r="CH271" s="36" t="b">
        <f t="shared" si="51"/>
        <v>1</v>
      </c>
      <c r="CI271" s="36" t="b">
        <f>C271='Gov Fd Rv'!C271</f>
        <v>1</v>
      </c>
    </row>
    <row r="272" spans="1:87">
      <c r="A272" s="12" t="s">
        <v>666</v>
      </c>
      <c r="B272" s="12"/>
      <c r="C272" s="12" t="s">
        <v>44</v>
      </c>
      <c r="D272" s="12"/>
      <c r="E272" s="12">
        <v>48165</v>
      </c>
      <c r="G272" s="7">
        <v>7355952</v>
      </c>
      <c r="I272" s="7">
        <v>1705416</v>
      </c>
      <c r="K272" s="7">
        <v>102179</v>
      </c>
      <c r="M272" s="7">
        <v>0</v>
      </c>
      <c r="O272" s="7">
        <v>91730</v>
      </c>
      <c r="Q272" s="7">
        <v>1001149</v>
      </c>
      <c r="S272" s="7">
        <v>470510</v>
      </c>
      <c r="U272" s="7">
        <v>32725</v>
      </c>
      <c r="W272" s="7">
        <v>1201544</v>
      </c>
      <c r="Y272" s="7">
        <v>455803</v>
      </c>
      <c r="AA272" s="7">
        <v>0</v>
      </c>
      <c r="AC272" s="7">
        <v>1112437</v>
      </c>
      <c r="AE272" s="7">
        <v>842862</v>
      </c>
      <c r="AG272" s="7">
        <v>377054</v>
      </c>
      <c r="AI272" s="7">
        <v>493375</v>
      </c>
      <c r="AK272" s="7">
        <f>49485+86977</f>
        <v>136462</v>
      </c>
      <c r="AL272" s="12" t="s">
        <v>666</v>
      </c>
      <c r="AM272" s="12"/>
      <c r="AN272" s="12" t="s">
        <v>44</v>
      </c>
      <c r="AP272" s="7">
        <v>381467</v>
      </c>
      <c r="AR272" s="7">
        <f>786805+372368</f>
        <v>1159173</v>
      </c>
      <c r="AT272" s="7">
        <v>0</v>
      </c>
      <c r="AV272" s="7">
        <v>883287</v>
      </c>
      <c r="AX272" s="7">
        <f>1044231+225915</f>
        <v>1270146</v>
      </c>
      <c r="AZ272" s="7">
        <v>0</v>
      </c>
      <c r="BB272" s="8">
        <f t="shared" si="44"/>
        <v>19073271</v>
      </c>
      <c r="BD272" s="7">
        <v>17096</v>
      </c>
      <c r="BF272" s="7">
        <v>0</v>
      </c>
      <c r="BH272" s="7">
        <v>0</v>
      </c>
      <c r="BJ272" s="7">
        <v>0</v>
      </c>
      <c r="BL272" s="8">
        <f t="shared" si="45"/>
        <v>19090367</v>
      </c>
      <c r="BN272" s="8">
        <f>'Gov Fd Rv'!AQ272-'Gov Fnd Exp'!BL272</f>
        <v>10900027</v>
      </c>
      <c r="BP272" s="7">
        <v>6783473</v>
      </c>
      <c r="BR272" s="7">
        <v>0</v>
      </c>
      <c r="BT272" s="7">
        <v>0</v>
      </c>
      <c r="BV272" s="8">
        <f t="shared" si="46"/>
        <v>17683500</v>
      </c>
      <c r="BW272" s="8"/>
      <c r="BX272" s="8">
        <f>BV272-'Gov Fd BS'!AE272</f>
        <v>0</v>
      </c>
      <c r="BY272" s="8"/>
      <c r="CB272" s="101" t="str">
        <f t="shared" si="52"/>
        <v xml:space="preserve">Keystone Local SD </v>
      </c>
      <c r="CC272" s="101" t="b">
        <f t="shared" si="49"/>
        <v>1</v>
      </c>
      <c r="CD272" s="101" t="str">
        <f>'Gov Fd Rv'!A272</f>
        <v xml:space="preserve">Keystone Local SD </v>
      </c>
      <c r="CE272" s="8" t="b">
        <f t="shared" si="48"/>
        <v>1</v>
      </c>
      <c r="CG272" s="8" t="str">
        <f t="shared" si="50"/>
        <v>Lorain</v>
      </c>
      <c r="CH272" s="8" t="b">
        <f t="shared" si="51"/>
        <v>1</v>
      </c>
      <c r="CI272" s="8" t="b">
        <f>C272='Gov Fd Rv'!C272</f>
        <v>1</v>
      </c>
    </row>
    <row r="273" spans="1:87">
      <c r="A273" s="12" t="s">
        <v>761</v>
      </c>
      <c r="B273" s="12"/>
      <c r="C273" s="12" t="s">
        <v>69</v>
      </c>
      <c r="D273" s="12"/>
      <c r="E273" s="12">
        <v>50435</v>
      </c>
      <c r="G273" s="7">
        <v>18273243</v>
      </c>
      <c r="I273" s="7">
        <v>4045444</v>
      </c>
      <c r="K273" s="7">
        <v>0</v>
      </c>
      <c r="M273" s="7">
        <v>0</v>
      </c>
      <c r="O273" s="7">
        <v>834608</v>
      </c>
      <c r="Q273" s="7">
        <v>2085232</v>
      </c>
      <c r="S273" s="7">
        <v>1783280</v>
      </c>
      <c r="U273" s="7">
        <v>64035</v>
      </c>
      <c r="W273" s="7">
        <v>3464998</v>
      </c>
      <c r="Y273" s="7">
        <v>955754</v>
      </c>
      <c r="AA273" s="7">
        <v>151691</v>
      </c>
      <c r="AC273" s="7">
        <v>4767816</v>
      </c>
      <c r="AE273" s="7">
        <v>2788190</v>
      </c>
      <c r="AG273" s="7">
        <v>263809</v>
      </c>
      <c r="AI273" s="7">
        <v>0</v>
      </c>
      <c r="AK273" s="7">
        <v>583086</v>
      </c>
      <c r="AL273" s="12" t="s">
        <v>761</v>
      </c>
      <c r="AM273" s="12"/>
      <c r="AN273" s="12" t="s">
        <v>69</v>
      </c>
      <c r="AP273" s="7">
        <v>1241367</v>
      </c>
      <c r="AR273" s="7">
        <v>0</v>
      </c>
      <c r="AT273" s="7">
        <v>0</v>
      </c>
      <c r="AV273" s="7">
        <v>2995994</v>
      </c>
      <c r="AX273" s="7">
        <v>2974330</v>
      </c>
      <c r="AZ273" s="7">
        <v>0</v>
      </c>
      <c r="BB273" s="8">
        <f t="shared" si="44"/>
        <v>47272877</v>
      </c>
      <c r="BD273" s="7">
        <v>0</v>
      </c>
      <c r="BF273" s="7">
        <v>0</v>
      </c>
      <c r="BH273" s="7">
        <v>0</v>
      </c>
      <c r="BJ273" s="7">
        <v>0</v>
      </c>
      <c r="BL273" s="8">
        <f t="shared" si="45"/>
        <v>47272877</v>
      </c>
      <c r="BN273" s="8">
        <f>'Gov Fd Rv'!AQ273-'Gov Fnd Exp'!BL273</f>
        <v>-421232</v>
      </c>
      <c r="BP273" s="7">
        <v>12408386</v>
      </c>
      <c r="BR273" s="7">
        <v>0</v>
      </c>
      <c r="BT273" s="7">
        <v>0</v>
      </c>
      <c r="BV273" s="8">
        <f t="shared" si="46"/>
        <v>11987154</v>
      </c>
      <c r="BW273" s="8"/>
      <c r="BX273" s="8">
        <f>BV273-'Gov Fd BS'!AE273</f>
        <v>0</v>
      </c>
      <c r="BY273" s="8"/>
      <c r="BZ273" s="14"/>
      <c r="CB273" s="101" t="str">
        <f t="shared" si="52"/>
        <v xml:space="preserve">Kings Local SD  </v>
      </c>
      <c r="CC273" s="101" t="b">
        <f t="shared" si="49"/>
        <v>1</v>
      </c>
      <c r="CD273" s="101" t="str">
        <f>'Gov Fd Rv'!A273</f>
        <v xml:space="preserve">Kings Local SD  </v>
      </c>
      <c r="CE273" s="8" t="b">
        <f t="shared" si="48"/>
        <v>1</v>
      </c>
      <c r="CG273" s="8" t="str">
        <f t="shared" si="50"/>
        <v>Warren</v>
      </c>
      <c r="CH273" s="8" t="b">
        <f t="shared" si="51"/>
        <v>1</v>
      </c>
      <c r="CI273" s="8" t="b">
        <f>C273='Gov Fd Rv'!C273</f>
        <v>1</v>
      </c>
    </row>
    <row r="274" spans="1:87" hidden="1">
      <c r="A274" s="12" t="s">
        <v>729</v>
      </c>
      <c r="B274" s="12"/>
      <c r="C274" s="12" t="s">
        <v>41</v>
      </c>
      <c r="D274" s="12"/>
      <c r="E274" s="12">
        <v>47878</v>
      </c>
      <c r="AL274" s="12" t="s">
        <v>729</v>
      </c>
      <c r="AM274" s="12"/>
      <c r="AN274" s="12" t="s">
        <v>41</v>
      </c>
      <c r="AT274" s="7">
        <v>0</v>
      </c>
      <c r="BB274" s="8">
        <f t="shared" si="44"/>
        <v>0</v>
      </c>
      <c r="BF274" s="7">
        <v>0</v>
      </c>
      <c r="BH274" s="7">
        <v>0</v>
      </c>
      <c r="BJ274" s="7">
        <v>0</v>
      </c>
      <c r="BL274" s="8">
        <f t="shared" si="45"/>
        <v>0</v>
      </c>
      <c r="BN274" s="8">
        <f>'Gov Fd Rv'!AQ274-'Gov Fnd Exp'!BL274</f>
        <v>0</v>
      </c>
      <c r="BT274" s="7">
        <v>0</v>
      </c>
      <c r="BV274" s="8">
        <f t="shared" si="46"/>
        <v>0</v>
      </c>
      <c r="BW274" s="8"/>
      <c r="BX274" s="8">
        <f>BV274-'Gov Fd BS'!AE274</f>
        <v>0</v>
      </c>
      <c r="BY274" s="8"/>
      <c r="BZ274" s="7" t="s">
        <v>911</v>
      </c>
      <c r="CB274" s="101" t="str">
        <f t="shared" si="52"/>
        <v>Kirtland Local SD (CASH)</v>
      </c>
      <c r="CC274" s="101" t="b">
        <f t="shared" si="49"/>
        <v>1</v>
      </c>
      <c r="CD274" s="101" t="str">
        <f>'Gov Fd Rv'!A274</f>
        <v>Kirtland Local SD (CASH)</v>
      </c>
      <c r="CE274" s="8" t="b">
        <f t="shared" si="48"/>
        <v>1</v>
      </c>
      <c r="CG274" s="8" t="str">
        <f t="shared" si="50"/>
        <v>Lake</v>
      </c>
      <c r="CH274" s="8" t="b">
        <f t="shared" si="51"/>
        <v>1</v>
      </c>
      <c r="CI274" s="8" t="b">
        <f>C274='Gov Fd Rv'!C274</f>
        <v>1</v>
      </c>
    </row>
    <row r="275" spans="1:87">
      <c r="A275" s="12" t="s">
        <v>540</v>
      </c>
      <c r="B275" s="12"/>
      <c r="C275" s="12" t="s">
        <v>64</v>
      </c>
      <c r="D275" s="12"/>
      <c r="E275" s="12">
        <v>50245</v>
      </c>
      <c r="G275" s="7">
        <v>6322953</v>
      </c>
      <c r="I275" s="7">
        <v>1615765</v>
      </c>
      <c r="K275" s="7">
        <v>51822</v>
      </c>
      <c r="M275" s="7">
        <v>476</v>
      </c>
      <c r="O275" s="7">
        <v>561590</v>
      </c>
      <c r="Q275" s="7">
        <v>753174</v>
      </c>
      <c r="S275" s="7">
        <v>212905</v>
      </c>
      <c r="U275" s="7">
        <v>52298</v>
      </c>
      <c r="W275" s="7">
        <v>1111583</v>
      </c>
      <c r="Y275" s="7">
        <v>314038</v>
      </c>
      <c r="AA275" s="7">
        <v>0</v>
      </c>
      <c r="AC275" s="7">
        <v>1329898</v>
      </c>
      <c r="AE275" s="7">
        <v>617134</v>
      </c>
      <c r="AG275" s="7">
        <v>107735</v>
      </c>
      <c r="AI275" s="7">
        <v>671148</v>
      </c>
      <c r="AK275" s="7">
        <v>3800</v>
      </c>
      <c r="AL275" s="12" t="s">
        <v>540</v>
      </c>
      <c r="AM275" s="12"/>
      <c r="AN275" s="12" t="s">
        <v>64</v>
      </c>
      <c r="AP275" s="7">
        <v>351372</v>
      </c>
      <c r="AR275" s="7">
        <v>87250</v>
      </c>
      <c r="AT275" s="7">
        <v>0</v>
      </c>
      <c r="AV275" s="7">
        <v>396000</v>
      </c>
      <c r="AX275" s="7">
        <v>382613</v>
      </c>
      <c r="AZ275" s="7">
        <v>0</v>
      </c>
      <c r="BB275" s="8">
        <f t="shared" si="44"/>
        <v>14943554</v>
      </c>
      <c r="BD275" s="7">
        <v>0</v>
      </c>
      <c r="BF275" s="7">
        <v>0</v>
      </c>
      <c r="BH275" s="7">
        <v>0</v>
      </c>
      <c r="BJ275" s="7">
        <v>0</v>
      </c>
      <c r="BL275" s="8">
        <f t="shared" si="45"/>
        <v>14943554</v>
      </c>
      <c r="BN275" s="8">
        <f>'Gov Fd Rv'!AQ275-'Gov Fnd Exp'!BL275</f>
        <v>874221</v>
      </c>
      <c r="BP275" s="7">
        <v>5301767</v>
      </c>
      <c r="BR275" s="7">
        <v>12317</v>
      </c>
      <c r="BT275" s="7">
        <v>0</v>
      </c>
      <c r="BV275" s="8">
        <f t="shared" si="46"/>
        <v>6188305</v>
      </c>
      <c r="BW275" s="8"/>
      <c r="BX275" s="8">
        <f>BV275-'Gov Fd BS'!AE275</f>
        <v>0</v>
      </c>
      <c r="BY275" s="8"/>
      <c r="CB275" s="101" t="str">
        <f t="shared" si="52"/>
        <v>LaBrae Local SD</v>
      </c>
      <c r="CC275" s="101" t="b">
        <f t="shared" si="49"/>
        <v>1</v>
      </c>
      <c r="CD275" s="101" t="str">
        <f>'Gov Fd Rv'!A275</f>
        <v>LaBrae Local SD</v>
      </c>
      <c r="CE275" s="8" t="b">
        <f t="shared" si="48"/>
        <v>1</v>
      </c>
      <c r="CG275" s="8" t="str">
        <f t="shared" si="50"/>
        <v>Trumbull</v>
      </c>
      <c r="CH275" s="8" t="b">
        <f t="shared" si="51"/>
        <v>1</v>
      </c>
      <c r="CI275" s="8" t="b">
        <f>C275='Gov Fd Rv'!C275</f>
        <v>1</v>
      </c>
    </row>
    <row r="276" spans="1:87">
      <c r="A276" s="12" t="s">
        <v>513</v>
      </c>
      <c r="B276" s="12"/>
      <c r="C276" s="12" t="s">
        <v>62</v>
      </c>
      <c r="D276" s="12"/>
      <c r="E276" s="12">
        <v>49866</v>
      </c>
      <c r="G276" s="7">
        <v>14551525</v>
      </c>
      <c r="I276" s="7">
        <v>3308034</v>
      </c>
      <c r="K276" s="7">
        <v>474955</v>
      </c>
      <c r="M276" s="7">
        <v>0</v>
      </c>
      <c r="O276" s="7">
        <f>196728+1068055</f>
        <v>1264783</v>
      </c>
      <c r="Q276" s="7">
        <v>1023467</v>
      </c>
      <c r="S276" s="7">
        <v>1771679</v>
      </c>
      <c r="U276" s="7">
        <v>27212</v>
      </c>
      <c r="W276" s="7">
        <v>3031664</v>
      </c>
      <c r="Y276" s="7">
        <v>656982</v>
      </c>
      <c r="AA276" s="7">
        <v>76531</v>
      </c>
      <c r="AC276" s="7">
        <v>3109503</v>
      </c>
      <c r="AE276" s="7">
        <v>2225951</v>
      </c>
      <c r="AG276" s="7">
        <v>173509</v>
      </c>
      <c r="AI276" s="7">
        <v>0</v>
      </c>
      <c r="AK276" s="7">
        <v>465201</v>
      </c>
      <c r="AL276" s="12" t="s">
        <v>513</v>
      </c>
      <c r="AM276" s="12"/>
      <c r="AN276" s="12" t="s">
        <v>62</v>
      </c>
      <c r="AP276" s="7">
        <v>911621</v>
      </c>
      <c r="AR276" s="7">
        <v>910362</v>
      </c>
      <c r="AT276" s="7">
        <v>0</v>
      </c>
      <c r="AV276" s="7">
        <v>1060000</v>
      </c>
      <c r="AX276" s="7">
        <v>979284</v>
      </c>
      <c r="AZ276" s="7">
        <v>0</v>
      </c>
      <c r="BB276" s="8">
        <f t="shared" si="44"/>
        <v>36022263</v>
      </c>
      <c r="BD276" s="7">
        <v>0</v>
      </c>
      <c r="BF276" s="7">
        <v>0</v>
      </c>
      <c r="BH276" s="7">
        <v>0</v>
      </c>
      <c r="BJ276" s="7">
        <v>0</v>
      </c>
      <c r="BL276" s="8">
        <f t="shared" si="45"/>
        <v>36022263</v>
      </c>
      <c r="BN276" s="8">
        <f>'Gov Fd Rv'!AQ276-'Gov Fnd Exp'!BL276</f>
        <v>602607</v>
      </c>
      <c r="BP276" s="7">
        <v>4951021</v>
      </c>
      <c r="BR276" s="7">
        <v>0</v>
      </c>
      <c r="BT276" s="7">
        <v>0</v>
      </c>
      <c r="BV276" s="8">
        <f t="shared" si="46"/>
        <v>5553628</v>
      </c>
      <c r="BW276" s="8"/>
      <c r="BX276" s="8">
        <f>BV276-'Gov Fd BS'!AE276</f>
        <v>0</v>
      </c>
      <c r="BY276" s="8"/>
      <c r="CB276" s="101" t="str">
        <f t="shared" si="52"/>
        <v>Lake Local SD</v>
      </c>
      <c r="CC276" s="101" t="b">
        <f t="shared" si="49"/>
        <v>1</v>
      </c>
      <c r="CD276" s="101" t="str">
        <f>'Gov Fd Rv'!A276</f>
        <v>Lake Local SD</v>
      </c>
      <c r="CE276" s="8" t="b">
        <f t="shared" si="48"/>
        <v>1</v>
      </c>
      <c r="CG276" s="8" t="str">
        <f t="shared" si="50"/>
        <v>Stark</v>
      </c>
      <c r="CH276" s="8" t="b">
        <f t="shared" si="51"/>
        <v>1</v>
      </c>
      <c r="CI276" s="8" t="b">
        <f>C276='Gov Fd Rv'!C276</f>
        <v>1</v>
      </c>
    </row>
    <row r="277" spans="1:87" hidden="1">
      <c r="A277" s="12" t="s">
        <v>913</v>
      </c>
      <c r="B277" s="12"/>
      <c r="C277" s="12" t="s">
        <v>72</v>
      </c>
      <c r="D277" s="12"/>
      <c r="E277" s="12">
        <v>50690</v>
      </c>
      <c r="AL277" s="12" t="s">
        <v>913</v>
      </c>
      <c r="AM277" s="12"/>
      <c r="AN277" s="12" t="s">
        <v>72</v>
      </c>
      <c r="AT277" s="7">
        <v>0</v>
      </c>
      <c r="BB277" s="8">
        <f t="shared" si="44"/>
        <v>0</v>
      </c>
      <c r="BF277" s="7">
        <v>0</v>
      </c>
      <c r="BH277" s="7">
        <v>0</v>
      </c>
      <c r="BJ277" s="7">
        <v>0</v>
      </c>
      <c r="BL277" s="8">
        <f t="shared" si="45"/>
        <v>0</v>
      </c>
      <c r="BN277" s="8">
        <f>'Gov Fd Rv'!AQ277-'Gov Fnd Exp'!BL277</f>
        <v>0</v>
      </c>
      <c r="BT277" s="7">
        <v>0</v>
      </c>
      <c r="BV277" s="8">
        <f t="shared" si="46"/>
        <v>0</v>
      </c>
      <c r="BW277" s="8"/>
      <c r="BX277" s="8">
        <f>BV277-'Gov Fd BS'!AE277</f>
        <v>0</v>
      </c>
      <c r="BY277" s="8"/>
      <c r="BZ277" s="7" t="s">
        <v>912</v>
      </c>
      <c r="CB277" s="101" t="str">
        <f t="shared" si="52"/>
        <v>Lake Local SD (CASH)</v>
      </c>
      <c r="CC277" s="101" t="b">
        <f t="shared" si="49"/>
        <v>1</v>
      </c>
      <c r="CD277" s="101" t="str">
        <f>'Gov Fd Rv'!A277</f>
        <v>Lake Local SD (CASH)</v>
      </c>
      <c r="CE277" s="8" t="b">
        <f t="shared" si="48"/>
        <v>1</v>
      </c>
      <c r="CG277" s="8" t="str">
        <f t="shared" si="50"/>
        <v>Wood</v>
      </c>
      <c r="CH277" s="8" t="b">
        <f t="shared" si="51"/>
        <v>1</v>
      </c>
      <c r="CI277" s="8" t="b">
        <f>C277='Gov Fd Rv'!C277</f>
        <v>1</v>
      </c>
    </row>
    <row r="278" spans="1:87">
      <c r="A278" s="12" t="s">
        <v>541</v>
      </c>
      <c r="B278" s="12"/>
      <c r="C278" s="12" t="s">
        <v>64</v>
      </c>
      <c r="D278" s="12"/>
      <c r="E278" s="12">
        <v>50187</v>
      </c>
      <c r="G278" s="7">
        <v>7090455</v>
      </c>
      <c r="I278" s="7">
        <v>3386150</v>
      </c>
      <c r="K278" s="7">
        <v>0</v>
      </c>
      <c r="M278" s="7">
        <v>0</v>
      </c>
      <c r="O278" s="7">
        <v>0</v>
      </c>
      <c r="Q278" s="7">
        <v>865389</v>
      </c>
      <c r="S278" s="7">
        <v>840780</v>
      </c>
      <c r="U278" s="7">
        <v>14281</v>
      </c>
      <c r="W278" s="7">
        <v>1156270</v>
      </c>
      <c r="Y278" s="7">
        <v>453524</v>
      </c>
      <c r="AA278" s="7">
        <v>0</v>
      </c>
      <c r="AC278" s="7">
        <v>1570780</v>
      </c>
      <c r="AE278" s="7">
        <v>841336</v>
      </c>
      <c r="AG278" s="7">
        <v>0</v>
      </c>
      <c r="AI278" s="7">
        <v>520610</v>
      </c>
      <c r="AK278" s="7">
        <v>11726</v>
      </c>
      <c r="AL278" s="12" t="s">
        <v>541</v>
      </c>
      <c r="AM278" s="12"/>
      <c r="AN278" s="12" t="s">
        <v>64</v>
      </c>
      <c r="AP278" s="7">
        <v>461993</v>
      </c>
      <c r="AR278" s="7">
        <v>4764</v>
      </c>
      <c r="AT278" s="7">
        <v>0</v>
      </c>
      <c r="AV278" s="7">
        <v>321920</v>
      </c>
      <c r="AX278" s="7">
        <f>237862+251647</f>
        <v>489509</v>
      </c>
      <c r="AZ278" s="7">
        <v>0</v>
      </c>
      <c r="BB278" s="8">
        <f t="shared" si="44"/>
        <v>18029487</v>
      </c>
      <c r="BD278" s="7">
        <v>80</v>
      </c>
      <c r="BF278" s="7">
        <v>0</v>
      </c>
      <c r="BH278" s="7">
        <v>0</v>
      </c>
      <c r="BJ278" s="7">
        <v>0</v>
      </c>
      <c r="BL278" s="8">
        <f t="shared" si="45"/>
        <v>18029567</v>
      </c>
      <c r="BN278" s="8">
        <f>'Gov Fd Rv'!AQ278-'Gov Fnd Exp'!BL278</f>
        <v>-606724</v>
      </c>
      <c r="BP278" s="7">
        <v>1091631</v>
      </c>
      <c r="BR278" s="7">
        <v>0</v>
      </c>
      <c r="BT278" s="7">
        <v>0</v>
      </c>
      <c r="BV278" s="8">
        <f t="shared" si="46"/>
        <v>484907</v>
      </c>
      <c r="BW278" s="8"/>
      <c r="BX278" s="8">
        <f>BV278-'Gov Fd BS'!AE278</f>
        <v>0</v>
      </c>
      <c r="BY278" s="8"/>
      <c r="CB278" s="101" t="str">
        <f t="shared" si="52"/>
        <v>Lakeview Local SD</v>
      </c>
      <c r="CC278" s="101" t="b">
        <f t="shared" si="49"/>
        <v>1</v>
      </c>
      <c r="CD278" s="101" t="str">
        <f>'Gov Fd Rv'!A278</f>
        <v>Lakeview Local SD</v>
      </c>
      <c r="CE278" s="8" t="b">
        <f t="shared" si="48"/>
        <v>1</v>
      </c>
      <c r="CG278" s="8" t="str">
        <f t="shared" si="50"/>
        <v>Trumbull</v>
      </c>
      <c r="CH278" s="8" t="b">
        <f t="shared" si="51"/>
        <v>1</v>
      </c>
      <c r="CI278" s="8" t="b">
        <f>C278='Gov Fd Rv'!C278</f>
        <v>1</v>
      </c>
    </row>
    <row r="279" spans="1:87">
      <c r="A279" s="12" t="s">
        <v>276</v>
      </c>
      <c r="B279" s="12"/>
      <c r="C279" s="12" t="s">
        <v>20</v>
      </c>
      <c r="D279" s="12"/>
      <c r="E279" s="12">
        <v>44198</v>
      </c>
      <c r="G279" s="7">
        <v>26407626</v>
      </c>
      <c r="I279" s="7">
        <v>13620777</v>
      </c>
      <c r="K279" s="7">
        <v>2730030</v>
      </c>
      <c r="M279" s="7">
        <v>290974</v>
      </c>
      <c r="O279" s="7">
        <v>3448175</v>
      </c>
      <c r="Q279" s="7">
        <v>4670010</v>
      </c>
      <c r="S279" s="7">
        <v>4461225</v>
      </c>
      <c r="U279" s="7">
        <v>94785</v>
      </c>
      <c r="W279" s="7">
        <v>3348706</v>
      </c>
      <c r="Y279" s="7">
        <v>1709368</v>
      </c>
      <c r="AA279" s="7">
        <v>932547</v>
      </c>
      <c r="AC279" s="7">
        <v>7795014</v>
      </c>
      <c r="AE279" s="7">
        <v>79474</v>
      </c>
      <c r="AG279" s="7">
        <v>447377</v>
      </c>
      <c r="AI279" s="7">
        <v>0</v>
      </c>
      <c r="AK279" s="7">
        <v>2569110</v>
      </c>
      <c r="AL279" s="12" t="s">
        <v>276</v>
      </c>
      <c r="AM279" s="12"/>
      <c r="AN279" s="12" t="s">
        <v>20</v>
      </c>
      <c r="AP279" s="7">
        <v>1229432</v>
      </c>
      <c r="AR279" s="7">
        <f>468063+1191929</f>
        <v>1659992</v>
      </c>
      <c r="AT279" s="7">
        <v>0</v>
      </c>
      <c r="AV279" s="7">
        <v>4083738</v>
      </c>
      <c r="AX279" s="7">
        <v>5405658</v>
      </c>
      <c r="AZ279" s="7">
        <v>0</v>
      </c>
      <c r="BB279" s="8">
        <f t="shared" si="44"/>
        <v>84984018</v>
      </c>
      <c r="BD279" s="7">
        <v>20000</v>
      </c>
      <c r="BF279" s="7">
        <v>0</v>
      </c>
      <c r="BH279" s="7">
        <v>0</v>
      </c>
      <c r="BJ279" s="7">
        <v>0</v>
      </c>
      <c r="BL279" s="8">
        <f t="shared" si="45"/>
        <v>85004018</v>
      </c>
      <c r="BN279" s="8">
        <f>'Gov Fd Rv'!AQ279-'Gov Fnd Exp'!BL279</f>
        <v>2928859</v>
      </c>
      <c r="BP279" s="7">
        <v>19292560</v>
      </c>
      <c r="BR279" s="7">
        <v>0</v>
      </c>
      <c r="BT279" s="7">
        <v>0</v>
      </c>
      <c r="BV279" s="8">
        <f t="shared" si="46"/>
        <v>22221419</v>
      </c>
      <c r="BW279" s="8"/>
      <c r="BX279" s="8">
        <f>BV279-'Gov Fd BS'!AE279</f>
        <v>0</v>
      </c>
      <c r="BY279" s="8"/>
      <c r="BZ279" s="7" t="s">
        <v>914</v>
      </c>
      <c r="CB279" s="101" t="str">
        <f t="shared" si="52"/>
        <v>Lakewood City SD</v>
      </c>
      <c r="CC279" s="101" t="b">
        <f t="shared" si="49"/>
        <v>1</v>
      </c>
      <c r="CD279" s="101" t="str">
        <f>'Gov Fd Rv'!A279</f>
        <v>Lakewood City SD</v>
      </c>
      <c r="CE279" s="8" t="b">
        <f t="shared" si="48"/>
        <v>1</v>
      </c>
      <c r="CG279" s="8" t="str">
        <f t="shared" si="50"/>
        <v>Cuyahoga</v>
      </c>
      <c r="CH279" s="8" t="b">
        <f t="shared" si="51"/>
        <v>1</v>
      </c>
      <c r="CI279" s="8" t="b">
        <f>C279='Gov Fd Rv'!C279</f>
        <v>1</v>
      </c>
    </row>
    <row r="280" spans="1:87">
      <c r="A280" s="12" t="s">
        <v>657</v>
      </c>
      <c r="B280" s="12"/>
      <c r="C280" s="12" t="s">
        <v>42</v>
      </c>
      <c r="D280" s="12"/>
      <c r="E280" s="12">
        <v>47993</v>
      </c>
      <c r="G280" s="7">
        <v>12814543</v>
      </c>
      <c r="I280" s="7">
        <v>0</v>
      </c>
      <c r="K280" s="7">
        <v>0</v>
      </c>
      <c r="M280" s="7">
        <v>0</v>
      </c>
      <c r="O280" s="7">
        <v>0</v>
      </c>
      <c r="Q280" s="7">
        <v>1245592</v>
      </c>
      <c r="S280" s="7">
        <v>314412</v>
      </c>
      <c r="U280" s="7">
        <v>54198</v>
      </c>
      <c r="W280" s="7">
        <v>1828106</v>
      </c>
      <c r="Y280" s="7">
        <v>600730</v>
      </c>
      <c r="AA280" s="7">
        <v>19723</v>
      </c>
      <c r="AC280" s="7">
        <v>1534442</v>
      </c>
      <c r="AE280" s="7">
        <v>1419379</v>
      </c>
      <c r="AG280" s="7">
        <v>292924</v>
      </c>
      <c r="AI280" s="7">
        <v>0</v>
      </c>
      <c r="AK280" s="7">
        <v>5051</v>
      </c>
      <c r="AL280" s="12" t="s">
        <v>657</v>
      </c>
      <c r="AM280" s="12"/>
      <c r="AN280" s="12" t="s">
        <v>42</v>
      </c>
      <c r="AP280" s="7">
        <v>399254</v>
      </c>
      <c r="AR280" s="7">
        <v>0</v>
      </c>
      <c r="AT280" s="7">
        <v>0</v>
      </c>
      <c r="AV280" s="7">
        <v>736789</v>
      </c>
      <c r="AX280" s="7">
        <v>495886</v>
      </c>
      <c r="AZ280" s="7">
        <v>0</v>
      </c>
      <c r="BB280" s="8">
        <f t="shared" si="44"/>
        <v>21761029</v>
      </c>
      <c r="BD280" s="7">
        <v>0</v>
      </c>
      <c r="BF280" s="7">
        <v>0</v>
      </c>
      <c r="BH280" s="7">
        <v>0</v>
      </c>
      <c r="BJ280" s="7">
        <v>0</v>
      </c>
      <c r="BL280" s="8">
        <f t="shared" si="45"/>
        <v>21761029</v>
      </c>
      <c r="BN280" s="8">
        <f>'Gov Fd Rv'!AQ280-'Gov Fnd Exp'!BL280</f>
        <v>298497</v>
      </c>
      <c r="BP280" s="7">
        <v>5389283</v>
      </c>
      <c r="BR280" s="7">
        <v>-12091</v>
      </c>
      <c r="BT280" s="7">
        <v>0</v>
      </c>
      <c r="BV280" s="8">
        <f t="shared" si="46"/>
        <v>5675689</v>
      </c>
      <c r="BW280" s="8"/>
      <c r="BX280" s="8">
        <f>BV280-'Gov Fd BS'!AE280</f>
        <v>0</v>
      </c>
      <c r="BY280" s="8"/>
      <c r="CB280" s="101" t="str">
        <f t="shared" si="52"/>
        <v>Lakewood Local  SD</v>
      </c>
      <c r="CC280" s="101" t="b">
        <f t="shared" si="49"/>
        <v>1</v>
      </c>
      <c r="CD280" s="101" t="str">
        <f>'Gov Fd Rv'!A280</f>
        <v>Lakewood Local  SD</v>
      </c>
      <c r="CE280" s="8" t="b">
        <f t="shared" si="48"/>
        <v>1</v>
      </c>
      <c r="CG280" s="8" t="str">
        <f t="shared" si="50"/>
        <v>Licking</v>
      </c>
      <c r="CH280" s="8" t="b">
        <f t="shared" si="51"/>
        <v>1</v>
      </c>
      <c r="CI280" s="8" t="b">
        <f>C280='Gov Fd Rv'!C280</f>
        <v>1</v>
      </c>
    </row>
    <row r="281" spans="1:87">
      <c r="A281" s="12" t="s">
        <v>226</v>
      </c>
      <c r="B281" s="12"/>
      <c r="C281" s="12" t="s">
        <v>223</v>
      </c>
      <c r="D281" s="12"/>
      <c r="E281" s="12">
        <v>46110</v>
      </c>
      <c r="G281" s="7">
        <v>73724468</v>
      </c>
      <c r="I281" s="7">
        <v>15108862</v>
      </c>
      <c r="K281" s="7">
        <v>258</v>
      </c>
      <c r="M281" s="7">
        <v>0</v>
      </c>
      <c r="O281" s="7">
        <v>5083411</v>
      </c>
      <c r="Q281" s="7">
        <v>12781903</v>
      </c>
      <c r="S281" s="7">
        <v>10608861</v>
      </c>
      <c r="U281" s="7">
        <v>93099</v>
      </c>
      <c r="W281" s="7">
        <v>12593415</v>
      </c>
      <c r="Y281" s="7">
        <v>1354628</v>
      </c>
      <c r="AA281" s="7">
        <v>329850</v>
      </c>
      <c r="AC281" s="7">
        <v>13054256</v>
      </c>
      <c r="AE281" s="7">
        <v>14393792</v>
      </c>
      <c r="AG281" s="7">
        <v>3219005</v>
      </c>
      <c r="AI281" s="7">
        <v>0</v>
      </c>
      <c r="AK281" s="7">
        <v>6192026</v>
      </c>
      <c r="AL281" s="12" t="s">
        <v>226</v>
      </c>
      <c r="AM281" s="12"/>
      <c r="AN281" s="12" t="s">
        <v>223</v>
      </c>
      <c r="AP281" s="7">
        <v>2778846</v>
      </c>
      <c r="AR281" s="7">
        <v>7579315</v>
      </c>
      <c r="AT281" s="7">
        <v>0</v>
      </c>
      <c r="AV281" s="7">
        <v>5305024</v>
      </c>
      <c r="AX281" s="7">
        <v>8127454</v>
      </c>
      <c r="AZ281" s="7">
        <v>0</v>
      </c>
      <c r="BB281" s="8">
        <f t="shared" si="44"/>
        <v>192328473</v>
      </c>
      <c r="BD281" s="7">
        <v>1500000</v>
      </c>
      <c r="BF281" s="7">
        <v>0</v>
      </c>
      <c r="BH281" s="7">
        <v>0</v>
      </c>
      <c r="BJ281" s="7">
        <v>0</v>
      </c>
      <c r="BL281" s="8">
        <f t="shared" si="45"/>
        <v>193828473</v>
      </c>
      <c r="BN281" s="8">
        <f>'Gov Fd Rv'!AQ281-'Gov Fnd Exp'!BL281</f>
        <v>-17268132</v>
      </c>
      <c r="BP281" s="7">
        <v>40291524</v>
      </c>
      <c r="BR281" s="7">
        <v>0</v>
      </c>
      <c r="BT281" s="7">
        <v>0</v>
      </c>
      <c r="BV281" s="8">
        <f t="shared" si="46"/>
        <v>23023392</v>
      </c>
      <c r="BW281" s="8"/>
      <c r="BX281" s="8">
        <f>BV281-'Gov Fd BS'!AE281</f>
        <v>0</v>
      </c>
      <c r="BY281" s="8"/>
      <c r="CB281" s="101" t="str">
        <f t="shared" si="52"/>
        <v>Lakota Local SD</v>
      </c>
      <c r="CC281" s="101" t="b">
        <f t="shared" si="49"/>
        <v>1</v>
      </c>
      <c r="CD281" s="101" t="str">
        <f>'Gov Fd Rv'!A281</f>
        <v>Lakota Local SD</v>
      </c>
      <c r="CE281" s="8" t="b">
        <f t="shared" si="48"/>
        <v>1</v>
      </c>
      <c r="CG281" s="8" t="str">
        <f t="shared" si="50"/>
        <v>Butler</v>
      </c>
      <c r="CH281" s="8" t="b">
        <f t="shared" si="51"/>
        <v>1</v>
      </c>
      <c r="CI281" s="8" t="b">
        <f>C281='Gov Fd Rv'!C281</f>
        <v>1</v>
      </c>
    </row>
    <row r="282" spans="1:87" hidden="1">
      <c r="A282" s="12" t="s">
        <v>915</v>
      </c>
      <c r="B282" s="12"/>
      <c r="C282" s="12" t="s">
        <v>79</v>
      </c>
      <c r="D282" s="12"/>
      <c r="E282" s="12">
        <v>49569</v>
      </c>
      <c r="AL282" s="12" t="s">
        <v>915</v>
      </c>
      <c r="AM282" s="12"/>
      <c r="AN282" s="12" t="s">
        <v>79</v>
      </c>
      <c r="AT282" s="7">
        <v>0</v>
      </c>
      <c r="BB282" s="8">
        <f t="shared" si="44"/>
        <v>0</v>
      </c>
      <c r="BF282" s="7">
        <v>0</v>
      </c>
      <c r="BH282" s="7">
        <v>0</v>
      </c>
      <c r="BJ282" s="7">
        <v>0</v>
      </c>
      <c r="BL282" s="8">
        <f t="shared" si="45"/>
        <v>0</v>
      </c>
      <c r="BN282" s="8">
        <f>'Gov Fd Rv'!AQ282-'Gov Fnd Exp'!BL282</f>
        <v>0</v>
      </c>
      <c r="BT282" s="7">
        <v>0</v>
      </c>
      <c r="BV282" s="8">
        <f t="shared" si="46"/>
        <v>0</v>
      </c>
      <c r="BW282" s="8"/>
      <c r="BX282" s="8">
        <f>BV282-'Gov Fd BS'!AE282</f>
        <v>0</v>
      </c>
      <c r="BY282" s="8"/>
      <c r="BZ282" s="7" t="s">
        <v>903</v>
      </c>
      <c r="CB282" s="101" t="str">
        <f t="shared" si="52"/>
        <v>Lakota Local SD (CASH)</v>
      </c>
      <c r="CC282" s="101" t="b">
        <f t="shared" si="49"/>
        <v>1</v>
      </c>
      <c r="CD282" s="101" t="str">
        <f>'Gov Fd Rv'!A282</f>
        <v>Lakota Local SD (CASH)</v>
      </c>
      <c r="CE282" s="8" t="b">
        <f t="shared" si="48"/>
        <v>1</v>
      </c>
      <c r="CG282" s="8" t="str">
        <f t="shared" si="50"/>
        <v>Sandusky</v>
      </c>
      <c r="CH282" s="8" t="b">
        <f t="shared" si="51"/>
        <v>1</v>
      </c>
      <c r="CI282" s="8" t="b">
        <f>C282='Gov Fd Rv'!C282</f>
        <v>1</v>
      </c>
    </row>
    <row r="283" spans="1:87">
      <c r="A283" s="12" t="s">
        <v>301</v>
      </c>
      <c r="B283" s="12"/>
      <c r="C283" s="12" t="s">
        <v>25</v>
      </c>
      <c r="D283" s="12"/>
      <c r="E283" s="12">
        <v>44206</v>
      </c>
      <c r="G283" s="7">
        <v>25053553</v>
      </c>
      <c r="I283" s="7">
        <v>6727679</v>
      </c>
      <c r="K283" s="7">
        <v>2017770</v>
      </c>
      <c r="M283" s="7">
        <v>0</v>
      </c>
      <c r="O283" s="7">
        <v>385243</v>
      </c>
      <c r="Q283" s="7">
        <v>3775301</v>
      </c>
      <c r="S283" s="7">
        <v>4475848</v>
      </c>
      <c r="U283" s="7">
        <v>138662</v>
      </c>
      <c r="W283" s="7">
        <v>3961818</v>
      </c>
      <c r="Y283" s="7">
        <v>1220695</v>
      </c>
      <c r="AA283" s="7">
        <v>297106</v>
      </c>
      <c r="AC283" s="7">
        <v>4656043</v>
      </c>
      <c r="AE283" s="7">
        <v>1809713</v>
      </c>
      <c r="AG283" s="7">
        <v>1044765</v>
      </c>
      <c r="AI283" s="7">
        <v>2392623</v>
      </c>
      <c r="AK283" s="7">
        <v>1105593</v>
      </c>
      <c r="AL283" s="12" t="s">
        <v>301</v>
      </c>
      <c r="AM283" s="12"/>
      <c r="AN283" s="12" t="s">
        <v>25</v>
      </c>
      <c r="AP283" s="7">
        <v>1146649</v>
      </c>
      <c r="AR283" s="7">
        <v>500396</v>
      </c>
      <c r="AT283" s="7">
        <v>0</v>
      </c>
      <c r="AV283" s="7">
        <v>136219</v>
      </c>
      <c r="AX283" s="7">
        <v>48045</v>
      </c>
      <c r="AZ283" s="7">
        <v>0</v>
      </c>
      <c r="BB283" s="8">
        <f t="shared" si="44"/>
        <v>60893721</v>
      </c>
      <c r="BD283" s="7">
        <v>14427</v>
      </c>
      <c r="BF283" s="7">
        <v>0</v>
      </c>
      <c r="BH283" s="7">
        <v>0</v>
      </c>
      <c r="BJ283" s="7">
        <v>0</v>
      </c>
      <c r="BL283" s="8">
        <f t="shared" si="45"/>
        <v>60908148</v>
      </c>
      <c r="BN283" s="8">
        <f>'Gov Fd Rv'!AQ283-'Gov Fnd Exp'!BL283</f>
        <v>6030100</v>
      </c>
      <c r="BP283" s="7">
        <v>28618444</v>
      </c>
      <c r="BR283" s="7">
        <v>0</v>
      </c>
      <c r="BT283" s="7">
        <v>0</v>
      </c>
      <c r="BV283" s="8">
        <f t="shared" si="46"/>
        <v>34648544</v>
      </c>
      <c r="BW283" s="8"/>
      <c r="BX283" s="8">
        <f>BV283-'Gov Fd BS'!AE283</f>
        <v>0</v>
      </c>
      <c r="BY283" s="8"/>
      <c r="CB283" s="101" t="str">
        <f t="shared" si="52"/>
        <v>Lancaster City SD</v>
      </c>
      <c r="CC283" s="101" t="b">
        <f t="shared" si="49"/>
        <v>1</v>
      </c>
      <c r="CD283" s="101" t="str">
        <f>'Gov Fd Rv'!A283</f>
        <v>Lancaster City SD</v>
      </c>
      <c r="CE283" s="8" t="b">
        <f t="shared" si="48"/>
        <v>1</v>
      </c>
      <c r="CG283" s="8" t="str">
        <f t="shared" si="50"/>
        <v>Fairfield</v>
      </c>
      <c r="CH283" s="8" t="b">
        <f t="shared" si="51"/>
        <v>1</v>
      </c>
      <c r="CI283" s="8" t="b">
        <f>C283='Gov Fd Rv'!C283</f>
        <v>1</v>
      </c>
    </row>
    <row r="284" spans="1:87" hidden="1">
      <c r="A284" s="12" t="s">
        <v>771</v>
      </c>
      <c r="B284" s="12"/>
      <c r="C284" s="12" t="s">
        <v>69</v>
      </c>
      <c r="D284" s="12"/>
      <c r="E284" s="12">
        <v>44214</v>
      </c>
      <c r="AL284" s="12" t="s">
        <v>771</v>
      </c>
      <c r="AM284" s="12"/>
      <c r="AN284" s="12" t="s">
        <v>69</v>
      </c>
      <c r="AT284" s="7">
        <v>0</v>
      </c>
      <c r="BB284" s="8">
        <f t="shared" si="44"/>
        <v>0</v>
      </c>
      <c r="BF284" s="7">
        <v>0</v>
      </c>
      <c r="BH284" s="7">
        <v>0</v>
      </c>
      <c r="BJ284" s="7">
        <v>0</v>
      </c>
      <c r="BL284" s="8">
        <f t="shared" si="45"/>
        <v>0</v>
      </c>
      <c r="BN284" s="8">
        <f>'Gov Fd Rv'!AQ284-'Gov Fnd Exp'!BL284</f>
        <v>0</v>
      </c>
      <c r="BT284" s="7">
        <v>0</v>
      </c>
      <c r="BV284" s="8">
        <f t="shared" si="46"/>
        <v>0</v>
      </c>
      <c r="BW284" s="8"/>
      <c r="BX284" s="8">
        <f>BV284-'Gov Fd BS'!AE284</f>
        <v>0</v>
      </c>
      <c r="BY284" s="8"/>
      <c r="BZ284" s="7" t="s">
        <v>839</v>
      </c>
      <c r="CB284" s="101" t="str">
        <f t="shared" si="52"/>
        <v xml:space="preserve">Lebanon City SD (CASH) </v>
      </c>
      <c r="CC284" s="101" t="b">
        <f t="shared" si="49"/>
        <v>1</v>
      </c>
      <c r="CD284" s="101" t="str">
        <f>'Gov Fd Rv'!A284</f>
        <v xml:space="preserve">Lebanon City SD (CASH) </v>
      </c>
      <c r="CE284" s="8" t="b">
        <f t="shared" si="48"/>
        <v>1</v>
      </c>
      <c r="CG284" s="8" t="str">
        <f t="shared" si="50"/>
        <v>Warren</v>
      </c>
      <c r="CH284" s="8" t="b">
        <f t="shared" si="51"/>
        <v>1</v>
      </c>
      <c r="CI284" s="8" t="b">
        <f>C284='Gov Fd Rv'!C284</f>
        <v>1</v>
      </c>
    </row>
    <row r="285" spans="1:87">
      <c r="A285" s="12" t="s">
        <v>322</v>
      </c>
      <c r="B285" s="12"/>
      <c r="C285" s="12" t="s">
        <v>30</v>
      </c>
      <c r="D285" s="12"/>
      <c r="E285" s="12">
        <v>47209</v>
      </c>
      <c r="G285" s="7">
        <v>2404479</v>
      </c>
      <c r="I285" s="7">
        <v>942420</v>
      </c>
      <c r="K285" s="7">
        <v>103995</v>
      </c>
      <c r="M285" s="7">
        <v>0</v>
      </c>
      <c r="O285" s="7">
        <v>643893</v>
      </c>
      <c r="Q285" s="7">
        <v>170262</v>
      </c>
      <c r="S285" s="7">
        <v>92765</v>
      </c>
      <c r="U285" s="7">
        <v>34332</v>
      </c>
      <c r="W285" s="7">
        <v>582642</v>
      </c>
      <c r="Y285" s="7">
        <v>228649</v>
      </c>
      <c r="AA285" s="7">
        <v>0</v>
      </c>
      <c r="AC285" s="7">
        <v>738939</v>
      </c>
      <c r="AE285" s="7">
        <v>519439</v>
      </c>
      <c r="AG285" s="7">
        <v>18347</v>
      </c>
      <c r="AI285" s="7">
        <v>166408</v>
      </c>
      <c r="AK285" s="7">
        <v>4044</v>
      </c>
      <c r="AL285" s="12" t="s">
        <v>322</v>
      </c>
      <c r="AM285" s="12"/>
      <c r="AN285" s="12" t="s">
        <v>30</v>
      </c>
      <c r="AP285" s="7">
        <v>119142</v>
      </c>
      <c r="AR285" s="7">
        <v>207364</v>
      </c>
      <c r="AT285" s="7">
        <v>0</v>
      </c>
      <c r="AV285" s="7">
        <v>0</v>
      </c>
      <c r="AX285" s="7">
        <v>7069</v>
      </c>
      <c r="AZ285" s="7">
        <v>0</v>
      </c>
      <c r="BB285" s="8">
        <f t="shared" si="44"/>
        <v>6984189</v>
      </c>
      <c r="BD285" s="7">
        <v>1350</v>
      </c>
      <c r="BF285" s="7">
        <v>0</v>
      </c>
      <c r="BH285" s="7">
        <v>0</v>
      </c>
      <c r="BJ285" s="7">
        <v>0</v>
      </c>
      <c r="BL285" s="8">
        <f t="shared" si="45"/>
        <v>6985539</v>
      </c>
      <c r="BN285" s="8">
        <f>'Gov Fd Rv'!AQ285-'Gov Fnd Exp'!BL285</f>
        <v>-1118566</v>
      </c>
      <c r="BP285" s="7">
        <v>-617636</v>
      </c>
      <c r="BR285" s="7">
        <v>0</v>
      </c>
      <c r="BT285" s="7">
        <v>0</v>
      </c>
      <c r="BV285" s="8">
        <f t="shared" si="46"/>
        <v>-1736202</v>
      </c>
      <c r="BW285" s="8"/>
      <c r="BX285" s="8">
        <f>BV285-'Gov Fd BS'!AE285</f>
        <v>0</v>
      </c>
      <c r="BY285" s="8"/>
      <c r="BZ285" s="8"/>
      <c r="CB285" s="101" t="str">
        <f t="shared" si="52"/>
        <v>Ledgemont Local SD</v>
      </c>
      <c r="CC285" s="101" t="b">
        <f t="shared" si="49"/>
        <v>1</v>
      </c>
      <c r="CD285" s="101" t="str">
        <f>'Gov Fd Rv'!A285</f>
        <v>Ledgemont Local SD</v>
      </c>
      <c r="CE285" s="8" t="b">
        <f t="shared" si="48"/>
        <v>1</v>
      </c>
      <c r="CG285" s="8" t="str">
        <f t="shared" si="50"/>
        <v>Geauga</v>
      </c>
      <c r="CH285" s="8" t="b">
        <f t="shared" si="51"/>
        <v>1</v>
      </c>
      <c r="CI285" s="8" t="b">
        <f>C285='Gov Fd Rv'!C285</f>
        <v>1</v>
      </c>
    </row>
    <row r="286" spans="1:87" hidden="1">
      <c r="A286" s="12" t="s">
        <v>872</v>
      </c>
      <c r="B286" s="12"/>
      <c r="C286" s="12" t="s">
        <v>112</v>
      </c>
      <c r="D286" s="12"/>
      <c r="E286" s="12"/>
      <c r="AL286" s="12" t="s">
        <v>872</v>
      </c>
      <c r="AM286" s="12"/>
      <c r="AN286" s="12" t="s">
        <v>112</v>
      </c>
      <c r="AT286" s="7">
        <v>0</v>
      </c>
      <c r="BB286" s="8"/>
      <c r="BF286" s="7">
        <v>0</v>
      </c>
      <c r="BH286" s="7">
        <v>0</v>
      </c>
      <c r="BJ286" s="7">
        <v>0</v>
      </c>
      <c r="BL286" s="8"/>
      <c r="BN286" s="8"/>
      <c r="BT286" s="7">
        <v>0</v>
      </c>
      <c r="BV286" s="8"/>
      <c r="BW286" s="8"/>
      <c r="BX286" s="8"/>
      <c r="BY286" s="8"/>
      <c r="BZ286" s="7" t="s">
        <v>917</v>
      </c>
      <c r="CB286" s="101" t="str">
        <f t="shared" ref="CB286" si="53">A286</f>
        <v>Leetonia Exempted Village SD (CASH)</v>
      </c>
      <c r="CC286" s="101" t="b">
        <f t="shared" si="49"/>
        <v>1</v>
      </c>
      <c r="CD286" s="101" t="str">
        <f>'Gov Fd Rv'!A286</f>
        <v>Leetonia Exempted Village SD (CASH)</v>
      </c>
      <c r="CE286" s="8" t="b">
        <f t="shared" si="48"/>
        <v>1</v>
      </c>
      <c r="CG286" s="8" t="str">
        <f t="shared" si="50"/>
        <v>Columbiana</v>
      </c>
      <c r="CH286" s="8" t="b">
        <f t="shared" si="51"/>
        <v>1</v>
      </c>
      <c r="CI286" s="8" t="b">
        <f>C286='Gov Fd Rv'!C286</f>
        <v>1</v>
      </c>
    </row>
    <row r="287" spans="1:87" hidden="1">
      <c r="A287" s="12" t="s">
        <v>717</v>
      </c>
      <c r="B287" s="12"/>
      <c r="C287" s="12" t="s">
        <v>482</v>
      </c>
      <c r="D287" s="12"/>
      <c r="E287" s="12">
        <v>49353</v>
      </c>
      <c r="AL287" s="12" t="s">
        <v>717</v>
      </c>
      <c r="AM287" s="12"/>
      <c r="AN287" s="12" t="s">
        <v>482</v>
      </c>
      <c r="AT287" s="7">
        <v>0</v>
      </c>
      <c r="BB287" s="8">
        <f t="shared" ref="BB287:BB356" si="54">SUM(G287:AZ287)</f>
        <v>0</v>
      </c>
      <c r="BF287" s="7">
        <v>0</v>
      </c>
      <c r="BH287" s="7">
        <v>0</v>
      </c>
      <c r="BJ287" s="7">
        <v>0</v>
      </c>
      <c r="BL287" s="8">
        <f t="shared" ref="BL287:BL356" si="55">BB287+BD287+BJ287</f>
        <v>0</v>
      </c>
      <c r="BN287" s="8">
        <f>'Gov Fd Rv'!AQ287-'Gov Fnd Exp'!BL287</f>
        <v>0</v>
      </c>
      <c r="BT287" s="7">
        <v>0</v>
      </c>
      <c r="BV287" s="8">
        <f t="shared" si="46"/>
        <v>0</v>
      </c>
      <c r="BW287" s="8"/>
      <c r="BX287" s="8">
        <f>BV287-'Gov Fd BS'!AE287</f>
        <v>0</v>
      </c>
      <c r="BY287" s="8"/>
      <c r="BZ287" s="7" t="s">
        <v>839</v>
      </c>
      <c r="CB287" s="101" t="str">
        <f t="shared" si="52"/>
        <v>Leipsic Local SD (CASH)</v>
      </c>
      <c r="CC287" s="101" t="b">
        <f t="shared" si="49"/>
        <v>1</v>
      </c>
      <c r="CD287" s="101" t="str">
        <f>'Gov Fd Rv'!A287</f>
        <v>Leipsic Local SD (CASH)</v>
      </c>
      <c r="CE287" s="8" t="b">
        <f t="shared" si="48"/>
        <v>1</v>
      </c>
      <c r="CG287" s="8" t="str">
        <f t="shared" si="50"/>
        <v>Putnam</v>
      </c>
      <c r="CH287" s="8" t="b">
        <f t="shared" si="51"/>
        <v>1</v>
      </c>
      <c r="CI287" s="8" t="b">
        <f>C287='Gov Fd Rv'!C287</f>
        <v>1</v>
      </c>
    </row>
    <row r="288" spans="1:87" hidden="1">
      <c r="A288" s="12" t="s">
        <v>918</v>
      </c>
      <c r="B288" s="12"/>
      <c r="C288" s="12" t="s">
        <v>110</v>
      </c>
      <c r="D288" s="12"/>
      <c r="E288" s="12">
        <v>49437</v>
      </c>
      <c r="AL288" s="12" t="s">
        <v>918</v>
      </c>
      <c r="AM288" s="12"/>
      <c r="AN288" s="12" t="s">
        <v>110</v>
      </c>
      <c r="AT288" s="7">
        <v>0</v>
      </c>
      <c r="BB288" s="8">
        <f t="shared" si="54"/>
        <v>0</v>
      </c>
      <c r="BF288" s="7">
        <v>0</v>
      </c>
      <c r="BH288" s="7">
        <v>0</v>
      </c>
      <c r="BJ288" s="7">
        <v>0</v>
      </c>
      <c r="BL288" s="8">
        <f t="shared" si="55"/>
        <v>0</v>
      </c>
      <c r="BN288" s="8">
        <f>'Gov Fd Rv'!AQ288-'Gov Fnd Exp'!BL288</f>
        <v>0</v>
      </c>
      <c r="BT288" s="7">
        <v>0</v>
      </c>
      <c r="BV288" s="8">
        <f t="shared" si="46"/>
        <v>0</v>
      </c>
      <c r="BW288" s="8"/>
      <c r="BX288" s="8">
        <f>BV288-'Gov Fd BS'!AE288</f>
        <v>0</v>
      </c>
      <c r="BY288" s="8"/>
      <c r="BZ288" s="7" t="s">
        <v>912</v>
      </c>
      <c r="CB288" s="101" t="str">
        <f t="shared" si="52"/>
        <v>Lexington Local SD (CASH)</v>
      </c>
      <c r="CC288" s="101" t="b">
        <f t="shared" si="49"/>
        <v>1</v>
      </c>
      <c r="CD288" s="101" t="str">
        <f>'Gov Fd Rv'!A288</f>
        <v>Lexington Local SD (CASH)</v>
      </c>
      <c r="CE288" s="8" t="b">
        <f t="shared" si="48"/>
        <v>1</v>
      </c>
      <c r="CG288" s="8" t="str">
        <f t="shared" si="50"/>
        <v>Richland</v>
      </c>
      <c r="CH288" s="8" t="b">
        <f t="shared" si="51"/>
        <v>1</v>
      </c>
      <c r="CI288" s="8" t="b">
        <f>C288='Gov Fd Rv'!C288</f>
        <v>1</v>
      </c>
    </row>
    <row r="289" spans="1:87">
      <c r="A289" s="12" t="s">
        <v>920</v>
      </c>
      <c r="B289" s="12"/>
      <c r="C289" s="12" t="s">
        <v>33</v>
      </c>
      <c r="D289" s="12"/>
      <c r="E289" s="12">
        <v>47449</v>
      </c>
      <c r="G289" s="7">
        <v>5784941</v>
      </c>
      <c r="I289" s="7">
        <v>1220557</v>
      </c>
      <c r="K289" s="7">
        <v>364583</v>
      </c>
      <c r="M289" s="7">
        <v>0</v>
      </c>
      <c r="O289" s="7">
        <v>0</v>
      </c>
      <c r="Q289" s="7">
        <v>1033437</v>
      </c>
      <c r="S289" s="7">
        <v>447948</v>
      </c>
      <c r="U289" s="7">
        <v>8334</v>
      </c>
      <c r="W289" s="7">
        <v>856702</v>
      </c>
      <c r="Y289" s="7">
        <v>315246</v>
      </c>
      <c r="AA289" s="7">
        <v>1931</v>
      </c>
      <c r="AC289" s="7">
        <v>1075529</v>
      </c>
      <c r="AE289" s="7">
        <v>526655</v>
      </c>
      <c r="AG289" s="7">
        <v>108240</v>
      </c>
      <c r="AI289" s="7">
        <v>0</v>
      </c>
      <c r="AK289" s="7">
        <v>488083</v>
      </c>
      <c r="AL289" s="12" t="s">
        <v>920</v>
      </c>
      <c r="AM289" s="12"/>
      <c r="AN289" s="12" t="s">
        <v>33</v>
      </c>
      <c r="AP289" s="7">
        <v>444631</v>
      </c>
      <c r="AR289" s="7">
        <v>63008</v>
      </c>
      <c r="AT289" s="7">
        <v>0</v>
      </c>
      <c r="AV289" s="7">
        <v>76591</v>
      </c>
      <c r="AX289" s="7">
        <f>59893+493409</f>
        <v>553302</v>
      </c>
      <c r="AZ289" s="7">
        <v>0</v>
      </c>
      <c r="BB289" s="8">
        <f>SUM(G289:AZ289)</f>
        <v>13369718</v>
      </c>
      <c r="BD289" s="7">
        <v>159301</v>
      </c>
      <c r="BF289" s="7">
        <v>0</v>
      </c>
      <c r="BH289" s="7">
        <v>0</v>
      </c>
      <c r="BJ289" s="7">
        <v>0</v>
      </c>
      <c r="BL289" s="8">
        <f>BB289+BD289+BJ289</f>
        <v>13529019</v>
      </c>
      <c r="BN289" s="8">
        <f>'Gov Fd Rv'!AQ289-'Gov Fnd Exp'!BL289</f>
        <v>828180</v>
      </c>
      <c r="BP289" s="7">
        <v>4790873</v>
      </c>
      <c r="BR289" s="7">
        <v>0</v>
      </c>
      <c r="BT289" s="7">
        <v>0</v>
      </c>
      <c r="BV289" s="8">
        <f>BN289+BP289+BR289+BT289</f>
        <v>5619053</v>
      </c>
      <c r="BW289" s="8"/>
      <c r="BX289" s="8">
        <f>BV289-'Gov Fd BS'!AE289</f>
        <v>0</v>
      </c>
      <c r="BY289" s="8"/>
      <c r="CB289" s="101" t="str">
        <f>A289</f>
        <v>Liberty Benton Local SD</v>
      </c>
      <c r="CC289" s="101" t="b">
        <f>A289=AL289</f>
        <v>1</v>
      </c>
      <c r="CD289" s="101" t="str">
        <f>'Gov Fd Rv'!A289</f>
        <v>Liberty Benton Local SD</v>
      </c>
      <c r="CE289" s="8" t="b">
        <f>CB289=CD289</f>
        <v>1</v>
      </c>
      <c r="CG289" s="8" t="str">
        <f>C289</f>
        <v>Hancock</v>
      </c>
      <c r="CH289" s="8" t="b">
        <f>C289=AN289</f>
        <v>1</v>
      </c>
      <c r="CI289" s="8" t="b">
        <f>C289='Gov Fd Rv'!C289</f>
        <v>1</v>
      </c>
    </row>
    <row r="290" spans="1:87">
      <c r="A290" s="12" t="s">
        <v>355</v>
      </c>
      <c r="B290" s="12"/>
      <c r="C290" s="12" t="s">
        <v>34</v>
      </c>
      <c r="D290" s="12"/>
      <c r="E290" s="12">
        <v>47589</v>
      </c>
      <c r="G290" s="7">
        <v>4427926</v>
      </c>
      <c r="I290" s="7">
        <v>2255656</v>
      </c>
      <c r="K290" s="7">
        <v>243094</v>
      </c>
      <c r="M290" s="7">
        <v>0</v>
      </c>
      <c r="O290" s="7">
        <f>63819+284087</f>
        <v>347906</v>
      </c>
      <c r="Q290" s="7">
        <v>720376</v>
      </c>
      <c r="S290" s="7">
        <v>534174</v>
      </c>
      <c r="U290" s="7">
        <v>76919</v>
      </c>
      <c r="W290" s="7">
        <v>804982</v>
      </c>
      <c r="Y290" s="7">
        <v>309917</v>
      </c>
      <c r="AA290" s="7">
        <v>0</v>
      </c>
      <c r="AC290" s="7">
        <v>757686</v>
      </c>
      <c r="AE290" s="7">
        <v>601201</v>
      </c>
      <c r="AG290" s="7">
        <v>204134</v>
      </c>
      <c r="AI290" s="7">
        <v>0</v>
      </c>
      <c r="AK290" s="7">
        <v>476919</v>
      </c>
      <c r="AL290" s="12" t="s">
        <v>355</v>
      </c>
      <c r="AM290" s="12"/>
      <c r="AN290" s="12" t="s">
        <v>34</v>
      </c>
      <c r="AP290" s="7">
        <v>525642</v>
      </c>
      <c r="AR290" s="7">
        <v>1074731</v>
      </c>
      <c r="AT290" s="7">
        <v>0</v>
      </c>
      <c r="AV290" s="7">
        <v>307418</v>
      </c>
      <c r="AX290" s="7">
        <v>60621</v>
      </c>
      <c r="AZ290" s="7">
        <v>0</v>
      </c>
      <c r="BB290" s="8">
        <f t="shared" si="54"/>
        <v>13729302</v>
      </c>
      <c r="BD290" s="7">
        <v>0</v>
      </c>
      <c r="BF290" s="7">
        <v>0</v>
      </c>
      <c r="BH290" s="7">
        <v>0</v>
      </c>
      <c r="BJ290" s="7">
        <v>0</v>
      </c>
      <c r="BL290" s="8">
        <f t="shared" si="55"/>
        <v>13729302</v>
      </c>
      <c r="BN290" s="8">
        <f>'Gov Fd Rv'!AQ290-'Gov Fnd Exp'!BL290</f>
        <v>1072792</v>
      </c>
      <c r="BP290" s="7">
        <v>4294181</v>
      </c>
      <c r="BR290" s="7">
        <v>0</v>
      </c>
      <c r="BT290" s="7">
        <v>0</v>
      </c>
      <c r="BV290" s="8">
        <f t="shared" ref="BV290:BV358" si="56">BN290+BP290+BR290+BT290</f>
        <v>5366973</v>
      </c>
      <c r="BW290" s="8"/>
      <c r="BX290" s="8">
        <f>BV290-'Gov Fd BS'!AE290</f>
        <v>0</v>
      </c>
      <c r="BY290" s="8"/>
      <c r="CB290" s="101" t="str">
        <f t="shared" si="52"/>
        <v>Liberty Center Local SD</v>
      </c>
      <c r="CC290" s="101" t="b">
        <f t="shared" si="49"/>
        <v>1</v>
      </c>
      <c r="CD290" s="101" t="str">
        <f>'Gov Fd Rv'!A290</f>
        <v>Liberty Center Local SD</v>
      </c>
      <c r="CE290" s="8" t="b">
        <f t="shared" si="48"/>
        <v>1</v>
      </c>
      <c r="CG290" s="8" t="str">
        <f t="shared" si="50"/>
        <v>Henry</v>
      </c>
      <c r="CH290" s="8" t="b">
        <f t="shared" si="51"/>
        <v>1</v>
      </c>
      <c r="CI290" s="8" t="b">
        <f>C290='Gov Fd Rv'!C290</f>
        <v>1</v>
      </c>
    </row>
    <row r="291" spans="1:87">
      <c r="A291" s="12" t="s">
        <v>542</v>
      </c>
      <c r="B291" s="12"/>
      <c r="C291" s="12" t="s">
        <v>64</v>
      </c>
      <c r="D291" s="12"/>
      <c r="E291" s="12">
        <v>50195</v>
      </c>
      <c r="G291" s="7">
        <v>9979367</v>
      </c>
      <c r="I291" s="7">
        <v>1165246</v>
      </c>
      <c r="K291" s="7">
        <v>43614</v>
      </c>
      <c r="M291" s="7">
        <v>0</v>
      </c>
      <c r="O291" s="7">
        <v>0</v>
      </c>
      <c r="Q291" s="7">
        <v>409470</v>
      </c>
      <c r="S291" s="7">
        <v>493848</v>
      </c>
      <c r="U291" s="7">
        <v>14608</v>
      </c>
      <c r="W291" s="7">
        <v>2055793</v>
      </c>
      <c r="Y291" s="7">
        <v>870541</v>
      </c>
      <c r="AA291" s="7">
        <v>4749</v>
      </c>
      <c r="AC291" s="7">
        <v>2807803</v>
      </c>
      <c r="AE291" s="7">
        <v>787904</v>
      </c>
      <c r="AG291" s="7">
        <v>40810</v>
      </c>
      <c r="AI291" s="7">
        <v>627491</v>
      </c>
      <c r="AK291" s="7">
        <v>1321</v>
      </c>
      <c r="AL291" s="12" t="s">
        <v>542</v>
      </c>
      <c r="AM291" s="12"/>
      <c r="AN291" s="12" t="s">
        <v>64</v>
      </c>
      <c r="AP291" s="7">
        <v>451714</v>
      </c>
      <c r="AR291" s="7">
        <v>0</v>
      </c>
      <c r="AT291" s="7">
        <v>0</v>
      </c>
      <c r="AV291" s="7">
        <v>665000</v>
      </c>
      <c r="AX291" s="7">
        <v>380153</v>
      </c>
      <c r="AZ291" s="7">
        <v>0</v>
      </c>
      <c r="BB291" s="8">
        <f t="shared" si="54"/>
        <v>20799432</v>
      </c>
      <c r="BD291" s="7">
        <v>41795</v>
      </c>
      <c r="BF291" s="7">
        <v>0</v>
      </c>
      <c r="BH291" s="7">
        <v>0</v>
      </c>
      <c r="BJ291" s="7">
        <v>0</v>
      </c>
      <c r="BL291" s="8">
        <f t="shared" si="55"/>
        <v>20841227</v>
      </c>
      <c r="BN291" s="8">
        <f>'Gov Fd Rv'!AQ291-'Gov Fnd Exp'!BL291</f>
        <v>129134</v>
      </c>
      <c r="BP291" s="7">
        <v>-2140518</v>
      </c>
      <c r="BR291" s="7">
        <v>-4074</v>
      </c>
      <c r="BT291" s="7">
        <v>0</v>
      </c>
      <c r="BV291" s="8">
        <f t="shared" si="56"/>
        <v>-2015458</v>
      </c>
      <c r="BW291" s="8"/>
      <c r="BX291" s="8">
        <f>BV291-'Gov Fd BS'!AE291</f>
        <v>0</v>
      </c>
      <c r="BY291" s="8"/>
      <c r="CB291" s="101" t="str">
        <f t="shared" si="52"/>
        <v>Liberty Local SD</v>
      </c>
      <c r="CC291" s="101" t="b">
        <f t="shared" si="49"/>
        <v>1</v>
      </c>
      <c r="CD291" s="101" t="str">
        <f>'Gov Fd Rv'!A291</f>
        <v>Liberty Local SD</v>
      </c>
      <c r="CE291" s="8" t="b">
        <f t="shared" si="48"/>
        <v>1</v>
      </c>
      <c r="CG291" s="8" t="str">
        <f t="shared" si="50"/>
        <v>Trumbull</v>
      </c>
      <c r="CH291" s="8" t="b">
        <f t="shared" si="51"/>
        <v>1</v>
      </c>
      <c r="CI291" s="8" t="b">
        <f>C291='Gov Fd Rv'!C291</f>
        <v>1</v>
      </c>
    </row>
    <row r="292" spans="1:87">
      <c r="A292" s="12" t="s">
        <v>842</v>
      </c>
      <c r="B292" s="12"/>
      <c r="C292" s="12" t="s">
        <v>25</v>
      </c>
      <c r="D292" s="12"/>
      <c r="E292" s="12">
        <v>46888</v>
      </c>
      <c r="G292" s="7">
        <v>5405855</v>
      </c>
      <c r="I292" s="7">
        <v>1543434</v>
      </c>
      <c r="K292" s="7">
        <v>434635</v>
      </c>
      <c r="M292" s="7">
        <v>0</v>
      </c>
      <c r="O292" s="7">
        <f>2745+143956</f>
        <v>146701</v>
      </c>
      <c r="Q292" s="7">
        <v>696839</v>
      </c>
      <c r="S292" s="7">
        <v>682668</v>
      </c>
      <c r="U292" s="7">
        <v>75856</v>
      </c>
      <c r="W292" s="7">
        <v>1054660</v>
      </c>
      <c r="Y292" s="7">
        <v>465075</v>
      </c>
      <c r="AA292" s="7">
        <v>0</v>
      </c>
      <c r="AC292" s="7">
        <v>1344252</v>
      </c>
      <c r="AE292" s="7">
        <v>584176</v>
      </c>
      <c r="AG292" s="7">
        <v>0</v>
      </c>
      <c r="AI292" s="7">
        <v>0</v>
      </c>
      <c r="AK292" s="7">
        <v>561310</v>
      </c>
      <c r="AL292" s="12" t="s">
        <v>842</v>
      </c>
      <c r="AM292" s="12"/>
      <c r="AN292" s="12" t="s">
        <v>25</v>
      </c>
      <c r="AP292" s="7">
        <v>598021</v>
      </c>
      <c r="AR292" s="7">
        <v>13047091</v>
      </c>
      <c r="AT292" s="7">
        <v>0</v>
      </c>
      <c r="AV292" s="7">
        <v>610361</v>
      </c>
      <c r="AX292" s="7">
        <f>462368+82288</f>
        <v>544656</v>
      </c>
      <c r="AZ292" s="7">
        <v>0</v>
      </c>
      <c r="BB292" s="8">
        <f t="shared" si="54"/>
        <v>27795590</v>
      </c>
      <c r="BD292" s="7">
        <v>4968477</v>
      </c>
      <c r="BF292" s="7">
        <v>0</v>
      </c>
      <c r="BH292" s="7">
        <v>0</v>
      </c>
      <c r="BJ292" s="7">
        <v>0</v>
      </c>
      <c r="BL292" s="8">
        <f t="shared" si="55"/>
        <v>32764067</v>
      </c>
      <c r="BN292" s="8">
        <f>'Gov Fd Rv'!AQ292-'Gov Fnd Exp'!BL292</f>
        <v>-4323115</v>
      </c>
      <c r="BP292" s="7">
        <v>20366232</v>
      </c>
      <c r="BR292" s="7">
        <v>0</v>
      </c>
      <c r="BT292" s="7">
        <v>0</v>
      </c>
      <c r="BV292" s="8">
        <f t="shared" si="56"/>
        <v>16043117</v>
      </c>
      <c r="BW292" s="8"/>
      <c r="BX292" s="8">
        <f>BV292-'Gov Fd BS'!AE292</f>
        <v>0</v>
      </c>
      <c r="BY292" s="8"/>
      <c r="CB292" s="101" t="str">
        <f t="shared" si="52"/>
        <v>Liberty Union-Thurston Local SD</v>
      </c>
      <c r="CC292" s="101" t="b">
        <f t="shared" si="49"/>
        <v>1</v>
      </c>
      <c r="CD292" s="101" t="str">
        <f>'Gov Fd Rv'!A292</f>
        <v>Liberty Union-Thurston Local SD</v>
      </c>
      <c r="CE292" s="8" t="b">
        <f t="shared" si="48"/>
        <v>1</v>
      </c>
      <c r="CG292" s="8" t="str">
        <f t="shared" si="50"/>
        <v>Fairfield</v>
      </c>
      <c r="CH292" s="8" t="b">
        <f t="shared" si="51"/>
        <v>1</v>
      </c>
      <c r="CI292" s="8" t="b">
        <f>C292='Gov Fd Rv'!C292</f>
        <v>1</v>
      </c>
    </row>
    <row r="293" spans="1:87">
      <c r="A293" s="12" t="s">
        <v>386</v>
      </c>
      <c r="B293" s="12"/>
      <c r="C293" s="12" t="s">
        <v>42</v>
      </c>
      <c r="D293" s="12"/>
      <c r="E293" s="12">
        <v>48009</v>
      </c>
      <c r="G293" s="7">
        <v>12978007</v>
      </c>
      <c r="I293" s="7">
        <v>3774347</v>
      </c>
      <c r="K293" s="7">
        <v>315778</v>
      </c>
      <c r="M293" s="7">
        <v>0</v>
      </c>
      <c r="O293" s="7">
        <v>390339</v>
      </c>
      <c r="Q293" s="7">
        <v>1235492</v>
      </c>
      <c r="S293" s="7">
        <v>1447422</v>
      </c>
      <c r="U293" s="7">
        <v>90480</v>
      </c>
      <c r="W293" s="7">
        <v>2241090</v>
      </c>
      <c r="Y293" s="7">
        <v>663774</v>
      </c>
      <c r="AA293" s="7">
        <v>0</v>
      </c>
      <c r="AC293" s="7">
        <v>3248128</v>
      </c>
      <c r="AE293" s="7">
        <v>2530378</v>
      </c>
      <c r="AG293" s="7">
        <v>225085</v>
      </c>
      <c r="AI293" s="7">
        <v>0</v>
      </c>
      <c r="AK293" s="7">
        <v>1285554</v>
      </c>
      <c r="AL293" s="12" t="s">
        <v>386</v>
      </c>
      <c r="AM293" s="12"/>
      <c r="AN293" s="12" t="s">
        <v>42</v>
      </c>
      <c r="AP293" s="7">
        <v>744360</v>
      </c>
      <c r="AR293" s="7">
        <v>381513</v>
      </c>
      <c r="AT293" s="7">
        <v>0</v>
      </c>
      <c r="AV293" s="7">
        <v>868370</v>
      </c>
      <c r="AX293" s="7">
        <f>2796254+267465</f>
        <v>3063719</v>
      </c>
      <c r="AZ293" s="7">
        <v>0</v>
      </c>
      <c r="BB293" s="8">
        <f t="shared" si="54"/>
        <v>35483836</v>
      </c>
      <c r="BD293" s="7">
        <v>104378</v>
      </c>
      <c r="BF293" s="7">
        <v>0</v>
      </c>
      <c r="BH293" s="7">
        <v>0</v>
      </c>
      <c r="BJ293" s="7">
        <v>0</v>
      </c>
      <c r="BL293" s="8">
        <f t="shared" si="55"/>
        <v>35588214</v>
      </c>
      <c r="BN293" s="8">
        <f>'Gov Fd Rv'!AQ293-'Gov Fnd Exp'!BL293</f>
        <v>7551239</v>
      </c>
      <c r="BP293" s="7">
        <v>9125026</v>
      </c>
      <c r="BR293" s="7">
        <v>0</v>
      </c>
      <c r="BT293" s="7">
        <v>0</v>
      </c>
      <c r="BV293" s="8">
        <f t="shared" si="56"/>
        <v>16676265</v>
      </c>
      <c r="BW293" s="8"/>
      <c r="BX293" s="8">
        <f>BV293-'Gov Fd BS'!AE293</f>
        <v>0</v>
      </c>
      <c r="BY293" s="8"/>
      <c r="CB293" s="101" t="str">
        <f t="shared" si="52"/>
        <v>Licking Heights Local SD</v>
      </c>
      <c r="CC293" s="101" t="b">
        <f t="shared" si="49"/>
        <v>1</v>
      </c>
      <c r="CD293" s="101" t="str">
        <f>'Gov Fd Rv'!A293</f>
        <v>Licking Heights Local SD</v>
      </c>
      <c r="CE293" s="8" t="b">
        <f t="shared" si="48"/>
        <v>1</v>
      </c>
      <c r="CG293" s="8" t="str">
        <f t="shared" si="50"/>
        <v>Licking</v>
      </c>
      <c r="CH293" s="8" t="b">
        <f t="shared" si="51"/>
        <v>1</v>
      </c>
      <c r="CI293" s="8" t="b">
        <f>C293='Gov Fd Rv'!C293</f>
        <v>1</v>
      </c>
    </row>
    <row r="294" spans="1:87">
      <c r="A294" s="12" t="s">
        <v>387</v>
      </c>
      <c r="B294" s="12"/>
      <c r="C294" s="12" t="s">
        <v>42</v>
      </c>
      <c r="D294" s="12"/>
      <c r="E294" s="12">
        <v>48017</v>
      </c>
      <c r="G294" s="7">
        <v>6948026</v>
      </c>
      <c r="I294" s="7">
        <v>1891579</v>
      </c>
      <c r="K294" s="7">
        <v>288997</v>
      </c>
      <c r="M294" s="7">
        <v>0</v>
      </c>
      <c r="O294" s="7">
        <v>35197</v>
      </c>
      <c r="Q294" s="7">
        <v>503221</v>
      </c>
      <c r="S294" s="7">
        <v>843782</v>
      </c>
      <c r="U294" s="7">
        <v>38904</v>
      </c>
      <c r="W294" s="7">
        <v>1933502</v>
      </c>
      <c r="Y294" s="7">
        <v>433310</v>
      </c>
      <c r="AA294" s="7">
        <v>65309</v>
      </c>
      <c r="AC294" s="7">
        <v>1794057</v>
      </c>
      <c r="AE294" s="7">
        <v>1310066</v>
      </c>
      <c r="AG294" s="7">
        <v>158117</v>
      </c>
      <c r="AI294" s="7">
        <v>0</v>
      </c>
      <c r="AK294" s="7">
        <v>989485</v>
      </c>
      <c r="AL294" s="12" t="s">
        <v>387</v>
      </c>
      <c r="AM294" s="12"/>
      <c r="AN294" s="12" t="s">
        <v>42</v>
      </c>
      <c r="AP294" s="7">
        <v>500263</v>
      </c>
      <c r="AR294" s="7">
        <v>595921</v>
      </c>
      <c r="AT294" s="7">
        <v>0</v>
      </c>
      <c r="AV294" s="7">
        <v>1038104</v>
      </c>
      <c r="AX294" s="7">
        <v>537914</v>
      </c>
      <c r="AZ294" s="7">
        <v>0</v>
      </c>
      <c r="BB294" s="8">
        <f t="shared" si="54"/>
        <v>19905754</v>
      </c>
      <c r="BD294" s="7">
        <v>188529</v>
      </c>
      <c r="BF294" s="7">
        <v>0</v>
      </c>
      <c r="BH294" s="7">
        <v>0</v>
      </c>
      <c r="BJ294" s="7">
        <v>0</v>
      </c>
      <c r="BL294" s="8">
        <f>BB294+BD294+BJ294</f>
        <v>20094283</v>
      </c>
      <c r="BN294" s="8">
        <f>'Gov Fd Rv'!AQ294-'Gov Fnd Exp'!BL294</f>
        <v>449873</v>
      </c>
      <c r="BP294" s="7">
        <v>6936325</v>
      </c>
      <c r="BR294" s="7">
        <v>0</v>
      </c>
      <c r="BT294" s="7">
        <v>0</v>
      </c>
      <c r="BV294" s="8">
        <f t="shared" si="56"/>
        <v>7386198</v>
      </c>
      <c r="BW294" s="8"/>
      <c r="BX294" s="8">
        <f>BV294-'Gov Fd BS'!AE294</f>
        <v>0</v>
      </c>
      <c r="BY294" s="8"/>
      <c r="BZ294" s="101"/>
      <c r="CB294" s="101" t="str">
        <f t="shared" si="52"/>
        <v>Licking Valley Local SD</v>
      </c>
      <c r="CC294" s="101" t="b">
        <f t="shared" si="49"/>
        <v>1</v>
      </c>
      <c r="CD294" s="101" t="str">
        <f>'Gov Fd Rv'!A294</f>
        <v>Licking Valley Local SD</v>
      </c>
      <c r="CE294" s="8" t="b">
        <f t="shared" si="48"/>
        <v>1</v>
      </c>
      <c r="CG294" s="8" t="str">
        <f t="shared" si="50"/>
        <v>Licking</v>
      </c>
      <c r="CH294" s="8" t="b">
        <f t="shared" si="51"/>
        <v>1</v>
      </c>
      <c r="CI294" s="8" t="b">
        <f>C294='Gov Fd Rv'!C294</f>
        <v>1</v>
      </c>
    </row>
    <row r="295" spans="1:87" hidden="1">
      <c r="A295" s="12" t="s">
        <v>718</v>
      </c>
      <c r="B295" s="12"/>
      <c r="C295" s="12" t="s">
        <v>10</v>
      </c>
      <c r="D295" s="12"/>
      <c r="E295" s="12"/>
      <c r="AL295" s="12" t="s">
        <v>718</v>
      </c>
      <c r="AM295" s="12"/>
      <c r="AN295" s="12" t="s">
        <v>10</v>
      </c>
      <c r="AT295" s="7">
        <v>0</v>
      </c>
      <c r="BB295" s="8">
        <f t="shared" si="54"/>
        <v>0</v>
      </c>
      <c r="BF295" s="7">
        <v>0</v>
      </c>
      <c r="BH295" s="7">
        <v>0</v>
      </c>
      <c r="BJ295" s="7">
        <v>0</v>
      </c>
      <c r="BL295" s="8">
        <f t="shared" ref="BL295:BL298" si="57">BB295+BD295+BJ295</f>
        <v>0</v>
      </c>
      <c r="BN295" s="8">
        <f>'Gov Fd Rv'!AQ295-'Gov Fnd Exp'!BL295</f>
        <v>0</v>
      </c>
      <c r="BT295" s="7">
        <v>0</v>
      </c>
      <c r="BV295" s="8">
        <f t="shared" si="56"/>
        <v>0</v>
      </c>
      <c r="BW295" s="8"/>
      <c r="BX295" s="8">
        <f>BV295-'Gov Fd BS'!AE295</f>
        <v>0</v>
      </c>
      <c r="BY295" s="8"/>
      <c r="BZ295" s="7" t="s">
        <v>921</v>
      </c>
      <c r="CB295" s="101" t="str">
        <f t="shared" si="52"/>
        <v>Lima City School District (CASH)</v>
      </c>
      <c r="CC295" s="101" t="b">
        <f t="shared" si="49"/>
        <v>1</v>
      </c>
      <c r="CD295" s="101" t="str">
        <f>'Gov Fd Rv'!A295</f>
        <v>Lima City School District (CASH)</v>
      </c>
      <c r="CE295" s="8" t="b">
        <f t="shared" si="48"/>
        <v>1</v>
      </c>
      <c r="CG295" s="8" t="str">
        <f t="shared" si="50"/>
        <v>Allen</v>
      </c>
      <c r="CH295" s="8" t="b">
        <f t="shared" si="51"/>
        <v>1</v>
      </c>
      <c r="CI295" s="8" t="b">
        <f>C295='Gov Fd Rv'!C295</f>
        <v>1</v>
      </c>
    </row>
    <row r="296" spans="1:87">
      <c r="A296" s="12" t="s">
        <v>557</v>
      </c>
      <c r="B296" s="12"/>
      <c r="C296" s="12" t="s">
        <v>67</v>
      </c>
      <c r="D296" s="12"/>
      <c r="E296" s="12">
        <v>50369</v>
      </c>
      <c r="G296" s="7">
        <v>3545549</v>
      </c>
      <c r="I296" s="7">
        <v>1218538</v>
      </c>
      <c r="K296" s="7">
        <v>161829</v>
      </c>
      <c r="M296" s="7">
        <v>0</v>
      </c>
      <c r="O296" s="7">
        <v>747887</v>
      </c>
      <c r="Q296" s="7">
        <v>170363</v>
      </c>
      <c r="S296" s="7">
        <v>267320</v>
      </c>
      <c r="U296" s="7">
        <v>27676</v>
      </c>
      <c r="W296" s="7">
        <v>780519</v>
      </c>
      <c r="Y296" s="7">
        <v>296550</v>
      </c>
      <c r="AA296" s="7">
        <v>0</v>
      </c>
      <c r="AC296" s="7">
        <v>634813</v>
      </c>
      <c r="AE296" s="7">
        <v>543966</v>
      </c>
      <c r="AG296" s="7">
        <v>14253</v>
      </c>
      <c r="AI296" s="7">
        <v>339485</v>
      </c>
      <c r="AK296" s="7">
        <v>14752</v>
      </c>
      <c r="AL296" s="12" t="s">
        <v>557</v>
      </c>
      <c r="AM296" s="12"/>
      <c r="AN296" s="12" t="s">
        <v>67</v>
      </c>
      <c r="AP296" s="7">
        <v>231482</v>
      </c>
      <c r="AR296" s="7">
        <v>79496</v>
      </c>
      <c r="AT296" s="7">
        <v>0</v>
      </c>
      <c r="AV296" s="7">
        <v>380000</v>
      </c>
      <c r="AX296" s="7">
        <v>500966</v>
      </c>
      <c r="AZ296" s="7">
        <v>0</v>
      </c>
      <c r="BB296" s="8">
        <f t="shared" si="54"/>
        <v>9955444</v>
      </c>
      <c r="BD296" s="7">
        <v>0</v>
      </c>
      <c r="BF296" s="7">
        <v>0</v>
      </c>
      <c r="BH296" s="7">
        <v>0</v>
      </c>
      <c r="BJ296" s="7">
        <v>0</v>
      </c>
      <c r="BL296" s="8">
        <f t="shared" si="57"/>
        <v>9955444</v>
      </c>
      <c r="BN296" s="8">
        <f>'Gov Fd Rv'!AQ296-'Gov Fnd Exp'!BL296</f>
        <v>1033396</v>
      </c>
      <c r="BP296" s="7">
        <v>10325952</v>
      </c>
      <c r="BR296" s="7">
        <v>0</v>
      </c>
      <c r="BT296" s="7">
        <v>0</v>
      </c>
      <c r="BV296" s="8">
        <f t="shared" si="56"/>
        <v>11359348</v>
      </c>
      <c r="BW296" s="8"/>
      <c r="BX296" s="8">
        <f>BV296-'Gov Fd BS'!AE296</f>
        <v>0</v>
      </c>
      <c r="BY296" s="8"/>
      <c r="CB296" s="101" t="str">
        <f t="shared" si="52"/>
        <v>Lincolnview Local SD</v>
      </c>
      <c r="CC296" s="101" t="b">
        <f t="shared" si="49"/>
        <v>1</v>
      </c>
      <c r="CD296" s="101" t="str">
        <f>'Gov Fd Rv'!A296</f>
        <v>Lincolnview Local SD</v>
      </c>
      <c r="CE296" s="8" t="b">
        <f t="shared" si="48"/>
        <v>1</v>
      </c>
      <c r="CG296" s="8" t="str">
        <f t="shared" si="50"/>
        <v>Van Wert</v>
      </c>
      <c r="CH296" s="8" t="b">
        <f t="shared" si="51"/>
        <v>1</v>
      </c>
      <c r="CI296" s="8" t="b">
        <f>C296='Gov Fd Rv'!C296</f>
        <v>1</v>
      </c>
    </row>
    <row r="297" spans="1:87">
      <c r="A297" s="12" t="s">
        <v>875</v>
      </c>
      <c r="B297" s="12"/>
      <c r="C297" s="12" t="s">
        <v>112</v>
      </c>
      <c r="D297" s="12"/>
      <c r="E297" s="12">
        <v>45450</v>
      </c>
      <c r="G297" s="7">
        <v>4793096</v>
      </c>
      <c r="I297" s="7">
        <v>1102219</v>
      </c>
      <c r="K297" s="7">
        <v>91527</v>
      </c>
      <c r="M297" s="7">
        <v>0</v>
      </c>
      <c r="O297" s="7">
        <v>122103</v>
      </c>
      <c r="Q297" s="7">
        <v>471971</v>
      </c>
      <c r="S297" s="7">
        <v>420744</v>
      </c>
      <c r="U297" s="7">
        <v>28567</v>
      </c>
      <c r="W297" s="7">
        <v>782819</v>
      </c>
      <c r="Y297" s="7">
        <v>272764</v>
      </c>
      <c r="AA297" s="7">
        <v>0</v>
      </c>
      <c r="AC297" s="7">
        <v>1787813</v>
      </c>
      <c r="AE297" s="7">
        <v>366476</v>
      </c>
      <c r="AG297" s="7">
        <v>42392</v>
      </c>
      <c r="AI297" s="7">
        <v>451188</v>
      </c>
      <c r="AK297" s="7">
        <v>0</v>
      </c>
      <c r="AL297" s="12" t="s">
        <v>875</v>
      </c>
      <c r="AM297" s="12"/>
      <c r="AN297" s="12" t="s">
        <v>112</v>
      </c>
      <c r="AP297" s="7">
        <v>336772</v>
      </c>
      <c r="AR297" s="7">
        <v>203864</v>
      </c>
      <c r="AT297" s="7">
        <v>0</v>
      </c>
      <c r="AV297" s="7">
        <v>248000</v>
      </c>
      <c r="AX297" s="7">
        <v>281704</v>
      </c>
      <c r="AZ297" s="7">
        <v>0</v>
      </c>
      <c r="BB297" s="8">
        <f t="shared" si="54"/>
        <v>11804019</v>
      </c>
      <c r="BD297" s="7">
        <v>0</v>
      </c>
      <c r="BF297" s="7">
        <v>0</v>
      </c>
      <c r="BH297" s="7">
        <v>0</v>
      </c>
      <c r="BJ297" s="7">
        <v>0</v>
      </c>
      <c r="BL297" s="8">
        <f t="shared" si="57"/>
        <v>11804019</v>
      </c>
      <c r="BN297" s="8">
        <f>'Gov Fd Rv'!AQ297-'Gov Fnd Exp'!BL297</f>
        <v>252103</v>
      </c>
      <c r="BP297" s="7">
        <v>4268797</v>
      </c>
      <c r="BR297" s="7">
        <v>0</v>
      </c>
      <c r="BT297" s="7">
        <v>0</v>
      </c>
      <c r="BV297" s="8">
        <f t="shared" si="56"/>
        <v>4520900</v>
      </c>
      <c r="BW297" s="8"/>
      <c r="BX297" s="8">
        <f>BV297-'Gov Fd BS'!AE297</f>
        <v>0</v>
      </c>
      <c r="BY297" s="8"/>
      <c r="CB297" s="101" t="str">
        <f t="shared" si="52"/>
        <v>Lisbon Exempted Village SD</v>
      </c>
      <c r="CC297" s="101" t="b">
        <f t="shared" si="49"/>
        <v>1</v>
      </c>
      <c r="CD297" s="101" t="str">
        <f>'Gov Fd Rv'!A297</f>
        <v>Lisbon Exempted Village SD</v>
      </c>
      <c r="CE297" s="8" t="b">
        <f t="shared" si="48"/>
        <v>1</v>
      </c>
      <c r="CG297" s="8" t="str">
        <f t="shared" si="50"/>
        <v>Columbiana</v>
      </c>
      <c r="CH297" s="8" t="b">
        <f t="shared" si="51"/>
        <v>1</v>
      </c>
      <c r="CI297" s="8" t="b">
        <f>C297='Gov Fd Rv'!C297</f>
        <v>1</v>
      </c>
    </row>
    <row r="298" spans="1:87">
      <c r="A298" s="12" t="s">
        <v>562</v>
      </c>
      <c r="B298" s="12"/>
      <c r="C298" s="12" t="s">
        <v>69</v>
      </c>
      <c r="D298" s="12"/>
      <c r="E298" s="12">
        <v>50443</v>
      </c>
      <c r="G298" s="7">
        <v>13526730</v>
      </c>
      <c r="I298" s="7">
        <v>4451044</v>
      </c>
      <c r="K298" s="7">
        <v>0</v>
      </c>
      <c r="M298" s="7">
        <v>0</v>
      </c>
      <c r="O298" s="7">
        <v>2103791</v>
      </c>
      <c r="Q298" s="7">
        <v>1127593</v>
      </c>
      <c r="S298" s="7">
        <v>606653</v>
      </c>
      <c r="U298" s="7">
        <v>23342</v>
      </c>
      <c r="W298" s="7">
        <v>2166966</v>
      </c>
      <c r="Y298" s="7">
        <v>628389</v>
      </c>
      <c r="AA298" s="7">
        <v>154153</v>
      </c>
      <c r="AC298" s="7">
        <v>2462110</v>
      </c>
      <c r="AE298" s="7">
        <v>2570146</v>
      </c>
      <c r="AG298" s="7">
        <v>511372</v>
      </c>
      <c r="AI298" s="7">
        <v>0</v>
      </c>
      <c r="AK298" s="7">
        <v>1278701</v>
      </c>
      <c r="AL298" s="12" t="s">
        <v>562</v>
      </c>
      <c r="AM298" s="12"/>
      <c r="AN298" s="12" t="s">
        <v>69</v>
      </c>
      <c r="AP298" s="7">
        <v>572045</v>
      </c>
      <c r="AR298" s="7">
        <v>495469</v>
      </c>
      <c r="AT298" s="7">
        <v>0</v>
      </c>
      <c r="AV298" s="7">
        <v>3636516</v>
      </c>
      <c r="AX298" s="7">
        <v>2545728</v>
      </c>
      <c r="AZ298" s="7">
        <v>0</v>
      </c>
      <c r="BB298" s="8">
        <f t="shared" si="54"/>
        <v>38860748</v>
      </c>
      <c r="BD298" s="7">
        <v>2683370</v>
      </c>
      <c r="BF298" s="7">
        <v>0</v>
      </c>
      <c r="BH298" s="7">
        <v>0</v>
      </c>
      <c r="BJ298" s="7">
        <v>0</v>
      </c>
      <c r="BL298" s="8">
        <f t="shared" si="57"/>
        <v>41544118</v>
      </c>
      <c r="BN298" s="8">
        <f>'Gov Fd Rv'!AQ298-'Gov Fnd Exp'!BL298</f>
        <v>7884962</v>
      </c>
      <c r="BP298" s="7">
        <v>-7260523</v>
      </c>
      <c r="BR298" s="7">
        <v>0</v>
      </c>
      <c r="BT298" s="7">
        <v>0</v>
      </c>
      <c r="BV298" s="8">
        <f t="shared" si="56"/>
        <v>624439</v>
      </c>
      <c r="BW298" s="8"/>
      <c r="BX298" s="8">
        <f>BV298-'Gov Fd BS'!AE298</f>
        <v>0</v>
      </c>
      <c r="BY298" s="8"/>
      <c r="BZ298" s="101"/>
      <c r="CB298" s="101" t="str">
        <f t="shared" si="52"/>
        <v>Little Miami Local SD</v>
      </c>
      <c r="CC298" s="101" t="b">
        <f t="shared" si="49"/>
        <v>1</v>
      </c>
      <c r="CD298" s="101" t="str">
        <f>'Gov Fd Rv'!A298</f>
        <v>Little Miami Local SD</v>
      </c>
      <c r="CE298" s="8" t="b">
        <f t="shared" si="48"/>
        <v>1</v>
      </c>
      <c r="CG298" s="8" t="str">
        <f t="shared" si="50"/>
        <v>Warren</v>
      </c>
      <c r="CH298" s="8" t="b">
        <f t="shared" si="51"/>
        <v>1</v>
      </c>
      <c r="CI298" s="8" t="b">
        <f>C298='Gov Fd Rv'!C298</f>
        <v>1</v>
      </c>
    </row>
    <row r="299" spans="1:87" hidden="1">
      <c r="A299" s="12" t="s">
        <v>922</v>
      </c>
      <c r="B299" s="12"/>
      <c r="C299" s="12" t="s">
        <v>32</v>
      </c>
      <c r="D299" s="12"/>
      <c r="E299" s="12">
        <v>44230</v>
      </c>
      <c r="AL299" s="12" t="s">
        <v>922</v>
      </c>
      <c r="AM299" s="12"/>
      <c r="AN299" s="12" t="s">
        <v>32</v>
      </c>
      <c r="AT299" s="7">
        <v>0</v>
      </c>
      <c r="BB299" s="8">
        <f t="shared" si="54"/>
        <v>0</v>
      </c>
      <c r="BF299" s="7">
        <v>0</v>
      </c>
      <c r="BH299" s="7">
        <v>0</v>
      </c>
      <c r="BJ299" s="7">
        <v>0</v>
      </c>
      <c r="BL299" s="8">
        <f t="shared" si="55"/>
        <v>0</v>
      </c>
      <c r="BN299" s="8">
        <f>'Gov Fd Rv'!AQ299-'Gov Fnd Exp'!BL299</f>
        <v>0</v>
      </c>
      <c r="BT299" s="7">
        <v>0</v>
      </c>
      <c r="BV299" s="8">
        <f t="shared" si="56"/>
        <v>0</v>
      </c>
      <c r="BW299" s="8"/>
      <c r="BX299" s="8">
        <f>BV299-'Gov Fd BS'!AE299</f>
        <v>0</v>
      </c>
      <c r="BY299" s="8"/>
      <c r="BZ299" s="7" t="s">
        <v>839</v>
      </c>
      <c r="CB299" s="101" t="str">
        <f t="shared" si="52"/>
        <v>Lockland Local SD (CASH)</v>
      </c>
      <c r="CC299" s="101" t="b">
        <f t="shared" si="49"/>
        <v>1</v>
      </c>
      <c r="CD299" s="101" t="str">
        <f>'Gov Fd Rv'!A299</f>
        <v>Lockland Local SD (CASH)</v>
      </c>
      <c r="CE299" s="8" t="b">
        <f t="shared" si="48"/>
        <v>1</v>
      </c>
      <c r="CG299" s="8" t="str">
        <f t="shared" si="50"/>
        <v>Hamilton</v>
      </c>
      <c r="CH299" s="8" t="b">
        <f t="shared" si="51"/>
        <v>1</v>
      </c>
      <c r="CI299" s="8" t="b">
        <f>C299='Gov Fd Rv'!C299</f>
        <v>1</v>
      </c>
    </row>
    <row r="300" spans="1:87">
      <c r="A300" s="12" t="s">
        <v>468</v>
      </c>
      <c r="B300" s="12"/>
      <c r="C300" s="12" t="s">
        <v>54</v>
      </c>
      <c r="D300" s="12"/>
      <c r="E300" s="12">
        <v>49080</v>
      </c>
      <c r="G300" s="7">
        <v>10164049</v>
      </c>
      <c r="I300" s="7">
        <v>2347009</v>
      </c>
      <c r="K300" s="7">
        <v>12310</v>
      </c>
      <c r="M300" s="7">
        <v>0</v>
      </c>
      <c r="O300" s="7">
        <v>319733</v>
      </c>
      <c r="Q300" s="7">
        <v>976602</v>
      </c>
      <c r="S300" s="7">
        <v>1192322</v>
      </c>
      <c r="U300" s="7">
        <v>95084</v>
      </c>
      <c r="W300" s="7">
        <v>1437767</v>
      </c>
      <c r="Y300" s="7">
        <v>524771</v>
      </c>
      <c r="AA300" s="7">
        <v>4101</v>
      </c>
      <c r="AC300" s="7">
        <v>1994669</v>
      </c>
      <c r="AE300" s="7">
        <v>1711390</v>
      </c>
      <c r="AG300" s="7">
        <v>328140</v>
      </c>
      <c r="AI300" s="7">
        <v>888879</v>
      </c>
      <c r="AK300" s="7">
        <v>0</v>
      </c>
      <c r="AL300" s="12" t="s">
        <v>468</v>
      </c>
      <c r="AM300" s="12"/>
      <c r="AN300" s="12" t="s">
        <v>54</v>
      </c>
      <c r="AP300" s="7">
        <v>517446</v>
      </c>
      <c r="AR300" s="7">
        <v>39697</v>
      </c>
      <c r="AT300" s="7">
        <v>0</v>
      </c>
      <c r="AV300" s="7">
        <v>0</v>
      </c>
      <c r="AX300" s="7">
        <v>0</v>
      </c>
      <c r="AZ300" s="7">
        <v>0</v>
      </c>
      <c r="BB300" s="8">
        <f t="shared" si="54"/>
        <v>22553969</v>
      </c>
      <c r="BD300" s="7">
        <v>2500000</v>
      </c>
      <c r="BF300" s="7">
        <v>0</v>
      </c>
      <c r="BH300" s="7">
        <v>0</v>
      </c>
      <c r="BJ300" s="7">
        <v>0</v>
      </c>
      <c r="BL300" s="8">
        <f t="shared" si="55"/>
        <v>25053969</v>
      </c>
      <c r="BN300" s="8">
        <f>'Gov Fd Rv'!AQ300-'Gov Fnd Exp'!BL300</f>
        <v>627232</v>
      </c>
      <c r="BP300" s="7">
        <v>7978438</v>
      </c>
      <c r="BR300" s="7">
        <v>0</v>
      </c>
      <c r="BT300" s="7">
        <v>0</v>
      </c>
      <c r="BV300" s="8">
        <f t="shared" si="56"/>
        <v>8605670</v>
      </c>
      <c r="BW300" s="8"/>
      <c r="BX300" s="8">
        <f>BV300-'Gov Fd BS'!AE300</f>
        <v>0</v>
      </c>
      <c r="BY300" s="8"/>
      <c r="CB300" s="101" t="str">
        <f t="shared" si="52"/>
        <v>Logan Elm Local SD</v>
      </c>
      <c r="CC300" s="101" t="b">
        <f t="shared" si="49"/>
        <v>1</v>
      </c>
      <c r="CD300" s="101" t="str">
        <f>'Gov Fd Rv'!A300</f>
        <v>Logan Elm Local SD</v>
      </c>
      <c r="CE300" s="8" t="b">
        <f t="shared" si="48"/>
        <v>1</v>
      </c>
      <c r="CG300" s="8" t="str">
        <f t="shared" si="50"/>
        <v>Pickaway</v>
      </c>
      <c r="CH300" s="8" t="b">
        <f t="shared" si="51"/>
        <v>1</v>
      </c>
      <c r="CI300" s="8" t="b">
        <f>C300='Gov Fd Rv'!C300</f>
        <v>1</v>
      </c>
    </row>
    <row r="301" spans="1:87">
      <c r="A301" s="12" t="s">
        <v>362</v>
      </c>
      <c r="B301" s="12"/>
      <c r="C301" s="12" t="s">
        <v>35</v>
      </c>
      <c r="D301" s="12"/>
      <c r="E301" s="12">
        <v>44248</v>
      </c>
      <c r="G301" s="7">
        <v>14828469</v>
      </c>
      <c r="I301" s="7">
        <v>5300092</v>
      </c>
      <c r="K301" s="7">
        <v>447053</v>
      </c>
      <c r="M301" s="7">
        <v>0</v>
      </c>
      <c r="O301" s="7">
        <v>48101</v>
      </c>
      <c r="Q301" s="7">
        <v>2462956</v>
      </c>
      <c r="S301" s="7">
        <v>3027726</v>
      </c>
      <c r="U301" s="7">
        <v>93641</v>
      </c>
      <c r="W301" s="7">
        <v>2873343</v>
      </c>
      <c r="Y301" s="7">
        <v>1082036</v>
      </c>
      <c r="AA301" s="7">
        <v>0</v>
      </c>
      <c r="AC301" s="7">
        <v>3667142</v>
      </c>
      <c r="AE301" s="7">
        <v>2863009</v>
      </c>
      <c r="AG301" s="7">
        <v>73571</v>
      </c>
      <c r="AI301" s="7">
        <v>0</v>
      </c>
      <c r="AK301" s="7">
        <v>161023</v>
      </c>
      <c r="AL301" s="12" t="s">
        <v>362</v>
      </c>
      <c r="AM301" s="12"/>
      <c r="AN301" s="12" t="s">
        <v>35</v>
      </c>
      <c r="AP301" s="7">
        <v>786435</v>
      </c>
      <c r="AR301" s="7">
        <v>930057</v>
      </c>
      <c r="AT301" s="7">
        <v>0</v>
      </c>
      <c r="AV301" s="7">
        <v>1434426</v>
      </c>
      <c r="AX301" s="7">
        <v>1908327</v>
      </c>
      <c r="AZ301" s="7">
        <v>0</v>
      </c>
      <c r="BB301" s="8">
        <f t="shared" si="54"/>
        <v>41987407</v>
      </c>
      <c r="BD301" s="7">
        <v>1363549</v>
      </c>
      <c r="BF301" s="7">
        <v>0</v>
      </c>
      <c r="BH301" s="7">
        <v>0</v>
      </c>
      <c r="BJ301" s="7">
        <v>0</v>
      </c>
      <c r="BL301" s="8">
        <f t="shared" si="55"/>
        <v>43350956</v>
      </c>
      <c r="BN301" s="8">
        <f>'Gov Fd Rv'!AQ301-'Gov Fnd Exp'!BL301</f>
        <v>631142</v>
      </c>
      <c r="BP301" s="7">
        <v>15699567</v>
      </c>
      <c r="BR301" s="7">
        <v>42805</v>
      </c>
      <c r="BT301" s="7">
        <v>0</v>
      </c>
      <c r="BV301" s="8">
        <f t="shared" si="56"/>
        <v>16373514</v>
      </c>
      <c r="BW301" s="8"/>
      <c r="BX301" s="8">
        <f>BV301-'Gov Fd BS'!AE301</f>
        <v>0</v>
      </c>
      <c r="BY301" s="8"/>
      <c r="CB301" s="101" t="str">
        <f t="shared" si="52"/>
        <v>Logan-Hocking Local SD</v>
      </c>
      <c r="CC301" s="101" t="b">
        <f t="shared" si="49"/>
        <v>1</v>
      </c>
      <c r="CD301" s="101" t="str">
        <f>'Gov Fd Rv'!A301</f>
        <v>Logan-Hocking Local SD</v>
      </c>
      <c r="CE301" s="8" t="b">
        <f t="shared" si="48"/>
        <v>1</v>
      </c>
      <c r="CG301" s="8" t="str">
        <f t="shared" si="50"/>
        <v>Hocking</v>
      </c>
      <c r="CH301" s="8" t="b">
        <f t="shared" si="51"/>
        <v>1</v>
      </c>
      <c r="CI301" s="8" t="b">
        <f>C301='Gov Fd Rv'!C301</f>
        <v>1</v>
      </c>
    </row>
    <row r="302" spans="1:87">
      <c r="A302" s="12" t="s">
        <v>413</v>
      </c>
      <c r="B302" s="12"/>
      <c r="C302" s="12" t="s">
        <v>411</v>
      </c>
      <c r="D302" s="12"/>
      <c r="E302" s="12">
        <v>44255</v>
      </c>
      <c r="G302" s="7">
        <v>9303657</v>
      </c>
      <c r="I302" s="7">
        <v>3699121</v>
      </c>
      <c r="K302" s="7">
        <v>426698</v>
      </c>
      <c r="M302" s="7">
        <v>33884</v>
      </c>
      <c r="O302" s="7">
        <v>0</v>
      </c>
      <c r="Q302" s="7">
        <v>1056906</v>
      </c>
      <c r="S302" s="7">
        <v>1167791</v>
      </c>
      <c r="U302" s="7">
        <v>214164</v>
      </c>
      <c r="W302" s="7">
        <v>1850258</v>
      </c>
      <c r="Y302" s="7">
        <v>773268</v>
      </c>
      <c r="AA302" s="7">
        <v>0</v>
      </c>
      <c r="AC302" s="7">
        <v>2050027</v>
      </c>
      <c r="AE302" s="7">
        <v>832736</v>
      </c>
      <c r="AG302" s="7">
        <v>279845</v>
      </c>
      <c r="AI302" s="7">
        <v>682347</v>
      </c>
      <c r="AK302" s="7">
        <v>143146</v>
      </c>
      <c r="AL302" s="12" t="s">
        <v>413</v>
      </c>
      <c r="AM302" s="12"/>
      <c r="AN302" s="12" t="s">
        <v>411</v>
      </c>
      <c r="AP302" s="7">
        <v>783285</v>
      </c>
      <c r="AR302" s="7">
        <v>15447090</v>
      </c>
      <c r="AT302" s="7">
        <v>0</v>
      </c>
      <c r="AV302" s="7">
        <v>2144514</v>
      </c>
      <c r="AX302" s="7">
        <v>864744</v>
      </c>
      <c r="AZ302" s="7">
        <v>0</v>
      </c>
      <c r="BB302" s="8">
        <f t="shared" si="54"/>
        <v>41753481</v>
      </c>
      <c r="BD302" s="7">
        <v>75177</v>
      </c>
      <c r="BF302" s="7">
        <v>0</v>
      </c>
      <c r="BH302" s="7">
        <v>0</v>
      </c>
      <c r="BJ302" s="7">
        <v>0</v>
      </c>
      <c r="BL302" s="8">
        <f t="shared" si="55"/>
        <v>41828658</v>
      </c>
      <c r="BN302" s="8">
        <f>'Gov Fd Rv'!AQ302-'Gov Fnd Exp'!BL302</f>
        <v>-1110310</v>
      </c>
      <c r="BP302" s="7">
        <v>10490691</v>
      </c>
      <c r="BR302" s="7">
        <v>0</v>
      </c>
      <c r="BT302" s="7">
        <v>0</v>
      </c>
      <c r="BV302" s="8">
        <f t="shared" si="56"/>
        <v>9380381</v>
      </c>
      <c r="BW302" s="8"/>
      <c r="BX302" s="8">
        <f>BV302-'Gov Fd BS'!AE302</f>
        <v>0</v>
      </c>
      <c r="BY302" s="8"/>
      <c r="CB302" s="101" t="str">
        <f t="shared" si="52"/>
        <v>London City SD</v>
      </c>
      <c r="CC302" s="101" t="b">
        <f t="shared" si="49"/>
        <v>1</v>
      </c>
      <c r="CD302" s="101" t="str">
        <f>'Gov Fd Rv'!A302</f>
        <v>London City SD</v>
      </c>
      <c r="CE302" s="8" t="b">
        <f t="shared" si="48"/>
        <v>1</v>
      </c>
      <c r="CG302" s="8" t="str">
        <f t="shared" si="50"/>
        <v>Madison</v>
      </c>
      <c r="CH302" s="8" t="b">
        <f t="shared" si="51"/>
        <v>1</v>
      </c>
      <c r="CI302" s="8" t="b">
        <f>C302='Gov Fd Rv'!C302</f>
        <v>1</v>
      </c>
    </row>
    <row r="303" spans="1:87">
      <c r="A303" s="12" t="s">
        <v>398</v>
      </c>
      <c r="B303" s="12"/>
      <c r="C303" s="12" t="s">
        <v>44</v>
      </c>
      <c r="D303" s="12"/>
      <c r="E303" s="12">
        <v>44263</v>
      </c>
      <c r="G303" s="7">
        <v>39378020</v>
      </c>
      <c r="I303" s="7">
        <v>9480754</v>
      </c>
      <c r="K303" s="7">
        <v>3437626</v>
      </c>
      <c r="M303" s="7">
        <v>0</v>
      </c>
      <c r="O303" s="7">
        <f>34095+19266716</f>
        <v>19300811</v>
      </c>
      <c r="Q303" s="7">
        <v>4746952</v>
      </c>
      <c r="S303" s="7">
        <v>7708247</v>
      </c>
      <c r="U303" s="7">
        <v>410015</v>
      </c>
      <c r="W303" s="7">
        <v>7543309</v>
      </c>
      <c r="Y303" s="7">
        <v>1520454</v>
      </c>
      <c r="AA303" s="7">
        <v>427560</v>
      </c>
      <c r="AC303" s="7">
        <v>8316311</v>
      </c>
      <c r="AE303" s="7">
        <v>2750502</v>
      </c>
      <c r="AG303" s="7">
        <v>1496975</v>
      </c>
      <c r="AI303" s="7">
        <v>4122845</v>
      </c>
      <c r="AK303" s="7">
        <v>961222</v>
      </c>
      <c r="AL303" s="12" t="s">
        <v>398</v>
      </c>
      <c r="AM303" s="12"/>
      <c r="AN303" s="12" t="s">
        <v>44</v>
      </c>
      <c r="AP303" s="7">
        <v>1410936</v>
      </c>
      <c r="AR303" s="7">
        <v>19129428</v>
      </c>
      <c r="AT303" s="7">
        <v>0</v>
      </c>
      <c r="AV303" s="7">
        <v>1315000</v>
      </c>
      <c r="AX303" s="7">
        <v>1491619</v>
      </c>
      <c r="AZ303" s="7">
        <v>0</v>
      </c>
      <c r="BB303" s="8">
        <f t="shared" si="54"/>
        <v>134948586</v>
      </c>
      <c r="BD303" s="7">
        <v>389816</v>
      </c>
      <c r="BF303" s="7">
        <v>0</v>
      </c>
      <c r="BH303" s="7">
        <v>0</v>
      </c>
      <c r="BJ303" s="7">
        <v>0</v>
      </c>
      <c r="BL303" s="8">
        <f t="shared" si="55"/>
        <v>135338402</v>
      </c>
      <c r="BN303" s="8">
        <f>'Gov Fd Rv'!AQ303-'Gov Fnd Exp'!BL303</f>
        <v>1892228</v>
      </c>
      <c r="BP303" s="7">
        <v>53996096</v>
      </c>
      <c r="BR303" s="7">
        <v>0</v>
      </c>
      <c r="BT303" s="7">
        <v>0</v>
      </c>
      <c r="BV303" s="8">
        <f t="shared" si="56"/>
        <v>55888324</v>
      </c>
      <c r="BW303" s="8"/>
      <c r="BX303" s="8">
        <f>BV303-'Gov Fd BS'!AE303</f>
        <v>0</v>
      </c>
      <c r="BY303" s="8"/>
      <c r="BZ303" s="101"/>
      <c r="CB303" s="101" t="str">
        <f t="shared" si="52"/>
        <v>Lorain City SD</v>
      </c>
      <c r="CC303" s="101" t="b">
        <f t="shared" si="49"/>
        <v>1</v>
      </c>
      <c r="CD303" s="101" t="str">
        <f>'Gov Fd Rv'!A303</f>
        <v>Lorain City SD</v>
      </c>
      <c r="CE303" s="8" t="b">
        <f t="shared" si="48"/>
        <v>1</v>
      </c>
      <c r="CG303" s="8" t="str">
        <f t="shared" si="50"/>
        <v>Lorain</v>
      </c>
      <c r="CH303" s="8" t="b">
        <f t="shared" si="51"/>
        <v>1</v>
      </c>
      <c r="CI303" s="8" t="b">
        <f>C303='Gov Fd Rv'!C303</f>
        <v>1</v>
      </c>
    </row>
    <row r="304" spans="1:87">
      <c r="A304" s="12" t="s">
        <v>543</v>
      </c>
      <c r="B304" s="12"/>
      <c r="C304" s="12" t="s">
        <v>64</v>
      </c>
      <c r="D304" s="12"/>
      <c r="E304" s="12">
        <v>50203</v>
      </c>
      <c r="G304" s="7">
        <v>2908166</v>
      </c>
      <c r="I304" s="7">
        <v>778903</v>
      </c>
      <c r="K304" s="7">
        <v>45285</v>
      </c>
      <c r="M304" s="7">
        <v>0</v>
      </c>
      <c r="O304" s="7">
        <v>252612</v>
      </c>
      <c r="Q304" s="7">
        <v>182376</v>
      </c>
      <c r="S304" s="7">
        <v>135608</v>
      </c>
      <c r="U304" s="7">
        <v>104596</v>
      </c>
      <c r="W304" s="7">
        <v>531677</v>
      </c>
      <c r="Y304" s="7">
        <v>345730</v>
      </c>
      <c r="AA304" s="7">
        <v>34730</v>
      </c>
      <c r="AC304" s="7">
        <v>1005957</v>
      </c>
      <c r="AE304" s="7">
        <v>248423</v>
      </c>
      <c r="AG304" s="7">
        <v>0</v>
      </c>
      <c r="AI304" s="7">
        <v>177696</v>
      </c>
      <c r="AK304" s="7">
        <v>0</v>
      </c>
      <c r="AL304" s="12" t="s">
        <v>543</v>
      </c>
      <c r="AM304" s="12"/>
      <c r="AN304" s="12" t="s">
        <v>64</v>
      </c>
      <c r="AP304" s="7">
        <v>257799</v>
      </c>
      <c r="AR304" s="7">
        <v>0</v>
      </c>
      <c r="AT304" s="7">
        <v>0</v>
      </c>
      <c r="AV304" s="7">
        <v>1707454</v>
      </c>
      <c r="AX304" s="7">
        <f>255279+99767</f>
        <v>355046</v>
      </c>
      <c r="AZ304" s="7">
        <v>0</v>
      </c>
      <c r="BB304" s="8">
        <f t="shared" si="54"/>
        <v>9072058</v>
      </c>
      <c r="BD304" s="7">
        <v>933</v>
      </c>
      <c r="BF304" s="7">
        <v>0</v>
      </c>
      <c r="BH304" s="7">
        <v>0</v>
      </c>
      <c r="BJ304" s="7">
        <v>0</v>
      </c>
      <c r="BL304" s="8">
        <f t="shared" si="55"/>
        <v>9072991</v>
      </c>
      <c r="BN304" s="8">
        <f>'Gov Fd Rv'!AQ304-'Gov Fnd Exp'!BL304</f>
        <v>-855174</v>
      </c>
      <c r="BP304" s="7">
        <v>1108794</v>
      </c>
      <c r="BR304" s="7">
        <v>0</v>
      </c>
      <c r="BT304" s="7">
        <v>0</v>
      </c>
      <c r="BV304" s="8">
        <f t="shared" si="56"/>
        <v>253620</v>
      </c>
      <c r="BW304" s="8"/>
      <c r="BX304" s="8">
        <f>BV304-'Gov Fd BS'!AE304</f>
        <v>0</v>
      </c>
      <c r="BY304" s="8"/>
      <c r="CB304" s="101" t="str">
        <f t="shared" si="52"/>
        <v>Lordstown Local SD</v>
      </c>
      <c r="CC304" s="101" t="b">
        <f t="shared" si="49"/>
        <v>1</v>
      </c>
      <c r="CD304" s="101" t="str">
        <f>'Gov Fd Rv'!A304</f>
        <v>Lordstown Local SD</v>
      </c>
      <c r="CE304" s="8" t="b">
        <f t="shared" si="48"/>
        <v>1</v>
      </c>
      <c r="CG304" s="8" t="str">
        <f t="shared" si="50"/>
        <v>Trumbull</v>
      </c>
      <c r="CH304" s="8" t="b">
        <f t="shared" si="51"/>
        <v>1</v>
      </c>
      <c r="CI304" s="8" t="b">
        <f>C304='Gov Fd Rv'!C304</f>
        <v>1</v>
      </c>
    </row>
    <row r="305" spans="1:87">
      <c r="A305" s="12" t="s">
        <v>719</v>
      </c>
      <c r="B305" s="12"/>
      <c r="C305" s="12" t="s">
        <v>11</v>
      </c>
      <c r="D305" s="12"/>
      <c r="E305" s="12">
        <v>45468</v>
      </c>
      <c r="G305" s="7">
        <v>5223584</v>
      </c>
      <c r="I305" s="7">
        <v>1376938</v>
      </c>
      <c r="K305" s="7">
        <v>305228</v>
      </c>
      <c r="M305" s="7">
        <v>0</v>
      </c>
      <c r="O305" s="7">
        <v>948239</v>
      </c>
      <c r="Q305" s="7">
        <v>659828</v>
      </c>
      <c r="S305" s="7">
        <v>880765</v>
      </c>
      <c r="U305" s="7">
        <v>24410</v>
      </c>
      <c r="W305" s="7">
        <v>1045250</v>
      </c>
      <c r="Y305" s="7">
        <v>393070</v>
      </c>
      <c r="AA305" s="7">
        <v>11266</v>
      </c>
      <c r="AC305" s="7">
        <v>968531</v>
      </c>
      <c r="AE305" s="7">
        <v>728930</v>
      </c>
      <c r="AG305" s="7">
        <v>99219</v>
      </c>
      <c r="AI305" s="7">
        <v>428529</v>
      </c>
      <c r="AK305" s="7">
        <v>53012</v>
      </c>
      <c r="AL305" s="12" t="s">
        <v>719</v>
      </c>
      <c r="AM305" s="12"/>
      <c r="AN305" s="12" t="s">
        <v>11</v>
      </c>
      <c r="AP305" s="7">
        <v>446481</v>
      </c>
      <c r="AR305" s="7">
        <v>168708</v>
      </c>
      <c r="AT305" s="7">
        <v>0</v>
      </c>
      <c r="AV305" s="7">
        <v>66970</v>
      </c>
      <c r="AX305" s="7">
        <v>50086</v>
      </c>
      <c r="AZ305" s="7">
        <v>0</v>
      </c>
      <c r="BB305" s="8">
        <f t="shared" si="54"/>
        <v>13879044</v>
      </c>
      <c r="BD305" s="7">
        <v>0</v>
      </c>
      <c r="BF305" s="7">
        <v>0</v>
      </c>
      <c r="BH305" s="7">
        <v>0</v>
      </c>
      <c r="BJ305" s="7">
        <v>0</v>
      </c>
      <c r="BL305" s="8">
        <f t="shared" si="55"/>
        <v>13879044</v>
      </c>
      <c r="BN305" s="8">
        <f>'Gov Fd Rv'!AQ305-'Gov Fnd Exp'!BL305</f>
        <v>-128479</v>
      </c>
      <c r="BP305" s="7">
        <v>3986766</v>
      </c>
      <c r="BR305" s="7">
        <v>0</v>
      </c>
      <c r="BT305" s="7">
        <v>0</v>
      </c>
      <c r="BV305" s="8">
        <f t="shared" si="56"/>
        <v>3858287</v>
      </c>
      <c r="BW305" s="8"/>
      <c r="BX305" s="8">
        <f>BV305-'Gov Fd BS'!AE305</f>
        <v>0</v>
      </c>
      <c r="BY305" s="8"/>
      <c r="BZ305" s="7" t="s">
        <v>914</v>
      </c>
      <c r="CB305" s="101" t="str">
        <f t="shared" si="52"/>
        <v>Loudonville-Perrysville Exempted Village SD</v>
      </c>
      <c r="CC305" s="101" t="b">
        <f t="shared" si="49"/>
        <v>1</v>
      </c>
      <c r="CD305" s="101" t="str">
        <f>'Gov Fd Rv'!A305</f>
        <v>Loudonville-Perrysville Exempted Village SD</v>
      </c>
      <c r="CE305" s="8" t="b">
        <f t="shared" si="48"/>
        <v>1</v>
      </c>
      <c r="CG305" s="8" t="str">
        <f t="shared" si="50"/>
        <v>Ashland</v>
      </c>
      <c r="CH305" s="8" t="b">
        <f t="shared" si="51"/>
        <v>1</v>
      </c>
      <c r="CI305" s="8" t="b">
        <f>C305='Gov Fd Rv'!C305</f>
        <v>1</v>
      </c>
    </row>
    <row r="306" spans="1:87">
      <c r="A306" s="12" t="s">
        <v>514</v>
      </c>
      <c r="B306" s="12"/>
      <c r="C306" s="12" t="s">
        <v>62</v>
      </c>
      <c r="D306" s="12"/>
      <c r="E306" s="12">
        <v>49874</v>
      </c>
      <c r="G306" s="7">
        <v>12727858</v>
      </c>
      <c r="I306" s="7">
        <v>3407647</v>
      </c>
      <c r="K306" s="7">
        <v>411521</v>
      </c>
      <c r="M306" s="7">
        <v>0</v>
      </c>
      <c r="O306" s="7">
        <v>890002</v>
      </c>
      <c r="Q306" s="7">
        <v>1653522</v>
      </c>
      <c r="S306" s="7">
        <v>911834</v>
      </c>
      <c r="U306" s="7">
        <v>64819</v>
      </c>
      <c r="W306" s="7">
        <v>1816846</v>
      </c>
      <c r="Y306" s="7">
        <v>614669</v>
      </c>
      <c r="AA306" s="7">
        <v>69756</v>
      </c>
      <c r="AC306" s="7">
        <v>2475620</v>
      </c>
      <c r="AE306" s="7">
        <v>1187812</v>
      </c>
      <c r="AG306" s="7">
        <v>20770</v>
      </c>
      <c r="AI306" s="7">
        <v>0</v>
      </c>
      <c r="AK306" s="7">
        <v>1548866</v>
      </c>
      <c r="AL306" s="12" t="s">
        <v>514</v>
      </c>
      <c r="AM306" s="12"/>
      <c r="AN306" s="12" t="s">
        <v>62</v>
      </c>
      <c r="AP306" s="7">
        <v>938749</v>
      </c>
      <c r="AR306" s="7">
        <v>22315998</v>
      </c>
      <c r="AT306" s="7">
        <v>0</v>
      </c>
      <c r="AV306" s="7">
        <v>627864</v>
      </c>
      <c r="AX306" s="7">
        <f>1228496+242962</f>
        <v>1471458</v>
      </c>
      <c r="AZ306" s="7">
        <v>0</v>
      </c>
      <c r="BB306" s="8">
        <f t="shared" si="54"/>
        <v>53155611</v>
      </c>
      <c r="BD306" s="7">
        <v>54700</v>
      </c>
      <c r="BF306" s="7">
        <v>0</v>
      </c>
      <c r="BH306" s="7">
        <v>0</v>
      </c>
      <c r="BJ306" s="7">
        <v>22999308</v>
      </c>
      <c r="BL306" s="8">
        <f t="shared" si="55"/>
        <v>76209619</v>
      </c>
      <c r="BN306" s="8">
        <f>'Gov Fd Rv'!AQ306-'Gov Fnd Exp'!BL306</f>
        <v>-3219010</v>
      </c>
      <c r="BP306" s="7">
        <v>27565017</v>
      </c>
      <c r="BR306" s="7">
        <v>0</v>
      </c>
      <c r="BT306" s="7">
        <v>0</v>
      </c>
      <c r="BV306" s="8">
        <f t="shared" si="56"/>
        <v>24346007</v>
      </c>
      <c r="BW306" s="8"/>
      <c r="BX306" s="8">
        <f>BV306-'Gov Fd BS'!AE306</f>
        <v>0</v>
      </c>
      <c r="BY306" s="8"/>
      <c r="BZ306" s="7" t="s">
        <v>923</v>
      </c>
      <c r="CB306" s="101" t="str">
        <f t="shared" si="52"/>
        <v>Louisville City SD</v>
      </c>
      <c r="CC306" s="101" t="b">
        <f t="shared" si="49"/>
        <v>1</v>
      </c>
      <c r="CD306" s="101" t="str">
        <f>'Gov Fd Rv'!A306</f>
        <v>Louisville City SD</v>
      </c>
      <c r="CE306" s="8" t="b">
        <f t="shared" si="48"/>
        <v>1</v>
      </c>
      <c r="CG306" s="8" t="str">
        <f t="shared" si="50"/>
        <v>Stark</v>
      </c>
      <c r="CH306" s="8" t="b">
        <f t="shared" si="51"/>
        <v>1</v>
      </c>
      <c r="CI306" s="8" t="b">
        <f>C306='Gov Fd Rv'!C306</f>
        <v>1</v>
      </c>
    </row>
    <row r="307" spans="1:87">
      <c r="A307" s="12" t="s">
        <v>332</v>
      </c>
      <c r="B307" s="12"/>
      <c r="C307" s="12" t="s">
        <v>32</v>
      </c>
      <c r="D307" s="12"/>
      <c r="E307" s="12">
        <v>44271</v>
      </c>
      <c r="G307" s="7">
        <v>19798585</v>
      </c>
      <c r="I307" s="7">
        <v>6105412</v>
      </c>
      <c r="K307" s="7">
        <v>176374</v>
      </c>
      <c r="M307" s="7">
        <v>0</v>
      </c>
      <c r="O307" s="7">
        <v>929667</v>
      </c>
      <c r="Q307" s="7">
        <v>2461451</v>
      </c>
      <c r="S307" s="7">
        <v>1333209</v>
      </c>
      <c r="U307" s="7">
        <v>101631</v>
      </c>
      <c r="W307" s="7">
        <v>2901547</v>
      </c>
      <c r="Y307" s="7">
        <v>994743</v>
      </c>
      <c r="AA307" s="7">
        <v>231888</v>
      </c>
      <c r="AC307" s="7">
        <v>3302473</v>
      </c>
      <c r="AE307" s="7">
        <v>3255524</v>
      </c>
      <c r="AG307" s="7">
        <v>880900</v>
      </c>
      <c r="AI307" s="7">
        <v>0</v>
      </c>
      <c r="AK307" s="7">
        <v>2254937</v>
      </c>
      <c r="AL307" s="12" t="s">
        <v>332</v>
      </c>
      <c r="AM307" s="12"/>
      <c r="AN307" s="12" t="s">
        <v>32</v>
      </c>
      <c r="AP307" s="7">
        <v>1251090</v>
      </c>
      <c r="AR307" s="7">
        <v>1704994</v>
      </c>
      <c r="AT307" s="7">
        <v>0</v>
      </c>
      <c r="AV307" s="7">
        <v>1312922</v>
      </c>
      <c r="AX307" s="7">
        <v>1716028</v>
      </c>
      <c r="AZ307" s="7">
        <v>0</v>
      </c>
      <c r="BB307" s="8">
        <f t="shared" si="54"/>
        <v>50713375</v>
      </c>
      <c r="BD307" s="7">
        <v>36226</v>
      </c>
      <c r="BF307" s="7">
        <v>0</v>
      </c>
      <c r="BH307" s="7">
        <v>0</v>
      </c>
      <c r="BJ307" s="7">
        <v>0</v>
      </c>
      <c r="BL307" s="8">
        <f t="shared" si="55"/>
        <v>50749601</v>
      </c>
      <c r="BN307" s="8">
        <f>'Gov Fd Rv'!AQ307-'Gov Fnd Exp'!BL307</f>
        <v>1349395</v>
      </c>
      <c r="BP307" s="7">
        <v>9966502</v>
      </c>
      <c r="BR307" s="7">
        <v>0</v>
      </c>
      <c r="BT307" s="7">
        <v>0</v>
      </c>
      <c r="BV307" s="8">
        <f t="shared" si="56"/>
        <v>11315897</v>
      </c>
      <c r="BW307" s="8"/>
      <c r="BX307" s="8">
        <f>BV307-'Gov Fd BS'!AE307</f>
        <v>0</v>
      </c>
      <c r="BY307" s="8"/>
      <c r="CB307" s="101" t="str">
        <f t="shared" si="52"/>
        <v>Loveland City SD</v>
      </c>
      <c r="CC307" s="101" t="b">
        <f t="shared" si="49"/>
        <v>1</v>
      </c>
      <c r="CD307" s="101" t="str">
        <f>'Gov Fd Rv'!A307</f>
        <v>Loveland City SD</v>
      </c>
      <c r="CE307" s="8" t="b">
        <f t="shared" si="48"/>
        <v>1</v>
      </c>
      <c r="CG307" s="8" t="str">
        <f t="shared" si="50"/>
        <v>Hamilton</v>
      </c>
      <c r="CH307" s="8" t="b">
        <f t="shared" si="51"/>
        <v>1</v>
      </c>
      <c r="CI307" s="8" t="b">
        <f>C307='Gov Fd Rv'!C307</f>
        <v>1</v>
      </c>
    </row>
    <row r="308" spans="1:87">
      <c r="A308" s="12" t="s">
        <v>720</v>
      </c>
      <c r="B308" s="12"/>
      <c r="C308" s="12" t="s">
        <v>45</v>
      </c>
      <c r="D308" s="12"/>
      <c r="E308" s="12">
        <v>48330</v>
      </c>
      <c r="G308" s="7">
        <v>2649091</v>
      </c>
      <c r="I308" s="7">
        <v>249120</v>
      </c>
      <c r="K308" s="7">
        <v>31040</v>
      </c>
      <c r="M308" s="7">
        <v>0</v>
      </c>
      <c r="O308" s="7">
        <v>710</v>
      </c>
      <c r="Q308" s="7">
        <v>149190</v>
      </c>
      <c r="S308" s="7">
        <v>339037</v>
      </c>
      <c r="U308" s="7">
        <v>37687</v>
      </c>
      <c r="W308" s="7">
        <v>351849</v>
      </c>
      <c r="Y308" s="7">
        <v>163778</v>
      </c>
      <c r="AA308" s="7">
        <v>0</v>
      </c>
      <c r="AC308" s="7">
        <v>503247</v>
      </c>
      <c r="AE308" s="7">
        <v>119043</v>
      </c>
      <c r="AG308" s="7">
        <v>78053</v>
      </c>
      <c r="AI308" s="7">
        <v>222774</v>
      </c>
      <c r="AK308" s="7">
        <v>0</v>
      </c>
      <c r="AL308" s="12" t="s">
        <v>720</v>
      </c>
      <c r="AM308" s="12"/>
      <c r="AN308" s="12" t="s">
        <v>45</v>
      </c>
      <c r="AP308" s="7">
        <v>350339</v>
      </c>
      <c r="AR308" s="7">
        <v>0</v>
      </c>
      <c r="AT308" s="7">
        <v>0</v>
      </c>
      <c r="AV308" s="7">
        <v>75000</v>
      </c>
      <c r="AX308" s="7">
        <v>89368</v>
      </c>
      <c r="AZ308" s="7">
        <v>0</v>
      </c>
      <c r="BB308" s="8">
        <f t="shared" si="54"/>
        <v>5409326</v>
      </c>
      <c r="BD308" s="7">
        <v>33767</v>
      </c>
      <c r="BF308" s="7">
        <v>0</v>
      </c>
      <c r="BH308" s="7">
        <v>0</v>
      </c>
      <c r="BJ308" s="7">
        <v>0</v>
      </c>
      <c r="BL308" s="8">
        <f t="shared" si="55"/>
        <v>5443093</v>
      </c>
      <c r="BN308" s="8">
        <f>'Gov Fd Rv'!AQ308-'Gov Fnd Exp'!BL308</f>
        <v>377299</v>
      </c>
      <c r="BP308" s="7">
        <v>3528828</v>
      </c>
      <c r="BR308" s="7">
        <v>0</v>
      </c>
      <c r="BT308" s="7">
        <v>0</v>
      </c>
      <c r="BV308" s="8">
        <f t="shared" si="56"/>
        <v>3906127</v>
      </c>
      <c r="BW308" s="8"/>
      <c r="BX308" s="8">
        <f>BV308-'Gov Fd BS'!AE308</f>
        <v>0</v>
      </c>
      <c r="BY308" s="8"/>
      <c r="CB308" s="101" t="str">
        <f t="shared" si="52"/>
        <v xml:space="preserve">Lowellville Local SD </v>
      </c>
      <c r="CC308" s="101" t="b">
        <f t="shared" si="49"/>
        <v>1</v>
      </c>
      <c r="CD308" s="101" t="str">
        <f>'Gov Fd Rv'!A308</f>
        <v xml:space="preserve">Lowellville Local SD </v>
      </c>
      <c r="CE308" s="8" t="b">
        <f t="shared" si="48"/>
        <v>1</v>
      </c>
      <c r="CG308" s="8" t="str">
        <f t="shared" si="50"/>
        <v>Mahoning</v>
      </c>
      <c r="CH308" s="8" t="b">
        <f t="shared" si="51"/>
        <v>1</v>
      </c>
      <c r="CI308" s="8" t="b">
        <f>C308='Gov Fd Rv'!C308</f>
        <v>1</v>
      </c>
    </row>
    <row r="309" spans="1:87">
      <c r="A309" s="12" t="s">
        <v>924</v>
      </c>
      <c r="B309" s="12"/>
      <c r="C309" s="12" t="s">
        <v>110</v>
      </c>
      <c r="D309" s="12"/>
      <c r="E309" s="12">
        <v>49445</v>
      </c>
      <c r="G309" s="7">
        <v>2453285</v>
      </c>
      <c r="I309" s="7">
        <v>586945</v>
      </c>
      <c r="K309" s="7">
        <v>0</v>
      </c>
      <c r="M309" s="7">
        <v>0</v>
      </c>
      <c r="O309" s="7">
        <v>384441</v>
      </c>
      <c r="Q309" s="7">
        <v>74339</v>
      </c>
      <c r="S309" s="7">
        <v>310186</v>
      </c>
      <c r="U309" s="7">
        <v>35376</v>
      </c>
      <c r="W309" s="7">
        <v>416886</v>
      </c>
      <c r="Y309" s="7">
        <v>224230</v>
      </c>
      <c r="AA309" s="7">
        <v>0</v>
      </c>
      <c r="AC309" s="7">
        <v>1112245</v>
      </c>
      <c r="AE309" s="7">
        <v>297358</v>
      </c>
      <c r="AG309" s="7">
        <v>38537</v>
      </c>
      <c r="AI309" s="7">
        <v>235294</v>
      </c>
      <c r="AK309" s="7">
        <v>1547</v>
      </c>
      <c r="AL309" s="12" t="s">
        <v>924</v>
      </c>
      <c r="AM309" s="12"/>
      <c r="AN309" s="12" t="s">
        <v>110</v>
      </c>
      <c r="AP309" s="7">
        <v>177846</v>
      </c>
      <c r="AR309" s="7">
        <v>0</v>
      </c>
      <c r="AT309" s="7">
        <v>0</v>
      </c>
      <c r="AV309" s="7">
        <v>16198</v>
      </c>
      <c r="AX309" s="7">
        <v>19114</v>
      </c>
      <c r="AZ309" s="7">
        <v>0</v>
      </c>
      <c r="BB309" s="8">
        <f t="shared" si="54"/>
        <v>6383827</v>
      </c>
      <c r="BD309" s="7">
        <v>25000</v>
      </c>
      <c r="BF309" s="7">
        <v>0</v>
      </c>
      <c r="BH309" s="7">
        <v>0</v>
      </c>
      <c r="BJ309" s="7">
        <v>0</v>
      </c>
      <c r="BL309" s="8">
        <f t="shared" si="55"/>
        <v>6408827</v>
      </c>
      <c r="BN309" s="8">
        <f>'Gov Fd Rv'!AQ309-'Gov Fnd Exp'!BL309</f>
        <v>726557</v>
      </c>
      <c r="BP309" s="7">
        <v>3183292</v>
      </c>
      <c r="BR309" s="7">
        <v>0</v>
      </c>
      <c r="BT309" s="7">
        <v>0</v>
      </c>
      <c r="BV309" s="8">
        <f t="shared" si="56"/>
        <v>3909849</v>
      </c>
      <c r="BW309" s="8"/>
      <c r="BX309" s="8">
        <f>BV309-'Gov Fd BS'!AE309</f>
        <v>0</v>
      </c>
      <c r="BY309" s="8"/>
      <c r="CB309" s="101" t="str">
        <f t="shared" si="52"/>
        <v>Lucas Local SD</v>
      </c>
      <c r="CC309" s="101" t="b">
        <f t="shared" si="49"/>
        <v>1</v>
      </c>
      <c r="CD309" s="101" t="str">
        <f>'Gov Fd Rv'!A309</f>
        <v>Lucas Local SD</v>
      </c>
      <c r="CE309" s="8" t="b">
        <f t="shared" si="48"/>
        <v>1</v>
      </c>
      <c r="CG309" s="8" t="str">
        <f t="shared" si="50"/>
        <v>Richland</v>
      </c>
      <c r="CH309" s="8" t="b">
        <f t="shared" si="51"/>
        <v>1</v>
      </c>
      <c r="CI309" s="8" t="b">
        <f>C309='Gov Fd Rv'!C309</f>
        <v>1</v>
      </c>
    </row>
    <row r="310" spans="1:87">
      <c r="A310" s="12" t="s">
        <v>361</v>
      </c>
      <c r="B310" s="12"/>
      <c r="C310" s="12" t="s">
        <v>358</v>
      </c>
      <c r="D310" s="12"/>
      <c r="E310" s="12">
        <v>47639</v>
      </c>
      <c r="G310" s="7">
        <v>6087060</v>
      </c>
      <c r="I310" s="7">
        <v>1055126</v>
      </c>
      <c r="K310" s="7">
        <v>194308</v>
      </c>
      <c r="M310" s="7">
        <v>0</v>
      </c>
      <c r="O310" s="7">
        <v>45226</v>
      </c>
      <c r="Q310" s="7">
        <v>405988</v>
      </c>
      <c r="S310" s="7">
        <v>734067</v>
      </c>
      <c r="U310" s="7">
        <v>58150</v>
      </c>
      <c r="W310" s="7">
        <v>1107779</v>
      </c>
      <c r="Y310" s="7">
        <v>334563</v>
      </c>
      <c r="AA310" s="7">
        <v>46618</v>
      </c>
      <c r="AC310" s="7">
        <v>1238616</v>
      </c>
      <c r="AE310" s="7">
        <v>925533</v>
      </c>
      <c r="AG310" s="7">
        <v>12197</v>
      </c>
      <c r="AI310" s="7">
        <v>545090</v>
      </c>
      <c r="AK310" s="7">
        <v>49</v>
      </c>
      <c r="AL310" s="12" t="s">
        <v>361</v>
      </c>
      <c r="AM310" s="12"/>
      <c r="AN310" s="12" t="s">
        <v>358</v>
      </c>
      <c r="AP310" s="7">
        <v>205414</v>
      </c>
      <c r="AR310" s="7">
        <v>0</v>
      </c>
      <c r="AT310" s="7">
        <v>0</v>
      </c>
      <c r="AV310" s="7">
        <v>110000</v>
      </c>
      <c r="AX310" s="7">
        <v>59131</v>
      </c>
      <c r="AZ310" s="7">
        <v>0</v>
      </c>
      <c r="BB310" s="8">
        <f t="shared" si="54"/>
        <v>13164915</v>
      </c>
      <c r="BD310" s="7">
        <v>98632</v>
      </c>
      <c r="BF310" s="7">
        <v>0</v>
      </c>
      <c r="BH310" s="7">
        <v>0</v>
      </c>
      <c r="BJ310" s="7">
        <v>0</v>
      </c>
      <c r="BL310" s="8">
        <f t="shared" si="55"/>
        <v>13263547</v>
      </c>
      <c r="BN310" s="8">
        <f>'Gov Fd Rv'!AQ310-'Gov Fnd Exp'!BL310</f>
        <v>-141457</v>
      </c>
      <c r="BP310" s="7">
        <v>8139758</v>
      </c>
      <c r="BR310" s="7">
        <v>0</v>
      </c>
      <c r="BT310" s="7">
        <v>0</v>
      </c>
      <c r="BV310" s="8">
        <f t="shared" si="56"/>
        <v>7998301</v>
      </c>
      <c r="BW310" s="8"/>
      <c r="BX310" s="8">
        <f>BV310-'Gov Fd BS'!AE310</f>
        <v>0</v>
      </c>
      <c r="BY310" s="8"/>
      <c r="BZ310" s="7" t="s">
        <v>927</v>
      </c>
      <c r="CB310" s="101" t="str">
        <f t="shared" si="52"/>
        <v>Lynchburg-Clay Local SD</v>
      </c>
      <c r="CC310" s="101" t="b">
        <f t="shared" si="49"/>
        <v>1</v>
      </c>
      <c r="CD310" s="101" t="str">
        <f>'Gov Fd Rv'!A310</f>
        <v>Lynchburg-Clay Local SD</v>
      </c>
      <c r="CE310" s="8" t="b">
        <f t="shared" si="48"/>
        <v>1</v>
      </c>
      <c r="CG310" s="8" t="str">
        <f t="shared" si="50"/>
        <v>Highland</v>
      </c>
      <c r="CH310" s="8" t="b">
        <f t="shared" si="51"/>
        <v>1</v>
      </c>
      <c r="CI310" s="8" t="b">
        <f>C310='Gov Fd Rv'!C310</f>
        <v>1</v>
      </c>
    </row>
    <row r="311" spans="1:87">
      <c r="A311" s="12" t="s">
        <v>750</v>
      </c>
      <c r="B311" s="12"/>
      <c r="C311" s="12" t="s">
        <v>50</v>
      </c>
      <c r="D311" s="12"/>
      <c r="E311" s="12">
        <v>48702</v>
      </c>
      <c r="G311" s="7">
        <v>16221125</v>
      </c>
      <c r="I311" s="7">
        <v>4845894</v>
      </c>
      <c r="K311" s="7">
        <v>1836234</v>
      </c>
      <c r="M311" s="7">
        <v>33389</v>
      </c>
      <c r="O311" s="7">
        <v>1552254</v>
      </c>
      <c r="Q311" s="7">
        <v>2859428</v>
      </c>
      <c r="S311" s="7">
        <v>3266853</v>
      </c>
      <c r="U311" s="7">
        <v>90423</v>
      </c>
      <c r="W311" s="7">
        <v>3233148</v>
      </c>
      <c r="Y311" s="7">
        <v>569968</v>
      </c>
      <c r="AA311" s="7">
        <v>192</v>
      </c>
      <c r="AC311" s="7">
        <v>4517316</v>
      </c>
      <c r="AE311" s="7">
        <v>1381912</v>
      </c>
      <c r="AG311" s="7">
        <v>414832</v>
      </c>
      <c r="AI311" s="7">
        <v>0</v>
      </c>
      <c r="AK311" s="7">
        <v>2645175</v>
      </c>
      <c r="AL311" s="12" t="s">
        <v>750</v>
      </c>
      <c r="AM311" s="12"/>
      <c r="AN311" s="12" t="s">
        <v>50</v>
      </c>
      <c r="AP311" s="7">
        <v>686217</v>
      </c>
      <c r="AR311" s="7">
        <v>30545</v>
      </c>
      <c r="AT311" s="7">
        <v>0</v>
      </c>
      <c r="AV311" s="7">
        <v>1048758</v>
      </c>
      <c r="AX311" s="7">
        <v>618659</v>
      </c>
      <c r="AZ311" s="7">
        <v>0</v>
      </c>
      <c r="BB311" s="8">
        <f t="shared" si="54"/>
        <v>45852322</v>
      </c>
      <c r="BD311" s="7">
        <v>0</v>
      </c>
      <c r="BF311" s="7">
        <v>0</v>
      </c>
      <c r="BH311" s="7">
        <v>0</v>
      </c>
      <c r="BJ311" s="7">
        <v>0</v>
      </c>
      <c r="BL311" s="8">
        <f t="shared" si="55"/>
        <v>45852322</v>
      </c>
      <c r="BN311" s="8">
        <f>'Gov Fd Rv'!AQ311-'Gov Fnd Exp'!BL311</f>
        <v>-3754585</v>
      </c>
      <c r="BP311" s="7">
        <v>15477510</v>
      </c>
      <c r="BR311" s="7">
        <v>0</v>
      </c>
      <c r="BT311" s="7">
        <v>0</v>
      </c>
      <c r="BV311" s="8">
        <f t="shared" si="56"/>
        <v>11722925</v>
      </c>
      <c r="BW311" s="8"/>
      <c r="BX311" s="8">
        <f>BV311-'Gov Fd BS'!AE311</f>
        <v>0</v>
      </c>
      <c r="BY311" s="8"/>
      <c r="CB311" s="101" t="str">
        <f t="shared" si="52"/>
        <v xml:space="preserve">Mad River Local SD </v>
      </c>
      <c r="CC311" s="101" t="b">
        <f t="shared" si="49"/>
        <v>1</v>
      </c>
      <c r="CD311" s="101" t="str">
        <f>'Gov Fd Rv'!A311</f>
        <v xml:space="preserve">Mad River Local SD </v>
      </c>
      <c r="CE311" s="8" t="b">
        <f t="shared" si="48"/>
        <v>1</v>
      </c>
      <c r="CG311" s="8" t="str">
        <f t="shared" si="50"/>
        <v>Montgomery</v>
      </c>
      <c r="CH311" s="8" t="b">
        <f t="shared" si="51"/>
        <v>1</v>
      </c>
      <c r="CI311" s="8" t="b">
        <f>C311='Gov Fd Rv'!C311</f>
        <v>1</v>
      </c>
    </row>
    <row r="312" spans="1:87">
      <c r="A312" s="12" t="s">
        <v>333</v>
      </c>
      <c r="B312" s="12"/>
      <c r="C312" s="12" t="s">
        <v>32</v>
      </c>
      <c r="D312" s="12"/>
      <c r="E312" s="12">
        <v>44289</v>
      </c>
      <c r="G312" s="7">
        <v>7441489</v>
      </c>
      <c r="I312" s="7">
        <v>2265106</v>
      </c>
      <c r="K312" s="7">
        <v>0</v>
      </c>
      <c r="M312" s="7">
        <v>0</v>
      </c>
      <c r="O312" s="7">
        <v>73827</v>
      </c>
      <c r="Q312" s="7">
        <v>1154800</v>
      </c>
      <c r="S312" s="7">
        <v>379889</v>
      </c>
      <c r="U312" s="7">
        <v>44941</v>
      </c>
      <c r="W312" s="7">
        <v>1253918</v>
      </c>
      <c r="Y312" s="7">
        <v>506623</v>
      </c>
      <c r="AA312" s="7">
        <v>54841</v>
      </c>
      <c r="AC312" s="7">
        <v>1549049</v>
      </c>
      <c r="AE312" s="7">
        <v>780415</v>
      </c>
      <c r="AG312" s="7">
        <v>495852</v>
      </c>
      <c r="AI312" s="7">
        <v>0</v>
      </c>
      <c r="AK312" s="7">
        <v>956187</v>
      </c>
      <c r="AL312" s="12" t="s">
        <v>333</v>
      </c>
      <c r="AM312" s="12"/>
      <c r="AN312" s="12" t="s">
        <v>32</v>
      </c>
      <c r="AP312" s="7">
        <v>541814</v>
      </c>
      <c r="AR312" s="7">
        <v>1820386</v>
      </c>
      <c r="AT312" s="7">
        <v>0</v>
      </c>
      <c r="AV312" s="7">
        <v>1496071</v>
      </c>
      <c r="AX312" s="7">
        <v>1101394</v>
      </c>
      <c r="AZ312" s="7">
        <v>0</v>
      </c>
      <c r="BB312" s="8">
        <f t="shared" si="54"/>
        <v>21916602</v>
      </c>
      <c r="BD312" s="7">
        <v>40000</v>
      </c>
      <c r="BF312" s="7">
        <v>0</v>
      </c>
      <c r="BH312" s="7">
        <v>0</v>
      </c>
      <c r="BJ312" s="7">
        <v>0</v>
      </c>
      <c r="BL312" s="8">
        <f t="shared" si="55"/>
        <v>21956602</v>
      </c>
      <c r="BN312" s="8">
        <f>'Gov Fd Rv'!AQ312-'Gov Fnd Exp'!BL312</f>
        <v>-1377922</v>
      </c>
      <c r="BP312" s="7">
        <v>11823731</v>
      </c>
      <c r="BR312" s="7">
        <v>0</v>
      </c>
      <c r="BT312" s="7">
        <v>0</v>
      </c>
      <c r="BV312" s="8">
        <f t="shared" si="56"/>
        <v>10445809</v>
      </c>
      <c r="BW312" s="8"/>
      <c r="BX312" s="8">
        <f>BV312-'Gov Fd BS'!AE312</f>
        <v>0</v>
      </c>
      <c r="BY312" s="8"/>
      <c r="CB312" s="101" t="str">
        <f t="shared" si="52"/>
        <v>Madeira City SD</v>
      </c>
      <c r="CC312" s="101" t="b">
        <f t="shared" si="49"/>
        <v>1</v>
      </c>
      <c r="CD312" s="101" t="str">
        <f>'Gov Fd Rv'!A312</f>
        <v>Madeira City SD</v>
      </c>
      <c r="CE312" s="8" t="b">
        <f t="shared" si="48"/>
        <v>1</v>
      </c>
      <c r="CG312" s="8" t="str">
        <f t="shared" si="50"/>
        <v>Hamilton</v>
      </c>
      <c r="CH312" s="8" t="b">
        <f t="shared" si="51"/>
        <v>1</v>
      </c>
      <c r="CI312" s="8" t="b">
        <f>C312='Gov Fd Rv'!C312</f>
        <v>1</v>
      </c>
    </row>
    <row r="313" spans="1:87">
      <c r="A313" s="12" t="s">
        <v>227</v>
      </c>
      <c r="B313" s="12"/>
      <c r="C313" s="12" t="s">
        <v>223</v>
      </c>
      <c r="D313" s="12"/>
      <c r="E313" s="12">
        <v>46128</v>
      </c>
      <c r="G313" s="7">
        <v>6203179</v>
      </c>
      <c r="I313" s="7">
        <v>1164254</v>
      </c>
      <c r="K313" s="7">
        <v>0</v>
      </c>
      <c r="M313" s="7">
        <v>0</v>
      </c>
      <c r="O313" s="7">
        <v>509849</v>
      </c>
      <c r="Q313" s="7">
        <v>683170</v>
      </c>
      <c r="S313" s="7">
        <v>954400</v>
      </c>
      <c r="U313" s="7">
        <v>89245</v>
      </c>
      <c r="W313" s="7">
        <v>1084097</v>
      </c>
      <c r="Y313" s="7">
        <v>316702</v>
      </c>
      <c r="AA313" s="7">
        <v>2147</v>
      </c>
      <c r="AC313" s="7">
        <v>1562888</v>
      </c>
      <c r="AE313" s="7">
        <v>950706</v>
      </c>
      <c r="AG313" s="7">
        <v>474694</v>
      </c>
      <c r="AI313" s="7">
        <v>641383</v>
      </c>
      <c r="AK313" s="7">
        <v>31703</v>
      </c>
      <c r="AL313" s="12" t="s">
        <v>227</v>
      </c>
      <c r="AM313" s="12"/>
      <c r="AN313" s="12" t="s">
        <v>223</v>
      </c>
      <c r="AP313" s="7">
        <v>431558</v>
      </c>
      <c r="AR313" s="7">
        <v>5107660</v>
      </c>
      <c r="AT313" s="7">
        <v>0</v>
      </c>
      <c r="AV313" s="7">
        <v>713796</v>
      </c>
      <c r="AX313" s="7">
        <v>540963</v>
      </c>
      <c r="AZ313" s="7">
        <v>0</v>
      </c>
      <c r="BB313" s="8">
        <f t="shared" si="54"/>
        <v>21462394</v>
      </c>
      <c r="BD313" s="7">
        <v>16102</v>
      </c>
      <c r="BF313" s="7">
        <v>0</v>
      </c>
      <c r="BH313" s="7">
        <v>0</v>
      </c>
      <c r="BJ313" s="7">
        <v>0</v>
      </c>
      <c r="BL313" s="8">
        <f t="shared" si="55"/>
        <v>21478496</v>
      </c>
      <c r="BN313" s="8">
        <f>'Gov Fd Rv'!AQ313-'Gov Fnd Exp'!BL313</f>
        <v>-6229537</v>
      </c>
      <c r="BP313" s="7">
        <v>8909050</v>
      </c>
      <c r="BR313" s="7">
        <v>4006</v>
      </c>
      <c r="BT313" s="7">
        <v>0</v>
      </c>
      <c r="BV313" s="8">
        <f t="shared" si="56"/>
        <v>2683519</v>
      </c>
      <c r="BW313" s="8"/>
      <c r="BX313" s="8">
        <f>BV313-'Gov Fd BS'!AE313</f>
        <v>0</v>
      </c>
      <c r="BY313" s="8"/>
      <c r="CB313" s="101" t="str">
        <f t="shared" si="52"/>
        <v>Madison Local SD</v>
      </c>
      <c r="CC313" s="101" t="b">
        <f t="shared" si="49"/>
        <v>1</v>
      </c>
      <c r="CD313" s="101" t="str">
        <f>'Gov Fd Rv'!A313</f>
        <v>Madison Local SD</v>
      </c>
      <c r="CE313" s="8" t="b">
        <f t="shared" si="48"/>
        <v>1</v>
      </c>
      <c r="CG313" s="8" t="str">
        <f t="shared" si="50"/>
        <v>Butler</v>
      </c>
      <c r="CH313" s="8" t="b">
        <f t="shared" si="51"/>
        <v>1</v>
      </c>
      <c r="CI313" s="8" t="b">
        <f>C313='Gov Fd Rv'!C313</f>
        <v>1</v>
      </c>
    </row>
    <row r="314" spans="1:87" hidden="1">
      <c r="A314" s="12" t="s">
        <v>772</v>
      </c>
      <c r="B314" s="12"/>
      <c r="C314" s="12" t="s">
        <v>41</v>
      </c>
      <c r="D314" s="12"/>
      <c r="E314" s="12"/>
      <c r="AL314" s="12" t="s">
        <v>772</v>
      </c>
      <c r="AM314" s="12"/>
      <c r="AN314" s="12" t="s">
        <v>41</v>
      </c>
      <c r="AT314" s="7">
        <v>0</v>
      </c>
      <c r="AZ314" s="7">
        <v>0</v>
      </c>
      <c r="BB314" s="8">
        <f t="shared" si="54"/>
        <v>0</v>
      </c>
      <c r="BF314" s="7">
        <v>0</v>
      </c>
      <c r="BH314" s="7">
        <v>0</v>
      </c>
      <c r="BJ314" s="7">
        <v>0</v>
      </c>
      <c r="BL314" s="8">
        <f t="shared" si="55"/>
        <v>0</v>
      </c>
      <c r="BN314" s="8">
        <f>'Gov Fd Rv'!AQ314-'Gov Fnd Exp'!BL314</f>
        <v>0</v>
      </c>
      <c r="BT314" s="7">
        <v>0</v>
      </c>
      <c r="BV314" s="8">
        <f t="shared" si="56"/>
        <v>0</v>
      </c>
      <c r="BW314" s="8"/>
      <c r="BX314" s="8">
        <f>BV314-'Gov Fd BS'!AE314</f>
        <v>0</v>
      </c>
      <c r="BY314" s="8"/>
      <c r="BZ314" s="7" t="s">
        <v>839</v>
      </c>
      <c r="CB314" s="101" t="str">
        <f t="shared" si="52"/>
        <v xml:space="preserve">Madison Local SD (CASH)  </v>
      </c>
      <c r="CC314" s="101" t="b">
        <f t="shared" si="49"/>
        <v>1</v>
      </c>
      <c r="CD314" s="101" t="str">
        <f>'Gov Fd Rv'!A314</f>
        <v xml:space="preserve">Madison Local SD (CASH)  </v>
      </c>
      <c r="CE314" s="8" t="b">
        <f t="shared" si="48"/>
        <v>1</v>
      </c>
      <c r="CG314" s="8" t="str">
        <f t="shared" si="50"/>
        <v>Lake</v>
      </c>
      <c r="CH314" s="8" t="b">
        <f t="shared" si="51"/>
        <v>1</v>
      </c>
      <c r="CI314" s="8" t="b">
        <f>C314='Gov Fd Rv'!C314</f>
        <v>1</v>
      </c>
    </row>
    <row r="315" spans="1:87">
      <c r="A315" s="12" t="s">
        <v>227</v>
      </c>
      <c r="B315" s="12"/>
      <c r="C315" s="12" t="s">
        <v>110</v>
      </c>
      <c r="D315" s="12"/>
      <c r="E315" s="12">
        <v>49452</v>
      </c>
      <c r="G315" s="7">
        <v>12850926</v>
      </c>
      <c r="I315" s="7">
        <v>3738596</v>
      </c>
      <c r="K315" s="7">
        <v>3105934</v>
      </c>
      <c r="M315" s="7">
        <v>79054</v>
      </c>
      <c r="O315" s="7">
        <v>2449196</v>
      </c>
      <c r="Q315" s="7">
        <v>1330698</v>
      </c>
      <c r="S315" s="7">
        <v>1774913</v>
      </c>
      <c r="U315" s="7">
        <v>54943</v>
      </c>
      <c r="W315" s="7">
        <v>2869676</v>
      </c>
      <c r="Y315" s="7">
        <v>582868</v>
      </c>
      <c r="AA315" s="7">
        <v>60889</v>
      </c>
      <c r="AC315" s="7">
        <v>2975090</v>
      </c>
      <c r="AE315" s="7">
        <v>1551847</v>
      </c>
      <c r="AG315" s="7">
        <v>315785</v>
      </c>
      <c r="AI315" s="7">
        <v>1257838</v>
      </c>
      <c r="AK315" s="7">
        <v>544838</v>
      </c>
      <c r="AL315" s="12" t="s">
        <v>227</v>
      </c>
      <c r="AM315" s="12"/>
      <c r="AN315" s="12" t="s">
        <v>110</v>
      </c>
      <c r="AP315" s="7">
        <v>530765</v>
      </c>
      <c r="AR315" s="7">
        <v>1476016</v>
      </c>
      <c r="AT315" s="7">
        <v>0</v>
      </c>
      <c r="AV315" s="7">
        <v>864193</v>
      </c>
      <c r="AX315" s="7">
        <v>456454</v>
      </c>
      <c r="AZ315" s="7">
        <v>0</v>
      </c>
      <c r="BB315" s="8">
        <f t="shared" si="54"/>
        <v>38870519</v>
      </c>
      <c r="BD315" s="7">
        <v>25000</v>
      </c>
      <c r="BF315" s="7">
        <v>0</v>
      </c>
      <c r="BH315" s="7">
        <v>0</v>
      </c>
      <c r="BJ315" s="7">
        <v>0</v>
      </c>
      <c r="BL315" s="8">
        <f t="shared" si="55"/>
        <v>38895519</v>
      </c>
      <c r="BN315" s="8">
        <f>'Gov Fd Rv'!AQ315-'Gov Fnd Exp'!BL315</f>
        <v>27185167</v>
      </c>
      <c r="BP315" s="7">
        <v>6972539</v>
      </c>
      <c r="BR315" s="7">
        <v>-1228</v>
      </c>
      <c r="BT315" s="7">
        <v>0</v>
      </c>
      <c r="BV315" s="8">
        <f t="shared" si="56"/>
        <v>34156478</v>
      </c>
      <c r="BW315" s="8"/>
      <c r="BX315" s="8">
        <f>BV315-'Gov Fd BS'!AE315</f>
        <v>0</v>
      </c>
      <c r="BY315" s="8"/>
      <c r="CB315" s="101" t="str">
        <f t="shared" si="52"/>
        <v>Madison Local SD</v>
      </c>
      <c r="CC315" s="101" t="b">
        <f t="shared" si="49"/>
        <v>1</v>
      </c>
      <c r="CD315" s="101" t="str">
        <f>'Gov Fd Rv'!A315</f>
        <v>Madison Local SD</v>
      </c>
      <c r="CE315" s="8" t="b">
        <f t="shared" si="48"/>
        <v>1</v>
      </c>
      <c r="CG315" s="8" t="str">
        <f t="shared" si="50"/>
        <v>Richland</v>
      </c>
      <c r="CH315" s="8" t="b">
        <f t="shared" si="51"/>
        <v>1</v>
      </c>
      <c r="CI315" s="8" t="b">
        <f>C315='Gov Fd Rv'!C315</f>
        <v>1</v>
      </c>
    </row>
    <row r="316" spans="1:87">
      <c r="A316" s="12" t="s">
        <v>730</v>
      </c>
      <c r="B316" s="12"/>
      <c r="C316" s="12" t="s">
        <v>411</v>
      </c>
      <c r="D316" s="12"/>
      <c r="E316" s="12"/>
      <c r="G316" s="7">
        <v>6766759</v>
      </c>
      <c r="I316" s="7">
        <v>897072</v>
      </c>
      <c r="K316" s="7">
        <v>437380</v>
      </c>
      <c r="M316" s="7">
        <v>0</v>
      </c>
      <c r="O316" s="7">
        <v>0</v>
      </c>
      <c r="Q316" s="7">
        <v>577883</v>
      </c>
      <c r="S316" s="7">
        <v>571355</v>
      </c>
      <c r="U316" s="7">
        <v>59632</v>
      </c>
      <c r="W316" s="7">
        <v>1303646</v>
      </c>
      <c r="Y316" s="7">
        <v>604394</v>
      </c>
      <c r="AA316" s="7">
        <v>943</v>
      </c>
      <c r="AC316" s="7">
        <v>922669</v>
      </c>
      <c r="AE316" s="7">
        <v>916020</v>
      </c>
      <c r="AG316" s="7">
        <v>446171</v>
      </c>
      <c r="AI316" s="7">
        <v>637016</v>
      </c>
      <c r="AK316" s="7">
        <v>8427</v>
      </c>
      <c r="AL316" s="12" t="s">
        <v>730</v>
      </c>
      <c r="AM316" s="12"/>
      <c r="AN316" s="12" t="s">
        <v>411</v>
      </c>
      <c r="AP316" s="7">
        <v>514910</v>
      </c>
      <c r="AR316" s="7">
        <v>3208287</v>
      </c>
      <c r="AT316" s="7">
        <v>0</v>
      </c>
      <c r="AV316" s="7">
        <v>25000</v>
      </c>
      <c r="AX316" s="7">
        <f>7661+15393</f>
        <v>23054</v>
      </c>
      <c r="AZ316" s="7">
        <v>0</v>
      </c>
      <c r="BB316" s="8">
        <f t="shared" si="54"/>
        <v>17920618</v>
      </c>
      <c r="BD316" s="7">
        <v>1120700</v>
      </c>
      <c r="BF316" s="7">
        <v>0</v>
      </c>
      <c r="BH316" s="7">
        <v>0</v>
      </c>
      <c r="BJ316" s="7">
        <v>0</v>
      </c>
      <c r="BL316" s="8">
        <f t="shared" si="55"/>
        <v>19041318</v>
      </c>
      <c r="BN316" s="8">
        <f>'Gov Fd Rv'!AQ316-'Gov Fnd Exp'!BL316</f>
        <v>-140466</v>
      </c>
      <c r="BP316" s="7">
        <v>11562866</v>
      </c>
      <c r="BR316" s="7">
        <v>0</v>
      </c>
      <c r="BT316" s="7">
        <v>0</v>
      </c>
      <c r="BV316" s="8">
        <f t="shared" si="56"/>
        <v>11422400</v>
      </c>
      <c r="BW316" s="8"/>
      <c r="BX316" s="8">
        <f>BV316-'Gov Fd BS'!AE316</f>
        <v>0</v>
      </c>
      <c r="BY316" s="8"/>
      <c r="CB316" s="101" t="str">
        <f t="shared" si="52"/>
        <v xml:space="preserve">Madison Plains Local SD </v>
      </c>
      <c r="CC316" s="101" t="b">
        <f t="shared" si="49"/>
        <v>1</v>
      </c>
      <c r="CD316" s="101" t="str">
        <f>'Gov Fd Rv'!A316</f>
        <v xml:space="preserve">Madison Plains Local SD </v>
      </c>
      <c r="CE316" s="8" t="b">
        <f t="shared" si="48"/>
        <v>1</v>
      </c>
      <c r="CG316" s="8" t="str">
        <f t="shared" si="50"/>
        <v>Madison</v>
      </c>
      <c r="CH316" s="8" t="b">
        <f t="shared" si="51"/>
        <v>1</v>
      </c>
      <c r="CI316" s="8" t="b">
        <f>C316='Gov Fd Rv'!C316</f>
        <v>1</v>
      </c>
    </row>
    <row r="317" spans="1:87">
      <c r="A317" s="12" t="s">
        <v>630</v>
      </c>
      <c r="B317" s="12"/>
      <c r="C317" s="12" t="s">
        <v>201</v>
      </c>
      <c r="D317" s="12"/>
      <c r="E317" s="12"/>
      <c r="G317" s="7">
        <v>4390744</v>
      </c>
      <c r="I317" s="7">
        <v>1525529</v>
      </c>
      <c r="K317" s="7">
        <v>648226</v>
      </c>
      <c r="M317" s="7">
        <v>0</v>
      </c>
      <c r="O317" s="7">
        <f>209513+56405</f>
        <v>265918</v>
      </c>
      <c r="Q317" s="7">
        <v>458393</v>
      </c>
      <c r="S317" s="7">
        <v>986119</v>
      </c>
      <c r="U317" s="7">
        <v>97174</v>
      </c>
      <c r="W317" s="7">
        <v>906874</v>
      </c>
      <c r="Y317" s="7">
        <v>443689</v>
      </c>
      <c r="AA317" s="7">
        <v>0</v>
      </c>
      <c r="AC317" s="7">
        <v>989965</v>
      </c>
      <c r="AE317" s="7">
        <v>791513</v>
      </c>
      <c r="AG317" s="7">
        <v>0</v>
      </c>
      <c r="AI317" s="7">
        <v>533237</v>
      </c>
      <c r="AK317" s="7">
        <v>130727</v>
      </c>
      <c r="AL317" s="12" t="s">
        <v>630</v>
      </c>
      <c r="AM317" s="12"/>
      <c r="AN317" s="12" t="s">
        <v>201</v>
      </c>
      <c r="AP317" s="7">
        <v>294152</v>
      </c>
      <c r="AR317" s="7">
        <v>266307</v>
      </c>
      <c r="AT317" s="7">
        <v>0</v>
      </c>
      <c r="AV317" s="7">
        <v>2390611</v>
      </c>
      <c r="AX317" s="7">
        <v>902406</v>
      </c>
      <c r="AZ317" s="7">
        <v>0</v>
      </c>
      <c r="BB317" s="8">
        <f t="shared" si="54"/>
        <v>16021584</v>
      </c>
      <c r="BD317" s="7">
        <v>1746307</v>
      </c>
      <c r="BF317" s="7">
        <v>0</v>
      </c>
      <c r="BH317" s="7">
        <v>0</v>
      </c>
      <c r="BJ317" s="7">
        <v>0</v>
      </c>
      <c r="BL317" s="8">
        <f t="shared" si="55"/>
        <v>17767891</v>
      </c>
      <c r="BN317" s="8">
        <f>'Gov Fd Rv'!AQ317-'Gov Fnd Exp'!BL317</f>
        <v>510092</v>
      </c>
      <c r="BP317" s="7">
        <v>6255865</v>
      </c>
      <c r="BR317" s="7">
        <v>0</v>
      </c>
      <c r="BT317" s="7">
        <v>0</v>
      </c>
      <c r="BV317" s="8">
        <f t="shared" si="56"/>
        <v>6765957</v>
      </c>
      <c r="BW317" s="8"/>
      <c r="BX317" s="8">
        <f>BV317-'Gov Fd BS'!AE317</f>
        <v>0</v>
      </c>
      <c r="BY317" s="8"/>
      <c r="CB317" s="101" t="str">
        <f t="shared" si="52"/>
        <v>Manchester Local SD</v>
      </c>
      <c r="CC317" s="101" t="b">
        <f t="shared" si="49"/>
        <v>1</v>
      </c>
      <c r="CD317" s="101" t="str">
        <f>'Gov Fd Rv'!A317</f>
        <v>Manchester Local SD</v>
      </c>
      <c r="CE317" s="8" t="b">
        <f t="shared" si="48"/>
        <v>1</v>
      </c>
      <c r="CG317" s="8" t="str">
        <f t="shared" si="50"/>
        <v>Adams</v>
      </c>
      <c r="CH317" s="8" t="b">
        <f t="shared" si="51"/>
        <v>1</v>
      </c>
      <c r="CI317" s="8" t="b">
        <f>C317='Gov Fd Rv'!C317</f>
        <v>1</v>
      </c>
    </row>
    <row r="318" spans="1:87" hidden="1">
      <c r="A318" s="12" t="s">
        <v>930</v>
      </c>
      <c r="B318" s="12"/>
      <c r="C318" s="12" t="s">
        <v>63</v>
      </c>
      <c r="D318" s="12"/>
      <c r="E318" s="12"/>
      <c r="AL318" s="12" t="s">
        <v>930</v>
      </c>
      <c r="AM318" s="12"/>
      <c r="AN318" s="12" t="s">
        <v>63</v>
      </c>
      <c r="AT318" s="7">
        <v>0</v>
      </c>
      <c r="AZ318" s="7">
        <v>0</v>
      </c>
      <c r="BB318" s="8">
        <f t="shared" ref="BB318" si="58">SUM(G318:AZ318)</f>
        <v>0</v>
      </c>
      <c r="BF318" s="7">
        <v>0</v>
      </c>
      <c r="BH318" s="7">
        <v>0</v>
      </c>
      <c r="BJ318" s="7">
        <v>0</v>
      </c>
      <c r="BL318" s="8">
        <f t="shared" ref="BL318" si="59">BB318+BD318+BJ318</f>
        <v>0</v>
      </c>
      <c r="BN318" s="8">
        <f>'Gov Fd Rv'!AQ318-'Gov Fnd Exp'!BL318</f>
        <v>0</v>
      </c>
      <c r="BT318" s="7">
        <v>0</v>
      </c>
      <c r="BV318" s="8">
        <f t="shared" ref="BV318" si="60">BN318+BP318+BR318+BT318</f>
        <v>0</v>
      </c>
      <c r="BW318" s="8"/>
      <c r="BX318" s="8">
        <f>BV318-'Gov Fd BS'!AE318</f>
        <v>0</v>
      </c>
      <c r="BY318" s="8"/>
      <c r="BZ318" s="7" t="s">
        <v>931</v>
      </c>
      <c r="CB318" s="101" t="str">
        <f t="shared" ref="CB318" si="61">A318</f>
        <v>Manchester Local SD (CASH)</v>
      </c>
      <c r="CC318" s="101" t="b">
        <f t="shared" ref="CC318" si="62">A318=AL318</f>
        <v>1</v>
      </c>
      <c r="CD318" s="101" t="str">
        <f>'Gov Fd Rv'!A318</f>
        <v>Manchester Local SD (CASH)</v>
      </c>
      <c r="CE318" s="8" t="b">
        <f t="shared" ref="CE318" si="63">CB318=CD318</f>
        <v>1</v>
      </c>
      <c r="CG318" s="8" t="str">
        <f t="shared" ref="CG318" si="64">C318</f>
        <v>Summit</v>
      </c>
      <c r="CH318" s="8" t="b">
        <f t="shared" ref="CH318" si="65">C318=AN318</f>
        <v>1</v>
      </c>
      <c r="CI318" s="8" t="b">
        <f>C318='Gov Fd Rv'!C318</f>
        <v>1</v>
      </c>
    </row>
    <row r="319" spans="1:87">
      <c r="A319" s="12" t="s">
        <v>484</v>
      </c>
      <c r="B319" s="12"/>
      <c r="C319" s="12" t="s">
        <v>110</v>
      </c>
      <c r="D319" s="12"/>
      <c r="E319" s="12">
        <v>44297</v>
      </c>
      <c r="G319" s="7">
        <v>15966069</v>
      </c>
      <c r="I319" s="7">
        <v>8531886</v>
      </c>
      <c r="K319" s="7">
        <v>1119805</v>
      </c>
      <c r="M319" s="7">
        <v>295197</v>
      </c>
      <c r="O319" s="7">
        <v>12188902</v>
      </c>
      <c r="Q319" s="7">
        <v>3706421</v>
      </c>
      <c r="S319" s="7">
        <v>2629904</v>
      </c>
      <c r="U319" s="7">
        <v>21212</v>
      </c>
      <c r="W319" s="7">
        <v>3050322</v>
      </c>
      <c r="Y319" s="7">
        <v>1119133</v>
      </c>
      <c r="AA319" s="7">
        <v>907449</v>
      </c>
      <c r="AC319" s="7">
        <v>6321614</v>
      </c>
      <c r="AE319" s="7">
        <v>2150835</v>
      </c>
      <c r="AG319" s="7">
        <v>2186164</v>
      </c>
      <c r="AI319" s="7">
        <v>1975699</v>
      </c>
      <c r="AK319" s="7">
        <v>2215737</v>
      </c>
      <c r="AL319" s="12" t="s">
        <v>484</v>
      </c>
      <c r="AM319" s="12"/>
      <c r="AN319" s="12" t="s">
        <v>110</v>
      </c>
      <c r="AP319" s="7">
        <v>999124</v>
      </c>
      <c r="AR319" s="7">
        <v>52302</v>
      </c>
      <c r="AT319" s="7">
        <v>0</v>
      </c>
      <c r="AV319" s="7">
        <v>1236189</v>
      </c>
      <c r="AX319" s="7">
        <v>546954</v>
      </c>
      <c r="AZ319" s="7">
        <v>0</v>
      </c>
      <c r="BB319" s="8">
        <f t="shared" si="54"/>
        <v>67220918</v>
      </c>
      <c r="BD319" s="7">
        <v>105000</v>
      </c>
      <c r="BF319" s="7">
        <v>0</v>
      </c>
      <c r="BH319" s="7">
        <v>0</v>
      </c>
      <c r="BJ319" s="7">
        <v>0</v>
      </c>
      <c r="BL319" s="8">
        <f t="shared" si="55"/>
        <v>67325918</v>
      </c>
      <c r="BN319" s="8">
        <f>'Gov Fd Rv'!AQ319-'Gov Fnd Exp'!BL319</f>
        <v>-260767</v>
      </c>
      <c r="BP319" s="7">
        <v>17107856</v>
      </c>
      <c r="BR319" s="7">
        <v>0</v>
      </c>
      <c r="BT319" s="7">
        <v>0</v>
      </c>
      <c r="BV319" s="8">
        <f t="shared" si="56"/>
        <v>16847089</v>
      </c>
      <c r="BW319" s="8"/>
      <c r="BX319" s="8">
        <f>BV319-'Gov Fd BS'!AE319</f>
        <v>0</v>
      </c>
      <c r="BY319" s="8"/>
      <c r="CB319" s="101" t="str">
        <f t="shared" si="52"/>
        <v>Mansfield City SD</v>
      </c>
      <c r="CC319" s="101" t="b">
        <f t="shared" si="49"/>
        <v>1</v>
      </c>
      <c r="CD319" s="101" t="str">
        <f>'Gov Fd Rv'!A319</f>
        <v>Mansfield City SD</v>
      </c>
      <c r="CE319" s="8" t="b">
        <f t="shared" si="48"/>
        <v>1</v>
      </c>
      <c r="CG319" s="8" t="str">
        <f t="shared" si="50"/>
        <v>Richland</v>
      </c>
      <c r="CH319" s="8" t="b">
        <f t="shared" si="51"/>
        <v>1</v>
      </c>
      <c r="CI319" s="8" t="b">
        <f>C319='Gov Fd Rv'!C319</f>
        <v>1</v>
      </c>
    </row>
    <row r="320" spans="1:87">
      <c r="A320" s="12" t="s">
        <v>762</v>
      </c>
      <c r="B320" s="12"/>
      <c r="C320" s="12" t="s">
        <v>20</v>
      </c>
      <c r="D320" s="12"/>
      <c r="E320" s="12">
        <v>44305</v>
      </c>
      <c r="G320" s="7">
        <v>21166357</v>
      </c>
      <c r="I320" s="7">
        <v>4199957</v>
      </c>
      <c r="K320" s="7">
        <v>1500281</v>
      </c>
      <c r="M320" s="7">
        <v>466</v>
      </c>
      <c r="O320" s="7">
        <v>0</v>
      </c>
      <c r="Q320" s="7">
        <v>1631952</v>
      </c>
      <c r="S320" s="7">
        <v>1976925</v>
      </c>
      <c r="U320" s="7">
        <v>57652</v>
      </c>
      <c r="W320" s="7">
        <v>4364620</v>
      </c>
      <c r="Y320" s="7">
        <v>1965689</v>
      </c>
      <c r="AA320" s="7">
        <v>545997</v>
      </c>
      <c r="AC320" s="7">
        <v>3933230</v>
      </c>
      <c r="AE320" s="7">
        <v>1451110</v>
      </c>
      <c r="AG320" s="7">
        <v>25168</v>
      </c>
      <c r="AI320" s="7">
        <v>1843393</v>
      </c>
      <c r="AK320" s="7">
        <v>154419</v>
      </c>
      <c r="AL320" s="12" t="s">
        <v>762</v>
      </c>
      <c r="AM320" s="12"/>
      <c r="AN320" s="12" t="s">
        <v>20</v>
      </c>
      <c r="AP320" s="7">
        <v>888144</v>
      </c>
      <c r="AR320" s="7">
        <v>39490336</v>
      </c>
      <c r="AT320" s="7">
        <v>0</v>
      </c>
      <c r="AV320" s="7">
        <v>780000</v>
      </c>
      <c r="AX320" s="7">
        <v>3179773</v>
      </c>
      <c r="AZ320" s="7">
        <v>0</v>
      </c>
      <c r="BB320" s="8">
        <f t="shared" si="54"/>
        <v>89155469</v>
      </c>
      <c r="BD320" s="7">
        <v>131094</v>
      </c>
      <c r="BF320" s="7">
        <v>0</v>
      </c>
      <c r="BH320" s="7">
        <v>0</v>
      </c>
      <c r="BJ320" s="7">
        <v>0</v>
      </c>
      <c r="BL320" s="8">
        <f t="shared" si="55"/>
        <v>89286563</v>
      </c>
      <c r="BN320" s="8">
        <f>'Gov Fd Rv'!AQ320-'Gov Fnd Exp'!BL320</f>
        <v>-32959992</v>
      </c>
      <c r="BP320" s="7">
        <v>97382324</v>
      </c>
      <c r="BR320" s="7">
        <v>0</v>
      </c>
      <c r="BT320" s="7">
        <v>0</v>
      </c>
      <c r="BV320" s="8">
        <f t="shared" si="56"/>
        <v>64422332</v>
      </c>
      <c r="BW320" s="8"/>
      <c r="BX320" s="8">
        <f>BV320-'Gov Fd BS'!AE320</f>
        <v>0</v>
      </c>
      <c r="BY320" s="8"/>
      <c r="BZ320" s="14"/>
      <c r="CB320" s="101" t="str">
        <f t="shared" si="52"/>
        <v xml:space="preserve">Maple Heights City SD </v>
      </c>
      <c r="CC320" s="101" t="b">
        <f t="shared" si="49"/>
        <v>1</v>
      </c>
      <c r="CD320" s="101" t="str">
        <f>'Gov Fd Rv'!A320</f>
        <v xml:space="preserve">Maple Heights City SD </v>
      </c>
      <c r="CE320" s="8" t="b">
        <f t="shared" si="48"/>
        <v>1</v>
      </c>
      <c r="CG320" s="8" t="str">
        <f t="shared" si="50"/>
        <v>Cuyahoga</v>
      </c>
      <c r="CH320" s="8" t="b">
        <f t="shared" si="51"/>
        <v>1</v>
      </c>
      <c r="CI320" s="8" t="b">
        <f>C320='Gov Fd Rv'!C320</f>
        <v>1</v>
      </c>
    </row>
    <row r="321" spans="1:87">
      <c r="A321" s="12" t="s">
        <v>206</v>
      </c>
      <c r="B321" s="12"/>
      <c r="C321" s="12" t="s">
        <v>11</v>
      </c>
      <c r="D321" s="12"/>
      <c r="E321" s="12">
        <v>45831</v>
      </c>
      <c r="G321" s="7">
        <v>3683780</v>
      </c>
      <c r="I321" s="7">
        <v>899296</v>
      </c>
      <c r="K321" s="7">
        <v>91805</v>
      </c>
      <c r="M321" s="7">
        <v>0</v>
      </c>
      <c r="O321" s="7">
        <v>935272</v>
      </c>
      <c r="Q321" s="7">
        <v>301803</v>
      </c>
      <c r="S321" s="7">
        <v>374476</v>
      </c>
      <c r="U321" s="7">
        <v>26939</v>
      </c>
      <c r="W321" s="7">
        <v>674801</v>
      </c>
      <c r="Y321" s="7">
        <v>312695</v>
      </c>
      <c r="AA321" s="7">
        <v>199</v>
      </c>
      <c r="AC321" s="7">
        <v>708710</v>
      </c>
      <c r="AE321" s="7">
        <v>574163</v>
      </c>
      <c r="AG321" s="7">
        <v>133479</v>
      </c>
      <c r="AI321" s="7">
        <v>357932</v>
      </c>
      <c r="AK321" s="7">
        <v>6935</v>
      </c>
      <c r="AL321" s="12" t="s">
        <v>206</v>
      </c>
      <c r="AM321" s="12"/>
      <c r="AN321" s="12" t="s">
        <v>11</v>
      </c>
      <c r="AP321" s="7">
        <v>249874</v>
      </c>
      <c r="AR321" s="7">
        <v>406147</v>
      </c>
      <c r="AT321" s="7">
        <v>0</v>
      </c>
      <c r="AV321" s="7">
        <v>206519</v>
      </c>
      <c r="AX321" s="7">
        <f>111989+55321</f>
        <v>167310</v>
      </c>
      <c r="AZ321" s="7">
        <v>0</v>
      </c>
      <c r="BB321" s="8">
        <f t="shared" si="54"/>
        <v>10112135</v>
      </c>
      <c r="BD321" s="7">
        <v>0</v>
      </c>
      <c r="BF321" s="7">
        <v>0</v>
      </c>
      <c r="BH321" s="7">
        <v>0</v>
      </c>
      <c r="BJ321" s="7">
        <v>1571442</v>
      </c>
      <c r="BL321" s="8">
        <f t="shared" si="55"/>
        <v>11683577</v>
      </c>
      <c r="BN321" s="8">
        <f>'Gov Fd Rv'!AQ321-'Gov Fnd Exp'!BL321</f>
        <v>-264975</v>
      </c>
      <c r="BP321" s="7">
        <v>3171767</v>
      </c>
      <c r="BR321" s="7">
        <v>0</v>
      </c>
      <c r="BT321" s="7">
        <v>0</v>
      </c>
      <c r="BV321" s="8">
        <f t="shared" si="56"/>
        <v>2906792</v>
      </c>
      <c r="BW321" s="8"/>
      <c r="BX321" s="8">
        <f>BV321-'Gov Fd BS'!AE321</f>
        <v>0</v>
      </c>
      <c r="BY321" s="8"/>
      <c r="CB321" s="101" t="str">
        <f t="shared" si="52"/>
        <v>Mapleton Local SD</v>
      </c>
      <c r="CC321" s="101" t="b">
        <f t="shared" si="49"/>
        <v>1</v>
      </c>
      <c r="CD321" s="101" t="str">
        <f>'Gov Fd Rv'!A321</f>
        <v>Mapleton Local SD</v>
      </c>
      <c r="CE321" s="8" t="b">
        <f t="shared" si="48"/>
        <v>1</v>
      </c>
      <c r="CG321" s="8" t="str">
        <f t="shared" si="50"/>
        <v>Ashland</v>
      </c>
      <c r="CH321" s="8" t="b">
        <f t="shared" si="51"/>
        <v>1</v>
      </c>
      <c r="CI321" s="8" t="b">
        <f>C321='Gov Fd Rv'!C321</f>
        <v>1</v>
      </c>
    </row>
    <row r="322" spans="1:87">
      <c r="A322" s="12" t="s">
        <v>544</v>
      </c>
      <c r="B322" s="12"/>
      <c r="C322" s="12" t="s">
        <v>64</v>
      </c>
      <c r="D322" s="12"/>
      <c r="E322" s="12">
        <v>50211</v>
      </c>
      <c r="G322" s="7">
        <v>4472882</v>
      </c>
      <c r="I322" s="7">
        <v>895049</v>
      </c>
      <c r="K322" s="7">
        <v>41085</v>
      </c>
      <c r="M322" s="7">
        <v>0</v>
      </c>
      <c r="O322" s="7">
        <v>216</v>
      </c>
      <c r="Q322" s="7">
        <v>462944</v>
      </c>
      <c r="S322" s="7">
        <v>197276</v>
      </c>
      <c r="U322" s="7">
        <v>32808</v>
      </c>
      <c r="W322" s="7">
        <v>823692</v>
      </c>
      <c r="Y322" s="7">
        <v>324280</v>
      </c>
      <c r="AA322" s="7">
        <v>63223</v>
      </c>
      <c r="AC322" s="7">
        <v>932210</v>
      </c>
      <c r="AE322" s="7">
        <v>553501</v>
      </c>
      <c r="AG322" s="7">
        <v>60247</v>
      </c>
      <c r="AI322" s="7">
        <v>361140</v>
      </c>
      <c r="AK322" s="7">
        <v>0</v>
      </c>
      <c r="AL322" s="12" t="s">
        <v>544</v>
      </c>
      <c r="AM322" s="12"/>
      <c r="AN322" s="12" t="s">
        <v>64</v>
      </c>
      <c r="AP322" s="7">
        <v>234143</v>
      </c>
      <c r="AR322" s="7">
        <v>541389</v>
      </c>
      <c r="AT322" s="7">
        <v>0</v>
      </c>
      <c r="AV322" s="7">
        <v>130000</v>
      </c>
      <c r="AX322" s="7">
        <v>93513</v>
      </c>
      <c r="AZ322" s="7">
        <v>0</v>
      </c>
      <c r="BB322" s="8">
        <f t="shared" si="54"/>
        <v>10219598</v>
      </c>
      <c r="BD322" s="7">
        <v>9968</v>
      </c>
      <c r="BF322" s="7">
        <v>0</v>
      </c>
      <c r="BH322" s="7">
        <v>0</v>
      </c>
      <c r="BJ322" s="7">
        <v>0</v>
      </c>
      <c r="BL322" s="8">
        <f t="shared" si="55"/>
        <v>10229566</v>
      </c>
      <c r="BN322" s="8">
        <f>'Gov Fd Rv'!AQ322-'Gov Fnd Exp'!BL322</f>
        <v>483629</v>
      </c>
      <c r="BP322" s="7">
        <v>2467689</v>
      </c>
      <c r="BR322" s="7">
        <v>0</v>
      </c>
      <c r="BT322" s="7">
        <v>0</v>
      </c>
      <c r="BV322" s="8">
        <f t="shared" si="56"/>
        <v>2951318</v>
      </c>
      <c r="BW322" s="8"/>
      <c r="BX322" s="8">
        <f>BV322-'Gov Fd BS'!AE322</f>
        <v>0</v>
      </c>
      <c r="BY322" s="8"/>
      <c r="CB322" s="101" t="str">
        <f t="shared" si="52"/>
        <v>Maplewood Local SD</v>
      </c>
      <c r="CC322" s="101" t="b">
        <f t="shared" si="49"/>
        <v>1</v>
      </c>
      <c r="CD322" s="101" t="str">
        <f>'Gov Fd Rv'!A322</f>
        <v>Maplewood Local SD</v>
      </c>
      <c r="CE322" s="8" t="b">
        <f t="shared" si="48"/>
        <v>1</v>
      </c>
      <c r="CG322" s="8" t="str">
        <f t="shared" si="50"/>
        <v>Trumbull</v>
      </c>
      <c r="CH322" s="8" t="b">
        <f t="shared" si="51"/>
        <v>1</v>
      </c>
      <c r="CI322" s="8" t="b">
        <f>C322='Gov Fd Rv'!C322</f>
        <v>1</v>
      </c>
    </row>
    <row r="323" spans="1:87">
      <c r="A323" s="12" t="s">
        <v>294</v>
      </c>
      <c r="B323" s="12"/>
      <c r="C323" s="12" t="s">
        <v>24</v>
      </c>
      <c r="D323" s="12"/>
      <c r="E323" s="12">
        <v>46805</v>
      </c>
      <c r="G323" s="7">
        <v>4802492</v>
      </c>
      <c r="I323" s="7">
        <v>1402074</v>
      </c>
      <c r="K323" s="7">
        <v>262138</v>
      </c>
      <c r="M323" s="7">
        <v>0</v>
      </c>
      <c r="O323" s="7">
        <v>598776</v>
      </c>
      <c r="Q323" s="7">
        <v>711054</v>
      </c>
      <c r="S323" s="7">
        <v>722882</v>
      </c>
      <c r="U323" s="7">
        <v>173526</v>
      </c>
      <c r="W323" s="7">
        <v>991943</v>
      </c>
      <c r="Y323" s="7">
        <v>406415</v>
      </c>
      <c r="AA323" s="7">
        <v>0</v>
      </c>
      <c r="AC323" s="7">
        <v>1247927</v>
      </c>
      <c r="AE323" s="7">
        <v>998622</v>
      </c>
      <c r="AG323" s="7">
        <v>53563</v>
      </c>
      <c r="AI323" s="7">
        <v>603324</v>
      </c>
      <c r="AK323" s="7">
        <v>135403</v>
      </c>
      <c r="AL323" s="12" t="s">
        <v>294</v>
      </c>
      <c r="AM323" s="12"/>
      <c r="AN323" s="12" t="s">
        <v>24</v>
      </c>
      <c r="AP323" s="7">
        <v>455784</v>
      </c>
      <c r="AR323" s="7">
        <v>277298</v>
      </c>
      <c r="AT323" s="7">
        <v>0</v>
      </c>
      <c r="AV323" s="7">
        <v>93000</v>
      </c>
      <c r="AX323" s="7">
        <v>106901</v>
      </c>
      <c r="AZ323" s="7">
        <v>0</v>
      </c>
      <c r="BB323" s="8">
        <f t="shared" si="54"/>
        <v>14043122</v>
      </c>
      <c r="BD323" s="7">
        <v>172584</v>
      </c>
      <c r="BF323" s="7">
        <v>0</v>
      </c>
      <c r="BH323" s="7">
        <v>0</v>
      </c>
      <c r="BJ323" s="7">
        <v>0</v>
      </c>
      <c r="BL323" s="8">
        <f t="shared" si="55"/>
        <v>14215706</v>
      </c>
      <c r="BN323" s="8">
        <f>'Gov Fd Rv'!AQ323-'Gov Fnd Exp'!BL323</f>
        <v>541089</v>
      </c>
      <c r="BP323" s="7">
        <v>-367632</v>
      </c>
      <c r="BR323" s="7">
        <v>1617</v>
      </c>
      <c r="BT323" s="7">
        <v>0</v>
      </c>
      <c r="BV323" s="8">
        <f t="shared" si="56"/>
        <v>175074</v>
      </c>
      <c r="BW323" s="8"/>
      <c r="BX323" s="8">
        <f>BV323-'Gov Fd BS'!AE323</f>
        <v>0</v>
      </c>
      <c r="BY323" s="8"/>
      <c r="CB323" s="101" t="str">
        <f t="shared" si="52"/>
        <v>Margaretta Local SD</v>
      </c>
      <c r="CC323" s="101" t="b">
        <f t="shared" si="49"/>
        <v>1</v>
      </c>
      <c r="CD323" s="101" t="str">
        <f>'Gov Fd Rv'!A323</f>
        <v>Margaretta Local SD</v>
      </c>
      <c r="CE323" s="8" t="b">
        <f t="shared" si="48"/>
        <v>1</v>
      </c>
      <c r="CG323" s="8" t="str">
        <f t="shared" si="50"/>
        <v>Erie</v>
      </c>
      <c r="CH323" s="8" t="b">
        <f t="shared" si="51"/>
        <v>1</v>
      </c>
      <c r="CI323" s="8" t="b">
        <f>C323='Gov Fd Rv'!C323</f>
        <v>1</v>
      </c>
    </row>
    <row r="324" spans="1:87">
      <c r="A324" s="12" t="s">
        <v>334</v>
      </c>
      <c r="B324" s="12"/>
      <c r="C324" s="12" t="s">
        <v>32</v>
      </c>
      <c r="D324" s="12"/>
      <c r="E324" s="12">
        <v>44313</v>
      </c>
      <c r="G324" s="7">
        <v>9536052</v>
      </c>
      <c r="I324" s="7">
        <v>2292046</v>
      </c>
      <c r="K324" s="7">
        <v>0</v>
      </c>
      <c r="M324" s="7">
        <v>2316</v>
      </c>
      <c r="O324" s="7">
        <v>107649</v>
      </c>
      <c r="Q324" s="7">
        <v>1466306</v>
      </c>
      <c r="S324" s="7">
        <v>1254527</v>
      </c>
      <c r="U324" s="7">
        <v>13969</v>
      </c>
      <c r="W324" s="7">
        <v>1630902</v>
      </c>
      <c r="Y324" s="7">
        <v>508545</v>
      </c>
      <c r="AA324" s="7">
        <v>60871</v>
      </c>
      <c r="AC324" s="7">
        <v>2027081</v>
      </c>
      <c r="AE324" s="7">
        <v>831585</v>
      </c>
      <c r="AG324" s="7">
        <v>329337</v>
      </c>
      <c r="AI324" s="7">
        <v>0</v>
      </c>
      <c r="AK324" s="7">
        <v>206376</v>
      </c>
      <c r="AL324" s="12" t="s">
        <v>334</v>
      </c>
      <c r="AM324" s="12"/>
      <c r="AN324" s="12" t="s">
        <v>32</v>
      </c>
      <c r="AP324" s="7">
        <v>681171</v>
      </c>
      <c r="AR324" s="7">
        <v>7256352</v>
      </c>
      <c r="AT324" s="7">
        <v>0</v>
      </c>
      <c r="AV324" s="7">
        <v>576850</v>
      </c>
      <c r="AX324" s="7">
        <v>1610431</v>
      </c>
      <c r="AZ324" s="7">
        <v>0</v>
      </c>
      <c r="BB324" s="8">
        <f t="shared" si="54"/>
        <v>30392366</v>
      </c>
      <c r="BD324" s="7">
        <v>398000</v>
      </c>
      <c r="BF324" s="7">
        <v>0</v>
      </c>
      <c r="BH324" s="7">
        <v>0</v>
      </c>
      <c r="BJ324" s="7">
        <v>0</v>
      </c>
      <c r="BL324" s="8">
        <f t="shared" si="55"/>
        <v>30790366</v>
      </c>
      <c r="BN324" s="8">
        <f>'Gov Fd Rv'!AQ324-'Gov Fnd Exp'!BL324</f>
        <v>35693359</v>
      </c>
      <c r="BP324" s="7">
        <v>10476901</v>
      </c>
      <c r="BR324" s="7">
        <v>0</v>
      </c>
      <c r="BT324" s="7">
        <v>0</v>
      </c>
      <c r="BV324" s="8">
        <f t="shared" si="56"/>
        <v>46170260</v>
      </c>
      <c r="BW324" s="8"/>
      <c r="BX324" s="8">
        <f>BV324-'Gov Fd BS'!AE324</f>
        <v>0</v>
      </c>
      <c r="BY324" s="8"/>
      <c r="BZ324" s="7" t="s">
        <v>914</v>
      </c>
      <c r="CB324" s="101" t="str">
        <f t="shared" si="52"/>
        <v>Mariemont City SD</v>
      </c>
      <c r="CC324" s="101" t="b">
        <f t="shared" si="49"/>
        <v>1</v>
      </c>
      <c r="CD324" s="101" t="str">
        <f>'Gov Fd Rv'!A324</f>
        <v>Mariemont City SD</v>
      </c>
      <c r="CE324" s="8" t="b">
        <f t="shared" si="48"/>
        <v>1</v>
      </c>
      <c r="CG324" s="8" t="str">
        <f t="shared" si="50"/>
        <v>Hamilton</v>
      </c>
      <c r="CH324" s="8" t="b">
        <f t="shared" si="51"/>
        <v>1</v>
      </c>
      <c r="CI324" s="8" t="b">
        <f>C324='Gov Fd Rv'!C324</f>
        <v>1</v>
      </c>
    </row>
    <row r="325" spans="1:87" hidden="1">
      <c r="A325" s="12" t="s">
        <v>638</v>
      </c>
      <c r="B325" s="12"/>
      <c r="C325" s="12" t="s">
        <v>70</v>
      </c>
      <c r="D325" s="12"/>
      <c r="E325" s="12">
        <v>44321</v>
      </c>
      <c r="AL325" s="12" t="s">
        <v>638</v>
      </c>
      <c r="AM325" s="12"/>
      <c r="AN325" s="12" t="s">
        <v>70</v>
      </c>
      <c r="AT325" s="7">
        <v>0</v>
      </c>
      <c r="AZ325" s="7">
        <v>0</v>
      </c>
      <c r="BB325" s="8">
        <f t="shared" si="54"/>
        <v>0</v>
      </c>
      <c r="BF325" s="7">
        <v>0</v>
      </c>
      <c r="BH325" s="7">
        <v>0</v>
      </c>
      <c r="BJ325" s="7">
        <v>0</v>
      </c>
      <c r="BL325" s="8">
        <f>BB325+BD325+BJ325+BF325</f>
        <v>0</v>
      </c>
      <c r="BN325" s="8">
        <f>'Gov Fd Rv'!AQ325-'Gov Fnd Exp'!BL325</f>
        <v>0</v>
      </c>
      <c r="BT325" s="7">
        <v>0</v>
      </c>
      <c r="BV325" s="8">
        <f t="shared" si="56"/>
        <v>0</v>
      </c>
      <c r="BW325" s="8"/>
      <c r="BX325" s="8">
        <f>BV325-'Gov Fd BS'!AE325</f>
        <v>0</v>
      </c>
      <c r="BY325" s="8"/>
      <c r="BZ325" s="7" t="s">
        <v>839</v>
      </c>
      <c r="CB325" s="101" t="str">
        <f t="shared" si="52"/>
        <v>Marietta City SD (CASH)</v>
      </c>
      <c r="CC325" s="101" t="b">
        <f t="shared" si="49"/>
        <v>1</v>
      </c>
      <c r="CD325" s="101" t="str">
        <f>'Gov Fd Rv'!A325</f>
        <v>Marietta City SD (CASH)</v>
      </c>
      <c r="CE325" s="8" t="b">
        <f t="shared" si="48"/>
        <v>1</v>
      </c>
      <c r="CG325" s="8" t="str">
        <f t="shared" si="50"/>
        <v>Washington</v>
      </c>
      <c r="CH325" s="8" t="b">
        <f t="shared" si="51"/>
        <v>1</v>
      </c>
      <c r="CI325" s="8" t="b">
        <f>C325='Gov Fd Rv'!C325</f>
        <v>1</v>
      </c>
    </row>
    <row r="326" spans="1:87">
      <c r="A326" s="12" t="s">
        <v>423</v>
      </c>
      <c r="B326" s="12"/>
      <c r="C326" s="12" t="s">
        <v>46</v>
      </c>
      <c r="D326" s="12"/>
      <c r="E326" s="12">
        <v>44339</v>
      </c>
      <c r="G326" s="7">
        <v>25885004</v>
      </c>
      <c r="I326" s="7">
        <v>7478077</v>
      </c>
      <c r="K326" s="7">
        <v>418176</v>
      </c>
      <c r="M326" s="7">
        <v>23645</v>
      </c>
      <c r="O326" s="7">
        <v>0</v>
      </c>
      <c r="Q326" s="7">
        <v>2472493</v>
      </c>
      <c r="S326" s="7">
        <v>3909604</v>
      </c>
      <c r="U326" s="7">
        <v>35774</v>
      </c>
      <c r="W326" s="7">
        <v>3567005</v>
      </c>
      <c r="Y326" s="7">
        <v>690863</v>
      </c>
      <c r="AA326" s="7">
        <v>427741</v>
      </c>
      <c r="AC326" s="7">
        <v>4192448</v>
      </c>
      <c r="AE326" s="7">
        <v>963635</v>
      </c>
      <c r="AG326" s="7">
        <v>4688</v>
      </c>
      <c r="AI326" s="7">
        <v>0</v>
      </c>
      <c r="AK326" s="7">
        <v>2473649</v>
      </c>
      <c r="AL326" s="12" t="s">
        <v>423</v>
      </c>
      <c r="AM326" s="12"/>
      <c r="AN326" s="12" t="s">
        <v>46</v>
      </c>
      <c r="AP326" s="7">
        <v>787819</v>
      </c>
      <c r="AR326" s="7">
        <v>52858</v>
      </c>
      <c r="AT326" s="7">
        <v>0</v>
      </c>
      <c r="AV326" s="7">
        <v>723561</v>
      </c>
      <c r="AX326" s="7">
        <v>508343</v>
      </c>
      <c r="AZ326" s="7">
        <v>0</v>
      </c>
      <c r="BB326" s="8">
        <f t="shared" si="54"/>
        <v>54615383</v>
      </c>
      <c r="BD326" s="7">
        <v>65000</v>
      </c>
      <c r="BF326" s="7">
        <v>0</v>
      </c>
      <c r="BH326" s="7">
        <v>0</v>
      </c>
      <c r="BJ326" s="7">
        <v>0</v>
      </c>
      <c r="BL326" s="8">
        <f t="shared" si="55"/>
        <v>54680383</v>
      </c>
      <c r="BN326" s="8">
        <f>'Gov Fd Rv'!AQ326-'Gov Fnd Exp'!BL326</f>
        <v>-443873</v>
      </c>
      <c r="BP326" s="7">
        <v>15785436</v>
      </c>
      <c r="BR326" s="7">
        <v>0</v>
      </c>
      <c r="BT326" s="7">
        <v>0</v>
      </c>
      <c r="BV326" s="8">
        <f t="shared" si="56"/>
        <v>15341563</v>
      </c>
      <c r="BW326" s="8"/>
      <c r="BX326" s="8">
        <f>BV326-'Gov Fd BS'!AE326</f>
        <v>0</v>
      </c>
      <c r="BY326" s="8"/>
      <c r="CB326" s="101" t="str">
        <f t="shared" si="52"/>
        <v>Marion City SD</v>
      </c>
      <c r="CC326" s="101" t="b">
        <f t="shared" si="49"/>
        <v>1</v>
      </c>
      <c r="CD326" s="101" t="str">
        <f>'Gov Fd Rv'!A326</f>
        <v>Marion City SD</v>
      </c>
      <c r="CE326" s="8" t="b">
        <f t="shared" si="48"/>
        <v>1</v>
      </c>
      <c r="CG326" s="8" t="str">
        <f t="shared" si="50"/>
        <v>Marion</v>
      </c>
      <c r="CH326" s="8" t="b">
        <f t="shared" si="51"/>
        <v>1</v>
      </c>
      <c r="CI326" s="8" t="b">
        <f>C326='Gov Fd Rv'!C326</f>
        <v>1</v>
      </c>
    </row>
    <row r="327" spans="1:87" hidden="1">
      <c r="A327" s="12" t="s">
        <v>721</v>
      </c>
      <c r="B327" s="12"/>
      <c r="C327" s="12" t="s">
        <v>435</v>
      </c>
      <c r="D327" s="12"/>
      <c r="E327" s="12"/>
      <c r="AL327" s="12" t="s">
        <v>721</v>
      </c>
      <c r="AM327" s="12"/>
      <c r="AN327" s="12" t="s">
        <v>435</v>
      </c>
      <c r="AT327" s="7">
        <v>0</v>
      </c>
      <c r="AZ327" s="7">
        <v>0</v>
      </c>
      <c r="BB327" s="8">
        <f t="shared" si="54"/>
        <v>0</v>
      </c>
      <c r="BF327" s="7">
        <v>0</v>
      </c>
      <c r="BH327" s="7">
        <v>0</v>
      </c>
      <c r="BJ327" s="7">
        <v>0</v>
      </c>
      <c r="BL327" s="8">
        <f t="shared" si="55"/>
        <v>0</v>
      </c>
      <c r="BN327" s="8">
        <f>'Gov Fd Rv'!AQ327-'Gov Fnd Exp'!BL327</f>
        <v>0</v>
      </c>
      <c r="BT327" s="7">
        <v>0</v>
      </c>
      <c r="BV327" s="8">
        <f t="shared" si="56"/>
        <v>0</v>
      </c>
      <c r="BW327" s="8"/>
      <c r="BX327" s="8">
        <f>BV327-'Gov Fd BS'!AE327</f>
        <v>0</v>
      </c>
      <c r="BY327" s="8"/>
      <c r="BZ327" s="7" t="s">
        <v>839</v>
      </c>
      <c r="CB327" s="101" t="str">
        <f t="shared" si="52"/>
        <v>Marion Local SD (CASH)</v>
      </c>
      <c r="CC327" s="101" t="b">
        <f t="shared" si="49"/>
        <v>1</v>
      </c>
      <c r="CD327" s="101" t="str">
        <f>'Gov Fd Rv'!A327</f>
        <v>Marion Local SD (CASH)</v>
      </c>
      <c r="CE327" s="8" t="b">
        <f t="shared" si="48"/>
        <v>1</v>
      </c>
      <c r="CG327" s="8" t="str">
        <f t="shared" si="50"/>
        <v>Mercer</v>
      </c>
      <c r="CH327" s="8" t="b">
        <f t="shared" si="51"/>
        <v>1</v>
      </c>
      <c r="CI327" s="8" t="b">
        <f>C327='Gov Fd Rv'!C327</f>
        <v>1</v>
      </c>
    </row>
    <row r="328" spans="1:87">
      <c r="A328" s="12" t="s">
        <v>515</v>
      </c>
      <c r="B328" s="12"/>
      <c r="C328" s="12" t="s">
        <v>62</v>
      </c>
      <c r="D328" s="12"/>
      <c r="E328" s="12">
        <v>49882</v>
      </c>
      <c r="G328" s="7">
        <v>8652075</v>
      </c>
      <c r="I328" s="7">
        <v>2895124</v>
      </c>
      <c r="K328" s="7">
        <v>667340</v>
      </c>
      <c r="M328" s="7">
        <v>0</v>
      </c>
      <c r="O328" s="7">
        <v>1004238</v>
      </c>
      <c r="Q328" s="7">
        <v>825769</v>
      </c>
      <c r="S328" s="7">
        <v>1261338</v>
      </c>
      <c r="U328" s="7">
        <v>17306</v>
      </c>
      <c r="W328" s="7">
        <v>1771393</v>
      </c>
      <c r="Y328" s="7">
        <v>542040</v>
      </c>
      <c r="AA328" s="7">
        <v>318066</v>
      </c>
      <c r="AC328" s="7">
        <v>2254079</v>
      </c>
      <c r="AE328" s="7">
        <v>1534629</v>
      </c>
      <c r="AG328" s="7">
        <v>93336</v>
      </c>
      <c r="AI328" s="7">
        <v>1019541</v>
      </c>
      <c r="AK328" s="7">
        <v>437</v>
      </c>
      <c r="AL328" s="12" t="s">
        <v>515</v>
      </c>
      <c r="AM328" s="12"/>
      <c r="AN328" s="12" t="s">
        <v>62</v>
      </c>
      <c r="AP328" s="7">
        <v>894507</v>
      </c>
      <c r="AR328" s="7">
        <v>6500</v>
      </c>
      <c r="AT328" s="7">
        <v>0</v>
      </c>
      <c r="AV328" s="7">
        <v>126798</v>
      </c>
      <c r="AX328" s="7">
        <v>12831</v>
      </c>
      <c r="AZ328" s="7">
        <v>0</v>
      </c>
      <c r="BB328" s="8">
        <f t="shared" si="54"/>
        <v>23897347</v>
      </c>
      <c r="BD328" s="7">
        <v>991</v>
      </c>
      <c r="BF328" s="7">
        <v>0</v>
      </c>
      <c r="BH328" s="7">
        <v>0</v>
      </c>
      <c r="BJ328" s="7">
        <v>0</v>
      </c>
      <c r="BL328" s="8">
        <f t="shared" si="55"/>
        <v>23898338</v>
      </c>
      <c r="BN328" s="8">
        <f>'Gov Fd Rv'!AQ328-'Gov Fnd Exp'!BL328</f>
        <v>2532245</v>
      </c>
      <c r="BP328" s="7">
        <v>6873684</v>
      </c>
      <c r="BR328" s="7">
        <v>30796</v>
      </c>
      <c r="BT328" s="7">
        <v>0</v>
      </c>
      <c r="BV328" s="8">
        <f t="shared" si="56"/>
        <v>9436725</v>
      </c>
      <c r="BW328" s="8"/>
      <c r="BX328" s="8">
        <f>BV328-'Gov Fd BS'!AE328</f>
        <v>0</v>
      </c>
      <c r="BY328" s="8"/>
      <c r="CB328" s="101" t="str">
        <f t="shared" si="52"/>
        <v>Marlington Local SD</v>
      </c>
      <c r="CC328" s="101" t="b">
        <f t="shared" si="49"/>
        <v>1</v>
      </c>
      <c r="CD328" s="101" t="str">
        <f>'Gov Fd Rv'!A328</f>
        <v>Marlington Local SD</v>
      </c>
      <c r="CE328" s="8" t="b">
        <f t="shared" si="48"/>
        <v>1</v>
      </c>
      <c r="CG328" s="8" t="str">
        <f t="shared" si="50"/>
        <v>Stark</v>
      </c>
      <c r="CH328" s="8" t="b">
        <f t="shared" si="51"/>
        <v>1</v>
      </c>
      <c r="CI328" s="8" t="b">
        <f>C328='Gov Fd Rv'!C328</f>
        <v>1</v>
      </c>
    </row>
    <row r="329" spans="1:87">
      <c r="A329" s="12" t="s">
        <v>217</v>
      </c>
      <c r="B329" s="12"/>
      <c r="C329" s="12" t="s">
        <v>15</v>
      </c>
      <c r="D329" s="12"/>
      <c r="E329" s="12">
        <v>44347</v>
      </c>
      <c r="G329" s="7">
        <v>6042064</v>
      </c>
      <c r="I329" s="7">
        <v>1726476</v>
      </c>
      <c r="K329" s="7">
        <v>291896</v>
      </c>
      <c r="M329" s="7">
        <v>0</v>
      </c>
      <c r="O329" s="7">
        <v>70116</v>
      </c>
      <c r="Q329" s="7">
        <v>715216</v>
      </c>
      <c r="S329" s="7">
        <v>613028</v>
      </c>
      <c r="U329" s="7">
        <v>80720</v>
      </c>
      <c r="W329" s="7">
        <v>1082645</v>
      </c>
      <c r="Y329" s="7">
        <v>355144</v>
      </c>
      <c r="AA329" s="7">
        <v>0</v>
      </c>
      <c r="AC329" s="7">
        <v>1240979</v>
      </c>
      <c r="AE329" s="7">
        <v>580198</v>
      </c>
      <c r="AG329" s="7">
        <v>57321</v>
      </c>
      <c r="AI329" s="7">
        <v>673576</v>
      </c>
      <c r="AK329" s="7">
        <v>133433</v>
      </c>
      <c r="AL329" s="12" t="s">
        <v>217</v>
      </c>
      <c r="AM329" s="12"/>
      <c r="AN329" s="12" t="s">
        <v>15</v>
      </c>
      <c r="AP329" s="7">
        <v>304370</v>
      </c>
      <c r="AR329" s="7">
        <v>132961</v>
      </c>
      <c r="AT329" s="7">
        <v>0</v>
      </c>
      <c r="AV329" s="7">
        <v>295881</v>
      </c>
      <c r="AX329" s="7">
        <v>589776</v>
      </c>
      <c r="AZ329" s="7">
        <v>0</v>
      </c>
      <c r="BB329" s="8">
        <f t="shared" si="54"/>
        <v>14985800</v>
      </c>
      <c r="BD329" s="7">
        <v>1858</v>
      </c>
      <c r="BF329" s="7">
        <v>0</v>
      </c>
      <c r="BH329" s="7">
        <v>0</v>
      </c>
      <c r="BJ329" s="7">
        <v>0</v>
      </c>
      <c r="BL329" s="8">
        <f t="shared" si="55"/>
        <v>14987658</v>
      </c>
      <c r="BN329" s="8">
        <f>'Gov Fd Rv'!AQ329-'Gov Fnd Exp'!BL329</f>
        <v>559829</v>
      </c>
      <c r="BP329" s="7">
        <v>-1203967</v>
      </c>
      <c r="BR329" s="7">
        <v>0</v>
      </c>
      <c r="BT329" s="7">
        <v>0</v>
      </c>
      <c r="BV329" s="8">
        <f t="shared" si="56"/>
        <v>-644138</v>
      </c>
      <c r="BW329" s="8"/>
      <c r="BX329" s="8">
        <f>BV329-'Gov Fd BS'!AE329</f>
        <v>0</v>
      </c>
      <c r="BY329" s="8"/>
      <c r="CB329" s="101" t="str">
        <f t="shared" si="52"/>
        <v>Martins Ferry City SD</v>
      </c>
      <c r="CC329" s="101" t="b">
        <f t="shared" si="49"/>
        <v>1</v>
      </c>
      <c r="CD329" s="101" t="str">
        <f>'Gov Fd Rv'!A329</f>
        <v>Martins Ferry City SD</v>
      </c>
      <c r="CE329" s="8" t="b">
        <f t="shared" si="48"/>
        <v>1</v>
      </c>
      <c r="CG329" s="8" t="str">
        <f t="shared" si="50"/>
        <v>Belmont</v>
      </c>
      <c r="CH329" s="8" t="b">
        <f t="shared" si="51"/>
        <v>1</v>
      </c>
      <c r="CI329" s="8" t="b">
        <f>C329='Gov Fd Rv'!C329</f>
        <v>1</v>
      </c>
    </row>
    <row r="330" spans="1:87">
      <c r="A330" s="12" t="s">
        <v>876</v>
      </c>
      <c r="B330" s="12"/>
      <c r="C330" s="12" t="s">
        <v>66</v>
      </c>
      <c r="D330" s="12"/>
      <c r="E330" s="12">
        <v>45476</v>
      </c>
      <c r="G330" s="7">
        <v>22757030</v>
      </c>
      <c r="I330" s="7">
        <v>5583360</v>
      </c>
      <c r="K330" s="7">
        <v>606052</v>
      </c>
      <c r="M330" s="7">
        <v>0</v>
      </c>
      <c r="O330" s="7">
        <v>286226</v>
      </c>
      <c r="Q330" s="7">
        <v>3426528</v>
      </c>
      <c r="S330" s="7">
        <v>4463655</v>
      </c>
      <c r="U330" s="7">
        <v>239936</v>
      </c>
      <c r="W330" s="7">
        <v>3387354</v>
      </c>
      <c r="Y330" s="7">
        <v>1150368</v>
      </c>
      <c r="AA330" s="7">
        <v>682868</v>
      </c>
      <c r="AC330" s="7">
        <v>5002797</v>
      </c>
      <c r="AE330" s="7">
        <v>2281318</v>
      </c>
      <c r="AG330" s="7">
        <v>549219</v>
      </c>
      <c r="AI330" s="7">
        <v>2028412</v>
      </c>
      <c r="AK330" s="7">
        <v>180900</v>
      </c>
      <c r="AL330" s="12" t="s">
        <v>876</v>
      </c>
      <c r="AM330" s="12"/>
      <c r="AN330" s="12" t="s">
        <v>66</v>
      </c>
      <c r="AP330" s="7">
        <v>1060046</v>
      </c>
      <c r="AR330" s="7">
        <v>4104</v>
      </c>
      <c r="AT330" s="7">
        <v>0</v>
      </c>
      <c r="AV330" s="7">
        <v>4471999</v>
      </c>
      <c r="AX330" s="7">
        <v>4293905</v>
      </c>
      <c r="AZ330" s="7">
        <v>0</v>
      </c>
      <c r="BB330" s="8">
        <f t="shared" si="54"/>
        <v>62456077</v>
      </c>
      <c r="BD330" s="7">
        <v>2831090</v>
      </c>
      <c r="BF330" s="7">
        <v>0</v>
      </c>
      <c r="BH330" s="7">
        <v>0</v>
      </c>
      <c r="BJ330" s="7">
        <v>0</v>
      </c>
      <c r="BL330" s="8">
        <f t="shared" si="55"/>
        <v>65287167</v>
      </c>
      <c r="BN330" s="8">
        <f>'Gov Fd Rv'!AQ330-'Gov Fnd Exp'!BL330</f>
        <v>-2816069</v>
      </c>
      <c r="BP330" s="7">
        <v>7566331</v>
      </c>
      <c r="BR330" s="7">
        <v>0</v>
      </c>
      <c r="BT330" s="7">
        <v>0</v>
      </c>
      <c r="BV330" s="8">
        <f t="shared" si="56"/>
        <v>4750262</v>
      </c>
      <c r="BW330" s="8"/>
      <c r="BX330" s="8">
        <f>BV330-'Gov Fd BS'!AE330</f>
        <v>0</v>
      </c>
      <c r="BY330" s="8"/>
      <c r="CB330" s="101" t="str">
        <f t="shared" si="52"/>
        <v>Marysville Exempted Village SD</v>
      </c>
      <c r="CC330" s="101" t="b">
        <f t="shared" si="49"/>
        <v>1</v>
      </c>
      <c r="CD330" s="101" t="str">
        <f>'Gov Fd Rv'!A330</f>
        <v>Marysville Exempted Village SD</v>
      </c>
      <c r="CE330" s="8" t="b">
        <f t="shared" si="48"/>
        <v>1</v>
      </c>
      <c r="CG330" s="8" t="str">
        <f t="shared" si="50"/>
        <v>Union</v>
      </c>
      <c r="CH330" s="8" t="b">
        <f t="shared" si="51"/>
        <v>1</v>
      </c>
      <c r="CI330" s="8" t="b">
        <f>C330='Gov Fd Rv'!C330</f>
        <v>1</v>
      </c>
    </row>
    <row r="331" spans="1:87">
      <c r="A331" s="12" t="s">
        <v>563</v>
      </c>
      <c r="B331" s="12"/>
      <c r="C331" s="12" t="s">
        <v>69</v>
      </c>
      <c r="D331" s="12"/>
      <c r="E331" s="12">
        <v>50450</v>
      </c>
      <c r="G331" s="7">
        <v>47400871</v>
      </c>
      <c r="I331" s="7">
        <v>12897607</v>
      </c>
      <c r="K331" s="7">
        <v>12731</v>
      </c>
      <c r="M331" s="7">
        <v>0</v>
      </c>
      <c r="O331" s="7">
        <v>938204</v>
      </c>
      <c r="Q331" s="7">
        <v>6983336</v>
      </c>
      <c r="S331" s="7">
        <v>8077645</v>
      </c>
      <c r="U331" s="7">
        <v>60567</v>
      </c>
      <c r="W331" s="7">
        <v>5932932</v>
      </c>
      <c r="Y331" s="7">
        <v>1830777</v>
      </c>
      <c r="AA331" s="7">
        <v>423721</v>
      </c>
      <c r="AC331" s="7">
        <v>11476277</v>
      </c>
      <c r="AE331" s="7">
        <v>7542715</v>
      </c>
      <c r="AG331" s="7">
        <v>3596498</v>
      </c>
      <c r="AI331" s="7">
        <v>0</v>
      </c>
      <c r="AK331" s="7">
        <v>5886282</v>
      </c>
      <c r="AL331" s="12" t="s">
        <v>563</v>
      </c>
      <c r="AM331" s="12"/>
      <c r="AN331" s="12" t="s">
        <v>69</v>
      </c>
      <c r="AP331" s="7">
        <v>2732756</v>
      </c>
      <c r="AR331" s="7">
        <v>605199</v>
      </c>
      <c r="AT331" s="7">
        <v>0</v>
      </c>
      <c r="AV331" s="7">
        <v>7595000</v>
      </c>
      <c r="AX331" s="7">
        <v>6571523</v>
      </c>
      <c r="AZ331" s="7">
        <v>0</v>
      </c>
      <c r="BB331" s="8">
        <f t="shared" si="54"/>
        <v>130564641</v>
      </c>
      <c r="BD331" s="7">
        <v>18036569</v>
      </c>
      <c r="BF331" s="7">
        <v>0</v>
      </c>
      <c r="BH331" s="7">
        <v>0</v>
      </c>
      <c r="BJ331" s="7">
        <v>0</v>
      </c>
      <c r="BL331" s="8">
        <f t="shared" si="55"/>
        <v>148601210</v>
      </c>
      <c r="BN331" s="8">
        <f>'Gov Fd Rv'!AQ331-'Gov Fnd Exp'!BL331</f>
        <v>-1416486</v>
      </c>
      <c r="BP331" s="7">
        <v>54576184</v>
      </c>
      <c r="BR331" s="7">
        <v>0</v>
      </c>
      <c r="BT331" s="7">
        <v>0</v>
      </c>
      <c r="BV331" s="8">
        <f t="shared" si="56"/>
        <v>53159698</v>
      </c>
      <c r="BW331" s="8"/>
      <c r="BX331" s="8">
        <f>BV331-'Gov Fd BS'!AE331</f>
        <v>0</v>
      </c>
      <c r="BY331" s="8"/>
      <c r="CB331" s="101" t="str">
        <f t="shared" si="52"/>
        <v>Mason City SD</v>
      </c>
      <c r="CC331" s="101" t="b">
        <f t="shared" si="49"/>
        <v>1</v>
      </c>
      <c r="CD331" s="101" t="str">
        <f>'Gov Fd Rv'!A331</f>
        <v>Mason City SD</v>
      </c>
      <c r="CE331" s="8" t="b">
        <f t="shared" si="48"/>
        <v>1</v>
      </c>
      <c r="CG331" s="8" t="str">
        <f t="shared" si="50"/>
        <v>Warren</v>
      </c>
      <c r="CH331" s="8" t="b">
        <f t="shared" si="51"/>
        <v>1</v>
      </c>
      <c r="CI331" s="8" t="b">
        <f>C331='Gov Fd Rv'!C331</f>
        <v>1</v>
      </c>
    </row>
    <row r="332" spans="1:87">
      <c r="A332" s="12" t="s">
        <v>516</v>
      </c>
      <c r="B332" s="12"/>
      <c r="C332" s="12" t="s">
        <v>62</v>
      </c>
      <c r="D332" s="12"/>
      <c r="E332" s="12">
        <v>44354</v>
      </c>
      <c r="G332" s="7">
        <v>19870437</v>
      </c>
      <c r="I332" s="7">
        <v>5755177</v>
      </c>
      <c r="K332" s="7">
        <v>1806128</v>
      </c>
      <c r="M332" s="7">
        <v>45533</v>
      </c>
      <c r="O332" s="7">
        <f>262276+979646</f>
        <v>1241922</v>
      </c>
      <c r="Q332" s="7">
        <v>3344868</v>
      </c>
      <c r="S332" s="7">
        <v>1719095</v>
      </c>
      <c r="U332" s="7">
        <v>509259</v>
      </c>
      <c r="W332" s="7">
        <v>2935180</v>
      </c>
      <c r="Y332" s="7">
        <v>965558</v>
      </c>
      <c r="AA332" s="7">
        <v>8267</v>
      </c>
      <c r="AC332" s="7">
        <v>4449921</v>
      </c>
      <c r="AE332" s="7">
        <v>2199145</v>
      </c>
      <c r="AG332" s="7">
        <v>1346998</v>
      </c>
      <c r="AI332" s="7">
        <v>1650500</v>
      </c>
      <c r="AK332" s="7">
        <f>302983+3117</f>
        <v>306100</v>
      </c>
      <c r="AL332" s="12" t="s">
        <v>516</v>
      </c>
      <c r="AM332" s="12"/>
      <c r="AN332" s="12" t="s">
        <v>62</v>
      </c>
      <c r="AP332" s="7">
        <v>1534325</v>
      </c>
      <c r="AR332" s="7">
        <v>73370</v>
      </c>
      <c r="AT332" s="7">
        <v>0</v>
      </c>
      <c r="AV332" s="7">
        <v>2549299</v>
      </c>
      <c r="AX332" s="7">
        <v>1942426</v>
      </c>
      <c r="AZ332" s="7">
        <v>0</v>
      </c>
      <c r="BB332" s="8">
        <f t="shared" si="54"/>
        <v>54253508</v>
      </c>
      <c r="BD332" s="7">
        <v>2981</v>
      </c>
      <c r="BF332" s="7">
        <v>0</v>
      </c>
      <c r="BH332" s="7">
        <v>0</v>
      </c>
      <c r="BJ332" s="7">
        <v>0</v>
      </c>
      <c r="BL332" s="8">
        <f t="shared" si="55"/>
        <v>54256489</v>
      </c>
      <c r="BN332" s="8">
        <f>'Gov Fd Rv'!AQ332-'Gov Fnd Exp'!BL332</f>
        <v>-377596</v>
      </c>
      <c r="BP332" s="7">
        <v>10733933</v>
      </c>
      <c r="BR332" s="7">
        <v>0</v>
      </c>
      <c r="BT332" s="7">
        <v>0</v>
      </c>
      <c r="BV332" s="8">
        <f t="shared" si="56"/>
        <v>10356337</v>
      </c>
      <c r="BW332" s="8"/>
      <c r="BX332" s="8">
        <f>BV332-'Gov Fd BS'!AE332</f>
        <v>0</v>
      </c>
      <c r="BY332" s="8"/>
      <c r="CB332" s="101" t="str">
        <f t="shared" si="52"/>
        <v>Massillon City SD</v>
      </c>
      <c r="CC332" s="101" t="b">
        <f t="shared" si="49"/>
        <v>1</v>
      </c>
      <c r="CD332" s="101" t="str">
        <f>'Gov Fd Rv'!A332</f>
        <v>Massillon City SD</v>
      </c>
      <c r="CE332" s="8" t="b">
        <f t="shared" ref="CE332:CE396" si="66">CB332=CD332</f>
        <v>1</v>
      </c>
      <c r="CG332" s="8" t="str">
        <f t="shared" si="50"/>
        <v>Stark</v>
      </c>
      <c r="CH332" s="8" t="b">
        <f t="shared" si="51"/>
        <v>1</v>
      </c>
      <c r="CI332" s="8" t="b">
        <f>C332='Gov Fd Rv'!C332</f>
        <v>1</v>
      </c>
    </row>
    <row r="333" spans="1:87">
      <c r="A333" s="12" t="s">
        <v>545</v>
      </c>
      <c r="B333" s="12"/>
      <c r="C333" s="12" t="s">
        <v>64</v>
      </c>
      <c r="D333" s="12"/>
      <c r="E333" s="12">
        <v>50153</v>
      </c>
      <c r="G333" s="7">
        <v>4393384</v>
      </c>
      <c r="I333" s="7">
        <v>1029613</v>
      </c>
      <c r="K333" s="7">
        <v>72602</v>
      </c>
      <c r="M333" s="7">
        <v>0</v>
      </c>
      <c r="O333" s="7">
        <v>133849</v>
      </c>
      <c r="Q333" s="7">
        <v>504915</v>
      </c>
      <c r="S333" s="7">
        <v>241004</v>
      </c>
      <c r="U333" s="7">
        <v>81495</v>
      </c>
      <c r="W333" s="7">
        <v>829316</v>
      </c>
      <c r="Y333" s="7">
        <v>341755</v>
      </c>
      <c r="AA333" s="7">
        <v>0</v>
      </c>
      <c r="AC333" s="7">
        <v>1055904</v>
      </c>
      <c r="AE333" s="7">
        <v>502540</v>
      </c>
      <c r="AG333" s="7">
        <v>88631</v>
      </c>
      <c r="AI333" s="7">
        <v>334589</v>
      </c>
      <c r="AK333" s="7">
        <v>2714</v>
      </c>
      <c r="AL333" s="12" t="s">
        <v>545</v>
      </c>
      <c r="AM333" s="12"/>
      <c r="AN333" s="12" t="s">
        <v>64</v>
      </c>
      <c r="AP333" s="7">
        <v>205224</v>
      </c>
      <c r="AR333" s="7">
        <v>0</v>
      </c>
      <c r="AT333" s="7">
        <v>0</v>
      </c>
      <c r="AV333" s="7">
        <v>12961</v>
      </c>
      <c r="AX333" s="7">
        <v>0</v>
      </c>
      <c r="AZ333" s="7">
        <v>0</v>
      </c>
      <c r="BB333" s="8">
        <f t="shared" si="54"/>
        <v>9830496</v>
      </c>
      <c r="BD333" s="7">
        <v>162533</v>
      </c>
      <c r="BF333" s="7">
        <v>0</v>
      </c>
      <c r="BH333" s="7">
        <v>0</v>
      </c>
      <c r="BJ333" s="7">
        <v>0</v>
      </c>
      <c r="BL333" s="8">
        <f t="shared" si="55"/>
        <v>9993029</v>
      </c>
      <c r="BN333" s="8">
        <f>'Gov Fd Rv'!AQ333-'Gov Fnd Exp'!BL333</f>
        <v>-198556</v>
      </c>
      <c r="BP333" s="7">
        <v>712488</v>
      </c>
      <c r="BR333" s="7">
        <v>0</v>
      </c>
      <c r="BT333" s="7">
        <v>0</v>
      </c>
      <c r="BV333" s="8">
        <f t="shared" si="56"/>
        <v>513932</v>
      </c>
      <c r="BW333" s="8"/>
      <c r="BX333" s="8">
        <f>BV333-'Gov Fd BS'!AE333</f>
        <v>0</v>
      </c>
      <c r="BY333" s="8"/>
      <c r="BZ333" s="8"/>
      <c r="CB333" s="101" t="str">
        <f t="shared" si="52"/>
        <v>Mathews Local SD</v>
      </c>
      <c r="CC333" s="101" t="b">
        <f t="shared" ref="CC333:CC397" si="67">A333=AL333</f>
        <v>1</v>
      </c>
      <c r="CD333" s="101" t="str">
        <f>'Gov Fd Rv'!A333</f>
        <v>Mathews Local SD</v>
      </c>
      <c r="CE333" s="8" t="b">
        <f t="shared" si="66"/>
        <v>1</v>
      </c>
      <c r="CG333" s="8" t="str">
        <f t="shared" ref="CG333:CG397" si="68">C333</f>
        <v>Trumbull</v>
      </c>
      <c r="CH333" s="8" t="b">
        <f t="shared" ref="CH333:CH397" si="69">C333=AN333</f>
        <v>1</v>
      </c>
      <c r="CI333" s="8" t="b">
        <f>C333='Gov Fd Rv'!C333</f>
        <v>1</v>
      </c>
    </row>
    <row r="334" spans="1:87">
      <c r="A334" s="12" t="s">
        <v>403</v>
      </c>
      <c r="B334" s="12"/>
      <c r="C334" s="12" t="s">
        <v>115</v>
      </c>
      <c r="D334" s="12"/>
      <c r="E334" s="12">
        <v>44362</v>
      </c>
      <c r="G334" s="7">
        <v>14868868</v>
      </c>
      <c r="I334" s="7">
        <v>2790948</v>
      </c>
      <c r="K334" s="7">
        <v>271283</v>
      </c>
      <c r="M334" s="7">
        <v>7699</v>
      </c>
      <c r="O334" s="7">
        <v>800478</v>
      </c>
      <c r="Q334" s="7">
        <v>1181402</v>
      </c>
      <c r="S334" s="7">
        <v>835880</v>
      </c>
      <c r="U334" s="7">
        <v>28783</v>
      </c>
      <c r="W334" s="7">
        <v>2353514</v>
      </c>
      <c r="Y334" s="7">
        <v>781253</v>
      </c>
      <c r="AA334" s="7">
        <v>216411</v>
      </c>
      <c r="AC334" s="7">
        <v>3155035</v>
      </c>
      <c r="AE334" s="7">
        <v>983022</v>
      </c>
      <c r="AG334" s="7">
        <v>327775</v>
      </c>
      <c r="AI334" s="7">
        <v>902532</v>
      </c>
      <c r="AK334" s="7">
        <v>542727</v>
      </c>
      <c r="AL334" s="12" t="s">
        <v>403</v>
      </c>
      <c r="AM334" s="12"/>
      <c r="AN334" s="12" t="s">
        <v>115</v>
      </c>
      <c r="AP334" s="7">
        <v>969487</v>
      </c>
      <c r="AR334" s="7">
        <v>456961</v>
      </c>
      <c r="AT334" s="7">
        <v>0</v>
      </c>
      <c r="AV334" s="7">
        <v>950000</v>
      </c>
      <c r="AX334" s="7">
        <v>1671440</v>
      </c>
      <c r="AZ334" s="7">
        <v>0</v>
      </c>
      <c r="BB334" s="8">
        <f t="shared" si="54"/>
        <v>34095498</v>
      </c>
      <c r="BD334" s="7">
        <v>20000</v>
      </c>
      <c r="BF334" s="7">
        <v>0</v>
      </c>
      <c r="BH334" s="7">
        <v>0</v>
      </c>
      <c r="BJ334" s="7">
        <v>0</v>
      </c>
      <c r="BL334" s="8">
        <f t="shared" si="55"/>
        <v>34115498</v>
      </c>
      <c r="BN334" s="8">
        <f>'Gov Fd Rv'!AQ334-'Gov Fnd Exp'!BL334</f>
        <v>1022641</v>
      </c>
      <c r="BP334" s="7">
        <v>414326</v>
      </c>
      <c r="BR334" s="7">
        <v>14473</v>
      </c>
      <c r="BT334" s="7">
        <v>0</v>
      </c>
      <c r="BV334" s="8">
        <f t="shared" si="56"/>
        <v>1451440</v>
      </c>
      <c r="BW334" s="8"/>
      <c r="BX334" s="8">
        <f>BV334-'Gov Fd BS'!AE334</f>
        <v>0</v>
      </c>
      <c r="BY334" s="8"/>
      <c r="BZ334" s="8"/>
      <c r="CB334" s="101" t="str">
        <f t="shared" si="52"/>
        <v>Maumee City SD</v>
      </c>
      <c r="CC334" s="101" t="b">
        <f t="shared" si="67"/>
        <v>1</v>
      </c>
      <c r="CD334" s="101" t="str">
        <f>'Gov Fd Rv'!A334</f>
        <v>Maumee City SD</v>
      </c>
      <c r="CE334" s="8" t="b">
        <f t="shared" si="66"/>
        <v>1</v>
      </c>
      <c r="CG334" s="8" t="str">
        <f t="shared" si="68"/>
        <v>Lucas</v>
      </c>
      <c r="CH334" s="8" t="b">
        <f t="shared" si="69"/>
        <v>1</v>
      </c>
      <c r="CI334" s="8" t="b">
        <f>C334='Gov Fd Rv'!C334</f>
        <v>1</v>
      </c>
    </row>
    <row r="335" spans="1:87">
      <c r="A335" s="12" t="s">
        <v>763</v>
      </c>
      <c r="B335" s="12"/>
      <c r="C335" s="12" t="s">
        <v>20</v>
      </c>
      <c r="D335" s="12"/>
      <c r="E335" s="12">
        <v>44370</v>
      </c>
      <c r="G335" s="7">
        <v>23627390</v>
      </c>
      <c r="I335" s="7">
        <v>11515686</v>
      </c>
      <c r="K335" s="7">
        <f>822040+6308894</f>
        <v>7130934</v>
      </c>
      <c r="M335" s="7">
        <v>0</v>
      </c>
      <c r="O335" s="7">
        <f>531575+72940</f>
        <v>604515</v>
      </c>
      <c r="Q335" s="7">
        <v>5511985</v>
      </c>
      <c r="S335" s="7">
        <v>5592554</v>
      </c>
      <c r="U335" s="7">
        <v>100474</v>
      </c>
      <c r="W335" s="7">
        <v>3525414</v>
      </c>
      <c r="Y335" s="7">
        <v>2023241</v>
      </c>
      <c r="AA335" s="7">
        <v>249064</v>
      </c>
      <c r="AC335" s="7">
        <v>5697696</v>
      </c>
      <c r="AE335" s="7">
        <v>4078520</v>
      </c>
      <c r="AG335" s="7">
        <v>1052947</v>
      </c>
      <c r="AI335" s="7">
        <v>1197222</v>
      </c>
      <c r="AK335" s="7">
        <v>1135396</v>
      </c>
      <c r="AL335" s="12" t="s">
        <v>763</v>
      </c>
      <c r="AM335" s="12"/>
      <c r="AN335" s="12" t="s">
        <v>20</v>
      </c>
      <c r="AP335" s="7">
        <v>1494579</v>
      </c>
      <c r="AR335" s="7">
        <v>7676041</v>
      </c>
      <c r="AT335" s="7">
        <v>0</v>
      </c>
      <c r="AV335" s="7">
        <v>1300125</v>
      </c>
      <c r="AX335" s="7">
        <v>1841528</v>
      </c>
      <c r="AZ335" s="7">
        <v>0</v>
      </c>
      <c r="BB335" s="8">
        <f t="shared" si="54"/>
        <v>85355311</v>
      </c>
      <c r="BD335" s="7">
        <v>3410404</v>
      </c>
      <c r="BF335" s="7">
        <v>0</v>
      </c>
      <c r="BH335" s="7">
        <v>0</v>
      </c>
      <c r="BJ335" s="7">
        <v>0</v>
      </c>
      <c r="BL335" s="8">
        <f t="shared" si="55"/>
        <v>88765715</v>
      </c>
      <c r="BN335" s="8">
        <f>'Gov Fd Rv'!AQ335-'Gov Fnd Exp'!BL335</f>
        <v>4146772</v>
      </c>
      <c r="BP335" s="7">
        <v>54460727</v>
      </c>
      <c r="BR335" s="7">
        <v>0</v>
      </c>
      <c r="BT335" s="7">
        <v>0</v>
      </c>
      <c r="BV335" s="8">
        <f t="shared" si="56"/>
        <v>58607499</v>
      </c>
      <c r="BW335" s="8"/>
      <c r="BX335" s="8">
        <f>BV335-'Gov Fd BS'!AE335</f>
        <v>0</v>
      </c>
      <c r="BY335" s="8"/>
      <c r="BZ335" s="8"/>
      <c r="CB335" s="101" t="str">
        <f t="shared" ref="CB335:CB401" si="70">A335</f>
        <v xml:space="preserve">Mayfield City SD </v>
      </c>
      <c r="CC335" s="101" t="b">
        <f t="shared" si="67"/>
        <v>1</v>
      </c>
      <c r="CD335" s="101" t="str">
        <f>'Gov Fd Rv'!A335</f>
        <v xml:space="preserve">Mayfield City SD </v>
      </c>
      <c r="CE335" s="8" t="b">
        <f t="shared" si="66"/>
        <v>1</v>
      </c>
      <c r="CG335" s="8" t="str">
        <f t="shared" si="68"/>
        <v>Cuyahoga</v>
      </c>
      <c r="CH335" s="8" t="b">
        <f t="shared" si="69"/>
        <v>1</v>
      </c>
      <c r="CI335" s="8" t="b">
        <f>C335='Gov Fd Rv'!C335</f>
        <v>1</v>
      </c>
    </row>
    <row r="336" spans="1:87">
      <c r="A336" s="12" t="s">
        <v>458</v>
      </c>
      <c r="B336" s="12"/>
      <c r="C336" s="12" t="s">
        <v>51</v>
      </c>
      <c r="D336" s="12"/>
      <c r="E336" s="12">
        <v>48850</v>
      </c>
      <c r="G336" s="7">
        <v>10291153</v>
      </c>
      <c r="I336" s="7">
        <v>2318028</v>
      </c>
      <c r="K336" s="7">
        <v>60500</v>
      </c>
      <c r="M336" s="7">
        <v>0</v>
      </c>
      <c r="O336" s="7">
        <v>447937</v>
      </c>
      <c r="Q336" s="7">
        <v>797919</v>
      </c>
      <c r="S336" s="7">
        <v>1634400</v>
      </c>
      <c r="U336" s="7">
        <v>42970</v>
      </c>
      <c r="W336" s="7">
        <v>1846562</v>
      </c>
      <c r="Y336" s="7">
        <v>388145</v>
      </c>
      <c r="AA336" s="7">
        <v>0</v>
      </c>
      <c r="AC336" s="7">
        <v>2000654</v>
      </c>
      <c r="AE336" s="7">
        <v>1030190</v>
      </c>
      <c r="AG336" s="7">
        <v>59148</v>
      </c>
      <c r="AI336" s="7">
        <v>888721</v>
      </c>
      <c r="AK336" s="7">
        <v>29334</v>
      </c>
      <c r="AL336" s="12" t="s">
        <v>458</v>
      </c>
      <c r="AM336" s="12"/>
      <c r="AN336" s="12" t="s">
        <v>51</v>
      </c>
      <c r="AP336" s="7">
        <v>578502</v>
      </c>
      <c r="AR336" s="7">
        <v>81739</v>
      </c>
      <c r="AT336" s="7">
        <v>0</v>
      </c>
      <c r="AV336" s="7">
        <v>374234</v>
      </c>
      <c r="AX336" s="7">
        <v>231109</v>
      </c>
      <c r="AZ336" s="7">
        <v>0</v>
      </c>
      <c r="BB336" s="8">
        <f t="shared" si="54"/>
        <v>23101245</v>
      </c>
      <c r="BD336" s="7">
        <v>0</v>
      </c>
      <c r="BF336" s="7">
        <v>0</v>
      </c>
      <c r="BH336" s="7">
        <v>0</v>
      </c>
      <c r="BJ336" s="7">
        <v>0</v>
      </c>
      <c r="BL336" s="8">
        <f t="shared" si="55"/>
        <v>23101245</v>
      </c>
      <c r="BN336" s="8">
        <f>'Gov Fd Rv'!AQ336-'Gov Fnd Exp'!BL336</f>
        <v>-261823</v>
      </c>
      <c r="BP336" s="7">
        <v>3568507</v>
      </c>
      <c r="BR336" s="7">
        <v>0</v>
      </c>
      <c r="BT336" s="7">
        <v>0</v>
      </c>
      <c r="BV336" s="8">
        <f t="shared" si="56"/>
        <v>3306684</v>
      </c>
      <c r="BW336" s="8"/>
      <c r="BX336" s="8">
        <f>BV336-'Gov Fd BS'!AE336</f>
        <v>0</v>
      </c>
      <c r="BY336" s="8"/>
      <c r="BZ336" s="8"/>
      <c r="CB336" s="101" t="str">
        <f t="shared" si="70"/>
        <v>Maysville Local SD</v>
      </c>
      <c r="CC336" s="101" t="b">
        <f t="shared" si="67"/>
        <v>1</v>
      </c>
      <c r="CD336" s="101" t="str">
        <f>'Gov Fd Rv'!A336</f>
        <v>Maysville Local SD</v>
      </c>
      <c r="CE336" s="8" t="b">
        <f t="shared" si="66"/>
        <v>1</v>
      </c>
      <c r="CG336" s="8" t="str">
        <f t="shared" si="68"/>
        <v>Muskingum</v>
      </c>
      <c r="CH336" s="8" t="b">
        <f t="shared" si="69"/>
        <v>1</v>
      </c>
      <c r="CI336" s="8" t="b">
        <f>C336='Gov Fd Rv'!C336</f>
        <v>1</v>
      </c>
    </row>
    <row r="337" spans="1:87" hidden="1">
      <c r="A337" s="12" t="s">
        <v>932</v>
      </c>
      <c r="B337" s="12"/>
      <c r="C337" s="12" t="s">
        <v>33</v>
      </c>
      <c r="D337" s="12"/>
      <c r="E337" s="12">
        <v>47456</v>
      </c>
      <c r="AL337" s="12" t="s">
        <v>932</v>
      </c>
      <c r="AM337" s="12"/>
      <c r="AN337" s="12" t="s">
        <v>33</v>
      </c>
      <c r="AT337" s="7">
        <v>0</v>
      </c>
      <c r="AZ337" s="7">
        <v>0</v>
      </c>
      <c r="BB337" s="8">
        <f t="shared" si="54"/>
        <v>0</v>
      </c>
      <c r="BF337" s="7">
        <v>0</v>
      </c>
      <c r="BH337" s="7">
        <v>0</v>
      </c>
      <c r="BJ337" s="7">
        <v>0</v>
      </c>
      <c r="BL337" s="8">
        <f>BB337+BD337+BJ337+BF337</f>
        <v>0</v>
      </c>
      <c r="BN337" s="8">
        <f>'Gov Fd Rv'!AQ337-'Gov Fnd Exp'!BL337</f>
        <v>0</v>
      </c>
      <c r="BR337" s="7">
        <v>0</v>
      </c>
      <c r="BT337" s="7">
        <v>0</v>
      </c>
      <c r="BV337" s="8">
        <f t="shared" si="56"/>
        <v>0</v>
      </c>
      <c r="BW337" s="8"/>
      <c r="BX337" s="8">
        <f>BV337-'Gov Fd BS'!AE337</f>
        <v>0</v>
      </c>
      <c r="BY337" s="8"/>
      <c r="BZ337" s="7" t="s">
        <v>839</v>
      </c>
      <c r="CB337" s="101" t="str">
        <f t="shared" si="70"/>
        <v>McComb Local SD (CASH)</v>
      </c>
      <c r="CC337" s="101" t="b">
        <f t="shared" si="67"/>
        <v>1</v>
      </c>
      <c r="CD337" s="101" t="str">
        <f>'Gov Fd Rv'!A337</f>
        <v>McComb Local SD (CASH)</v>
      </c>
      <c r="CE337" s="8" t="b">
        <f t="shared" si="66"/>
        <v>1</v>
      </c>
      <c r="CG337" s="8" t="str">
        <f t="shared" si="68"/>
        <v>Hancock</v>
      </c>
      <c r="CH337" s="8" t="b">
        <f t="shared" si="69"/>
        <v>1</v>
      </c>
      <c r="CI337" s="8" t="b">
        <f>C337='Gov Fd Rv'!C337</f>
        <v>1</v>
      </c>
    </row>
    <row r="338" spans="1:87">
      <c r="A338" s="12" t="s">
        <v>667</v>
      </c>
      <c r="B338" s="12"/>
      <c r="C338" s="12" t="s">
        <v>64</v>
      </c>
      <c r="D338" s="12"/>
      <c r="E338" s="12">
        <v>50229</v>
      </c>
      <c r="G338" s="7">
        <v>3210485</v>
      </c>
      <c r="I338" s="7">
        <v>512871</v>
      </c>
      <c r="K338" s="7">
        <v>19426</v>
      </c>
      <c r="M338" s="7">
        <v>0</v>
      </c>
      <c r="O338" s="7">
        <v>0</v>
      </c>
      <c r="Q338" s="7">
        <v>298492</v>
      </c>
      <c r="S338" s="7">
        <v>12055</v>
      </c>
      <c r="U338" s="7">
        <v>14205</v>
      </c>
      <c r="W338" s="7">
        <v>411197</v>
      </c>
      <c r="Y338" s="7">
        <v>178235</v>
      </c>
      <c r="AA338" s="7">
        <v>0</v>
      </c>
      <c r="AC338" s="7">
        <v>548503</v>
      </c>
      <c r="AE338" s="7">
        <v>65610</v>
      </c>
      <c r="AG338" s="7">
        <v>31685</v>
      </c>
      <c r="AI338" s="7">
        <v>103829</v>
      </c>
      <c r="AK338" s="7">
        <v>4210</v>
      </c>
      <c r="AL338" s="12" t="s">
        <v>667</v>
      </c>
      <c r="AM338" s="12"/>
      <c r="AN338" s="12" t="s">
        <v>64</v>
      </c>
      <c r="AP338" s="7">
        <v>243261</v>
      </c>
      <c r="AR338" s="7">
        <v>98123</v>
      </c>
      <c r="AT338" s="7">
        <v>0</v>
      </c>
      <c r="AV338" s="7">
        <v>97844</v>
      </c>
      <c r="AX338" s="7">
        <f>52169+82661</f>
        <v>134830</v>
      </c>
      <c r="AZ338" s="7">
        <v>0</v>
      </c>
      <c r="BB338" s="8">
        <f t="shared" si="54"/>
        <v>5984861</v>
      </c>
      <c r="BD338" s="7">
        <v>0</v>
      </c>
      <c r="BF338" s="7">
        <v>0</v>
      </c>
      <c r="BH338" s="7">
        <v>0</v>
      </c>
      <c r="BJ338" s="7">
        <v>0</v>
      </c>
      <c r="BL338" s="8">
        <f t="shared" si="55"/>
        <v>5984861</v>
      </c>
      <c r="BN338" s="8">
        <f>'Gov Fd Rv'!AQ338-'Gov Fnd Exp'!BL338</f>
        <v>1653632</v>
      </c>
      <c r="BP338" s="7">
        <v>-2373343</v>
      </c>
      <c r="BR338" s="7">
        <v>0</v>
      </c>
      <c r="BT338" s="7">
        <v>0</v>
      </c>
      <c r="BV338" s="8">
        <f t="shared" si="56"/>
        <v>-719711</v>
      </c>
      <c r="BW338" s="8"/>
      <c r="BX338" s="8">
        <f>BV338-'Gov Fd BS'!AE338</f>
        <v>0</v>
      </c>
      <c r="BY338" s="8"/>
      <c r="BZ338" s="8"/>
      <c r="CB338" s="101" t="str">
        <f t="shared" si="70"/>
        <v>McDonald Local SD</v>
      </c>
      <c r="CC338" s="101" t="b">
        <f t="shared" si="67"/>
        <v>1</v>
      </c>
      <c r="CD338" s="101" t="str">
        <f>'Gov Fd Rv'!A338</f>
        <v>McDonald Local SD</v>
      </c>
      <c r="CE338" s="8" t="b">
        <f t="shared" si="66"/>
        <v>1</v>
      </c>
      <c r="CG338" s="8" t="str">
        <f t="shared" si="68"/>
        <v>Trumbull</v>
      </c>
      <c r="CH338" s="8" t="b">
        <f t="shared" si="69"/>
        <v>1</v>
      </c>
      <c r="CI338" s="8" t="b">
        <f>C338='Gov Fd Rv'!C338</f>
        <v>1</v>
      </c>
    </row>
    <row r="339" spans="1:87">
      <c r="A339" s="12" t="s">
        <v>877</v>
      </c>
      <c r="B339" s="12"/>
      <c r="C339" s="12" t="s">
        <v>232</v>
      </c>
      <c r="D339" s="12"/>
      <c r="E339" s="12">
        <v>45484</v>
      </c>
      <c r="G339" s="7">
        <v>4630319</v>
      </c>
      <c r="I339" s="7">
        <v>1197420</v>
      </c>
      <c r="K339" s="7">
        <v>149585</v>
      </c>
      <c r="M339" s="7">
        <v>0</v>
      </c>
      <c r="O339" s="7">
        <v>0</v>
      </c>
      <c r="Q339" s="7">
        <v>358559</v>
      </c>
      <c r="S339" s="7">
        <v>401190</v>
      </c>
      <c r="U339" s="7">
        <v>57827</v>
      </c>
      <c r="W339" s="7">
        <v>934467</v>
      </c>
      <c r="Y339" s="7">
        <v>309808</v>
      </c>
      <c r="AA339" s="7">
        <v>0</v>
      </c>
      <c r="AC339" s="7">
        <v>1313168</v>
      </c>
      <c r="AE339" s="7">
        <v>650640</v>
      </c>
      <c r="AG339" s="7">
        <v>181157</v>
      </c>
      <c r="AI339" s="7">
        <v>211895</v>
      </c>
      <c r="AK339" s="7">
        <v>2826</v>
      </c>
      <c r="AL339" s="12" t="s">
        <v>877</v>
      </c>
      <c r="AM339" s="12"/>
      <c r="AN339" s="12" t="s">
        <v>232</v>
      </c>
      <c r="AP339" s="7">
        <v>316357</v>
      </c>
      <c r="AR339" s="7">
        <v>0</v>
      </c>
      <c r="AT339" s="7">
        <v>0</v>
      </c>
      <c r="AV339" s="7">
        <v>250797</v>
      </c>
      <c r="AX339" s="7">
        <f>305508+14300</f>
        <v>319808</v>
      </c>
      <c r="AZ339" s="7">
        <v>0</v>
      </c>
      <c r="BB339" s="8">
        <f t="shared" si="54"/>
        <v>11285823</v>
      </c>
      <c r="BD339" s="7">
        <v>15000</v>
      </c>
      <c r="BF339" s="7">
        <v>0</v>
      </c>
      <c r="BH339" s="7">
        <v>0</v>
      </c>
      <c r="BJ339" s="7">
        <v>0</v>
      </c>
      <c r="BL339" s="8">
        <f t="shared" si="55"/>
        <v>11300823</v>
      </c>
      <c r="BN339" s="8">
        <f>'Gov Fd Rv'!AQ339-'Gov Fnd Exp'!BL339</f>
        <v>-73522</v>
      </c>
      <c r="BP339" s="7">
        <v>1720418</v>
      </c>
      <c r="BR339" s="7">
        <v>0</v>
      </c>
      <c r="BT339" s="7">
        <v>0</v>
      </c>
      <c r="BV339" s="8">
        <f t="shared" si="56"/>
        <v>1646896</v>
      </c>
      <c r="BW339" s="8"/>
      <c r="BX339" s="8">
        <f>BV339-'Gov Fd BS'!AE339</f>
        <v>0</v>
      </c>
      <c r="BY339" s="8"/>
      <c r="BZ339" s="8"/>
      <c r="CB339" s="101" t="str">
        <f t="shared" si="70"/>
        <v>Mechanicsburg Exempted Village SD</v>
      </c>
      <c r="CC339" s="101" t="b">
        <f t="shared" si="67"/>
        <v>1</v>
      </c>
      <c r="CD339" s="101" t="str">
        <f>'Gov Fd Rv'!A339</f>
        <v>Mechanicsburg Exempted Village SD</v>
      </c>
      <c r="CE339" s="8" t="b">
        <f t="shared" si="66"/>
        <v>1</v>
      </c>
      <c r="CG339" s="8" t="str">
        <f t="shared" si="68"/>
        <v>Champaign</v>
      </c>
      <c r="CH339" s="8" t="b">
        <f t="shared" si="69"/>
        <v>1</v>
      </c>
      <c r="CI339" s="8" t="b">
        <f>C339='Gov Fd Rv'!C339</f>
        <v>1</v>
      </c>
    </row>
    <row r="340" spans="1:87">
      <c r="A340" s="12" t="s">
        <v>431</v>
      </c>
      <c r="B340" s="12"/>
      <c r="C340" s="12" t="s">
        <v>47</v>
      </c>
      <c r="D340" s="12"/>
      <c r="E340" s="12">
        <v>44388</v>
      </c>
      <c r="G340" s="7">
        <v>37382596</v>
      </c>
      <c r="I340" s="7">
        <v>8549887</v>
      </c>
      <c r="K340" s="7">
        <v>431022</v>
      </c>
      <c r="M340" s="7">
        <v>0</v>
      </c>
      <c r="O340" s="7">
        <v>84279</v>
      </c>
      <c r="Q340" s="7">
        <v>3908174</v>
      </c>
      <c r="S340" s="7">
        <v>3999998</v>
      </c>
      <c r="U340" s="7">
        <v>89722</v>
      </c>
      <c r="W340" s="7">
        <v>4545228</v>
      </c>
      <c r="Y340" s="7">
        <v>1178806</v>
      </c>
      <c r="AA340" s="7">
        <v>623047</v>
      </c>
      <c r="AC340" s="7">
        <v>7301033</v>
      </c>
      <c r="AE340" s="7">
        <v>2285430</v>
      </c>
      <c r="AG340" s="7">
        <v>407744</v>
      </c>
      <c r="AI340" s="7">
        <v>2153395</v>
      </c>
      <c r="AK340" s="7">
        <v>577237</v>
      </c>
      <c r="AL340" s="12" t="s">
        <v>431</v>
      </c>
      <c r="AM340" s="12"/>
      <c r="AN340" s="12" t="s">
        <v>47</v>
      </c>
      <c r="AP340" s="7">
        <v>1863909</v>
      </c>
      <c r="AR340" s="7">
        <v>1002174</v>
      </c>
      <c r="AT340" s="7">
        <v>0</v>
      </c>
      <c r="AV340" s="7">
        <v>2962884</v>
      </c>
      <c r="AX340" s="7">
        <f>4293858+2699815</f>
        <v>6993673</v>
      </c>
      <c r="AZ340" s="7">
        <v>0</v>
      </c>
      <c r="BB340" s="8">
        <f t="shared" si="54"/>
        <v>86340238</v>
      </c>
      <c r="BD340" s="7">
        <v>2911396</v>
      </c>
      <c r="BF340" s="7">
        <v>0</v>
      </c>
      <c r="BH340" s="7">
        <v>0</v>
      </c>
      <c r="BJ340" s="7">
        <v>0</v>
      </c>
      <c r="BL340" s="8">
        <f t="shared" si="55"/>
        <v>89251634</v>
      </c>
      <c r="BN340" s="8">
        <f>'Gov Fd Rv'!AQ340-'Gov Fnd Exp'!BL340</f>
        <v>-119489</v>
      </c>
      <c r="BP340" s="7">
        <v>20842103</v>
      </c>
      <c r="BR340" s="7">
        <v>0</v>
      </c>
      <c r="BT340" s="7">
        <v>0</v>
      </c>
      <c r="BV340" s="8">
        <f t="shared" si="56"/>
        <v>20722614</v>
      </c>
      <c r="BW340" s="8"/>
      <c r="BX340" s="8">
        <f>BV340-'Gov Fd BS'!AE340</f>
        <v>0</v>
      </c>
      <c r="BY340" s="8"/>
      <c r="BZ340" s="8"/>
      <c r="CB340" s="101" t="str">
        <f t="shared" si="70"/>
        <v>Medina City SD</v>
      </c>
      <c r="CC340" s="101" t="b">
        <f t="shared" si="67"/>
        <v>1</v>
      </c>
      <c r="CD340" s="101" t="str">
        <f>'Gov Fd Rv'!A340</f>
        <v>Medina City SD</v>
      </c>
      <c r="CE340" s="8" t="b">
        <f t="shared" si="66"/>
        <v>1</v>
      </c>
      <c r="CG340" s="8" t="str">
        <f t="shared" si="68"/>
        <v>Medina</v>
      </c>
      <c r="CH340" s="8" t="b">
        <f t="shared" si="69"/>
        <v>1</v>
      </c>
      <c r="CI340" s="8" t="b">
        <f>C340='Gov Fd Rv'!C340</f>
        <v>1</v>
      </c>
    </row>
    <row r="341" spans="1:87">
      <c r="A341" s="12" t="s">
        <v>434</v>
      </c>
      <c r="B341" s="12"/>
      <c r="C341" s="12" t="s">
        <v>433</v>
      </c>
      <c r="D341" s="12"/>
      <c r="E341" s="12">
        <v>48520</v>
      </c>
      <c r="G341" s="7">
        <v>6834453</v>
      </c>
      <c r="I341" s="7">
        <v>2719936</v>
      </c>
      <c r="K341" s="7">
        <v>1489171</v>
      </c>
      <c r="M341" s="7">
        <v>5500</v>
      </c>
      <c r="O341" s="7">
        <f>127564+2169123</f>
        <v>2296687</v>
      </c>
      <c r="Q341" s="7">
        <v>566986</v>
      </c>
      <c r="S341" s="7">
        <v>1046301</v>
      </c>
      <c r="U341" s="7">
        <v>59730</v>
      </c>
      <c r="W341" s="7">
        <v>1816076</v>
      </c>
      <c r="Y341" s="7">
        <v>502518</v>
      </c>
      <c r="AA341" s="7">
        <v>0</v>
      </c>
      <c r="AC341" s="7">
        <v>1827117</v>
      </c>
      <c r="AE341" s="7">
        <v>1650547</v>
      </c>
      <c r="AG341" s="7">
        <v>39032</v>
      </c>
      <c r="AI341" s="7">
        <v>0</v>
      </c>
      <c r="AK341" s="7">
        <v>1059401</v>
      </c>
      <c r="AL341" s="12" t="s">
        <v>434</v>
      </c>
      <c r="AM341" s="12"/>
      <c r="AN341" s="12" t="s">
        <v>433</v>
      </c>
      <c r="AP341" s="7">
        <v>301028</v>
      </c>
      <c r="AR341" s="7">
        <v>273682</v>
      </c>
      <c r="AT341" s="7">
        <v>0</v>
      </c>
      <c r="AV341" s="7">
        <v>419085</v>
      </c>
      <c r="AX341" s="7">
        <v>238423</v>
      </c>
      <c r="AZ341" s="7">
        <v>0</v>
      </c>
      <c r="BB341" s="8">
        <f t="shared" si="54"/>
        <v>23145673</v>
      </c>
      <c r="BD341" s="7">
        <v>0</v>
      </c>
      <c r="BF341" s="7">
        <v>0</v>
      </c>
      <c r="BH341" s="7">
        <v>0</v>
      </c>
      <c r="BJ341" s="7">
        <v>0</v>
      </c>
      <c r="BL341" s="8">
        <f t="shared" si="55"/>
        <v>23145673</v>
      </c>
      <c r="BN341" s="8">
        <f>'Gov Fd Rv'!AQ341-'Gov Fnd Exp'!BL341</f>
        <v>-85257</v>
      </c>
      <c r="BP341" s="7">
        <v>370466</v>
      </c>
      <c r="BR341" s="7">
        <v>0</v>
      </c>
      <c r="BT341" s="7">
        <v>0</v>
      </c>
      <c r="BV341" s="8">
        <f t="shared" si="56"/>
        <v>285209</v>
      </c>
      <c r="BW341" s="8"/>
      <c r="BX341" s="8">
        <f>BV341-'Gov Fd BS'!AE341</f>
        <v>0</v>
      </c>
      <c r="BY341" s="8"/>
      <c r="BZ341" s="7" t="s">
        <v>933</v>
      </c>
      <c r="CB341" s="101" t="str">
        <f t="shared" si="70"/>
        <v>Meigs Local SD</v>
      </c>
      <c r="CC341" s="101" t="b">
        <f t="shared" si="67"/>
        <v>1</v>
      </c>
      <c r="CD341" s="101" t="str">
        <f>'Gov Fd Rv'!A341</f>
        <v>Meigs Local SD</v>
      </c>
      <c r="CE341" s="8" t="b">
        <f t="shared" si="66"/>
        <v>1</v>
      </c>
      <c r="CG341" s="8" t="str">
        <f t="shared" si="68"/>
        <v>Meigs</v>
      </c>
      <c r="CH341" s="8" t="b">
        <f t="shared" si="69"/>
        <v>1</v>
      </c>
      <c r="CI341" s="8" t="b">
        <f>C341='Gov Fd Rv'!C341</f>
        <v>1</v>
      </c>
    </row>
    <row r="342" spans="1:87">
      <c r="A342" s="12" t="s">
        <v>878</v>
      </c>
      <c r="B342" s="12"/>
      <c r="C342" s="12" t="s">
        <v>41</v>
      </c>
      <c r="D342" s="12"/>
      <c r="E342" s="12">
        <v>45492</v>
      </c>
      <c r="G342" s="7">
        <v>42481866</v>
      </c>
      <c r="I342" s="7">
        <v>12769094</v>
      </c>
      <c r="K342" s="7">
        <v>2103371</v>
      </c>
      <c r="M342" s="7">
        <v>0</v>
      </c>
      <c r="O342" s="7">
        <v>190986</v>
      </c>
      <c r="Q342" s="7">
        <v>6976476</v>
      </c>
      <c r="S342" s="7">
        <v>6378761</v>
      </c>
      <c r="U342" s="7">
        <v>646644</v>
      </c>
      <c r="W342" s="7">
        <v>5736156</v>
      </c>
      <c r="Y342" s="7">
        <v>2342990</v>
      </c>
      <c r="AA342" s="7">
        <v>663067</v>
      </c>
      <c r="AC342" s="7">
        <v>10002493</v>
      </c>
      <c r="AE342" s="7">
        <v>6232988</v>
      </c>
      <c r="AG342" s="7">
        <v>1936650</v>
      </c>
      <c r="AI342" s="7">
        <v>2639478</v>
      </c>
      <c r="AK342" s="7">
        <v>1701792</v>
      </c>
      <c r="AL342" s="12" t="s">
        <v>878</v>
      </c>
      <c r="AM342" s="12"/>
      <c r="AN342" s="12" t="s">
        <v>41</v>
      </c>
      <c r="AP342" s="7">
        <v>1921630</v>
      </c>
      <c r="AR342" s="7">
        <v>21800</v>
      </c>
      <c r="AT342" s="7">
        <v>0</v>
      </c>
      <c r="AV342" s="7">
        <v>2238667</v>
      </c>
      <c r="AX342" s="7">
        <v>124207</v>
      </c>
      <c r="AZ342" s="7">
        <v>0</v>
      </c>
      <c r="BB342" s="8">
        <f t="shared" si="54"/>
        <v>107109116</v>
      </c>
      <c r="BD342" s="7">
        <v>429434</v>
      </c>
      <c r="BF342" s="7">
        <v>0</v>
      </c>
      <c r="BH342" s="7">
        <v>0</v>
      </c>
      <c r="BJ342" s="7">
        <v>0</v>
      </c>
      <c r="BL342" s="8">
        <f t="shared" si="55"/>
        <v>107538550</v>
      </c>
      <c r="BN342" s="8">
        <f>'Gov Fd Rv'!AQ342-'Gov Fnd Exp'!BL342</f>
        <v>4163625</v>
      </c>
      <c r="BP342" s="7">
        <v>51363258</v>
      </c>
      <c r="BR342" s="7">
        <v>0</v>
      </c>
      <c r="BT342" s="7">
        <v>0</v>
      </c>
      <c r="BV342" s="8">
        <f t="shared" si="56"/>
        <v>55526883</v>
      </c>
      <c r="BW342" s="8"/>
      <c r="BX342" s="8">
        <f>BV342-'Gov Fd BS'!AE342</f>
        <v>0</v>
      </c>
      <c r="BY342" s="8"/>
      <c r="BZ342" s="8"/>
      <c r="CB342" s="101" t="str">
        <f t="shared" si="70"/>
        <v>Mentor Exempted Village SD</v>
      </c>
      <c r="CC342" s="101" t="b">
        <f t="shared" si="67"/>
        <v>1</v>
      </c>
      <c r="CD342" s="101" t="str">
        <f>'Gov Fd Rv'!A342</f>
        <v>Mentor Exempted Village SD</v>
      </c>
      <c r="CE342" s="8" t="b">
        <f t="shared" si="66"/>
        <v>1</v>
      </c>
      <c r="CG342" s="8" t="str">
        <f t="shared" si="68"/>
        <v>Lake</v>
      </c>
      <c r="CH342" s="8" t="b">
        <f t="shared" si="69"/>
        <v>1</v>
      </c>
      <c r="CI342" s="8" t="b">
        <f>C342='Gov Fd Rv'!C342</f>
        <v>1</v>
      </c>
    </row>
    <row r="343" spans="1:87">
      <c r="A343" s="12" t="s">
        <v>437</v>
      </c>
      <c r="B343" s="12"/>
      <c r="C343" s="12" t="s">
        <v>48</v>
      </c>
      <c r="D343" s="12"/>
      <c r="E343" s="12">
        <v>48629</v>
      </c>
      <c r="G343" s="7">
        <v>6225932</v>
      </c>
      <c r="I343" s="7">
        <v>1073337</v>
      </c>
      <c r="K343" s="7">
        <v>106126</v>
      </c>
      <c r="M343" s="7">
        <v>0</v>
      </c>
      <c r="O343" s="7">
        <v>13481</v>
      </c>
      <c r="Q343" s="7">
        <v>605754</v>
      </c>
      <c r="S343" s="7">
        <v>336630</v>
      </c>
      <c r="U343" s="7">
        <v>84103</v>
      </c>
      <c r="W343" s="7">
        <v>852103</v>
      </c>
      <c r="Y343" s="7">
        <v>400770</v>
      </c>
      <c r="AA343" s="7">
        <v>38875</v>
      </c>
      <c r="AC343" s="7">
        <v>981848</v>
      </c>
      <c r="AE343" s="7">
        <v>763423</v>
      </c>
      <c r="AG343" s="7">
        <v>263791</v>
      </c>
      <c r="AI343" s="7">
        <v>0</v>
      </c>
      <c r="AK343" s="7">
        <v>403984</v>
      </c>
      <c r="AL343" s="12" t="s">
        <v>437</v>
      </c>
      <c r="AM343" s="12"/>
      <c r="AN343" s="12" t="s">
        <v>48</v>
      </c>
      <c r="AP343" s="7">
        <v>377557</v>
      </c>
      <c r="AR343" s="7">
        <v>11520456</v>
      </c>
      <c r="AT343" s="7">
        <v>0</v>
      </c>
      <c r="AV343" s="7">
        <v>304014</v>
      </c>
      <c r="AX343" s="7">
        <f>669846+300986</f>
        <v>970832</v>
      </c>
      <c r="AZ343" s="7">
        <v>0</v>
      </c>
      <c r="BB343" s="8">
        <f t="shared" si="54"/>
        <v>25323016</v>
      </c>
      <c r="BD343" s="7">
        <v>448105</v>
      </c>
      <c r="BF343" s="7">
        <v>0</v>
      </c>
      <c r="BH343" s="7">
        <v>0</v>
      </c>
      <c r="BJ343" s="7">
        <v>0</v>
      </c>
      <c r="BL343" s="8">
        <f t="shared" si="55"/>
        <v>25771121</v>
      </c>
      <c r="BN343" s="8">
        <f>'Gov Fd Rv'!AQ343-'Gov Fnd Exp'!BL343</f>
        <v>-10611578</v>
      </c>
      <c r="BP343" s="7">
        <v>15953048</v>
      </c>
      <c r="BR343" s="7">
        <v>0</v>
      </c>
      <c r="BT343" s="7">
        <v>0</v>
      </c>
      <c r="BV343" s="8">
        <f t="shared" si="56"/>
        <v>5341470</v>
      </c>
      <c r="BW343" s="8"/>
      <c r="BX343" s="8">
        <f>BV343-'Gov Fd BS'!AE343</f>
        <v>0</v>
      </c>
      <c r="BY343" s="8"/>
      <c r="BZ343" s="8"/>
      <c r="CB343" s="101" t="str">
        <f t="shared" si="70"/>
        <v>Miami East Local SD</v>
      </c>
      <c r="CC343" s="101" t="b">
        <f t="shared" si="67"/>
        <v>1</v>
      </c>
      <c r="CD343" s="101" t="str">
        <f>'Gov Fd Rv'!A343</f>
        <v>Miami East Local SD</v>
      </c>
      <c r="CE343" s="8" t="b">
        <f t="shared" si="66"/>
        <v>1</v>
      </c>
      <c r="CG343" s="8" t="str">
        <f t="shared" si="68"/>
        <v>Miami</v>
      </c>
      <c r="CH343" s="8" t="b">
        <f t="shared" si="69"/>
        <v>1</v>
      </c>
      <c r="CI343" s="8" t="b">
        <f>C343='Gov Fd Rv'!C343</f>
        <v>1</v>
      </c>
    </row>
    <row r="344" spans="1:87">
      <c r="A344" s="12" t="s">
        <v>303</v>
      </c>
      <c r="B344" s="12"/>
      <c r="C344" s="12" t="s">
        <v>26</v>
      </c>
      <c r="D344" s="12"/>
      <c r="E344" s="12">
        <v>46920</v>
      </c>
      <c r="G344" s="7">
        <v>8550665</v>
      </c>
      <c r="I344" s="7">
        <v>2314497</v>
      </c>
      <c r="K344" s="7">
        <v>168873</v>
      </c>
      <c r="M344" s="7">
        <v>0</v>
      </c>
      <c r="O344" s="7">
        <v>1988459</v>
      </c>
      <c r="Q344" s="7">
        <v>1157500</v>
      </c>
      <c r="S344" s="7">
        <v>1627357</v>
      </c>
      <c r="U344" s="7">
        <v>31959</v>
      </c>
      <c r="W344" s="7">
        <v>2205826</v>
      </c>
      <c r="Y344" s="7">
        <v>736440</v>
      </c>
      <c r="AA344" s="7">
        <v>103561</v>
      </c>
      <c r="AC344" s="7">
        <v>2173798</v>
      </c>
      <c r="AE344" s="7">
        <v>1963664</v>
      </c>
      <c r="AG344" s="7">
        <v>130784</v>
      </c>
      <c r="AI344" s="7">
        <v>0</v>
      </c>
      <c r="AK344" s="7">
        <v>1034050</v>
      </c>
      <c r="AL344" s="12" t="s">
        <v>303</v>
      </c>
      <c r="AM344" s="12"/>
      <c r="AN344" s="12" t="s">
        <v>26</v>
      </c>
      <c r="AP344" s="7">
        <v>476881</v>
      </c>
      <c r="AR344" s="7">
        <v>9650736</v>
      </c>
      <c r="AT344" s="7">
        <v>0</v>
      </c>
      <c r="AV344" s="7">
        <v>455000</v>
      </c>
      <c r="AX344" s="7">
        <v>1265359</v>
      </c>
      <c r="AZ344" s="7">
        <v>0</v>
      </c>
      <c r="BB344" s="8">
        <f t="shared" si="54"/>
        <v>36035409</v>
      </c>
      <c r="BD344" s="7">
        <v>0</v>
      </c>
      <c r="BF344" s="7">
        <v>0</v>
      </c>
      <c r="BH344" s="7">
        <v>0</v>
      </c>
      <c r="BJ344" s="7">
        <v>0</v>
      </c>
      <c r="BL344" s="8">
        <f t="shared" si="55"/>
        <v>36035409</v>
      </c>
      <c r="BN344" s="8">
        <f>'Gov Fd Rv'!AQ344-'Gov Fnd Exp'!BL344</f>
        <v>-4475453</v>
      </c>
      <c r="BP344" s="7">
        <v>22118034</v>
      </c>
      <c r="BR344" s="7">
        <v>0</v>
      </c>
      <c r="BT344" s="7">
        <v>0</v>
      </c>
      <c r="BV344" s="8">
        <f t="shared" si="56"/>
        <v>17642581</v>
      </c>
      <c r="BW344" s="8"/>
      <c r="BX344" s="8">
        <f>BV344-'Gov Fd BS'!AE344</f>
        <v>0</v>
      </c>
      <c r="BY344" s="8"/>
      <c r="BZ344" s="8"/>
      <c r="CB344" s="101" t="str">
        <f t="shared" si="70"/>
        <v>Miami Trace Local SD</v>
      </c>
      <c r="CC344" s="101" t="b">
        <f t="shared" si="67"/>
        <v>1</v>
      </c>
      <c r="CD344" s="101" t="str">
        <f>'Gov Fd Rv'!A344</f>
        <v>Miami Trace Local SD</v>
      </c>
      <c r="CE344" s="8" t="b">
        <f t="shared" si="66"/>
        <v>1</v>
      </c>
      <c r="CG344" s="8" t="str">
        <f t="shared" si="68"/>
        <v>Fayette</v>
      </c>
      <c r="CH344" s="8" t="b">
        <f t="shared" si="69"/>
        <v>1</v>
      </c>
      <c r="CI344" s="8" t="b">
        <f>C344='Gov Fd Rv'!C344</f>
        <v>1</v>
      </c>
    </row>
    <row r="345" spans="1:87">
      <c r="A345" s="12" t="s">
        <v>445</v>
      </c>
      <c r="B345" s="12"/>
      <c r="C345" s="12" t="s">
        <v>50</v>
      </c>
      <c r="D345" s="12"/>
      <c r="E345" s="12">
        <v>44396</v>
      </c>
      <c r="G345" s="7">
        <v>23985154</v>
      </c>
      <c r="I345" s="7">
        <v>8506508</v>
      </c>
      <c r="K345" s="7">
        <v>503317</v>
      </c>
      <c r="M345" s="7">
        <v>0</v>
      </c>
      <c r="O345" s="7">
        <f>22597+467916</f>
        <v>490513</v>
      </c>
      <c r="Q345" s="7">
        <v>4041060</v>
      </c>
      <c r="S345" s="7">
        <v>1538137</v>
      </c>
      <c r="U345" s="7">
        <v>26128</v>
      </c>
      <c r="W345" s="7">
        <v>3224883</v>
      </c>
      <c r="Y345" s="7">
        <v>989447</v>
      </c>
      <c r="AA345" s="7">
        <v>285876</v>
      </c>
      <c r="AC345" s="7">
        <v>3956587</v>
      </c>
      <c r="AE345" s="7">
        <v>3130205</v>
      </c>
      <c r="AG345" s="7">
        <v>852428</v>
      </c>
      <c r="AI345" s="7">
        <v>0</v>
      </c>
      <c r="AK345" s="7">
        <v>2771807</v>
      </c>
      <c r="AL345" s="12" t="s">
        <v>445</v>
      </c>
      <c r="AM345" s="12"/>
      <c r="AN345" s="12" t="s">
        <v>50</v>
      </c>
      <c r="AP345" s="7">
        <v>792995</v>
      </c>
      <c r="AR345" s="7">
        <v>17314616</v>
      </c>
      <c r="AT345" s="7">
        <v>0</v>
      </c>
      <c r="AV345" s="7">
        <v>1275870</v>
      </c>
      <c r="AX345" s="7">
        <f>3325242+16500000</f>
        <v>19825242</v>
      </c>
      <c r="AZ345" s="7">
        <v>0</v>
      </c>
      <c r="BB345" s="8">
        <f t="shared" si="54"/>
        <v>93510773</v>
      </c>
      <c r="BD345" s="7">
        <v>1123867</v>
      </c>
      <c r="BF345" s="7">
        <v>0</v>
      </c>
      <c r="BH345" s="7">
        <v>0</v>
      </c>
      <c r="BJ345" s="7">
        <v>0</v>
      </c>
      <c r="BL345" s="8">
        <f t="shared" si="55"/>
        <v>94634640</v>
      </c>
      <c r="BN345" s="8">
        <f>'Gov Fd Rv'!AQ345-'Gov Fnd Exp'!BL345</f>
        <v>-13241046</v>
      </c>
      <c r="BP345" s="7">
        <v>51938860</v>
      </c>
      <c r="BR345" s="7">
        <v>0</v>
      </c>
      <c r="BT345" s="7">
        <v>0</v>
      </c>
      <c r="BV345" s="8">
        <f t="shared" si="56"/>
        <v>38697814</v>
      </c>
      <c r="BW345" s="8"/>
      <c r="BX345" s="8">
        <f>BV345-'Gov Fd BS'!AE345</f>
        <v>0</v>
      </c>
      <c r="BY345" s="8"/>
      <c r="BZ345" s="8"/>
      <c r="CB345" s="101" t="str">
        <f t="shared" si="70"/>
        <v>Miamisburg City SD</v>
      </c>
      <c r="CC345" s="101" t="b">
        <f t="shared" si="67"/>
        <v>1</v>
      </c>
      <c r="CD345" s="101" t="str">
        <f>'Gov Fd Rv'!A345</f>
        <v>Miamisburg City SD</v>
      </c>
      <c r="CE345" s="8" t="b">
        <f t="shared" si="66"/>
        <v>1</v>
      </c>
      <c r="CG345" s="8" t="str">
        <f t="shared" si="68"/>
        <v>Montgomery</v>
      </c>
      <c r="CH345" s="8" t="b">
        <f t="shared" si="69"/>
        <v>1</v>
      </c>
      <c r="CI345" s="8" t="b">
        <f>C345='Gov Fd Rv'!C345</f>
        <v>1</v>
      </c>
    </row>
    <row r="346" spans="1:87" hidden="1">
      <c r="A346" s="12" t="s">
        <v>942</v>
      </c>
      <c r="B346" s="12"/>
      <c r="C346" s="12" t="s">
        <v>53</v>
      </c>
      <c r="D346" s="12"/>
      <c r="E346" s="12"/>
      <c r="AL346" s="12" t="s">
        <v>942</v>
      </c>
      <c r="AM346" s="12"/>
      <c r="AN346" s="12" t="s">
        <v>53</v>
      </c>
      <c r="AT346" s="7">
        <v>0</v>
      </c>
      <c r="AZ346" s="7">
        <v>0</v>
      </c>
      <c r="BB346" s="8">
        <f t="shared" si="54"/>
        <v>0</v>
      </c>
      <c r="BF346" s="7">
        <v>0</v>
      </c>
      <c r="BH346" s="7">
        <v>0</v>
      </c>
      <c r="BJ346" s="7">
        <v>0</v>
      </c>
      <c r="BL346" s="8">
        <f t="shared" ref="BL346" si="71">BB346+BD346+BJ346</f>
        <v>0</v>
      </c>
      <c r="BN346" s="8">
        <f>'Gov Fd Rv'!AQ346-'Gov Fnd Exp'!BL346</f>
        <v>0</v>
      </c>
      <c r="BR346" s="7">
        <v>0</v>
      </c>
      <c r="BT346" s="7">
        <v>0</v>
      </c>
      <c r="BV346" s="8">
        <f t="shared" si="56"/>
        <v>0</v>
      </c>
      <c r="BW346" s="8"/>
      <c r="BX346" s="8">
        <f>BV346-'Gov Fd BS'!AE346</f>
        <v>0</v>
      </c>
      <c r="BY346" s="8"/>
      <c r="BZ346" s="7" t="s">
        <v>931</v>
      </c>
      <c r="CB346" s="101" t="str">
        <f t="shared" ref="CB346" si="72">A346</f>
        <v>Middle Bass Local SD (Two year Audit - CASH)</v>
      </c>
      <c r="CC346" s="101" t="b">
        <f t="shared" ref="CC346" si="73">A346=AL346</f>
        <v>1</v>
      </c>
      <c r="CD346" s="101" t="str">
        <f>'Gov Fd Rv'!A346</f>
        <v>Middle Bass Local SD (Two year Audit - CASH)</v>
      </c>
      <c r="CE346" s="8" t="b">
        <f t="shared" ref="CE346" si="74">CB346=CD346</f>
        <v>1</v>
      </c>
      <c r="CG346" s="8" t="str">
        <f t="shared" ref="CG346" si="75">C346</f>
        <v>Ottawa</v>
      </c>
      <c r="CH346" s="8" t="b">
        <f t="shared" ref="CH346" si="76">C346=AN346</f>
        <v>1</v>
      </c>
      <c r="CI346" s="8" t="b">
        <f>C346='Gov Fd Rv'!C346</f>
        <v>1</v>
      </c>
    </row>
    <row r="347" spans="1:87">
      <c r="A347" s="12" t="s">
        <v>228</v>
      </c>
      <c r="B347" s="12"/>
      <c r="C347" s="12" t="s">
        <v>223</v>
      </c>
      <c r="D347" s="12"/>
      <c r="E347" s="12">
        <v>44404</v>
      </c>
      <c r="G347" s="7">
        <v>30164995</v>
      </c>
      <c r="I347" s="7">
        <v>8510638</v>
      </c>
      <c r="K347" s="7">
        <v>44821</v>
      </c>
      <c r="M347" s="7">
        <v>512078</v>
      </c>
      <c r="O347" s="7">
        <v>9742349</v>
      </c>
      <c r="Q347" s="7">
        <v>5502709</v>
      </c>
      <c r="S347" s="7">
        <v>5182361</v>
      </c>
      <c r="U347" s="7">
        <v>51456</v>
      </c>
      <c r="W347" s="7">
        <v>5327370</v>
      </c>
      <c r="Y347" s="7">
        <v>654400</v>
      </c>
      <c r="AA347" s="7">
        <v>444542</v>
      </c>
      <c r="AC347" s="7">
        <v>6239542</v>
      </c>
      <c r="AE347" s="7">
        <v>3527369</v>
      </c>
      <c r="AG347" s="7">
        <v>3782437</v>
      </c>
      <c r="AI347" s="7">
        <v>3145813</v>
      </c>
      <c r="AK347" s="7">
        <v>688626</v>
      </c>
      <c r="AL347" s="12" t="s">
        <v>228</v>
      </c>
      <c r="AM347" s="12"/>
      <c r="AN347" s="12" t="s">
        <v>223</v>
      </c>
      <c r="AP347" s="7">
        <v>1008812</v>
      </c>
      <c r="AR347" s="7">
        <f>701820+1348767</f>
        <v>2050587</v>
      </c>
      <c r="AT347" s="7">
        <v>0</v>
      </c>
      <c r="AV347" s="7">
        <v>880261</v>
      </c>
      <c r="AX347" s="7">
        <v>3007587</v>
      </c>
      <c r="AZ347" s="7">
        <v>0</v>
      </c>
      <c r="BB347" s="8">
        <f t="shared" si="54"/>
        <v>90468753</v>
      </c>
      <c r="BD347" s="7">
        <v>692375</v>
      </c>
      <c r="BF347" s="7">
        <v>0</v>
      </c>
      <c r="BH347" s="7">
        <v>0</v>
      </c>
      <c r="BJ347" s="7">
        <v>0</v>
      </c>
      <c r="BL347" s="8">
        <f t="shared" si="55"/>
        <v>91161128</v>
      </c>
      <c r="BN347" s="8">
        <f>'Gov Fd Rv'!AQ347-'Gov Fnd Exp'!BL347</f>
        <v>-4250225</v>
      </c>
      <c r="BP347" s="7">
        <v>6162140</v>
      </c>
      <c r="BR347" s="7">
        <v>0</v>
      </c>
      <c r="BT347" s="7">
        <v>0</v>
      </c>
      <c r="BV347" s="8">
        <f t="shared" si="56"/>
        <v>1911915</v>
      </c>
      <c r="BW347" s="8"/>
      <c r="BX347" s="8">
        <f>BV347-'Gov Fd BS'!AE347</f>
        <v>0</v>
      </c>
      <c r="BY347" s="8"/>
      <c r="BZ347" s="8"/>
      <c r="CB347" s="101" t="str">
        <f t="shared" si="70"/>
        <v>Middletown City SD</v>
      </c>
      <c r="CC347" s="101" t="b">
        <f t="shared" si="67"/>
        <v>1</v>
      </c>
      <c r="CD347" s="101" t="str">
        <f>'Gov Fd Rv'!A347</f>
        <v>Middletown City SD</v>
      </c>
      <c r="CE347" s="8" t="b">
        <f t="shared" si="66"/>
        <v>1</v>
      </c>
      <c r="CG347" s="8" t="str">
        <f t="shared" si="68"/>
        <v>Butler</v>
      </c>
      <c r="CH347" s="8" t="b">
        <f t="shared" si="69"/>
        <v>1</v>
      </c>
      <c r="CI347" s="8" t="b">
        <f>C347='Gov Fd Rv'!C347</f>
        <v>1</v>
      </c>
    </row>
    <row r="348" spans="1:87">
      <c r="A348" s="12" t="s">
        <v>399</v>
      </c>
      <c r="B348" s="12"/>
      <c r="C348" s="12" t="s">
        <v>44</v>
      </c>
      <c r="D348" s="12"/>
      <c r="E348" s="12">
        <v>48173</v>
      </c>
      <c r="G348" s="7">
        <v>13364504</v>
      </c>
      <c r="I348" s="7">
        <v>3255384</v>
      </c>
      <c r="K348" s="7">
        <v>120873</v>
      </c>
      <c r="M348" s="7">
        <v>0</v>
      </c>
      <c r="O348" s="7">
        <v>45619</v>
      </c>
      <c r="Q348" s="7">
        <v>1520380</v>
      </c>
      <c r="S348" s="7">
        <v>445421</v>
      </c>
      <c r="U348" s="7">
        <v>908237</v>
      </c>
      <c r="W348" s="7">
        <v>2614686</v>
      </c>
      <c r="Y348" s="7">
        <v>617475</v>
      </c>
      <c r="AA348" s="7">
        <v>649468</v>
      </c>
      <c r="AC348" s="7">
        <v>2174119</v>
      </c>
      <c r="AE348" s="7">
        <v>1661381</v>
      </c>
      <c r="AG348" s="7">
        <v>0</v>
      </c>
      <c r="AI348" s="7">
        <v>0</v>
      </c>
      <c r="AK348" s="7">
        <v>5918</v>
      </c>
      <c r="AL348" s="12" t="s">
        <v>399</v>
      </c>
      <c r="AM348" s="12"/>
      <c r="AN348" s="12" t="s">
        <v>44</v>
      </c>
      <c r="AP348" s="7">
        <f>37348+497346+125964</f>
        <v>660658</v>
      </c>
      <c r="AR348" s="7">
        <f>147137+2342788+242767</f>
        <v>2732692</v>
      </c>
      <c r="AT348" s="7">
        <v>0</v>
      </c>
      <c r="AV348" s="7">
        <v>845000</v>
      </c>
      <c r="AX348" s="7">
        <v>1360635</v>
      </c>
      <c r="AZ348" s="7">
        <v>0</v>
      </c>
      <c r="BB348" s="8">
        <f t="shared" si="54"/>
        <v>32982450</v>
      </c>
      <c r="BD348" s="7">
        <v>250000</v>
      </c>
      <c r="BF348" s="7">
        <v>0</v>
      </c>
      <c r="BH348" s="7">
        <v>0</v>
      </c>
      <c r="BJ348" s="7">
        <v>0</v>
      </c>
      <c r="BL348" s="8">
        <f t="shared" si="55"/>
        <v>33232450</v>
      </c>
      <c r="BN348" s="8">
        <f>'Gov Fd Rv'!AQ348-'Gov Fnd Exp'!BL348</f>
        <v>2570911</v>
      </c>
      <c r="BP348" s="7">
        <v>11373700</v>
      </c>
      <c r="BR348" s="7">
        <v>0</v>
      </c>
      <c r="BT348" s="7">
        <v>0</v>
      </c>
      <c r="BV348" s="8">
        <f t="shared" si="56"/>
        <v>13944611</v>
      </c>
      <c r="BW348" s="8"/>
      <c r="BX348" s="8">
        <f>BV348-'Gov Fd BS'!AE348</f>
        <v>0</v>
      </c>
      <c r="BY348" s="8"/>
      <c r="BZ348" s="7" t="s">
        <v>933</v>
      </c>
      <c r="CB348" s="101" t="str">
        <f t="shared" si="70"/>
        <v>Midview Local SD</v>
      </c>
      <c r="CC348" s="101" t="b">
        <f t="shared" si="67"/>
        <v>1</v>
      </c>
      <c r="CD348" s="101" t="str">
        <f>'Gov Fd Rv'!A348</f>
        <v>Midview Local SD</v>
      </c>
      <c r="CE348" s="8" t="b">
        <f t="shared" si="66"/>
        <v>1</v>
      </c>
      <c r="CG348" s="8" t="str">
        <f t="shared" si="68"/>
        <v>Lorain</v>
      </c>
      <c r="CH348" s="8" t="b">
        <f t="shared" si="69"/>
        <v>1</v>
      </c>
      <c r="CI348" s="8" t="b">
        <f>C348='Gov Fd Rv'!C348</f>
        <v>1</v>
      </c>
    </row>
    <row r="349" spans="1:87">
      <c r="A349" s="12" t="s">
        <v>879</v>
      </c>
      <c r="B349" s="12"/>
      <c r="C349" s="12" t="s">
        <v>113</v>
      </c>
      <c r="D349" s="12"/>
      <c r="E349" s="12">
        <v>45500</v>
      </c>
      <c r="G349" s="7">
        <v>28423074</v>
      </c>
      <c r="I349" s="7">
        <v>6932608</v>
      </c>
      <c r="K349" s="7">
        <v>301770</v>
      </c>
      <c r="M349" s="7">
        <v>0</v>
      </c>
      <c r="O349" s="7">
        <v>166793</v>
      </c>
      <c r="Q349" s="7">
        <v>2852947</v>
      </c>
      <c r="S349" s="7">
        <v>3980324</v>
      </c>
      <c r="U349" s="7">
        <v>165036</v>
      </c>
      <c r="W349" s="7">
        <v>3175374</v>
      </c>
      <c r="Y349" s="7">
        <v>1333712</v>
      </c>
      <c r="AA349" s="7">
        <v>454033</v>
      </c>
      <c r="AC349" s="7">
        <v>5389892</v>
      </c>
      <c r="AE349" s="7">
        <v>5700734</v>
      </c>
      <c r="AG349" s="7">
        <v>928254</v>
      </c>
      <c r="AI349" s="7">
        <v>0</v>
      </c>
      <c r="AK349" s="7">
        <v>4700425</v>
      </c>
      <c r="AL349" s="12" t="s">
        <v>879</v>
      </c>
      <c r="AM349" s="12"/>
      <c r="AN349" s="12" t="s">
        <v>113</v>
      </c>
      <c r="AP349" s="7">
        <v>1221527</v>
      </c>
      <c r="AR349" s="7">
        <v>5080965</v>
      </c>
      <c r="AT349" s="7">
        <v>0</v>
      </c>
      <c r="AV349" s="7">
        <v>848451</v>
      </c>
      <c r="AX349" s="7">
        <v>3211787</v>
      </c>
      <c r="AZ349" s="7">
        <v>0</v>
      </c>
      <c r="BB349" s="8">
        <f t="shared" si="54"/>
        <v>74867706</v>
      </c>
      <c r="BD349" s="7">
        <v>0</v>
      </c>
      <c r="BF349" s="7">
        <v>0</v>
      </c>
      <c r="BH349" s="7">
        <v>0</v>
      </c>
      <c r="BJ349" s="7">
        <v>0</v>
      </c>
      <c r="BL349" s="8">
        <f t="shared" si="55"/>
        <v>74867706</v>
      </c>
      <c r="BN349" s="8">
        <f>'Gov Fd Rv'!AQ349-'Gov Fnd Exp'!BL349</f>
        <v>-3239004</v>
      </c>
      <c r="BP349" s="7">
        <v>19373918</v>
      </c>
      <c r="BR349" s="7">
        <v>0</v>
      </c>
      <c r="BT349" s="7">
        <v>0</v>
      </c>
      <c r="BV349" s="8">
        <f t="shared" si="56"/>
        <v>16134914</v>
      </c>
      <c r="BW349" s="8"/>
      <c r="BX349" s="8">
        <f>BV349-'Gov Fd BS'!AE349</f>
        <v>0</v>
      </c>
      <c r="BY349" s="8"/>
      <c r="BZ349" s="8"/>
      <c r="CB349" s="101" t="str">
        <f t="shared" si="70"/>
        <v>Milford Exempted Village SD</v>
      </c>
      <c r="CC349" s="101" t="b">
        <f t="shared" si="67"/>
        <v>1</v>
      </c>
      <c r="CD349" s="101" t="str">
        <f>'Gov Fd Rv'!A349</f>
        <v>Milford Exempted Village SD</v>
      </c>
      <c r="CE349" s="8" t="b">
        <f t="shared" si="66"/>
        <v>1</v>
      </c>
      <c r="CG349" s="8" t="str">
        <f t="shared" si="68"/>
        <v>Clermont</v>
      </c>
      <c r="CH349" s="8" t="b">
        <f t="shared" si="69"/>
        <v>1</v>
      </c>
      <c r="CI349" s="8" t="b">
        <f>C349='Gov Fd Rv'!C349</f>
        <v>1</v>
      </c>
    </row>
    <row r="350" spans="1:87" hidden="1">
      <c r="A350" s="12" t="s">
        <v>639</v>
      </c>
      <c r="B350" s="12"/>
      <c r="C350" s="12" t="s">
        <v>570</v>
      </c>
      <c r="D350" s="12"/>
      <c r="E350" s="12">
        <v>50633</v>
      </c>
      <c r="AL350" s="12" t="s">
        <v>639</v>
      </c>
      <c r="AM350" s="12"/>
      <c r="AN350" s="12" t="s">
        <v>570</v>
      </c>
      <c r="AT350" s="7">
        <v>0</v>
      </c>
      <c r="BB350" s="8">
        <f t="shared" si="54"/>
        <v>0</v>
      </c>
      <c r="BF350" s="7">
        <v>0</v>
      </c>
      <c r="BH350" s="7">
        <v>0</v>
      </c>
      <c r="BJ350" s="7">
        <v>0</v>
      </c>
      <c r="BL350" s="8">
        <f t="shared" si="55"/>
        <v>0</v>
      </c>
      <c r="BN350" s="8">
        <f>'Gov Fd Rv'!AQ350-'Gov Fnd Exp'!BL350</f>
        <v>0</v>
      </c>
      <c r="BR350" s="7">
        <v>0</v>
      </c>
      <c r="BT350" s="7">
        <v>0</v>
      </c>
      <c r="BV350" s="8">
        <f t="shared" si="56"/>
        <v>0</v>
      </c>
      <c r="BW350" s="8"/>
      <c r="BX350" s="8">
        <f>BV350-'Gov Fd BS'!AE350</f>
        <v>0</v>
      </c>
      <c r="BY350" s="8"/>
      <c r="BZ350" s="7" t="s">
        <v>839</v>
      </c>
      <c r="CB350" s="101" t="str">
        <f t="shared" si="70"/>
        <v>Millcreek-West Unity Local SD (CASH)</v>
      </c>
      <c r="CC350" s="101" t="b">
        <f t="shared" si="67"/>
        <v>1</v>
      </c>
      <c r="CD350" s="101" t="str">
        <f>'Gov Fd Rv'!A350</f>
        <v>Millcreek-West Unity Local SD (CASH)</v>
      </c>
      <c r="CE350" s="8" t="b">
        <f t="shared" si="66"/>
        <v>1</v>
      </c>
      <c r="CG350" s="8" t="str">
        <f t="shared" si="68"/>
        <v>Williams</v>
      </c>
      <c r="CH350" s="8" t="b">
        <f t="shared" si="69"/>
        <v>1</v>
      </c>
      <c r="CI350" s="8" t="b">
        <f>C350='Gov Fd Rv'!C350</f>
        <v>1</v>
      </c>
    </row>
    <row r="351" spans="1:87" hidden="1">
      <c r="A351" s="12" t="s">
        <v>934</v>
      </c>
      <c r="B351" s="12"/>
      <c r="C351" s="12" t="s">
        <v>482</v>
      </c>
      <c r="D351" s="12"/>
      <c r="E351" s="12">
        <v>49361</v>
      </c>
      <c r="AL351" s="12" t="s">
        <v>934</v>
      </c>
      <c r="AM351" s="12"/>
      <c r="AN351" s="12" t="s">
        <v>482</v>
      </c>
      <c r="AT351" s="7">
        <v>0</v>
      </c>
      <c r="BB351" s="8">
        <f t="shared" si="54"/>
        <v>0</v>
      </c>
      <c r="BF351" s="7">
        <v>0</v>
      </c>
      <c r="BH351" s="7">
        <v>0</v>
      </c>
      <c r="BJ351" s="7">
        <v>0</v>
      </c>
      <c r="BL351" s="8">
        <f t="shared" si="55"/>
        <v>0</v>
      </c>
      <c r="BN351" s="8">
        <f>'Gov Fd Rv'!AQ351-'Gov Fnd Exp'!BL351</f>
        <v>0</v>
      </c>
      <c r="BR351" s="7">
        <v>0</v>
      </c>
      <c r="BT351" s="7">
        <v>0</v>
      </c>
      <c r="BV351" s="8">
        <f t="shared" si="56"/>
        <v>0</v>
      </c>
      <c r="BW351" s="8"/>
      <c r="BX351" s="8">
        <f>BV351-'Gov Fd BS'!AE351</f>
        <v>0</v>
      </c>
      <c r="BY351" s="8"/>
      <c r="BZ351" s="7" t="s">
        <v>839</v>
      </c>
      <c r="CB351" s="101" t="str">
        <f t="shared" si="70"/>
        <v>Miller City-New Cleveland Local (Two year Audit - CASH)</v>
      </c>
      <c r="CC351" s="101" t="b">
        <f t="shared" si="67"/>
        <v>1</v>
      </c>
      <c r="CD351" s="101" t="str">
        <f>'Gov Fd Rv'!A351</f>
        <v>Miller City-New Cleveland Local (Two year Audit - CASH)</v>
      </c>
      <c r="CE351" s="8" t="b">
        <f t="shared" si="66"/>
        <v>1</v>
      </c>
      <c r="CG351" s="8" t="str">
        <f t="shared" si="68"/>
        <v>Putnam</v>
      </c>
      <c r="CH351" s="8" t="b">
        <f t="shared" si="69"/>
        <v>1</v>
      </c>
      <c r="CI351" s="8" t="b">
        <f>C351='Gov Fd Rv'!C351</f>
        <v>1</v>
      </c>
    </row>
    <row r="352" spans="1:87" hidden="1">
      <c r="A352" s="12" t="s">
        <v>935</v>
      </c>
      <c r="B352" s="12"/>
      <c r="C352" s="12" t="s">
        <v>48</v>
      </c>
      <c r="D352" s="12"/>
      <c r="E352" s="12">
        <v>45518</v>
      </c>
      <c r="AL352" s="12" t="s">
        <v>935</v>
      </c>
      <c r="AM352" s="12"/>
      <c r="AN352" s="12" t="s">
        <v>48</v>
      </c>
      <c r="AT352" s="7">
        <v>0</v>
      </c>
      <c r="BB352" s="8">
        <f t="shared" si="54"/>
        <v>0</v>
      </c>
      <c r="BF352" s="7">
        <v>0</v>
      </c>
      <c r="BH352" s="7">
        <v>0</v>
      </c>
      <c r="BJ352" s="7">
        <v>0</v>
      </c>
      <c r="BL352" s="8">
        <f t="shared" si="55"/>
        <v>0</v>
      </c>
      <c r="BN352" s="8">
        <f>'Gov Fd Rv'!AQ352-'Gov Fnd Exp'!BL352</f>
        <v>0</v>
      </c>
      <c r="BR352" s="7">
        <v>0</v>
      </c>
      <c r="BT352" s="7">
        <v>0</v>
      </c>
      <c r="BV352" s="8">
        <f t="shared" si="56"/>
        <v>0</v>
      </c>
      <c r="BW352" s="8"/>
      <c r="BX352" s="8">
        <f>BV352-'Gov Fd BS'!AE352</f>
        <v>0</v>
      </c>
      <c r="BY352" s="8"/>
      <c r="BZ352" s="7" t="s">
        <v>903</v>
      </c>
      <c r="CB352" s="101" t="str">
        <f t="shared" si="70"/>
        <v>Milton-Union Exempted Village SD (CASH)</v>
      </c>
      <c r="CC352" s="101" t="b">
        <f t="shared" si="67"/>
        <v>1</v>
      </c>
      <c r="CD352" s="101" t="str">
        <f>'Gov Fd Rv'!A352</f>
        <v>Milton-Union Exempted Village SD (CASH)</v>
      </c>
      <c r="CE352" s="8" t="b">
        <f t="shared" si="66"/>
        <v>1</v>
      </c>
      <c r="CG352" s="8" t="str">
        <f t="shared" si="68"/>
        <v>Miami</v>
      </c>
      <c r="CH352" s="8" t="b">
        <f t="shared" si="69"/>
        <v>1</v>
      </c>
      <c r="CI352" s="8" t="b">
        <f>C352='Gov Fd Rv'!C352</f>
        <v>1</v>
      </c>
    </row>
    <row r="353" spans="1:87">
      <c r="A353" s="12" t="s">
        <v>517</v>
      </c>
      <c r="B353" s="12"/>
      <c r="C353" s="12" t="s">
        <v>62</v>
      </c>
      <c r="D353" s="12"/>
      <c r="E353" s="12">
        <v>49890</v>
      </c>
      <c r="G353" s="7">
        <v>8225822</v>
      </c>
      <c r="I353" s="7">
        <v>2689165</v>
      </c>
      <c r="K353" s="7">
        <v>6431</v>
      </c>
      <c r="M353" s="7">
        <v>4666</v>
      </c>
      <c r="O353" s="7">
        <v>0</v>
      </c>
      <c r="Q353" s="7">
        <v>718175</v>
      </c>
      <c r="S353" s="7">
        <v>838801</v>
      </c>
      <c r="U353" s="7">
        <v>87886</v>
      </c>
      <c r="W353" s="7">
        <v>1558732</v>
      </c>
      <c r="Y353" s="7">
        <v>479396</v>
      </c>
      <c r="AA353" s="7">
        <v>109088</v>
      </c>
      <c r="AC353" s="7">
        <v>1180810</v>
      </c>
      <c r="AE353" s="7">
        <v>894336</v>
      </c>
      <c r="AG353" s="7">
        <v>8816</v>
      </c>
      <c r="AI353" s="7">
        <v>752467</v>
      </c>
      <c r="AK353" s="7">
        <v>44071</v>
      </c>
      <c r="AL353" s="12" t="s">
        <v>517</v>
      </c>
      <c r="AM353" s="12"/>
      <c r="AN353" s="12" t="s">
        <v>62</v>
      </c>
      <c r="AP353" s="7">
        <v>523835</v>
      </c>
      <c r="AR353" s="7">
        <v>392848</v>
      </c>
      <c r="AT353" s="7">
        <v>0</v>
      </c>
      <c r="AV353" s="7">
        <v>556125</v>
      </c>
      <c r="AX353" s="7">
        <v>499435</v>
      </c>
      <c r="AZ353" s="7">
        <v>408025</v>
      </c>
      <c r="BB353" s="8">
        <f t="shared" si="54"/>
        <v>19978930</v>
      </c>
      <c r="BD353" s="7">
        <v>413677</v>
      </c>
      <c r="BF353" s="7">
        <v>0</v>
      </c>
      <c r="BH353" s="7">
        <v>0</v>
      </c>
      <c r="BJ353" s="7">
        <v>0</v>
      </c>
      <c r="BL353" s="8">
        <f t="shared" si="55"/>
        <v>20392607</v>
      </c>
      <c r="BN353" s="8">
        <f>'Gov Fd Rv'!AQ353-'Gov Fnd Exp'!BL353</f>
        <v>1412772</v>
      </c>
      <c r="BP353" s="7">
        <v>64046</v>
      </c>
      <c r="BR353" s="7">
        <v>0</v>
      </c>
      <c r="BT353" s="7">
        <v>0</v>
      </c>
      <c r="BV353" s="8">
        <f t="shared" si="56"/>
        <v>1476818</v>
      </c>
      <c r="BW353" s="8"/>
      <c r="BX353" s="8">
        <f>BV353-'Gov Fd BS'!AE353</f>
        <v>0</v>
      </c>
      <c r="BY353" s="8"/>
      <c r="BZ353" s="8"/>
      <c r="CB353" s="101" t="str">
        <f t="shared" si="70"/>
        <v>Minerva Local SD</v>
      </c>
      <c r="CC353" s="101" t="b">
        <f t="shared" si="67"/>
        <v>1</v>
      </c>
      <c r="CD353" s="101" t="str">
        <f>'Gov Fd Rv'!A353</f>
        <v>Minerva Local SD</v>
      </c>
      <c r="CE353" s="8" t="b">
        <f t="shared" si="66"/>
        <v>1</v>
      </c>
      <c r="CG353" s="8" t="str">
        <f t="shared" si="68"/>
        <v>Stark</v>
      </c>
      <c r="CH353" s="8" t="b">
        <f t="shared" si="69"/>
        <v>1</v>
      </c>
      <c r="CI353" s="8" t="b">
        <f>C353='Gov Fd Rv'!C353</f>
        <v>1</v>
      </c>
    </row>
    <row r="354" spans="1:87">
      <c r="A354" s="12" t="s">
        <v>497</v>
      </c>
      <c r="B354" s="12"/>
      <c r="C354" s="12" t="s">
        <v>59</v>
      </c>
      <c r="D354" s="12"/>
      <c r="E354" s="12">
        <v>49627</v>
      </c>
      <c r="G354" s="7">
        <v>7589901</v>
      </c>
      <c r="I354" s="7">
        <v>1548431</v>
      </c>
      <c r="K354" s="7">
        <v>200799</v>
      </c>
      <c r="M354" s="7">
        <v>0</v>
      </c>
      <c r="O354" s="7">
        <v>2581</v>
      </c>
      <c r="Q354" s="7">
        <v>490187</v>
      </c>
      <c r="S354" s="7">
        <v>705095</v>
      </c>
      <c r="U354" s="7">
        <v>65713</v>
      </c>
      <c r="W354" s="7">
        <v>1091706</v>
      </c>
      <c r="Y354" s="7">
        <v>303364</v>
      </c>
      <c r="AA354" s="7">
        <v>1389</v>
      </c>
      <c r="AC354" s="7">
        <v>1355286</v>
      </c>
      <c r="AE354" s="7">
        <v>1232219</v>
      </c>
      <c r="AG354" s="7">
        <v>12618</v>
      </c>
      <c r="AI354" s="7">
        <v>0</v>
      </c>
      <c r="AK354" s="7">
        <v>662242</v>
      </c>
      <c r="AL354" s="12" t="s">
        <v>497</v>
      </c>
      <c r="AM354" s="12"/>
      <c r="AN354" s="12" t="s">
        <v>59</v>
      </c>
      <c r="AP354" s="7">
        <v>452885</v>
      </c>
      <c r="AR354" s="7">
        <v>528897</v>
      </c>
      <c r="AT354" s="7">
        <v>0</v>
      </c>
      <c r="AV354" s="7">
        <v>372176</v>
      </c>
      <c r="AX354" s="7">
        <v>133328</v>
      </c>
      <c r="AZ354" s="7">
        <v>0</v>
      </c>
      <c r="BB354" s="8">
        <f t="shared" si="54"/>
        <v>16748817</v>
      </c>
      <c r="BD354" s="7">
        <v>0</v>
      </c>
      <c r="BF354" s="7">
        <v>0</v>
      </c>
      <c r="BH354" s="7">
        <v>0</v>
      </c>
      <c r="BJ354" s="7">
        <v>0</v>
      </c>
      <c r="BL354" s="8">
        <f t="shared" si="55"/>
        <v>16748817</v>
      </c>
      <c r="BN354" s="8">
        <f>'Gov Fd Rv'!AQ354-'Gov Fnd Exp'!BL354</f>
        <v>-366488</v>
      </c>
      <c r="BP354" s="7">
        <v>1818326</v>
      </c>
      <c r="BR354" s="7">
        <v>0</v>
      </c>
      <c r="BT354" s="7">
        <v>0</v>
      </c>
      <c r="BV354" s="8">
        <f t="shared" si="56"/>
        <v>1451838</v>
      </c>
      <c r="BW354" s="8"/>
      <c r="BX354" s="8">
        <f>BV354-'Gov Fd BS'!AE354</f>
        <v>0</v>
      </c>
      <c r="BY354" s="8"/>
      <c r="BZ354" s="8"/>
      <c r="CB354" s="101" t="str">
        <f t="shared" si="70"/>
        <v>Minford Local SD</v>
      </c>
      <c r="CC354" s="101" t="b">
        <f t="shared" si="67"/>
        <v>1</v>
      </c>
      <c r="CD354" s="101" t="str">
        <f>'Gov Fd Rv'!A354</f>
        <v>Minford Local SD</v>
      </c>
      <c r="CE354" s="8" t="b">
        <f t="shared" si="66"/>
        <v>1</v>
      </c>
      <c r="CG354" s="8" t="str">
        <f t="shared" si="68"/>
        <v>Scioto</v>
      </c>
      <c r="CH354" s="8" t="b">
        <f t="shared" si="69"/>
        <v>1</v>
      </c>
      <c r="CI354" s="8" t="b">
        <f>C354='Gov Fd Rv'!C354</f>
        <v>1</v>
      </c>
    </row>
    <row r="355" spans="1:87">
      <c r="A355" s="12" t="s">
        <v>214</v>
      </c>
      <c r="B355" s="12"/>
      <c r="C355" s="12" t="s">
        <v>14</v>
      </c>
      <c r="D355" s="12"/>
      <c r="E355" s="12">
        <v>45948</v>
      </c>
      <c r="G355" s="7">
        <v>4068790</v>
      </c>
      <c r="I355" s="7">
        <v>568680</v>
      </c>
      <c r="K355" s="7">
        <v>178867</v>
      </c>
      <c r="M355" s="7">
        <v>0</v>
      </c>
      <c r="O355" s="7">
        <v>0</v>
      </c>
      <c r="Q355" s="7">
        <v>659599</v>
      </c>
      <c r="S355" s="7">
        <v>405517</v>
      </c>
      <c r="U355" s="7">
        <v>31834</v>
      </c>
      <c r="W355" s="7">
        <v>666896</v>
      </c>
      <c r="Y355" s="7">
        <v>209738</v>
      </c>
      <c r="AA355" s="7">
        <v>0</v>
      </c>
      <c r="AC355" s="7">
        <v>979241</v>
      </c>
      <c r="AE355" s="7">
        <v>216432</v>
      </c>
      <c r="AG355" s="7">
        <v>50780</v>
      </c>
      <c r="AI355" s="7">
        <v>0</v>
      </c>
      <c r="AK355" s="7">
        <v>356959</v>
      </c>
      <c r="AL355" s="12" t="s">
        <v>214</v>
      </c>
      <c r="AM355" s="12"/>
      <c r="AN355" s="12" t="s">
        <v>14</v>
      </c>
      <c r="AP355" s="7">
        <v>350629</v>
      </c>
      <c r="AR355" s="7">
        <v>33663</v>
      </c>
      <c r="AT355" s="7">
        <v>0</v>
      </c>
      <c r="AV355" s="7">
        <v>665000</v>
      </c>
      <c r="AX355" s="7">
        <v>399874</v>
      </c>
      <c r="AZ355" s="7">
        <v>0</v>
      </c>
      <c r="BB355" s="8">
        <f t="shared" si="54"/>
        <v>9842499</v>
      </c>
      <c r="BD355" s="7">
        <v>0</v>
      </c>
      <c r="BF355" s="7">
        <v>0</v>
      </c>
      <c r="BH355" s="7">
        <v>0</v>
      </c>
      <c r="BJ355" s="7">
        <v>0</v>
      </c>
      <c r="BL355" s="8">
        <f t="shared" si="55"/>
        <v>9842499</v>
      </c>
      <c r="BN355" s="8">
        <f>'Gov Fd Rv'!AQ355-'Gov Fnd Exp'!BL355</f>
        <v>94123</v>
      </c>
      <c r="BP355" s="7">
        <v>980937</v>
      </c>
      <c r="BR355" s="7">
        <v>0</v>
      </c>
      <c r="BT355" s="7">
        <v>0</v>
      </c>
      <c r="BV355" s="8">
        <f t="shared" si="56"/>
        <v>1075060</v>
      </c>
      <c r="BW355" s="8"/>
      <c r="BX355" s="8">
        <f>BV355-'Gov Fd BS'!AE355</f>
        <v>0</v>
      </c>
      <c r="BY355" s="8"/>
      <c r="BZ355" s="8"/>
      <c r="CB355" s="101" t="str">
        <f t="shared" si="70"/>
        <v>Minster Local SD</v>
      </c>
      <c r="CC355" s="101" t="b">
        <f t="shared" si="67"/>
        <v>1</v>
      </c>
      <c r="CD355" s="101" t="str">
        <f>'Gov Fd Rv'!A355</f>
        <v>Minster Local SD</v>
      </c>
      <c r="CE355" s="8" t="b">
        <f t="shared" si="66"/>
        <v>1</v>
      </c>
      <c r="CG355" s="8" t="str">
        <f t="shared" si="68"/>
        <v>Auglaize</v>
      </c>
      <c r="CH355" s="8" t="b">
        <f t="shared" si="69"/>
        <v>1</v>
      </c>
      <c r="CI355" s="8" t="b">
        <f>C355='Gov Fd Rv'!C355</f>
        <v>1</v>
      </c>
    </row>
    <row r="356" spans="1:87" hidden="1">
      <c r="A356" s="12" t="s">
        <v>669</v>
      </c>
      <c r="B356" s="12"/>
      <c r="C356" s="12" t="s">
        <v>21</v>
      </c>
      <c r="D356" s="12"/>
      <c r="E356" s="12">
        <v>46672</v>
      </c>
      <c r="AL356" s="12" t="s">
        <v>669</v>
      </c>
      <c r="AM356" s="12"/>
      <c r="AN356" s="12" t="s">
        <v>21</v>
      </c>
      <c r="AT356" s="7">
        <v>0</v>
      </c>
      <c r="AZ356" s="7">
        <v>0</v>
      </c>
      <c r="BB356" s="8">
        <f t="shared" si="54"/>
        <v>0</v>
      </c>
      <c r="BF356" s="7">
        <v>0</v>
      </c>
      <c r="BH356" s="7">
        <v>0</v>
      </c>
      <c r="BJ356" s="7">
        <v>0</v>
      </c>
      <c r="BL356" s="8">
        <f t="shared" si="55"/>
        <v>0</v>
      </c>
      <c r="BN356" s="8">
        <f>'Gov Fd Rv'!AQ356-'Gov Fnd Exp'!BL356</f>
        <v>0</v>
      </c>
      <c r="BR356" s="7">
        <v>0</v>
      </c>
      <c r="BT356" s="7">
        <v>0</v>
      </c>
      <c r="BV356" s="8">
        <f t="shared" si="56"/>
        <v>0</v>
      </c>
      <c r="BW356" s="8"/>
      <c r="BX356" s="8">
        <f>BV356-'Gov Fd BS'!AE356</f>
        <v>0</v>
      </c>
      <c r="BY356" s="8"/>
      <c r="BZ356" s="7" t="s">
        <v>839</v>
      </c>
      <c r="CB356" s="101" t="str">
        <f t="shared" si="70"/>
        <v>Mississinawa Valley Local SD  (CASH)</v>
      </c>
      <c r="CC356" s="101" t="b">
        <f t="shared" si="67"/>
        <v>1</v>
      </c>
      <c r="CD356" s="101" t="str">
        <f>'Gov Fd Rv'!A356</f>
        <v>Mississinawa Valley Local SD  (CASH)</v>
      </c>
      <c r="CE356" s="8" t="b">
        <f t="shared" si="66"/>
        <v>1</v>
      </c>
      <c r="CG356" s="8" t="str">
        <f t="shared" si="68"/>
        <v>Darke</v>
      </c>
      <c r="CH356" s="8" t="b">
        <f t="shared" si="69"/>
        <v>1</v>
      </c>
      <c r="CI356" s="8" t="b">
        <f>C356='Gov Fd Rv'!C356</f>
        <v>1</v>
      </c>
    </row>
    <row r="357" spans="1:87">
      <c r="A357" s="12" t="s">
        <v>526</v>
      </c>
      <c r="B357" s="12"/>
      <c r="C357" s="12" t="s">
        <v>63</v>
      </c>
      <c r="D357" s="12"/>
      <c r="E357" s="12">
        <v>50039</v>
      </c>
      <c r="G357" s="7">
        <v>4466958</v>
      </c>
      <c r="I357" s="7">
        <v>1122298</v>
      </c>
      <c r="K357" s="7">
        <v>98911</v>
      </c>
      <c r="M357" s="7">
        <v>0</v>
      </c>
      <c r="O357" s="7">
        <f>420405+221705</f>
        <v>642110</v>
      </c>
      <c r="Q357" s="7">
        <v>406805</v>
      </c>
      <c r="S357" s="7">
        <v>406235</v>
      </c>
      <c r="U357" s="7">
        <v>44845</v>
      </c>
      <c r="W357" s="7">
        <v>648089</v>
      </c>
      <c r="Y357" s="7">
        <v>335488</v>
      </c>
      <c r="AA357" s="7">
        <v>366</v>
      </c>
      <c r="AC357" s="7">
        <v>709285</v>
      </c>
      <c r="AE357" s="7">
        <v>400265</v>
      </c>
      <c r="AG357" s="7">
        <v>39741</v>
      </c>
      <c r="AI357" s="7">
        <v>307370</v>
      </c>
      <c r="AK357" s="7">
        <v>0</v>
      </c>
      <c r="AL357" s="12" t="s">
        <v>526</v>
      </c>
      <c r="AM357" s="12"/>
      <c r="AN357" s="12" t="s">
        <v>63</v>
      </c>
      <c r="AP357" s="7">
        <v>331029</v>
      </c>
      <c r="AR357" s="7">
        <v>45933</v>
      </c>
      <c r="AT357" s="7">
        <v>0</v>
      </c>
      <c r="AV357" s="7">
        <v>370000</v>
      </c>
      <c r="AX357" s="7">
        <v>458810</v>
      </c>
      <c r="AZ357" s="7">
        <v>0</v>
      </c>
      <c r="BB357" s="8">
        <f t="shared" ref="BB357:BB414" si="77">SUM(G357:AZ357)</f>
        <v>10834538</v>
      </c>
      <c r="BD357" s="7">
        <v>180812</v>
      </c>
      <c r="BF357" s="7">
        <v>0</v>
      </c>
      <c r="BH357" s="7">
        <v>0</v>
      </c>
      <c r="BJ357" s="7">
        <v>0</v>
      </c>
      <c r="BL357" s="8">
        <f t="shared" ref="BL357:BL425" si="78">BB357+BD357+BJ357</f>
        <v>11015350</v>
      </c>
      <c r="BN357" s="8">
        <f>'Gov Fd Rv'!AQ357-'Gov Fnd Exp'!BL357</f>
        <v>-978435</v>
      </c>
      <c r="BP357" s="7">
        <v>4450954</v>
      </c>
      <c r="BR357" s="7">
        <v>0</v>
      </c>
      <c r="BT357" s="7">
        <v>0</v>
      </c>
      <c r="BV357" s="8">
        <f t="shared" si="56"/>
        <v>3472519</v>
      </c>
      <c r="BW357" s="8"/>
      <c r="BX357" s="8">
        <f>BV357-'Gov Fd BS'!AE357</f>
        <v>0</v>
      </c>
      <c r="BY357" s="8"/>
      <c r="BZ357" s="8"/>
      <c r="CB357" s="101" t="str">
        <f t="shared" si="70"/>
        <v>Mogadore Local SD</v>
      </c>
      <c r="CC357" s="101" t="b">
        <f t="shared" si="67"/>
        <v>1</v>
      </c>
      <c r="CD357" s="101" t="str">
        <f>'Gov Fd Rv'!A357</f>
        <v>Mogadore Local SD</v>
      </c>
      <c r="CE357" s="8" t="b">
        <f t="shared" si="66"/>
        <v>1</v>
      </c>
      <c r="CG357" s="8" t="str">
        <f t="shared" si="68"/>
        <v>Summit</v>
      </c>
      <c r="CH357" s="8" t="b">
        <f t="shared" si="69"/>
        <v>1</v>
      </c>
      <c r="CI357" s="8" t="b">
        <f>C357='Gov Fd Rv'!C357</f>
        <v>1</v>
      </c>
    </row>
    <row r="358" spans="1:87" hidden="1">
      <c r="A358" s="12" t="s">
        <v>648</v>
      </c>
      <c r="B358" s="12"/>
      <c r="C358" s="12" t="s">
        <v>577</v>
      </c>
      <c r="D358" s="12"/>
      <c r="E358" s="12">
        <v>50740</v>
      </c>
      <c r="AL358" s="12" t="s">
        <v>648</v>
      </c>
      <c r="AM358" s="12"/>
      <c r="AN358" s="12" t="s">
        <v>577</v>
      </c>
      <c r="AT358" s="7">
        <v>0</v>
      </c>
      <c r="AZ358" s="7">
        <v>0</v>
      </c>
      <c r="BB358" s="8">
        <f t="shared" si="77"/>
        <v>0</v>
      </c>
      <c r="BF358" s="7">
        <v>0</v>
      </c>
      <c r="BH358" s="7">
        <v>0</v>
      </c>
      <c r="BJ358" s="7">
        <v>0</v>
      </c>
      <c r="BL358" s="8">
        <f t="shared" si="78"/>
        <v>0</v>
      </c>
      <c r="BN358" s="8">
        <f>'Gov Fd Rv'!AQ358-'Gov Fnd Exp'!BL358</f>
        <v>0</v>
      </c>
      <c r="BR358" s="7">
        <v>0</v>
      </c>
      <c r="BT358" s="7">
        <v>0</v>
      </c>
      <c r="BV358" s="8">
        <f t="shared" si="56"/>
        <v>0</v>
      </c>
      <c r="BW358" s="8"/>
      <c r="BX358" s="8">
        <f>BV358-'Gov Fd BS'!AE358</f>
        <v>0</v>
      </c>
      <c r="BY358" s="8"/>
      <c r="BZ358" s="7" t="s">
        <v>839</v>
      </c>
      <c r="CB358" s="101" t="str">
        <f t="shared" si="70"/>
        <v>Mohawk Local SD (CASH)</v>
      </c>
      <c r="CC358" s="101" t="b">
        <f t="shared" si="67"/>
        <v>1</v>
      </c>
      <c r="CD358" s="101" t="str">
        <f>'Gov Fd Rv'!A358</f>
        <v>Mohawk Local SD (CASH)</v>
      </c>
      <c r="CE358" s="8" t="b">
        <f t="shared" si="66"/>
        <v>1</v>
      </c>
      <c r="CG358" s="8" t="str">
        <f t="shared" si="68"/>
        <v>Wyandot</v>
      </c>
      <c r="CH358" s="8" t="b">
        <f t="shared" si="69"/>
        <v>1</v>
      </c>
      <c r="CI358" s="8" t="b">
        <f>C358='Gov Fd Rv'!C358</f>
        <v>1</v>
      </c>
    </row>
    <row r="359" spans="1:87">
      <c r="A359" s="12" t="s">
        <v>229</v>
      </c>
      <c r="B359" s="12"/>
      <c r="C359" s="12" t="s">
        <v>223</v>
      </c>
      <c r="D359" s="12"/>
      <c r="E359" s="12">
        <v>139303</v>
      </c>
      <c r="G359" s="7">
        <v>9707240</v>
      </c>
      <c r="I359" s="7">
        <v>1766295</v>
      </c>
      <c r="K359" s="7">
        <v>0</v>
      </c>
      <c r="M359" s="7">
        <v>0</v>
      </c>
      <c r="O359" s="7">
        <v>0</v>
      </c>
      <c r="Q359" s="7">
        <v>867119</v>
      </c>
      <c r="S359" s="7">
        <v>1312805</v>
      </c>
      <c r="U359" s="7">
        <v>78101</v>
      </c>
      <c r="W359" s="7">
        <v>1652900</v>
      </c>
      <c r="Y359" s="7">
        <v>607541</v>
      </c>
      <c r="AA359" s="7">
        <v>124430</v>
      </c>
      <c r="AC359" s="7">
        <v>1699819</v>
      </c>
      <c r="AE359" s="7">
        <v>1598698</v>
      </c>
      <c r="AG359" s="7">
        <v>460561</v>
      </c>
      <c r="AI359" s="7">
        <v>877459</v>
      </c>
      <c r="AK359" s="7">
        <v>0</v>
      </c>
      <c r="AL359" s="12" t="s">
        <v>229</v>
      </c>
      <c r="AM359" s="12"/>
      <c r="AN359" s="12" t="s">
        <v>223</v>
      </c>
      <c r="AP359" s="7">
        <v>700228</v>
      </c>
      <c r="AR359" s="7">
        <v>0</v>
      </c>
      <c r="AT359" s="7">
        <v>0</v>
      </c>
      <c r="AV359" s="7">
        <v>540355</v>
      </c>
      <c r="AX359" s="7">
        <v>1377228</v>
      </c>
      <c r="AZ359" s="7">
        <v>0</v>
      </c>
      <c r="BB359" s="8">
        <f t="shared" si="77"/>
        <v>23370779</v>
      </c>
      <c r="BD359" s="7">
        <v>709463</v>
      </c>
      <c r="BF359" s="7">
        <v>0</v>
      </c>
      <c r="BH359" s="7">
        <v>0</v>
      </c>
      <c r="BJ359" s="7">
        <v>0</v>
      </c>
      <c r="BL359" s="8">
        <f t="shared" si="78"/>
        <v>24080242</v>
      </c>
      <c r="BN359" s="8">
        <f>'Gov Fd Rv'!AQ359-'Gov Fnd Exp'!BL359</f>
        <v>-827434</v>
      </c>
      <c r="BP359" s="7">
        <v>-820679</v>
      </c>
      <c r="BR359" s="7">
        <v>0</v>
      </c>
      <c r="BT359" s="7">
        <v>0</v>
      </c>
      <c r="BV359" s="8">
        <f t="shared" ref="BV359:BV427" si="79">BN359+BP359+BR359+BT359</f>
        <v>-1648113</v>
      </c>
      <c r="BW359" s="8"/>
      <c r="BX359" s="8">
        <f>BV359-'Gov Fd BS'!AE359</f>
        <v>0</v>
      </c>
      <c r="BY359" s="8"/>
      <c r="BZ359" s="7" t="s">
        <v>936</v>
      </c>
      <c r="CB359" s="101" t="str">
        <f t="shared" si="70"/>
        <v>Monroe Local SD</v>
      </c>
      <c r="CC359" s="101" t="b">
        <f t="shared" si="67"/>
        <v>1</v>
      </c>
      <c r="CD359" s="101" t="str">
        <f>'Gov Fd Rv'!A359</f>
        <v>Monroe Local SD</v>
      </c>
      <c r="CE359" s="8" t="b">
        <f t="shared" si="66"/>
        <v>1</v>
      </c>
      <c r="CG359" s="8" t="str">
        <f t="shared" si="68"/>
        <v>Butler</v>
      </c>
      <c r="CH359" s="8" t="b">
        <f t="shared" si="69"/>
        <v>1</v>
      </c>
      <c r="CI359" s="8" t="b">
        <f>C359='Gov Fd Rv'!C359</f>
        <v>1</v>
      </c>
    </row>
    <row r="360" spans="1:87" s="32" customFormat="1">
      <c r="A360" s="31" t="s">
        <v>366</v>
      </c>
      <c r="B360" s="31"/>
      <c r="C360" s="31" t="s">
        <v>37</v>
      </c>
      <c r="D360" s="31"/>
      <c r="E360" s="31">
        <v>47712</v>
      </c>
      <c r="G360" s="32">
        <v>3334450</v>
      </c>
      <c r="I360" s="32">
        <v>621060</v>
      </c>
      <c r="K360" s="32">
        <v>176973</v>
      </c>
      <c r="M360" s="32">
        <v>0</v>
      </c>
      <c r="O360" s="32">
        <v>0</v>
      </c>
      <c r="Q360" s="32">
        <v>251965</v>
      </c>
      <c r="S360" s="32">
        <v>389706</v>
      </c>
      <c r="U360" s="32">
        <v>31392</v>
      </c>
      <c r="W360" s="32">
        <v>526728</v>
      </c>
      <c r="Y360" s="32">
        <v>293456</v>
      </c>
      <c r="AA360" s="32">
        <v>470</v>
      </c>
      <c r="AC360" s="32">
        <v>510551</v>
      </c>
      <c r="AE360" s="32">
        <v>345931</v>
      </c>
      <c r="AG360" s="32">
        <v>1382</v>
      </c>
      <c r="AI360" s="32">
        <v>276141</v>
      </c>
      <c r="AK360" s="32">
        <v>96500</v>
      </c>
      <c r="AL360" s="31" t="s">
        <v>366</v>
      </c>
      <c r="AM360" s="31"/>
      <c r="AN360" s="31" t="s">
        <v>37</v>
      </c>
      <c r="AP360" s="32">
        <v>219272</v>
      </c>
      <c r="AR360" s="32">
        <v>798945</v>
      </c>
      <c r="AT360" s="32">
        <v>0</v>
      </c>
      <c r="AV360" s="32">
        <v>53903</v>
      </c>
      <c r="AX360" s="32">
        <v>5818</v>
      </c>
      <c r="AZ360" s="32">
        <v>0</v>
      </c>
      <c r="BB360" s="36">
        <f t="shared" si="77"/>
        <v>7934643</v>
      </c>
      <c r="BD360" s="32">
        <v>761</v>
      </c>
      <c r="BF360" s="32">
        <v>0</v>
      </c>
      <c r="BH360" s="32">
        <v>0</v>
      </c>
      <c r="BJ360" s="32">
        <v>0</v>
      </c>
      <c r="BL360" s="36">
        <f t="shared" si="78"/>
        <v>7935404</v>
      </c>
      <c r="BN360" s="36">
        <f>'Gov Fd Rv'!AQ360-'Gov Fnd Exp'!BL360</f>
        <v>302524</v>
      </c>
      <c r="BP360" s="32">
        <v>675734</v>
      </c>
      <c r="BR360" s="32">
        <v>0</v>
      </c>
      <c r="BT360" s="32">
        <v>0</v>
      </c>
      <c r="BV360" s="36">
        <f t="shared" si="79"/>
        <v>978258</v>
      </c>
      <c r="BW360" s="36"/>
      <c r="BX360" s="36">
        <f>BV360-'Gov Fd BS'!AE360</f>
        <v>0</v>
      </c>
      <c r="BY360" s="36"/>
      <c r="BZ360" s="36"/>
      <c r="CB360" s="106" t="str">
        <f t="shared" si="70"/>
        <v>Monroeville Local SD</v>
      </c>
      <c r="CC360" s="106" t="b">
        <f t="shared" si="67"/>
        <v>1</v>
      </c>
      <c r="CD360" s="106" t="str">
        <f>'Gov Fd Rv'!A360</f>
        <v>Monroeville Local SD</v>
      </c>
      <c r="CE360" s="36" t="b">
        <f t="shared" si="66"/>
        <v>1</v>
      </c>
      <c r="CG360" s="36" t="str">
        <f t="shared" si="68"/>
        <v>Huron</v>
      </c>
      <c r="CH360" s="36" t="b">
        <f t="shared" si="69"/>
        <v>1</v>
      </c>
      <c r="CI360" s="36" t="b">
        <f>C360='Gov Fd Rv'!C360</f>
        <v>1</v>
      </c>
    </row>
    <row r="361" spans="1:87" hidden="1">
      <c r="A361" s="12" t="s">
        <v>937</v>
      </c>
      <c r="B361" s="12"/>
      <c r="C361" s="12" t="s">
        <v>570</v>
      </c>
      <c r="D361" s="12"/>
      <c r="E361" s="12">
        <v>45526</v>
      </c>
      <c r="AL361" s="12" t="s">
        <v>937</v>
      </c>
      <c r="AM361" s="12"/>
      <c r="AN361" s="12" t="s">
        <v>570</v>
      </c>
      <c r="AT361" s="7">
        <v>0</v>
      </c>
      <c r="AZ361" s="7">
        <v>0</v>
      </c>
      <c r="BB361" s="8">
        <f t="shared" si="77"/>
        <v>0</v>
      </c>
      <c r="BF361" s="7">
        <v>0</v>
      </c>
      <c r="BH361" s="7">
        <v>0</v>
      </c>
      <c r="BJ361" s="7">
        <v>0</v>
      </c>
      <c r="BL361" s="8">
        <f t="shared" si="78"/>
        <v>0</v>
      </c>
      <c r="BN361" s="8">
        <f>'Gov Fd Rv'!AQ361-'Gov Fnd Exp'!BL361</f>
        <v>0</v>
      </c>
      <c r="BR361" s="7">
        <v>0</v>
      </c>
      <c r="BT361" s="7">
        <v>0</v>
      </c>
      <c r="BV361" s="8">
        <f t="shared" si="79"/>
        <v>0</v>
      </c>
      <c r="BW361" s="8"/>
      <c r="BX361" s="8">
        <f>BV361-'Gov Fd BS'!AE361</f>
        <v>0</v>
      </c>
      <c r="BY361" s="8"/>
      <c r="BZ361" s="7" t="s">
        <v>912</v>
      </c>
      <c r="CB361" s="101" t="str">
        <f t="shared" si="70"/>
        <v>Montpelier Exempted Village SD (CASH)</v>
      </c>
      <c r="CC361" s="101" t="b">
        <f t="shared" si="67"/>
        <v>1</v>
      </c>
      <c r="CD361" s="101" t="str">
        <f>'Gov Fd Rv'!A361</f>
        <v>Montpelier Exempted Village SD (CASH)</v>
      </c>
      <c r="CE361" s="8" t="b">
        <f t="shared" si="66"/>
        <v>1</v>
      </c>
      <c r="CG361" s="8" t="str">
        <f t="shared" si="68"/>
        <v>Williams</v>
      </c>
      <c r="CH361" s="8" t="b">
        <f t="shared" si="69"/>
        <v>1</v>
      </c>
      <c r="CI361" s="8" t="b">
        <f>C361='Gov Fd Rv'!C361</f>
        <v>1</v>
      </c>
    </row>
    <row r="362" spans="1:87">
      <c r="A362" s="12" t="s">
        <v>452</v>
      </c>
      <c r="B362" s="12"/>
      <c r="C362" s="12" t="s">
        <v>453</v>
      </c>
      <c r="D362" s="12"/>
      <c r="E362" s="12">
        <v>48777</v>
      </c>
      <c r="G362" s="7">
        <v>9163161</v>
      </c>
      <c r="I362" s="7">
        <v>2798564</v>
      </c>
      <c r="K362" s="7">
        <v>1136082</v>
      </c>
      <c r="M362" s="7">
        <v>0</v>
      </c>
      <c r="O362" s="7">
        <v>359133</v>
      </c>
      <c r="Q362" s="7">
        <v>697226</v>
      </c>
      <c r="S362" s="7">
        <v>584824</v>
      </c>
      <c r="U362" s="7">
        <v>41997</v>
      </c>
      <c r="W362" s="7">
        <v>1717370</v>
      </c>
      <c r="Y362" s="7">
        <v>726372</v>
      </c>
      <c r="AA362" s="7">
        <v>175677</v>
      </c>
      <c r="AC362" s="7">
        <v>1828469</v>
      </c>
      <c r="AE362" s="7">
        <v>1958401</v>
      </c>
      <c r="AG362" s="7">
        <v>217556</v>
      </c>
      <c r="AI362" s="7">
        <v>0</v>
      </c>
      <c r="AK362" s="7">
        <v>1027193</v>
      </c>
      <c r="AL362" s="12" t="s">
        <v>452</v>
      </c>
      <c r="AM362" s="12"/>
      <c r="AN362" s="12" t="s">
        <v>453</v>
      </c>
      <c r="AP362" s="7">
        <v>219270</v>
      </c>
      <c r="AR362" s="7">
        <v>431886</v>
      </c>
      <c r="AT362" s="7">
        <v>0</v>
      </c>
      <c r="AV362" s="7">
        <v>1003697</v>
      </c>
      <c r="AX362" s="7">
        <v>361408</v>
      </c>
      <c r="AZ362" s="7">
        <v>0</v>
      </c>
      <c r="BB362" s="8">
        <f t="shared" si="77"/>
        <v>24448286</v>
      </c>
      <c r="BD362" s="7">
        <v>622093</v>
      </c>
      <c r="BF362" s="7">
        <v>0</v>
      </c>
      <c r="BH362" s="7">
        <v>0</v>
      </c>
      <c r="BJ362" s="7">
        <v>0</v>
      </c>
      <c r="BL362" s="8">
        <f t="shared" si="78"/>
        <v>25070379</v>
      </c>
      <c r="BN362" s="8">
        <f>'Gov Fd Rv'!AQ362-'Gov Fnd Exp'!BL362</f>
        <v>1029227</v>
      </c>
      <c r="BP362" s="7">
        <v>9988264</v>
      </c>
      <c r="BR362" s="7">
        <v>0</v>
      </c>
      <c r="BT362" s="7">
        <v>0</v>
      </c>
      <c r="BV362" s="8">
        <f t="shared" si="79"/>
        <v>11017491</v>
      </c>
      <c r="BW362" s="8"/>
      <c r="BX362" s="8">
        <f>BV362-'Gov Fd BS'!AE362</f>
        <v>0</v>
      </c>
      <c r="BY362" s="8"/>
      <c r="BZ362" s="8"/>
      <c r="CB362" s="101" t="str">
        <f t="shared" si="70"/>
        <v>Morgan Local SD</v>
      </c>
      <c r="CC362" s="101" t="b">
        <f t="shared" si="67"/>
        <v>1</v>
      </c>
      <c r="CD362" s="101" t="str">
        <f>'Gov Fd Rv'!A362</f>
        <v>Morgan Local SD</v>
      </c>
      <c r="CE362" s="8" t="b">
        <f t="shared" si="66"/>
        <v>1</v>
      </c>
      <c r="CG362" s="8" t="str">
        <f t="shared" si="68"/>
        <v>Morgan</v>
      </c>
      <c r="CH362" s="8" t="b">
        <f t="shared" si="69"/>
        <v>1</v>
      </c>
      <c r="CI362" s="8" t="b">
        <f>C362='Gov Fd Rv'!C362</f>
        <v>1</v>
      </c>
    </row>
    <row r="363" spans="1:87">
      <c r="A363" s="12" t="s">
        <v>880</v>
      </c>
      <c r="B363" s="12"/>
      <c r="C363" s="12" t="s">
        <v>78</v>
      </c>
      <c r="D363" s="12"/>
      <c r="E363" s="12">
        <v>45534</v>
      </c>
      <c r="G363" s="7">
        <v>4703766</v>
      </c>
      <c r="I363" s="7">
        <v>1807576</v>
      </c>
      <c r="K363" s="7">
        <v>235918</v>
      </c>
      <c r="M363" s="7">
        <v>0</v>
      </c>
      <c r="O363" s="7">
        <v>1163779</v>
      </c>
      <c r="Q363" s="7">
        <v>942329</v>
      </c>
      <c r="S363" s="7">
        <v>482221</v>
      </c>
      <c r="U363" s="7">
        <v>35579</v>
      </c>
      <c r="W363" s="7">
        <v>847687</v>
      </c>
      <c r="Y363" s="7">
        <v>469341</v>
      </c>
      <c r="AA363" s="7">
        <v>0</v>
      </c>
      <c r="AC363" s="7">
        <v>1294852</v>
      </c>
      <c r="AE363" s="7">
        <v>573006</v>
      </c>
      <c r="AG363" s="7">
        <v>29076</v>
      </c>
      <c r="AI363" s="7">
        <v>0</v>
      </c>
      <c r="AK363" s="7">
        <v>400402</v>
      </c>
      <c r="AL363" s="12" t="s">
        <v>880</v>
      </c>
      <c r="AM363" s="12"/>
      <c r="AN363" s="12" t="s">
        <v>78</v>
      </c>
      <c r="AP363" s="7">
        <v>318454</v>
      </c>
      <c r="AR363" s="7">
        <v>1006239</v>
      </c>
      <c r="AT363" s="7">
        <v>0</v>
      </c>
      <c r="AV363" s="7">
        <v>462000</v>
      </c>
      <c r="AX363" s="7">
        <v>368278</v>
      </c>
      <c r="AZ363" s="7">
        <v>0</v>
      </c>
      <c r="BB363" s="8">
        <f t="shared" si="77"/>
        <v>15140503</v>
      </c>
      <c r="BD363" s="7">
        <v>233043</v>
      </c>
      <c r="BF363" s="7">
        <v>0</v>
      </c>
      <c r="BH363" s="7">
        <v>0</v>
      </c>
      <c r="BJ363" s="7">
        <v>0</v>
      </c>
      <c r="BL363" s="8">
        <f t="shared" si="78"/>
        <v>15373546</v>
      </c>
      <c r="BN363" s="8">
        <f>'Gov Fd Rv'!AQ363-'Gov Fnd Exp'!BL363</f>
        <v>-604626</v>
      </c>
      <c r="BP363" s="7">
        <v>5994677</v>
      </c>
      <c r="BR363" s="7">
        <v>0</v>
      </c>
      <c r="BT363" s="7">
        <v>0</v>
      </c>
      <c r="BV363" s="8">
        <f t="shared" si="79"/>
        <v>5390051</v>
      </c>
      <c r="BW363" s="8"/>
      <c r="BX363" s="8">
        <f>BV363-'Gov Fd BS'!AE363</f>
        <v>0</v>
      </c>
      <c r="BY363" s="8"/>
      <c r="BZ363" s="8"/>
      <c r="CB363" s="101" t="str">
        <f t="shared" si="70"/>
        <v>Mount Gilead Exempted Village SD</v>
      </c>
      <c r="CC363" s="101" t="b">
        <f t="shared" si="67"/>
        <v>1</v>
      </c>
      <c r="CD363" s="101" t="str">
        <f>'Gov Fd Rv'!A363</f>
        <v>Mount Gilead Exempted Village SD</v>
      </c>
      <c r="CE363" s="8" t="b">
        <f t="shared" si="66"/>
        <v>1</v>
      </c>
      <c r="CG363" s="8" t="str">
        <f t="shared" si="68"/>
        <v>Morrow</v>
      </c>
      <c r="CH363" s="8" t="b">
        <f t="shared" si="69"/>
        <v>1</v>
      </c>
      <c r="CI363" s="8" t="b">
        <f>C363='Gov Fd Rv'!C363</f>
        <v>1</v>
      </c>
    </row>
    <row r="364" spans="1:87">
      <c r="A364" s="12" t="s">
        <v>375</v>
      </c>
      <c r="B364" s="12"/>
      <c r="C364" s="12" t="s">
        <v>40</v>
      </c>
      <c r="D364" s="12"/>
      <c r="E364" s="12">
        <v>44420</v>
      </c>
      <c r="G364" s="7">
        <v>17556323</v>
      </c>
      <c r="I364" s="7">
        <v>4114988</v>
      </c>
      <c r="K364" s="7">
        <v>363842</v>
      </c>
      <c r="M364" s="7">
        <v>0</v>
      </c>
      <c r="O364" s="7">
        <v>0</v>
      </c>
      <c r="Q364" s="7">
        <v>1969661</v>
      </c>
      <c r="S364" s="7">
        <v>2484897</v>
      </c>
      <c r="U364" s="7">
        <v>66534</v>
      </c>
      <c r="W364" s="7">
        <v>2803247</v>
      </c>
      <c r="Y364" s="7">
        <v>2724117</v>
      </c>
      <c r="AA364" s="7">
        <v>66606</v>
      </c>
      <c r="AC364" s="7">
        <v>2950183</v>
      </c>
      <c r="AE364" s="7">
        <v>1523697</v>
      </c>
      <c r="AG364" s="7">
        <v>129537</v>
      </c>
      <c r="AI364" s="7">
        <v>1355505</v>
      </c>
      <c r="AK364" s="7">
        <v>242565</v>
      </c>
      <c r="AL364" s="12" t="s">
        <v>375</v>
      </c>
      <c r="AM364" s="12"/>
      <c r="AN364" s="12" t="s">
        <v>40</v>
      </c>
      <c r="AP364" s="7">
        <v>685629</v>
      </c>
      <c r="AR364" s="7">
        <f>541948+22623</f>
        <v>564571</v>
      </c>
      <c r="AT364" s="7">
        <v>0</v>
      </c>
      <c r="AV364" s="7">
        <v>572341</v>
      </c>
      <c r="AX364" s="7">
        <v>248818</v>
      </c>
      <c r="AZ364" s="7">
        <v>0</v>
      </c>
      <c r="BB364" s="8">
        <f t="shared" si="77"/>
        <v>40423061</v>
      </c>
      <c r="BD364" s="7">
        <v>89592</v>
      </c>
      <c r="BF364" s="7">
        <v>0</v>
      </c>
      <c r="BH364" s="7">
        <v>0</v>
      </c>
      <c r="BJ364" s="7">
        <v>0</v>
      </c>
      <c r="BL364" s="8">
        <f t="shared" si="78"/>
        <v>40512653</v>
      </c>
      <c r="BN364" s="8">
        <f>'Gov Fd Rv'!AQ364-'Gov Fnd Exp'!BL364</f>
        <v>-2245888</v>
      </c>
      <c r="BP364" s="7">
        <v>10288720</v>
      </c>
      <c r="BR364" s="7">
        <v>0</v>
      </c>
      <c r="BT364" s="7">
        <v>0</v>
      </c>
      <c r="BV364" s="8">
        <f t="shared" si="79"/>
        <v>8042832</v>
      </c>
      <c r="BW364" s="8"/>
      <c r="BX364" s="8">
        <f>BV364-'Gov Fd BS'!AE364</f>
        <v>0</v>
      </c>
      <c r="BY364" s="8"/>
      <c r="BZ364" s="8"/>
      <c r="CB364" s="101" t="str">
        <f t="shared" si="70"/>
        <v>Mount Vernon City SD</v>
      </c>
      <c r="CC364" s="101" t="b">
        <f t="shared" si="67"/>
        <v>1</v>
      </c>
      <c r="CD364" s="101" t="str">
        <f>'Gov Fd Rv'!A364</f>
        <v>Mount Vernon City SD</v>
      </c>
      <c r="CE364" s="8" t="b">
        <f t="shared" si="66"/>
        <v>1</v>
      </c>
      <c r="CG364" s="8" t="str">
        <f t="shared" si="68"/>
        <v>Knox</v>
      </c>
      <c r="CH364" s="8" t="b">
        <f t="shared" si="69"/>
        <v>1</v>
      </c>
      <c r="CI364" s="8" t="b">
        <f>C364='Gov Fd Rv'!C364</f>
        <v>1</v>
      </c>
    </row>
    <row r="365" spans="1:87">
      <c r="A365" s="12" t="s">
        <v>751</v>
      </c>
      <c r="B365" s="12"/>
      <c r="C365" s="12" t="s">
        <v>32</v>
      </c>
      <c r="D365" s="12"/>
      <c r="E365" s="12">
        <v>44412</v>
      </c>
      <c r="G365" s="7">
        <v>12475786</v>
      </c>
      <c r="I365" s="7">
        <v>5794806</v>
      </c>
      <c r="K365" s="7">
        <v>269912</v>
      </c>
      <c r="M365" s="7">
        <v>0</v>
      </c>
      <c r="O365" s="7">
        <v>4900093</v>
      </c>
      <c r="Q365" s="7">
        <v>2474789</v>
      </c>
      <c r="S365" s="7">
        <v>3180865</v>
      </c>
      <c r="U365" s="7">
        <v>109226</v>
      </c>
      <c r="W365" s="7">
        <v>2886202</v>
      </c>
      <c r="Y365" s="7">
        <v>836410</v>
      </c>
      <c r="AA365" s="7">
        <v>64679</v>
      </c>
      <c r="AC365" s="7">
        <v>4806842</v>
      </c>
      <c r="AE365" s="7">
        <v>2205251</v>
      </c>
      <c r="AG365" s="7">
        <v>506792</v>
      </c>
      <c r="AI365" s="7">
        <v>0</v>
      </c>
      <c r="AK365" s="7">
        <v>2132626</v>
      </c>
      <c r="AL365" s="12" t="s">
        <v>751</v>
      </c>
      <c r="AM365" s="12"/>
      <c r="AN365" s="12" t="s">
        <v>32</v>
      </c>
      <c r="AP365" s="7">
        <v>829599</v>
      </c>
      <c r="AR365" s="7">
        <v>13097733</v>
      </c>
      <c r="AT365" s="7">
        <v>0</v>
      </c>
      <c r="AV365" s="7">
        <v>805367</v>
      </c>
      <c r="AX365" s="7">
        <v>1501639</v>
      </c>
      <c r="AZ365" s="7">
        <v>0</v>
      </c>
      <c r="BB365" s="8">
        <f t="shared" si="77"/>
        <v>58878617</v>
      </c>
      <c r="BD365" s="7">
        <v>0</v>
      </c>
      <c r="BF365" s="7">
        <v>0</v>
      </c>
      <c r="BH365" s="7">
        <v>0</v>
      </c>
      <c r="BJ365" s="7">
        <v>0</v>
      </c>
      <c r="BL365" s="8">
        <f t="shared" si="78"/>
        <v>58878617</v>
      </c>
      <c r="BN365" s="8">
        <f>'Gov Fd Rv'!AQ365-'Gov Fnd Exp'!BL365</f>
        <v>-11420588</v>
      </c>
      <c r="BP365" s="7">
        <v>17793439</v>
      </c>
      <c r="BR365" s="7">
        <v>0</v>
      </c>
      <c r="BT365" s="7">
        <v>0</v>
      </c>
      <c r="BV365" s="8">
        <f t="shared" si="79"/>
        <v>6372851</v>
      </c>
      <c r="BW365" s="8"/>
      <c r="BX365" s="8">
        <f>BV365-'Gov Fd BS'!AE365</f>
        <v>0</v>
      </c>
      <c r="BY365" s="8"/>
      <c r="BZ365" s="8"/>
      <c r="CB365" s="101" t="str">
        <f t="shared" si="70"/>
        <v xml:space="preserve">Mt. Healthy City SD </v>
      </c>
      <c r="CC365" s="101" t="b">
        <f t="shared" si="67"/>
        <v>1</v>
      </c>
      <c r="CD365" s="101" t="str">
        <f>'Gov Fd Rv'!A365</f>
        <v xml:space="preserve">Mt. Healthy City SD </v>
      </c>
      <c r="CE365" s="8" t="b">
        <f t="shared" si="66"/>
        <v>1</v>
      </c>
      <c r="CG365" s="8" t="str">
        <f t="shared" si="68"/>
        <v>Hamilton</v>
      </c>
      <c r="CH365" s="8" t="b">
        <f t="shared" si="69"/>
        <v>1</v>
      </c>
      <c r="CI365" s="8" t="b">
        <f>C365='Gov Fd Rv'!C365</f>
        <v>1</v>
      </c>
    </row>
    <row r="366" spans="1:87">
      <c r="A366" s="12" t="s">
        <v>356</v>
      </c>
      <c r="B366" s="12"/>
      <c r="C366" s="12" t="s">
        <v>34</v>
      </c>
      <c r="D366" s="12"/>
      <c r="E366" s="12">
        <v>44438</v>
      </c>
      <c r="G366" s="7">
        <v>8240685</v>
      </c>
      <c r="I366" s="7">
        <v>3130440</v>
      </c>
      <c r="K366" s="7">
        <v>237237</v>
      </c>
      <c r="M366" s="7">
        <v>0</v>
      </c>
      <c r="O366" s="7">
        <v>1483866</v>
      </c>
      <c r="Q366" s="7">
        <v>1098647</v>
      </c>
      <c r="S366" s="7">
        <v>1101805</v>
      </c>
      <c r="U366" s="7">
        <v>48844</v>
      </c>
      <c r="W366" s="7">
        <v>1641087</v>
      </c>
      <c r="Y366" s="7">
        <v>686100</v>
      </c>
      <c r="AA366" s="7">
        <v>0</v>
      </c>
      <c r="AC366" s="7">
        <v>1767206</v>
      </c>
      <c r="AE366" s="7">
        <v>1238232</v>
      </c>
      <c r="AG366" s="7">
        <v>417041</v>
      </c>
      <c r="AI366" s="7">
        <v>0</v>
      </c>
      <c r="AK366" s="7">
        <v>990062</v>
      </c>
      <c r="AL366" s="12" t="s">
        <v>356</v>
      </c>
      <c r="AM366" s="12"/>
      <c r="AN366" s="12" t="s">
        <v>34</v>
      </c>
      <c r="AP366" s="7">
        <v>844837</v>
      </c>
      <c r="AR366" s="7">
        <v>202829</v>
      </c>
      <c r="AT366" s="7">
        <v>0</v>
      </c>
      <c r="AV366" s="7">
        <v>754728</v>
      </c>
      <c r="AX366" s="7">
        <v>181356</v>
      </c>
      <c r="AZ366" s="7">
        <v>0</v>
      </c>
      <c r="BB366" s="8">
        <f t="shared" si="77"/>
        <v>24065002</v>
      </c>
      <c r="BD366" s="7">
        <v>273538</v>
      </c>
      <c r="BF366" s="7">
        <v>0</v>
      </c>
      <c r="BH366" s="7">
        <v>0</v>
      </c>
      <c r="BJ366" s="7">
        <v>0</v>
      </c>
      <c r="BL366" s="8">
        <f>BB366+BD366+BJ366</f>
        <v>24338540</v>
      </c>
      <c r="BN366" s="8">
        <f>'Gov Fd Rv'!AQ366-'Gov Fnd Exp'!BL366</f>
        <v>332688</v>
      </c>
      <c r="BP366" s="7">
        <v>10003710</v>
      </c>
      <c r="BR366" s="7">
        <v>0</v>
      </c>
      <c r="BT366" s="7">
        <v>0</v>
      </c>
      <c r="BV366" s="8">
        <f t="shared" si="79"/>
        <v>10336398</v>
      </c>
      <c r="BW366" s="8"/>
      <c r="BX366" s="8">
        <f>BV366-'Gov Fd BS'!AE366</f>
        <v>0</v>
      </c>
      <c r="BY366" s="8"/>
      <c r="BZ366" s="8"/>
      <c r="CB366" s="101" t="str">
        <f t="shared" si="70"/>
        <v>Napoleon Area City SD</v>
      </c>
      <c r="CC366" s="101" t="b">
        <f t="shared" si="67"/>
        <v>1</v>
      </c>
      <c r="CD366" s="101" t="str">
        <f>'Gov Fd Rv'!A366</f>
        <v>Napoleon Area City SD</v>
      </c>
      <c r="CE366" s="8" t="b">
        <f t="shared" si="66"/>
        <v>1</v>
      </c>
      <c r="CG366" s="8" t="str">
        <f t="shared" si="68"/>
        <v>Henry</v>
      </c>
      <c r="CH366" s="8" t="b">
        <f t="shared" si="69"/>
        <v>1</v>
      </c>
      <c r="CI366" s="8" t="b">
        <f>C366='Gov Fd Rv'!C366</f>
        <v>1</v>
      </c>
    </row>
    <row r="367" spans="1:87" hidden="1">
      <c r="A367" s="12" t="s">
        <v>874</v>
      </c>
      <c r="B367" s="12"/>
      <c r="C367" s="12" t="s">
        <v>57</v>
      </c>
      <c r="D367" s="12"/>
      <c r="E367" s="12"/>
      <c r="AL367" s="12" t="s">
        <v>874</v>
      </c>
      <c r="AM367" s="12"/>
      <c r="AN367" s="12" t="s">
        <v>57</v>
      </c>
      <c r="AT367" s="7">
        <v>0</v>
      </c>
      <c r="AZ367" s="7">
        <v>0</v>
      </c>
      <c r="BB367" s="8"/>
      <c r="BF367" s="7">
        <v>0</v>
      </c>
      <c r="BH367" s="7">
        <v>0</v>
      </c>
      <c r="BJ367" s="7">
        <v>0</v>
      </c>
      <c r="BL367" s="8"/>
      <c r="BN367" s="8"/>
      <c r="BR367" s="7">
        <v>0</v>
      </c>
      <c r="BT367" s="7">
        <v>0</v>
      </c>
      <c r="BV367" s="8"/>
      <c r="BW367" s="8"/>
      <c r="BX367" s="8"/>
      <c r="BY367" s="8"/>
      <c r="BZ367" s="7" t="s">
        <v>938</v>
      </c>
      <c r="CB367" s="101" t="str">
        <f t="shared" ref="CB367" si="80">A367</f>
        <v>National Trail Local SD (CASH)</v>
      </c>
      <c r="CC367" s="101" t="b">
        <f t="shared" si="67"/>
        <v>1</v>
      </c>
      <c r="CD367" s="101" t="str">
        <f>'Gov Fd Rv'!A367</f>
        <v>National Trail Local SD (CASH)</v>
      </c>
      <c r="CE367" s="8" t="b">
        <f t="shared" si="66"/>
        <v>1</v>
      </c>
      <c r="CG367" s="8" t="str">
        <f t="shared" si="68"/>
        <v>Preble</v>
      </c>
      <c r="CH367" s="8" t="b">
        <f t="shared" si="69"/>
        <v>1</v>
      </c>
      <c r="CI367" s="8" t="b">
        <f>C367='Gov Fd Rv'!C367</f>
        <v>1</v>
      </c>
    </row>
    <row r="368" spans="1:87">
      <c r="A368" s="12" t="s">
        <v>212</v>
      </c>
      <c r="B368" s="12"/>
      <c r="C368" s="12" t="s">
        <v>13</v>
      </c>
      <c r="D368" s="12"/>
      <c r="E368" s="12">
        <v>44446</v>
      </c>
      <c r="G368" s="7">
        <v>6004713</v>
      </c>
      <c r="I368" s="7">
        <v>1844674</v>
      </c>
      <c r="K368" s="7">
        <v>89828</v>
      </c>
      <c r="M368" s="7">
        <v>0</v>
      </c>
      <c r="O368" s="7">
        <v>165829</v>
      </c>
      <c r="Q368" s="7">
        <v>318179</v>
      </c>
      <c r="S368" s="7">
        <v>1181947</v>
      </c>
      <c r="U368" s="7">
        <v>61755</v>
      </c>
      <c r="W368" s="7">
        <v>1216677</v>
      </c>
      <c r="Y368" s="7">
        <v>360051</v>
      </c>
      <c r="AA368" s="7">
        <v>0</v>
      </c>
      <c r="AC368" s="7">
        <v>1334501</v>
      </c>
      <c r="AE368" s="7">
        <v>1036440</v>
      </c>
      <c r="AG368" s="7">
        <v>0</v>
      </c>
      <c r="AI368" s="7">
        <v>0</v>
      </c>
      <c r="AK368" s="7">
        <v>737164</v>
      </c>
      <c r="AL368" s="12" t="s">
        <v>212</v>
      </c>
      <c r="AM368" s="12"/>
      <c r="AN368" s="12" t="s">
        <v>13</v>
      </c>
      <c r="AP368" s="7">
        <v>266599</v>
      </c>
      <c r="AR368" s="7">
        <v>1168614</v>
      </c>
      <c r="AT368" s="7">
        <v>0</v>
      </c>
      <c r="AV368" s="7">
        <v>340000</v>
      </c>
      <c r="AX368" s="7">
        <v>320061</v>
      </c>
      <c r="AZ368" s="7">
        <v>0</v>
      </c>
      <c r="BB368" s="8">
        <f t="shared" si="77"/>
        <v>16447032</v>
      </c>
      <c r="BD368" s="7">
        <v>244798</v>
      </c>
      <c r="BF368" s="7">
        <v>0</v>
      </c>
      <c r="BH368" s="7">
        <v>0</v>
      </c>
      <c r="BJ368" s="7">
        <v>0</v>
      </c>
      <c r="BL368" s="8">
        <f t="shared" ref="BL368:BL398" si="81">BB368+BD368+BJ368</f>
        <v>16691830</v>
      </c>
      <c r="BN368" s="8">
        <f>'Gov Fd Rv'!AQ368-'Gov Fnd Exp'!BL368</f>
        <v>-1387852</v>
      </c>
      <c r="BP368" s="7">
        <v>5574369</v>
      </c>
      <c r="BR368" s="7">
        <v>0</v>
      </c>
      <c r="BT368" s="7">
        <v>0</v>
      </c>
      <c r="BV368" s="8">
        <f t="shared" si="79"/>
        <v>4186517</v>
      </c>
      <c r="BW368" s="8"/>
      <c r="BX368" s="8">
        <f>BV368-'Gov Fd BS'!AE368</f>
        <v>0</v>
      </c>
      <c r="BY368" s="8"/>
      <c r="CB368" s="101" t="str">
        <f t="shared" si="70"/>
        <v>Nelsonville-York City SD</v>
      </c>
      <c r="CC368" s="101" t="b">
        <f t="shared" si="67"/>
        <v>1</v>
      </c>
      <c r="CD368" s="101" t="str">
        <f>'Gov Fd Rv'!A368</f>
        <v>Nelsonville-York City SD</v>
      </c>
      <c r="CE368" s="8" t="b">
        <f t="shared" si="66"/>
        <v>1</v>
      </c>
      <c r="CG368" s="8" t="str">
        <f t="shared" si="68"/>
        <v>Athens</v>
      </c>
      <c r="CH368" s="8" t="b">
        <f t="shared" si="69"/>
        <v>1</v>
      </c>
      <c r="CI368" s="8" t="b">
        <f>C368='Gov Fd Rv'!C368</f>
        <v>1</v>
      </c>
    </row>
    <row r="369" spans="1:87">
      <c r="A369" s="12" t="s">
        <v>633</v>
      </c>
      <c r="B369" s="12"/>
      <c r="C369" s="12" t="s">
        <v>27</v>
      </c>
      <c r="D369" s="12"/>
      <c r="E369" s="12">
        <v>44461</v>
      </c>
      <c r="G369" s="7">
        <v>24242675</v>
      </c>
      <c r="I369" s="7">
        <v>5057384</v>
      </c>
      <c r="K369" s="7">
        <v>1078908</v>
      </c>
      <c r="M369" s="7">
        <v>0</v>
      </c>
      <c r="O369" s="7">
        <v>39770</v>
      </c>
      <c r="Q369" s="7">
        <v>3131989</v>
      </c>
      <c r="S369" s="7">
        <v>2836154</v>
      </c>
      <c r="U369" s="7">
        <v>47949</v>
      </c>
      <c r="W369" s="7">
        <v>3270554</v>
      </c>
      <c r="Y369" s="7">
        <v>0</v>
      </c>
      <c r="AA369" s="7">
        <v>1795106</v>
      </c>
      <c r="AC369" s="7">
        <v>4788709</v>
      </c>
      <c r="AE369" s="7">
        <v>2667181</v>
      </c>
      <c r="AG369" s="7">
        <v>385725</v>
      </c>
      <c r="AI369" s="7">
        <v>1689153</v>
      </c>
      <c r="AK369" s="7">
        <f>718386+331350</f>
        <v>1049736</v>
      </c>
      <c r="AL369" s="12" t="s">
        <v>633</v>
      </c>
      <c r="AM369" s="12"/>
      <c r="AN369" s="12" t="s">
        <v>27</v>
      </c>
      <c r="AP369" s="7">
        <v>1610997</v>
      </c>
      <c r="AR369" s="7">
        <v>0</v>
      </c>
      <c r="AT369" s="7">
        <v>0</v>
      </c>
      <c r="AV369" s="7">
        <v>2500759</v>
      </c>
      <c r="AX369" s="7">
        <v>4731902</v>
      </c>
      <c r="AZ369" s="7">
        <v>0</v>
      </c>
      <c r="BB369" s="8">
        <f t="shared" si="77"/>
        <v>60924651</v>
      </c>
      <c r="BD369" s="7">
        <v>274488</v>
      </c>
      <c r="BF369" s="7">
        <v>0</v>
      </c>
      <c r="BH369" s="7">
        <v>0</v>
      </c>
      <c r="BJ369" s="7">
        <v>8695124</v>
      </c>
      <c r="BL369" s="8">
        <f t="shared" si="81"/>
        <v>69894263</v>
      </c>
      <c r="BN369" s="8">
        <f>'Gov Fd Rv'!AQ369-'Gov Fnd Exp'!BL369</f>
        <v>137954</v>
      </c>
      <c r="BP369" s="7">
        <v>37092449</v>
      </c>
      <c r="BR369" s="7">
        <v>0</v>
      </c>
      <c r="BT369" s="7">
        <v>0</v>
      </c>
      <c r="BV369" s="8">
        <f t="shared" si="79"/>
        <v>37230403</v>
      </c>
      <c r="BW369" s="8"/>
      <c r="BX369" s="8">
        <f>BV369-'Gov Fd BS'!AE369</f>
        <v>0</v>
      </c>
      <c r="BY369" s="8"/>
      <c r="CB369" s="101" t="str">
        <f t="shared" si="70"/>
        <v>New Albany-Plain Local SD</v>
      </c>
      <c r="CC369" s="101" t="b">
        <f t="shared" si="67"/>
        <v>1</v>
      </c>
      <c r="CD369" s="101" t="str">
        <f>'Gov Fd Rv'!A369</f>
        <v>New Albany-Plain Local SD</v>
      </c>
      <c r="CE369" s="8" t="b">
        <f t="shared" si="66"/>
        <v>1</v>
      </c>
      <c r="CG369" s="8" t="str">
        <f t="shared" si="68"/>
        <v>Franklin</v>
      </c>
      <c r="CH369" s="8" t="b">
        <f t="shared" si="69"/>
        <v>1</v>
      </c>
      <c r="CI369" s="8" t="b">
        <f>C369='Gov Fd Rv'!C369</f>
        <v>1</v>
      </c>
    </row>
    <row r="370" spans="1:87">
      <c r="A370" s="12" t="s">
        <v>498</v>
      </c>
      <c r="B370" s="12"/>
      <c r="C370" s="12" t="s">
        <v>59</v>
      </c>
      <c r="D370" s="12"/>
      <c r="E370" s="12">
        <v>44461</v>
      </c>
      <c r="G370" s="7">
        <v>2665538</v>
      </c>
      <c r="I370" s="7">
        <v>761211</v>
      </c>
      <c r="K370" s="7">
        <v>7328</v>
      </c>
      <c r="M370" s="7">
        <v>0</v>
      </c>
      <c r="O370" s="7">
        <v>9460</v>
      </c>
      <c r="Q370" s="7">
        <v>188522</v>
      </c>
      <c r="S370" s="7">
        <v>371363</v>
      </c>
      <c r="U370" s="7">
        <v>12061</v>
      </c>
      <c r="W370" s="7">
        <v>530047</v>
      </c>
      <c r="Y370" s="7">
        <v>179797</v>
      </c>
      <c r="AA370" s="7">
        <v>0</v>
      </c>
      <c r="AC370" s="7">
        <v>456304</v>
      </c>
      <c r="AE370" s="7">
        <v>97971</v>
      </c>
      <c r="AG370" s="7">
        <v>54310</v>
      </c>
      <c r="AI370" s="7">
        <v>242853</v>
      </c>
      <c r="AK370" s="7">
        <v>0</v>
      </c>
      <c r="AL370" s="12" t="s">
        <v>498</v>
      </c>
      <c r="AM370" s="12"/>
      <c r="AN370" s="12" t="s">
        <v>59</v>
      </c>
      <c r="AP370" s="7">
        <v>106201</v>
      </c>
      <c r="AR370" s="7">
        <v>1809797</v>
      </c>
      <c r="AT370" s="7">
        <v>0</v>
      </c>
      <c r="AV370" s="7">
        <v>40000</v>
      </c>
      <c r="AX370" s="7">
        <v>149745</v>
      </c>
      <c r="AZ370" s="7">
        <v>0</v>
      </c>
      <c r="BB370" s="8">
        <f t="shared" si="77"/>
        <v>7682508</v>
      </c>
      <c r="BD370" s="7">
        <v>0</v>
      </c>
      <c r="BF370" s="7">
        <v>0</v>
      </c>
      <c r="BH370" s="7">
        <v>0</v>
      </c>
      <c r="BJ370" s="7">
        <v>0</v>
      </c>
      <c r="BL370" s="8">
        <f t="shared" si="81"/>
        <v>7682508</v>
      </c>
      <c r="BN370" s="8">
        <f>'Gov Fd Rv'!AQ370-'Gov Fnd Exp'!BL370</f>
        <v>4250548</v>
      </c>
      <c r="BP370" s="7">
        <v>7191618</v>
      </c>
      <c r="BR370" s="7">
        <v>0</v>
      </c>
      <c r="BT370" s="7">
        <v>0</v>
      </c>
      <c r="BV370" s="8">
        <f t="shared" si="79"/>
        <v>11442166</v>
      </c>
      <c r="BW370" s="8"/>
      <c r="BX370" s="8">
        <f>BV370-'Gov Fd BS'!AE370</f>
        <v>0</v>
      </c>
      <c r="BY370" s="8"/>
      <c r="CB370" s="101" t="str">
        <f t="shared" si="70"/>
        <v>New Boston Local SD</v>
      </c>
      <c r="CC370" s="101" t="b">
        <f t="shared" si="67"/>
        <v>1</v>
      </c>
      <c r="CD370" s="101" t="str">
        <f>'Gov Fd Rv'!A370</f>
        <v>New Boston Local SD</v>
      </c>
      <c r="CE370" s="8" t="b">
        <f t="shared" si="66"/>
        <v>1</v>
      </c>
      <c r="CG370" s="8" t="str">
        <f t="shared" si="68"/>
        <v>Scioto</v>
      </c>
      <c r="CH370" s="8" t="b">
        <f t="shared" si="69"/>
        <v>1</v>
      </c>
      <c r="CI370" s="8" t="b">
        <f>C370='Gov Fd Rv'!C370</f>
        <v>1</v>
      </c>
    </row>
    <row r="371" spans="1:87">
      <c r="A371" s="12" t="s">
        <v>215</v>
      </c>
      <c r="B371" s="12"/>
      <c r="C371" s="12" t="s">
        <v>14</v>
      </c>
      <c r="D371" s="12"/>
      <c r="E371" s="12">
        <v>45955</v>
      </c>
      <c r="G371" s="7">
        <v>4239212</v>
      </c>
      <c r="I371" s="7">
        <v>433800</v>
      </c>
      <c r="K371" s="7">
        <v>177420</v>
      </c>
      <c r="M371" s="7">
        <v>0</v>
      </c>
      <c r="O371" s="7">
        <v>0</v>
      </c>
      <c r="Q371" s="7">
        <v>629292</v>
      </c>
      <c r="S371" s="7">
        <v>533006</v>
      </c>
      <c r="U371" s="7">
        <v>47714</v>
      </c>
      <c r="W371" s="7">
        <v>811733</v>
      </c>
      <c r="Y371" s="7">
        <v>189901</v>
      </c>
      <c r="AA371" s="7">
        <v>0</v>
      </c>
      <c r="AC371" s="7">
        <v>925838</v>
      </c>
      <c r="AE371" s="7">
        <v>129141</v>
      </c>
      <c r="AG371" s="7">
        <v>62672</v>
      </c>
      <c r="AI371" s="7">
        <v>0</v>
      </c>
      <c r="AK371" s="7">
        <v>352730</v>
      </c>
      <c r="AL371" s="12" t="s">
        <v>215</v>
      </c>
      <c r="AM371" s="12"/>
      <c r="AN371" s="12" t="s">
        <v>14</v>
      </c>
      <c r="AP371" s="7">
        <v>412483</v>
      </c>
      <c r="AR371" s="7">
        <v>123937</v>
      </c>
      <c r="AT371" s="7">
        <v>0</v>
      </c>
      <c r="AV371" s="7">
        <v>655000</v>
      </c>
      <c r="AX371" s="7">
        <v>152819</v>
      </c>
      <c r="AZ371" s="7">
        <v>0</v>
      </c>
      <c r="BB371" s="8">
        <f t="shared" si="77"/>
        <v>9876698</v>
      </c>
      <c r="BD371" s="7">
        <v>20000</v>
      </c>
      <c r="BF371" s="7">
        <v>0</v>
      </c>
      <c r="BH371" s="7">
        <v>0</v>
      </c>
      <c r="BJ371" s="7">
        <v>0</v>
      </c>
      <c r="BL371" s="8">
        <f t="shared" si="81"/>
        <v>9896698</v>
      </c>
      <c r="BN371" s="8">
        <f>'Gov Fd Rv'!AQ371-'Gov Fnd Exp'!BL371</f>
        <v>483522</v>
      </c>
      <c r="BP371" s="7">
        <v>6666796</v>
      </c>
      <c r="BR371" s="7">
        <v>0</v>
      </c>
      <c r="BT371" s="7">
        <v>0</v>
      </c>
      <c r="BV371" s="8">
        <f t="shared" si="79"/>
        <v>7150318</v>
      </c>
      <c r="BW371" s="8"/>
      <c r="BX371" s="8">
        <f>BV371-'Gov Fd BS'!AE371</f>
        <v>0</v>
      </c>
      <c r="BY371" s="8"/>
      <c r="CB371" s="101" t="str">
        <f t="shared" si="70"/>
        <v>New Bremen Local SD</v>
      </c>
      <c r="CC371" s="101" t="b">
        <f t="shared" si="67"/>
        <v>1</v>
      </c>
      <c r="CD371" s="101" t="str">
        <f>'Gov Fd Rv'!A371</f>
        <v>New Bremen Local SD</v>
      </c>
      <c r="CE371" s="8" t="b">
        <f t="shared" si="66"/>
        <v>1</v>
      </c>
      <c r="CG371" s="8" t="str">
        <f t="shared" si="68"/>
        <v>Auglaize</v>
      </c>
      <c r="CH371" s="8" t="b">
        <f t="shared" si="69"/>
        <v>1</v>
      </c>
      <c r="CI371" s="8" t="b">
        <f>C371='Gov Fd Rv'!C371</f>
        <v>1</v>
      </c>
    </row>
    <row r="372" spans="1:87" hidden="1">
      <c r="A372" s="12" t="s">
        <v>745</v>
      </c>
      <c r="B372" s="12"/>
      <c r="C372" s="12" t="s">
        <v>14</v>
      </c>
      <c r="D372" s="12"/>
      <c r="E372" s="12">
        <v>45963</v>
      </c>
      <c r="AL372" s="12" t="s">
        <v>745</v>
      </c>
      <c r="AM372" s="12"/>
      <c r="AN372" s="12" t="s">
        <v>14</v>
      </c>
      <c r="AT372" s="7">
        <v>0</v>
      </c>
      <c r="AZ372" s="7">
        <v>0</v>
      </c>
      <c r="BB372" s="8">
        <f t="shared" si="77"/>
        <v>0</v>
      </c>
      <c r="BF372" s="7">
        <v>0</v>
      </c>
      <c r="BH372" s="7">
        <v>0</v>
      </c>
      <c r="BJ372" s="7">
        <v>0</v>
      </c>
      <c r="BL372" s="8">
        <f t="shared" si="81"/>
        <v>0</v>
      </c>
      <c r="BN372" s="8">
        <f>'Gov Fd Rv'!AQ372-'Gov Fnd Exp'!BL372</f>
        <v>0</v>
      </c>
      <c r="BR372" s="7">
        <v>0</v>
      </c>
      <c r="BT372" s="7">
        <v>0</v>
      </c>
      <c r="BV372" s="8">
        <f t="shared" si="79"/>
        <v>0</v>
      </c>
      <c r="BW372" s="8"/>
      <c r="BX372" s="8">
        <f>BV372-'Gov Fd BS'!AE372</f>
        <v>0</v>
      </c>
      <c r="BY372" s="8"/>
      <c r="BZ372" s="7" t="s">
        <v>839</v>
      </c>
      <c r="CB372" s="101" t="str">
        <f t="shared" si="70"/>
        <v>New Knoxville Local SD (CASH)</v>
      </c>
      <c r="CC372" s="101" t="b">
        <f t="shared" si="67"/>
        <v>1</v>
      </c>
      <c r="CD372" s="101" t="str">
        <f>'Gov Fd Rv'!A372</f>
        <v>New Knoxville Local SD (CASH)</v>
      </c>
      <c r="CE372" s="8" t="b">
        <f t="shared" si="66"/>
        <v>1</v>
      </c>
      <c r="CG372" s="8" t="str">
        <f t="shared" si="68"/>
        <v>Auglaize</v>
      </c>
      <c r="CH372" s="8" t="b">
        <f t="shared" si="69"/>
        <v>1</v>
      </c>
      <c r="CI372" s="8" t="b">
        <f>C372='Gov Fd Rv'!C372</f>
        <v>1</v>
      </c>
    </row>
    <row r="373" spans="1:87">
      <c r="A373" s="12" t="s">
        <v>446</v>
      </c>
      <c r="B373" s="12"/>
      <c r="C373" s="12" t="s">
        <v>50</v>
      </c>
      <c r="D373" s="12"/>
      <c r="E373" s="12">
        <v>48710</v>
      </c>
      <c r="G373" s="7">
        <v>4680154</v>
      </c>
      <c r="I373" s="7">
        <v>1297314</v>
      </c>
      <c r="K373" s="7">
        <v>0</v>
      </c>
      <c r="M373" s="7">
        <v>0</v>
      </c>
      <c r="O373" s="7">
        <v>367178</v>
      </c>
      <c r="Q373" s="7">
        <v>485230</v>
      </c>
      <c r="S373" s="7">
        <v>916234</v>
      </c>
      <c r="U373" s="7">
        <v>72038</v>
      </c>
      <c r="W373" s="7">
        <v>852743</v>
      </c>
      <c r="Y373" s="7">
        <v>301345</v>
      </c>
      <c r="AA373" s="7">
        <v>81397</v>
      </c>
      <c r="AC373" s="7">
        <v>1458612</v>
      </c>
      <c r="AE373" s="7">
        <v>460201</v>
      </c>
      <c r="AG373" s="7">
        <v>151877</v>
      </c>
      <c r="AI373" s="7">
        <v>409322</v>
      </c>
      <c r="AK373" s="7">
        <v>2513</v>
      </c>
      <c r="AL373" s="12" t="s">
        <v>446</v>
      </c>
      <c r="AM373" s="12"/>
      <c r="AN373" s="12" t="s">
        <v>50</v>
      </c>
      <c r="AP373" s="7">
        <v>465854</v>
      </c>
      <c r="AR373" s="7">
        <v>0</v>
      </c>
      <c r="AT373" s="7">
        <v>0</v>
      </c>
      <c r="AV373" s="7">
        <v>296087</v>
      </c>
      <c r="AX373" s="7">
        <v>177153</v>
      </c>
      <c r="AZ373" s="7">
        <v>0</v>
      </c>
      <c r="BB373" s="8">
        <f t="shared" si="77"/>
        <v>12475252</v>
      </c>
      <c r="BD373" s="7">
        <v>317319</v>
      </c>
      <c r="BF373" s="7">
        <v>0</v>
      </c>
      <c r="BH373" s="7">
        <v>0</v>
      </c>
      <c r="BJ373" s="7">
        <v>0</v>
      </c>
      <c r="BL373" s="8">
        <f t="shared" si="81"/>
        <v>12792571</v>
      </c>
      <c r="BN373" s="8">
        <f>'Gov Fd Rv'!AQ373-'Gov Fnd Exp'!BL373</f>
        <v>616741</v>
      </c>
      <c r="BP373" s="7">
        <v>4851015</v>
      </c>
      <c r="BR373" s="7">
        <v>0</v>
      </c>
      <c r="BT373" s="7">
        <v>0</v>
      </c>
      <c r="BV373" s="8">
        <f t="shared" si="79"/>
        <v>5467756</v>
      </c>
      <c r="BW373" s="8"/>
      <c r="BX373" s="8">
        <f>BV373-'Gov Fd BS'!AE373</f>
        <v>0</v>
      </c>
      <c r="BY373" s="8"/>
      <c r="CB373" s="101" t="str">
        <f t="shared" si="70"/>
        <v>New Lebanon Local SD</v>
      </c>
      <c r="CC373" s="101" t="b">
        <f t="shared" si="67"/>
        <v>1</v>
      </c>
      <c r="CD373" s="101" t="str">
        <f>'Gov Fd Rv'!A373</f>
        <v>New Lebanon Local SD</v>
      </c>
      <c r="CE373" s="8" t="b">
        <f t="shared" si="66"/>
        <v>1</v>
      </c>
      <c r="CG373" s="8" t="str">
        <f t="shared" si="68"/>
        <v>Montgomery</v>
      </c>
      <c r="CH373" s="8" t="b">
        <f t="shared" si="69"/>
        <v>1</v>
      </c>
      <c r="CI373" s="8" t="b">
        <f>C373='Gov Fd Rv'!C373</f>
        <v>1</v>
      </c>
    </row>
    <row r="374" spans="1:87" hidden="1">
      <c r="A374" s="12" t="s">
        <v>939</v>
      </c>
      <c r="B374" s="12"/>
      <c r="C374" s="12" t="s">
        <v>466</v>
      </c>
      <c r="D374" s="12"/>
      <c r="E374" s="12">
        <v>44479</v>
      </c>
      <c r="AL374" s="12" t="s">
        <v>939</v>
      </c>
      <c r="AM374" s="12"/>
      <c r="AN374" s="12" t="s">
        <v>466</v>
      </c>
      <c r="AT374" s="7">
        <v>0</v>
      </c>
      <c r="AZ374" s="7">
        <v>0</v>
      </c>
      <c r="BB374" s="8">
        <f t="shared" si="77"/>
        <v>0</v>
      </c>
      <c r="BF374" s="7">
        <v>0</v>
      </c>
      <c r="BH374" s="7">
        <v>0</v>
      </c>
      <c r="BJ374" s="7">
        <v>0</v>
      </c>
      <c r="BL374" s="8">
        <f t="shared" si="81"/>
        <v>0</v>
      </c>
      <c r="BN374" s="8">
        <f>'Gov Fd Rv'!AQ374-'Gov Fnd Exp'!BL374</f>
        <v>0</v>
      </c>
      <c r="BR374" s="7">
        <v>0</v>
      </c>
      <c r="BT374" s="7">
        <v>0</v>
      </c>
      <c r="BV374" s="8">
        <f t="shared" si="79"/>
        <v>0</v>
      </c>
      <c r="BW374" s="8"/>
      <c r="BX374" s="8">
        <f>BV374-'Gov Fd BS'!AE374</f>
        <v>0</v>
      </c>
      <c r="BY374" s="8"/>
      <c r="BZ374" s="7" t="s">
        <v>839</v>
      </c>
      <c r="CB374" s="101" t="str">
        <f t="shared" si="70"/>
        <v>New Lexington City SD (CASH)</v>
      </c>
      <c r="CC374" s="101" t="b">
        <f t="shared" si="67"/>
        <v>1</v>
      </c>
      <c r="CD374" s="101" t="str">
        <f>'Gov Fd Rv'!A374</f>
        <v>New Lexington City SD (CASH)</v>
      </c>
      <c r="CE374" s="8" t="b">
        <f t="shared" si="66"/>
        <v>1</v>
      </c>
      <c r="CG374" s="8" t="str">
        <f t="shared" si="68"/>
        <v>Perry</v>
      </c>
      <c r="CH374" s="8" t="b">
        <f t="shared" si="69"/>
        <v>1</v>
      </c>
      <c r="CI374" s="8" t="b">
        <f>C374='Gov Fd Rv'!C374</f>
        <v>1</v>
      </c>
    </row>
    <row r="375" spans="1:87">
      <c r="A375" s="12" t="s">
        <v>367</v>
      </c>
      <c r="B375" s="12"/>
      <c r="C375" s="12" t="s">
        <v>37</v>
      </c>
      <c r="D375" s="12"/>
      <c r="E375" s="12">
        <v>47720</v>
      </c>
      <c r="G375" s="7">
        <v>4796406</v>
      </c>
      <c r="I375" s="7">
        <v>1093632</v>
      </c>
      <c r="K375" s="7">
        <v>372039</v>
      </c>
      <c r="M375" s="7">
        <v>12715</v>
      </c>
      <c r="O375" s="7">
        <v>3371</v>
      </c>
      <c r="Q375" s="7">
        <v>300282</v>
      </c>
      <c r="S375" s="7">
        <v>616667</v>
      </c>
      <c r="U375" s="7">
        <v>8780</v>
      </c>
      <c r="W375" s="7">
        <v>809501</v>
      </c>
      <c r="Y375" s="7">
        <v>283284</v>
      </c>
      <c r="AA375" s="7">
        <v>1725</v>
      </c>
      <c r="AC375" s="7">
        <v>1005189</v>
      </c>
      <c r="AE375" s="7">
        <v>560530</v>
      </c>
      <c r="AG375" s="7">
        <v>0</v>
      </c>
      <c r="AI375" s="7">
        <v>366632</v>
      </c>
      <c r="AK375" s="7">
        <v>4220</v>
      </c>
      <c r="AL375" s="12" t="s">
        <v>367</v>
      </c>
      <c r="AM375" s="12"/>
      <c r="AN375" s="12" t="s">
        <v>37</v>
      </c>
      <c r="AP375" s="7">
        <v>426691</v>
      </c>
      <c r="AR375" s="7">
        <f>14102+39400</f>
        <v>53502</v>
      </c>
      <c r="AT375" s="7">
        <v>0</v>
      </c>
      <c r="AV375" s="7">
        <v>224621</v>
      </c>
      <c r="AX375" s="7">
        <v>77834</v>
      </c>
      <c r="AZ375" s="7">
        <v>0</v>
      </c>
      <c r="BB375" s="8">
        <f t="shared" si="77"/>
        <v>11017621</v>
      </c>
      <c r="BD375" s="7">
        <v>0</v>
      </c>
      <c r="BF375" s="7">
        <v>0</v>
      </c>
      <c r="BH375" s="7">
        <v>0</v>
      </c>
      <c r="BJ375" s="7">
        <v>0</v>
      </c>
      <c r="BL375" s="8">
        <f t="shared" si="81"/>
        <v>11017621</v>
      </c>
      <c r="BN375" s="8">
        <f>'Gov Fd Rv'!AQ375-'Gov Fnd Exp'!BL375</f>
        <v>146645</v>
      </c>
      <c r="BP375" s="7">
        <v>2855081</v>
      </c>
      <c r="BR375" s="7">
        <v>0</v>
      </c>
      <c r="BT375" s="7">
        <v>0</v>
      </c>
      <c r="BV375" s="8">
        <f t="shared" si="79"/>
        <v>3001726</v>
      </c>
      <c r="BW375" s="8"/>
      <c r="BX375" s="8">
        <f>BV375-'Gov Fd BS'!AE375</f>
        <v>0</v>
      </c>
      <c r="BY375" s="8"/>
      <c r="CB375" s="101" t="str">
        <f t="shared" si="70"/>
        <v>New London Local SD</v>
      </c>
      <c r="CC375" s="101" t="b">
        <f t="shared" si="67"/>
        <v>1</v>
      </c>
      <c r="CD375" s="101" t="str">
        <f>'Gov Fd Rv'!A375</f>
        <v>New London Local SD</v>
      </c>
      <c r="CE375" s="8" t="b">
        <f t="shared" si="66"/>
        <v>1</v>
      </c>
      <c r="CG375" s="8" t="str">
        <f t="shared" si="68"/>
        <v>Huron</v>
      </c>
      <c r="CH375" s="8" t="b">
        <f t="shared" si="69"/>
        <v>1</v>
      </c>
      <c r="CI375" s="8" t="b">
        <f>C375='Gov Fd Rv'!C375</f>
        <v>1</v>
      </c>
    </row>
    <row r="376" spans="1:87">
      <c r="A376" s="12" t="s">
        <v>230</v>
      </c>
      <c r="B376" s="12"/>
      <c r="C376" s="12" t="s">
        <v>223</v>
      </c>
      <c r="D376" s="12"/>
      <c r="E376" s="12">
        <v>46136</v>
      </c>
      <c r="G376" s="7">
        <v>3136219</v>
      </c>
      <c r="I376" s="7">
        <v>586740</v>
      </c>
      <c r="K376" s="7">
        <v>0</v>
      </c>
      <c r="M376" s="7">
        <v>0</v>
      </c>
      <c r="O376" s="7">
        <v>51246</v>
      </c>
      <c r="Q376" s="7">
        <v>331869</v>
      </c>
      <c r="S376" s="7">
        <v>295349</v>
      </c>
      <c r="U376" s="7">
        <v>43491</v>
      </c>
      <c r="W376" s="7">
        <v>832191</v>
      </c>
      <c r="Y376" s="7">
        <v>189459</v>
      </c>
      <c r="AA376" s="7">
        <v>35456</v>
      </c>
      <c r="AC376" s="7">
        <v>807617</v>
      </c>
      <c r="AE376" s="7">
        <v>477064</v>
      </c>
      <c r="AG376" s="7">
        <v>0</v>
      </c>
      <c r="AI376" s="7">
        <v>486527</v>
      </c>
      <c r="AK376" s="7">
        <v>0</v>
      </c>
      <c r="AL376" s="12" t="s">
        <v>230</v>
      </c>
      <c r="AM376" s="12"/>
      <c r="AN376" s="12" t="s">
        <v>223</v>
      </c>
      <c r="AP376" s="7">
        <v>151463</v>
      </c>
      <c r="AR376" s="7">
        <v>0</v>
      </c>
      <c r="AT376" s="7">
        <v>0</v>
      </c>
      <c r="AV376" s="7">
        <v>213589</v>
      </c>
      <c r="AX376" s="7">
        <v>58296</v>
      </c>
      <c r="AZ376" s="7">
        <v>0</v>
      </c>
      <c r="BB376" s="8">
        <f t="shared" si="77"/>
        <v>7696576</v>
      </c>
      <c r="BD376" s="7">
        <v>56553</v>
      </c>
      <c r="BF376" s="7">
        <v>0</v>
      </c>
      <c r="BH376" s="7">
        <v>0</v>
      </c>
      <c r="BJ376" s="7">
        <v>0</v>
      </c>
      <c r="BL376" s="8">
        <f t="shared" si="81"/>
        <v>7753129</v>
      </c>
      <c r="BN376" s="8">
        <f>'Gov Fd Rv'!AQ376-'Gov Fnd Exp'!BL376</f>
        <v>312069</v>
      </c>
      <c r="BP376" s="7">
        <v>3061813</v>
      </c>
      <c r="BR376" s="7">
        <v>0</v>
      </c>
      <c r="BT376" s="7">
        <v>0</v>
      </c>
      <c r="BV376" s="8">
        <f t="shared" si="79"/>
        <v>3373882</v>
      </c>
      <c r="BW376" s="8"/>
      <c r="BX376" s="8">
        <f>BV376-'Gov Fd BS'!AE376</f>
        <v>0</v>
      </c>
      <c r="BY376" s="8"/>
      <c r="CB376" s="101" t="str">
        <f t="shared" si="70"/>
        <v>New Miami Local SD</v>
      </c>
      <c r="CC376" s="101" t="b">
        <f t="shared" si="67"/>
        <v>1</v>
      </c>
      <c r="CD376" s="101" t="str">
        <f>'Gov Fd Rv'!A376</f>
        <v>New Miami Local SD</v>
      </c>
      <c r="CE376" s="8" t="b">
        <f t="shared" si="66"/>
        <v>1</v>
      </c>
      <c r="CG376" s="8" t="str">
        <f t="shared" si="68"/>
        <v>Butler</v>
      </c>
      <c r="CH376" s="8" t="b">
        <f t="shared" si="69"/>
        <v>1</v>
      </c>
      <c r="CI376" s="8" t="b">
        <f>C376='Gov Fd Rv'!C376</f>
        <v>1</v>
      </c>
    </row>
    <row r="377" spans="1:87">
      <c r="A377" s="12" t="s">
        <v>553</v>
      </c>
      <c r="B377" s="12"/>
      <c r="C377" s="12" t="s">
        <v>65</v>
      </c>
      <c r="D377" s="12"/>
      <c r="E377" s="12">
        <v>44487</v>
      </c>
      <c r="G377" s="7">
        <v>11992931</v>
      </c>
      <c r="I377" s="7">
        <v>2929706</v>
      </c>
      <c r="K377" s="7">
        <v>123867</v>
      </c>
      <c r="M377" s="7">
        <v>0</v>
      </c>
      <c r="O377" s="7">
        <v>553175</v>
      </c>
      <c r="Q377" s="7">
        <v>1424481</v>
      </c>
      <c r="S377" s="7">
        <v>1180979</v>
      </c>
      <c r="U377" s="7">
        <v>34607</v>
      </c>
      <c r="W377" s="7">
        <v>2173910</v>
      </c>
      <c r="Y377" s="7">
        <v>819502</v>
      </c>
      <c r="AA377" s="7">
        <v>0</v>
      </c>
      <c r="AC377" s="7">
        <v>2149228</v>
      </c>
      <c r="AE377" s="7">
        <v>838025</v>
      </c>
      <c r="AG377" s="7">
        <v>0</v>
      </c>
      <c r="AI377" s="7">
        <v>786501</v>
      </c>
      <c r="AK377" s="7">
        <v>446110</v>
      </c>
      <c r="AL377" s="12" t="s">
        <v>553</v>
      </c>
      <c r="AM377" s="12"/>
      <c r="AN377" s="12" t="s">
        <v>65</v>
      </c>
      <c r="AP377" s="7">
        <v>1005487</v>
      </c>
      <c r="AR377" s="7">
        <v>441424</v>
      </c>
      <c r="AT377" s="7">
        <v>0</v>
      </c>
      <c r="AV377" s="7">
        <v>600633</v>
      </c>
      <c r="AX377" s="7">
        <v>176209</v>
      </c>
      <c r="AZ377" s="7">
        <v>0</v>
      </c>
      <c r="BB377" s="8">
        <f t="shared" si="77"/>
        <v>27676775</v>
      </c>
      <c r="BD377" s="7">
        <v>185000</v>
      </c>
      <c r="BF377" s="7">
        <v>0</v>
      </c>
      <c r="BH377" s="7">
        <v>0</v>
      </c>
      <c r="BJ377" s="7">
        <v>0</v>
      </c>
      <c r="BL377" s="8">
        <f t="shared" si="81"/>
        <v>27861775</v>
      </c>
      <c r="BN377" s="8">
        <f>'Gov Fd Rv'!AQ377-'Gov Fnd Exp'!BL377</f>
        <v>216538</v>
      </c>
      <c r="BP377" s="7">
        <v>8723688</v>
      </c>
      <c r="BR377" s="7">
        <v>0</v>
      </c>
      <c r="BT377" s="7">
        <v>0</v>
      </c>
      <c r="BV377" s="8">
        <f t="shared" si="79"/>
        <v>8940226</v>
      </c>
      <c r="BW377" s="8"/>
      <c r="BX377" s="8">
        <f>BV377-'Gov Fd BS'!AE377</f>
        <v>0</v>
      </c>
      <c r="BY377" s="8"/>
      <c r="CB377" s="101" t="str">
        <f t="shared" si="70"/>
        <v>New Philadelphia City SD</v>
      </c>
      <c r="CC377" s="101" t="b">
        <f t="shared" si="67"/>
        <v>1</v>
      </c>
      <c r="CD377" s="101" t="str">
        <f>'Gov Fd Rv'!A377</f>
        <v>New Philadelphia City SD</v>
      </c>
      <c r="CE377" s="8" t="b">
        <f t="shared" si="66"/>
        <v>1</v>
      </c>
      <c r="CG377" s="8" t="str">
        <f t="shared" si="68"/>
        <v>Tuscarawas</v>
      </c>
      <c r="CH377" s="8" t="b">
        <f t="shared" si="69"/>
        <v>1</v>
      </c>
      <c r="CI377" s="8" t="b">
        <f>C377='Gov Fd Rv'!C377</f>
        <v>1</v>
      </c>
    </row>
    <row r="378" spans="1:87">
      <c r="A378" s="12" t="s">
        <v>881</v>
      </c>
      <c r="B378" s="12"/>
      <c r="C378" s="12" t="s">
        <v>113</v>
      </c>
      <c r="D378" s="12"/>
      <c r="E378" s="12">
        <v>45559</v>
      </c>
      <c r="G378" s="7">
        <v>13452853</v>
      </c>
      <c r="I378" s="7">
        <v>3453945</v>
      </c>
      <c r="K378" s="7">
        <v>0</v>
      </c>
      <c r="M378" s="7">
        <v>0</v>
      </c>
      <c r="O378" s="7">
        <v>16784</v>
      </c>
      <c r="Q378" s="7">
        <v>1184350</v>
      </c>
      <c r="S378" s="7">
        <v>1256167</v>
      </c>
      <c r="U378" s="7">
        <v>109405</v>
      </c>
      <c r="W378" s="7">
        <v>1559112</v>
      </c>
      <c r="Y378" s="7">
        <v>893697</v>
      </c>
      <c r="AA378" s="7">
        <v>0</v>
      </c>
      <c r="AC378" s="7">
        <v>2954437</v>
      </c>
      <c r="AE378" s="7">
        <v>1732863</v>
      </c>
      <c r="AG378" s="7">
        <v>370283</v>
      </c>
      <c r="AI378" s="7">
        <v>0</v>
      </c>
      <c r="AK378" s="7">
        <v>6366</v>
      </c>
      <c r="AL378" s="12" t="s">
        <v>881</v>
      </c>
      <c r="AM378" s="12"/>
      <c r="AN378" s="12" t="s">
        <v>113</v>
      </c>
      <c r="AP378" s="7">
        <v>579274</v>
      </c>
      <c r="AR378" s="7">
        <v>1330358</v>
      </c>
      <c r="AT378" s="7">
        <v>0</v>
      </c>
      <c r="AV378" s="7">
        <v>0</v>
      </c>
      <c r="AX378" s="7">
        <v>0</v>
      </c>
      <c r="AZ378" s="7">
        <v>0</v>
      </c>
      <c r="BB378" s="8">
        <f t="shared" si="77"/>
        <v>28899894</v>
      </c>
      <c r="BD378" s="7">
        <v>447638</v>
      </c>
      <c r="BF378" s="7">
        <v>0</v>
      </c>
      <c r="BH378" s="7">
        <v>0</v>
      </c>
      <c r="BJ378" s="7">
        <v>0</v>
      </c>
      <c r="BL378" s="8">
        <f t="shared" si="81"/>
        <v>29347532</v>
      </c>
      <c r="BN378" s="8">
        <f>'Gov Fd Rv'!AQ378-'Gov Fnd Exp'!BL378</f>
        <v>3019340</v>
      </c>
      <c r="BP378" s="7">
        <v>17030778</v>
      </c>
      <c r="BR378" s="7">
        <v>0</v>
      </c>
      <c r="BT378" s="7">
        <v>0</v>
      </c>
      <c r="BV378" s="8">
        <f t="shared" si="79"/>
        <v>20050118</v>
      </c>
      <c r="BW378" s="8"/>
      <c r="BX378" s="8">
        <f>BV378-'Gov Fd BS'!AE378</f>
        <v>0</v>
      </c>
      <c r="BY378" s="8"/>
      <c r="CB378" s="101" t="str">
        <f t="shared" si="70"/>
        <v>New Richmond Exempted Village SD</v>
      </c>
      <c r="CC378" s="101" t="b">
        <f t="shared" si="67"/>
        <v>1</v>
      </c>
      <c r="CD378" s="101" t="str">
        <f>'Gov Fd Rv'!A378</f>
        <v>New Richmond Exempted Village SD</v>
      </c>
      <c r="CE378" s="8" t="b">
        <f t="shared" si="66"/>
        <v>1</v>
      </c>
      <c r="CG378" s="8" t="str">
        <f t="shared" si="68"/>
        <v>Clermont</v>
      </c>
      <c r="CH378" s="8" t="b">
        <f t="shared" si="69"/>
        <v>1</v>
      </c>
      <c r="CI378" s="8" t="b">
        <f>C378='Gov Fd Rv'!C378</f>
        <v>1</v>
      </c>
    </row>
    <row r="379" spans="1:87" hidden="1">
      <c r="A379" s="12" t="s">
        <v>940</v>
      </c>
      <c r="B379" s="12"/>
      <c r="C379" s="12" t="s">
        <v>60</v>
      </c>
      <c r="D379" s="12"/>
      <c r="E379" s="12">
        <v>49718</v>
      </c>
      <c r="AL379" s="12" t="s">
        <v>940</v>
      </c>
      <c r="AM379" s="12"/>
      <c r="AN379" s="12" t="s">
        <v>60</v>
      </c>
      <c r="AT379" s="7">
        <v>0</v>
      </c>
      <c r="AZ379" s="7">
        <v>0</v>
      </c>
      <c r="BB379" s="8">
        <f t="shared" si="77"/>
        <v>0</v>
      </c>
      <c r="BF379" s="7">
        <v>0</v>
      </c>
      <c r="BH379" s="7">
        <v>0</v>
      </c>
      <c r="BJ379" s="7">
        <v>0</v>
      </c>
      <c r="BL379" s="8">
        <f t="shared" si="81"/>
        <v>0</v>
      </c>
      <c r="BN379" s="8">
        <f>'Gov Fd Rv'!AQ379-'Gov Fnd Exp'!BL379</f>
        <v>0</v>
      </c>
      <c r="BT379" s="7">
        <v>0</v>
      </c>
      <c r="BV379" s="8">
        <f t="shared" si="79"/>
        <v>0</v>
      </c>
      <c r="BW379" s="8"/>
      <c r="BX379" s="8">
        <f>BV379-'Gov Fd BS'!AE379</f>
        <v>0</v>
      </c>
      <c r="BY379" s="8"/>
      <c r="BZ379" s="7" t="s">
        <v>839</v>
      </c>
      <c r="CB379" s="101" t="str">
        <f t="shared" si="70"/>
        <v>New Riegel Local SD (CASH)</v>
      </c>
      <c r="CC379" s="101" t="b">
        <f t="shared" si="67"/>
        <v>1</v>
      </c>
      <c r="CD379" s="101" t="str">
        <f>'Gov Fd Rv'!A379</f>
        <v>New Riegel Local SD (CASH)</v>
      </c>
      <c r="CE379" s="8" t="b">
        <f t="shared" si="66"/>
        <v>1</v>
      </c>
      <c r="CG379" s="8" t="str">
        <f t="shared" si="68"/>
        <v>Seneca</v>
      </c>
      <c r="CH379" s="8" t="b">
        <f t="shared" si="69"/>
        <v>1</v>
      </c>
      <c r="CI379" s="8" t="b">
        <f>C379='Gov Fd Rv'!C379</f>
        <v>1</v>
      </c>
    </row>
    <row r="380" spans="1:87">
      <c r="A380" s="12" t="s">
        <v>388</v>
      </c>
      <c r="B380" s="12"/>
      <c r="C380" s="12" t="s">
        <v>42</v>
      </c>
      <c r="D380" s="12"/>
      <c r="E380" s="12">
        <v>44453</v>
      </c>
      <c r="G380" s="7">
        <v>32472318</v>
      </c>
      <c r="I380" s="7">
        <v>8247873</v>
      </c>
      <c r="K380" s="7">
        <v>437997</v>
      </c>
      <c r="M380" s="7">
        <v>0</v>
      </c>
      <c r="O380" s="7">
        <v>651737</v>
      </c>
      <c r="Q380" s="7">
        <v>3440477</v>
      </c>
      <c r="S380" s="7">
        <v>4441022</v>
      </c>
      <c r="U380" s="7">
        <v>241079</v>
      </c>
      <c r="W380" s="7">
        <v>3589025</v>
      </c>
      <c r="Y380" s="7">
        <v>1164936</v>
      </c>
      <c r="AA380" s="7">
        <v>598524</v>
      </c>
      <c r="AC380" s="7">
        <v>6100182</v>
      </c>
      <c r="AE380" s="7">
        <v>2360184</v>
      </c>
      <c r="AG380" s="7">
        <v>802343</v>
      </c>
      <c r="AI380" s="7">
        <v>2188137</v>
      </c>
      <c r="AK380" s="7">
        <v>687230</v>
      </c>
      <c r="AL380" s="12" t="s">
        <v>388</v>
      </c>
      <c r="AM380" s="12"/>
      <c r="AN380" s="12" t="s">
        <v>42</v>
      </c>
      <c r="AP380" s="7">
        <v>848253</v>
      </c>
      <c r="AR380" s="7">
        <v>27166008</v>
      </c>
      <c r="AT380" s="7">
        <v>0</v>
      </c>
      <c r="AV380" s="7">
        <v>1980000</v>
      </c>
      <c r="AX380" s="7">
        <v>2910597</v>
      </c>
      <c r="AZ380" s="7">
        <v>0</v>
      </c>
      <c r="BB380" s="8">
        <f t="shared" si="77"/>
        <v>100327922</v>
      </c>
      <c r="BD380" s="7">
        <v>78975</v>
      </c>
      <c r="BF380" s="7">
        <v>0</v>
      </c>
      <c r="BH380" s="7">
        <v>0</v>
      </c>
      <c r="BJ380" s="7">
        <v>0</v>
      </c>
      <c r="BL380" s="8">
        <f t="shared" si="81"/>
        <v>100406897</v>
      </c>
      <c r="BN380" s="8">
        <f>'Gov Fd Rv'!AQ380-'Gov Fnd Exp'!BL380</f>
        <v>1619093</v>
      </c>
      <c r="BP380" s="7">
        <v>40683453</v>
      </c>
      <c r="BR380" s="7">
        <v>-5508</v>
      </c>
      <c r="BT380" s="7">
        <v>0</v>
      </c>
      <c r="BV380" s="8">
        <f t="shared" si="79"/>
        <v>42297038</v>
      </c>
      <c r="BW380" s="8"/>
      <c r="BX380" s="8">
        <f>BV380-'Gov Fd BS'!AE380</f>
        <v>0</v>
      </c>
      <c r="BY380" s="8"/>
      <c r="CB380" s="101" t="str">
        <f t="shared" si="70"/>
        <v>Newark City SD</v>
      </c>
      <c r="CC380" s="101" t="b">
        <f t="shared" si="67"/>
        <v>1</v>
      </c>
      <c r="CD380" s="101" t="str">
        <f>'Gov Fd Rv'!A380</f>
        <v>Newark City SD</v>
      </c>
      <c r="CE380" s="8" t="b">
        <f t="shared" si="66"/>
        <v>1</v>
      </c>
      <c r="CG380" s="8" t="str">
        <f t="shared" si="68"/>
        <v>Licking</v>
      </c>
      <c r="CH380" s="8" t="b">
        <f t="shared" si="69"/>
        <v>1</v>
      </c>
      <c r="CI380" s="8" t="b">
        <f>C380='Gov Fd Rv'!C380</f>
        <v>1</v>
      </c>
    </row>
    <row r="381" spans="1:87">
      <c r="A381" s="12" t="s">
        <v>323</v>
      </c>
      <c r="B381" s="12"/>
      <c r="C381" s="12" t="s">
        <v>30</v>
      </c>
      <c r="D381" s="12"/>
      <c r="E381" s="12">
        <v>47217</v>
      </c>
      <c r="G381" s="7">
        <v>3899079</v>
      </c>
      <c r="I381" s="7">
        <v>979645</v>
      </c>
      <c r="K381" s="7">
        <v>53514</v>
      </c>
      <c r="M381" s="7">
        <v>0</v>
      </c>
      <c r="O381" s="7">
        <v>4125</v>
      </c>
      <c r="Q381" s="7">
        <v>376487</v>
      </c>
      <c r="S381" s="7">
        <v>161697</v>
      </c>
      <c r="U381" s="7">
        <v>85795</v>
      </c>
      <c r="W381" s="7">
        <v>535228</v>
      </c>
      <c r="Y381" s="7">
        <v>292945</v>
      </c>
      <c r="AA381" s="7">
        <v>0</v>
      </c>
      <c r="AC381" s="7">
        <v>722166</v>
      </c>
      <c r="AE381" s="7">
        <v>564435</v>
      </c>
      <c r="AG381" s="7">
        <v>90917</v>
      </c>
      <c r="AI381" s="7">
        <v>196125</v>
      </c>
      <c r="AK381" s="7">
        <v>153511</v>
      </c>
      <c r="AL381" s="12" t="s">
        <v>323</v>
      </c>
      <c r="AM381" s="12"/>
      <c r="AN381" s="12" t="s">
        <v>30</v>
      </c>
      <c r="AP381" s="7">
        <v>301673</v>
      </c>
      <c r="AR381" s="7">
        <v>154383</v>
      </c>
      <c r="AT381" s="7">
        <v>0</v>
      </c>
      <c r="AV381" s="7">
        <v>0</v>
      </c>
      <c r="AX381" s="7">
        <v>0</v>
      </c>
      <c r="AZ381" s="7">
        <v>0</v>
      </c>
      <c r="BB381" s="8">
        <f t="shared" si="77"/>
        <v>8571725</v>
      </c>
      <c r="BD381" s="7">
        <v>78478</v>
      </c>
      <c r="BF381" s="7">
        <v>0</v>
      </c>
      <c r="BH381" s="7">
        <v>0</v>
      </c>
      <c r="BJ381" s="7">
        <v>0</v>
      </c>
      <c r="BL381" s="8">
        <f t="shared" si="81"/>
        <v>8650203</v>
      </c>
      <c r="BN381" s="8">
        <f>'Gov Fd Rv'!AQ381-'Gov Fnd Exp'!BL381</f>
        <v>-10573</v>
      </c>
      <c r="BP381" s="7">
        <v>1000971</v>
      </c>
      <c r="BR381" s="7">
        <v>0</v>
      </c>
      <c r="BT381" s="7">
        <v>0</v>
      </c>
      <c r="BV381" s="8">
        <f t="shared" si="79"/>
        <v>990398</v>
      </c>
      <c r="BW381" s="8"/>
      <c r="BX381" s="8">
        <f>BV381-'Gov Fd BS'!AE381</f>
        <v>0</v>
      </c>
      <c r="BY381" s="8"/>
      <c r="BZ381" s="101"/>
      <c r="CB381" s="101" t="str">
        <f t="shared" si="70"/>
        <v>Newbury Local SD</v>
      </c>
      <c r="CC381" s="101" t="b">
        <f t="shared" si="67"/>
        <v>1</v>
      </c>
      <c r="CD381" s="101" t="str">
        <f>'Gov Fd Rv'!A381</f>
        <v>Newbury Local SD</v>
      </c>
      <c r="CE381" s="8" t="b">
        <f t="shared" si="66"/>
        <v>1</v>
      </c>
      <c r="CG381" s="8" t="str">
        <f t="shared" si="68"/>
        <v>Geauga</v>
      </c>
      <c r="CH381" s="8" t="b">
        <f t="shared" si="69"/>
        <v>1</v>
      </c>
      <c r="CI381" s="8" t="b">
        <f>C381='Gov Fd Rv'!C381</f>
        <v>1</v>
      </c>
    </row>
    <row r="382" spans="1:87">
      <c r="A382" s="12" t="s">
        <v>882</v>
      </c>
      <c r="B382" s="12"/>
      <c r="C382" s="12" t="s">
        <v>65</v>
      </c>
      <c r="D382" s="12"/>
      <c r="E382" s="12">
        <v>45542</v>
      </c>
      <c r="G382" s="7">
        <v>4712369</v>
      </c>
      <c r="I382" s="7">
        <v>1174578</v>
      </c>
      <c r="K382" s="7">
        <v>104386</v>
      </c>
      <c r="M382" s="7">
        <v>6517</v>
      </c>
      <c r="O382" s="7">
        <v>726898</v>
      </c>
      <c r="Q382" s="7">
        <v>298391</v>
      </c>
      <c r="S382" s="7">
        <v>879159</v>
      </c>
      <c r="U382" s="7">
        <v>17867</v>
      </c>
      <c r="W382" s="7">
        <v>1038235</v>
      </c>
      <c r="Y382" s="7">
        <v>329626</v>
      </c>
      <c r="AA382" s="7">
        <v>0</v>
      </c>
      <c r="AC382" s="7">
        <v>1191867</v>
      </c>
      <c r="AE382" s="7">
        <v>515157</v>
      </c>
      <c r="AG382" s="7">
        <v>12305</v>
      </c>
      <c r="AI382" s="7">
        <v>612509</v>
      </c>
      <c r="AK382" s="7">
        <v>20549</v>
      </c>
      <c r="AL382" s="12" t="s">
        <v>882</v>
      </c>
      <c r="AM382" s="12"/>
      <c r="AN382" s="12" t="s">
        <v>65</v>
      </c>
      <c r="AP382" s="7">
        <v>289687</v>
      </c>
      <c r="AR382" s="7">
        <f>104077+21920</f>
        <v>125997</v>
      </c>
      <c r="AT382" s="7">
        <v>0</v>
      </c>
      <c r="AV382" s="7">
        <v>234816</v>
      </c>
      <c r="AX382" s="7">
        <f>124265+89954</f>
        <v>214219</v>
      </c>
      <c r="AZ382" s="7">
        <v>0</v>
      </c>
      <c r="BB382" s="8">
        <f t="shared" si="77"/>
        <v>12505132</v>
      </c>
      <c r="BD382" s="7">
        <v>1453</v>
      </c>
      <c r="BF382" s="7">
        <v>0</v>
      </c>
      <c r="BH382" s="7">
        <v>0</v>
      </c>
      <c r="BJ382" s="7">
        <v>2163432</v>
      </c>
      <c r="BL382" s="8">
        <f t="shared" si="81"/>
        <v>14670017</v>
      </c>
      <c r="BN382" s="8">
        <f>'Gov Fd Rv'!AQ382-'Gov Fnd Exp'!BL382</f>
        <v>500211</v>
      </c>
      <c r="BP382" s="7">
        <v>40231</v>
      </c>
      <c r="BR382" s="7">
        <v>0</v>
      </c>
      <c r="BT382" s="7">
        <v>0</v>
      </c>
      <c r="BV382" s="8">
        <f t="shared" si="79"/>
        <v>540442</v>
      </c>
      <c r="BW382" s="8"/>
      <c r="BX382" s="8">
        <f>BV382-'Gov Fd BS'!AE382</f>
        <v>0</v>
      </c>
      <c r="BY382" s="8"/>
      <c r="CB382" s="101" t="str">
        <f t="shared" si="70"/>
        <v>Newcomerstown Exempted Village SD</v>
      </c>
      <c r="CC382" s="101" t="b">
        <f t="shared" si="67"/>
        <v>1</v>
      </c>
      <c r="CD382" s="101" t="str">
        <f>'Gov Fd Rv'!A382</f>
        <v>Newcomerstown Exempted Village SD</v>
      </c>
      <c r="CE382" s="8" t="b">
        <f t="shared" si="66"/>
        <v>1</v>
      </c>
      <c r="CG382" s="8" t="str">
        <f t="shared" si="68"/>
        <v>Tuscarawas</v>
      </c>
      <c r="CH382" s="8" t="b">
        <f t="shared" si="69"/>
        <v>1</v>
      </c>
      <c r="CI382" s="8" t="b">
        <f>C382='Gov Fd Rv'!C382</f>
        <v>1</v>
      </c>
    </row>
    <row r="383" spans="1:87">
      <c r="A383" s="12" t="s">
        <v>883</v>
      </c>
      <c r="B383" s="12"/>
      <c r="C383" s="12" t="s">
        <v>64</v>
      </c>
      <c r="D383" s="12"/>
      <c r="E383" s="12">
        <v>45567</v>
      </c>
      <c r="G383" s="7">
        <v>5677697</v>
      </c>
      <c r="I383" s="7">
        <v>1574093</v>
      </c>
      <c r="K383" s="7">
        <v>145844</v>
      </c>
      <c r="M383" s="7">
        <v>1000</v>
      </c>
      <c r="O383" s="7">
        <v>0</v>
      </c>
      <c r="Q383" s="7">
        <v>599974</v>
      </c>
      <c r="S383" s="7">
        <v>428175</v>
      </c>
      <c r="U383" s="7">
        <v>117491</v>
      </c>
      <c r="W383" s="7">
        <v>1037964</v>
      </c>
      <c r="Y383" s="7">
        <v>296712</v>
      </c>
      <c r="AA383" s="7">
        <v>0</v>
      </c>
      <c r="AC383" s="7">
        <v>1235528</v>
      </c>
      <c r="AE383" s="7">
        <v>733390</v>
      </c>
      <c r="AG383" s="7">
        <v>282762</v>
      </c>
      <c r="AI383" s="7">
        <v>486090</v>
      </c>
      <c r="AK383" s="7">
        <v>36704</v>
      </c>
      <c r="AL383" s="12" t="s">
        <v>883</v>
      </c>
      <c r="AM383" s="12"/>
      <c r="AN383" s="12" t="s">
        <v>64</v>
      </c>
      <c r="AP383" s="7">
        <v>412647</v>
      </c>
      <c r="AR383" s="7">
        <v>238210</v>
      </c>
      <c r="AT383" s="7">
        <v>0</v>
      </c>
      <c r="AV383" s="7">
        <v>660000</v>
      </c>
      <c r="AX383" s="7">
        <v>160526</v>
      </c>
      <c r="AZ383" s="7">
        <v>0</v>
      </c>
      <c r="BB383" s="8">
        <f t="shared" si="77"/>
        <v>14124807</v>
      </c>
      <c r="BD383" s="7">
        <v>50397</v>
      </c>
      <c r="BF383" s="7">
        <v>0</v>
      </c>
      <c r="BH383" s="7">
        <v>0</v>
      </c>
      <c r="BJ383" s="7">
        <v>0</v>
      </c>
      <c r="BL383" s="8">
        <f t="shared" si="81"/>
        <v>14175204</v>
      </c>
      <c r="BN383" s="8">
        <f>'Gov Fd Rv'!AQ383-'Gov Fnd Exp'!BL383</f>
        <v>-576249</v>
      </c>
      <c r="BP383" s="7">
        <v>2491535</v>
      </c>
      <c r="BR383" s="7">
        <v>0</v>
      </c>
      <c r="BT383" s="7">
        <v>0</v>
      </c>
      <c r="BV383" s="8">
        <f t="shared" si="79"/>
        <v>1915286</v>
      </c>
      <c r="BW383" s="8"/>
      <c r="BX383" s="8">
        <f>BV383-'Gov Fd BS'!AE383</f>
        <v>0</v>
      </c>
      <c r="BY383" s="8"/>
      <c r="CB383" s="101" t="str">
        <f t="shared" si="70"/>
        <v>Newton Falls Exempted Village SD</v>
      </c>
      <c r="CC383" s="101" t="b">
        <f t="shared" si="67"/>
        <v>1</v>
      </c>
      <c r="CD383" s="101" t="str">
        <f>'Gov Fd Rv'!A383</f>
        <v>Newton Falls Exempted Village SD</v>
      </c>
      <c r="CE383" s="8" t="b">
        <f t="shared" si="66"/>
        <v>1</v>
      </c>
      <c r="CG383" s="8" t="str">
        <f t="shared" si="68"/>
        <v>Trumbull</v>
      </c>
      <c r="CH383" s="8" t="b">
        <f t="shared" si="69"/>
        <v>1</v>
      </c>
      <c r="CI383" s="8" t="b">
        <f>C383='Gov Fd Rv'!C383</f>
        <v>1</v>
      </c>
    </row>
    <row r="384" spans="1:87" hidden="1">
      <c r="A384" s="12" t="s">
        <v>941</v>
      </c>
      <c r="B384" s="12"/>
      <c r="C384" s="12" t="s">
        <v>48</v>
      </c>
      <c r="D384" s="12"/>
      <c r="E384" s="12">
        <v>48637</v>
      </c>
      <c r="AL384" s="12" t="s">
        <v>941</v>
      </c>
      <c r="AM384" s="12"/>
      <c r="AN384" s="12" t="s">
        <v>48</v>
      </c>
      <c r="AT384" s="7">
        <v>0</v>
      </c>
      <c r="AZ384" s="7">
        <v>0</v>
      </c>
      <c r="BB384" s="8">
        <f t="shared" si="77"/>
        <v>0</v>
      </c>
      <c r="BF384" s="7">
        <v>0</v>
      </c>
      <c r="BH384" s="7">
        <v>0</v>
      </c>
      <c r="BL384" s="8">
        <f t="shared" si="81"/>
        <v>0</v>
      </c>
      <c r="BN384" s="8">
        <f>'Gov Fd Rv'!AQ384-'Gov Fnd Exp'!BL384</f>
        <v>0</v>
      </c>
      <c r="BT384" s="7">
        <v>0</v>
      </c>
      <c r="BV384" s="8">
        <f t="shared" si="79"/>
        <v>0</v>
      </c>
      <c r="BW384" s="8"/>
      <c r="BX384" s="8">
        <f>BV384-'Gov Fd BS'!AE384</f>
        <v>0</v>
      </c>
      <c r="BY384" s="8"/>
      <c r="BZ384" s="7" t="s">
        <v>912</v>
      </c>
      <c r="CB384" s="101" t="str">
        <f t="shared" si="70"/>
        <v>Newton Local SD (CASH)</v>
      </c>
      <c r="CC384" s="101" t="b">
        <f t="shared" si="67"/>
        <v>1</v>
      </c>
      <c r="CD384" s="101" t="str">
        <f>'Gov Fd Rv'!A384</f>
        <v>Newton Local SD (CASH)</v>
      </c>
      <c r="CE384" s="8" t="b">
        <f t="shared" si="66"/>
        <v>1</v>
      </c>
      <c r="CG384" s="8" t="str">
        <f t="shared" si="68"/>
        <v>Miami</v>
      </c>
      <c r="CH384" s="8" t="b">
        <f t="shared" si="69"/>
        <v>1</v>
      </c>
      <c r="CI384" s="8" t="b">
        <f>C384='Gov Fd Rv'!C384</f>
        <v>1</v>
      </c>
    </row>
    <row r="385" spans="1:87">
      <c r="A385" s="12" t="s">
        <v>631</v>
      </c>
      <c r="B385" s="12"/>
      <c r="C385" s="12" t="s">
        <v>64</v>
      </c>
      <c r="D385" s="12"/>
      <c r="E385" s="12"/>
      <c r="G385" s="7">
        <v>11759475</v>
      </c>
      <c r="I385" s="7">
        <v>3567646</v>
      </c>
      <c r="K385" s="7">
        <v>90762</v>
      </c>
      <c r="M385" s="7">
        <v>0</v>
      </c>
      <c r="O385" s="7">
        <v>1065041</v>
      </c>
      <c r="Q385" s="7">
        <v>1279156</v>
      </c>
      <c r="S385" s="7">
        <v>1547785</v>
      </c>
      <c r="U385" s="7">
        <v>57254</v>
      </c>
      <c r="W385" s="7">
        <v>2618576</v>
      </c>
      <c r="Y385" s="7">
        <v>438685</v>
      </c>
      <c r="AA385" s="7">
        <v>210987</v>
      </c>
      <c r="AC385" s="7">
        <v>2002487</v>
      </c>
      <c r="AE385" s="7">
        <v>1146380</v>
      </c>
      <c r="AG385" s="7">
        <v>259600</v>
      </c>
      <c r="AI385" s="7">
        <v>1245541</v>
      </c>
      <c r="AK385" s="7">
        <v>177058</v>
      </c>
      <c r="AL385" s="12" t="s">
        <v>631</v>
      </c>
      <c r="AM385" s="12"/>
      <c r="AN385" s="12" t="s">
        <v>64</v>
      </c>
      <c r="AP385" s="7">
        <v>458943</v>
      </c>
      <c r="AR385" s="7">
        <v>4118126</v>
      </c>
      <c r="AT385" s="7">
        <v>0</v>
      </c>
      <c r="AV385" s="7">
        <v>742000</v>
      </c>
      <c r="AX385" s="7">
        <f>938464+98540</f>
        <v>1037004</v>
      </c>
      <c r="AZ385" s="7">
        <v>0</v>
      </c>
      <c r="BB385" s="8">
        <f t="shared" si="77"/>
        <v>33822506</v>
      </c>
      <c r="BD385" s="7">
        <v>0</v>
      </c>
      <c r="BF385" s="7">
        <v>0</v>
      </c>
      <c r="BH385" s="7">
        <v>0</v>
      </c>
      <c r="BJ385" s="7">
        <v>3657978</v>
      </c>
      <c r="BL385" s="8">
        <f t="shared" si="81"/>
        <v>37480484</v>
      </c>
      <c r="BN385" s="8">
        <f>'Gov Fd Rv'!AQ385-'Gov Fnd Exp'!BL385</f>
        <v>4503941</v>
      </c>
      <c r="BP385" s="7">
        <v>23905026</v>
      </c>
      <c r="BR385" s="7">
        <v>0</v>
      </c>
      <c r="BT385" s="7">
        <v>0</v>
      </c>
      <c r="BV385" s="8">
        <f t="shared" si="79"/>
        <v>28408967</v>
      </c>
      <c r="BW385" s="8"/>
      <c r="BX385" s="8">
        <f>BV385-'Gov Fd BS'!AE385</f>
        <v>0</v>
      </c>
      <c r="BY385" s="8"/>
      <c r="CB385" s="101" t="str">
        <f t="shared" si="70"/>
        <v>Niles City SD</v>
      </c>
      <c r="CC385" s="101" t="b">
        <f t="shared" si="67"/>
        <v>1</v>
      </c>
      <c r="CD385" s="101" t="str">
        <f>'Gov Fd Rv'!A385</f>
        <v>Niles City SD</v>
      </c>
      <c r="CE385" s="8" t="b">
        <f t="shared" si="66"/>
        <v>1</v>
      </c>
      <c r="CG385" s="8" t="str">
        <f t="shared" si="68"/>
        <v>Trumbull</v>
      </c>
      <c r="CH385" s="8" t="b">
        <f t="shared" si="69"/>
        <v>1</v>
      </c>
      <c r="CI385" s="8" t="b">
        <f>C385='Gov Fd Rv'!C385</f>
        <v>1</v>
      </c>
    </row>
    <row r="386" spans="1:87">
      <c r="A386" s="12" t="s">
        <v>462</v>
      </c>
      <c r="B386" s="12"/>
      <c r="C386" s="12" t="s">
        <v>52</v>
      </c>
      <c r="D386" s="12"/>
      <c r="E386" s="12">
        <v>48900</v>
      </c>
      <c r="G386" s="7">
        <v>4639297</v>
      </c>
      <c r="I386" s="7">
        <v>1124774</v>
      </c>
      <c r="K386" s="7">
        <v>320417</v>
      </c>
      <c r="M386" s="7">
        <v>0</v>
      </c>
      <c r="O386" s="7">
        <v>0</v>
      </c>
      <c r="Q386" s="7">
        <v>227198</v>
      </c>
      <c r="S386" s="7">
        <v>423414</v>
      </c>
      <c r="U386" s="7">
        <v>46767</v>
      </c>
      <c r="W386" s="7">
        <v>1200888</v>
      </c>
      <c r="Y386" s="7">
        <v>404569</v>
      </c>
      <c r="AA386" s="7">
        <v>23463</v>
      </c>
      <c r="AC386" s="7">
        <v>846186</v>
      </c>
      <c r="AE386" s="7">
        <v>994691</v>
      </c>
      <c r="AG386" s="7">
        <v>3359</v>
      </c>
      <c r="AI386" s="7">
        <v>0</v>
      </c>
      <c r="AK386" s="7">
        <v>578391</v>
      </c>
      <c r="AL386" s="12" t="s">
        <v>462</v>
      </c>
      <c r="AM386" s="12"/>
      <c r="AN386" s="12" t="s">
        <v>52</v>
      </c>
      <c r="AP386" s="7">
        <v>196262</v>
      </c>
      <c r="AR386" s="7">
        <v>0</v>
      </c>
      <c r="AT386" s="7">
        <v>0</v>
      </c>
      <c r="AV386" s="7">
        <v>24296</v>
      </c>
      <c r="AX386" s="7">
        <v>4384</v>
      </c>
      <c r="AZ386" s="7">
        <v>0</v>
      </c>
      <c r="BB386" s="8">
        <f t="shared" si="77"/>
        <v>11058356</v>
      </c>
      <c r="BD386" s="7">
        <v>0</v>
      </c>
      <c r="BF386" s="7">
        <v>0</v>
      </c>
      <c r="BH386" s="7">
        <v>0</v>
      </c>
      <c r="BJ386" s="7">
        <v>0</v>
      </c>
      <c r="BL386" s="8">
        <f t="shared" si="81"/>
        <v>11058356</v>
      </c>
      <c r="BN386" s="8">
        <f>'Gov Fd Rv'!AQ386-'Gov Fnd Exp'!BL386</f>
        <v>358206</v>
      </c>
      <c r="BP386" s="7">
        <v>1029295</v>
      </c>
      <c r="BR386" s="7">
        <v>0</v>
      </c>
      <c r="BT386" s="7">
        <v>0</v>
      </c>
      <c r="BV386" s="8">
        <f t="shared" si="79"/>
        <v>1387501</v>
      </c>
      <c r="BW386" s="8"/>
      <c r="BX386" s="8">
        <f>BV386-'Gov Fd BS'!AE386</f>
        <v>0</v>
      </c>
      <c r="BY386" s="8"/>
      <c r="CB386" s="101" t="str">
        <f t="shared" si="70"/>
        <v>Noble Local SD</v>
      </c>
      <c r="CC386" s="101" t="b">
        <f t="shared" si="67"/>
        <v>1</v>
      </c>
      <c r="CD386" s="101" t="str">
        <f>'Gov Fd Rv'!A386</f>
        <v>Noble Local SD</v>
      </c>
      <c r="CE386" s="8" t="b">
        <f t="shared" si="66"/>
        <v>1</v>
      </c>
      <c r="CG386" s="8" t="str">
        <f t="shared" si="68"/>
        <v>Noble</v>
      </c>
      <c r="CH386" s="8" t="b">
        <f t="shared" si="69"/>
        <v>1</v>
      </c>
      <c r="CI386" s="8" t="b">
        <f>C386='Gov Fd Rv'!C386</f>
        <v>1</v>
      </c>
    </row>
    <row r="387" spans="1:87">
      <c r="A387" s="12" t="s">
        <v>527</v>
      </c>
      <c r="B387" s="12"/>
      <c r="C387" s="12" t="s">
        <v>63</v>
      </c>
      <c r="D387" s="12"/>
      <c r="E387" s="12">
        <v>50047</v>
      </c>
      <c r="G387" s="7">
        <v>18123801</v>
      </c>
      <c r="I387" s="7">
        <v>3912478</v>
      </c>
      <c r="K387" s="7">
        <v>250052</v>
      </c>
      <c r="M387" s="7">
        <v>0</v>
      </c>
      <c r="O387" s="7">
        <v>955132</v>
      </c>
      <c r="Q387" s="7">
        <v>3986548</v>
      </c>
      <c r="S387" s="7">
        <v>1506108</v>
      </c>
      <c r="U387" s="7">
        <v>95436</v>
      </c>
      <c r="W387" s="7">
        <v>2641364</v>
      </c>
      <c r="Y387" s="7">
        <v>1149280</v>
      </c>
      <c r="AA387" s="7">
        <v>285158</v>
      </c>
      <c r="AC387" s="7">
        <v>3648549</v>
      </c>
      <c r="AE387" s="7">
        <v>2383153</v>
      </c>
      <c r="AG387" s="7">
        <v>871639</v>
      </c>
      <c r="AI387" s="7">
        <v>1335297</v>
      </c>
      <c r="AK387" s="7">
        <v>603814</v>
      </c>
      <c r="AL387" s="12" t="s">
        <v>527</v>
      </c>
      <c r="AM387" s="12"/>
      <c r="AN387" s="12" t="s">
        <v>63</v>
      </c>
      <c r="AP387" s="7">
        <v>1444128</v>
      </c>
      <c r="AR387" s="7">
        <v>1572578</v>
      </c>
      <c r="AT387" s="7">
        <v>0</v>
      </c>
      <c r="AV387" s="7">
        <v>2138497</v>
      </c>
      <c r="AX387" s="7">
        <v>1213946</v>
      </c>
      <c r="AZ387" s="7">
        <v>0</v>
      </c>
      <c r="BB387" s="8">
        <f t="shared" si="77"/>
        <v>48116958</v>
      </c>
      <c r="BD387" s="7">
        <v>20530</v>
      </c>
      <c r="BF387" s="7">
        <v>0</v>
      </c>
      <c r="BH387" s="7">
        <v>0</v>
      </c>
      <c r="BJ387" s="7">
        <v>0</v>
      </c>
      <c r="BL387" s="8">
        <f>BB387+BD387+BJ387</f>
        <v>48137488</v>
      </c>
      <c r="BN387" s="8">
        <f>'Gov Fd Rv'!AQ387-'Gov Fnd Exp'!BL387</f>
        <v>-2247487</v>
      </c>
      <c r="BP387" s="7">
        <v>10366968</v>
      </c>
      <c r="BR387" s="7">
        <v>0</v>
      </c>
      <c r="BT387" s="7">
        <v>0</v>
      </c>
      <c r="BV387" s="8">
        <f t="shared" si="79"/>
        <v>8119481</v>
      </c>
      <c r="BW387" s="8"/>
      <c r="BX387" s="8">
        <f>BV387-'Gov Fd BS'!AE387</f>
        <v>0</v>
      </c>
      <c r="BY387" s="8"/>
      <c r="CB387" s="101" t="str">
        <f t="shared" si="70"/>
        <v>Nordonia Hills City SD</v>
      </c>
      <c r="CC387" s="101" t="b">
        <f t="shared" si="67"/>
        <v>1</v>
      </c>
      <c r="CD387" s="101" t="str">
        <f>'Gov Fd Rv'!A387</f>
        <v>Nordonia Hills City SD</v>
      </c>
      <c r="CE387" s="8" t="b">
        <f t="shared" si="66"/>
        <v>1</v>
      </c>
      <c r="CG387" s="8" t="str">
        <f t="shared" si="68"/>
        <v>Summit</v>
      </c>
      <c r="CH387" s="8" t="b">
        <f t="shared" si="69"/>
        <v>1</v>
      </c>
      <c r="CI387" s="8" t="b">
        <f>C387='Gov Fd Rv'!C387</f>
        <v>1</v>
      </c>
    </row>
    <row r="388" spans="1:87">
      <c r="A388" s="12" t="s">
        <v>574</v>
      </c>
      <c r="B388" s="12"/>
      <c r="C388" s="12" t="s">
        <v>72</v>
      </c>
      <c r="D388" s="12"/>
      <c r="E388" s="12">
        <v>50708</v>
      </c>
      <c r="G388" s="7">
        <v>2577519</v>
      </c>
      <c r="I388" s="7">
        <v>1823296</v>
      </c>
      <c r="K388" s="7">
        <v>0</v>
      </c>
      <c r="M388" s="7">
        <v>0</v>
      </c>
      <c r="O388" s="7">
        <v>560352</v>
      </c>
      <c r="Q388" s="7">
        <v>212509</v>
      </c>
      <c r="S388" s="7">
        <v>382952</v>
      </c>
      <c r="U388" s="7">
        <v>128919</v>
      </c>
      <c r="W388" s="7">
        <v>609975</v>
      </c>
      <c r="Y388" s="7">
        <v>317545</v>
      </c>
      <c r="AA388" s="7">
        <v>0</v>
      </c>
      <c r="AC388" s="7">
        <v>628543</v>
      </c>
      <c r="AE388" s="7">
        <v>285077</v>
      </c>
      <c r="AG388" s="7">
        <v>0</v>
      </c>
      <c r="AI388" s="7">
        <v>281083</v>
      </c>
      <c r="AK388" s="7">
        <v>1400</v>
      </c>
      <c r="AL388" s="12" t="s">
        <v>574</v>
      </c>
      <c r="AM388" s="12"/>
      <c r="AN388" s="12" t="s">
        <v>72</v>
      </c>
      <c r="AP388" s="7">
        <v>252695</v>
      </c>
      <c r="AR388" s="7">
        <v>4565738</v>
      </c>
      <c r="AT388" s="7">
        <v>0</v>
      </c>
      <c r="AV388" s="7">
        <v>165000</v>
      </c>
      <c r="AX388" s="7">
        <v>413454</v>
      </c>
      <c r="AZ388" s="7">
        <v>0</v>
      </c>
      <c r="BB388" s="8">
        <f t="shared" si="77"/>
        <v>13206057</v>
      </c>
      <c r="BD388" s="7">
        <v>2210</v>
      </c>
      <c r="BF388" s="7">
        <v>0</v>
      </c>
      <c r="BH388" s="7">
        <v>0</v>
      </c>
      <c r="BJ388" s="7">
        <v>0</v>
      </c>
      <c r="BL388" s="8">
        <f t="shared" si="81"/>
        <v>13208267</v>
      </c>
      <c r="BN388" s="8">
        <f>'Gov Fd Rv'!AQ388-'Gov Fnd Exp'!BL388</f>
        <v>3417486</v>
      </c>
      <c r="BP388" s="7">
        <v>14396756</v>
      </c>
      <c r="BR388" s="7">
        <v>0</v>
      </c>
      <c r="BT388" s="7">
        <v>0</v>
      </c>
      <c r="BV388" s="8">
        <f t="shared" si="79"/>
        <v>17814242</v>
      </c>
      <c r="BW388" s="8"/>
      <c r="BX388" s="8">
        <f>BV388-'Gov Fd BS'!AE388</f>
        <v>0</v>
      </c>
      <c r="BY388" s="8"/>
      <c r="CB388" s="101" t="str">
        <f t="shared" si="70"/>
        <v>North Baltimore Local SD</v>
      </c>
      <c r="CC388" s="101" t="b">
        <f t="shared" si="67"/>
        <v>1</v>
      </c>
      <c r="CD388" s="101" t="str">
        <f>'Gov Fd Rv'!A388</f>
        <v>North Baltimore Local SD</v>
      </c>
      <c r="CE388" s="8" t="b">
        <f t="shared" si="66"/>
        <v>1</v>
      </c>
      <c r="CG388" s="8" t="str">
        <f t="shared" si="68"/>
        <v>Wood</v>
      </c>
      <c r="CH388" s="8" t="b">
        <f t="shared" si="69"/>
        <v>1</v>
      </c>
      <c r="CI388" s="8" t="b">
        <f>C388='Gov Fd Rv'!C388</f>
        <v>1</v>
      </c>
    </row>
    <row r="389" spans="1:87" hidden="1">
      <c r="A389" s="12" t="s">
        <v>943</v>
      </c>
      <c r="B389" s="12"/>
      <c r="C389" s="12" t="s">
        <v>53</v>
      </c>
      <c r="D389" s="12"/>
      <c r="E389" s="12">
        <v>48967</v>
      </c>
      <c r="AL389" s="12" t="s">
        <v>943</v>
      </c>
      <c r="AM389" s="12"/>
      <c r="AN389" s="12" t="s">
        <v>53</v>
      </c>
      <c r="AT389" s="7">
        <v>0</v>
      </c>
      <c r="AZ389" s="7">
        <v>0</v>
      </c>
      <c r="BB389" s="8">
        <f t="shared" si="77"/>
        <v>0</v>
      </c>
      <c r="BF389" s="7">
        <v>0</v>
      </c>
      <c r="BH389" s="7">
        <v>0</v>
      </c>
      <c r="BL389" s="8">
        <f t="shared" si="81"/>
        <v>0</v>
      </c>
      <c r="BN389" s="8">
        <f>'Gov Fd Rv'!AQ389-'Gov Fnd Exp'!BL389</f>
        <v>0</v>
      </c>
      <c r="BT389" s="7">
        <v>0</v>
      </c>
      <c r="BV389" s="8">
        <f t="shared" si="79"/>
        <v>0</v>
      </c>
      <c r="BW389" s="8"/>
      <c r="BX389" s="8">
        <f>BV389-'Gov Fd BS'!AE389</f>
        <v>0</v>
      </c>
      <c r="BY389" s="8"/>
      <c r="BZ389" s="7" t="s">
        <v>839</v>
      </c>
      <c r="CB389" s="101" t="str">
        <f t="shared" si="70"/>
        <v>North Bass Local SD (Two year Audit - CASH)</v>
      </c>
      <c r="CC389" s="101" t="b">
        <f t="shared" si="67"/>
        <v>1</v>
      </c>
      <c r="CD389" s="101" t="str">
        <f>'Gov Fd Rv'!A389</f>
        <v>North Bass Local SD (Two year Audit - CASH)</v>
      </c>
      <c r="CE389" s="8" t="b">
        <f t="shared" si="66"/>
        <v>1</v>
      </c>
      <c r="CG389" s="8" t="str">
        <f t="shared" si="68"/>
        <v>Ottawa</v>
      </c>
      <c r="CH389" s="8" t="b">
        <f t="shared" si="69"/>
        <v>1</v>
      </c>
      <c r="CI389" s="8" t="b">
        <f>C389='Gov Fd Rv'!C389</f>
        <v>1</v>
      </c>
    </row>
    <row r="390" spans="1:87">
      <c r="A390" s="12" t="s">
        <v>518</v>
      </c>
      <c r="B390" s="12"/>
      <c r="C390" s="12" t="s">
        <v>62</v>
      </c>
      <c r="D390" s="12"/>
      <c r="E390" s="12">
        <v>44503</v>
      </c>
      <c r="G390" s="7">
        <v>18414555</v>
      </c>
      <c r="I390" s="7">
        <v>3187970</v>
      </c>
      <c r="K390" s="7">
        <v>1841985</v>
      </c>
      <c r="M390" s="7">
        <v>40878</v>
      </c>
      <c r="O390" s="7">
        <v>251183</v>
      </c>
      <c r="Q390" s="7">
        <v>2427515</v>
      </c>
      <c r="S390" s="7">
        <v>2470293</v>
      </c>
      <c r="U390" s="7">
        <v>23928</v>
      </c>
      <c r="W390" s="7">
        <v>3385769</v>
      </c>
      <c r="Y390" s="7">
        <v>1009017</v>
      </c>
      <c r="AA390" s="7">
        <v>5806</v>
      </c>
      <c r="AC390" s="7">
        <v>3923135</v>
      </c>
      <c r="AE390" s="7">
        <v>2713856</v>
      </c>
      <c r="AG390" s="7">
        <v>300847</v>
      </c>
      <c r="AI390" s="7">
        <v>1603568</v>
      </c>
      <c r="AK390" s="7">
        <v>281333</v>
      </c>
      <c r="AL390" s="12" t="s">
        <v>518</v>
      </c>
      <c r="AM390" s="12"/>
      <c r="AN390" s="12" t="s">
        <v>62</v>
      </c>
      <c r="AP390" s="7">
        <v>1362752</v>
      </c>
      <c r="AR390" s="7">
        <v>15359</v>
      </c>
      <c r="AT390" s="7">
        <v>0</v>
      </c>
      <c r="AV390" s="7">
        <v>1674248</v>
      </c>
      <c r="AX390" s="7">
        <v>501436</v>
      </c>
      <c r="AZ390" s="7">
        <v>0</v>
      </c>
      <c r="BB390" s="8">
        <f t="shared" si="77"/>
        <v>45435433</v>
      </c>
      <c r="BD390" s="7">
        <v>158140</v>
      </c>
      <c r="BF390" s="7">
        <v>0</v>
      </c>
      <c r="BH390" s="7">
        <v>0</v>
      </c>
      <c r="BJ390" s="7">
        <v>0</v>
      </c>
      <c r="BL390" s="8">
        <f t="shared" si="81"/>
        <v>45593573</v>
      </c>
      <c r="BN390" s="8">
        <f>'Gov Fd Rv'!AQ390-'Gov Fnd Exp'!BL390</f>
        <v>5606110</v>
      </c>
      <c r="BP390" s="7">
        <v>-1001665</v>
      </c>
      <c r="BR390" s="7">
        <v>-2513</v>
      </c>
      <c r="BT390" s="7">
        <v>0</v>
      </c>
      <c r="BV390" s="8">
        <f t="shared" si="79"/>
        <v>4601932</v>
      </c>
      <c r="BW390" s="8"/>
      <c r="BX390" s="8">
        <f>BV390-'Gov Fd BS'!AE390</f>
        <v>0</v>
      </c>
      <c r="BY390" s="8"/>
      <c r="CB390" s="101" t="str">
        <f t="shared" si="70"/>
        <v>North Canton City SD</v>
      </c>
      <c r="CC390" s="101" t="b">
        <f t="shared" si="67"/>
        <v>1</v>
      </c>
      <c r="CD390" s="101" t="str">
        <f>'Gov Fd Rv'!A390</f>
        <v>North Canton City SD</v>
      </c>
      <c r="CE390" s="8" t="b">
        <f t="shared" si="66"/>
        <v>1</v>
      </c>
      <c r="CG390" s="8" t="str">
        <f t="shared" si="68"/>
        <v>Stark</v>
      </c>
      <c r="CH390" s="8" t="b">
        <f t="shared" si="69"/>
        <v>1</v>
      </c>
      <c r="CI390" s="8" t="b">
        <f>C390='Gov Fd Rv'!C390</f>
        <v>1</v>
      </c>
    </row>
    <row r="391" spans="1:87" hidden="1">
      <c r="A391" s="12" t="s">
        <v>944</v>
      </c>
      <c r="B391" s="12"/>
      <c r="C391" s="12" t="s">
        <v>570</v>
      </c>
      <c r="D391" s="12"/>
      <c r="E391" s="12">
        <v>50641</v>
      </c>
      <c r="AL391" s="12" t="s">
        <v>944</v>
      </c>
      <c r="AM391" s="12"/>
      <c r="AN391" s="12" t="s">
        <v>570</v>
      </c>
      <c r="AT391" s="7">
        <v>0</v>
      </c>
      <c r="AZ391" s="7">
        <v>0</v>
      </c>
      <c r="BB391" s="8">
        <f t="shared" si="77"/>
        <v>0</v>
      </c>
      <c r="BF391" s="7">
        <v>0</v>
      </c>
      <c r="BH391" s="7">
        <v>0</v>
      </c>
      <c r="BL391" s="8">
        <f t="shared" si="81"/>
        <v>0</v>
      </c>
      <c r="BN391" s="8">
        <f>'Gov Fd Rv'!AQ391-'Gov Fnd Exp'!BL391</f>
        <v>0</v>
      </c>
      <c r="BT391" s="7">
        <v>0</v>
      </c>
      <c r="BV391" s="8">
        <f t="shared" si="79"/>
        <v>0</v>
      </c>
      <c r="BW391" s="8"/>
      <c r="BX391" s="8">
        <f>BV391-'Gov Fd BS'!AE391</f>
        <v>0</v>
      </c>
      <c r="BY391" s="8"/>
      <c r="BZ391" s="7" t="s">
        <v>839</v>
      </c>
      <c r="CB391" s="101" t="str">
        <f t="shared" si="70"/>
        <v>North Central Local SD (CASH)</v>
      </c>
      <c r="CC391" s="101" t="b">
        <f t="shared" si="67"/>
        <v>1</v>
      </c>
      <c r="CD391" s="101" t="str">
        <f>'Gov Fd Rv'!A391</f>
        <v>North Central Local SD (CASH)</v>
      </c>
      <c r="CE391" s="8" t="b">
        <f t="shared" si="66"/>
        <v>1</v>
      </c>
      <c r="CG391" s="8" t="str">
        <f t="shared" si="68"/>
        <v>Williams</v>
      </c>
      <c r="CH391" s="8" t="b">
        <f t="shared" si="69"/>
        <v>1</v>
      </c>
      <c r="CI391" s="8" t="b">
        <f>C391='Gov Fd Rv'!C391</f>
        <v>1</v>
      </c>
    </row>
    <row r="392" spans="1:87">
      <c r="A392" s="12" t="s">
        <v>748</v>
      </c>
      <c r="B392" s="12"/>
      <c r="C392" s="12" t="s">
        <v>32</v>
      </c>
      <c r="D392" s="12"/>
      <c r="E392" s="12">
        <v>44511</v>
      </c>
      <c r="G392" s="7">
        <v>5857681</v>
      </c>
      <c r="I392" s="7">
        <v>2549407</v>
      </c>
      <c r="K392" s="7">
        <v>36143</v>
      </c>
      <c r="M392" s="7">
        <v>0</v>
      </c>
      <c r="O392" s="7">
        <f>39623+35810</f>
        <v>75433</v>
      </c>
      <c r="Q392" s="7">
        <v>1103152</v>
      </c>
      <c r="S392" s="7">
        <v>1463704</v>
      </c>
      <c r="U392" s="7">
        <v>30243</v>
      </c>
      <c r="W392" s="7">
        <v>1039319</v>
      </c>
      <c r="Y392" s="7">
        <v>514088</v>
      </c>
      <c r="AA392" s="7">
        <v>9760</v>
      </c>
      <c r="AC392" s="7">
        <v>2737535</v>
      </c>
      <c r="AE392" s="7">
        <v>236604</v>
      </c>
      <c r="AG392" s="7">
        <v>39117</v>
      </c>
      <c r="AI392" s="7">
        <v>809315</v>
      </c>
      <c r="AK392" s="7">
        <v>38064</v>
      </c>
      <c r="AL392" s="12" t="s">
        <v>748</v>
      </c>
      <c r="AM392" s="12"/>
      <c r="AN392" s="12" t="s">
        <v>32</v>
      </c>
      <c r="AP392" s="7">
        <v>258731</v>
      </c>
      <c r="AR392" s="7">
        <v>7961895</v>
      </c>
      <c r="AT392" s="7">
        <v>0</v>
      </c>
      <c r="AV392" s="7">
        <v>215000</v>
      </c>
      <c r="AX392" s="7">
        <v>567521</v>
      </c>
      <c r="AZ392" s="7">
        <v>0</v>
      </c>
      <c r="BB392" s="8">
        <f t="shared" si="77"/>
        <v>25542712</v>
      </c>
      <c r="BD392" s="7">
        <v>38965</v>
      </c>
      <c r="BF392" s="7">
        <v>0</v>
      </c>
      <c r="BH392" s="7">
        <v>0</v>
      </c>
      <c r="BJ392" s="7">
        <v>0</v>
      </c>
      <c r="BL392" s="8">
        <f t="shared" si="81"/>
        <v>25581677</v>
      </c>
      <c r="BN392" s="8">
        <f>'Gov Fd Rv'!AQ392-'Gov Fnd Exp'!BL392</f>
        <v>-6150170</v>
      </c>
      <c r="BP392" s="7">
        <v>10170031</v>
      </c>
      <c r="BR392" s="7">
        <v>0</v>
      </c>
      <c r="BT392" s="7">
        <v>0</v>
      </c>
      <c r="BV392" s="8">
        <f t="shared" si="79"/>
        <v>4019861</v>
      </c>
      <c r="BW392" s="8"/>
      <c r="BX392" s="8">
        <f>BV392-'Gov Fd BS'!AE392</f>
        <v>0</v>
      </c>
      <c r="BY392" s="8"/>
      <c r="BZ392" s="7" t="s">
        <v>945</v>
      </c>
      <c r="CB392" s="101" t="str">
        <f t="shared" si="70"/>
        <v xml:space="preserve">North College Hill City SD </v>
      </c>
      <c r="CC392" s="101" t="b">
        <f t="shared" si="67"/>
        <v>1</v>
      </c>
      <c r="CD392" s="101" t="str">
        <f>'Gov Fd Rv'!A392</f>
        <v xml:space="preserve">North College Hill City SD </v>
      </c>
      <c r="CE392" s="8" t="b">
        <f t="shared" si="66"/>
        <v>1</v>
      </c>
      <c r="CG392" s="8" t="str">
        <f t="shared" si="68"/>
        <v>Hamilton</v>
      </c>
      <c r="CH392" s="8" t="b">
        <f t="shared" si="69"/>
        <v>1</v>
      </c>
      <c r="CI392" s="8" t="b">
        <f>C392='Gov Fd Rv'!C392</f>
        <v>1</v>
      </c>
    </row>
    <row r="393" spans="1:87">
      <c r="A393" s="12" t="s">
        <v>389</v>
      </c>
      <c r="B393" s="12"/>
      <c r="C393" s="12" t="s">
        <v>42</v>
      </c>
      <c r="D393" s="12"/>
      <c r="E393" s="12">
        <v>48025</v>
      </c>
      <c r="G393" s="7">
        <v>5745464</v>
      </c>
      <c r="I393" s="7">
        <v>3140882</v>
      </c>
      <c r="K393" s="7">
        <v>213710</v>
      </c>
      <c r="M393" s="7">
        <v>0</v>
      </c>
      <c r="O393" s="7">
        <v>260180</v>
      </c>
      <c r="Q393" s="7">
        <v>1512215</v>
      </c>
      <c r="S393" s="7">
        <v>170511</v>
      </c>
      <c r="U393" s="7">
        <v>33895</v>
      </c>
      <c r="W393" s="7">
        <v>1363736</v>
      </c>
      <c r="Y393" s="7">
        <v>459853</v>
      </c>
      <c r="AA393" s="7">
        <v>0</v>
      </c>
      <c r="AC393" s="7">
        <v>1519300</v>
      </c>
      <c r="AE393" s="7">
        <v>1264313</v>
      </c>
      <c r="AG393" s="7">
        <v>693151</v>
      </c>
      <c r="AI393" s="7">
        <v>579579</v>
      </c>
      <c r="AK393" s="7">
        <v>0</v>
      </c>
      <c r="AL393" s="12" t="s">
        <v>389</v>
      </c>
      <c r="AM393" s="12"/>
      <c r="AN393" s="12" t="s">
        <v>42</v>
      </c>
      <c r="AP393" s="7">
        <v>685868</v>
      </c>
      <c r="AR393" s="7">
        <v>721940</v>
      </c>
      <c r="AT393" s="7">
        <v>0</v>
      </c>
      <c r="AV393" s="7">
        <v>440000</v>
      </c>
      <c r="AX393" s="7">
        <f>404040+62876</f>
        <v>466916</v>
      </c>
      <c r="AZ393" s="7">
        <v>0</v>
      </c>
      <c r="BB393" s="8">
        <f t="shared" si="77"/>
        <v>19271513</v>
      </c>
      <c r="BD393" s="7">
        <v>92067</v>
      </c>
      <c r="BF393" s="7">
        <v>0</v>
      </c>
      <c r="BH393" s="7">
        <v>0</v>
      </c>
      <c r="BJ393" s="7">
        <v>0</v>
      </c>
      <c r="BL393" s="8">
        <f t="shared" si="81"/>
        <v>19363580</v>
      </c>
      <c r="BN393" s="8">
        <f>'Gov Fd Rv'!AQ393-'Gov Fnd Exp'!BL393</f>
        <v>913662</v>
      </c>
      <c r="BP393" s="7">
        <v>1200260</v>
      </c>
      <c r="BR393" s="7">
        <v>1461</v>
      </c>
      <c r="BT393" s="7">
        <v>0</v>
      </c>
      <c r="BV393" s="8">
        <f t="shared" si="79"/>
        <v>2115383</v>
      </c>
      <c r="BW393" s="8"/>
      <c r="BX393" s="8">
        <f>BV393-'Gov Fd BS'!AE393</f>
        <v>0</v>
      </c>
      <c r="BY393" s="8"/>
      <c r="CB393" s="101" t="str">
        <f t="shared" si="70"/>
        <v>North Fork Local SD</v>
      </c>
      <c r="CC393" s="101" t="b">
        <f t="shared" si="67"/>
        <v>1</v>
      </c>
      <c r="CD393" s="101" t="str">
        <f>'Gov Fd Rv'!A393</f>
        <v>North Fork Local SD</v>
      </c>
      <c r="CE393" s="8" t="b">
        <f t="shared" si="66"/>
        <v>1</v>
      </c>
      <c r="CG393" s="8" t="str">
        <f t="shared" si="68"/>
        <v>Licking</v>
      </c>
      <c r="CH393" s="8" t="b">
        <f t="shared" si="69"/>
        <v>1</v>
      </c>
      <c r="CI393" s="8" t="b">
        <f>C393='Gov Fd Rv'!C393</f>
        <v>1</v>
      </c>
    </row>
    <row r="394" spans="1:87">
      <c r="A394" s="12" t="s">
        <v>277</v>
      </c>
      <c r="B394" s="12"/>
      <c r="C394" s="12" t="s">
        <v>20</v>
      </c>
      <c r="D394" s="12"/>
      <c r="E394" s="12">
        <v>44529</v>
      </c>
      <c r="G394" s="7">
        <v>24015056</v>
      </c>
      <c r="I394" s="7">
        <v>7627156</v>
      </c>
      <c r="K394" s="7">
        <v>424680</v>
      </c>
      <c r="M394" s="7">
        <v>0</v>
      </c>
      <c r="O394" s="7">
        <v>293115</v>
      </c>
      <c r="Q394" s="7">
        <v>5261245</v>
      </c>
      <c r="S394" s="7">
        <v>1101512</v>
      </c>
      <c r="U394" s="7">
        <v>185639</v>
      </c>
      <c r="W394" s="7">
        <v>2733239</v>
      </c>
      <c r="Y394" s="7">
        <v>1301671</v>
      </c>
      <c r="AA394" s="7">
        <v>137495</v>
      </c>
      <c r="AC394" s="7">
        <v>4745581</v>
      </c>
      <c r="AE394" s="7">
        <v>1908824</v>
      </c>
      <c r="AG394" s="7">
        <v>1253406</v>
      </c>
      <c r="AI394" s="7">
        <v>1587422</v>
      </c>
      <c r="AK394" s="7">
        <v>386446</v>
      </c>
      <c r="AL394" s="12" t="s">
        <v>277</v>
      </c>
      <c r="AM394" s="12"/>
      <c r="AN394" s="12" t="s">
        <v>20</v>
      </c>
      <c r="AP394" s="7">
        <v>1559993</v>
      </c>
      <c r="AR394" s="7">
        <v>0</v>
      </c>
      <c r="AT394" s="7">
        <v>0</v>
      </c>
      <c r="AV394" s="7">
        <v>85000</v>
      </c>
      <c r="AX394" s="7">
        <v>15895</v>
      </c>
      <c r="AZ394" s="7">
        <v>0</v>
      </c>
      <c r="BB394" s="8">
        <f t="shared" si="77"/>
        <v>54623375</v>
      </c>
      <c r="BD394" s="7">
        <v>333000</v>
      </c>
      <c r="BF394" s="7">
        <v>0</v>
      </c>
      <c r="BH394" s="7">
        <v>0</v>
      </c>
      <c r="BJ394" s="7">
        <v>0</v>
      </c>
      <c r="BL394" s="8">
        <f t="shared" si="81"/>
        <v>54956375</v>
      </c>
      <c r="BN394" s="8">
        <f>'Gov Fd Rv'!AQ394-'Gov Fnd Exp'!BL394</f>
        <v>5784408</v>
      </c>
      <c r="BP394" s="7">
        <v>9572124</v>
      </c>
      <c r="BR394" s="7">
        <v>0</v>
      </c>
      <c r="BT394" s="7">
        <v>0</v>
      </c>
      <c r="BV394" s="8">
        <f t="shared" si="79"/>
        <v>15356532</v>
      </c>
      <c r="BW394" s="8"/>
      <c r="BX394" s="8">
        <f>BV394-'Gov Fd BS'!AE394</f>
        <v>0</v>
      </c>
      <c r="BY394" s="8"/>
      <c r="CB394" s="101" t="str">
        <f t="shared" si="70"/>
        <v>North Olmsted City SD</v>
      </c>
      <c r="CC394" s="101" t="b">
        <f t="shared" si="67"/>
        <v>1</v>
      </c>
      <c r="CD394" s="101" t="str">
        <f>'Gov Fd Rv'!A394</f>
        <v>North Olmsted City SD</v>
      </c>
      <c r="CE394" s="8" t="b">
        <f t="shared" si="66"/>
        <v>1</v>
      </c>
      <c r="CG394" s="8" t="str">
        <f t="shared" si="68"/>
        <v>Cuyahoga</v>
      </c>
      <c r="CH394" s="8" t="b">
        <f t="shared" si="69"/>
        <v>1</v>
      </c>
      <c r="CI394" s="8" t="b">
        <f>C394='Gov Fd Rv'!C394</f>
        <v>1</v>
      </c>
    </row>
    <row r="395" spans="1:87">
      <c r="A395" s="12" t="s">
        <v>400</v>
      </c>
      <c r="B395" s="12"/>
      <c r="C395" s="12" t="s">
        <v>44</v>
      </c>
      <c r="D395" s="12"/>
      <c r="E395" s="12">
        <v>44537</v>
      </c>
      <c r="G395" s="7">
        <v>13787037</v>
      </c>
      <c r="I395" s="7">
        <v>4684714</v>
      </c>
      <c r="K395" s="7">
        <v>110484</v>
      </c>
      <c r="M395" s="7">
        <v>0</v>
      </c>
      <c r="O395" s="7">
        <v>1256977</v>
      </c>
      <c r="Q395" s="7">
        <v>1728384</v>
      </c>
      <c r="S395" s="7">
        <v>2483934</v>
      </c>
      <c r="U395" s="7">
        <v>160490</v>
      </c>
      <c r="W395" s="7">
        <v>2038343</v>
      </c>
      <c r="Y395" s="7">
        <v>793021</v>
      </c>
      <c r="AA395" s="7">
        <v>298930</v>
      </c>
      <c r="AC395" s="7">
        <v>2711994</v>
      </c>
      <c r="AE395" s="7">
        <v>2482790</v>
      </c>
      <c r="AG395" s="7">
        <v>74260</v>
      </c>
      <c r="AI395" s="7">
        <v>1101797</v>
      </c>
      <c r="AK395" s="7">
        <v>483716</v>
      </c>
      <c r="AL395" s="12" t="s">
        <v>400</v>
      </c>
      <c r="AM395" s="12"/>
      <c r="AN395" s="12" t="s">
        <v>44</v>
      </c>
      <c r="AP395" s="7">
        <v>762269</v>
      </c>
      <c r="AR395" s="7">
        <v>150216</v>
      </c>
      <c r="AT395" s="7">
        <v>0</v>
      </c>
      <c r="AV395" s="7">
        <v>150047</v>
      </c>
      <c r="AX395" s="7">
        <v>343239</v>
      </c>
      <c r="AZ395" s="7">
        <v>0</v>
      </c>
      <c r="BB395" s="8">
        <f t="shared" si="77"/>
        <v>35602642</v>
      </c>
      <c r="BD395" s="7">
        <v>17000</v>
      </c>
      <c r="BF395" s="7">
        <v>0</v>
      </c>
      <c r="BH395" s="7">
        <v>0</v>
      </c>
      <c r="BJ395" s="7">
        <v>1610000</v>
      </c>
      <c r="BL395" s="8">
        <f t="shared" si="81"/>
        <v>37229642</v>
      </c>
      <c r="BN395" s="8">
        <f>'Gov Fd Rv'!AQ395-'Gov Fnd Exp'!BL395</f>
        <v>653581</v>
      </c>
      <c r="BP395" s="7">
        <v>-214030</v>
      </c>
      <c r="BR395" s="7">
        <v>0</v>
      </c>
      <c r="BT395" s="7">
        <v>0</v>
      </c>
      <c r="BV395" s="8">
        <f t="shared" si="79"/>
        <v>439551</v>
      </c>
      <c r="BW395" s="8"/>
      <c r="BX395" s="8">
        <f>BV395-'Gov Fd BS'!AE395</f>
        <v>0</v>
      </c>
      <c r="BY395" s="8"/>
      <c r="CB395" s="101" t="str">
        <f t="shared" si="70"/>
        <v>North Ridgeville City SD</v>
      </c>
      <c r="CC395" s="101" t="b">
        <f t="shared" si="67"/>
        <v>1</v>
      </c>
      <c r="CD395" s="101" t="str">
        <f>'Gov Fd Rv'!A395</f>
        <v>North Ridgeville City SD</v>
      </c>
      <c r="CE395" s="8" t="b">
        <f t="shared" si="66"/>
        <v>1</v>
      </c>
      <c r="CG395" s="8" t="str">
        <f t="shared" si="68"/>
        <v>Lorain</v>
      </c>
      <c r="CH395" s="8" t="b">
        <f t="shared" si="69"/>
        <v>1</v>
      </c>
      <c r="CI395" s="8" t="b">
        <f>C395='Gov Fd Rv'!C395</f>
        <v>1</v>
      </c>
    </row>
    <row r="396" spans="1:87">
      <c r="A396" s="12" t="s">
        <v>278</v>
      </c>
      <c r="B396" s="12"/>
      <c r="C396" s="12" t="s">
        <v>20</v>
      </c>
      <c r="D396" s="12"/>
      <c r="E396" s="12">
        <v>44545</v>
      </c>
      <c r="G396" s="7">
        <v>23738921</v>
      </c>
      <c r="I396" s="7">
        <v>3122539</v>
      </c>
      <c r="K396" s="7">
        <v>195579</v>
      </c>
      <c r="M396" s="7">
        <v>0</v>
      </c>
      <c r="O396" s="7">
        <v>1138060</v>
      </c>
      <c r="Q396" s="7">
        <v>2830579</v>
      </c>
      <c r="S396" s="7">
        <v>2874452</v>
      </c>
      <c r="U396" s="7">
        <v>85366</v>
      </c>
      <c r="W396" s="7">
        <v>3898949</v>
      </c>
      <c r="Y396" s="7">
        <v>1154314</v>
      </c>
      <c r="AA396" s="7">
        <v>335207</v>
      </c>
      <c r="AC396" s="7">
        <v>3597065</v>
      </c>
      <c r="AE396" s="7">
        <v>3106555</v>
      </c>
      <c r="AG396" s="7">
        <v>509548</v>
      </c>
      <c r="AI396" s="7">
        <v>1301456</v>
      </c>
      <c r="AK396" s="7">
        <v>703028</v>
      </c>
      <c r="AL396" s="12" t="s">
        <v>278</v>
      </c>
      <c r="AM396" s="12"/>
      <c r="AN396" s="12" t="s">
        <v>20</v>
      </c>
      <c r="AP396" s="7">
        <v>1053701</v>
      </c>
      <c r="AR396" s="7">
        <v>2208190</v>
      </c>
      <c r="AT396" s="7">
        <v>0</v>
      </c>
      <c r="AV396" s="7">
        <v>165697</v>
      </c>
      <c r="AX396" s="7">
        <f>522684+1214303+129697</f>
        <v>1866684</v>
      </c>
      <c r="AZ396" s="7">
        <v>0</v>
      </c>
      <c r="BB396" s="8">
        <f t="shared" si="77"/>
        <v>53885890</v>
      </c>
      <c r="BD396" s="7">
        <v>158000</v>
      </c>
      <c r="BF396" s="7">
        <v>0</v>
      </c>
      <c r="BH396" s="7">
        <v>0</v>
      </c>
      <c r="BJ396" s="7">
        <v>44765</v>
      </c>
      <c r="BL396" s="8">
        <f t="shared" si="81"/>
        <v>54088655</v>
      </c>
      <c r="BN396" s="8">
        <f>'Gov Fd Rv'!AQ396-'Gov Fnd Exp'!BL396</f>
        <v>5770314</v>
      </c>
      <c r="BP396" s="7">
        <v>11865746</v>
      </c>
      <c r="BR396" s="7">
        <v>0</v>
      </c>
      <c r="BT396" s="7">
        <v>0</v>
      </c>
      <c r="BV396" s="8">
        <f t="shared" si="79"/>
        <v>17636060</v>
      </c>
      <c r="BW396" s="8"/>
      <c r="BX396" s="8">
        <f>BV396-'Gov Fd BS'!AE396</f>
        <v>0</v>
      </c>
      <c r="BY396" s="8"/>
      <c r="CB396" s="101" t="str">
        <f t="shared" si="70"/>
        <v>North Royalton City SD</v>
      </c>
      <c r="CC396" s="101" t="b">
        <f t="shared" si="67"/>
        <v>1</v>
      </c>
      <c r="CD396" s="101" t="str">
        <f>'Gov Fd Rv'!A396</f>
        <v>North Royalton City SD</v>
      </c>
      <c r="CE396" s="8" t="b">
        <f t="shared" si="66"/>
        <v>1</v>
      </c>
      <c r="CG396" s="8" t="str">
        <f t="shared" si="68"/>
        <v>Cuyahoga</v>
      </c>
      <c r="CH396" s="8" t="b">
        <f t="shared" si="69"/>
        <v>1</v>
      </c>
      <c r="CI396" s="8" t="b">
        <f>C396='Gov Fd Rv'!C396</f>
        <v>1</v>
      </c>
    </row>
    <row r="397" spans="1:87">
      <c r="A397" s="12" t="s">
        <v>556</v>
      </c>
      <c r="B397" s="12"/>
      <c r="C397" s="12" t="s">
        <v>66</v>
      </c>
      <c r="D397" s="12"/>
      <c r="E397" s="12">
        <v>50336</v>
      </c>
      <c r="G397" s="7">
        <v>6430996</v>
      </c>
      <c r="I397" s="7">
        <v>1708768</v>
      </c>
      <c r="K397" s="7">
        <v>812450</v>
      </c>
      <c r="M397" s="7">
        <v>0</v>
      </c>
      <c r="O397" s="7">
        <v>0</v>
      </c>
      <c r="Q397" s="7">
        <v>681866</v>
      </c>
      <c r="S397" s="7">
        <v>940443</v>
      </c>
      <c r="U397" s="7">
        <v>34314</v>
      </c>
      <c r="W397" s="7">
        <v>1071361</v>
      </c>
      <c r="Y397" s="7">
        <v>487558</v>
      </c>
      <c r="AA397" s="7">
        <v>0</v>
      </c>
      <c r="AC397" s="7">
        <v>1892867</v>
      </c>
      <c r="AE397" s="7">
        <v>978303</v>
      </c>
      <c r="AG397" s="7">
        <v>14130</v>
      </c>
      <c r="AI397" s="7">
        <v>0</v>
      </c>
      <c r="AK397" s="7">
        <v>622349</v>
      </c>
      <c r="AL397" s="12" t="s">
        <v>556</v>
      </c>
      <c r="AM397" s="12"/>
      <c r="AN397" s="12" t="s">
        <v>66</v>
      </c>
      <c r="AP397" s="7">
        <v>358154</v>
      </c>
      <c r="AR397" s="7">
        <v>175009</v>
      </c>
      <c r="AT397" s="7">
        <v>0</v>
      </c>
      <c r="AV397" s="7">
        <v>490000</v>
      </c>
      <c r="AX397" s="7">
        <v>503600</v>
      </c>
      <c r="AZ397" s="7">
        <v>0</v>
      </c>
      <c r="BB397" s="8">
        <f t="shared" si="77"/>
        <v>17202168</v>
      </c>
      <c r="BD397" s="7">
        <v>0</v>
      </c>
      <c r="BF397" s="7">
        <v>0</v>
      </c>
      <c r="BH397" s="7">
        <v>0</v>
      </c>
      <c r="BJ397" s="7">
        <v>0</v>
      </c>
      <c r="BL397" s="8">
        <f t="shared" si="81"/>
        <v>17202168</v>
      </c>
      <c r="BN397" s="8">
        <f>'Gov Fd Rv'!AQ397-'Gov Fnd Exp'!BL397</f>
        <v>-271065</v>
      </c>
      <c r="BP397" s="7">
        <v>14385070</v>
      </c>
      <c r="BR397" s="7">
        <v>0</v>
      </c>
      <c r="BT397" s="7">
        <v>0</v>
      </c>
      <c r="BV397" s="8">
        <f t="shared" si="79"/>
        <v>14114005</v>
      </c>
      <c r="BW397" s="8"/>
      <c r="BX397" s="8">
        <f>BV397-'Gov Fd BS'!AE397</f>
        <v>0</v>
      </c>
      <c r="BY397" s="8"/>
      <c r="CB397" s="101" t="str">
        <f t="shared" si="70"/>
        <v>North Union Local SD</v>
      </c>
      <c r="CC397" s="101" t="b">
        <f t="shared" si="67"/>
        <v>1</v>
      </c>
      <c r="CD397" s="101" t="str">
        <f>'Gov Fd Rv'!A397</f>
        <v>North Union Local SD</v>
      </c>
      <c r="CE397" s="8" t="b">
        <f t="shared" ref="CE397:CE462" si="82">CB397=CD397</f>
        <v>1</v>
      </c>
      <c r="CG397" s="8" t="str">
        <f t="shared" si="68"/>
        <v>Union</v>
      </c>
      <c r="CH397" s="8" t="b">
        <f t="shared" si="69"/>
        <v>1</v>
      </c>
      <c r="CI397" s="8" t="b">
        <f>C397='Gov Fd Rv'!C397</f>
        <v>1</v>
      </c>
    </row>
    <row r="398" spans="1:87">
      <c r="A398" s="12" t="s">
        <v>238</v>
      </c>
      <c r="B398" s="12"/>
      <c r="C398" s="12" t="s">
        <v>17</v>
      </c>
      <c r="D398" s="12"/>
      <c r="E398" s="12">
        <v>46250</v>
      </c>
      <c r="G398" s="7">
        <v>14213024</v>
      </c>
      <c r="I398" s="7">
        <v>3253327</v>
      </c>
      <c r="K398" s="7">
        <v>861258</v>
      </c>
      <c r="M398" s="7">
        <v>0</v>
      </c>
      <c r="O398" s="7">
        <f>24388+14809</f>
        <v>39197</v>
      </c>
      <c r="Q398" s="7">
        <v>1698333</v>
      </c>
      <c r="S398" s="7">
        <v>1688971</v>
      </c>
      <c r="U398" s="7">
        <v>50956</v>
      </c>
      <c r="W398" s="7">
        <v>2776563</v>
      </c>
      <c r="Y398" s="7">
        <v>695315</v>
      </c>
      <c r="AA398" s="7">
        <v>0</v>
      </c>
      <c r="AC398" s="7">
        <v>2849057</v>
      </c>
      <c r="AE398" s="7">
        <v>1990317</v>
      </c>
      <c r="AG398" s="7">
        <v>52962</v>
      </c>
      <c r="AI398" s="7">
        <v>0</v>
      </c>
      <c r="AK398" s="7">
        <v>1696399</v>
      </c>
      <c r="AL398" s="12" t="s">
        <v>238</v>
      </c>
      <c r="AM398" s="12"/>
      <c r="AN398" s="12" t="s">
        <v>17</v>
      </c>
      <c r="AP398" s="7">
        <v>1008786</v>
      </c>
      <c r="AR398" s="7">
        <v>141605</v>
      </c>
      <c r="AT398" s="7">
        <v>0</v>
      </c>
      <c r="AV398" s="7">
        <v>637598</v>
      </c>
      <c r="AX398" s="7">
        <v>170045</v>
      </c>
      <c r="AZ398" s="7">
        <v>0</v>
      </c>
      <c r="BB398" s="8">
        <f t="shared" si="77"/>
        <v>33823713</v>
      </c>
      <c r="BD398" s="7">
        <v>0</v>
      </c>
      <c r="BF398" s="7">
        <v>0</v>
      </c>
      <c r="BH398" s="7">
        <v>0</v>
      </c>
      <c r="BJ398" s="7">
        <v>0</v>
      </c>
      <c r="BL398" s="8">
        <f t="shared" si="81"/>
        <v>33823713</v>
      </c>
      <c r="BN398" s="8">
        <f>'Gov Fd Rv'!AQ398-'Gov Fnd Exp'!BL398</f>
        <v>-116157</v>
      </c>
      <c r="BP398" s="7">
        <v>8614497</v>
      </c>
      <c r="BR398" s="7">
        <v>0</v>
      </c>
      <c r="BT398" s="7">
        <v>0</v>
      </c>
      <c r="BV398" s="8">
        <f t="shared" si="79"/>
        <v>8498340</v>
      </c>
      <c r="BW398" s="8"/>
      <c r="BX398" s="8">
        <f>BV398-'Gov Fd BS'!AE398</f>
        <v>0</v>
      </c>
      <c r="BY398" s="8"/>
      <c r="CB398" s="101" t="str">
        <f t="shared" si="70"/>
        <v>Northeastern Local SD</v>
      </c>
      <c r="CC398" s="101" t="b">
        <f t="shared" ref="CC398:CC463" si="83">A398=AL398</f>
        <v>1</v>
      </c>
      <c r="CD398" s="101" t="str">
        <f>'Gov Fd Rv'!A398</f>
        <v>Northeastern Local SD</v>
      </c>
      <c r="CE398" s="8" t="b">
        <f t="shared" si="82"/>
        <v>1</v>
      </c>
      <c r="CG398" s="8" t="str">
        <f t="shared" ref="CG398:CG463" si="84">C398</f>
        <v>Clark</v>
      </c>
      <c r="CH398" s="8" t="b">
        <f t="shared" ref="CH398:CH463" si="85">C398=AN398</f>
        <v>1</v>
      </c>
      <c r="CI398" s="8" t="b">
        <f>C398='Gov Fd Rv'!C398</f>
        <v>1</v>
      </c>
    </row>
    <row r="399" spans="1:87" hidden="1">
      <c r="A399" s="12" t="s">
        <v>946</v>
      </c>
      <c r="B399" s="12"/>
      <c r="C399" s="12" t="s">
        <v>22</v>
      </c>
      <c r="D399" s="12"/>
      <c r="E399" s="12">
        <v>46722</v>
      </c>
      <c r="AL399" s="12" t="s">
        <v>946</v>
      </c>
      <c r="AM399" s="12"/>
      <c r="AN399" s="12" t="s">
        <v>22</v>
      </c>
      <c r="AT399" s="7">
        <v>0</v>
      </c>
      <c r="AZ399" s="7">
        <v>0</v>
      </c>
      <c r="BB399" s="8">
        <f t="shared" si="77"/>
        <v>0</v>
      </c>
      <c r="BF399" s="7">
        <v>0</v>
      </c>
      <c r="BH399" s="7">
        <v>0</v>
      </c>
      <c r="BL399" s="8">
        <f t="shared" si="78"/>
        <v>0</v>
      </c>
      <c r="BN399" s="8">
        <f>'Gov Fd Rv'!AQ399-'Gov Fnd Exp'!BL399</f>
        <v>0</v>
      </c>
      <c r="BT399" s="7">
        <v>0</v>
      </c>
      <c r="BV399" s="8">
        <f t="shared" si="79"/>
        <v>0</v>
      </c>
      <c r="BW399" s="8"/>
      <c r="BX399" s="8">
        <f>BV399-'Gov Fd BS'!AE399</f>
        <v>0</v>
      </c>
      <c r="BY399" s="8"/>
      <c r="BZ399" s="7" t="s">
        <v>839</v>
      </c>
      <c r="CB399" s="101" t="str">
        <f t="shared" si="70"/>
        <v>Northeastern Local SD (CASH)</v>
      </c>
      <c r="CC399" s="101" t="b">
        <f t="shared" si="83"/>
        <v>1</v>
      </c>
      <c r="CD399" s="101" t="str">
        <f>'Gov Fd Rv'!A399</f>
        <v>Northeastern Local SD (CASH)</v>
      </c>
      <c r="CE399" s="8" t="b">
        <f t="shared" si="82"/>
        <v>1</v>
      </c>
      <c r="CG399" s="8" t="str">
        <f t="shared" si="84"/>
        <v>Defiance</v>
      </c>
      <c r="CH399" s="8" t="b">
        <f t="shared" si="85"/>
        <v>1</v>
      </c>
      <c r="CI399" s="8" t="b">
        <f>C399='Gov Fd Rv'!C399</f>
        <v>1</v>
      </c>
    </row>
    <row r="400" spans="1:87" hidden="1">
      <c r="A400" s="12" t="s">
        <v>947</v>
      </c>
      <c r="B400" s="12"/>
      <c r="C400" s="12" t="s">
        <v>466</v>
      </c>
      <c r="D400" s="12"/>
      <c r="E400" s="12"/>
      <c r="AL400" s="12" t="s">
        <v>947</v>
      </c>
      <c r="AM400" s="12"/>
      <c r="AN400" s="12" t="s">
        <v>466</v>
      </c>
      <c r="AT400" s="7">
        <v>0</v>
      </c>
      <c r="AZ400" s="7">
        <v>0</v>
      </c>
      <c r="BB400" s="8">
        <f t="shared" si="77"/>
        <v>0</v>
      </c>
      <c r="BF400" s="7">
        <v>0</v>
      </c>
      <c r="BH400" s="7">
        <v>0</v>
      </c>
      <c r="BL400" s="8">
        <f t="shared" ref="BL400" si="86">BB400+BD400+BJ400</f>
        <v>0</v>
      </c>
      <c r="BN400" s="8">
        <f>'Gov Fd Rv'!AQ400-'Gov Fnd Exp'!BL400</f>
        <v>0</v>
      </c>
      <c r="BT400" s="7">
        <v>0</v>
      </c>
      <c r="BV400" s="8">
        <f t="shared" si="79"/>
        <v>0</v>
      </c>
      <c r="BW400" s="8"/>
      <c r="BX400" s="8"/>
      <c r="BY400" s="8"/>
      <c r="BZ400" s="7" t="s">
        <v>931</v>
      </c>
      <c r="CB400" s="101" t="str">
        <f t="shared" ref="CB400" si="87">A400</f>
        <v>Northern Local SD (CASH)</v>
      </c>
      <c r="CC400" s="101" t="b">
        <f t="shared" ref="CC400" si="88">A400=AL400</f>
        <v>1</v>
      </c>
      <c r="CD400" s="101" t="str">
        <f>'Gov Fd Rv'!A400</f>
        <v>Northern Local SD (CASH)</v>
      </c>
      <c r="CE400" s="8" t="b">
        <f t="shared" ref="CE400" si="89">CB400=CD400</f>
        <v>1</v>
      </c>
      <c r="CG400" s="8" t="str">
        <f t="shared" ref="CG400" si="90">C400</f>
        <v>Perry</v>
      </c>
      <c r="CH400" s="8" t="b">
        <f t="shared" ref="CH400" si="91">C400=AN400</f>
        <v>1</v>
      </c>
      <c r="CI400" s="8" t="b">
        <f>C400='Gov Fd Rv'!C400</f>
        <v>1</v>
      </c>
    </row>
    <row r="401" spans="1:87">
      <c r="A401" s="12" t="s">
        <v>447</v>
      </c>
      <c r="B401" s="12"/>
      <c r="C401" s="12" t="s">
        <v>50</v>
      </c>
      <c r="D401" s="12"/>
      <c r="E401" s="12">
        <v>48728</v>
      </c>
      <c r="G401" s="7">
        <v>25038557</v>
      </c>
      <c r="I401" s="7">
        <v>10388919</v>
      </c>
      <c r="K401" s="7">
        <v>335810</v>
      </c>
      <c r="M401" s="7">
        <v>0</v>
      </c>
      <c r="O401" s="7">
        <v>31448</v>
      </c>
      <c r="Q401" s="7">
        <v>3871279</v>
      </c>
      <c r="S401" s="7">
        <v>504019</v>
      </c>
      <c r="U401" s="7">
        <v>61969</v>
      </c>
      <c r="W401" s="7">
        <v>3323655</v>
      </c>
      <c r="Y401" s="7">
        <v>1085841</v>
      </c>
      <c r="AA401" s="7">
        <v>420097</v>
      </c>
      <c r="AC401" s="7">
        <v>3804343</v>
      </c>
      <c r="AE401" s="7">
        <v>2243211</v>
      </c>
      <c r="AG401" s="7">
        <v>340162</v>
      </c>
      <c r="AI401" s="7">
        <v>0</v>
      </c>
      <c r="AK401" s="7">
        <v>3537740</v>
      </c>
      <c r="AL401" s="12" t="s">
        <v>447</v>
      </c>
      <c r="AM401" s="12"/>
      <c r="AN401" s="12" t="s">
        <v>50</v>
      </c>
      <c r="AP401" s="7">
        <v>1077717</v>
      </c>
      <c r="AR401" s="7">
        <v>861401</v>
      </c>
      <c r="AT401" s="7">
        <v>0</v>
      </c>
      <c r="AV401" s="7">
        <v>156718</v>
      </c>
      <c r="AX401" s="7">
        <v>13090</v>
      </c>
      <c r="AZ401" s="7">
        <v>0</v>
      </c>
      <c r="BB401" s="8">
        <f t="shared" si="77"/>
        <v>57095976</v>
      </c>
      <c r="BD401" s="7">
        <v>16000</v>
      </c>
      <c r="BF401" s="7">
        <v>0</v>
      </c>
      <c r="BH401" s="7">
        <v>0</v>
      </c>
      <c r="BJ401" s="7">
        <v>0</v>
      </c>
      <c r="BL401" s="8">
        <f t="shared" si="78"/>
        <v>57111976</v>
      </c>
      <c r="BN401" s="8">
        <f>'Gov Fd Rv'!AQ401-'Gov Fnd Exp'!BL401</f>
        <v>968742</v>
      </c>
      <c r="BP401" s="7">
        <v>5763585</v>
      </c>
      <c r="BR401" s="7">
        <v>0</v>
      </c>
      <c r="BT401" s="7">
        <v>0</v>
      </c>
      <c r="BV401" s="8">
        <f t="shared" si="79"/>
        <v>6732327</v>
      </c>
      <c r="BW401" s="8"/>
      <c r="BX401" s="8">
        <f>BV401-'Gov Fd BS'!AE401</f>
        <v>0</v>
      </c>
      <c r="BY401" s="8"/>
      <c r="CB401" s="101" t="str">
        <f t="shared" si="70"/>
        <v>Northmont City SD</v>
      </c>
      <c r="CC401" s="101" t="b">
        <f t="shared" si="83"/>
        <v>1</v>
      </c>
      <c r="CD401" s="101" t="str">
        <f>'Gov Fd Rv'!A401</f>
        <v>Northmont City SD</v>
      </c>
      <c r="CE401" s="8" t="b">
        <f t="shared" si="82"/>
        <v>1</v>
      </c>
      <c r="CG401" s="8" t="str">
        <f t="shared" si="84"/>
        <v>Montgomery</v>
      </c>
      <c r="CH401" s="8" t="b">
        <f t="shared" si="85"/>
        <v>1</v>
      </c>
      <c r="CI401" s="8" t="b">
        <f>C401='Gov Fd Rv'!C401</f>
        <v>1</v>
      </c>
    </row>
    <row r="402" spans="1:87">
      <c r="A402" s="12" t="s">
        <v>455</v>
      </c>
      <c r="B402" s="12"/>
      <c r="C402" s="12" t="s">
        <v>78</v>
      </c>
      <c r="D402" s="12"/>
      <c r="E402" s="12">
        <v>48819</v>
      </c>
      <c r="G402" s="7">
        <v>4819429</v>
      </c>
      <c r="I402" s="7">
        <v>1272941</v>
      </c>
      <c r="K402" s="7">
        <v>251765</v>
      </c>
      <c r="M402" s="7">
        <v>0</v>
      </c>
      <c r="O402" s="7">
        <v>985501</v>
      </c>
      <c r="Q402" s="7">
        <v>358990</v>
      </c>
      <c r="S402" s="7">
        <v>830741</v>
      </c>
      <c r="U402" s="7">
        <v>32765</v>
      </c>
      <c r="W402" s="7">
        <v>1052265</v>
      </c>
      <c r="Y402" s="7">
        <v>461858</v>
      </c>
      <c r="AA402" s="7">
        <v>94</v>
      </c>
      <c r="AC402" s="7">
        <v>839681</v>
      </c>
      <c r="AE402" s="7">
        <v>690369</v>
      </c>
      <c r="AG402" s="7">
        <v>6475</v>
      </c>
      <c r="AI402" s="7">
        <v>381475</v>
      </c>
      <c r="AK402" s="7">
        <v>2500</v>
      </c>
      <c r="AL402" s="12" t="s">
        <v>455</v>
      </c>
      <c r="AM402" s="12"/>
      <c r="AN402" s="12" t="s">
        <v>78</v>
      </c>
      <c r="AP402" s="7">
        <v>312614</v>
      </c>
      <c r="AR402" s="7">
        <v>14167722</v>
      </c>
      <c r="AT402" s="7">
        <v>0</v>
      </c>
      <c r="AV402" s="7">
        <v>235000</v>
      </c>
      <c r="AX402" s="7">
        <v>650844</v>
      </c>
      <c r="AZ402" s="7">
        <v>0</v>
      </c>
      <c r="BB402" s="8">
        <f t="shared" si="77"/>
        <v>27353029</v>
      </c>
      <c r="BD402" s="7">
        <v>0</v>
      </c>
      <c r="BF402" s="7">
        <v>0</v>
      </c>
      <c r="BH402" s="7">
        <v>0</v>
      </c>
      <c r="BJ402" s="7">
        <v>0</v>
      </c>
      <c r="BL402" s="8">
        <f t="shared" si="78"/>
        <v>27353029</v>
      </c>
      <c r="BN402" s="8">
        <f>'Gov Fd Rv'!AQ402-'Gov Fnd Exp'!BL402</f>
        <v>-12828262</v>
      </c>
      <c r="BP402" s="7">
        <v>22064784</v>
      </c>
      <c r="BR402" s="7">
        <v>0</v>
      </c>
      <c r="BT402" s="7">
        <v>0</v>
      </c>
      <c r="BV402" s="8">
        <f t="shared" si="79"/>
        <v>9236522</v>
      </c>
      <c r="BW402" s="8"/>
      <c r="BX402" s="8">
        <f>BV402-'Gov Fd BS'!AE402</f>
        <v>0</v>
      </c>
      <c r="BY402" s="8"/>
      <c r="CB402" s="101" t="str">
        <f t="shared" ref="CB402:CB468" si="92">A402</f>
        <v>Northmor Local SD</v>
      </c>
      <c r="CC402" s="101" t="b">
        <f t="shared" si="83"/>
        <v>1</v>
      </c>
      <c r="CD402" s="101" t="str">
        <f>'Gov Fd Rv'!A402</f>
        <v>Northmor Local SD</v>
      </c>
      <c r="CE402" s="8" t="b">
        <f t="shared" si="82"/>
        <v>1</v>
      </c>
      <c r="CG402" s="8" t="str">
        <f t="shared" si="84"/>
        <v>Morrow</v>
      </c>
      <c r="CH402" s="8" t="b">
        <f t="shared" si="85"/>
        <v>1</v>
      </c>
      <c r="CI402" s="8" t="b">
        <f>C402='Gov Fd Rv'!C402</f>
        <v>1</v>
      </c>
    </row>
    <row r="403" spans="1:87">
      <c r="A403" s="12" t="s">
        <v>390</v>
      </c>
      <c r="B403" s="12"/>
      <c r="C403" s="12" t="s">
        <v>42</v>
      </c>
      <c r="D403" s="12"/>
      <c r="E403" s="12">
        <v>48033</v>
      </c>
      <c r="G403" s="7">
        <v>5977954</v>
      </c>
      <c r="I403" s="7">
        <v>1199955</v>
      </c>
      <c r="K403" s="7">
        <v>153106</v>
      </c>
      <c r="M403" s="7">
        <v>0</v>
      </c>
      <c r="O403" s="7">
        <v>6741</v>
      </c>
      <c r="Q403" s="7">
        <v>595071</v>
      </c>
      <c r="S403" s="7">
        <v>432223</v>
      </c>
      <c r="U403" s="7">
        <v>87564</v>
      </c>
      <c r="W403" s="7">
        <v>1001846</v>
      </c>
      <c r="Y403" s="7">
        <v>389608</v>
      </c>
      <c r="AA403" s="7">
        <v>0</v>
      </c>
      <c r="AC403" s="7">
        <v>1051725</v>
      </c>
      <c r="AE403" s="7">
        <v>1451995</v>
      </c>
      <c r="AG403" s="7">
        <v>152098</v>
      </c>
      <c r="AI403" s="7">
        <v>396565</v>
      </c>
      <c r="AK403" s="7">
        <v>4971</v>
      </c>
      <c r="AL403" s="12" t="s">
        <v>390</v>
      </c>
      <c r="AM403" s="12"/>
      <c r="AN403" s="12" t="s">
        <v>42</v>
      </c>
      <c r="AP403" s="7">
        <v>249474</v>
      </c>
      <c r="AR403" s="7">
        <v>0</v>
      </c>
      <c r="AT403" s="7">
        <v>0</v>
      </c>
      <c r="AV403" s="7">
        <v>541253</v>
      </c>
      <c r="AX403" s="7">
        <v>274235</v>
      </c>
      <c r="AZ403" s="7">
        <v>0</v>
      </c>
      <c r="BB403" s="8">
        <f t="shared" si="77"/>
        <v>13966384</v>
      </c>
      <c r="BD403" s="7">
        <v>68094</v>
      </c>
      <c r="BF403" s="7">
        <v>0</v>
      </c>
      <c r="BH403" s="7">
        <v>0</v>
      </c>
      <c r="BJ403" s="7">
        <v>0</v>
      </c>
      <c r="BL403" s="8">
        <f t="shared" si="78"/>
        <v>14034478</v>
      </c>
      <c r="BN403" s="8">
        <f>'Gov Fd Rv'!AQ403-'Gov Fnd Exp'!BL403</f>
        <v>1760101</v>
      </c>
      <c r="BP403" s="7">
        <v>4046224</v>
      </c>
      <c r="BR403" s="7">
        <v>0</v>
      </c>
      <c r="BT403" s="7">
        <v>0</v>
      </c>
      <c r="BV403" s="8">
        <f t="shared" si="79"/>
        <v>5806325</v>
      </c>
      <c r="BW403" s="8"/>
      <c r="BX403" s="8">
        <f>BV403-'Gov Fd BS'!AE403</f>
        <v>0</v>
      </c>
      <c r="BY403" s="8"/>
      <c r="BZ403" s="7" t="s">
        <v>948</v>
      </c>
      <c r="CB403" s="101" t="str">
        <f t="shared" si="92"/>
        <v>Northridge Local SD</v>
      </c>
      <c r="CC403" s="101" t="b">
        <f t="shared" si="83"/>
        <v>1</v>
      </c>
      <c r="CD403" s="101" t="str">
        <f>'Gov Fd Rv'!A403</f>
        <v>Northridge Local SD</v>
      </c>
      <c r="CE403" s="8" t="b">
        <f t="shared" si="82"/>
        <v>1</v>
      </c>
      <c r="CG403" s="8" t="str">
        <f t="shared" si="84"/>
        <v>Licking</v>
      </c>
      <c r="CH403" s="8" t="b">
        <f t="shared" si="85"/>
        <v>1</v>
      </c>
      <c r="CI403" s="8" t="b">
        <f>C403='Gov Fd Rv'!C403</f>
        <v>1</v>
      </c>
    </row>
    <row r="404" spans="1:87">
      <c r="A404" s="12" t="s">
        <v>390</v>
      </c>
      <c r="B404" s="12"/>
      <c r="C404" s="12" t="s">
        <v>50</v>
      </c>
      <c r="D404" s="12"/>
      <c r="E404" s="12">
        <v>48736</v>
      </c>
      <c r="G404" s="7">
        <v>10223210</v>
      </c>
      <c r="I404" s="7">
        <v>2519784</v>
      </c>
      <c r="K404" s="7">
        <v>118605</v>
      </c>
      <c r="M404" s="7">
        <v>0</v>
      </c>
      <c r="O404" s="7">
        <v>338719</v>
      </c>
      <c r="Q404" s="7">
        <v>1712437</v>
      </c>
      <c r="S404" s="7">
        <v>663946</v>
      </c>
      <c r="U404" s="7">
        <v>28986</v>
      </c>
      <c r="W404" s="7">
        <v>1952898</v>
      </c>
      <c r="Y404" s="7">
        <v>397933</v>
      </c>
      <c r="AA404" s="7">
        <v>224017</v>
      </c>
      <c r="AC404" s="7">
        <v>2200551</v>
      </c>
      <c r="AE404" s="7">
        <v>1547046</v>
      </c>
      <c r="AG404" s="7">
        <v>59539</v>
      </c>
      <c r="AI404" s="7">
        <v>0</v>
      </c>
      <c r="AK404" s="7">
        <v>1053048</v>
      </c>
      <c r="AL404" s="12" t="s">
        <v>390</v>
      </c>
      <c r="AM404" s="12"/>
      <c r="AN404" s="12" t="s">
        <v>50</v>
      </c>
      <c r="AP404" s="7">
        <v>484016</v>
      </c>
      <c r="AR404" s="7">
        <v>33120</v>
      </c>
      <c r="AT404" s="7">
        <v>0</v>
      </c>
      <c r="AV404" s="7">
        <v>240000</v>
      </c>
      <c r="AX404" s="7">
        <f>284552+125000</f>
        <v>409552</v>
      </c>
      <c r="AZ404" s="7">
        <v>0</v>
      </c>
      <c r="BB404" s="8">
        <f t="shared" si="77"/>
        <v>24207407</v>
      </c>
      <c r="BD404" s="7">
        <v>0</v>
      </c>
      <c r="BF404" s="7">
        <v>0</v>
      </c>
      <c r="BH404" s="7">
        <v>0</v>
      </c>
      <c r="BJ404" s="7">
        <v>0</v>
      </c>
      <c r="BL404" s="8">
        <f t="shared" si="78"/>
        <v>24207407</v>
      </c>
      <c r="BN404" s="8">
        <f>'Gov Fd Rv'!AQ404-'Gov Fnd Exp'!BL404</f>
        <v>81904</v>
      </c>
      <c r="BP404" s="7">
        <v>7578305</v>
      </c>
      <c r="BR404" s="7">
        <v>0</v>
      </c>
      <c r="BT404" s="7">
        <v>0</v>
      </c>
      <c r="BV404" s="8">
        <f t="shared" si="79"/>
        <v>7660209</v>
      </c>
      <c r="BW404" s="8"/>
      <c r="BX404" s="8">
        <f>BV404-'Gov Fd BS'!AE404</f>
        <v>0</v>
      </c>
      <c r="BY404" s="8"/>
      <c r="CB404" s="101" t="str">
        <f t="shared" si="92"/>
        <v>Northridge Local SD</v>
      </c>
      <c r="CC404" s="101" t="b">
        <f t="shared" si="83"/>
        <v>1</v>
      </c>
      <c r="CD404" s="101" t="str">
        <f>'Gov Fd Rv'!A404</f>
        <v>Northridge Local SD</v>
      </c>
      <c r="CE404" s="8" t="b">
        <f t="shared" si="82"/>
        <v>1</v>
      </c>
      <c r="CG404" s="8" t="str">
        <f t="shared" si="84"/>
        <v>Montgomery</v>
      </c>
      <c r="CH404" s="8" t="b">
        <f t="shared" si="85"/>
        <v>1</v>
      </c>
      <c r="CI404" s="8" t="b">
        <f>C404='Gov Fd Rv'!C404</f>
        <v>1</v>
      </c>
    </row>
    <row r="405" spans="1:87">
      <c r="A405" s="12" t="s">
        <v>335</v>
      </c>
      <c r="B405" s="12"/>
      <c r="C405" s="12" t="s">
        <v>32</v>
      </c>
      <c r="D405" s="12"/>
      <c r="E405" s="12">
        <v>47365</v>
      </c>
      <c r="G405" s="7">
        <v>39179482</v>
      </c>
      <c r="I405" s="7">
        <v>11025641</v>
      </c>
      <c r="K405" s="7">
        <v>85147</v>
      </c>
      <c r="M405" s="7">
        <v>0</v>
      </c>
      <c r="O405" s="7">
        <f>1435799+11993</f>
        <v>1447792</v>
      </c>
      <c r="Q405" s="7">
        <v>5976801</v>
      </c>
      <c r="S405" s="7">
        <v>7437142</v>
      </c>
      <c r="U405" s="7">
        <v>131907</v>
      </c>
      <c r="W405" s="7">
        <v>5997588</v>
      </c>
      <c r="Y405" s="7">
        <v>2084929</v>
      </c>
      <c r="AA405" s="7">
        <v>605131</v>
      </c>
      <c r="AC405" s="7">
        <v>7725956</v>
      </c>
      <c r="AE405" s="7">
        <v>5113826</v>
      </c>
      <c r="AG405" s="7">
        <v>1774642</v>
      </c>
      <c r="AI405" s="7">
        <v>0</v>
      </c>
      <c r="AK405" s="7">
        <v>7405032</v>
      </c>
      <c r="AL405" s="12" t="s">
        <v>335</v>
      </c>
      <c r="AM405" s="12"/>
      <c r="AN405" s="12" t="s">
        <v>32</v>
      </c>
      <c r="AP405" s="7">
        <v>1964452</v>
      </c>
      <c r="AR405" s="7">
        <v>36483</v>
      </c>
      <c r="AT405" s="7">
        <v>0</v>
      </c>
      <c r="AV405" s="7">
        <v>990000</v>
      </c>
      <c r="AX405" s="7">
        <v>829008</v>
      </c>
      <c r="AZ405" s="7">
        <v>0</v>
      </c>
      <c r="BB405" s="8">
        <f t="shared" si="77"/>
        <v>99810959</v>
      </c>
      <c r="BD405" s="7">
        <v>255000</v>
      </c>
      <c r="BF405" s="7">
        <v>0</v>
      </c>
      <c r="BH405" s="7">
        <v>0</v>
      </c>
      <c r="BJ405" s="7">
        <v>0</v>
      </c>
      <c r="BL405" s="8">
        <f t="shared" si="78"/>
        <v>100065959</v>
      </c>
      <c r="BN405" s="8">
        <f>'Gov Fd Rv'!AQ405-'Gov Fnd Exp'!BL405</f>
        <v>5210807</v>
      </c>
      <c r="BP405" s="7">
        <v>27816819</v>
      </c>
      <c r="BR405" s="7">
        <v>0</v>
      </c>
      <c r="BT405" s="7">
        <v>0</v>
      </c>
      <c r="BV405" s="8">
        <f t="shared" si="79"/>
        <v>33027626</v>
      </c>
      <c r="BW405" s="8"/>
      <c r="BX405" s="8">
        <f>BV405-'Gov Fd BS'!AE405</f>
        <v>0</v>
      </c>
      <c r="BY405" s="8"/>
      <c r="CB405" s="101" t="str">
        <f t="shared" si="92"/>
        <v>Northwest Local SD</v>
      </c>
      <c r="CC405" s="101" t="b">
        <f t="shared" si="83"/>
        <v>1</v>
      </c>
      <c r="CD405" s="101" t="str">
        <f>'Gov Fd Rv'!A405</f>
        <v>Northwest Local SD</v>
      </c>
      <c r="CE405" s="8" t="b">
        <f t="shared" si="82"/>
        <v>1</v>
      </c>
      <c r="CG405" s="8" t="str">
        <f t="shared" si="84"/>
        <v>Hamilton</v>
      </c>
      <c r="CH405" s="8" t="b">
        <f t="shared" si="85"/>
        <v>1</v>
      </c>
      <c r="CI405" s="8" t="b">
        <f>C405='Gov Fd Rv'!C405</f>
        <v>1</v>
      </c>
    </row>
    <row r="406" spans="1:87">
      <c r="A406" s="12" t="s">
        <v>621</v>
      </c>
      <c r="B406" s="12"/>
      <c r="C406" s="12" t="s">
        <v>59</v>
      </c>
      <c r="D406" s="12"/>
      <c r="E406" s="12">
        <v>49635</v>
      </c>
      <c r="G406" s="7">
        <v>7826441</v>
      </c>
      <c r="I406" s="7">
        <v>1401657</v>
      </c>
      <c r="K406" s="7">
        <v>88678</v>
      </c>
      <c r="M406" s="7">
        <v>0</v>
      </c>
      <c r="O406" s="7">
        <v>600426</v>
      </c>
      <c r="Q406" s="7">
        <v>840870</v>
      </c>
      <c r="S406" s="7">
        <v>1169204</v>
      </c>
      <c r="U406" s="7">
        <v>38443</v>
      </c>
      <c r="W406" s="7">
        <v>1098971</v>
      </c>
      <c r="Y406" s="7">
        <v>321315</v>
      </c>
      <c r="AA406" s="7">
        <v>0</v>
      </c>
      <c r="AC406" s="7">
        <v>1799756</v>
      </c>
      <c r="AE406" s="7">
        <v>1802716</v>
      </c>
      <c r="AG406" s="7">
        <v>22483</v>
      </c>
      <c r="AI406" s="7">
        <v>0</v>
      </c>
      <c r="AK406" s="7">
        <v>800626</v>
      </c>
      <c r="AL406" s="12" t="s">
        <v>621</v>
      </c>
      <c r="AM406" s="12"/>
      <c r="AN406" s="12" t="s">
        <v>59</v>
      </c>
      <c r="AP406" s="7">
        <v>279307</v>
      </c>
      <c r="AR406" s="7">
        <v>290816</v>
      </c>
      <c r="AT406" s="7">
        <v>0</v>
      </c>
      <c r="AV406" s="7">
        <v>462000</v>
      </c>
      <c r="AX406" s="7">
        <v>95749</v>
      </c>
      <c r="AZ406" s="7">
        <v>0</v>
      </c>
      <c r="BB406" s="8">
        <f t="shared" si="77"/>
        <v>18939458</v>
      </c>
      <c r="BD406" s="7">
        <v>70179</v>
      </c>
      <c r="BF406" s="7">
        <v>0</v>
      </c>
      <c r="BH406" s="7">
        <v>0</v>
      </c>
      <c r="BJ406" s="7">
        <v>0</v>
      </c>
      <c r="BL406" s="8">
        <f t="shared" si="78"/>
        <v>19009637</v>
      </c>
      <c r="BN406" s="8">
        <f>'Gov Fd Rv'!AQ406-'Gov Fnd Exp'!BL406</f>
        <v>-1166908</v>
      </c>
      <c r="BP406" s="7">
        <v>1821193</v>
      </c>
      <c r="BR406" s="7">
        <v>0</v>
      </c>
      <c r="BT406" s="7">
        <v>0</v>
      </c>
      <c r="BV406" s="8">
        <f t="shared" si="79"/>
        <v>654285</v>
      </c>
      <c r="BW406" s="8"/>
      <c r="BX406" s="8">
        <f>BV406-'Gov Fd BS'!AE406</f>
        <v>0</v>
      </c>
      <c r="BY406" s="8"/>
      <c r="CB406" s="101" t="str">
        <f t="shared" si="92"/>
        <v xml:space="preserve">Northwest Local SD    </v>
      </c>
      <c r="CC406" s="101" t="b">
        <f t="shared" si="83"/>
        <v>1</v>
      </c>
      <c r="CD406" s="101" t="str">
        <f>'Gov Fd Rv'!A406</f>
        <v xml:space="preserve">Northwest Local SD    </v>
      </c>
      <c r="CE406" s="8" t="b">
        <f t="shared" si="82"/>
        <v>1</v>
      </c>
      <c r="CG406" s="8" t="str">
        <f t="shared" si="84"/>
        <v>Scioto</v>
      </c>
      <c r="CH406" s="8" t="b">
        <f t="shared" si="85"/>
        <v>1</v>
      </c>
      <c r="CI406" s="8" t="b">
        <f>C406='Gov Fd Rv'!C406</f>
        <v>1</v>
      </c>
    </row>
    <row r="407" spans="1:87">
      <c r="A407" s="12" t="s">
        <v>335</v>
      </c>
      <c r="B407" s="12"/>
      <c r="C407" s="12" t="s">
        <v>62</v>
      </c>
      <c r="D407" s="12"/>
      <c r="E407" s="12">
        <v>49908</v>
      </c>
      <c r="G407" s="7">
        <v>8767525</v>
      </c>
      <c r="I407" s="7">
        <v>2580657</v>
      </c>
      <c r="K407" s="7">
        <v>201363</v>
      </c>
      <c r="M407" s="7">
        <v>0</v>
      </c>
      <c r="O407" s="7">
        <v>122402</v>
      </c>
      <c r="Q407" s="7">
        <v>776549</v>
      </c>
      <c r="S407" s="7">
        <v>120502</v>
      </c>
      <c r="U407" s="7">
        <v>125115</v>
      </c>
      <c r="W407" s="7">
        <v>1659912</v>
      </c>
      <c r="Y407" s="7">
        <v>445234</v>
      </c>
      <c r="AA407" s="7">
        <v>0</v>
      </c>
      <c r="AC407" s="7">
        <v>3417519</v>
      </c>
      <c r="AE407" s="7">
        <v>940650</v>
      </c>
      <c r="AG407" s="7">
        <v>257836</v>
      </c>
      <c r="AI407" s="7">
        <v>599588</v>
      </c>
      <c r="AK407" s="7">
        <v>99216</v>
      </c>
      <c r="AL407" s="12" t="s">
        <v>335</v>
      </c>
      <c r="AM407" s="12"/>
      <c r="AN407" s="12" t="s">
        <v>62</v>
      </c>
      <c r="AP407" s="7">
        <v>305450</v>
      </c>
      <c r="AR407" s="7">
        <v>3541057</v>
      </c>
      <c r="AT407" s="7">
        <v>0</v>
      </c>
      <c r="AV407" s="7">
        <v>796000</v>
      </c>
      <c r="AX407" s="7">
        <f>1005470+114807</f>
        <v>1120277</v>
      </c>
      <c r="AZ407" s="7">
        <v>0</v>
      </c>
      <c r="BB407" s="8">
        <f t="shared" si="77"/>
        <v>25876852</v>
      </c>
      <c r="BD407" s="7">
        <v>0</v>
      </c>
      <c r="BF407" s="7">
        <v>0</v>
      </c>
      <c r="BH407" s="7">
        <v>0</v>
      </c>
      <c r="BJ407" s="7">
        <v>3362660</v>
      </c>
      <c r="BL407" s="8">
        <f t="shared" si="78"/>
        <v>29239512</v>
      </c>
      <c r="BN407" s="8">
        <f>'Gov Fd Rv'!AQ407-'Gov Fnd Exp'!BL407</f>
        <v>14146214</v>
      </c>
      <c r="BP407" s="7">
        <v>1659758</v>
      </c>
      <c r="BR407" s="7">
        <v>11487</v>
      </c>
      <c r="BT407" s="7">
        <v>0</v>
      </c>
      <c r="BV407" s="8">
        <f t="shared" si="79"/>
        <v>15817459</v>
      </c>
      <c r="BW407" s="8"/>
      <c r="BX407" s="8">
        <f>BV407-'Gov Fd BS'!AE407</f>
        <v>0</v>
      </c>
      <c r="BY407" s="8"/>
      <c r="CB407" s="101" t="str">
        <f t="shared" si="92"/>
        <v>Northwest Local SD</v>
      </c>
      <c r="CC407" s="101" t="b">
        <f t="shared" si="83"/>
        <v>1</v>
      </c>
      <c r="CD407" s="101" t="str">
        <f>'Gov Fd Rv'!A407</f>
        <v>Northwest Local SD</v>
      </c>
      <c r="CE407" s="8" t="b">
        <f t="shared" si="82"/>
        <v>1</v>
      </c>
      <c r="CG407" s="8" t="str">
        <f t="shared" si="84"/>
        <v>Stark</v>
      </c>
      <c r="CH407" s="8" t="b">
        <f t="shared" si="85"/>
        <v>1</v>
      </c>
      <c r="CI407" s="8" t="b">
        <f>C407='Gov Fd Rv'!C407</f>
        <v>1</v>
      </c>
    </row>
    <row r="408" spans="1:87">
      <c r="A408" s="12" t="s">
        <v>239</v>
      </c>
      <c r="B408" s="12"/>
      <c r="C408" s="12" t="s">
        <v>17</v>
      </c>
      <c r="D408" s="12"/>
      <c r="E408" s="12">
        <v>46268</v>
      </c>
      <c r="G408" s="7">
        <v>8056613</v>
      </c>
      <c r="I408" s="7">
        <v>2173438</v>
      </c>
      <c r="K408" s="7">
        <v>0</v>
      </c>
      <c r="M408" s="7">
        <v>0</v>
      </c>
      <c r="O408" s="7">
        <v>8947</v>
      </c>
      <c r="Q408" s="7">
        <v>657157</v>
      </c>
      <c r="S408" s="7">
        <v>772529</v>
      </c>
      <c r="U408" s="7">
        <v>67884</v>
      </c>
      <c r="W408" s="7">
        <v>1190315</v>
      </c>
      <c r="Y408" s="7">
        <v>465448</v>
      </c>
      <c r="AA408" s="7">
        <v>0</v>
      </c>
      <c r="AC408" s="7">
        <v>1210259</v>
      </c>
      <c r="AE408" s="7">
        <v>1069371</v>
      </c>
      <c r="AG408" s="7">
        <v>128641</v>
      </c>
      <c r="AI408" s="7">
        <v>0</v>
      </c>
      <c r="AK408" s="7">
        <v>628056</v>
      </c>
      <c r="AL408" s="12" t="s">
        <v>239</v>
      </c>
      <c r="AM408" s="12"/>
      <c r="AN408" s="12" t="s">
        <v>17</v>
      </c>
      <c r="AP408" s="7">
        <v>439349</v>
      </c>
      <c r="AR408" s="7">
        <v>1932228</v>
      </c>
      <c r="AT408" s="7">
        <v>0</v>
      </c>
      <c r="AV408" s="7">
        <v>125000</v>
      </c>
      <c r="AX408" s="7">
        <v>1599641</v>
      </c>
      <c r="AZ408" s="7">
        <v>0</v>
      </c>
      <c r="BB408" s="8">
        <f t="shared" si="77"/>
        <v>20524876</v>
      </c>
      <c r="BD408" s="7">
        <v>13506158</v>
      </c>
      <c r="BF408" s="7">
        <v>0</v>
      </c>
      <c r="BH408" s="7">
        <v>0</v>
      </c>
      <c r="BJ408" s="7">
        <v>0</v>
      </c>
      <c r="BL408" s="8">
        <f t="shared" si="78"/>
        <v>34031034</v>
      </c>
      <c r="BN408" s="8">
        <f>'Gov Fd Rv'!AQ408-'Gov Fnd Exp'!BL408</f>
        <v>18698852</v>
      </c>
      <c r="BP408" s="7">
        <v>17369854</v>
      </c>
      <c r="BR408" s="7">
        <v>0</v>
      </c>
      <c r="BT408" s="7">
        <v>0</v>
      </c>
      <c r="BV408" s="8">
        <f t="shared" si="79"/>
        <v>36068706</v>
      </c>
      <c r="BW408" s="8"/>
      <c r="BX408" s="8">
        <f>BV408-'Gov Fd BS'!AE408</f>
        <v>0</v>
      </c>
      <c r="BY408" s="8"/>
      <c r="CB408" s="101" t="str">
        <f t="shared" si="92"/>
        <v>Northwestern Local SD</v>
      </c>
      <c r="CC408" s="101" t="b">
        <f t="shared" si="83"/>
        <v>1</v>
      </c>
      <c r="CD408" s="101" t="str">
        <f>'Gov Fd Rv'!A408</f>
        <v>Northwestern Local SD</v>
      </c>
      <c r="CE408" s="8" t="b">
        <f t="shared" si="82"/>
        <v>1</v>
      </c>
      <c r="CG408" s="8" t="str">
        <f t="shared" si="84"/>
        <v>Clark</v>
      </c>
      <c r="CH408" s="8" t="b">
        <f t="shared" si="85"/>
        <v>1</v>
      </c>
      <c r="CI408" s="8" t="b">
        <f>C408='Gov Fd Rv'!C408</f>
        <v>1</v>
      </c>
    </row>
    <row r="409" spans="1:87" hidden="1">
      <c r="A409" s="12" t="s">
        <v>801</v>
      </c>
      <c r="B409" s="12"/>
      <c r="C409" s="12" t="s">
        <v>71</v>
      </c>
      <c r="D409" s="12"/>
      <c r="E409" s="12"/>
      <c r="AL409" s="12" t="s">
        <v>801</v>
      </c>
      <c r="AM409" s="12"/>
      <c r="AN409" s="12" t="s">
        <v>71</v>
      </c>
      <c r="AT409" s="7">
        <v>0</v>
      </c>
      <c r="AZ409" s="7">
        <v>0</v>
      </c>
      <c r="BB409" s="8"/>
      <c r="BF409" s="7">
        <v>0</v>
      </c>
      <c r="BH409" s="7">
        <v>0</v>
      </c>
      <c r="BJ409" s="7">
        <v>0</v>
      </c>
      <c r="BL409" s="8"/>
      <c r="BN409" s="8"/>
      <c r="BR409" s="7">
        <v>0</v>
      </c>
      <c r="BT409" s="7">
        <v>0</v>
      </c>
      <c r="BV409" s="8"/>
      <c r="BW409" s="8"/>
      <c r="BX409" s="8"/>
      <c r="BY409" s="8"/>
      <c r="BZ409" s="7" t="s">
        <v>938</v>
      </c>
      <c r="CB409" s="101" t="str">
        <f t="shared" ref="CB409" si="93">A409</f>
        <v>Northwestern Local SD (CASH)</v>
      </c>
      <c r="CC409" s="101" t="b">
        <f t="shared" si="83"/>
        <v>1</v>
      </c>
      <c r="CD409" s="101" t="str">
        <f>'Gov Fd Rv'!A409</f>
        <v>Northwestern Local SD (CASH)</v>
      </c>
      <c r="CE409" s="8" t="b">
        <f t="shared" si="82"/>
        <v>1</v>
      </c>
      <c r="CG409" s="8" t="str">
        <f t="shared" si="84"/>
        <v>Wayne</v>
      </c>
      <c r="CH409" s="8" t="b">
        <f t="shared" si="85"/>
        <v>1</v>
      </c>
      <c r="CI409" s="8" t="b">
        <f>C409='Gov Fd Rv'!C409</f>
        <v>1</v>
      </c>
    </row>
    <row r="410" spans="1:87">
      <c r="A410" s="12" t="s">
        <v>575</v>
      </c>
      <c r="B410" s="12"/>
      <c r="C410" s="12" t="s">
        <v>72</v>
      </c>
      <c r="D410" s="12"/>
      <c r="E410" s="12">
        <v>50716</v>
      </c>
      <c r="G410" s="7">
        <v>4466459</v>
      </c>
      <c r="I410" s="7">
        <v>1559545</v>
      </c>
      <c r="K410" s="7">
        <v>174884</v>
      </c>
      <c r="M410" s="7">
        <v>0</v>
      </c>
      <c r="O410" s="7">
        <v>0</v>
      </c>
      <c r="Q410" s="7">
        <v>328294</v>
      </c>
      <c r="S410" s="7">
        <v>664583</v>
      </c>
      <c r="U410" s="7">
        <v>14067</v>
      </c>
      <c r="W410" s="7">
        <v>799024</v>
      </c>
      <c r="Y410" s="7">
        <v>328885</v>
      </c>
      <c r="AA410" s="7">
        <v>0</v>
      </c>
      <c r="AC410" s="7">
        <v>922754</v>
      </c>
      <c r="AE410" s="7">
        <v>463236</v>
      </c>
      <c r="AG410" s="7">
        <v>22876</v>
      </c>
      <c r="AI410" s="7">
        <v>0</v>
      </c>
      <c r="AK410" s="7">
        <v>364572</v>
      </c>
      <c r="AL410" s="12" t="s">
        <v>575</v>
      </c>
      <c r="AM410" s="12"/>
      <c r="AN410" s="12" t="s">
        <v>72</v>
      </c>
      <c r="AP410" s="7">
        <v>439839</v>
      </c>
      <c r="AR410" s="7">
        <v>304645</v>
      </c>
      <c r="AT410" s="7">
        <v>0</v>
      </c>
      <c r="AV410" s="7">
        <v>225000</v>
      </c>
      <c r="AX410" s="7">
        <v>35360</v>
      </c>
      <c r="AZ410" s="7">
        <v>0</v>
      </c>
      <c r="BB410" s="8">
        <f t="shared" si="77"/>
        <v>11114023</v>
      </c>
      <c r="BD410" s="7">
        <v>41232</v>
      </c>
      <c r="BF410" s="7">
        <v>0</v>
      </c>
      <c r="BH410" s="7">
        <v>0</v>
      </c>
      <c r="BJ410" s="7">
        <v>0</v>
      </c>
      <c r="BL410" s="8">
        <f t="shared" si="78"/>
        <v>11155255</v>
      </c>
      <c r="BN410" s="8">
        <f>'Gov Fd Rv'!AQ410-'Gov Fnd Exp'!BL410</f>
        <v>1123131</v>
      </c>
      <c r="BP410" s="7">
        <v>3259476</v>
      </c>
      <c r="BR410" s="7">
        <v>0</v>
      </c>
      <c r="BT410" s="7">
        <v>0</v>
      </c>
      <c r="BV410" s="8">
        <f t="shared" si="79"/>
        <v>4382607</v>
      </c>
      <c r="BW410" s="8"/>
      <c r="BX410" s="8">
        <f>BV410-'Gov Fd BS'!AE410</f>
        <v>0</v>
      </c>
      <c r="BY410" s="8"/>
      <c r="CB410" s="101" t="str">
        <f t="shared" si="92"/>
        <v>Northwood Local SD</v>
      </c>
      <c r="CC410" s="101" t="b">
        <f t="shared" si="83"/>
        <v>1</v>
      </c>
      <c r="CD410" s="101" t="str">
        <f>'Gov Fd Rv'!A410</f>
        <v>Northwood Local SD</v>
      </c>
      <c r="CE410" s="8" t="b">
        <f t="shared" si="82"/>
        <v>1</v>
      </c>
      <c r="CG410" s="8" t="str">
        <f t="shared" si="84"/>
        <v>Wood</v>
      </c>
      <c r="CH410" s="8" t="b">
        <f t="shared" si="85"/>
        <v>1</v>
      </c>
      <c r="CI410" s="8" t="b">
        <f>C410='Gov Fd Rv'!C410</f>
        <v>1</v>
      </c>
    </row>
    <row r="411" spans="1:87">
      <c r="A411" s="12" t="s">
        <v>528</v>
      </c>
      <c r="B411" s="12"/>
      <c r="C411" s="12" t="s">
        <v>63</v>
      </c>
      <c r="D411" s="12"/>
      <c r="E411" s="12">
        <v>44552</v>
      </c>
      <c r="G411" s="7">
        <v>10774271</v>
      </c>
      <c r="I411" s="7">
        <v>2054273</v>
      </c>
      <c r="K411" s="7">
        <v>799393</v>
      </c>
      <c r="M411" s="7">
        <v>2952</v>
      </c>
      <c r="O411" s="7">
        <v>329227</v>
      </c>
      <c r="Q411" s="7">
        <v>717149</v>
      </c>
      <c r="S411" s="7">
        <v>1312442</v>
      </c>
      <c r="U411" s="7">
        <v>91037</v>
      </c>
      <c r="W411" s="7">
        <v>1729019</v>
      </c>
      <c r="Y411" s="7">
        <v>560555</v>
      </c>
      <c r="AA411" s="7">
        <v>268743</v>
      </c>
      <c r="AC411" s="7">
        <v>1705057</v>
      </c>
      <c r="AE411" s="7">
        <v>1350628</v>
      </c>
      <c r="AG411" s="7">
        <v>73503</v>
      </c>
      <c r="AI411" s="7">
        <v>884681</v>
      </c>
      <c r="AK411" s="7">
        <v>3451</v>
      </c>
      <c r="AL411" s="12" t="s">
        <v>528</v>
      </c>
      <c r="AM411" s="12"/>
      <c r="AN411" s="12" t="s">
        <v>63</v>
      </c>
      <c r="AP411" s="7">
        <v>531986</v>
      </c>
      <c r="AR411" s="7">
        <v>183041</v>
      </c>
      <c r="AT411" s="7">
        <v>0</v>
      </c>
      <c r="AV411" s="7">
        <v>36620</v>
      </c>
      <c r="AX411" s="7">
        <v>3916</v>
      </c>
      <c r="AZ411" s="7">
        <v>0</v>
      </c>
      <c r="BB411" s="8">
        <f t="shared" si="77"/>
        <v>23411944</v>
      </c>
      <c r="BD411" s="7">
        <v>0</v>
      </c>
      <c r="BF411" s="7">
        <v>0</v>
      </c>
      <c r="BH411" s="7">
        <v>0</v>
      </c>
      <c r="BJ411" s="7">
        <v>0</v>
      </c>
      <c r="BL411" s="8">
        <f>BB411+BD411+BJ411</f>
        <v>23411944</v>
      </c>
      <c r="BN411" s="8">
        <f>'Gov Fd Rv'!AQ411-'Gov Fnd Exp'!BL411</f>
        <v>-32432</v>
      </c>
      <c r="BP411" s="7">
        <v>6628391</v>
      </c>
      <c r="BR411" s="7">
        <v>0</v>
      </c>
      <c r="BT411" s="7">
        <v>0</v>
      </c>
      <c r="BV411" s="8">
        <f>BN411+BP411+BR411+BT411</f>
        <v>6595959</v>
      </c>
      <c r="BW411" s="8"/>
      <c r="BX411" s="8">
        <f>BV411-'Gov Fd BS'!AE411</f>
        <v>0</v>
      </c>
      <c r="BY411" s="8"/>
      <c r="BZ411" s="7" t="s">
        <v>949</v>
      </c>
      <c r="CB411" s="101" t="str">
        <f t="shared" si="92"/>
        <v>Norton City SD</v>
      </c>
      <c r="CC411" s="101" t="b">
        <f t="shared" si="83"/>
        <v>1</v>
      </c>
      <c r="CD411" s="101" t="str">
        <f>'Gov Fd Rv'!A411</f>
        <v>Norton City SD</v>
      </c>
      <c r="CE411" s="8" t="b">
        <f t="shared" si="82"/>
        <v>1</v>
      </c>
      <c r="CG411" s="8" t="str">
        <f t="shared" si="84"/>
        <v>Summit</v>
      </c>
      <c r="CH411" s="8" t="b">
        <f t="shared" si="85"/>
        <v>1</v>
      </c>
      <c r="CI411" s="8" t="b">
        <f>C411='Gov Fd Rv'!C411</f>
        <v>1</v>
      </c>
    </row>
    <row r="412" spans="1:87">
      <c r="A412" s="12" t="s">
        <v>368</v>
      </c>
      <c r="B412" s="12"/>
      <c r="C412" s="12" t="s">
        <v>37</v>
      </c>
      <c r="D412" s="12"/>
      <c r="E412" s="12">
        <v>44560</v>
      </c>
      <c r="G412" s="7">
        <v>11208611</v>
      </c>
      <c r="I412" s="7">
        <v>3437637</v>
      </c>
      <c r="K412" s="7">
        <v>162825</v>
      </c>
      <c r="M412" s="7">
        <v>39211</v>
      </c>
      <c r="O412" s="7">
        <v>1284042</v>
      </c>
      <c r="Q412" s="7">
        <v>1157759</v>
      </c>
      <c r="S412" s="7">
        <v>2240639</v>
      </c>
      <c r="U412" s="7">
        <v>172933</v>
      </c>
      <c r="W412" s="7">
        <v>2121290</v>
      </c>
      <c r="Y412" s="7">
        <v>526726</v>
      </c>
      <c r="AA412" s="7">
        <v>57525</v>
      </c>
      <c r="AC412" s="7">
        <v>2365867</v>
      </c>
      <c r="AE412" s="7">
        <v>770812</v>
      </c>
      <c r="AG412" s="7">
        <v>97283</v>
      </c>
      <c r="AI412" s="7">
        <v>1120539</v>
      </c>
      <c r="AK412" s="7">
        <v>686666</v>
      </c>
      <c r="AL412" s="12" t="s">
        <v>368</v>
      </c>
      <c r="AM412" s="12"/>
      <c r="AN412" s="12" t="s">
        <v>37</v>
      </c>
      <c r="AP412" s="7">
        <v>640254</v>
      </c>
      <c r="AR412" s="7">
        <v>429044</v>
      </c>
      <c r="AT412" s="7">
        <v>0</v>
      </c>
      <c r="AV412" s="7">
        <v>565000</v>
      </c>
      <c r="AX412" s="7">
        <v>467299</v>
      </c>
      <c r="AZ412" s="7">
        <v>0</v>
      </c>
      <c r="BB412" s="8">
        <f t="shared" si="77"/>
        <v>29551962</v>
      </c>
      <c r="BD412" s="7">
        <v>0</v>
      </c>
      <c r="BF412" s="7">
        <v>0</v>
      </c>
      <c r="BH412" s="7">
        <v>0</v>
      </c>
      <c r="BJ412" s="7">
        <v>0</v>
      </c>
      <c r="BL412" s="8">
        <f t="shared" si="78"/>
        <v>29551962</v>
      </c>
      <c r="BN412" s="8">
        <f>'Gov Fd Rv'!AQ412-'Gov Fnd Exp'!BL412</f>
        <v>-615059</v>
      </c>
      <c r="BP412" s="7">
        <v>12487997</v>
      </c>
      <c r="BR412" s="7">
        <v>0</v>
      </c>
      <c r="BT412" s="7">
        <v>0</v>
      </c>
      <c r="BV412" s="8">
        <f t="shared" si="79"/>
        <v>11872938</v>
      </c>
      <c r="BW412" s="8"/>
      <c r="BX412" s="8">
        <f>BV412-'Gov Fd BS'!AE412</f>
        <v>0</v>
      </c>
      <c r="BY412" s="8"/>
      <c r="CB412" s="101" t="str">
        <f t="shared" si="92"/>
        <v>Norwalk City SD</v>
      </c>
      <c r="CC412" s="101" t="b">
        <f t="shared" si="83"/>
        <v>1</v>
      </c>
      <c r="CD412" s="101" t="str">
        <f>'Gov Fd Rv'!A412</f>
        <v>Norwalk City SD</v>
      </c>
      <c r="CE412" s="8" t="b">
        <f t="shared" si="82"/>
        <v>1</v>
      </c>
      <c r="CG412" s="8" t="str">
        <f t="shared" si="84"/>
        <v>Huron</v>
      </c>
      <c r="CH412" s="8" t="b">
        <f t="shared" si="85"/>
        <v>1</v>
      </c>
      <c r="CI412" s="8" t="b">
        <f>C412='Gov Fd Rv'!C412</f>
        <v>1</v>
      </c>
    </row>
    <row r="413" spans="1:87" hidden="1">
      <c r="A413" s="12" t="s">
        <v>950</v>
      </c>
      <c r="B413" s="12"/>
      <c r="C413" s="12" t="s">
        <v>71</v>
      </c>
      <c r="D413" s="12"/>
      <c r="E413" s="12"/>
      <c r="AL413" s="12" t="s">
        <v>950</v>
      </c>
      <c r="AM413" s="12"/>
      <c r="AN413" s="12" t="s">
        <v>71</v>
      </c>
      <c r="AT413" s="7">
        <v>0</v>
      </c>
      <c r="AZ413" s="7">
        <v>0</v>
      </c>
      <c r="BB413" s="8">
        <f t="shared" ref="BB413" si="94">SUM(G413:AZ413)</f>
        <v>0</v>
      </c>
      <c r="BF413" s="7">
        <v>0</v>
      </c>
      <c r="BH413" s="7">
        <v>0</v>
      </c>
      <c r="BJ413" s="7">
        <v>0</v>
      </c>
      <c r="BL413" s="8">
        <f t="shared" ref="BL413" si="95">BB413+BD413+BJ413</f>
        <v>0</v>
      </c>
      <c r="BN413" s="8">
        <f>'Gov Fd Rv'!AQ413-'Gov Fnd Exp'!BL413</f>
        <v>0</v>
      </c>
      <c r="BR413" s="7">
        <v>0</v>
      </c>
      <c r="BT413" s="7">
        <v>0</v>
      </c>
      <c r="BV413" s="8">
        <f t="shared" ref="BV413" si="96">BN413+BP413+BR413+BT413</f>
        <v>0</v>
      </c>
      <c r="BW413" s="8"/>
      <c r="BX413" s="8">
        <f>BV413-'Gov Fd BS'!AE413</f>
        <v>0</v>
      </c>
      <c r="BY413" s="8"/>
      <c r="BZ413" s="7" t="s">
        <v>931</v>
      </c>
      <c r="CB413" s="101" t="str">
        <f t="shared" ref="CB413" si="97">A413</f>
        <v>Norwayne Local SD (CASH)</v>
      </c>
      <c r="CC413" s="101" t="b">
        <f t="shared" ref="CC413" si="98">A413=AL413</f>
        <v>1</v>
      </c>
      <c r="CD413" s="101" t="str">
        <f>'Gov Fd Rv'!A413</f>
        <v>Norwayne Local SD (CASH)</v>
      </c>
      <c r="CE413" s="8" t="b">
        <f t="shared" ref="CE413" si="99">CB413=CD413</f>
        <v>1</v>
      </c>
      <c r="CG413" s="8" t="str">
        <f t="shared" ref="CG413" si="100">C413</f>
        <v>Wayne</v>
      </c>
      <c r="CH413" s="8" t="b">
        <f t="shared" ref="CH413" si="101">C413=AN413</f>
        <v>1</v>
      </c>
      <c r="CI413" s="8" t="b">
        <f>C413='Gov Fd Rv'!C413</f>
        <v>1</v>
      </c>
    </row>
    <row r="414" spans="1:87">
      <c r="A414" s="12" t="s">
        <v>658</v>
      </c>
      <c r="B414" s="12"/>
      <c r="C414" s="12" t="s">
        <v>32</v>
      </c>
      <c r="D414" s="12"/>
      <c r="E414" s="12">
        <v>44578</v>
      </c>
      <c r="G414" s="7">
        <v>11917421</v>
      </c>
      <c r="I414" s="7">
        <v>3750843</v>
      </c>
      <c r="K414" s="7">
        <v>0</v>
      </c>
      <c r="M414" s="7">
        <v>0</v>
      </c>
      <c r="O414" s="7">
        <v>831917</v>
      </c>
      <c r="Q414" s="7">
        <v>1883068</v>
      </c>
      <c r="S414" s="7">
        <v>1661357</v>
      </c>
      <c r="U414" s="7">
        <v>28940</v>
      </c>
      <c r="W414" s="7">
        <v>1529991</v>
      </c>
      <c r="Y414" s="7">
        <v>666976</v>
      </c>
      <c r="AA414" s="7">
        <v>0</v>
      </c>
      <c r="AC414" s="7">
        <v>2373487</v>
      </c>
      <c r="AE414" s="7">
        <v>524594</v>
      </c>
      <c r="AG414" s="7">
        <v>158098</v>
      </c>
      <c r="AI414" s="7">
        <v>0</v>
      </c>
      <c r="AK414" s="7">
        <v>1166332</v>
      </c>
      <c r="AL414" s="12" t="s">
        <v>658</v>
      </c>
      <c r="AM414" s="12"/>
      <c r="AN414" s="12" t="s">
        <v>32</v>
      </c>
      <c r="AP414" s="7">
        <v>482104</v>
      </c>
      <c r="AR414" s="7">
        <v>10501</v>
      </c>
      <c r="AT414" s="7">
        <v>0</v>
      </c>
      <c r="AV414" s="7">
        <v>230700</v>
      </c>
      <c r="AX414" s="7">
        <v>245884</v>
      </c>
      <c r="AZ414" s="7">
        <v>0</v>
      </c>
      <c r="BB414" s="8">
        <f t="shared" si="77"/>
        <v>27462213</v>
      </c>
      <c r="BD414" s="7">
        <v>67636</v>
      </c>
      <c r="BF414" s="7">
        <v>0</v>
      </c>
      <c r="BH414" s="7">
        <v>0</v>
      </c>
      <c r="BJ414" s="7">
        <v>0</v>
      </c>
      <c r="BL414" s="8">
        <f t="shared" si="78"/>
        <v>27529849</v>
      </c>
      <c r="BN414" s="8">
        <f>'Gov Fd Rv'!AQ414-'Gov Fnd Exp'!BL414</f>
        <v>1916855</v>
      </c>
      <c r="BP414" s="7">
        <v>4477891</v>
      </c>
      <c r="BR414" s="7">
        <v>0</v>
      </c>
      <c r="BT414" s="7">
        <v>0</v>
      </c>
      <c r="BV414" s="8">
        <f t="shared" si="79"/>
        <v>6394746</v>
      </c>
      <c r="BW414" s="8"/>
      <c r="BX414" s="8">
        <f>BV414-'Gov Fd BS'!AE414</f>
        <v>0</v>
      </c>
      <c r="BY414" s="8"/>
      <c r="CB414" s="101" t="str">
        <f t="shared" si="92"/>
        <v>Norwood City SD</v>
      </c>
      <c r="CC414" s="101" t="b">
        <f t="shared" si="83"/>
        <v>1</v>
      </c>
      <c r="CD414" s="101" t="str">
        <f>'Gov Fd Rv'!A414</f>
        <v>Norwood City SD</v>
      </c>
      <c r="CE414" s="8" t="b">
        <f t="shared" si="82"/>
        <v>1</v>
      </c>
      <c r="CG414" s="8" t="str">
        <f t="shared" si="84"/>
        <v>Hamilton</v>
      </c>
      <c r="CH414" s="8" t="b">
        <f t="shared" si="85"/>
        <v>1</v>
      </c>
      <c r="CI414" s="8" t="b">
        <f>C414='Gov Fd Rv'!C414</f>
        <v>1</v>
      </c>
    </row>
    <row r="415" spans="1:87" hidden="1">
      <c r="A415" s="12" t="s">
        <v>799</v>
      </c>
      <c r="B415" s="12"/>
      <c r="C415" s="12" t="s">
        <v>38</v>
      </c>
      <c r="D415" s="12"/>
      <c r="E415" s="12"/>
      <c r="AL415" s="12" t="s">
        <v>799</v>
      </c>
      <c r="AM415" s="12"/>
      <c r="AN415" s="12" t="s">
        <v>38</v>
      </c>
      <c r="AT415" s="7">
        <v>0</v>
      </c>
      <c r="AZ415" s="7">
        <v>0</v>
      </c>
      <c r="BB415" s="8"/>
      <c r="BF415" s="7">
        <v>0</v>
      </c>
      <c r="BH415" s="7">
        <v>0</v>
      </c>
      <c r="BJ415" s="7">
        <v>0</v>
      </c>
      <c r="BL415" s="8"/>
      <c r="BN415" s="8"/>
      <c r="BR415" s="7">
        <v>0</v>
      </c>
      <c r="BT415" s="7">
        <v>0</v>
      </c>
      <c r="BV415" s="8"/>
      <c r="BW415" s="8"/>
      <c r="BX415" s="8"/>
      <c r="BY415" s="8"/>
      <c r="BZ415" s="7" t="s">
        <v>938</v>
      </c>
      <c r="CB415" s="101" t="str">
        <f t="shared" ref="CB415" si="102">A415</f>
        <v>Oak Hill Union Local SD (CASH)</v>
      </c>
      <c r="CC415" s="101" t="b">
        <f t="shared" si="83"/>
        <v>1</v>
      </c>
      <c r="CD415" s="101" t="str">
        <f>'Gov Fd Rv'!A415</f>
        <v>Oak Hill Union Local SD (CASH)</v>
      </c>
      <c r="CE415" s="8" t="b">
        <f t="shared" si="82"/>
        <v>1</v>
      </c>
      <c r="CG415" s="8" t="str">
        <f t="shared" si="84"/>
        <v>Jackson</v>
      </c>
      <c r="CH415" s="8" t="b">
        <f t="shared" si="85"/>
        <v>1</v>
      </c>
      <c r="CI415" s="8" t="b">
        <f>C415='Gov Fd Rv'!C415</f>
        <v>1</v>
      </c>
    </row>
    <row r="416" spans="1:87">
      <c r="A416" s="12" t="s">
        <v>336</v>
      </c>
      <c r="B416" s="12"/>
      <c r="C416" s="12" t="s">
        <v>32</v>
      </c>
      <c r="D416" s="12"/>
      <c r="E416" s="12">
        <v>47373</v>
      </c>
      <c r="G416" s="7">
        <v>34711759</v>
      </c>
      <c r="I416" s="7">
        <v>8551494</v>
      </c>
      <c r="K416" s="7">
        <v>189</v>
      </c>
      <c r="M416" s="7">
        <v>0</v>
      </c>
      <c r="O416" s="7">
        <v>264077</v>
      </c>
      <c r="Q416" s="7">
        <v>5018056</v>
      </c>
      <c r="S416" s="7">
        <v>7274389</v>
      </c>
      <c r="U416" s="7">
        <v>128139</v>
      </c>
      <c r="W416" s="7">
        <v>5253965</v>
      </c>
      <c r="Y416" s="7">
        <v>1324012</v>
      </c>
      <c r="AA416" s="7">
        <v>280145</v>
      </c>
      <c r="AC416" s="7">
        <v>6820243</v>
      </c>
      <c r="AE416" s="7">
        <v>2855087</v>
      </c>
      <c r="AG416" s="7">
        <v>570008</v>
      </c>
      <c r="AI416" s="7">
        <v>0</v>
      </c>
      <c r="AK416" s="7">
        <v>4797893</v>
      </c>
      <c r="AL416" s="12" t="s">
        <v>336</v>
      </c>
      <c r="AM416" s="12"/>
      <c r="AN416" s="12" t="s">
        <v>32</v>
      </c>
      <c r="AP416" s="7">
        <v>2004249</v>
      </c>
      <c r="AR416" s="7">
        <v>791450</v>
      </c>
      <c r="AT416" s="7">
        <v>0</v>
      </c>
      <c r="AV416" s="7">
        <v>1526000</v>
      </c>
      <c r="AX416" s="7">
        <v>1843706</v>
      </c>
      <c r="AZ416" s="7">
        <v>0</v>
      </c>
      <c r="BB416" s="8">
        <f t="shared" ref="BB416:BB428" si="103">SUM(G416:AZ416)</f>
        <v>84014861</v>
      </c>
      <c r="BD416" s="7">
        <v>671663</v>
      </c>
      <c r="BF416" s="7">
        <v>0</v>
      </c>
      <c r="BH416" s="7">
        <v>0</v>
      </c>
      <c r="BJ416" s="7">
        <v>0</v>
      </c>
      <c r="BL416" s="8">
        <f t="shared" si="78"/>
        <v>84686524</v>
      </c>
      <c r="BN416" s="8">
        <f>'Gov Fd Rv'!AQ416-'Gov Fnd Exp'!BL416</f>
        <v>-3679304</v>
      </c>
      <c r="BP416" s="7">
        <v>32555264</v>
      </c>
      <c r="BR416" s="7">
        <v>0</v>
      </c>
      <c r="BT416" s="7">
        <v>0</v>
      </c>
      <c r="BV416" s="8">
        <f t="shared" si="79"/>
        <v>28875960</v>
      </c>
      <c r="BW416" s="8"/>
      <c r="BX416" s="8">
        <f>BV416-'Gov Fd BS'!AE416</f>
        <v>0</v>
      </c>
      <c r="BY416" s="8"/>
      <c r="BZ416" s="8"/>
      <c r="CB416" s="101" t="str">
        <f t="shared" si="92"/>
        <v>Oak Hills Local SD</v>
      </c>
      <c r="CC416" s="101" t="b">
        <f t="shared" si="83"/>
        <v>1</v>
      </c>
      <c r="CD416" s="101" t="str">
        <f>'Gov Fd Rv'!A416</f>
        <v>Oak Hills Local SD</v>
      </c>
      <c r="CE416" s="8" t="b">
        <f t="shared" si="82"/>
        <v>1</v>
      </c>
      <c r="CG416" s="8" t="str">
        <f t="shared" si="84"/>
        <v>Hamilton</v>
      </c>
      <c r="CH416" s="8" t="b">
        <f t="shared" si="85"/>
        <v>1</v>
      </c>
      <c r="CI416" s="8" t="b">
        <f>C416='Gov Fd Rv'!C416</f>
        <v>1</v>
      </c>
    </row>
    <row r="417" spans="1:87">
      <c r="A417" s="12" t="s">
        <v>448</v>
      </c>
      <c r="B417" s="12"/>
      <c r="C417" s="12" t="s">
        <v>50</v>
      </c>
      <c r="D417" s="12"/>
      <c r="E417" s="12">
        <v>44586</v>
      </c>
      <c r="G417" s="7">
        <v>12112671</v>
      </c>
      <c r="I417" s="7">
        <v>2718046</v>
      </c>
      <c r="K417" s="7">
        <v>2000</v>
      </c>
      <c r="M417" s="7">
        <v>0</v>
      </c>
      <c r="O417" s="7">
        <v>229988</v>
      </c>
      <c r="Q417" s="7">
        <v>1503053</v>
      </c>
      <c r="S417" s="7">
        <v>331987</v>
      </c>
      <c r="U417" s="7">
        <v>18366</v>
      </c>
      <c r="W417" s="7">
        <v>1856888</v>
      </c>
      <c r="Y417" s="7">
        <v>718684</v>
      </c>
      <c r="AA417" s="7">
        <v>1178</v>
      </c>
      <c r="AC417" s="7">
        <v>2226258</v>
      </c>
      <c r="AE417" s="7">
        <v>221509</v>
      </c>
      <c r="AG417" s="7">
        <v>551394</v>
      </c>
      <c r="AI417" s="7">
        <v>0</v>
      </c>
      <c r="AK417" s="7">
        <v>671554</v>
      </c>
      <c r="AL417" s="12" t="s">
        <v>448</v>
      </c>
      <c r="AM417" s="12"/>
      <c r="AN417" s="12" t="s">
        <v>50</v>
      </c>
      <c r="AP417" s="7">
        <v>1044936</v>
      </c>
      <c r="AR417" s="7">
        <v>229225</v>
      </c>
      <c r="AT417" s="7">
        <v>0</v>
      </c>
      <c r="AV417" s="7">
        <v>514127</v>
      </c>
      <c r="AX417" s="7">
        <v>712647</v>
      </c>
      <c r="AZ417" s="7">
        <v>0</v>
      </c>
      <c r="BB417" s="8">
        <f t="shared" si="103"/>
        <v>25664511</v>
      </c>
      <c r="BD417" s="7">
        <v>1215452</v>
      </c>
      <c r="BF417" s="7">
        <v>0</v>
      </c>
      <c r="BH417" s="7">
        <v>0</v>
      </c>
      <c r="BJ417" s="7">
        <v>0</v>
      </c>
      <c r="BL417" s="8">
        <f t="shared" si="78"/>
        <v>26879963</v>
      </c>
      <c r="BN417" s="8">
        <f>'Gov Fd Rv'!AQ417-'Gov Fnd Exp'!BL417</f>
        <v>1061073</v>
      </c>
      <c r="BP417" s="7">
        <v>184802</v>
      </c>
      <c r="BR417" s="7">
        <v>0</v>
      </c>
      <c r="BT417" s="7">
        <v>0</v>
      </c>
      <c r="BV417" s="8">
        <f t="shared" si="79"/>
        <v>1245875</v>
      </c>
      <c r="BW417" s="8"/>
      <c r="BX417" s="8">
        <f>BV417-'Gov Fd BS'!AE417</f>
        <v>0</v>
      </c>
      <c r="BY417" s="8"/>
      <c r="BZ417" s="8"/>
      <c r="CB417" s="101" t="str">
        <f t="shared" si="92"/>
        <v>Oakwood City SD</v>
      </c>
      <c r="CC417" s="101" t="b">
        <f t="shared" si="83"/>
        <v>1</v>
      </c>
      <c r="CD417" s="101" t="str">
        <f>'Gov Fd Rv'!A417</f>
        <v>Oakwood City SD</v>
      </c>
      <c r="CE417" s="8" t="b">
        <f t="shared" si="82"/>
        <v>1</v>
      </c>
      <c r="CG417" s="8" t="str">
        <f t="shared" si="84"/>
        <v>Montgomery</v>
      </c>
      <c r="CH417" s="8" t="b">
        <f t="shared" si="85"/>
        <v>1</v>
      </c>
      <c r="CI417" s="8" t="b">
        <f>C417='Gov Fd Rv'!C417</f>
        <v>1</v>
      </c>
    </row>
    <row r="418" spans="1:87">
      <c r="A418" s="12" t="s">
        <v>401</v>
      </c>
      <c r="B418" s="12"/>
      <c r="C418" s="12" t="s">
        <v>44</v>
      </c>
      <c r="D418" s="12"/>
      <c r="E418" s="12">
        <v>44594</v>
      </c>
      <c r="G418" s="7">
        <v>6951764</v>
      </c>
      <c r="I418" s="7">
        <v>1079305</v>
      </c>
      <c r="K418" s="7">
        <v>96092</v>
      </c>
      <c r="M418" s="7">
        <v>0</v>
      </c>
      <c r="O418" s="7">
        <v>72654</v>
      </c>
      <c r="Q418" s="7">
        <v>1032012</v>
      </c>
      <c r="S418" s="7">
        <v>420063</v>
      </c>
      <c r="U418" s="7">
        <v>37128</v>
      </c>
      <c r="W418" s="7">
        <v>1316676</v>
      </c>
      <c r="Y418" s="7">
        <v>371382</v>
      </c>
      <c r="AA418" s="7">
        <v>204231</v>
      </c>
      <c r="AC418" s="7">
        <v>1425292</v>
      </c>
      <c r="AE418" s="7">
        <v>362614</v>
      </c>
      <c r="AG418" s="7">
        <v>70234</v>
      </c>
      <c r="AI418" s="7">
        <v>415423</v>
      </c>
      <c r="AK418" s="7">
        <v>3937</v>
      </c>
      <c r="AL418" s="12" t="s">
        <v>401</v>
      </c>
      <c r="AM418" s="12"/>
      <c r="AN418" s="12" t="s">
        <v>44</v>
      </c>
      <c r="AP418" s="7">
        <v>214893</v>
      </c>
      <c r="AR418" s="7">
        <v>0</v>
      </c>
      <c r="AT418" s="7">
        <v>0</v>
      </c>
      <c r="AV418" s="7">
        <v>60805</v>
      </c>
      <c r="AX418" s="7">
        <v>22234</v>
      </c>
      <c r="AZ418" s="7">
        <v>0</v>
      </c>
      <c r="BB418" s="8">
        <f t="shared" si="103"/>
        <v>14156739</v>
      </c>
      <c r="BD418" s="7">
        <v>28303</v>
      </c>
      <c r="BF418" s="7">
        <v>0</v>
      </c>
      <c r="BH418" s="7">
        <v>0</v>
      </c>
      <c r="BJ418" s="7">
        <v>0</v>
      </c>
      <c r="BL418" s="8">
        <f t="shared" si="78"/>
        <v>14185042</v>
      </c>
      <c r="BN418" s="8">
        <f>'Gov Fd Rv'!AQ418-'Gov Fnd Exp'!BL418</f>
        <v>349479</v>
      </c>
      <c r="BP418" s="7">
        <v>332914</v>
      </c>
      <c r="BR418" s="7">
        <v>0</v>
      </c>
      <c r="BT418" s="7">
        <v>0</v>
      </c>
      <c r="BV418" s="8">
        <f t="shared" si="79"/>
        <v>682393</v>
      </c>
      <c r="BW418" s="8"/>
      <c r="BX418" s="8">
        <f>BV418-'Gov Fd BS'!AE418</f>
        <v>0</v>
      </c>
      <c r="BY418" s="8"/>
      <c r="CB418" s="101" t="str">
        <f t="shared" si="92"/>
        <v>Oberlin City SD</v>
      </c>
      <c r="CC418" s="101" t="b">
        <f t="shared" si="83"/>
        <v>1</v>
      </c>
      <c r="CD418" s="101" t="str">
        <f>'Gov Fd Rv'!A418</f>
        <v>Oberlin City SD</v>
      </c>
      <c r="CE418" s="8" t="b">
        <f t="shared" si="82"/>
        <v>1</v>
      </c>
      <c r="CG418" s="8" t="str">
        <f t="shared" si="84"/>
        <v>Lorain</v>
      </c>
      <c r="CH418" s="8" t="b">
        <f t="shared" si="85"/>
        <v>1</v>
      </c>
      <c r="CI418" s="8" t="b">
        <f>C418='Gov Fd Rv'!C418</f>
        <v>1</v>
      </c>
    </row>
    <row r="419" spans="1:87" hidden="1">
      <c r="A419" s="12" t="s">
        <v>640</v>
      </c>
      <c r="B419" s="12"/>
      <c r="C419" s="12" t="s">
        <v>60</v>
      </c>
      <c r="D419" s="12"/>
      <c r="E419" s="12">
        <v>49726</v>
      </c>
      <c r="AL419" s="12" t="s">
        <v>640</v>
      </c>
      <c r="AM419" s="12"/>
      <c r="AN419" s="12" t="s">
        <v>60</v>
      </c>
      <c r="AT419" s="7">
        <v>0</v>
      </c>
      <c r="AZ419" s="7">
        <v>0</v>
      </c>
      <c r="BB419" s="8">
        <f t="shared" si="103"/>
        <v>0</v>
      </c>
      <c r="BF419" s="7">
        <v>0</v>
      </c>
      <c r="BH419" s="7">
        <v>0</v>
      </c>
      <c r="BJ419" s="7">
        <v>0</v>
      </c>
      <c r="BL419" s="8">
        <f t="shared" si="78"/>
        <v>0</v>
      </c>
      <c r="BN419" s="8">
        <f>'Gov Fd Rv'!AQ419-'Gov Fnd Exp'!BL419</f>
        <v>0</v>
      </c>
      <c r="BR419" s="7">
        <v>0</v>
      </c>
      <c r="BT419" s="7">
        <v>0</v>
      </c>
      <c r="BV419" s="8">
        <f t="shared" si="79"/>
        <v>0</v>
      </c>
      <c r="BW419" s="8"/>
      <c r="BX419" s="8">
        <f>BV419-'Gov Fd BS'!AE419</f>
        <v>0</v>
      </c>
      <c r="BY419" s="8"/>
      <c r="BZ419" s="7" t="s">
        <v>839</v>
      </c>
      <c r="CB419" s="101" t="str">
        <f t="shared" si="92"/>
        <v>Old Fort Local SD (CASH)</v>
      </c>
      <c r="CC419" s="101" t="b">
        <f t="shared" si="83"/>
        <v>1</v>
      </c>
      <c r="CD419" s="101" t="str">
        <f>'Gov Fd Rv'!A419</f>
        <v>Old Fort Local SD (CASH)</v>
      </c>
      <c r="CE419" s="8" t="b">
        <f t="shared" si="82"/>
        <v>1</v>
      </c>
      <c r="CG419" s="8" t="str">
        <f t="shared" si="84"/>
        <v>Seneca</v>
      </c>
      <c r="CH419" s="8" t="b">
        <f t="shared" si="85"/>
        <v>1</v>
      </c>
      <c r="CI419" s="8" t="b">
        <f>C419='Gov Fd Rv'!C419</f>
        <v>1</v>
      </c>
    </row>
    <row r="420" spans="1:87">
      <c r="A420" s="12" t="s">
        <v>290</v>
      </c>
      <c r="B420" s="12"/>
      <c r="C420" s="12" t="s">
        <v>23</v>
      </c>
      <c r="D420" s="12"/>
      <c r="E420" s="12">
        <v>46763</v>
      </c>
      <c r="G420" s="7">
        <v>76579732</v>
      </c>
      <c r="I420" s="7">
        <v>18692597</v>
      </c>
      <c r="K420" s="7">
        <v>908770</v>
      </c>
      <c r="M420" s="7">
        <v>0</v>
      </c>
      <c r="O420" s="7">
        <v>0</v>
      </c>
      <c r="Q420" s="7">
        <v>6549321</v>
      </c>
      <c r="S420" s="7">
        <v>9073372</v>
      </c>
      <c r="U420" s="7">
        <v>580703</v>
      </c>
      <c r="W420" s="7">
        <v>7917428</v>
      </c>
      <c r="Y420" s="7">
        <v>0</v>
      </c>
      <c r="AA420" s="7">
        <v>3659615</v>
      </c>
      <c r="AC420" s="7">
        <v>14708451</v>
      </c>
      <c r="AE420" s="7">
        <v>7238715</v>
      </c>
      <c r="AG420" s="7">
        <v>3461718</v>
      </c>
      <c r="AI420" s="7">
        <v>6789489</v>
      </c>
      <c r="AK420" s="7">
        <f>513205+531190</f>
        <v>1044395</v>
      </c>
      <c r="AL420" s="12" t="s">
        <v>290</v>
      </c>
      <c r="AM420" s="12"/>
      <c r="AN420" s="12" t="s">
        <v>23</v>
      </c>
      <c r="AP420" s="7">
        <v>3914831</v>
      </c>
      <c r="AR420" s="7">
        <v>19662275</v>
      </c>
      <c r="AT420" s="7">
        <v>0</v>
      </c>
      <c r="AV420" s="7">
        <v>10984736</v>
      </c>
      <c r="AX420" s="7">
        <v>19831988</v>
      </c>
      <c r="AZ420" s="7">
        <v>0</v>
      </c>
      <c r="BB420" s="8">
        <f t="shared" si="103"/>
        <v>211598136</v>
      </c>
      <c r="BD420" s="7">
        <v>0</v>
      </c>
      <c r="BF420" s="7">
        <v>0</v>
      </c>
      <c r="BH420" s="7">
        <v>0</v>
      </c>
      <c r="BJ420" s="7">
        <v>0</v>
      </c>
      <c r="BL420" s="8">
        <f t="shared" si="78"/>
        <v>211598136</v>
      </c>
      <c r="BN420" s="8">
        <f>'Gov Fd Rv'!AQ420-'Gov Fnd Exp'!BL420</f>
        <v>-20143205</v>
      </c>
      <c r="BP420" s="7">
        <v>111012800</v>
      </c>
      <c r="BR420" s="7">
        <v>0</v>
      </c>
      <c r="BT420" s="7">
        <v>0</v>
      </c>
      <c r="BV420" s="8">
        <f t="shared" si="79"/>
        <v>90869595</v>
      </c>
      <c r="BW420" s="8"/>
      <c r="BX420" s="8">
        <f>BV420-'Gov Fd BS'!AE420</f>
        <v>0</v>
      </c>
      <c r="BY420" s="8"/>
      <c r="CB420" s="101" t="str">
        <f t="shared" si="92"/>
        <v>Olentangy Local SD</v>
      </c>
      <c r="CC420" s="101" t="b">
        <f t="shared" si="83"/>
        <v>1</v>
      </c>
      <c r="CD420" s="101" t="str">
        <f>'Gov Fd Rv'!A420</f>
        <v>Olentangy Local SD</v>
      </c>
      <c r="CE420" s="8" t="b">
        <f t="shared" si="82"/>
        <v>1</v>
      </c>
      <c r="CG420" s="8" t="str">
        <f t="shared" si="84"/>
        <v>Delaware</v>
      </c>
      <c r="CH420" s="8" t="b">
        <f t="shared" si="85"/>
        <v>1</v>
      </c>
      <c r="CI420" s="8" t="b">
        <f>C420='Gov Fd Rv'!C420</f>
        <v>1</v>
      </c>
    </row>
    <row r="421" spans="1:87">
      <c r="A421" s="12" t="s">
        <v>279</v>
      </c>
      <c r="B421" s="12"/>
      <c r="C421" s="12" t="s">
        <v>20</v>
      </c>
      <c r="D421" s="12"/>
      <c r="E421" s="12">
        <v>46573</v>
      </c>
      <c r="G421" s="7">
        <v>16856511</v>
      </c>
      <c r="I421" s="7">
        <v>5709476</v>
      </c>
      <c r="K421" s="7">
        <v>432881</v>
      </c>
      <c r="M421" s="7">
        <v>0</v>
      </c>
      <c r="O421" s="7">
        <v>120927</v>
      </c>
      <c r="Q421" s="7">
        <v>1758578</v>
      </c>
      <c r="S421" s="7">
        <v>1661978</v>
      </c>
      <c r="U421" s="7">
        <v>196701</v>
      </c>
      <c r="W421" s="7">
        <v>2542541</v>
      </c>
      <c r="Y421" s="7">
        <v>1067150</v>
      </c>
      <c r="AA421" s="7">
        <v>0</v>
      </c>
      <c r="AC421" s="7">
        <v>3588271</v>
      </c>
      <c r="AE421" s="7">
        <v>1961497</v>
      </c>
      <c r="AG421" s="7">
        <v>326471</v>
      </c>
      <c r="AI421" s="7">
        <v>0</v>
      </c>
      <c r="AK421" s="7">
        <v>1231514</v>
      </c>
      <c r="AL421" s="12" t="s">
        <v>279</v>
      </c>
      <c r="AM421" s="12"/>
      <c r="AN421" s="12" t="s">
        <v>20</v>
      </c>
      <c r="AP421" s="7">
        <v>1635167</v>
      </c>
      <c r="AR421" s="7">
        <v>2369287</v>
      </c>
      <c r="AT421" s="7">
        <v>0</v>
      </c>
      <c r="AV421" s="7">
        <v>1261998</v>
      </c>
      <c r="AX421" s="7">
        <v>1586022</v>
      </c>
      <c r="AZ421" s="7">
        <v>0</v>
      </c>
      <c r="BB421" s="8">
        <f t="shared" si="103"/>
        <v>44306970</v>
      </c>
      <c r="BD421" s="7">
        <v>0</v>
      </c>
      <c r="BF421" s="7">
        <v>0</v>
      </c>
      <c r="BH421" s="7">
        <v>0</v>
      </c>
      <c r="BJ421" s="7">
        <v>0</v>
      </c>
      <c r="BL421" s="8">
        <f>BB421+BD421+BJ421</f>
        <v>44306970</v>
      </c>
      <c r="BN421" s="8">
        <f>'Gov Fd Rv'!AQ421-'Gov Fnd Exp'!BL421</f>
        <v>-328858</v>
      </c>
      <c r="BP421" s="7">
        <v>8831110</v>
      </c>
      <c r="BR421" s="7">
        <v>0</v>
      </c>
      <c r="BT421" s="7">
        <v>0</v>
      </c>
      <c r="BV421" s="8">
        <f t="shared" si="79"/>
        <v>8502252</v>
      </c>
      <c r="BW421" s="8"/>
      <c r="BX421" s="8">
        <f>BV421-'Gov Fd BS'!AE421</f>
        <v>0</v>
      </c>
      <c r="BY421" s="8"/>
      <c r="CB421" s="101" t="str">
        <f t="shared" si="92"/>
        <v>Olmsted Falls City SD</v>
      </c>
      <c r="CC421" s="101" t="b">
        <f t="shared" si="83"/>
        <v>1</v>
      </c>
      <c r="CD421" s="101" t="str">
        <f>'Gov Fd Rv'!A421</f>
        <v>Olmsted Falls City SD</v>
      </c>
      <c r="CE421" s="8" t="b">
        <f t="shared" si="82"/>
        <v>1</v>
      </c>
      <c r="CG421" s="8" t="str">
        <f t="shared" si="84"/>
        <v>Cuyahoga</v>
      </c>
      <c r="CH421" s="8" t="b">
        <f t="shared" si="85"/>
        <v>1</v>
      </c>
      <c r="CI421" s="8" t="b">
        <f>C421='Gov Fd Rv'!C421</f>
        <v>1</v>
      </c>
    </row>
    <row r="422" spans="1:87">
      <c r="A422" s="12" t="s">
        <v>485</v>
      </c>
      <c r="B422" s="12"/>
      <c r="C422" s="12" t="s">
        <v>110</v>
      </c>
      <c r="D422" s="12"/>
      <c r="E422" s="12">
        <v>49478</v>
      </c>
      <c r="G422" s="7">
        <v>6886322</v>
      </c>
      <c r="I422" s="7">
        <v>1427584</v>
      </c>
      <c r="K422" s="7">
        <v>232059</v>
      </c>
      <c r="M422" s="7">
        <v>0</v>
      </c>
      <c r="O422" s="7">
        <v>390809</v>
      </c>
      <c r="Q422" s="7">
        <v>916070</v>
      </c>
      <c r="S422" s="7">
        <v>968460</v>
      </c>
      <c r="U422" s="7">
        <v>55143</v>
      </c>
      <c r="W422" s="7">
        <v>1311395</v>
      </c>
      <c r="Y422" s="7">
        <v>523932</v>
      </c>
      <c r="AA422" s="7">
        <v>0</v>
      </c>
      <c r="AC422" s="7">
        <v>1750908</v>
      </c>
      <c r="AE422" s="7">
        <v>747228</v>
      </c>
      <c r="AG422" s="7">
        <v>41387</v>
      </c>
      <c r="AI422" s="7">
        <v>728417</v>
      </c>
      <c r="AK422" s="7">
        <v>1697</v>
      </c>
      <c r="AL422" s="12" t="s">
        <v>485</v>
      </c>
      <c r="AM422" s="12"/>
      <c r="AN422" s="12" t="s">
        <v>110</v>
      </c>
      <c r="AP422" s="7">
        <v>761407</v>
      </c>
      <c r="AR422" s="7">
        <f>250077+51968</f>
        <v>302045</v>
      </c>
      <c r="AT422" s="7">
        <v>0</v>
      </c>
      <c r="AV422" s="7">
        <v>1066537</v>
      </c>
      <c r="AX422" s="7">
        <v>577299</v>
      </c>
      <c r="AZ422" s="7">
        <v>0</v>
      </c>
      <c r="BB422" s="8">
        <f t="shared" si="103"/>
        <v>18688699</v>
      </c>
      <c r="BD422" s="7">
        <v>0</v>
      </c>
      <c r="BF422" s="7">
        <v>0</v>
      </c>
      <c r="BH422" s="7">
        <v>0</v>
      </c>
      <c r="BJ422" s="7">
        <v>0</v>
      </c>
      <c r="BL422" s="8">
        <f t="shared" si="78"/>
        <v>18688699</v>
      </c>
      <c r="BN422" s="8">
        <f>'Gov Fd Rv'!AQ422-'Gov Fnd Exp'!BL422</f>
        <v>398156</v>
      </c>
      <c r="BP422" s="7">
        <v>7686039</v>
      </c>
      <c r="BR422" s="7">
        <v>45653</v>
      </c>
      <c r="BT422" s="7">
        <v>0</v>
      </c>
      <c r="BV422" s="8">
        <f t="shared" si="79"/>
        <v>8129848</v>
      </c>
      <c r="BW422" s="8"/>
      <c r="BX422" s="8">
        <f>BV422-'Gov Fd BS'!AE422</f>
        <v>0</v>
      </c>
      <c r="BY422" s="8"/>
      <c r="CB422" s="101" t="str">
        <f t="shared" si="92"/>
        <v>Ontario Local SD</v>
      </c>
      <c r="CC422" s="101" t="b">
        <f t="shared" si="83"/>
        <v>1</v>
      </c>
      <c r="CD422" s="101" t="str">
        <f>'Gov Fd Rv'!A422</f>
        <v>Ontario Local SD</v>
      </c>
      <c r="CE422" s="8" t="b">
        <f t="shared" si="82"/>
        <v>1</v>
      </c>
      <c r="CG422" s="8" t="str">
        <f t="shared" si="84"/>
        <v>Richland</v>
      </c>
      <c r="CH422" s="8" t="b">
        <f t="shared" si="85"/>
        <v>1</v>
      </c>
      <c r="CI422" s="8" t="b">
        <f>C422='Gov Fd Rv'!C422</f>
        <v>1</v>
      </c>
    </row>
    <row r="423" spans="1:87">
      <c r="A423" s="12" t="s">
        <v>280</v>
      </c>
      <c r="B423" s="12"/>
      <c r="C423" s="12" t="s">
        <v>20</v>
      </c>
      <c r="D423" s="12"/>
      <c r="E423" s="12">
        <v>46581</v>
      </c>
      <c r="G423" s="7">
        <v>19391253</v>
      </c>
      <c r="I423" s="7">
        <v>6510388</v>
      </c>
      <c r="K423" s="7">
        <v>343264</v>
      </c>
      <c r="M423" s="7">
        <v>0</v>
      </c>
      <c r="O423" s="7">
        <v>0</v>
      </c>
      <c r="Q423" s="7">
        <v>3708056</v>
      </c>
      <c r="S423" s="7">
        <v>4124229</v>
      </c>
      <c r="U423" s="7">
        <v>167112</v>
      </c>
      <c r="W423" s="7">
        <v>2988770</v>
      </c>
      <c r="Y423" s="7">
        <v>1214690</v>
      </c>
      <c r="AA423" s="7">
        <v>581137</v>
      </c>
      <c r="AC423" s="7">
        <v>4634784</v>
      </c>
      <c r="AE423" s="7">
        <v>3679320</v>
      </c>
      <c r="AG423" s="7">
        <v>1166158</v>
      </c>
      <c r="AI423" s="7">
        <v>660242</v>
      </c>
      <c r="AK423" s="7">
        <v>686326</v>
      </c>
      <c r="AL423" s="12" t="s">
        <v>280</v>
      </c>
      <c r="AM423" s="12"/>
      <c r="AN423" s="12" t="s">
        <v>20</v>
      </c>
      <c r="AP423" s="7">
        <v>1626184</v>
      </c>
      <c r="AR423" s="7">
        <v>1770222</v>
      </c>
      <c r="AT423" s="7">
        <v>0</v>
      </c>
      <c r="AV423" s="7">
        <v>1401117</v>
      </c>
      <c r="AX423" s="7">
        <f>968001+52627</f>
        <v>1020628</v>
      </c>
      <c r="AZ423" s="7">
        <v>0</v>
      </c>
      <c r="BB423" s="8">
        <f t="shared" si="103"/>
        <v>55673880</v>
      </c>
      <c r="BD423" s="7">
        <v>110000</v>
      </c>
      <c r="BF423" s="7">
        <v>0</v>
      </c>
      <c r="BH423" s="7">
        <v>0</v>
      </c>
      <c r="BJ423" s="7">
        <v>0</v>
      </c>
      <c r="BL423" s="8">
        <f t="shared" si="78"/>
        <v>55783880</v>
      </c>
      <c r="BN423" s="8">
        <f>'Gov Fd Rv'!AQ423-'Gov Fnd Exp'!BL423</f>
        <v>1478249</v>
      </c>
      <c r="BP423" s="7">
        <v>37216115</v>
      </c>
      <c r="BR423" s="7">
        <v>0</v>
      </c>
      <c r="BT423" s="7">
        <v>0</v>
      </c>
      <c r="BV423" s="8">
        <f t="shared" si="79"/>
        <v>38694364</v>
      </c>
      <c r="BW423" s="8"/>
      <c r="BX423" s="8">
        <f>BV423-'Gov Fd BS'!AE423</f>
        <v>0</v>
      </c>
      <c r="BY423" s="8"/>
      <c r="CB423" s="101" t="str">
        <f t="shared" si="92"/>
        <v>Orange City SD</v>
      </c>
      <c r="CC423" s="101" t="b">
        <f t="shared" si="83"/>
        <v>1</v>
      </c>
      <c r="CD423" s="101" t="str">
        <f>'Gov Fd Rv'!A423</f>
        <v>Orange City SD</v>
      </c>
      <c r="CE423" s="8" t="b">
        <f t="shared" si="82"/>
        <v>1</v>
      </c>
      <c r="CG423" s="8" t="str">
        <f t="shared" si="84"/>
        <v>Cuyahoga</v>
      </c>
      <c r="CH423" s="8" t="b">
        <f t="shared" si="85"/>
        <v>1</v>
      </c>
      <c r="CI423" s="8" t="b">
        <f>C423='Gov Fd Rv'!C423</f>
        <v>1</v>
      </c>
    </row>
    <row r="424" spans="1:87">
      <c r="A424" s="12" t="s">
        <v>404</v>
      </c>
      <c r="B424" s="12"/>
      <c r="C424" s="12" t="s">
        <v>115</v>
      </c>
      <c r="D424" s="12"/>
      <c r="E424" s="12">
        <v>44602</v>
      </c>
      <c r="G424" s="7">
        <v>16103687</v>
      </c>
      <c r="I424" s="7">
        <v>4726043</v>
      </c>
      <c r="K424" s="7">
        <v>2736116</v>
      </c>
      <c r="M424" s="7">
        <v>422242</v>
      </c>
      <c r="O424" s="7">
        <v>247899</v>
      </c>
      <c r="Q424" s="7">
        <v>1798156</v>
      </c>
      <c r="S424" s="7">
        <v>3076316</v>
      </c>
      <c r="U424" s="7">
        <v>48545</v>
      </c>
      <c r="W424" s="7">
        <v>2831499</v>
      </c>
      <c r="Y424" s="7">
        <v>860044</v>
      </c>
      <c r="AA424" s="7">
        <v>197859</v>
      </c>
      <c r="AC424" s="7">
        <v>4454989</v>
      </c>
      <c r="AE424" s="7">
        <v>1808800</v>
      </c>
      <c r="AG424" s="7">
        <v>0</v>
      </c>
      <c r="AI424" s="7">
        <v>1618263</v>
      </c>
      <c r="AK424" s="7">
        <v>371865</v>
      </c>
      <c r="AL424" s="12" t="s">
        <v>404</v>
      </c>
      <c r="AM424" s="12"/>
      <c r="AN424" s="12" t="s">
        <v>115</v>
      </c>
      <c r="AP424" s="7">
        <v>973333</v>
      </c>
      <c r="AR424" s="7">
        <v>897505</v>
      </c>
      <c r="AT424" s="7">
        <v>0</v>
      </c>
      <c r="AV424" s="7">
        <v>1313846</v>
      </c>
      <c r="AX424" s="7">
        <v>1850703</v>
      </c>
      <c r="AZ424" s="7">
        <v>0</v>
      </c>
      <c r="BB424" s="8">
        <f t="shared" si="103"/>
        <v>46337710</v>
      </c>
      <c r="BD424" s="7">
        <v>60943</v>
      </c>
      <c r="BF424" s="7">
        <v>0</v>
      </c>
      <c r="BH424" s="7">
        <v>0</v>
      </c>
      <c r="BJ424" s="7">
        <v>0</v>
      </c>
      <c r="BL424" s="8">
        <f t="shared" si="78"/>
        <v>46398653</v>
      </c>
      <c r="BN424" s="8">
        <f>'Gov Fd Rv'!AQ424-'Gov Fnd Exp'!BL424</f>
        <v>2737539</v>
      </c>
      <c r="BP424" s="7">
        <v>8308402</v>
      </c>
      <c r="BR424" s="7">
        <v>13946</v>
      </c>
      <c r="BT424" s="7">
        <v>0</v>
      </c>
      <c r="BV424" s="8">
        <f t="shared" si="79"/>
        <v>11059887</v>
      </c>
      <c r="BW424" s="8"/>
      <c r="BX424" s="8">
        <f>BV424-'Gov Fd BS'!AE424</f>
        <v>0</v>
      </c>
      <c r="BY424" s="8"/>
      <c r="BZ424" s="7" t="s">
        <v>951</v>
      </c>
      <c r="CB424" s="101" t="str">
        <f t="shared" si="92"/>
        <v>Oregon City SD</v>
      </c>
      <c r="CC424" s="101" t="b">
        <f t="shared" si="83"/>
        <v>1</v>
      </c>
      <c r="CD424" s="101" t="str">
        <f>'Gov Fd Rv'!A424</f>
        <v>Oregon City SD</v>
      </c>
      <c r="CE424" s="8" t="b">
        <f t="shared" si="82"/>
        <v>1</v>
      </c>
      <c r="CG424" s="8" t="str">
        <f t="shared" si="84"/>
        <v>Lucas</v>
      </c>
      <c r="CH424" s="8" t="b">
        <f t="shared" si="85"/>
        <v>1</v>
      </c>
      <c r="CI424" s="8" t="b">
        <f>C424='Gov Fd Rv'!C424</f>
        <v>1</v>
      </c>
    </row>
    <row r="425" spans="1:87" hidden="1">
      <c r="A425" s="12" t="s">
        <v>952</v>
      </c>
      <c r="B425" s="12"/>
      <c r="C425" s="12" t="s">
        <v>71</v>
      </c>
      <c r="D425" s="12"/>
      <c r="E425" s="12">
        <v>44610</v>
      </c>
      <c r="AL425" s="12" t="s">
        <v>952</v>
      </c>
      <c r="AM425" s="12"/>
      <c r="AN425" s="12" t="s">
        <v>71</v>
      </c>
      <c r="AT425" s="7">
        <v>0</v>
      </c>
      <c r="AZ425" s="7">
        <v>0</v>
      </c>
      <c r="BB425" s="8">
        <f t="shared" si="103"/>
        <v>0</v>
      </c>
      <c r="BF425" s="7">
        <v>0</v>
      </c>
      <c r="BH425" s="7">
        <v>0</v>
      </c>
      <c r="BJ425" s="7">
        <v>0</v>
      </c>
      <c r="BL425" s="8">
        <f t="shared" si="78"/>
        <v>0</v>
      </c>
      <c r="BN425" s="8">
        <f>'Gov Fd Rv'!AQ425-'Gov Fnd Exp'!BL425</f>
        <v>0</v>
      </c>
      <c r="BT425" s="7">
        <v>0</v>
      </c>
      <c r="BV425" s="8">
        <f t="shared" si="79"/>
        <v>0</v>
      </c>
      <c r="BW425" s="8"/>
      <c r="BX425" s="8">
        <f>BV425-'Gov Fd BS'!AE425</f>
        <v>0</v>
      </c>
      <c r="BY425" s="8"/>
      <c r="BZ425" s="7" t="s">
        <v>903</v>
      </c>
      <c r="CB425" s="101" t="str">
        <f t="shared" si="92"/>
        <v>Orrville City SD (CASH)</v>
      </c>
      <c r="CC425" s="101" t="b">
        <f t="shared" si="83"/>
        <v>1</v>
      </c>
      <c r="CD425" s="101" t="str">
        <f>'Gov Fd Rv'!A425</f>
        <v>Orrville City SD (CASH)</v>
      </c>
      <c r="CE425" s="8" t="b">
        <f t="shared" si="82"/>
        <v>1</v>
      </c>
      <c r="CG425" s="8" t="str">
        <f t="shared" si="84"/>
        <v>Wayne</v>
      </c>
      <c r="CH425" s="8" t="b">
        <f t="shared" si="85"/>
        <v>1</v>
      </c>
      <c r="CI425" s="8" t="b">
        <f>C425='Gov Fd Rv'!C425</f>
        <v>1</v>
      </c>
    </row>
    <row r="426" spans="1:87">
      <c r="A426" s="12" t="s">
        <v>519</v>
      </c>
      <c r="B426" s="12"/>
      <c r="C426" s="12" t="s">
        <v>62</v>
      </c>
      <c r="D426" s="12"/>
      <c r="E426" s="12">
        <v>49916</v>
      </c>
      <c r="G426" s="7">
        <v>3401582</v>
      </c>
      <c r="I426" s="7">
        <v>727569</v>
      </c>
      <c r="K426" s="7">
        <v>204352</v>
      </c>
      <c r="M426" s="7">
        <v>0</v>
      </c>
      <c r="O426" s="7">
        <v>820366</v>
      </c>
      <c r="Q426" s="7">
        <v>358391</v>
      </c>
      <c r="S426" s="7">
        <v>368584</v>
      </c>
      <c r="U426" s="7">
        <v>30834</v>
      </c>
      <c r="W426" s="7">
        <v>688163</v>
      </c>
      <c r="Y426" s="7">
        <v>287615</v>
      </c>
      <c r="AA426" s="7">
        <v>12531</v>
      </c>
      <c r="AC426" s="7">
        <v>867950</v>
      </c>
      <c r="AE426" s="7">
        <v>535064</v>
      </c>
      <c r="AG426" s="7">
        <v>162940</v>
      </c>
      <c r="AI426" s="7">
        <v>325307</v>
      </c>
      <c r="AK426" s="7">
        <v>26995</v>
      </c>
      <c r="AL426" s="12" t="s">
        <v>519</v>
      </c>
      <c r="AM426" s="12"/>
      <c r="AN426" s="12" t="s">
        <v>62</v>
      </c>
      <c r="AP426" s="7">
        <v>446671</v>
      </c>
      <c r="AR426" s="7">
        <v>1296402</v>
      </c>
      <c r="AT426" s="7">
        <v>0</v>
      </c>
      <c r="AV426" s="7">
        <v>225000</v>
      </c>
      <c r="AX426" s="7">
        <v>330356</v>
      </c>
      <c r="AZ426" s="7">
        <v>0</v>
      </c>
      <c r="BB426" s="8">
        <f t="shared" si="103"/>
        <v>11116672</v>
      </c>
      <c r="BD426" s="7">
        <v>0</v>
      </c>
      <c r="BF426" s="7">
        <v>0</v>
      </c>
      <c r="BH426" s="7">
        <v>0</v>
      </c>
      <c r="BJ426" s="7">
        <v>0</v>
      </c>
      <c r="BL426" s="8">
        <f t="shared" ref="BL426:BL479" si="104">BB426+BD426+BJ426</f>
        <v>11116672</v>
      </c>
      <c r="BN426" s="8">
        <f>'Gov Fd Rv'!AQ426-'Gov Fnd Exp'!BL426</f>
        <v>-187638</v>
      </c>
      <c r="BP426" s="7">
        <v>5599341</v>
      </c>
      <c r="BR426" s="7">
        <v>0</v>
      </c>
      <c r="BT426" s="7">
        <v>0</v>
      </c>
      <c r="BV426" s="8">
        <f t="shared" si="79"/>
        <v>5411703</v>
      </c>
      <c r="BW426" s="8"/>
      <c r="BX426" s="8">
        <f>BV426-'Gov Fd BS'!AE426</f>
        <v>0</v>
      </c>
      <c r="BY426" s="8"/>
      <c r="CB426" s="101" t="str">
        <f t="shared" si="92"/>
        <v>Osnaburg Local SD</v>
      </c>
      <c r="CC426" s="101" t="b">
        <f t="shared" si="83"/>
        <v>1</v>
      </c>
      <c r="CD426" s="101" t="str">
        <f>'Gov Fd Rv'!A426</f>
        <v>Osnaburg Local SD</v>
      </c>
      <c r="CE426" s="8" t="b">
        <f t="shared" si="82"/>
        <v>1</v>
      </c>
      <c r="CG426" s="8" t="str">
        <f t="shared" si="84"/>
        <v>Stark</v>
      </c>
      <c r="CH426" s="8" t="b">
        <f t="shared" si="85"/>
        <v>1</v>
      </c>
      <c r="CI426" s="8" t="b">
        <f>C426='Gov Fd Rv'!C426</f>
        <v>1</v>
      </c>
    </row>
    <row r="427" spans="1:87">
      <c r="A427" s="12" t="s">
        <v>576</v>
      </c>
      <c r="B427" s="12"/>
      <c r="C427" s="12" t="s">
        <v>72</v>
      </c>
      <c r="D427" s="12"/>
      <c r="E427" s="12">
        <v>50724</v>
      </c>
      <c r="G427" s="7">
        <v>6801254</v>
      </c>
      <c r="I427" s="7">
        <v>2229909</v>
      </c>
      <c r="K427" s="7">
        <v>10756</v>
      </c>
      <c r="M427" s="7">
        <v>0</v>
      </c>
      <c r="O427" s="7">
        <v>0</v>
      </c>
      <c r="Q427" s="7">
        <v>749772</v>
      </c>
      <c r="S427" s="7">
        <v>301395</v>
      </c>
      <c r="U427" s="7">
        <v>38740</v>
      </c>
      <c r="W427" s="7">
        <v>1066340</v>
      </c>
      <c r="Y427" s="7">
        <v>373362</v>
      </c>
      <c r="AA427" s="7">
        <v>6014</v>
      </c>
      <c r="AC427" s="7">
        <v>900042</v>
      </c>
      <c r="AE427" s="7">
        <v>899206</v>
      </c>
      <c r="AG427" s="7">
        <v>367</v>
      </c>
      <c r="AI427" s="7">
        <v>0</v>
      </c>
      <c r="AK427" s="7">
        <v>637010</v>
      </c>
      <c r="AL427" s="12" t="s">
        <v>576</v>
      </c>
      <c r="AM427" s="12"/>
      <c r="AN427" s="12" t="s">
        <v>72</v>
      </c>
      <c r="AP427" s="7">
        <v>367414</v>
      </c>
      <c r="AR427" s="7">
        <v>2223393</v>
      </c>
      <c r="AT427" s="7">
        <v>0</v>
      </c>
      <c r="AV427" s="7">
        <v>555976</v>
      </c>
      <c r="AX427" s="7">
        <f>709419+279025</f>
        <v>988444</v>
      </c>
      <c r="AZ427" s="7">
        <v>0</v>
      </c>
      <c r="BB427" s="8">
        <f t="shared" si="103"/>
        <v>18149394</v>
      </c>
      <c r="BD427" s="7">
        <v>277994</v>
      </c>
      <c r="BF427" s="7">
        <v>0</v>
      </c>
      <c r="BH427" s="7">
        <v>0</v>
      </c>
      <c r="BJ427" s="7">
        <v>0</v>
      </c>
      <c r="BL427" s="8">
        <f t="shared" si="104"/>
        <v>18427388</v>
      </c>
      <c r="BN427" s="8">
        <f>'Gov Fd Rv'!AQ427-'Gov Fnd Exp'!BL427</f>
        <v>3380304</v>
      </c>
      <c r="BP427" s="7">
        <v>7878974</v>
      </c>
      <c r="BR427" s="7">
        <v>0</v>
      </c>
      <c r="BT427" s="7">
        <v>0</v>
      </c>
      <c r="BV427" s="8">
        <f t="shared" si="79"/>
        <v>11259278</v>
      </c>
      <c r="BW427" s="8"/>
      <c r="BX427" s="8">
        <f>BV427-'Gov Fd BS'!AE427</f>
        <v>0</v>
      </c>
      <c r="BY427" s="8"/>
      <c r="CB427" s="101" t="str">
        <f t="shared" si="92"/>
        <v>Otsego Local SD</v>
      </c>
      <c r="CC427" s="101" t="b">
        <f t="shared" si="83"/>
        <v>1</v>
      </c>
      <c r="CD427" s="101" t="str">
        <f>'Gov Fd Rv'!A427</f>
        <v>Otsego Local SD</v>
      </c>
      <c r="CE427" s="8" t="b">
        <f t="shared" si="82"/>
        <v>1</v>
      </c>
      <c r="CG427" s="8" t="str">
        <f t="shared" si="84"/>
        <v>Wood</v>
      </c>
      <c r="CH427" s="8" t="b">
        <f t="shared" si="85"/>
        <v>1</v>
      </c>
      <c r="CI427" s="8" t="b">
        <f>C427='Gov Fd Rv'!C427</f>
        <v>1</v>
      </c>
    </row>
    <row r="428" spans="1:87">
      <c r="A428" s="12" t="s">
        <v>405</v>
      </c>
      <c r="B428" s="12"/>
      <c r="C428" s="12" t="s">
        <v>115</v>
      </c>
      <c r="D428" s="12"/>
      <c r="E428" s="12">
        <v>48215</v>
      </c>
      <c r="G428" s="7">
        <v>9431596</v>
      </c>
      <c r="I428" s="7">
        <v>0</v>
      </c>
      <c r="K428" s="7">
        <v>0</v>
      </c>
      <c r="M428" s="7">
        <v>0</v>
      </c>
      <c r="O428" s="7">
        <v>0</v>
      </c>
      <c r="Q428" s="7">
        <v>719092</v>
      </c>
      <c r="S428" s="7">
        <v>548438</v>
      </c>
      <c r="U428" s="7">
        <v>22760</v>
      </c>
      <c r="W428" s="7">
        <v>1027792</v>
      </c>
      <c r="Y428" s="7">
        <v>489920</v>
      </c>
      <c r="AA428" s="7">
        <v>0</v>
      </c>
      <c r="AC428" s="7">
        <v>1136312</v>
      </c>
      <c r="AE428" s="7">
        <v>110108</v>
      </c>
      <c r="AG428" s="7">
        <v>65867</v>
      </c>
      <c r="AI428" s="7">
        <v>0</v>
      </c>
      <c r="AK428" s="7">
        <v>339062</v>
      </c>
      <c r="AL428" s="12" t="s">
        <v>405</v>
      </c>
      <c r="AM428" s="12"/>
      <c r="AN428" s="12" t="s">
        <v>115</v>
      </c>
      <c r="AP428" s="7">
        <v>693233</v>
      </c>
      <c r="AR428" s="7">
        <v>98206</v>
      </c>
      <c r="AT428" s="7">
        <v>0</v>
      </c>
      <c r="AV428" s="7">
        <v>420000</v>
      </c>
      <c r="AX428" s="7">
        <v>64638</v>
      </c>
      <c r="AZ428" s="7">
        <v>0</v>
      </c>
      <c r="BB428" s="8">
        <f t="shared" si="103"/>
        <v>15167024</v>
      </c>
      <c r="BD428" s="7">
        <v>311430</v>
      </c>
      <c r="BF428" s="7">
        <v>0</v>
      </c>
      <c r="BH428" s="7">
        <v>0</v>
      </c>
      <c r="BJ428" s="7">
        <v>0</v>
      </c>
      <c r="BL428" s="8">
        <f t="shared" si="104"/>
        <v>15478454</v>
      </c>
      <c r="BN428" s="8">
        <f>'Gov Fd Rv'!AQ428-'Gov Fnd Exp'!BL428</f>
        <v>-352353</v>
      </c>
      <c r="BP428" s="7">
        <v>4418729</v>
      </c>
      <c r="BR428" s="7">
        <v>0</v>
      </c>
      <c r="BT428" s="7">
        <v>0</v>
      </c>
      <c r="BV428" s="8">
        <f t="shared" ref="BV428:BV479" si="105">BN428+BP428+BR428+BT428</f>
        <v>4066376</v>
      </c>
      <c r="BW428" s="8"/>
      <c r="BX428" s="8">
        <f>BV428-'Gov Fd BS'!AE428</f>
        <v>0</v>
      </c>
      <c r="BY428" s="8"/>
      <c r="BZ428" s="7" t="s">
        <v>807</v>
      </c>
      <c r="CB428" s="101" t="str">
        <f t="shared" si="92"/>
        <v>Ottawa Hills Local SD</v>
      </c>
      <c r="CC428" s="101" t="b">
        <f t="shared" si="83"/>
        <v>1</v>
      </c>
      <c r="CD428" s="101" t="str">
        <f>'Gov Fd Rv'!A428</f>
        <v>Ottawa Hills Local SD</v>
      </c>
      <c r="CE428" s="8" t="b">
        <f t="shared" si="82"/>
        <v>1</v>
      </c>
      <c r="CG428" s="8" t="str">
        <f t="shared" si="84"/>
        <v>Lucas</v>
      </c>
      <c r="CH428" s="8" t="b">
        <f t="shared" si="85"/>
        <v>1</v>
      </c>
      <c r="CI428" s="8" t="b">
        <f>C428='Gov Fd Rv'!C428</f>
        <v>1</v>
      </c>
    </row>
    <row r="429" spans="1:87" hidden="1">
      <c r="A429" s="12" t="s">
        <v>749</v>
      </c>
      <c r="B429" s="12"/>
      <c r="C429" s="12" t="s">
        <v>482</v>
      </c>
      <c r="D429" s="12"/>
      <c r="E429" s="12">
        <v>49379</v>
      </c>
      <c r="AL429" s="12" t="s">
        <v>749</v>
      </c>
      <c r="AM429" s="12"/>
      <c r="AN429" s="12" t="s">
        <v>482</v>
      </c>
      <c r="AT429" s="7">
        <v>0</v>
      </c>
      <c r="AZ429" s="7">
        <v>0</v>
      </c>
      <c r="BB429" s="8">
        <f t="shared" ref="BB429:BB479" si="106">SUM(G429:AZ429)</f>
        <v>0</v>
      </c>
      <c r="BF429" s="7">
        <v>0</v>
      </c>
      <c r="BH429" s="7">
        <v>0</v>
      </c>
      <c r="BL429" s="8">
        <f t="shared" si="104"/>
        <v>0</v>
      </c>
      <c r="BN429" s="8">
        <f>'Gov Fd Rv'!AQ429-'Gov Fnd Exp'!BL429</f>
        <v>0</v>
      </c>
      <c r="BT429" s="7">
        <v>0</v>
      </c>
      <c r="BV429" s="8">
        <f t="shared" si="105"/>
        <v>0</v>
      </c>
      <c r="BW429" s="8"/>
      <c r="BX429" s="8">
        <f>BV429-'Gov Fd BS'!AE429</f>
        <v>0</v>
      </c>
      <c r="BY429" s="8"/>
      <c r="BZ429" s="7" t="s">
        <v>953</v>
      </c>
      <c r="CB429" s="101" t="str">
        <f t="shared" si="92"/>
        <v>Ottawa-Glandorf Local SD (CASH)</v>
      </c>
      <c r="CC429" s="101" t="b">
        <f t="shared" si="83"/>
        <v>1</v>
      </c>
      <c r="CD429" s="101" t="str">
        <f>'Gov Fd Rv'!A429</f>
        <v>Ottawa-Glandorf Local SD (CASH)</v>
      </c>
      <c r="CE429" s="8" t="b">
        <f t="shared" si="82"/>
        <v>1</v>
      </c>
      <c r="CG429" s="8" t="str">
        <f t="shared" si="84"/>
        <v>Putnam</v>
      </c>
      <c r="CH429" s="8" t="b">
        <f t="shared" si="85"/>
        <v>1</v>
      </c>
      <c r="CI429" s="8" t="b">
        <f>C429='Gov Fd Rv'!C429</f>
        <v>1</v>
      </c>
    </row>
    <row r="430" spans="1:87" hidden="1">
      <c r="A430" s="12" t="s">
        <v>955</v>
      </c>
      <c r="B430" s="12"/>
      <c r="C430" s="12" t="s">
        <v>482</v>
      </c>
      <c r="D430" s="12"/>
      <c r="E430" s="12">
        <v>49387</v>
      </c>
      <c r="AL430" s="12" t="s">
        <v>955</v>
      </c>
      <c r="AM430" s="12"/>
      <c r="AN430" s="12" t="s">
        <v>482</v>
      </c>
      <c r="AT430" s="7">
        <v>0</v>
      </c>
      <c r="AZ430" s="7">
        <v>0</v>
      </c>
      <c r="BB430" s="8">
        <f t="shared" si="106"/>
        <v>0</v>
      </c>
      <c r="BF430" s="7">
        <v>0</v>
      </c>
      <c r="BH430" s="7">
        <v>0</v>
      </c>
      <c r="BL430" s="8">
        <f t="shared" si="104"/>
        <v>0</v>
      </c>
      <c r="BN430" s="8">
        <f>'Gov Fd Rv'!AQ430-'Gov Fnd Exp'!BL430</f>
        <v>0</v>
      </c>
      <c r="BT430" s="7">
        <v>0</v>
      </c>
      <c r="BV430" s="8">
        <f t="shared" si="105"/>
        <v>0</v>
      </c>
      <c r="BW430" s="8"/>
      <c r="BX430" s="8">
        <f>BV430-'Gov Fd BS'!AE430</f>
        <v>0</v>
      </c>
      <c r="BY430" s="8"/>
      <c r="BZ430" s="7" t="s">
        <v>954</v>
      </c>
      <c r="CB430" s="101" t="str">
        <f t="shared" si="92"/>
        <v>Ottoville Local SD (NO REPORT) (Two year Audit)</v>
      </c>
      <c r="CC430" s="101" t="b">
        <f t="shared" si="83"/>
        <v>1</v>
      </c>
      <c r="CD430" s="101" t="str">
        <f>'Gov Fd Rv'!A430</f>
        <v>Ottoville Local SD (NO REPORT) (Two year Audit)</v>
      </c>
      <c r="CE430" s="8" t="b">
        <f t="shared" si="82"/>
        <v>1</v>
      </c>
      <c r="CG430" s="8" t="str">
        <f t="shared" si="84"/>
        <v>Putnam</v>
      </c>
      <c r="CH430" s="8" t="b">
        <f t="shared" si="85"/>
        <v>1</v>
      </c>
      <c r="CI430" s="8" t="b">
        <f>C430='Gov Fd Rv'!C430</f>
        <v>1</v>
      </c>
    </row>
    <row r="431" spans="1:87" hidden="1">
      <c r="A431" s="12" t="s">
        <v>956</v>
      </c>
      <c r="B431" s="12"/>
      <c r="C431" s="12" t="s">
        <v>41</v>
      </c>
      <c r="D431" s="12"/>
      <c r="E431" s="12">
        <v>44628</v>
      </c>
      <c r="AL431" s="12" t="s">
        <v>956</v>
      </c>
      <c r="AM431" s="12"/>
      <c r="AN431" s="12" t="s">
        <v>41</v>
      </c>
      <c r="AT431" s="7">
        <v>0</v>
      </c>
      <c r="AZ431" s="7">
        <v>0</v>
      </c>
      <c r="BB431" s="8">
        <f t="shared" si="106"/>
        <v>0</v>
      </c>
      <c r="BF431" s="7">
        <v>0</v>
      </c>
      <c r="BH431" s="7">
        <v>0</v>
      </c>
      <c r="BL431" s="8">
        <f t="shared" si="104"/>
        <v>0</v>
      </c>
      <c r="BN431" s="8">
        <f>'Gov Fd Rv'!AQ431-'Gov Fnd Exp'!BL431</f>
        <v>0</v>
      </c>
      <c r="BT431" s="7">
        <v>0</v>
      </c>
      <c r="BV431" s="8">
        <f t="shared" si="105"/>
        <v>0</v>
      </c>
      <c r="BW431" s="8"/>
      <c r="BX431" s="8">
        <f>BV431-'Gov Fd BS'!AE431</f>
        <v>0</v>
      </c>
      <c r="BY431" s="8"/>
      <c r="BZ431" s="7" t="s">
        <v>903</v>
      </c>
      <c r="CB431" s="101" t="str">
        <f t="shared" si="92"/>
        <v>Painesville City Local SD (CASH)</v>
      </c>
      <c r="CC431" s="101" t="b">
        <f t="shared" si="83"/>
        <v>1</v>
      </c>
      <c r="CD431" s="101" t="str">
        <f>'Gov Fd Rv'!A431</f>
        <v>Painesville City Local SD (CASH)</v>
      </c>
      <c r="CE431" s="8" t="b">
        <f t="shared" si="82"/>
        <v>1</v>
      </c>
      <c r="CG431" s="8" t="str">
        <f t="shared" si="84"/>
        <v>Lake</v>
      </c>
      <c r="CH431" s="8" t="b">
        <f t="shared" si="85"/>
        <v>1</v>
      </c>
      <c r="CI431" s="8" t="b">
        <f>C431='Gov Fd Rv'!C431</f>
        <v>1</v>
      </c>
    </row>
    <row r="432" spans="1:87" hidden="1">
      <c r="A432" s="12" t="s">
        <v>893</v>
      </c>
      <c r="B432" s="12"/>
      <c r="C432" s="12" t="s">
        <v>41</v>
      </c>
      <c r="D432" s="12"/>
      <c r="E432" s="12">
        <v>47894</v>
      </c>
      <c r="AL432" s="12" t="s">
        <v>893</v>
      </c>
      <c r="AM432" s="12"/>
      <c r="AN432" s="12" t="s">
        <v>41</v>
      </c>
      <c r="AT432" s="7">
        <v>0</v>
      </c>
      <c r="AZ432" s="7">
        <v>0</v>
      </c>
      <c r="BB432" s="8">
        <f t="shared" si="106"/>
        <v>0</v>
      </c>
      <c r="BF432" s="7">
        <v>0</v>
      </c>
      <c r="BH432" s="7">
        <v>0</v>
      </c>
      <c r="BL432" s="8">
        <f t="shared" si="104"/>
        <v>0</v>
      </c>
      <c r="BN432" s="8">
        <f>'Gov Fd Rv'!AQ432-'Gov Fnd Exp'!BL432</f>
        <v>0</v>
      </c>
      <c r="BT432" s="7">
        <v>0</v>
      </c>
      <c r="BV432" s="8">
        <f t="shared" si="105"/>
        <v>0</v>
      </c>
      <c r="BW432" s="8"/>
      <c r="BX432" s="8">
        <f>BV432-'Gov Fd BS'!AE432</f>
        <v>0</v>
      </c>
      <c r="BY432" s="8"/>
      <c r="BZ432" s="7" t="s">
        <v>790</v>
      </c>
      <c r="CB432" s="101" t="str">
        <f t="shared" si="92"/>
        <v>Painesville Township Local SD - now RIVERSIDE LOCAL SCHOOL DISTRICT since 2007</v>
      </c>
      <c r="CC432" s="101" t="b">
        <f t="shared" si="83"/>
        <v>1</v>
      </c>
      <c r="CD432" s="101" t="str">
        <f>'Gov Fd Rv'!A432</f>
        <v>Painesville Township Local SD - now RIVERSIDE LOCAL SCHOOL DISTRICT since 2007</v>
      </c>
      <c r="CE432" s="8" t="b">
        <f t="shared" si="82"/>
        <v>1</v>
      </c>
      <c r="CG432" s="8" t="str">
        <f t="shared" si="84"/>
        <v>Lake</v>
      </c>
      <c r="CH432" s="8" t="b">
        <f t="shared" si="85"/>
        <v>1</v>
      </c>
      <c r="CI432" s="8" t="b">
        <f>C432='Gov Fd Rv'!C432</f>
        <v>1</v>
      </c>
    </row>
    <row r="433" spans="1:87">
      <c r="A433" s="12" t="s">
        <v>490</v>
      </c>
      <c r="B433" s="12"/>
      <c r="C433" s="12" t="s">
        <v>58</v>
      </c>
      <c r="D433" s="12"/>
      <c r="E433" s="12">
        <v>49510</v>
      </c>
      <c r="G433" s="7">
        <v>4666931</v>
      </c>
      <c r="I433" s="7">
        <v>1975859</v>
      </c>
      <c r="K433" s="7">
        <v>1726</v>
      </c>
      <c r="M433" s="7">
        <v>0</v>
      </c>
      <c r="O433" s="7">
        <v>958266</v>
      </c>
      <c r="Q433" s="7">
        <v>321558</v>
      </c>
      <c r="S433" s="7">
        <v>165303</v>
      </c>
      <c r="U433" s="7">
        <v>136088</v>
      </c>
      <c r="W433" s="7">
        <v>636459</v>
      </c>
      <c r="Y433" s="7">
        <v>288872</v>
      </c>
      <c r="AA433" s="7">
        <v>0</v>
      </c>
      <c r="AC433" s="7">
        <v>1066828</v>
      </c>
      <c r="AE433" s="7">
        <v>730523</v>
      </c>
      <c r="AG433" s="7">
        <v>0</v>
      </c>
      <c r="AI433" s="7">
        <v>0</v>
      </c>
      <c r="AK433" s="7">
        <v>333584</v>
      </c>
      <c r="AL433" s="12" t="s">
        <v>490</v>
      </c>
      <c r="AM433" s="12"/>
      <c r="AN433" s="12" t="s">
        <v>58</v>
      </c>
      <c r="AP433" s="7">
        <v>307848</v>
      </c>
      <c r="AR433" s="7">
        <v>327614</v>
      </c>
      <c r="AT433" s="7">
        <v>0</v>
      </c>
      <c r="AV433" s="7">
        <v>226833</v>
      </c>
      <c r="AX433" s="7">
        <f>43633+31522</f>
        <v>75155</v>
      </c>
      <c r="AZ433" s="7">
        <v>0</v>
      </c>
      <c r="BB433" s="8">
        <f t="shared" si="106"/>
        <v>12219447</v>
      </c>
      <c r="BD433" s="7">
        <v>31698</v>
      </c>
      <c r="BF433" s="7">
        <v>0</v>
      </c>
      <c r="BH433" s="7">
        <v>0</v>
      </c>
      <c r="BJ433" s="7">
        <v>1239162</v>
      </c>
      <c r="BL433" s="8">
        <f t="shared" si="104"/>
        <v>13490307</v>
      </c>
      <c r="BN433" s="8">
        <f>'Gov Fd Rv'!AQ433-'Gov Fnd Exp'!BL433</f>
        <v>-237852</v>
      </c>
      <c r="BP433" s="7">
        <v>3946813</v>
      </c>
      <c r="BR433" s="7">
        <v>0</v>
      </c>
      <c r="BT433" s="7">
        <v>0</v>
      </c>
      <c r="BV433" s="8">
        <f t="shared" si="105"/>
        <v>3708961</v>
      </c>
      <c r="BW433" s="8"/>
      <c r="BX433" s="8">
        <f>BV433-'Gov Fd BS'!AE433</f>
        <v>0</v>
      </c>
      <c r="BY433" s="8"/>
      <c r="CB433" s="101" t="str">
        <f t="shared" si="92"/>
        <v>Paint Valley Local SD</v>
      </c>
      <c r="CC433" s="101" t="b">
        <f t="shared" si="83"/>
        <v>1</v>
      </c>
      <c r="CD433" s="101" t="str">
        <f>'Gov Fd Rv'!A433</f>
        <v>Paint Valley Local SD</v>
      </c>
      <c r="CE433" s="8" t="b">
        <f t="shared" si="82"/>
        <v>1</v>
      </c>
      <c r="CG433" s="8" t="str">
        <f t="shared" si="84"/>
        <v>Ross</v>
      </c>
      <c r="CH433" s="8" t="b">
        <f t="shared" si="85"/>
        <v>1</v>
      </c>
      <c r="CI433" s="8" t="b">
        <f>C433='Gov Fd Rv'!C433</f>
        <v>1</v>
      </c>
    </row>
    <row r="434" spans="1:87" hidden="1">
      <c r="A434" s="12" t="s">
        <v>722</v>
      </c>
      <c r="B434" s="12"/>
      <c r="C434" s="12" t="s">
        <v>482</v>
      </c>
      <c r="D434" s="12"/>
      <c r="E434" s="12">
        <v>49395</v>
      </c>
      <c r="AL434" s="12" t="s">
        <v>722</v>
      </c>
      <c r="AM434" s="12"/>
      <c r="AN434" s="12" t="s">
        <v>482</v>
      </c>
      <c r="AT434" s="7">
        <v>0</v>
      </c>
      <c r="AZ434" s="7">
        <v>0</v>
      </c>
      <c r="BB434" s="8">
        <f t="shared" si="106"/>
        <v>0</v>
      </c>
      <c r="BF434" s="7">
        <v>0</v>
      </c>
      <c r="BH434" s="7">
        <v>0</v>
      </c>
      <c r="BL434" s="8">
        <f t="shared" si="104"/>
        <v>0</v>
      </c>
      <c r="BN434" s="8">
        <f>'Gov Fd Rv'!AQ434-'Gov Fnd Exp'!BL434</f>
        <v>0</v>
      </c>
      <c r="BT434" s="7">
        <v>0</v>
      </c>
      <c r="BV434" s="8">
        <f t="shared" si="105"/>
        <v>0</v>
      </c>
      <c r="BW434" s="8"/>
      <c r="BX434" s="8">
        <f>BV434-'Gov Fd BS'!AE434</f>
        <v>0</v>
      </c>
      <c r="BY434" s="8"/>
      <c r="BZ434" s="7" t="s">
        <v>958</v>
      </c>
      <c r="CB434" s="101" t="str">
        <f t="shared" si="92"/>
        <v>Pandora-Gilboa Local SD (CASH)  (Two year Audit)</v>
      </c>
      <c r="CC434" s="101" t="b">
        <f t="shared" si="83"/>
        <v>1</v>
      </c>
      <c r="CD434" s="101" t="str">
        <f>'Gov Fd Rv'!A434</f>
        <v>Pandora-Gilboa Local SD (CASH)  (Two year Audit)</v>
      </c>
      <c r="CE434" s="8" t="b">
        <f t="shared" si="82"/>
        <v>1</v>
      </c>
      <c r="CG434" s="8" t="str">
        <f t="shared" si="84"/>
        <v>Putnam</v>
      </c>
      <c r="CH434" s="8" t="b">
        <f t="shared" si="85"/>
        <v>1</v>
      </c>
      <c r="CI434" s="8" t="b">
        <f>C434='Gov Fd Rv'!C434</f>
        <v>1</v>
      </c>
    </row>
    <row r="435" spans="1:87" hidden="1">
      <c r="A435" s="12" t="s">
        <v>723</v>
      </c>
      <c r="B435" s="12"/>
      <c r="C435" s="12" t="s">
        <v>435</v>
      </c>
      <c r="D435" s="12"/>
      <c r="E435" s="12">
        <v>48579</v>
      </c>
      <c r="AL435" s="12" t="s">
        <v>723</v>
      </c>
      <c r="AM435" s="12"/>
      <c r="AN435" s="12" t="s">
        <v>435</v>
      </c>
      <c r="AT435" s="7">
        <v>0</v>
      </c>
      <c r="AZ435" s="7">
        <v>0</v>
      </c>
      <c r="BB435" s="8">
        <f t="shared" si="106"/>
        <v>0</v>
      </c>
      <c r="BF435" s="7">
        <v>0</v>
      </c>
      <c r="BH435" s="7">
        <v>0</v>
      </c>
      <c r="BL435" s="8">
        <f t="shared" si="104"/>
        <v>0</v>
      </c>
      <c r="BN435" s="8">
        <f>'Gov Fd Rv'!AQ435-'Gov Fnd Exp'!BL435</f>
        <v>0</v>
      </c>
      <c r="BT435" s="7">
        <v>0</v>
      </c>
      <c r="BV435" s="8">
        <f t="shared" si="105"/>
        <v>0</v>
      </c>
      <c r="BW435" s="8"/>
      <c r="BX435" s="8">
        <f>BV435-'Gov Fd BS'!AE435</f>
        <v>0</v>
      </c>
      <c r="BY435" s="8"/>
      <c r="BZ435" s="7" t="s">
        <v>839</v>
      </c>
      <c r="CB435" s="101" t="str">
        <f t="shared" si="92"/>
        <v>Parkway Local SD (CASH) (Two year Audit)</v>
      </c>
      <c r="CC435" s="101" t="b">
        <f t="shared" si="83"/>
        <v>1</v>
      </c>
      <c r="CD435" s="101" t="str">
        <f>'Gov Fd Rv'!A435</f>
        <v>Parkway Local SD (CASH) (Two year Audit)</v>
      </c>
      <c r="CE435" s="8" t="b">
        <f t="shared" si="82"/>
        <v>1</v>
      </c>
      <c r="CG435" s="8" t="str">
        <f t="shared" si="84"/>
        <v>Mercer</v>
      </c>
      <c r="CH435" s="8" t="b">
        <f t="shared" si="85"/>
        <v>1</v>
      </c>
      <c r="CI435" s="8" t="b">
        <f>C435='Gov Fd Rv'!C435</f>
        <v>1</v>
      </c>
    </row>
    <row r="436" spans="1:87">
      <c r="A436" s="12" t="s">
        <v>281</v>
      </c>
      <c r="B436" s="12"/>
      <c r="C436" s="12" t="s">
        <v>20</v>
      </c>
      <c r="D436" s="12"/>
      <c r="E436" s="12">
        <v>44636</v>
      </c>
      <c r="G436" s="7">
        <v>55339224</v>
      </c>
      <c r="I436" s="7">
        <v>21106739</v>
      </c>
      <c r="K436" s="7">
        <v>2837548</v>
      </c>
      <c r="M436" s="7">
        <v>696824</v>
      </c>
      <c r="O436" s="7">
        <v>122201</v>
      </c>
      <c r="Q436" s="7">
        <v>10460363</v>
      </c>
      <c r="S436" s="7">
        <v>7848214</v>
      </c>
      <c r="U436" s="7">
        <v>709335</v>
      </c>
      <c r="W436" s="7">
        <v>10632677</v>
      </c>
      <c r="Y436" s="7">
        <v>2953924</v>
      </c>
      <c r="AA436" s="7">
        <v>1126072</v>
      </c>
      <c r="AC436" s="7">
        <v>9848167</v>
      </c>
      <c r="AE436" s="7">
        <v>5793095</v>
      </c>
      <c r="AG436" s="7">
        <v>3209572</v>
      </c>
      <c r="AI436" s="7">
        <v>0</v>
      </c>
      <c r="AK436" s="7">
        <v>4103066</v>
      </c>
      <c r="AL436" s="12" t="s">
        <v>281</v>
      </c>
      <c r="AM436" s="12"/>
      <c r="AN436" s="12" t="s">
        <v>20</v>
      </c>
      <c r="AP436" s="7">
        <v>2362318</v>
      </c>
      <c r="AR436" s="7">
        <v>824270</v>
      </c>
      <c r="AT436" s="7">
        <v>0</v>
      </c>
      <c r="AV436" s="7">
        <v>5319942</v>
      </c>
      <c r="AX436" s="7">
        <v>1729593</v>
      </c>
      <c r="AZ436" s="7">
        <v>0</v>
      </c>
      <c r="BB436" s="8">
        <f t="shared" si="106"/>
        <v>147023144</v>
      </c>
      <c r="BD436" s="7">
        <v>229025</v>
      </c>
      <c r="BF436" s="7">
        <v>0</v>
      </c>
      <c r="BH436" s="7">
        <v>0</v>
      </c>
      <c r="BJ436" s="7">
        <v>0</v>
      </c>
      <c r="BL436" s="8">
        <f t="shared" si="104"/>
        <v>147252169</v>
      </c>
      <c r="BN436" s="8">
        <f>'Gov Fd Rv'!AQ436-'Gov Fnd Exp'!BL436</f>
        <v>6283862</v>
      </c>
      <c r="BP436" s="7">
        <v>9483934</v>
      </c>
      <c r="BR436" s="7">
        <v>0</v>
      </c>
      <c r="BT436" s="7">
        <v>0</v>
      </c>
      <c r="BV436" s="8">
        <f t="shared" si="105"/>
        <v>15767796</v>
      </c>
      <c r="BW436" s="8"/>
      <c r="BX436" s="8">
        <f>BV436-'Gov Fd BS'!AE436</f>
        <v>0</v>
      </c>
      <c r="BY436" s="8"/>
      <c r="BZ436" s="7" t="s">
        <v>951</v>
      </c>
      <c r="CB436" s="101" t="str">
        <f t="shared" si="92"/>
        <v>Parma City SD</v>
      </c>
      <c r="CC436" s="101" t="b">
        <f t="shared" si="83"/>
        <v>1</v>
      </c>
      <c r="CD436" s="101" t="str">
        <f>'Gov Fd Rv'!A436</f>
        <v>Parma City SD</v>
      </c>
      <c r="CE436" s="8" t="b">
        <f t="shared" si="82"/>
        <v>1</v>
      </c>
      <c r="CG436" s="8" t="str">
        <f t="shared" si="84"/>
        <v>Cuyahoga</v>
      </c>
      <c r="CH436" s="8" t="b">
        <f t="shared" si="85"/>
        <v>1</v>
      </c>
      <c r="CI436" s="8" t="b">
        <f>C436='Gov Fd Rv'!C436</f>
        <v>1</v>
      </c>
    </row>
    <row r="437" spans="1:87">
      <c r="A437" s="12" t="s">
        <v>357</v>
      </c>
      <c r="B437" s="12"/>
      <c r="C437" s="12" t="s">
        <v>34</v>
      </c>
      <c r="D437" s="12"/>
      <c r="E437" s="12">
        <v>47597</v>
      </c>
      <c r="G437" s="7">
        <v>4400936</v>
      </c>
      <c r="I437" s="7">
        <v>1194760</v>
      </c>
      <c r="K437" s="7">
        <v>7018</v>
      </c>
      <c r="M437" s="7">
        <v>0</v>
      </c>
      <c r="O437" s="7">
        <f>225+469794</f>
        <v>470019</v>
      </c>
      <c r="Q437" s="7">
        <v>470193</v>
      </c>
      <c r="S437" s="7">
        <v>568073</v>
      </c>
      <c r="U437" s="7">
        <v>32335</v>
      </c>
      <c r="W437" s="7">
        <v>1055132</v>
      </c>
      <c r="Y437" s="7">
        <v>369281</v>
      </c>
      <c r="AA437" s="7">
        <v>143447</v>
      </c>
      <c r="AC437" s="7">
        <v>927746</v>
      </c>
      <c r="AE437" s="7">
        <v>527980</v>
      </c>
      <c r="AG437" s="7">
        <v>190490</v>
      </c>
      <c r="AI437" s="7">
        <v>0</v>
      </c>
      <c r="AK437" s="7">
        <v>457568</v>
      </c>
      <c r="AL437" s="12" t="s">
        <v>357</v>
      </c>
      <c r="AM437" s="12"/>
      <c r="AN437" s="12" t="s">
        <v>34</v>
      </c>
      <c r="AP437" s="7">
        <v>433025</v>
      </c>
      <c r="AR437" s="7">
        <v>6012</v>
      </c>
      <c r="AT437" s="7">
        <v>0</v>
      </c>
      <c r="AV437" s="7">
        <v>231773</v>
      </c>
      <c r="AX437" s="7">
        <v>270127</v>
      </c>
      <c r="AZ437" s="7">
        <v>0</v>
      </c>
      <c r="BB437" s="8">
        <f t="shared" si="106"/>
        <v>11755915</v>
      </c>
      <c r="BD437" s="7">
        <v>69269</v>
      </c>
      <c r="BF437" s="7">
        <v>0</v>
      </c>
      <c r="BH437" s="7">
        <v>0</v>
      </c>
      <c r="BJ437" s="7">
        <v>0</v>
      </c>
      <c r="BL437" s="8">
        <f t="shared" si="104"/>
        <v>11825184</v>
      </c>
      <c r="BN437" s="8">
        <f>'Gov Fd Rv'!AQ437-'Gov Fnd Exp'!BL437</f>
        <v>152040</v>
      </c>
      <c r="BP437" s="7">
        <v>1973773</v>
      </c>
      <c r="BR437" s="7">
        <v>0</v>
      </c>
      <c r="BT437" s="7">
        <v>0</v>
      </c>
      <c r="BV437" s="8">
        <f t="shared" si="105"/>
        <v>2125813</v>
      </c>
      <c r="BW437" s="8"/>
      <c r="BX437" s="8">
        <f>BV437-'Gov Fd BS'!AE437</f>
        <v>0</v>
      </c>
      <c r="BY437" s="8"/>
      <c r="BZ437" s="7" t="s">
        <v>957</v>
      </c>
      <c r="CB437" s="101" t="str">
        <f t="shared" si="92"/>
        <v>Patrick Henry Local SD</v>
      </c>
      <c r="CC437" s="101" t="b">
        <f t="shared" si="83"/>
        <v>1</v>
      </c>
      <c r="CD437" s="101" t="str">
        <f>'Gov Fd Rv'!A437</f>
        <v>Patrick Henry Local SD</v>
      </c>
      <c r="CE437" s="8" t="b">
        <f t="shared" si="82"/>
        <v>1</v>
      </c>
      <c r="CG437" s="8" t="str">
        <f t="shared" si="84"/>
        <v>Henry</v>
      </c>
      <c r="CH437" s="8" t="b">
        <f t="shared" si="85"/>
        <v>1</v>
      </c>
      <c r="CI437" s="8" t="b">
        <f>C437='Gov Fd Rv'!C437</f>
        <v>1</v>
      </c>
    </row>
    <row r="438" spans="1:87" hidden="1">
      <c r="A438" s="12" t="s">
        <v>884</v>
      </c>
      <c r="B438" s="12"/>
      <c r="C438" s="12" t="s">
        <v>465</v>
      </c>
      <c r="D438" s="12"/>
      <c r="E438" s="12">
        <v>45575</v>
      </c>
      <c r="AL438" s="12" t="s">
        <v>884</v>
      </c>
      <c r="AM438" s="12"/>
      <c r="AN438" s="12" t="s">
        <v>465</v>
      </c>
      <c r="AT438" s="7">
        <v>0</v>
      </c>
      <c r="AZ438" s="7">
        <v>0</v>
      </c>
      <c r="BB438" s="8">
        <f t="shared" si="106"/>
        <v>0</v>
      </c>
      <c r="BF438" s="7">
        <v>0</v>
      </c>
      <c r="BH438" s="7">
        <v>0</v>
      </c>
      <c r="BJ438" s="7">
        <v>0</v>
      </c>
      <c r="BL438" s="8">
        <f t="shared" si="104"/>
        <v>0</v>
      </c>
      <c r="BN438" s="8">
        <f>'Gov Fd Rv'!AQ438-'Gov Fnd Exp'!BL438</f>
        <v>0</v>
      </c>
      <c r="BT438" s="7">
        <v>0</v>
      </c>
      <c r="BV438" s="8">
        <f t="shared" si="105"/>
        <v>0</v>
      </c>
      <c r="BW438" s="8"/>
      <c r="BX438" s="8">
        <f>BV438-'Gov Fd BS'!AE438</f>
        <v>0</v>
      </c>
      <c r="BY438" s="8"/>
      <c r="BZ438" s="7" t="s">
        <v>839</v>
      </c>
      <c r="CB438" s="101" t="str">
        <f t="shared" si="92"/>
        <v>Paulding Exempted Village SD (CASH)</v>
      </c>
      <c r="CC438" s="101" t="b">
        <f t="shared" si="83"/>
        <v>1</v>
      </c>
      <c r="CD438" s="101" t="str">
        <f>'Gov Fd Rv'!A438</f>
        <v>Paulding Exempted Village SD (CASH)</v>
      </c>
      <c r="CE438" s="8" t="b">
        <f t="shared" si="82"/>
        <v>1</v>
      </c>
      <c r="CG438" s="8" t="str">
        <f t="shared" si="84"/>
        <v>Paulding</v>
      </c>
      <c r="CH438" s="8" t="b">
        <f t="shared" si="85"/>
        <v>1</v>
      </c>
      <c r="CI438" s="8" t="b">
        <f>C438='Gov Fd Rv'!C438</f>
        <v>1</v>
      </c>
    </row>
    <row r="439" spans="1:87">
      <c r="A439" s="12" t="s">
        <v>295</v>
      </c>
      <c r="B439" s="12"/>
      <c r="C439" s="12" t="s">
        <v>24</v>
      </c>
      <c r="D439" s="12"/>
      <c r="E439" s="12">
        <v>46813</v>
      </c>
      <c r="G439" s="7">
        <v>10576383</v>
      </c>
      <c r="I439" s="7">
        <v>3588903</v>
      </c>
      <c r="K439" s="7">
        <v>192113</v>
      </c>
      <c r="M439" s="7">
        <v>0</v>
      </c>
      <c r="O439" s="7">
        <v>628402</v>
      </c>
      <c r="Q439" s="7">
        <v>1655647</v>
      </c>
      <c r="S439" s="7">
        <v>1791497</v>
      </c>
      <c r="U439" s="7">
        <v>38294</v>
      </c>
      <c r="W439" s="7">
        <v>1671290</v>
      </c>
      <c r="Y439" s="7">
        <v>538370</v>
      </c>
      <c r="AA439" s="7">
        <v>1593</v>
      </c>
      <c r="AC439" s="7">
        <v>1890601</v>
      </c>
      <c r="AE439" s="7">
        <v>1193487</v>
      </c>
      <c r="AG439" s="7">
        <v>107110</v>
      </c>
      <c r="AI439" s="7">
        <v>960785</v>
      </c>
      <c r="AK439" s="7">
        <v>52112</v>
      </c>
      <c r="AL439" s="12" t="s">
        <v>295</v>
      </c>
      <c r="AM439" s="12"/>
      <c r="AN439" s="12" t="s">
        <v>24</v>
      </c>
      <c r="AP439" s="7">
        <v>656059</v>
      </c>
      <c r="AR439" s="7">
        <f>334577+263726</f>
        <v>598303</v>
      </c>
      <c r="AT439" s="7">
        <v>0</v>
      </c>
      <c r="AV439" s="7">
        <v>703648</v>
      </c>
      <c r="AX439" s="7">
        <v>130483</v>
      </c>
      <c r="AZ439" s="7">
        <v>0</v>
      </c>
      <c r="BB439" s="8">
        <f t="shared" si="106"/>
        <v>26975080</v>
      </c>
      <c r="BD439" s="7">
        <v>913157</v>
      </c>
      <c r="BF439" s="7">
        <v>0</v>
      </c>
      <c r="BH439" s="7">
        <v>0</v>
      </c>
      <c r="BJ439" s="7">
        <v>0</v>
      </c>
      <c r="BL439" s="8">
        <f t="shared" si="104"/>
        <v>27888237</v>
      </c>
      <c r="BN439" s="8">
        <f>'Gov Fd Rv'!AQ439-'Gov Fnd Exp'!BL439</f>
        <v>-369077</v>
      </c>
      <c r="BP439" s="7">
        <v>6415564</v>
      </c>
      <c r="BR439" s="7">
        <v>9065</v>
      </c>
      <c r="BT439" s="7">
        <v>0</v>
      </c>
      <c r="BV439" s="8">
        <f t="shared" si="105"/>
        <v>6055552</v>
      </c>
      <c r="BW439" s="8"/>
      <c r="BX439" s="8">
        <f>BV439-'Gov Fd BS'!AE439</f>
        <v>0</v>
      </c>
      <c r="BY439" s="8"/>
      <c r="CB439" s="101" t="str">
        <f t="shared" si="92"/>
        <v>Perkins Local SD</v>
      </c>
      <c r="CC439" s="101" t="b">
        <f t="shared" si="83"/>
        <v>1</v>
      </c>
      <c r="CD439" s="101" t="str">
        <f>'Gov Fd Rv'!A439</f>
        <v>Perkins Local SD</v>
      </c>
      <c r="CE439" s="8" t="b">
        <f t="shared" si="82"/>
        <v>1</v>
      </c>
      <c r="CG439" s="8" t="str">
        <f t="shared" si="84"/>
        <v>Erie</v>
      </c>
      <c r="CH439" s="8" t="b">
        <f t="shared" si="85"/>
        <v>1</v>
      </c>
      <c r="CI439" s="8" t="b">
        <f>C439='Gov Fd Rv'!C439</f>
        <v>1</v>
      </c>
    </row>
    <row r="440" spans="1:87" hidden="1">
      <c r="A440" s="12" t="s">
        <v>724</v>
      </c>
      <c r="B440" s="12"/>
      <c r="C440" s="12" t="s">
        <v>10</v>
      </c>
      <c r="D440" s="12"/>
      <c r="E440" s="12"/>
      <c r="AL440" s="12" t="s">
        <v>724</v>
      </c>
      <c r="AM440" s="12"/>
      <c r="AN440" s="12" t="s">
        <v>10</v>
      </c>
      <c r="AT440" s="7">
        <v>0</v>
      </c>
      <c r="AZ440" s="7">
        <v>0</v>
      </c>
      <c r="BB440" s="8">
        <f t="shared" si="106"/>
        <v>0</v>
      </c>
      <c r="BF440" s="7">
        <v>0</v>
      </c>
      <c r="BH440" s="7">
        <v>0</v>
      </c>
      <c r="BJ440" s="7">
        <v>0</v>
      </c>
      <c r="BL440" s="8">
        <f t="shared" si="104"/>
        <v>0</v>
      </c>
      <c r="BN440" s="8">
        <f>'Gov Fd Rv'!AQ440-'Gov Fnd Exp'!BL440</f>
        <v>0</v>
      </c>
      <c r="BT440" s="7">
        <v>0</v>
      </c>
      <c r="BV440" s="8">
        <f t="shared" si="105"/>
        <v>0</v>
      </c>
      <c r="BW440" s="8"/>
      <c r="BX440" s="8">
        <f>BV440-'Gov Fd BS'!AE440</f>
        <v>0</v>
      </c>
      <c r="BY440" s="8"/>
      <c r="BZ440" s="7" t="s">
        <v>959</v>
      </c>
      <c r="CB440" s="101" t="str">
        <f t="shared" si="92"/>
        <v>Perry Local SD (CASH)</v>
      </c>
      <c r="CC440" s="101" t="b">
        <f t="shared" si="83"/>
        <v>1</v>
      </c>
      <c r="CD440" s="101" t="str">
        <f>'Gov Fd Rv'!A440</f>
        <v>Perry Local SD (CASH)</v>
      </c>
      <c r="CE440" s="8" t="b">
        <f t="shared" si="82"/>
        <v>1</v>
      </c>
      <c r="CG440" s="8" t="str">
        <f t="shared" si="84"/>
        <v>Allen</v>
      </c>
      <c r="CH440" s="8" t="b">
        <f t="shared" si="85"/>
        <v>1</v>
      </c>
      <c r="CI440" s="8" t="b">
        <f>C440='Gov Fd Rv'!C440</f>
        <v>1</v>
      </c>
    </row>
    <row r="441" spans="1:87">
      <c r="A441" s="12" t="s">
        <v>203</v>
      </c>
      <c r="B441" s="12"/>
      <c r="C441" s="12" t="s">
        <v>41</v>
      </c>
      <c r="D441" s="12"/>
      <c r="E441" s="12">
        <v>47902</v>
      </c>
      <c r="G441" s="7">
        <v>11053559</v>
      </c>
      <c r="I441" s="7">
        <v>633158</v>
      </c>
      <c r="K441" s="7">
        <v>78852</v>
      </c>
      <c r="M441" s="7">
        <v>0</v>
      </c>
      <c r="O441" s="7">
        <v>1744566</v>
      </c>
      <c r="Q441" s="7">
        <v>1481414</v>
      </c>
      <c r="S441" s="7">
        <v>1402096</v>
      </c>
      <c r="U441" s="7">
        <v>97586</v>
      </c>
      <c r="W441" s="7">
        <v>1427843</v>
      </c>
      <c r="Y441" s="7">
        <v>673004</v>
      </c>
      <c r="AA441" s="7">
        <v>219907</v>
      </c>
      <c r="AC441" s="7">
        <v>3822994</v>
      </c>
      <c r="AE441" s="7">
        <v>1189229</v>
      </c>
      <c r="AG441" s="7">
        <v>20091</v>
      </c>
      <c r="AI441" s="7">
        <v>880902</v>
      </c>
      <c r="AK441" s="7">
        <f>177849+80396</f>
        <v>258245</v>
      </c>
      <c r="AL441" s="12" t="s">
        <v>203</v>
      </c>
      <c r="AM441" s="12"/>
      <c r="AN441" s="12" t="s">
        <v>41</v>
      </c>
      <c r="AP441" s="7">
        <v>1294988</v>
      </c>
      <c r="AR441" s="7">
        <v>1087919</v>
      </c>
      <c r="AT441" s="7">
        <v>0</v>
      </c>
      <c r="AV441" s="7">
        <v>275473</v>
      </c>
      <c r="AX441" s="7">
        <v>53852</v>
      </c>
      <c r="AZ441" s="7">
        <v>0</v>
      </c>
      <c r="BB441" s="8">
        <f t="shared" si="106"/>
        <v>27695678</v>
      </c>
      <c r="BD441" s="7">
        <v>0</v>
      </c>
      <c r="BF441" s="7">
        <v>0</v>
      </c>
      <c r="BH441" s="7">
        <v>0</v>
      </c>
      <c r="BJ441" s="7">
        <v>0</v>
      </c>
      <c r="BL441" s="8">
        <f t="shared" si="104"/>
        <v>27695678</v>
      </c>
      <c r="BN441" s="8">
        <f>'Gov Fd Rv'!AQ441-'Gov Fnd Exp'!BL441</f>
        <v>1622150</v>
      </c>
      <c r="BP441" s="7">
        <v>32840497</v>
      </c>
      <c r="BR441" s="7">
        <v>0</v>
      </c>
      <c r="BT441" s="7">
        <v>0</v>
      </c>
      <c r="BV441" s="8">
        <f t="shared" si="105"/>
        <v>34462647</v>
      </c>
      <c r="BW441" s="8"/>
      <c r="BX441" s="8">
        <f>BV441-'Gov Fd BS'!AE441</f>
        <v>0</v>
      </c>
      <c r="BY441" s="8"/>
      <c r="CB441" s="101" t="str">
        <f t="shared" si="92"/>
        <v>Perry Local SD</v>
      </c>
      <c r="CC441" s="101" t="b">
        <f t="shared" si="83"/>
        <v>1</v>
      </c>
      <c r="CD441" s="101" t="str">
        <f>'Gov Fd Rv'!A441</f>
        <v>Perry Local SD</v>
      </c>
      <c r="CE441" s="8" t="b">
        <f t="shared" si="82"/>
        <v>1</v>
      </c>
      <c r="CG441" s="8" t="str">
        <f t="shared" si="84"/>
        <v>Lake</v>
      </c>
      <c r="CH441" s="8" t="b">
        <f t="shared" si="85"/>
        <v>1</v>
      </c>
      <c r="CI441" s="8" t="b">
        <f>C441='Gov Fd Rv'!C441</f>
        <v>1</v>
      </c>
    </row>
    <row r="442" spans="1:87">
      <c r="A442" s="12" t="s">
        <v>203</v>
      </c>
      <c r="B442" s="12"/>
      <c r="C442" s="12" t="s">
        <v>62</v>
      </c>
      <c r="D442" s="12"/>
      <c r="E442" s="12">
        <v>49924</v>
      </c>
      <c r="G442" s="7">
        <v>20685242</v>
      </c>
      <c r="I442" s="7">
        <v>4293096</v>
      </c>
      <c r="K442" s="7">
        <v>2699004</v>
      </c>
      <c r="M442" s="7">
        <v>11150</v>
      </c>
      <c r="O442" s="7">
        <v>233754</v>
      </c>
      <c r="Q442" s="7">
        <v>3809645</v>
      </c>
      <c r="S442" s="7">
        <v>2045244</v>
      </c>
      <c r="U442" s="7">
        <v>119047</v>
      </c>
      <c r="W442" s="7">
        <v>3575496</v>
      </c>
      <c r="Y442" s="7">
        <v>763045</v>
      </c>
      <c r="AA442" s="7">
        <v>227196</v>
      </c>
      <c r="AC442" s="7">
        <v>4075853</v>
      </c>
      <c r="AE442" s="7">
        <v>2418679</v>
      </c>
      <c r="AG442" s="7">
        <v>425430</v>
      </c>
      <c r="AI442" s="7">
        <v>0</v>
      </c>
      <c r="AK442" s="7">
        <v>2207758</v>
      </c>
      <c r="AL442" s="12" t="s">
        <v>203</v>
      </c>
      <c r="AM442" s="12"/>
      <c r="AN442" s="12" t="s">
        <v>62</v>
      </c>
      <c r="AP442" s="7">
        <v>1290687</v>
      </c>
      <c r="AR442" s="7">
        <v>7578980</v>
      </c>
      <c r="AT442" s="7">
        <v>0</v>
      </c>
      <c r="AV442" s="7">
        <v>0</v>
      </c>
      <c r="AX442" s="7">
        <f>4232+121368</f>
        <v>125600</v>
      </c>
      <c r="AZ442" s="7">
        <v>0</v>
      </c>
      <c r="BB442" s="8">
        <f t="shared" si="106"/>
        <v>56584906</v>
      </c>
      <c r="BD442" s="7">
        <v>0</v>
      </c>
      <c r="BF442" s="7">
        <v>0</v>
      </c>
      <c r="BH442" s="7">
        <v>0</v>
      </c>
      <c r="BJ442" s="7">
        <v>0</v>
      </c>
      <c r="BL442" s="8">
        <f t="shared" si="104"/>
        <v>56584906</v>
      </c>
      <c r="BN442" s="8">
        <f>'Gov Fd Rv'!AQ442-'Gov Fnd Exp'!BL442</f>
        <v>-123457</v>
      </c>
      <c r="BP442" s="7">
        <v>25942031</v>
      </c>
      <c r="BR442" s="7">
        <v>0</v>
      </c>
      <c r="BT442" s="7">
        <v>0</v>
      </c>
      <c r="BV442" s="8">
        <f t="shared" si="105"/>
        <v>25818574</v>
      </c>
      <c r="BW442" s="8"/>
      <c r="BX442" s="8">
        <f>BV442-'Gov Fd BS'!AE442</f>
        <v>0</v>
      </c>
      <c r="BY442" s="8"/>
      <c r="BZ442" s="7" t="s">
        <v>951</v>
      </c>
      <c r="CB442" s="101" t="str">
        <f t="shared" si="92"/>
        <v>Perry Local SD</v>
      </c>
      <c r="CC442" s="101" t="b">
        <f t="shared" si="83"/>
        <v>1</v>
      </c>
      <c r="CD442" s="101" t="str">
        <f>'Gov Fd Rv'!A442</f>
        <v>Perry Local SD</v>
      </c>
      <c r="CE442" s="8" t="b">
        <f t="shared" si="82"/>
        <v>1</v>
      </c>
      <c r="CG442" s="8" t="str">
        <f t="shared" si="84"/>
        <v>Stark</v>
      </c>
      <c r="CH442" s="8" t="b">
        <f t="shared" si="85"/>
        <v>1</v>
      </c>
      <c r="CI442" s="8" t="b">
        <f>C442='Gov Fd Rv'!C442</f>
        <v>1</v>
      </c>
    </row>
    <row r="443" spans="1:87">
      <c r="A443" s="12" t="s">
        <v>885</v>
      </c>
      <c r="B443" s="12"/>
      <c r="C443" s="12" t="s">
        <v>72</v>
      </c>
      <c r="D443" s="12"/>
      <c r="E443" s="12">
        <v>45583</v>
      </c>
      <c r="G443" s="7">
        <v>22437071</v>
      </c>
      <c r="I443" s="7">
        <v>4581536</v>
      </c>
      <c r="K443" s="7">
        <v>91676</v>
      </c>
      <c r="M443" s="7">
        <v>0</v>
      </c>
      <c r="O443" s="7">
        <v>0</v>
      </c>
      <c r="Q443" s="7">
        <v>2690329</v>
      </c>
      <c r="S443" s="7">
        <v>643000</v>
      </c>
      <c r="U443" s="7">
        <v>46017</v>
      </c>
      <c r="W443" s="7">
        <v>2875366</v>
      </c>
      <c r="Y443" s="7">
        <v>883300</v>
      </c>
      <c r="AA443" s="7">
        <v>48031</v>
      </c>
      <c r="AC443" s="7">
        <v>3827760</v>
      </c>
      <c r="AE443" s="7">
        <v>1469369</v>
      </c>
      <c r="AG443" s="7">
        <v>709703</v>
      </c>
      <c r="AI443" s="7">
        <v>1652891</v>
      </c>
      <c r="AK443" s="7">
        <v>346433</v>
      </c>
      <c r="AL443" s="12" t="s">
        <v>885</v>
      </c>
      <c r="AM443" s="12"/>
      <c r="AN443" s="12" t="s">
        <v>72</v>
      </c>
      <c r="AP443" s="7">
        <v>1533602</v>
      </c>
      <c r="AR443" s="7">
        <f>1067204+435491</f>
        <v>1502695</v>
      </c>
      <c r="AT443" s="7">
        <v>0</v>
      </c>
      <c r="AV443" s="7">
        <v>1877000</v>
      </c>
      <c r="AX443" s="7">
        <f>1219865+85134</f>
        <v>1304999</v>
      </c>
      <c r="AZ443" s="7">
        <v>0</v>
      </c>
      <c r="BB443" s="8">
        <f t="shared" si="106"/>
        <v>48520778</v>
      </c>
      <c r="BD443" s="7">
        <v>0</v>
      </c>
      <c r="BF443" s="7">
        <v>0</v>
      </c>
      <c r="BH443" s="7">
        <v>0</v>
      </c>
      <c r="BJ443" s="7">
        <v>3892546</v>
      </c>
      <c r="BL443" s="8">
        <f t="shared" si="104"/>
        <v>52413324</v>
      </c>
      <c r="BN443" s="8">
        <f>'Gov Fd Rv'!AQ443-'Gov Fnd Exp'!BL443</f>
        <v>6191595</v>
      </c>
      <c r="BP443" s="7">
        <v>1826483</v>
      </c>
      <c r="BR443" s="7">
        <v>0</v>
      </c>
      <c r="BT443" s="7">
        <v>0</v>
      </c>
      <c r="BV443" s="8">
        <f t="shared" si="105"/>
        <v>8018078</v>
      </c>
      <c r="BW443" s="8"/>
      <c r="BX443" s="8">
        <f>BV443-'Gov Fd BS'!AE443</f>
        <v>0</v>
      </c>
      <c r="BY443" s="8"/>
      <c r="CB443" s="101" t="str">
        <f t="shared" si="92"/>
        <v>Perrysburg Exempted Village SD</v>
      </c>
      <c r="CC443" s="101" t="b">
        <f t="shared" si="83"/>
        <v>1</v>
      </c>
      <c r="CD443" s="101" t="str">
        <f>'Gov Fd Rv'!A443</f>
        <v>Perrysburg Exempted Village SD</v>
      </c>
      <c r="CE443" s="8" t="b">
        <f t="shared" si="82"/>
        <v>1</v>
      </c>
      <c r="CG443" s="8" t="str">
        <f t="shared" si="84"/>
        <v>Wood</v>
      </c>
      <c r="CH443" s="8" t="b">
        <f t="shared" si="85"/>
        <v>1</v>
      </c>
      <c r="CI443" s="8" t="b">
        <f>C443='Gov Fd Rv'!C443</f>
        <v>1</v>
      </c>
    </row>
    <row r="444" spans="1:87" hidden="1">
      <c r="A444" s="12" t="s">
        <v>894</v>
      </c>
      <c r="B444" s="12"/>
      <c r="C444" s="12" t="s">
        <v>28</v>
      </c>
      <c r="D444" s="12"/>
      <c r="E444" s="12">
        <v>47076</v>
      </c>
      <c r="AL444" s="12" t="s">
        <v>894</v>
      </c>
      <c r="AM444" s="12"/>
      <c r="AN444" s="12" t="s">
        <v>28</v>
      </c>
      <c r="AT444" s="7">
        <v>0</v>
      </c>
      <c r="AZ444" s="7">
        <v>0</v>
      </c>
      <c r="BB444" s="8">
        <f t="shared" si="106"/>
        <v>0</v>
      </c>
      <c r="BF444" s="7">
        <v>0</v>
      </c>
      <c r="BH444" s="7">
        <v>0</v>
      </c>
      <c r="BL444" s="8">
        <f t="shared" si="104"/>
        <v>0</v>
      </c>
      <c r="BN444" s="8">
        <f>'Gov Fd Rv'!AQ444-'Gov Fnd Exp'!BL444</f>
        <v>0</v>
      </c>
      <c r="BT444" s="7">
        <v>0</v>
      </c>
      <c r="BV444" s="8">
        <f t="shared" si="105"/>
        <v>0</v>
      </c>
      <c r="BW444" s="8"/>
      <c r="BX444" s="8">
        <f>BV444-'Gov Fd BS'!AE444</f>
        <v>0</v>
      </c>
      <c r="BY444" s="8"/>
      <c r="BZ444" s="7" t="s">
        <v>966</v>
      </c>
      <c r="CB444" s="101" t="str">
        <f t="shared" si="92"/>
        <v>Pettisville Local SD</v>
      </c>
      <c r="CC444" s="101" t="b">
        <f t="shared" si="83"/>
        <v>1</v>
      </c>
      <c r="CD444" s="101" t="str">
        <f>'Gov Fd Rv'!A444</f>
        <v>Pettisville Local SD</v>
      </c>
      <c r="CE444" s="8" t="b">
        <f t="shared" si="82"/>
        <v>1</v>
      </c>
      <c r="CG444" s="8" t="str">
        <f t="shared" si="84"/>
        <v>Fulton</v>
      </c>
      <c r="CH444" s="8" t="b">
        <f t="shared" si="85"/>
        <v>1</v>
      </c>
      <c r="CI444" s="8" t="b">
        <f>C444='Gov Fd Rv'!C444</f>
        <v>1</v>
      </c>
    </row>
    <row r="445" spans="1:87">
      <c r="A445" s="12" t="s">
        <v>302</v>
      </c>
      <c r="B445" s="12"/>
      <c r="C445" s="12" t="s">
        <v>25</v>
      </c>
      <c r="D445" s="12"/>
      <c r="E445" s="12">
        <v>46896</v>
      </c>
      <c r="G445" s="7">
        <v>46784345</v>
      </c>
      <c r="I445" s="7">
        <v>8878709</v>
      </c>
      <c r="K445" s="7">
        <v>1061573</v>
      </c>
      <c r="M445" s="7">
        <v>0</v>
      </c>
      <c r="O445" s="7">
        <v>2966744</v>
      </c>
      <c r="Q445" s="7">
        <v>5217514</v>
      </c>
      <c r="S445" s="7">
        <v>7130627</v>
      </c>
      <c r="U445" s="7">
        <v>711357</v>
      </c>
      <c r="W445" s="7">
        <v>8240838</v>
      </c>
      <c r="Y445" s="7">
        <v>1865065</v>
      </c>
      <c r="AA445" s="7">
        <v>502468</v>
      </c>
      <c r="AC445" s="7">
        <v>9648741</v>
      </c>
      <c r="AE445" s="7">
        <v>5445342</v>
      </c>
      <c r="AG445" s="7">
        <v>175442</v>
      </c>
      <c r="AI445" s="7">
        <v>4180731</v>
      </c>
      <c r="AK445" s="7">
        <v>54984</v>
      </c>
      <c r="AL445" s="12" t="s">
        <v>302</v>
      </c>
      <c r="AM445" s="12"/>
      <c r="AN445" s="12" t="s">
        <v>25</v>
      </c>
      <c r="AP445" s="7">
        <v>2585584</v>
      </c>
      <c r="AR445" s="7">
        <v>18928748</v>
      </c>
      <c r="AT445" s="7">
        <v>0</v>
      </c>
      <c r="AV445" s="7">
        <v>9030543</v>
      </c>
      <c r="AX445" s="7">
        <v>5438927</v>
      </c>
      <c r="AZ445" s="7">
        <v>0</v>
      </c>
      <c r="BB445" s="8">
        <f t="shared" si="106"/>
        <v>138848282</v>
      </c>
      <c r="BD445" s="7">
        <v>0</v>
      </c>
      <c r="BF445" s="7">
        <v>0</v>
      </c>
      <c r="BH445" s="7">
        <v>0</v>
      </c>
      <c r="BJ445" s="7">
        <v>0</v>
      </c>
      <c r="BL445" s="8">
        <f t="shared" si="104"/>
        <v>138848282</v>
      </c>
      <c r="BN445" s="8">
        <f>'Gov Fd Rv'!AQ445-'Gov Fnd Exp'!BL445</f>
        <v>-642068</v>
      </c>
      <c r="BP445" s="7">
        <v>44486453</v>
      </c>
      <c r="BR445" s="7">
        <v>0</v>
      </c>
      <c r="BT445" s="7">
        <v>0</v>
      </c>
      <c r="BV445" s="8">
        <f t="shared" si="105"/>
        <v>43844385</v>
      </c>
      <c r="BW445" s="8"/>
      <c r="BX445" s="8">
        <f>BV445-'Gov Fd BS'!AE445</f>
        <v>0</v>
      </c>
      <c r="BY445" s="8"/>
      <c r="CB445" s="101" t="str">
        <f t="shared" si="92"/>
        <v>Pickerington Local SD</v>
      </c>
      <c r="CC445" s="101" t="b">
        <f t="shared" si="83"/>
        <v>1</v>
      </c>
      <c r="CD445" s="101" t="str">
        <f>'Gov Fd Rv'!A445</f>
        <v>Pickerington Local SD</v>
      </c>
      <c r="CE445" s="8" t="b">
        <f t="shared" si="82"/>
        <v>1</v>
      </c>
      <c r="CG445" s="8" t="str">
        <f t="shared" si="84"/>
        <v>Fairfield</v>
      </c>
      <c r="CH445" s="8" t="b">
        <f t="shared" si="85"/>
        <v>1</v>
      </c>
      <c r="CI445" s="8" t="b">
        <f>C445='Gov Fd Rv'!C445</f>
        <v>1</v>
      </c>
    </row>
    <row r="446" spans="1:87" hidden="1">
      <c r="A446" s="12" t="s">
        <v>961</v>
      </c>
      <c r="B446" s="12"/>
      <c r="C446" s="12" t="s">
        <v>28</v>
      </c>
      <c r="D446" s="12"/>
      <c r="E446" s="12">
        <v>47084</v>
      </c>
      <c r="AL446" s="12" t="s">
        <v>961</v>
      </c>
      <c r="AM446" s="12"/>
      <c r="AN446" s="12" t="s">
        <v>28</v>
      </c>
      <c r="AT446" s="7">
        <v>0</v>
      </c>
      <c r="AZ446" s="7">
        <v>0</v>
      </c>
      <c r="BB446" s="8">
        <f t="shared" si="106"/>
        <v>0</v>
      </c>
      <c r="BF446" s="7">
        <v>0</v>
      </c>
      <c r="BH446" s="7">
        <v>0</v>
      </c>
      <c r="BJ446" s="7">
        <v>0</v>
      </c>
      <c r="BL446" s="8">
        <f t="shared" si="104"/>
        <v>0</v>
      </c>
      <c r="BN446" s="8">
        <f>'Gov Fd Rv'!AQ446-'Gov Fnd Exp'!BL446</f>
        <v>0</v>
      </c>
      <c r="BT446" s="7">
        <v>0</v>
      </c>
      <c r="BV446" s="8">
        <f t="shared" si="105"/>
        <v>0</v>
      </c>
      <c r="BW446" s="8"/>
      <c r="BX446" s="8">
        <f>BV446-'Gov Fd BS'!AE446</f>
        <v>0</v>
      </c>
      <c r="BY446" s="8"/>
      <c r="BZ446" s="7" t="s">
        <v>960</v>
      </c>
      <c r="CB446" s="101" t="str">
        <f t="shared" si="92"/>
        <v>Pike-Delta-York Local SD (CASH)</v>
      </c>
      <c r="CC446" s="101" t="b">
        <f t="shared" si="83"/>
        <v>1</v>
      </c>
      <c r="CD446" s="101" t="str">
        <f>'Gov Fd Rv'!A446</f>
        <v>Pike-Delta-York Local SD (CASH)</v>
      </c>
      <c r="CE446" s="8" t="b">
        <f t="shared" si="82"/>
        <v>1</v>
      </c>
      <c r="CG446" s="8" t="str">
        <f t="shared" si="84"/>
        <v>Fulton</v>
      </c>
      <c r="CH446" s="8" t="b">
        <f t="shared" si="85"/>
        <v>1</v>
      </c>
      <c r="CI446" s="8" t="b">
        <f>C446='Gov Fd Rv'!C446</f>
        <v>1</v>
      </c>
    </row>
    <row r="447" spans="1:87">
      <c r="A447" s="12" t="s">
        <v>438</v>
      </c>
      <c r="B447" s="12"/>
      <c r="C447" s="12" t="s">
        <v>48</v>
      </c>
      <c r="D447" s="12"/>
      <c r="E447" s="12">
        <v>44644</v>
      </c>
      <c r="G447" s="7">
        <v>21059021</v>
      </c>
      <c r="I447" s="7">
        <v>0</v>
      </c>
      <c r="K447" s="7">
        <v>0</v>
      </c>
      <c r="M447" s="7">
        <v>0</v>
      </c>
      <c r="O447" s="7">
        <v>0</v>
      </c>
      <c r="Q447" s="7">
        <v>1498317</v>
      </c>
      <c r="S447" s="7">
        <v>2004830</v>
      </c>
      <c r="U447" s="7">
        <v>23825</v>
      </c>
      <c r="W447" s="7">
        <v>2404543</v>
      </c>
      <c r="Y447" s="7">
        <v>625762</v>
      </c>
      <c r="AA447" s="7">
        <v>2338</v>
      </c>
      <c r="AC447" s="7">
        <v>2966605</v>
      </c>
      <c r="AE447" s="7">
        <v>1368692</v>
      </c>
      <c r="AG447" s="7">
        <v>268299</v>
      </c>
      <c r="AI447" s="7">
        <v>0</v>
      </c>
      <c r="AK447" s="7">
        <v>300829</v>
      </c>
      <c r="AL447" s="12" t="s">
        <v>438</v>
      </c>
      <c r="AM447" s="12"/>
      <c r="AN447" s="12" t="s">
        <v>48</v>
      </c>
      <c r="AP447" s="7">
        <v>838102</v>
      </c>
      <c r="AR447" s="7">
        <v>1235638</v>
      </c>
      <c r="AT447" s="7">
        <v>0</v>
      </c>
      <c r="AV447" s="7">
        <v>710000</v>
      </c>
      <c r="AX447" s="7">
        <v>292868</v>
      </c>
      <c r="AZ447" s="7">
        <v>0</v>
      </c>
      <c r="BB447" s="8">
        <f t="shared" si="106"/>
        <v>35599669</v>
      </c>
      <c r="BD447" s="7">
        <v>0</v>
      </c>
      <c r="BF447" s="7">
        <v>0</v>
      </c>
      <c r="BH447" s="7">
        <v>0</v>
      </c>
      <c r="BJ447" s="7">
        <v>0</v>
      </c>
      <c r="BL447" s="8">
        <f t="shared" si="104"/>
        <v>35599669</v>
      </c>
      <c r="BN447" s="8">
        <f>'Gov Fd Rv'!AQ447-'Gov Fnd Exp'!BL447</f>
        <v>4865734</v>
      </c>
      <c r="BP447" s="7">
        <v>9060280</v>
      </c>
      <c r="BR447" s="7">
        <v>25</v>
      </c>
      <c r="BT447" s="7">
        <v>0</v>
      </c>
      <c r="BV447" s="8">
        <f t="shared" si="105"/>
        <v>13926039</v>
      </c>
      <c r="BW447" s="8"/>
      <c r="BX447" s="8">
        <f>BV447-'Gov Fd BS'!AE447</f>
        <v>0</v>
      </c>
      <c r="BY447" s="8"/>
      <c r="BZ447" s="7" t="s">
        <v>808</v>
      </c>
      <c r="CB447" s="101" t="str">
        <f t="shared" si="92"/>
        <v>Piqua City SD</v>
      </c>
      <c r="CC447" s="101" t="b">
        <f t="shared" si="83"/>
        <v>1</v>
      </c>
      <c r="CD447" s="101" t="str">
        <f>'Gov Fd Rv'!A447</f>
        <v>Piqua City SD</v>
      </c>
      <c r="CE447" s="8" t="b">
        <f t="shared" si="82"/>
        <v>1</v>
      </c>
      <c r="CG447" s="8" t="str">
        <f t="shared" si="84"/>
        <v>Miami</v>
      </c>
      <c r="CH447" s="8" t="b">
        <f t="shared" si="85"/>
        <v>1</v>
      </c>
      <c r="CI447" s="8" t="b">
        <f>C447='Gov Fd Rv'!C447</f>
        <v>1</v>
      </c>
    </row>
    <row r="448" spans="1:87">
      <c r="A448" s="12" t="s">
        <v>312</v>
      </c>
      <c r="B448" s="12"/>
      <c r="C448" s="12" t="s">
        <v>62</v>
      </c>
      <c r="D448" s="12"/>
      <c r="E448" s="12">
        <v>49932</v>
      </c>
      <c r="G448" s="7">
        <v>23841778</v>
      </c>
      <c r="I448" s="7">
        <v>6732524</v>
      </c>
      <c r="K448" s="7">
        <v>1426246</v>
      </c>
      <c r="M448" s="7">
        <v>0</v>
      </c>
      <c r="O448" s="7">
        <v>185175</v>
      </c>
      <c r="Q448" s="7">
        <v>2486938</v>
      </c>
      <c r="S448" s="7">
        <v>3497434</v>
      </c>
      <c r="U448" s="7">
        <v>163304</v>
      </c>
      <c r="W448" s="7">
        <v>3541964</v>
      </c>
      <c r="Y448" s="7">
        <v>969577</v>
      </c>
      <c r="AA448" s="7">
        <v>153975</v>
      </c>
      <c r="AC448" s="7">
        <v>5201554</v>
      </c>
      <c r="AE448" s="7">
        <v>2722878</v>
      </c>
      <c r="AG448" s="7">
        <v>252989</v>
      </c>
      <c r="AI448" s="7">
        <v>2084470</v>
      </c>
      <c r="AK448" s="7">
        <v>738901</v>
      </c>
      <c r="AL448" s="12" t="s">
        <v>312</v>
      </c>
      <c r="AM448" s="12"/>
      <c r="AN448" s="12" t="s">
        <v>62</v>
      </c>
      <c r="AP448" s="7">
        <v>1288662</v>
      </c>
      <c r="AR448" s="7">
        <v>86908</v>
      </c>
      <c r="AT448" s="7">
        <v>0</v>
      </c>
      <c r="AV448" s="7">
        <v>1690000</v>
      </c>
      <c r="AX448" s="7">
        <v>2440390</v>
      </c>
      <c r="AZ448" s="7">
        <v>0</v>
      </c>
      <c r="BB448" s="8">
        <f t="shared" si="106"/>
        <v>59505667</v>
      </c>
      <c r="BD448" s="7">
        <v>19000</v>
      </c>
      <c r="BF448" s="7">
        <v>0</v>
      </c>
      <c r="BH448" s="7">
        <v>0</v>
      </c>
      <c r="BJ448" s="7">
        <v>0</v>
      </c>
      <c r="BL448" s="8">
        <f t="shared" si="104"/>
        <v>59524667</v>
      </c>
      <c r="BN448" s="8">
        <f>'Gov Fd Rv'!AQ448-'Gov Fnd Exp'!BL448</f>
        <v>7124456</v>
      </c>
      <c r="BP448" s="7">
        <v>5377341</v>
      </c>
      <c r="BR448" s="7">
        <v>18015</v>
      </c>
      <c r="BT448" s="7">
        <v>0</v>
      </c>
      <c r="BV448" s="8">
        <f t="shared" si="105"/>
        <v>12519812</v>
      </c>
      <c r="BW448" s="8"/>
      <c r="BX448" s="8">
        <f>BV448-'Gov Fd BS'!AE448</f>
        <v>0</v>
      </c>
      <c r="BY448" s="8"/>
      <c r="CB448" s="101" t="str">
        <f t="shared" si="92"/>
        <v>Plain Local SD</v>
      </c>
      <c r="CC448" s="101" t="b">
        <f t="shared" si="83"/>
        <v>1</v>
      </c>
      <c r="CD448" s="101" t="str">
        <f>'Gov Fd Rv'!A448</f>
        <v>Plain Local SD</v>
      </c>
      <c r="CE448" s="8" t="b">
        <f t="shared" si="82"/>
        <v>1</v>
      </c>
      <c r="CG448" s="8" t="str">
        <f t="shared" si="84"/>
        <v>Stark</v>
      </c>
      <c r="CH448" s="8" t="b">
        <f t="shared" si="85"/>
        <v>1</v>
      </c>
      <c r="CI448" s="8" t="b">
        <f>C448='Gov Fd Rv'!C448</f>
        <v>1</v>
      </c>
    </row>
    <row r="449" spans="1:87">
      <c r="A449" s="12" t="s">
        <v>424</v>
      </c>
      <c r="B449" s="12"/>
      <c r="C449" s="12" t="s">
        <v>46</v>
      </c>
      <c r="D449" s="12"/>
      <c r="E449" s="12">
        <v>48421</v>
      </c>
      <c r="G449" s="7">
        <v>6864117</v>
      </c>
      <c r="I449" s="7">
        <v>978772</v>
      </c>
      <c r="K449" s="7">
        <v>149712</v>
      </c>
      <c r="M449" s="7">
        <v>0</v>
      </c>
      <c r="O449" s="7">
        <v>0</v>
      </c>
      <c r="Q449" s="7">
        <v>410504</v>
      </c>
      <c r="S449" s="7">
        <v>365221</v>
      </c>
      <c r="U449" s="7">
        <v>81436</v>
      </c>
      <c r="W449" s="7">
        <v>1103389</v>
      </c>
      <c r="Y449" s="7">
        <v>319750</v>
      </c>
      <c r="AA449" s="7">
        <v>0</v>
      </c>
      <c r="AC449" s="7">
        <v>886106</v>
      </c>
      <c r="AE449" s="7">
        <v>634254</v>
      </c>
      <c r="AG449" s="7">
        <v>0</v>
      </c>
      <c r="AI449" s="7">
        <v>0</v>
      </c>
      <c r="AK449" s="7">
        <v>598365</v>
      </c>
      <c r="AL449" s="12" t="s">
        <v>424</v>
      </c>
      <c r="AM449" s="12"/>
      <c r="AN449" s="12" t="s">
        <v>46</v>
      </c>
      <c r="AP449" s="7">
        <v>437926</v>
      </c>
      <c r="AR449" s="7">
        <v>94206</v>
      </c>
      <c r="AT449" s="7">
        <v>0</v>
      </c>
      <c r="AV449" s="7">
        <v>1880625</v>
      </c>
      <c r="AX449" s="7">
        <f>44797+91476</f>
        <v>136273</v>
      </c>
      <c r="AZ449" s="7">
        <v>0</v>
      </c>
      <c r="BB449" s="8">
        <f t="shared" si="106"/>
        <v>14940656</v>
      </c>
      <c r="BD449" s="7">
        <v>1922</v>
      </c>
      <c r="BF449" s="7">
        <v>0</v>
      </c>
      <c r="BH449" s="7">
        <v>0</v>
      </c>
      <c r="BJ449" s="7">
        <v>0</v>
      </c>
      <c r="BL449" s="8">
        <f t="shared" si="104"/>
        <v>14942578</v>
      </c>
      <c r="BN449" s="8">
        <f>'Gov Fd Rv'!AQ449-'Gov Fnd Exp'!BL449</f>
        <v>-151981</v>
      </c>
      <c r="BP449" s="7">
        <v>5233288</v>
      </c>
      <c r="BR449" s="7">
        <v>0</v>
      </c>
      <c r="BT449" s="7">
        <v>0</v>
      </c>
      <c r="BV449" s="8">
        <f t="shared" si="105"/>
        <v>5081307</v>
      </c>
      <c r="BW449" s="8"/>
      <c r="BX449" s="8">
        <f>BV449-'Gov Fd BS'!AE449</f>
        <v>0</v>
      </c>
      <c r="BY449" s="8"/>
      <c r="CB449" s="101" t="str">
        <f t="shared" si="92"/>
        <v>Pleasant Local SD</v>
      </c>
      <c r="CC449" s="101" t="b">
        <f t="shared" si="83"/>
        <v>1</v>
      </c>
      <c r="CD449" s="101" t="str">
        <f>'Gov Fd Rv'!A449</f>
        <v>Pleasant Local SD</v>
      </c>
      <c r="CE449" s="8" t="b">
        <f t="shared" si="82"/>
        <v>1</v>
      </c>
      <c r="CG449" s="8" t="str">
        <f t="shared" si="84"/>
        <v>Marion</v>
      </c>
      <c r="CH449" s="8" t="b">
        <f t="shared" si="85"/>
        <v>1</v>
      </c>
      <c r="CI449" s="8" t="b">
        <f>C449='Gov Fd Rv'!C449</f>
        <v>1</v>
      </c>
    </row>
    <row r="450" spans="1:87">
      <c r="A450" s="12" t="s">
        <v>486</v>
      </c>
      <c r="B450" s="12"/>
      <c r="C450" s="12" t="s">
        <v>110</v>
      </c>
      <c r="D450" s="12"/>
      <c r="E450" s="12">
        <v>49460</v>
      </c>
      <c r="G450" s="7">
        <v>3472755</v>
      </c>
      <c r="I450" s="7">
        <v>1011387</v>
      </c>
      <c r="K450" s="7">
        <v>195001</v>
      </c>
      <c r="M450" s="7">
        <v>0</v>
      </c>
      <c r="O450" s="7">
        <v>448028</v>
      </c>
      <c r="Q450" s="7">
        <v>442945</v>
      </c>
      <c r="S450" s="7">
        <v>556682</v>
      </c>
      <c r="U450" s="7">
        <v>19034</v>
      </c>
      <c r="W450" s="7">
        <v>747702</v>
      </c>
      <c r="Y450" s="7">
        <v>232291</v>
      </c>
      <c r="AA450" s="7">
        <v>3102</v>
      </c>
      <c r="AC450" s="7">
        <v>966153</v>
      </c>
      <c r="AE450" s="7">
        <v>446170</v>
      </c>
      <c r="AG450" s="7">
        <v>51837</v>
      </c>
      <c r="AI450" s="7">
        <v>432294</v>
      </c>
      <c r="AK450" s="7">
        <v>349011</v>
      </c>
      <c r="AL450" s="12" t="s">
        <v>486</v>
      </c>
      <c r="AM450" s="12"/>
      <c r="AN450" s="12" t="s">
        <v>110</v>
      </c>
      <c r="AP450" s="7">
        <v>21588</v>
      </c>
      <c r="AR450" s="7">
        <v>0</v>
      </c>
      <c r="AT450" s="7">
        <v>0</v>
      </c>
      <c r="AV450" s="7">
        <v>121403</v>
      </c>
      <c r="AX450" s="7">
        <v>94864</v>
      </c>
      <c r="AZ450" s="7">
        <v>0</v>
      </c>
      <c r="BB450" s="8">
        <f t="shared" si="106"/>
        <v>9612247</v>
      </c>
      <c r="BD450" s="7">
        <v>16234</v>
      </c>
      <c r="BF450" s="7">
        <v>0</v>
      </c>
      <c r="BH450" s="7">
        <v>0</v>
      </c>
      <c r="BJ450" s="7">
        <v>0</v>
      </c>
      <c r="BL450" s="8">
        <f t="shared" si="104"/>
        <v>9628481</v>
      </c>
      <c r="BN450" s="8">
        <f>'Gov Fd Rv'!AQ450-'Gov Fnd Exp'!BL450</f>
        <v>402366</v>
      </c>
      <c r="BP450" s="7">
        <v>3406417</v>
      </c>
      <c r="BR450" s="7">
        <v>0</v>
      </c>
      <c r="BT450" s="7">
        <v>0</v>
      </c>
      <c r="BV450" s="8">
        <f t="shared" si="105"/>
        <v>3808783</v>
      </c>
      <c r="BW450" s="8"/>
      <c r="BX450" s="8">
        <f>BV450-'Gov Fd BS'!AE450</f>
        <v>0</v>
      </c>
      <c r="BY450" s="8"/>
      <c r="CB450" s="101" t="str">
        <f t="shared" si="92"/>
        <v>Plymouth-Shiloh Local SD</v>
      </c>
      <c r="CC450" s="101" t="b">
        <f t="shared" si="83"/>
        <v>1</v>
      </c>
      <c r="CD450" s="101" t="str">
        <f>'Gov Fd Rv'!A450</f>
        <v>Plymouth-Shiloh Local SD</v>
      </c>
      <c r="CE450" s="8" t="b">
        <f t="shared" si="82"/>
        <v>1</v>
      </c>
      <c r="CG450" s="8" t="str">
        <f t="shared" si="84"/>
        <v>Richland</v>
      </c>
      <c r="CH450" s="8" t="b">
        <f t="shared" si="85"/>
        <v>1</v>
      </c>
      <c r="CI450" s="8" t="b">
        <f>C450='Gov Fd Rv'!C450</f>
        <v>1</v>
      </c>
    </row>
    <row r="451" spans="1:87">
      <c r="A451" s="12" t="s">
        <v>764</v>
      </c>
      <c r="B451" s="12"/>
      <c r="C451" s="12" t="s">
        <v>45</v>
      </c>
      <c r="D451" s="12"/>
      <c r="E451" s="12">
        <v>48348</v>
      </c>
      <c r="G451" s="7">
        <v>10847014</v>
      </c>
      <c r="I451" s="7">
        <v>1711428</v>
      </c>
      <c r="K451" s="7">
        <v>173034</v>
      </c>
      <c r="M451" s="7">
        <v>137533</v>
      </c>
      <c r="O451" s="7">
        <v>14869</v>
      </c>
      <c r="Q451" s="7">
        <v>1618205</v>
      </c>
      <c r="S451" s="7">
        <v>513956</v>
      </c>
      <c r="U451" s="7">
        <v>19385</v>
      </c>
      <c r="W451" s="7">
        <v>1565006</v>
      </c>
      <c r="Y451" s="7">
        <v>547692</v>
      </c>
      <c r="AA451" s="7">
        <v>602</v>
      </c>
      <c r="AC451" s="7">
        <v>2202047</v>
      </c>
      <c r="AE451" s="7">
        <v>926630</v>
      </c>
      <c r="AG451" s="7">
        <v>5770</v>
      </c>
      <c r="AI451" s="7">
        <v>836785</v>
      </c>
      <c r="AK451" s="7">
        <v>294230</v>
      </c>
      <c r="AL451" s="12" t="s">
        <v>764</v>
      </c>
      <c r="AM451" s="12"/>
      <c r="AN451" s="12" t="s">
        <v>45</v>
      </c>
      <c r="AP451" s="7">
        <v>723084</v>
      </c>
      <c r="AR451" s="7">
        <v>183650</v>
      </c>
      <c r="AT451" s="7">
        <v>0</v>
      </c>
      <c r="AV451" s="7">
        <v>872915</v>
      </c>
      <c r="AX451" s="7">
        <v>555012</v>
      </c>
      <c r="AZ451" s="7">
        <v>0</v>
      </c>
      <c r="BB451" s="8">
        <f t="shared" si="106"/>
        <v>23748847</v>
      </c>
      <c r="BD451" s="7">
        <v>0</v>
      </c>
      <c r="BF451" s="7">
        <v>0</v>
      </c>
      <c r="BH451" s="7">
        <v>0</v>
      </c>
      <c r="BJ451" s="7">
        <v>0</v>
      </c>
      <c r="BL451" s="8">
        <f t="shared" si="104"/>
        <v>23748847</v>
      </c>
      <c r="BN451" s="8">
        <f>'Gov Fd Rv'!AQ451-'Gov Fnd Exp'!BL451</f>
        <v>-1134482</v>
      </c>
      <c r="BP451" s="7">
        <v>2530594</v>
      </c>
      <c r="BR451" s="7">
        <v>0</v>
      </c>
      <c r="BT451" s="7">
        <v>0</v>
      </c>
      <c r="BV451" s="8">
        <f t="shared" si="105"/>
        <v>1396112</v>
      </c>
      <c r="BW451" s="8"/>
      <c r="BX451" s="8">
        <f>BV451-'Gov Fd BS'!AE451</f>
        <v>0</v>
      </c>
      <c r="BY451" s="8"/>
      <c r="CB451" s="101" t="str">
        <f t="shared" si="92"/>
        <v xml:space="preserve">Poland Local SD </v>
      </c>
      <c r="CC451" s="101" t="b">
        <f t="shared" si="83"/>
        <v>1</v>
      </c>
      <c r="CD451" s="101" t="str">
        <f>'Gov Fd Rv'!A451</f>
        <v xml:space="preserve">Poland Local SD </v>
      </c>
      <c r="CE451" s="8" t="b">
        <f t="shared" si="82"/>
        <v>1</v>
      </c>
      <c r="CG451" s="8" t="str">
        <f t="shared" si="84"/>
        <v>Mahoning</v>
      </c>
      <c r="CH451" s="8" t="b">
        <f t="shared" si="85"/>
        <v>1</v>
      </c>
      <c r="CI451" s="8" t="b">
        <f>C451='Gov Fd Rv'!C451</f>
        <v>1</v>
      </c>
    </row>
    <row r="452" spans="1:87" hidden="1">
      <c r="A452" s="12" t="s">
        <v>962</v>
      </c>
      <c r="B452" s="12"/>
      <c r="C452" s="12" t="s">
        <v>53</v>
      </c>
      <c r="D452" s="12"/>
      <c r="E452" s="12">
        <v>44651</v>
      </c>
      <c r="AL452" s="12" t="s">
        <v>962</v>
      </c>
      <c r="AM452" s="12"/>
      <c r="AN452" s="12" t="s">
        <v>53</v>
      </c>
      <c r="AT452" s="7">
        <v>0</v>
      </c>
      <c r="AZ452" s="7">
        <v>0</v>
      </c>
      <c r="BB452" s="8">
        <f t="shared" si="106"/>
        <v>0</v>
      </c>
      <c r="BF452" s="7">
        <v>0</v>
      </c>
      <c r="BH452" s="7">
        <v>0</v>
      </c>
      <c r="BJ452" s="7">
        <v>0</v>
      </c>
      <c r="BL452" s="8">
        <f t="shared" si="104"/>
        <v>0</v>
      </c>
      <c r="BN452" s="8">
        <f>'Gov Fd Rv'!AQ452-'Gov Fnd Exp'!BL452</f>
        <v>0</v>
      </c>
      <c r="BT452" s="7">
        <v>0</v>
      </c>
      <c r="BV452" s="8">
        <f t="shared" si="105"/>
        <v>0</v>
      </c>
      <c r="BW452" s="8"/>
      <c r="BX452" s="8">
        <f>BV452-'Gov Fd BS'!AE452</f>
        <v>0</v>
      </c>
      <c r="BY452" s="8"/>
      <c r="BZ452" s="7" t="s">
        <v>903</v>
      </c>
      <c r="CB452" s="101" t="str">
        <f t="shared" si="92"/>
        <v>Port Clinton City SD (CASH)</v>
      </c>
      <c r="CC452" s="101" t="b">
        <f t="shared" si="83"/>
        <v>1</v>
      </c>
      <c r="CD452" s="101" t="str">
        <f>'Gov Fd Rv'!A452</f>
        <v>Port Clinton City SD (CASH)</v>
      </c>
      <c r="CE452" s="8" t="b">
        <f t="shared" si="82"/>
        <v>1</v>
      </c>
      <c r="CG452" s="8" t="str">
        <f t="shared" si="84"/>
        <v>Ottawa</v>
      </c>
      <c r="CH452" s="8" t="b">
        <f t="shared" si="85"/>
        <v>1</v>
      </c>
      <c r="CI452" s="8" t="b">
        <f>C452='Gov Fd Rv'!C452</f>
        <v>1</v>
      </c>
    </row>
    <row r="453" spans="1:87">
      <c r="A453" s="12" t="s">
        <v>499</v>
      </c>
      <c r="B453" s="12"/>
      <c r="C453" s="12" t="s">
        <v>59</v>
      </c>
      <c r="D453" s="12"/>
      <c r="E453" s="12">
        <v>44669</v>
      </c>
      <c r="G453" s="7">
        <v>13229670</v>
      </c>
      <c r="I453" s="7">
        <v>5915073</v>
      </c>
      <c r="K453" s="7">
        <v>411459</v>
      </c>
      <c r="M453" s="7">
        <v>0</v>
      </c>
      <c r="O453" s="7">
        <f>948950+37500</f>
        <v>986450</v>
      </c>
      <c r="Q453" s="7">
        <v>1133381</v>
      </c>
      <c r="S453" s="7">
        <v>2033051</v>
      </c>
      <c r="U453" s="7">
        <v>20334</v>
      </c>
      <c r="W453" s="7">
        <v>1545930</v>
      </c>
      <c r="Y453" s="7">
        <v>661337</v>
      </c>
      <c r="AA453" s="7">
        <v>84098</v>
      </c>
      <c r="AC453" s="7">
        <v>2740942</v>
      </c>
      <c r="AE453" s="7">
        <v>532207</v>
      </c>
      <c r="AG453" s="7">
        <v>96569</v>
      </c>
      <c r="AI453" s="7">
        <v>1046331</v>
      </c>
      <c r="AK453" s="7">
        <v>249404</v>
      </c>
      <c r="AL453" s="12" t="s">
        <v>499</v>
      </c>
      <c r="AM453" s="12"/>
      <c r="AN453" s="12" t="s">
        <v>59</v>
      </c>
      <c r="AP453" s="7">
        <v>353297</v>
      </c>
      <c r="AR453" s="7">
        <v>1454974</v>
      </c>
      <c r="AT453" s="7">
        <v>0</v>
      </c>
      <c r="AV453" s="7">
        <v>634590</v>
      </c>
      <c r="AX453" s="7">
        <v>578301</v>
      </c>
      <c r="AZ453" s="7">
        <v>0</v>
      </c>
      <c r="BB453" s="8">
        <f t="shared" si="106"/>
        <v>33707398</v>
      </c>
      <c r="BD453" s="7">
        <v>1915</v>
      </c>
      <c r="BF453" s="7">
        <v>0</v>
      </c>
      <c r="BH453" s="7">
        <v>0</v>
      </c>
      <c r="BJ453" s="7">
        <v>0</v>
      </c>
      <c r="BL453" s="8">
        <f t="shared" si="104"/>
        <v>33709313</v>
      </c>
      <c r="BN453" s="8">
        <f>'Gov Fd Rv'!AQ453-'Gov Fnd Exp'!BL453</f>
        <v>-1479369</v>
      </c>
      <c r="BP453" s="7">
        <v>7165065</v>
      </c>
      <c r="BR453" s="7">
        <v>0</v>
      </c>
      <c r="BT453" s="7">
        <v>0</v>
      </c>
      <c r="BV453" s="8">
        <f t="shared" si="105"/>
        <v>5685696</v>
      </c>
      <c r="BW453" s="8"/>
      <c r="BX453" s="8">
        <f>BV453-'Gov Fd BS'!AE453</f>
        <v>0</v>
      </c>
      <c r="BY453" s="8"/>
      <c r="CB453" s="101" t="str">
        <f t="shared" si="92"/>
        <v>Portsmouth City SD</v>
      </c>
      <c r="CC453" s="101" t="b">
        <f t="shared" si="83"/>
        <v>1</v>
      </c>
      <c r="CD453" s="101" t="str">
        <f>'Gov Fd Rv'!A453</f>
        <v>Portsmouth City SD</v>
      </c>
      <c r="CE453" s="8" t="b">
        <f t="shared" si="82"/>
        <v>1</v>
      </c>
      <c r="CG453" s="8" t="str">
        <f t="shared" si="84"/>
        <v>Scioto</v>
      </c>
      <c r="CH453" s="8" t="b">
        <f t="shared" si="85"/>
        <v>1</v>
      </c>
      <c r="CI453" s="8" t="b">
        <f>C453='Gov Fd Rv'!C453</f>
        <v>1</v>
      </c>
    </row>
    <row r="454" spans="1:87" hidden="1">
      <c r="A454" s="12" t="s">
        <v>725</v>
      </c>
      <c r="B454" s="12"/>
      <c r="C454" s="12" t="s">
        <v>57</v>
      </c>
      <c r="D454" s="12"/>
      <c r="E454" s="12">
        <v>49288</v>
      </c>
      <c r="AL454" s="12" t="s">
        <v>725</v>
      </c>
      <c r="AM454" s="12"/>
      <c r="AN454" s="12" t="s">
        <v>57</v>
      </c>
      <c r="AT454" s="7">
        <v>0</v>
      </c>
      <c r="AZ454" s="7">
        <v>0</v>
      </c>
      <c r="BB454" s="8">
        <f t="shared" si="106"/>
        <v>0</v>
      </c>
      <c r="BF454" s="7">
        <v>0</v>
      </c>
      <c r="BH454" s="7">
        <v>0</v>
      </c>
      <c r="BJ454" s="7">
        <v>0</v>
      </c>
      <c r="BL454" s="8">
        <f t="shared" si="104"/>
        <v>0</v>
      </c>
      <c r="BN454" s="8">
        <f>'Gov Fd Rv'!AQ454-'Gov Fnd Exp'!BL454</f>
        <v>0</v>
      </c>
      <c r="BT454" s="7">
        <v>0</v>
      </c>
      <c r="BV454" s="8">
        <f t="shared" si="105"/>
        <v>0</v>
      </c>
      <c r="BW454" s="8"/>
      <c r="BX454" s="8">
        <f>BV454-'Gov Fd BS'!AE454</f>
        <v>0</v>
      </c>
      <c r="BY454" s="8"/>
      <c r="BZ454" s="7" t="s">
        <v>959</v>
      </c>
      <c r="CB454" s="101" t="str">
        <f t="shared" si="92"/>
        <v>Preble Shawnee Local SD (CASH)</v>
      </c>
      <c r="CC454" s="101" t="b">
        <f t="shared" si="83"/>
        <v>1</v>
      </c>
      <c r="CD454" s="101" t="str">
        <f>'Gov Fd Rv'!A454</f>
        <v>Preble Shawnee Local SD (CASH)</v>
      </c>
      <c r="CE454" s="8" t="b">
        <f t="shared" si="82"/>
        <v>1</v>
      </c>
      <c r="CG454" s="8" t="str">
        <f t="shared" si="84"/>
        <v>Preble</v>
      </c>
      <c r="CH454" s="8" t="b">
        <f t="shared" si="85"/>
        <v>1</v>
      </c>
      <c r="CI454" s="8" t="b">
        <f>C454='Gov Fd Rv'!C454</f>
        <v>1</v>
      </c>
    </row>
    <row r="455" spans="1:87">
      <c r="A455" s="12" t="s">
        <v>337</v>
      </c>
      <c r="B455" s="12"/>
      <c r="C455" s="12" t="s">
        <v>32</v>
      </c>
      <c r="D455" s="12"/>
      <c r="E455" s="12">
        <v>44677</v>
      </c>
      <c r="G455" s="7">
        <v>31334847</v>
      </c>
      <c r="I455" s="7">
        <v>7864273</v>
      </c>
      <c r="K455" s="7">
        <v>0</v>
      </c>
      <c r="M455" s="7">
        <v>0</v>
      </c>
      <c r="O455" s="7">
        <v>2126850</v>
      </c>
      <c r="Q455" s="7">
        <v>4879958</v>
      </c>
      <c r="S455" s="7">
        <v>7288612</v>
      </c>
      <c r="U455" s="7">
        <v>358720</v>
      </c>
      <c r="W455" s="7">
        <v>5999568</v>
      </c>
      <c r="Y455" s="7">
        <v>2342938</v>
      </c>
      <c r="AA455" s="7">
        <v>249815</v>
      </c>
      <c r="AC455" s="7">
        <v>7934426</v>
      </c>
      <c r="AE455" s="7">
        <v>4756146</v>
      </c>
      <c r="AG455" s="7">
        <v>1153797</v>
      </c>
      <c r="AI455" s="7">
        <v>2426138</v>
      </c>
      <c r="AK455" s="7">
        <v>2982106</v>
      </c>
      <c r="AL455" s="12" t="s">
        <v>337</v>
      </c>
      <c r="AM455" s="12"/>
      <c r="AN455" s="12" t="s">
        <v>32</v>
      </c>
      <c r="AP455" s="7">
        <v>1491800</v>
      </c>
      <c r="AR455" s="7">
        <v>8200649</v>
      </c>
      <c r="AT455" s="7">
        <v>0</v>
      </c>
      <c r="AV455" s="7">
        <v>1566517</v>
      </c>
      <c r="AX455" s="7">
        <f>9597684+1223069</f>
        <v>10820753</v>
      </c>
      <c r="AZ455" s="7">
        <v>0</v>
      </c>
      <c r="BB455" s="8">
        <f t="shared" si="106"/>
        <v>103777913</v>
      </c>
      <c r="BD455" s="7">
        <v>11493131</v>
      </c>
      <c r="BF455" s="7">
        <v>0</v>
      </c>
      <c r="BH455" s="7">
        <v>0</v>
      </c>
      <c r="BJ455" s="7">
        <v>0</v>
      </c>
      <c r="BL455" s="8">
        <f t="shared" si="104"/>
        <v>115271044</v>
      </c>
      <c r="BN455" s="8">
        <f>'Gov Fd Rv'!AQ455-'Gov Fnd Exp'!BL455</f>
        <v>116441914</v>
      </c>
      <c r="BP455" s="7">
        <v>28277089</v>
      </c>
      <c r="BR455" s="7">
        <v>0</v>
      </c>
      <c r="BT455" s="7">
        <v>0</v>
      </c>
      <c r="BV455" s="8">
        <f t="shared" si="105"/>
        <v>144719003</v>
      </c>
      <c r="BW455" s="8"/>
      <c r="BX455" s="8">
        <f>BV455-'Gov Fd BS'!AE455</f>
        <v>0</v>
      </c>
      <c r="BY455" s="8"/>
      <c r="CB455" s="101" t="str">
        <f t="shared" si="92"/>
        <v>Princeton City SD</v>
      </c>
      <c r="CC455" s="101" t="b">
        <f t="shared" si="83"/>
        <v>1</v>
      </c>
      <c r="CD455" s="101" t="str">
        <f>'Gov Fd Rv'!A455</f>
        <v>Princeton City SD</v>
      </c>
      <c r="CE455" s="8" t="b">
        <f t="shared" si="82"/>
        <v>1</v>
      </c>
      <c r="CG455" s="8" t="str">
        <f t="shared" si="84"/>
        <v>Hamilton</v>
      </c>
      <c r="CH455" s="8" t="b">
        <f t="shared" si="85"/>
        <v>1</v>
      </c>
      <c r="CI455" s="8" t="b">
        <f>C455='Gov Fd Rv'!C455</f>
        <v>1</v>
      </c>
    </row>
    <row r="456" spans="1:87" hidden="1">
      <c r="A456" s="12" t="s">
        <v>963</v>
      </c>
      <c r="B456" s="12"/>
      <c r="C456" s="12" t="s">
        <v>53</v>
      </c>
      <c r="D456" s="12"/>
      <c r="E456" s="12"/>
      <c r="AL456" s="12" t="s">
        <v>963</v>
      </c>
      <c r="AM456" s="12"/>
      <c r="AN456" s="12" t="s">
        <v>53</v>
      </c>
      <c r="AT456" s="7">
        <v>0</v>
      </c>
      <c r="AZ456" s="7">
        <v>0</v>
      </c>
      <c r="BB456" s="8">
        <f t="shared" ref="BB456" si="107">SUM(G456:AZ456)</f>
        <v>0</v>
      </c>
      <c r="BF456" s="7">
        <v>0</v>
      </c>
      <c r="BH456" s="7">
        <v>0</v>
      </c>
      <c r="BJ456" s="7">
        <v>0</v>
      </c>
      <c r="BL456" s="8">
        <f t="shared" ref="BL456" si="108">BB456+BD456+BJ456</f>
        <v>0</v>
      </c>
      <c r="BN456" s="8">
        <f>'Gov Fd Rv'!AQ456-'Gov Fnd Exp'!BL456</f>
        <v>0</v>
      </c>
      <c r="BT456" s="7">
        <v>0</v>
      </c>
      <c r="BV456" s="8">
        <f t="shared" si="105"/>
        <v>0</v>
      </c>
      <c r="BW456" s="8"/>
      <c r="BX456" s="8">
        <f>BV456-'Gov Fd BS'!AE456</f>
        <v>0</v>
      </c>
      <c r="BY456" s="8"/>
      <c r="BZ456" s="7" t="s">
        <v>964</v>
      </c>
      <c r="CB456" s="101" t="str">
        <f t="shared" ref="CB456" si="109">A456</f>
        <v>Put-in-Bay Local SD (CASH) (Two year Audit)</v>
      </c>
      <c r="CC456" s="101" t="b">
        <f t="shared" ref="CC456" si="110">A456=AL456</f>
        <v>1</v>
      </c>
      <c r="CD456" s="101" t="str">
        <f>'Gov Fd Rv'!A456</f>
        <v>Put-in-Bay Local SD (CASH) (Two year Audit)</v>
      </c>
      <c r="CE456" s="8" t="b">
        <f t="shared" ref="CE456" si="111">CB456=CD456</f>
        <v>1</v>
      </c>
      <c r="CG456" s="8" t="str">
        <f t="shared" ref="CG456" si="112">C456</f>
        <v>Ottawa</v>
      </c>
      <c r="CH456" s="8" t="b">
        <f t="shared" ref="CH456" si="113">C456=AN456</f>
        <v>1</v>
      </c>
      <c r="CI456" s="8" t="b">
        <f>C456='Gov Fd Rv'!C456</f>
        <v>1</v>
      </c>
    </row>
    <row r="457" spans="1:87" hidden="1">
      <c r="A457" s="12" t="s">
        <v>965</v>
      </c>
      <c r="B457" s="12"/>
      <c r="C457" s="12" t="s">
        <v>12</v>
      </c>
      <c r="D457" s="12"/>
      <c r="E457" s="12">
        <v>45880</v>
      </c>
      <c r="AL457" s="12" t="s">
        <v>965</v>
      </c>
      <c r="AM457" s="12"/>
      <c r="AN457" s="12" t="s">
        <v>12</v>
      </c>
      <c r="AT457" s="7">
        <v>0</v>
      </c>
      <c r="AZ457" s="7">
        <v>0</v>
      </c>
      <c r="BB457" s="8">
        <f t="shared" si="106"/>
        <v>0</v>
      </c>
      <c r="BF457" s="7">
        <v>0</v>
      </c>
      <c r="BH457" s="7">
        <v>0</v>
      </c>
      <c r="BJ457" s="7">
        <v>0</v>
      </c>
      <c r="BL457" s="8">
        <f t="shared" si="104"/>
        <v>0</v>
      </c>
      <c r="BN457" s="8">
        <f>'Gov Fd Rv'!AQ457-'Gov Fnd Exp'!BL457</f>
        <v>0</v>
      </c>
      <c r="BT457" s="7">
        <v>0</v>
      </c>
      <c r="BV457" s="8">
        <f t="shared" si="105"/>
        <v>0</v>
      </c>
      <c r="BW457" s="8"/>
      <c r="BX457" s="8">
        <f>BV457-'Gov Fd BS'!AE457</f>
        <v>0</v>
      </c>
      <c r="BY457" s="8"/>
      <c r="BZ457" s="7" t="s">
        <v>903</v>
      </c>
      <c r="CB457" s="101" t="str">
        <f t="shared" si="92"/>
        <v>Pymatuning Valley Local SD (CASH)</v>
      </c>
      <c r="CC457" s="101" t="b">
        <f t="shared" si="83"/>
        <v>1</v>
      </c>
      <c r="CD457" s="101" t="str">
        <f>'Gov Fd Rv'!A457</f>
        <v>Pymatuning Valley Local SD (CASH)</v>
      </c>
      <c r="CE457" s="8" t="b">
        <f t="shared" si="82"/>
        <v>1</v>
      </c>
      <c r="CG457" s="8" t="str">
        <f t="shared" si="84"/>
        <v>Ashtabula</v>
      </c>
      <c r="CH457" s="8" t="b">
        <f t="shared" si="85"/>
        <v>1</v>
      </c>
      <c r="CI457" s="8" t="b">
        <f>C457='Gov Fd Rv'!C457</f>
        <v>1</v>
      </c>
    </row>
    <row r="458" spans="1:87" s="32" customFormat="1">
      <c r="A458" s="31" t="s">
        <v>659</v>
      </c>
      <c r="B458" s="31"/>
      <c r="C458" s="31" t="s">
        <v>56</v>
      </c>
      <c r="D458" s="31"/>
      <c r="E458" s="31"/>
      <c r="G458" s="32">
        <v>11338638</v>
      </c>
      <c r="I458" s="32">
        <v>5020241</v>
      </c>
      <c r="K458" s="32">
        <v>341294</v>
      </c>
      <c r="M458" s="32">
        <v>0</v>
      </c>
      <c r="O458" s="32">
        <f>26108+1991896</f>
        <v>2018004</v>
      </c>
      <c r="Q458" s="32">
        <v>1464449</v>
      </c>
      <c r="S458" s="32">
        <v>907670</v>
      </c>
      <c r="U458" s="32">
        <v>66617</v>
      </c>
      <c r="W458" s="32">
        <v>2285907</v>
      </c>
      <c r="Y458" s="32">
        <v>688225</v>
      </c>
      <c r="AA458" s="32">
        <v>260595</v>
      </c>
      <c r="AC458" s="32">
        <v>2681253</v>
      </c>
      <c r="AE458" s="32">
        <v>1252385</v>
      </c>
      <c r="AG458" s="32">
        <v>705293</v>
      </c>
      <c r="AI458" s="32">
        <v>1535711</v>
      </c>
      <c r="AK458" s="32">
        <v>19229</v>
      </c>
      <c r="AL458" s="31" t="s">
        <v>659</v>
      </c>
      <c r="AM458" s="31"/>
      <c r="AN458" s="31" t="s">
        <v>56</v>
      </c>
      <c r="AP458" s="32">
        <v>681477</v>
      </c>
      <c r="AR458" s="32">
        <v>1818387</v>
      </c>
      <c r="AT458" s="32">
        <v>0</v>
      </c>
      <c r="AV458" s="32">
        <v>432868</v>
      </c>
      <c r="AX458" s="32">
        <v>946980</v>
      </c>
      <c r="AZ458" s="32">
        <v>0</v>
      </c>
      <c r="BB458" s="36">
        <f t="shared" si="106"/>
        <v>34465223</v>
      </c>
      <c r="BD458" s="32">
        <v>275000</v>
      </c>
      <c r="BF458" s="32">
        <v>0</v>
      </c>
      <c r="BH458" s="32">
        <v>0</v>
      </c>
      <c r="BJ458" s="32">
        <v>0</v>
      </c>
      <c r="BL458" s="36">
        <f t="shared" si="104"/>
        <v>34740223</v>
      </c>
      <c r="BN458" s="36">
        <f>'Gov Fd Rv'!AQ458-'Gov Fnd Exp'!BL458</f>
        <v>-1399626</v>
      </c>
      <c r="BP458" s="32">
        <v>6054053</v>
      </c>
      <c r="BR458" s="32">
        <v>0</v>
      </c>
      <c r="BT458" s="32">
        <v>0</v>
      </c>
      <c r="BV458" s="36">
        <f t="shared" si="105"/>
        <v>4654427</v>
      </c>
      <c r="BW458" s="36"/>
      <c r="BX458" s="36">
        <f>BV458-'Gov Fd BS'!AE458</f>
        <v>0</v>
      </c>
      <c r="BY458" s="36"/>
      <c r="CB458" s="106" t="str">
        <f t="shared" si="92"/>
        <v>Ravenna City SD</v>
      </c>
      <c r="CC458" s="106" t="b">
        <f t="shared" si="83"/>
        <v>1</v>
      </c>
      <c r="CD458" s="106" t="str">
        <f>'Gov Fd Rv'!A458</f>
        <v>Ravenna City SD</v>
      </c>
      <c r="CE458" s="36" t="b">
        <f t="shared" si="82"/>
        <v>1</v>
      </c>
      <c r="CG458" s="36" t="str">
        <f t="shared" si="84"/>
        <v>Portage</v>
      </c>
      <c r="CH458" s="36" t="b">
        <f t="shared" si="85"/>
        <v>1</v>
      </c>
      <c r="CI458" s="36" t="b">
        <f>C458='Gov Fd Rv'!C458</f>
        <v>1</v>
      </c>
    </row>
    <row r="459" spans="1:87">
      <c r="A459" s="12" t="s">
        <v>338</v>
      </c>
      <c r="B459" s="12"/>
      <c r="C459" s="12" t="s">
        <v>32</v>
      </c>
      <c r="D459" s="12"/>
      <c r="E459" s="12">
        <v>44693</v>
      </c>
      <c r="G459" s="7">
        <v>6918338</v>
      </c>
      <c r="I459" s="7">
        <v>1858808</v>
      </c>
      <c r="K459" s="7">
        <v>6888</v>
      </c>
      <c r="M459" s="7">
        <v>0</v>
      </c>
      <c r="O459" s="7">
        <v>546510</v>
      </c>
      <c r="Q459" s="7">
        <v>928901</v>
      </c>
      <c r="S459" s="7">
        <v>825219</v>
      </c>
      <c r="U459" s="7">
        <v>46111</v>
      </c>
      <c r="W459" s="7">
        <v>1417561</v>
      </c>
      <c r="Y459" s="7">
        <v>329674</v>
      </c>
      <c r="AA459" s="7">
        <v>0</v>
      </c>
      <c r="AC459" s="7">
        <v>1063240</v>
      </c>
      <c r="AE459" s="7">
        <v>270664</v>
      </c>
      <c r="AG459" s="7">
        <v>232210</v>
      </c>
      <c r="AI459" s="7">
        <v>0</v>
      </c>
      <c r="AK459" s="7">
        <v>1404798</v>
      </c>
      <c r="AL459" s="12" t="s">
        <v>338</v>
      </c>
      <c r="AM459" s="12"/>
      <c r="AN459" s="12" t="s">
        <v>32</v>
      </c>
      <c r="AP459" s="7">
        <v>529468</v>
      </c>
      <c r="AR459" s="7">
        <v>559388</v>
      </c>
      <c r="AT459" s="7">
        <v>0</v>
      </c>
      <c r="AV459" s="7">
        <v>109766</v>
      </c>
      <c r="AX459" s="7">
        <v>14328</v>
      </c>
      <c r="AZ459" s="7">
        <v>0</v>
      </c>
      <c r="BB459" s="8">
        <f t="shared" si="106"/>
        <v>17061872</v>
      </c>
      <c r="BD459" s="7">
        <v>49550</v>
      </c>
      <c r="BF459" s="7">
        <v>0</v>
      </c>
      <c r="BH459" s="7">
        <v>0</v>
      </c>
      <c r="BJ459" s="7">
        <v>0</v>
      </c>
      <c r="BL459" s="8">
        <f t="shared" si="104"/>
        <v>17111422</v>
      </c>
      <c r="BN459" s="8">
        <f>'Gov Fd Rv'!AQ459-'Gov Fnd Exp'!BL459</f>
        <v>1535156</v>
      </c>
      <c r="BP459" s="7">
        <v>2861875</v>
      </c>
      <c r="BR459" s="7">
        <v>0</v>
      </c>
      <c r="BT459" s="7">
        <v>0</v>
      </c>
      <c r="BV459" s="8">
        <f t="shared" si="105"/>
        <v>4397031</v>
      </c>
      <c r="BW459" s="8"/>
      <c r="BX459" s="8">
        <f>BV459-'Gov Fd BS'!AE459</f>
        <v>0</v>
      </c>
      <c r="BY459" s="8"/>
      <c r="BZ459" s="7" t="s">
        <v>967</v>
      </c>
      <c r="CB459" s="101" t="str">
        <f t="shared" si="92"/>
        <v>Reading Community City SD</v>
      </c>
      <c r="CC459" s="101" t="b">
        <f t="shared" si="83"/>
        <v>1</v>
      </c>
      <c r="CD459" s="101" t="str">
        <f>'Gov Fd Rv'!A459</f>
        <v>Reading Community City SD</v>
      </c>
      <c r="CE459" s="8" t="b">
        <f t="shared" si="82"/>
        <v>1</v>
      </c>
      <c r="CG459" s="8" t="str">
        <f t="shared" si="84"/>
        <v>Hamilton</v>
      </c>
      <c r="CH459" s="8" t="b">
        <f t="shared" si="85"/>
        <v>1</v>
      </c>
      <c r="CI459" s="8" t="b">
        <f>C459='Gov Fd Rv'!C459</f>
        <v>1</v>
      </c>
    </row>
    <row r="460" spans="1:87">
      <c r="A460" s="12" t="s">
        <v>529</v>
      </c>
      <c r="B460" s="12"/>
      <c r="C460" s="12" t="s">
        <v>63</v>
      </c>
      <c r="D460" s="12"/>
      <c r="E460" s="12">
        <v>50054</v>
      </c>
      <c r="G460" s="7">
        <v>14699768</v>
      </c>
      <c r="I460" s="7">
        <v>1202281</v>
      </c>
      <c r="K460" s="7">
        <v>409972</v>
      </c>
      <c r="M460" s="7">
        <v>0</v>
      </c>
      <c r="O460" s="7">
        <f>1689081+631688</f>
        <v>2320769</v>
      </c>
      <c r="Q460" s="7">
        <v>1614584</v>
      </c>
      <c r="S460" s="7">
        <v>1170517</v>
      </c>
      <c r="U460" s="7">
        <v>189462</v>
      </c>
      <c r="W460" s="7">
        <v>2226959</v>
      </c>
      <c r="Y460" s="7">
        <v>1184245</v>
      </c>
      <c r="AA460" s="7">
        <v>57277</v>
      </c>
      <c r="AC460" s="7">
        <v>3231756</v>
      </c>
      <c r="AE460" s="7">
        <v>2241965</v>
      </c>
      <c r="AG460" s="7">
        <v>265872</v>
      </c>
      <c r="AI460" s="7">
        <v>918947</v>
      </c>
      <c r="AK460" s="7">
        <v>311091</v>
      </c>
      <c r="AL460" s="12" t="s">
        <v>529</v>
      </c>
      <c r="AM460" s="12"/>
      <c r="AN460" s="12" t="s">
        <v>63</v>
      </c>
      <c r="AP460" s="7">
        <v>1094626</v>
      </c>
      <c r="AR460" s="7">
        <v>4080</v>
      </c>
      <c r="AT460" s="7">
        <v>0</v>
      </c>
      <c r="AV460" s="7">
        <v>1062621</v>
      </c>
      <c r="AX460" s="7">
        <v>325092</v>
      </c>
      <c r="AZ460" s="7">
        <v>0</v>
      </c>
      <c r="BB460" s="8">
        <f t="shared" si="106"/>
        <v>34531884</v>
      </c>
      <c r="BD460" s="7">
        <v>75000</v>
      </c>
      <c r="BF460" s="7">
        <v>0</v>
      </c>
      <c r="BH460" s="7">
        <v>0</v>
      </c>
      <c r="BJ460" s="7">
        <v>0</v>
      </c>
      <c r="BL460" s="8">
        <f t="shared" si="104"/>
        <v>34606884</v>
      </c>
      <c r="BN460" s="8">
        <f>'Gov Fd Rv'!AQ460-'Gov Fnd Exp'!BL460</f>
        <v>2100775</v>
      </c>
      <c r="BP460" s="7">
        <v>15299681</v>
      </c>
      <c r="BR460" s="7">
        <v>0</v>
      </c>
      <c r="BT460" s="7">
        <v>0</v>
      </c>
      <c r="BV460" s="8">
        <f t="shared" si="105"/>
        <v>17400456</v>
      </c>
      <c r="BW460" s="8"/>
      <c r="BX460" s="8">
        <f>BV460-'Gov Fd BS'!AE460</f>
        <v>0</v>
      </c>
      <c r="BY460" s="8"/>
      <c r="CB460" s="101" t="str">
        <f t="shared" si="92"/>
        <v>Revere Local SD</v>
      </c>
      <c r="CC460" s="101" t="b">
        <f t="shared" si="83"/>
        <v>1</v>
      </c>
      <c r="CD460" s="101" t="str">
        <f>'Gov Fd Rv'!A460</f>
        <v>Revere Local SD</v>
      </c>
      <c r="CE460" s="8" t="b">
        <f t="shared" si="82"/>
        <v>1</v>
      </c>
      <c r="CG460" s="8" t="str">
        <f t="shared" si="84"/>
        <v>Summit</v>
      </c>
      <c r="CH460" s="8" t="b">
        <f t="shared" si="85"/>
        <v>1</v>
      </c>
      <c r="CI460" s="8" t="b">
        <f>C460='Gov Fd Rv'!C460</f>
        <v>1</v>
      </c>
    </row>
    <row r="461" spans="1:87" hidden="1">
      <c r="A461" s="12" t="s">
        <v>968</v>
      </c>
      <c r="B461" s="12"/>
      <c r="C461" s="12" t="s">
        <v>27</v>
      </c>
      <c r="D461" s="12"/>
      <c r="E461" s="12">
        <v>47001</v>
      </c>
      <c r="AL461" s="12" t="s">
        <v>968</v>
      </c>
      <c r="AM461" s="12"/>
      <c r="AN461" s="12" t="s">
        <v>27</v>
      </c>
      <c r="AT461" s="7">
        <v>0</v>
      </c>
      <c r="AZ461" s="7">
        <v>0</v>
      </c>
      <c r="BB461" s="8">
        <f t="shared" si="106"/>
        <v>0</v>
      </c>
      <c r="BF461" s="7">
        <v>0</v>
      </c>
      <c r="BH461" s="7">
        <v>0</v>
      </c>
      <c r="BJ461" s="7">
        <v>0</v>
      </c>
      <c r="BL461" s="8">
        <f t="shared" si="104"/>
        <v>0</v>
      </c>
      <c r="BN461" s="8">
        <f>'Gov Fd Rv'!AQ461-'Gov Fnd Exp'!BL461</f>
        <v>0</v>
      </c>
      <c r="BT461" s="7">
        <v>0</v>
      </c>
      <c r="BV461" s="8">
        <f t="shared" si="105"/>
        <v>0</v>
      </c>
      <c r="BW461" s="8"/>
      <c r="BX461" s="8">
        <f>BV461-'Gov Fd BS'!AE461</f>
        <v>0</v>
      </c>
      <c r="BY461" s="8"/>
      <c r="BZ461" s="7" t="s">
        <v>903</v>
      </c>
      <c r="CB461" s="101" t="str">
        <f t="shared" si="92"/>
        <v>Reynoldsburg City SD (CASH)</v>
      </c>
      <c r="CC461" s="101" t="b">
        <f t="shared" si="83"/>
        <v>1</v>
      </c>
      <c r="CD461" s="101" t="str">
        <f>'Gov Fd Rv'!A461</f>
        <v>Reynoldsburg City SD (CASH)</v>
      </c>
      <c r="CE461" s="8" t="b">
        <f t="shared" si="82"/>
        <v>1</v>
      </c>
      <c r="CG461" s="8" t="str">
        <f t="shared" si="84"/>
        <v>Franklin</v>
      </c>
      <c r="CH461" s="8" t="b">
        <f t="shared" si="85"/>
        <v>1</v>
      </c>
      <c r="CI461" s="8" t="b">
        <f>C461='Gov Fd Rv'!C461</f>
        <v>1</v>
      </c>
    </row>
    <row r="462" spans="1:87">
      <c r="A462" s="12" t="s">
        <v>282</v>
      </c>
      <c r="B462" s="12"/>
      <c r="C462" s="12" t="s">
        <v>20</v>
      </c>
      <c r="D462" s="12"/>
      <c r="E462" s="12">
        <v>46599</v>
      </c>
      <c r="G462" s="7">
        <v>5246619</v>
      </c>
      <c r="I462" s="7">
        <v>2218332</v>
      </c>
      <c r="K462" s="7">
        <v>212193</v>
      </c>
      <c r="M462" s="7">
        <v>0</v>
      </c>
      <c r="O462" s="7">
        <v>0</v>
      </c>
      <c r="Q462" s="7">
        <v>781349</v>
      </c>
      <c r="S462" s="7">
        <v>266552</v>
      </c>
      <c r="U462" s="7">
        <v>295272</v>
      </c>
      <c r="W462" s="7">
        <v>1104121</v>
      </c>
      <c r="Y462" s="7">
        <v>639009</v>
      </c>
      <c r="AA462" s="7">
        <v>12897</v>
      </c>
      <c r="AC462" s="7">
        <v>1002445</v>
      </c>
      <c r="AE462" s="7">
        <v>919531</v>
      </c>
      <c r="AG462" s="7">
        <v>183373</v>
      </c>
      <c r="AI462" s="7">
        <v>0</v>
      </c>
      <c r="AK462" s="7">
        <v>12685</v>
      </c>
      <c r="AL462" s="12" t="s">
        <v>282</v>
      </c>
      <c r="AM462" s="12"/>
      <c r="AN462" s="12" t="s">
        <v>20</v>
      </c>
      <c r="AP462" s="7">
        <v>357231</v>
      </c>
      <c r="AR462" s="7">
        <v>198412</v>
      </c>
      <c r="AT462" s="7">
        <v>0</v>
      </c>
      <c r="AV462" s="7">
        <v>66948</v>
      </c>
      <c r="AX462" s="7">
        <v>56239</v>
      </c>
      <c r="AZ462" s="7">
        <v>0</v>
      </c>
      <c r="BB462" s="8">
        <f t="shared" si="106"/>
        <v>13573208</v>
      </c>
      <c r="BD462" s="7">
        <v>150531</v>
      </c>
      <c r="BF462" s="7">
        <v>0</v>
      </c>
      <c r="BH462" s="7">
        <v>0</v>
      </c>
      <c r="BJ462" s="7">
        <v>0</v>
      </c>
      <c r="BL462" s="8">
        <f t="shared" si="104"/>
        <v>13723739</v>
      </c>
      <c r="BN462" s="8">
        <f>'Gov Fd Rv'!AQ462-'Gov Fnd Exp'!BL462</f>
        <v>1139274</v>
      </c>
      <c r="BP462" s="7">
        <v>540133</v>
      </c>
      <c r="BR462" s="7">
        <v>0</v>
      </c>
      <c r="BT462" s="7">
        <v>0</v>
      </c>
      <c r="BV462" s="8">
        <f t="shared" si="105"/>
        <v>1679407</v>
      </c>
      <c r="BW462" s="8"/>
      <c r="BX462" s="8">
        <f>BV462-'Gov Fd BS'!AE462</f>
        <v>0</v>
      </c>
      <c r="BY462" s="8"/>
      <c r="CB462" s="101" t="str">
        <f t="shared" si="92"/>
        <v>Richmond Heights Local SD</v>
      </c>
      <c r="CC462" s="101" t="b">
        <f t="shared" si="83"/>
        <v>1</v>
      </c>
      <c r="CD462" s="101" t="str">
        <f>'Gov Fd Rv'!A462</f>
        <v>Richmond Heights Local SD</v>
      </c>
      <c r="CE462" s="8" t="b">
        <f t="shared" si="82"/>
        <v>1</v>
      </c>
      <c r="CG462" s="8" t="str">
        <f t="shared" si="84"/>
        <v>Cuyahoga</v>
      </c>
      <c r="CH462" s="8" t="b">
        <f t="shared" si="85"/>
        <v>1</v>
      </c>
      <c r="CI462" s="8" t="b">
        <f>C462='Gov Fd Rv'!C462</f>
        <v>1</v>
      </c>
    </row>
    <row r="463" spans="1:87">
      <c r="A463" s="12" t="s">
        <v>425</v>
      </c>
      <c r="B463" s="12"/>
      <c r="C463" s="12" t="s">
        <v>46</v>
      </c>
      <c r="D463" s="12"/>
      <c r="E463" s="12">
        <v>48439</v>
      </c>
      <c r="G463" s="7">
        <v>3224200</v>
      </c>
      <c r="I463" s="7">
        <v>486674</v>
      </c>
      <c r="K463" s="7">
        <v>150243</v>
      </c>
      <c r="M463" s="7">
        <v>0</v>
      </c>
      <c r="O463" s="7">
        <f>54064+1049734</f>
        <v>1103798</v>
      </c>
      <c r="Q463" s="7">
        <v>338255</v>
      </c>
      <c r="S463" s="7">
        <v>321421</v>
      </c>
      <c r="U463" s="7">
        <v>45943</v>
      </c>
      <c r="W463" s="7">
        <v>710633</v>
      </c>
      <c r="Y463" s="7">
        <v>234362</v>
      </c>
      <c r="AA463" s="7">
        <v>0</v>
      </c>
      <c r="AC463" s="7">
        <v>854429</v>
      </c>
      <c r="AE463" s="7">
        <v>425011</v>
      </c>
      <c r="AG463" s="7">
        <v>29625</v>
      </c>
      <c r="AI463" s="7">
        <v>327578</v>
      </c>
      <c r="AK463" s="7">
        <v>0</v>
      </c>
      <c r="AL463" s="12" t="s">
        <v>425</v>
      </c>
      <c r="AM463" s="12"/>
      <c r="AN463" s="12" t="s">
        <v>46</v>
      </c>
      <c r="AP463" s="7">
        <v>228186</v>
      </c>
      <c r="AR463" s="7">
        <v>0</v>
      </c>
      <c r="AT463" s="7">
        <v>0</v>
      </c>
      <c r="AV463" s="7">
        <v>73470</v>
      </c>
      <c r="AX463" s="7">
        <v>13613</v>
      </c>
      <c r="AZ463" s="7">
        <v>0</v>
      </c>
      <c r="BB463" s="8">
        <f t="shared" si="106"/>
        <v>8567441</v>
      </c>
      <c r="BD463" s="7">
        <v>0</v>
      </c>
      <c r="BF463" s="7">
        <v>0</v>
      </c>
      <c r="BH463" s="7">
        <v>0</v>
      </c>
      <c r="BJ463" s="7">
        <v>0</v>
      </c>
      <c r="BL463" s="8">
        <f t="shared" si="104"/>
        <v>8567441</v>
      </c>
      <c r="BN463" s="8">
        <f>'Gov Fd Rv'!AQ463-'Gov Fnd Exp'!BL463</f>
        <v>428566</v>
      </c>
      <c r="BP463" s="7">
        <v>2358774</v>
      </c>
      <c r="BR463" s="7">
        <v>0</v>
      </c>
      <c r="BT463" s="7">
        <v>0</v>
      </c>
      <c r="BV463" s="8">
        <f t="shared" si="105"/>
        <v>2787340</v>
      </c>
      <c r="BW463" s="8"/>
      <c r="BX463" s="8">
        <f>BV463-'Gov Fd BS'!AE463</f>
        <v>0</v>
      </c>
      <c r="BY463" s="8"/>
      <c r="CB463" s="101" t="str">
        <f t="shared" si="92"/>
        <v>Ridgedale Local SD</v>
      </c>
      <c r="CC463" s="101" t="b">
        <f t="shared" si="83"/>
        <v>1</v>
      </c>
      <c r="CD463" s="101" t="str">
        <f>'Gov Fd Rv'!A463</f>
        <v>Ridgedale Local SD</v>
      </c>
      <c r="CE463" s="8" t="b">
        <f t="shared" ref="CE463:CE526" si="114">CB463=CD463</f>
        <v>1</v>
      </c>
      <c r="CG463" s="8" t="str">
        <f t="shared" si="84"/>
        <v>Marion</v>
      </c>
      <c r="CH463" s="8" t="b">
        <f t="shared" si="85"/>
        <v>1</v>
      </c>
      <c r="CI463" s="8" t="b">
        <f>C463='Gov Fd Rv'!C463</f>
        <v>1</v>
      </c>
    </row>
    <row r="464" spans="1:87">
      <c r="A464" s="12" t="s">
        <v>752</v>
      </c>
      <c r="B464" s="12"/>
      <c r="C464" s="12" t="s">
        <v>348</v>
      </c>
      <c r="D464" s="12"/>
      <c r="E464" s="12">
        <v>47506</v>
      </c>
      <c r="G464" s="7">
        <v>2510306</v>
      </c>
      <c r="I464" s="7">
        <v>485384</v>
      </c>
      <c r="K464" s="7">
        <v>262598</v>
      </c>
      <c r="M464" s="7">
        <v>0</v>
      </c>
      <c r="O464" s="7">
        <v>29549</v>
      </c>
      <c r="Q464" s="7">
        <v>76837</v>
      </c>
      <c r="S464" s="7">
        <v>202540</v>
      </c>
      <c r="U464" s="7">
        <v>29633</v>
      </c>
      <c r="W464" s="7">
        <v>663632</v>
      </c>
      <c r="Y464" s="7">
        <v>231764</v>
      </c>
      <c r="AA464" s="7">
        <v>0</v>
      </c>
      <c r="AC464" s="7">
        <v>458104</v>
      </c>
      <c r="AE464" s="7">
        <v>309770</v>
      </c>
      <c r="AG464" s="7">
        <v>2261</v>
      </c>
      <c r="AI464" s="7">
        <v>0</v>
      </c>
      <c r="AK464" s="7">
        <v>55291</v>
      </c>
      <c r="AL464" s="12" t="s">
        <v>752</v>
      </c>
      <c r="AM464" s="12"/>
      <c r="AN464" s="12" t="s">
        <v>348</v>
      </c>
      <c r="AP464" s="7">
        <v>195736</v>
      </c>
      <c r="AR464" s="7">
        <v>0</v>
      </c>
      <c r="AT464" s="7">
        <v>0</v>
      </c>
      <c r="AV464" s="7">
        <v>66310</v>
      </c>
      <c r="AX464" s="7">
        <v>122912</v>
      </c>
      <c r="AZ464" s="7">
        <v>0</v>
      </c>
      <c r="BB464" s="8">
        <f t="shared" si="106"/>
        <v>5702627</v>
      </c>
      <c r="BD464" s="7">
        <v>32754</v>
      </c>
      <c r="BF464" s="7">
        <v>0</v>
      </c>
      <c r="BH464" s="7">
        <v>0</v>
      </c>
      <c r="BJ464" s="7">
        <v>0</v>
      </c>
      <c r="BL464" s="8">
        <f t="shared" si="104"/>
        <v>5735381</v>
      </c>
      <c r="BN464" s="8">
        <f>'Gov Fd Rv'!AQ464-'Gov Fnd Exp'!BL464</f>
        <v>105196</v>
      </c>
      <c r="BP464" s="7">
        <v>817065</v>
      </c>
      <c r="BR464" s="7">
        <v>0</v>
      </c>
      <c r="BT464" s="7">
        <v>0</v>
      </c>
      <c r="BV464" s="8">
        <f t="shared" si="105"/>
        <v>922261</v>
      </c>
      <c r="BW464" s="8"/>
      <c r="BX464" s="8">
        <f>BV464-'Gov Fd BS'!AE464</f>
        <v>0</v>
      </c>
      <c r="BY464" s="8"/>
      <c r="BZ464" s="14"/>
      <c r="CB464" s="101" t="str">
        <f t="shared" si="92"/>
        <v xml:space="preserve">Ridgemont Local SD </v>
      </c>
      <c r="CC464" s="101" t="b">
        <f t="shared" ref="CC464:CC527" si="115">A464=AL464</f>
        <v>1</v>
      </c>
      <c r="CD464" s="101" t="str">
        <f>'Gov Fd Rv'!A464</f>
        <v xml:space="preserve">Ridgemont Local SD </v>
      </c>
      <c r="CE464" s="8" t="b">
        <f t="shared" si="114"/>
        <v>1</v>
      </c>
      <c r="CG464" s="8" t="str">
        <f t="shared" ref="CG464:CG527" si="116">C464</f>
        <v>Hardin</v>
      </c>
      <c r="CH464" s="8" t="b">
        <f t="shared" ref="CH464:CH527" si="117">C464=AN464</f>
        <v>1</v>
      </c>
      <c r="CI464" s="8" t="b">
        <f>C464='Gov Fd Rv'!C464</f>
        <v>1</v>
      </c>
    </row>
    <row r="465" spans="1:87">
      <c r="A465" s="12" t="s">
        <v>260</v>
      </c>
      <c r="B465" s="12"/>
      <c r="C465" s="12" t="s">
        <v>19</v>
      </c>
      <c r="D465" s="12"/>
      <c r="E465" s="12">
        <v>46474</v>
      </c>
      <c r="G465" s="7">
        <v>5731412</v>
      </c>
      <c r="I465" s="7">
        <v>1325844</v>
      </c>
      <c r="K465" s="7">
        <v>257131</v>
      </c>
      <c r="M465" s="7">
        <v>0</v>
      </c>
      <c r="O465" s="7">
        <v>65570</v>
      </c>
      <c r="Q465" s="7">
        <v>571655</v>
      </c>
      <c r="S465" s="7">
        <v>582071</v>
      </c>
      <c r="U465" s="7">
        <v>55660</v>
      </c>
      <c r="W465" s="7">
        <v>881403</v>
      </c>
      <c r="Y465" s="7">
        <v>343755</v>
      </c>
      <c r="AA465" s="7">
        <v>13477</v>
      </c>
      <c r="AC465" s="7">
        <v>1394628</v>
      </c>
      <c r="AE465" s="7">
        <v>945562</v>
      </c>
      <c r="AG465" s="7">
        <v>3178</v>
      </c>
      <c r="AI465" s="7">
        <v>681574</v>
      </c>
      <c r="AK465" s="7">
        <v>100</v>
      </c>
      <c r="AL465" s="12" t="s">
        <v>260</v>
      </c>
      <c r="AM465" s="12"/>
      <c r="AN465" s="12" t="s">
        <v>19</v>
      </c>
      <c r="AP465" s="7">
        <v>463332</v>
      </c>
      <c r="AR465" s="7">
        <v>0</v>
      </c>
      <c r="AT465" s="7">
        <v>0</v>
      </c>
      <c r="AV465" s="7">
        <v>214107</v>
      </c>
      <c r="AX465" s="7">
        <v>118517</v>
      </c>
      <c r="AZ465" s="7">
        <v>0</v>
      </c>
      <c r="BB465" s="8">
        <f t="shared" si="106"/>
        <v>13648976</v>
      </c>
      <c r="BD465" s="7">
        <v>13552</v>
      </c>
      <c r="BF465" s="7">
        <v>0</v>
      </c>
      <c r="BH465" s="7">
        <v>0</v>
      </c>
      <c r="BJ465" s="7">
        <v>0</v>
      </c>
      <c r="BL465" s="8">
        <f t="shared" si="104"/>
        <v>13662528</v>
      </c>
      <c r="BN465" s="8">
        <f>'Gov Fd Rv'!AQ465-'Gov Fnd Exp'!BL465</f>
        <v>-716639</v>
      </c>
      <c r="BP465" s="7">
        <v>4250685</v>
      </c>
      <c r="BR465" s="7">
        <v>0</v>
      </c>
      <c r="BT465" s="7">
        <v>0</v>
      </c>
      <c r="BV465" s="8">
        <f t="shared" si="105"/>
        <v>3534046</v>
      </c>
      <c r="BW465" s="8"/>
      <c r="BX465" s="8">
        <f>BV465-'Gov Fd BS'!AE465</f>
        <v>0</v>
      </c>
      <c r="BY465" s="8"/>
      <c r="CB465" s="101" t="str">
        <f t="shared" si="92"/>
        <v>Ridgewood Local SD</v>
      </c>
      <c r="CC465" s="101" t="b">
        <f t="shared" si="115"/>
        <v>1</v>
      </c>
      <c r="CD465" s="101" t="str">
        <f>'Gov Fd Rv'!A465</f>
        <v>Ridgewood Local SD</v>
      </c>
      <c r="CE465" s="8" t="b">
        <f t="shared" si="114"/>
        <v>1</v>
      </c>
      <c r="CG465" s="8" t="str">
        <f t="shared" si="116"/>
        <v>Coshocton</v>
      </c>
      <c r="CH465" s="8" t="b">
        <f t="shared" si="117"/>
        <v>1</v>
      </c>
      <c r="CI465" s="8" t="b">
        <f>C465='Gov Fd Rv'!C465</f>
        <v>1</v>
      </c>
    </row>
    <row r="466" spans="1:87" hidden="1">
      <c r="A466" s="12" t="s">
        <v>969</v>
      </c>
      <c r="B466" s="12"/>
      <c r="C466" s="12" t="s">
        <v>77</v>
      </c>
      <c r="D466" s="12"/>
      <c r="E466" s="12">
        <v>46078</v>
      </c>
      <c r="AL466" s="12" t="s">
        <v>969</v>
      </c>
      <c r="AM466" s="12"/>
      <c r="AN466" s="12" t="s">
        <v>77</v>
      </c>
      <c r="AT466" s="7">
        <v>0</v>
      </c>
      <c r="AZ466" s="7">
        <v>0</v>
      </c>
      <c r="BB466" s="8">
        <f t="shared" si="106"/>
        <v>0</v>
      </c>
      <c r="BF466" s="7">
        <v>0</v>
      </c>
      <c r="BH466" s="7">
        <v>0</v>
      </c>
      <c r="BJ466" s="7">
        <v>0</v>
      </c>
      <c r="BL466" s="8">
        <f t="shared" si="104"/>
        <v>0</v>
      </c>
      <c r="BN466" s="8">
        <f>'Gov Fd Rv'!AQ466-'Gov Fnd Exp'!BL466</f>
        <v>0</v>
      </c>
      <c r="BT466" s="7">
        <v>0</v>
      </c>
      <c r="BV466" s="8">
        <f t="shared" si="105"/>
        <v>0</v>
      </c>
      <c r="BW466" s="8"/>
      <c r="BX466" s="8">
        <f>BV466-'Gov Fd BS'!AE466</f>
        <v>0</v>
      </c>
      <c r="BY466" s="8"/>
      <c r="BZ466" s="7" t="s">
        <v>903</v>
      </c>
      <c r="CB466" s="101" t="str">
        <f t="shared" si="92"/>
        <v>Ripley Union Lewis Huntington Local SD (CASH)</v>
      </c>
      <c r="CC466" s="101" t="b">
        <f t="shared" si="115"/>
        <v>1</v>
      </c>
      <c r="CD466" s="101" t="str">
        <f>'Gov Fd Rv'!A466</f>
        <v>Ripley Union Lewis Huntington Local SD (CASH)</v>
      </c>
      <c r="CE466" s="8" t="b">
        <f t="shared" si="114"/>
        <v>1</v>
      </c>
      <c r="CG466" s="8" t="str">
        <f t="shared" si="116"/>
        <v>Brown</v>
      </c>
      <c r="CH466" s="8" t="b">
        <f t="shared" si="117"/>
        <v>1</v>
      </c>
      <c r="CI466" s="8" t="b">
        <f>C466='Gov Fd Rv'!C466</f>
        <v>1</v>
      </c>
    </row>
    <row r="467" spans="1:87" hidden="1">
      <c r="A467" s="12" t="s">
        <v>970</v>
      </c>
      <c r="B467" s="12"/>
      <c r="C467" s="12" t="s">
        <v>71</v>
      </c>
      <c r="D467" s="12"/>
      <c r="E467" s="12">
        <v>45591</v>
      </c>
      <c r="AL467" s="12" t="s">
        <v>970</v>
      </c>
      <c r="AM467" s="12"/>
      <c r="AN467" s="12" t="s">
        <v>71</v>
      </c>
      <c r="AT467" s="7">
        <v>0</v>
      </c>
      <c r="AZ467" s="7">
        <v>0</v>
      </c>
      <c r="BB467" s="8">
        <f t="shared" si="106"/>
        <v>0</v>
      </c>
      <c r="BF467" s="7">
        <v>0</v>
      </c>
      <c r="BH467" s="7">
        <v>0</v>
      </c>
      <c r="BJ467" s="7">
        <v>0</v>
      </c>
      <c r="BL467" s="8">
        <f t="shared" si="104"/>
        <v>0</v>
      </c>
      <c r="BN467" s="8">
        <f>'Gov Fd Rv'!AQ467-'Gov Fnd Exp'!BL467</f>
        <v>0</v>
      </c>
      <c r="BT467" s="7">
        <v>0</v>
      </c>
      <c r="BV467" s="8">
        <f t="shared" si="105"/>
        <v>0</v>
      </c>
      <c r="BW467" s="8"/>
      <c r="BX467" s="8">
        <f>BV467-'Gov Fd BS'!AE467</f>
        <v>0</v>
      </c>
      <c r="BY467" s="8"/>
      <c r="BZ467" s="7" t="s">
        <v>903</v>
      </c>
      <c r="CB467" s="101" t="str">
        <f t="shared" si="92"/>
        <v>Rittman Exempted Village SD (CASH)</v>
      </c>
      <c r="CC467" s="101" t="b">
        <f t="shared" si="115"/>
        <v>1</v>
      </c>
      <c r="CD467" s="101" t="str">
        <f>'Gov Fd Rv'!A467</f>
        <v>Rittman Exempted Village SD (CASH)</v>
      </c>
      <c r="CE467" s="8" t="b">
        <f t="shared" si="114"/>
        <v>1</v>
      </c>
      <c r="CG467" s="8" t="str">
        <f t="shared" si="116"/>
        <v>Wayne</v>
      </c>
      <c r="CH467" s="8" t="b">
        <f t="shared" si="117"/>
        <v>1</v>
      </c>
      <c r="CI467" s="8" t="b">
        <f>C467='Gov Fd Rv'!C467</f>
        <v>1</v>
      </c>
    </row>
    <row r="468" spans="1:87">
      <c r="A468" s="12" t="s">
        <v>426</v>
      </c>
      <c r="B468" s="12"/>
      <c r="C468" s="12" t="s">
        <v>46</v>
      </c>
      <c r="D468" s="12"/>
      <c r="E468" s="12">
        <v>48447</v>
      </c>
      <c r="G468" s="7">
        <v>9095247</v>
      </c>
      <c r="I468" s="7">
        <v>1496001</v>
      </c>
      <c r="K468" s="7">
        <v>174313</v>
      </c>
      <c r="M468" s="7">
        <v>0</v>
      </c>
      <c r="O468" s="7">
        <v>0</v>
      </c>
      <c r="Q468" s="7">
        <v>406269</v>
      </c>
      <c r="S468" s="7">
        <v>841378</v>
      </c>
      <c r="U468" s="7">
        <v>15172</v>
      </c>
      <c r="W468" s="7">
        <v>1530238</v>
      </c>
      <c r="Y468" s="7">
        <v>422886</v>
      </c>
      <c r="AA468" s="7">
        <v>53453</v>
      </c>
      <c r="AC468" s="7">
        <v>1310327</v>
      </c>
      <c r="AE468" s="7">
        <v>1071838</v>
      </c>
      <c r="AG468" s="7">
        <v>65333</v>
      </c>
      <c r="AI468" s="7">
        <v>0</v>
      </c>
      <c r="AK468" s="7">
        <v>772210</v>
      </c>
      <c r="AL468" s="12" t="s">
        <v>426</v>
      </c>
      <c r="AM468" s="12"/>
      <c r="AN468" s="12" t="s">
        <v>46</v>
      </c>
      <c r="AP468" s="7">
        <v>407058</v>
      </c>
      <c r="AR468" s="7">
        <v>217433</v>
      </c>
      <c r="AT468" s="7">
        <v>0</v>
      </c>
      <c r="AV468" s="7">
        <v>780000</v>
      </c>
      <c r="AX468" s="7">
        <v>589256</v>
      </c>
      <c r="AZ468" s="7">
        <v>0</v>
      </c>
      <c r="BB468" s="8">
        <f t="shared" si="106"/>
        <v>19248412</v>
      </c>
      <c r="BD468" s="7">
        <v>84624</v>
      </c>
      <c r="BF468" s="7">
        <v>0</v>
      </c>
      <c r="BH468" s="7">
        <v>0</v>
      </c>
      <c r="BJ468" s="7">
        <v>0</v>
      </c>
      <c r="BL468" s="8">
        <f t="shared" si="104"/>
        <v>19333036</v>
      </c>
      <c r="BN468" s="8">
        <f>'Gov Fd Rv'!AQ468-'Gov Fnd Exp'!BL468</f>
        <v>508536</v>
      </c>
      <c r="BP468" s="7">
        <v>4848430</v>
      </c>
      <c r="BR468" s="7">
        <v>0</v>
      </c>
      <c r="BT468" s="7">
        <v>0</v>
      </c>
      <c r="BV468" s="8">
        <f t="shared" si="105"/>
        <v>5356966</v>
      </c>
      <c r="BW468" s="8"/>
      <c r="BX468" s="8">
        <f>BV468-'Gov Fd BS'!AE468</f>
        <v>0</v>
      </c>
      <c r="BY468" s="8"/>
      <c r="CB468" s="101" t="str">
        <f t="shared" si="92"/>
        <v>River Valley Local SD</v>
      </c>
      <c r="CC468" s="101" t="b">
        <f t="shared" si="115"/>
        <v>1</v>
      </c>
      <c r="CD468" s="101" t="str">
        <f>'Gov Fd Rv'!A468</f>
        <v>River Valley Local SD</v>
      </c>
      <c r="CE468" s="8" t="b">
        <f t="shared" si="114"/>
        <v>1</v>
      </c>
      <c r="CG468" s="8" t="str">
        <f t="shared" si="116"/>
        <v>Marion</v>
      </c>
      <c r="CH468" s="8" t="b">
        <f t="shared" si="117"/>
        <v>1</v>
      </c>
      <c r="CI468" s="8" t="b">
        <f>C468='Gov Fd Rv'!C468</f>
        <v>1</v>
      </c>
    </row>
    <row r="469" spans="1:87">
      <c r="A469" s="12" t="s">
        <v>261</v>
      </c>
      <c r="B469" s="12"/>
      <c r="C469" s="12" t="s">
        <v>19</v>
      </c>
      <c r="D469" s="12"/>
      <c r="E469" s="12">
        <v>46482</v>
      </c>
      <c r="G469" s="7">
        <v>9750990</v>
      </c>
      <c r="I469" s="7">
        <v>2767152</v>
      </c>
      <c r="K469" s="7">
        <v>434154</v>
      </c>
      <c r="M469" s="7">
        <v>0</v>
      </c>
      <c r="O469" s="7">
        <v>0</v>
      </c>
      <c r="Q469" s="7">
        <v>888284</v>
      </c>
      <c r="S469" s="7">
        <v>1336511</v>
      </c>
      <c r="U469" s="7">
        <v>118343</v>
      </c>
      <c r="W469" s="7">
        <v>1638584</v>
      </c>
      <c r="Y469" s="7">
        <v>610582</v>
      </c>
      <c r="AA469" s="7">
        <v>0</v>
      </c>
      <c r="AC469" s="7">
        <v>2499662</v>
      </c>
      <c r="AE469" s="7">
        <v>2028281</v>
      </c>
      <c r="AG469" s="7">
        <v>451348</v>
      </c>
      <c r="AI469" s="7">
        <v>958231</v>
      </c>
      <c r="AK469" s="7">
        <v>35798</v>
      </c>
      <c r="AL469" s="12" t="s">
        <v>261</v>
      </c>
      <c r="AM469" s="12"/>
      <c r="AN469" s="12" t="s">
        <v>19</v>
      </c>
      <c r="AP469" s="7">
        <v>460210</v>
      </c>
      <c r="AR469" s="7">
        <v>0</v>
      </c>
      <c r="AT469" s="7">
        <v>0</v>
      </c>
      <c r="AV469" s="7">
        <v>165974</v>
      </c>
      <c r="AX469" s="7">
        <v>69026</v>
      </c>
      <c r="AZ469" s="7">
        <v>0</v>
      </c>
      <c r="BB469" s="8">
        <f t="shared" si="106"/>
        <v>24213130</v>
      </c>
      <c r="BD469" s="7">
        <v>75000</v>
      </c>
      <c r="BF469" s="7">
        <v>0</v>
      </c>
      <c r="BH469" s="7">
        <v>0</v>
      </c>
      <c r="BJ469" s="7">
        <v>0</v>
      </c>
      <c r="BL469" s="8">
        <f t="shared" si="104"/>
        <v>24288130</v>
      </c>
      <c r="BN469" s="8">
        <f>'Gov Fd Rv'!AQ469-'Gov Fnd Exp'!BL469</f>
        <v>-582255</v>
      </c>
      <c r="BP469" s="7">
        <v>6239320</v>
      </c>
      <c r="BR469" s="7">
        <v>0</v>
      </c>
      <c r="BT469" s="7">
        <v>0</v>
      </c>
      <c r="BV469" s="8">
        <f t="shared" si="105"/>
        <v>5657065</v>
      </c>
      <c r="BW469" s="8"/>
      <c r="BX469" s="8">
        <f>BV469-'Gov Fd BS'!AE469</f>
        <v>0</v>
      </c>
      <c r="BY469" s="8"/>
      <c r="CB469" s="101" t="str">
        <f t="shared" ref="CB469:CB531" si="118">A469</f>
        <v>River View Local SD</v>
      </c>
      <c r="CC469" s="101" t="b">
        <f t="shared" si="115"/>
        <v>1</v>
      </c>
      <c r="CD469" s="101" t="str">
        <f>'Gov Fd Rv'!A469</f>
        <v>River View Local SD</v>
      </c>
      <c r="CE469" s="8" t="b">
        <f t="shared" si="114"/>
        <v>1</v>
      </c>
      <c r="CG469" s="8" t="str">
        <f t="shared" si="116"/>
        <v>Coshocton</v>
      </c>
      <c r="CH469" s="8" t="b">
        <f t="shared" si="117"/>
        <v>1</v>
      </c>
      <c r="CI469" s="8" t="b">
        <f>C469='Gov Fd Rv'!C469</f>
        <v>1</v>
      </c>
    </row>
    <row r="470" spans="1:87" hidden="1">
      <c r="A470" s="12" t="s">
        <v>971</v>
      </c>
      <c r="B470" s="12"/>
      <c r="C470" s="12" t="s">
        <v>348</v>
      </c>
      <c r="D470" s="12"/>
      <c r="E470" s="12">
        <v>47514</v>
      </c>
      <c r="AL470" s="12" t="s">
        <v>971</v>
      </c>
      <c r="AM470" s="12"/>
      <c r="AN470" s="12" t="s">
        <v>348</v>
      </c>
      <c r="AT470" s="7">
        <v>0</v>
      </c>
      <c r="AZ470" s="7">
        <v>0</v>
      </c>
      <c r="BB470" s="8">
        <f t="shared" si="106"/>
        <v>0</v>
      </c>
      <c r="BF470" s="7">
        <v>0</v>
      </c>
      <c r="BH470" s="7">
        <v>0</v>
      </c>
      <c r="BJ470" s="7">
        <v>0</v>
      </c>
      <c r="BL470" s="8">
        <f t="shared" si="104"/>
        <v>0</v>
      </c>
      <c r="BN470" s="8">
        <f>'Gov Fd Rv'!AQ470-'Gov Fnd Exp'!BL470</f>
        <v>0</v>
      </c>
      <c r="BT470" s="7">
        <v>0</v>
      </c>
      <c r="BV470" s="8">
        <f t="shared" si="105"/>
        <v>0</v>
      </c>
      <c r="BW470" s="8"/>
      <c r="BX470" s="8">
        <f>BV470-'Gov Fd BS'!AE470</f>
        <v>0</v>
      </c>
      <c r="BY470" s="8"/>
      <c r="BZ470" s="7" t="s">
        <v>912</v>
      </c>
      <c r="CB470" s="101" t="str">
        <f t="shared" si="118"/>
        <v>Riverdale Local SD (CASH)</v>
      </c>
      <c r="CC470" s="101" t="b">
        <f t="shared" si="115"/>
        <v>1</v>
      </c>
      <c r="CD470" s="101" t="str">
        <f>'Gov Fd Rv'!A470</f>
        <v>Riverdale Local SD (CASH)</v>
      </c>
      <c r="CE470" s="8" t="b">
        <f t="shared" si="114"/>
        <v>1</v>
      </c>
      <c r="CG470" s="8" t="str">
        <f t="shared" si="116"/>
        <v>Hardin</v>
      </c>
      <c r="CH470" s="8" t="b">
        <f t="shared" si="117"/>
        <v>1</v>
      </c>
      <c r="CI470" s="8" t="b">
        <f>C470='Gov Fd Rv'!C470</f>
        <v>1</v>
      </c>
    </row>
    <row r="471" spans="1:87">
      <c r="A471" s="12" t="s">
        <v>391</v>
      </c>
      <c r="B471" s="12"/>
      <c r="C471" s="12" t="s">
        <v>41</v>
      </c>
      <c r="D471" s="12"/>
      <c r="E471" s="12"/>
      <c r="G471" s="7">
        <v>21055926</v>
      </c>
      <c r="I471" s="7">
        <v>4273041</v>
      </c>
      <c r="K471" s="7">
        <v>0</v>
      </c>
      <c r="M471" s="7">
        <v>0</v>
      </c>
      <c r="O471" s="7">
        <v>596748</v>
      </c>
      <c r="Q471" s="7">
        <v>2134843</v>
      </c>
      <c r="S471" s="7">
        <v>1587316</v>
      </c>
      <c r="U471" s="7">
        <v>20563</v>
      </c>
      <c r="W471" s="7">
        <v>4415284</v>
      </c>
      <c r="Y471" s="7">
        <v>1044079</v>
      </c>
      <c r="AA471" s="7">
        <v>2125</v>
      </c>
      <c r="AC471" s="7">
        <v>4849723</v>
      </c>
      <c r="AE471" s="7">
        <v>5043528</v>
      </c>
      <c r="AG471" s="7">
        <v>40501</v>
      </c>
      <c r="AI471" s="7">
        <v>28800</v>
      </c>
      <c r="AK471" s="7">
        <v>54764</v>
      </c>
      <c r="AL471" s="12" t="s">
        <v>391</v>
      </c>
      <c r="AM471" s="12"/>
      <c r="AN471" s="12" t="s">
        <v>41</v>
      </c>
      <c r="AP471" s="7">
        <v>772267</v>
      </c>
      <c r="AR471" s="7">
        <v>133499</v>
      </c>
      <c r="AT471" s="7">
        <v>0</v>
      </c>
      <c r="AV471" s="7">
        <v>718230</v>
      </c>
      <c r="AX471" s="7">
        <v>154997</v>
      </c>
      <c r="AZ471" s="7">
        <v>0</v>
      </c>
      <c r="BB471" s="8">
        <f t="shared" si="106"/>
        <v>46926234</v>
      </c>
      <c r="BD471" s="7">
        <v>255424</v>
      </c>
      <c r="BF471" s="7">
        <v>0</v>
      </c>
      <c r="BH471" s="7">
        <v>0</v>
      </c>
      <c r="BJ471" s="7">
        <v>0</v>
      </c>
      <c r="BL471" s="8">
        <f t="shared" si="104"/>
        <v>47181658</v>
      </c>
      <c r="BN471" s="8">
        <f>'Gov Fd Rv'!AQ471-'Gov Fnd Exp'!BL471</f>
        <v>-3634122</v>
      </c>
      <c r="BP471" s="7">
        <v>4487617</v>
      </c>
      <c r="BR471" s="7">
        <v>-26501</v>
      </c>
      <c r="BT471" s="7">
        <v>0</v>
      </c>
      <c r="BV471" s="8">
        <f t="shared" si="105"/>
        <v>826994</v>
      </c>
      <c r="BW471" s="8"/>
      <c r="BX471" s="8">
        <f>BV471-'Gov Fd BS'!AE471</f>
        <v>0</v>
      </c>
      <c r="BY471" s="8"/>
      <c r="CB471" s="101" t="str">
        <f t="shared" si="118"/>
        <v>Riverside Local SD</v>
      </c>
      <c r="CC471" s="101" t="b">
        <f t="shared" si="115"/>
        <v>1</v>
      </c>
      <c r="CD471" s="101" t="str">
        <f>'Gov Fd Rv'!A471</f>
        <v>Riverside Local SD</v>
      </c>
      <c r="CE471" s="8" t="b">
        <f t="shared" si="114"/>
        <v>1</v>
      </c>
      <c r="CG471" s="8" t="str">
        <f t="shared" si="116"/>
        <v>Lake</v>
      </c>
      <c r="CH471" s="8" t="b">
        <f t="shared" si="117"/>
        <v>1</v>
      </c>
      <c r="CI471" s="8" t="b">
        <f>C471='Gov Fd Rv'!C471</f>
        <v>1</v>
      </c>
    </row>
    <row r="472" spans="1:87">
      <c r="A472" s="12" t="s">
        <v>391</v>
      </c>
      <c r="B472" s="12"/>
      <c r="C472" s="12" t="s">
        <v>43</v>
      </c>
      <c r="D472" s="12"/>
      <c r="E472" s="12">
        <v>48090</v>
      </c>
      <c r="G472" s="7">
        <v>3573935</v>
      </c>
      <c r="I472" s="7">
        <v>1159840</v>
      </c>
      <c r="K472" s="7">
        <v>138550</v>
      </c>
      <c r="M472" s="7">
        <v>0</v>
      </c>
      <c r="O472" s="7">
        <v>0</v>
      </c>
      <c r="Q472" s="7">
        <v>168307</v>
      </c>
      <c r="S472" s="7">
        <v>232660</v>
      </c>
      <c r="U472" s="7">
        <v>14649</v>
      </c>
      <c r="W472" s="7">
        <v>402602</v>
      </c>
      <c r="Y472" s="7">
        <v>252210</v>
      </c>
      <c r="AA472" s="7">
        <v>21655</v>
      </c>
      <c r="AC472" s="7">
        <v>856331</v>
      </c>
      <c r="AE472" s="7">
        <v>408004</v>
      </c>
      <c r="AG472" s="7">
        <v>147729</v>
      </c>
      <c r="AI472" s="7">
        <v>333789</v>
      </c>
      <c r="AK472" s="7">
        <v>500</v>
      </c>
      <c r="AL472" s="12" t="s">
        <v>391</v>
      </c>
      <c r="AM472" s="12"/>
      <c r="AN472" s="12" t="s">
        <v>43</v>
      </c>
      <c r="AP472" s="7">
        <v>185624</v>
      </c>
      <c r="AR472" s="7">
        <v>0</v>
      </c>
      <c r="AT472" s="7">
        <v>0</v>
      </c>
      <c r="AV472" s="7">
        <v>175000</v>
      </c>
      <c r="AX472" s="7">
        <v>69136</v>
      </c>
      <c r="AZ472" s="7">
        <v>0</v>
      </c>
      <c r="BB472" s="8">
        <f t="shared" si="106"/>
        <v>8140521</v>
      </c>
      <c r="BD472" s="7">
        <v>0</v>
      </c>
      <c r="BF472" s="7">
        <v>0</v>
      </c>
      <c r="BH472" s="7">
        <v>0</v>
      </c>
      <c r="BJ472" s="7">
        <v>0</v>
      </c>
      <c r="BL472" s="8">
        <f t="shared" si="104"/>
        <v>8140521</v>
      </c>
      <c r="BN472" s="8">
        <f>'Gov Fd Rv'!AQ472-'Gov Fnd Exp'!BL472</f>
        <v>885126</v>
      </c>
      <c r="BP472" s="7">
        <v>216346</v>
      </c>
      <c r="BR472" s="7">
        <v>0</v>
      </c>
      <c r="BT472" s="7">
        <v>0</v>
      </c>
      <c r="BV472" s="8">
        <f t="shared" si="105"/>
        <v>1101472</v>
      </c>
      <c r="BW472" s="8"/>
      <c r="BX472" s="8">
        <f>BV472-'Gov Fd BS'!AE472</f>
        <v>0</v>
      </c>
      <c r="BY472" s="8"/>
      <c r="CB472" s="101" t="str">
        <f t="shared" si="118"/>
        <v>Riverside Local SD</v>
      </c>
      <c r="CC472" s="101" t="b">
        <f t="shared" si="115"/>
        <v>1</v>
      </c>
      <c r="CD472" s="101" t="str">
        <f>'Gov Fd Rv'!A472</f>
        <v>Riverside Local SD</v>
      </c>
      <c r="CE472" s="8" t="b">
        <f t="shared" si="114"/>
        <v>1</v>
      </c>
      <c r="CG472" s="8" t="str">
        <f t="shared" si="116"/>
        <v>Logan</v>
      </c>
      <c r="CH472" s="8" t="b">
        <f t="shared" si="117"/>
        <v>1</v>
      </c>
      <c r="CI472" s="8" t="b">
        <f>C472='Gov Fd Rv'!C472</f>
        <v>1</v>
      </c>
    </row>
    <row r="473" spans="1:87">
      <c r="A473" s="12" t="s">
        <v>381</v>
      </c>
      <c r="B473" s="12"/>
      <c r="C473" s="12" t="s">
        <v>377</v>
      </c>
      <c r="D473" s="12"/>
      <c r="E473" s="12">
        <v>47944</v>
      </c>
      <c r="G473" s="7">
        <v>10024958</v>
      </c>
      <c r="I473" s="7">
        <v>2620916</v>
      </c>
      <c r="K473" s="7">
        <v>390325</v>
      </c>
      <c r="M473" s="7">
        <v>0</v>
      </c>
      <c r="O473" s="7">
        <v>0</v>
      </c>
      <c r="Q473" s="7">
        <v>656950</v>
      </c>
      <c r="S473" s="7">
        <v>384829</v>
      </c>
      <c r="U473" s="7">
        <v>255997</v>
      </c>
      <c r="W473" s="7">
        <v>1237786</v>
      </c>
      <c r="Y473" s="7">
        <v>348182</v>
      </c>
      <c r="AA473" s="7">
        <v>0</v>
      </c>
      <c r="AC473" s="7">
        <v>2697586</v>
      </c>
      <c r="AE473" s="7">
        <v>1084264</v>
      </c>
      <c r="AG473" s="7">
        <v>107783</v>
      </c>
      <c r="AI473" s="7">
        <v>1149125</v>
      </c>
      <c r="AK473" s="7">
        <v>36550</v>
      </c>
      <c r="AL473" s="12" t="s">
        <v>381</v>
      </c>
      <c r="AM473" s="12"/>
      <c r="AN473" s="12" t="s">
        <v>377</v>
      </c>
      <c r="AP473" s="7">
        <v>320307</v>
      </c>
      <c r="AR473" s="7">
        <v>0</v>
      </c>
      <c r="AT473" s="7">
        <v>0</v>
      </c>
      <c r="AV473" s="7">
        <v>0</v>
      </c>
      <c r="AX473" s="7">
        <v>0</v>
      </c>
      <c r="AZ473" s="7">
        <v>0</v>
      </c>
      <c r="BB473" s="8">
        <f t="shared" si="106"/>
        <v>21315558</v>
      </c>
      <c r="BD473" s="7">
        <v>506000</v>
      </c>
      <c r="BF473" s="7">
        <v>0</v>
      </c>
      <c r="BH473" s="7">
        <v>0</v>
      </c>
      <c r="BJ473" s="7">
        <v>0</v>
      </c>
      <c r="BL473" s="8">
        <f t="shared" si="104"/>
        <v>21821558</v>
      </c>
      <c r="BN473" s="8">
        <f>'Gov Fd Rv'!AQ473-'Gov Fnd Exp'!BL473</f>
        <v>-163931</v>
      </c>
      <c r="BP473" s="7">
        <v>4567982</v>
      </c>
      <c r="BR473" s="7">
        <v>0</v>
      </c>
      <c r="BT473" s="7">
        <v>0</v>
      </c>
      <c r="BV473" s="8">
        <f t="shared" si="105"/>
        <v>4404051</v>
      </c>
      <c r="BW473" s="8"/>
      <c r="BX473" s="8">
        <f>BV473-'Gov Fd BS'!AE473</f>
        <v>0</v>
      </c>
      <c r="BY473" s="8"/>
      <c r="CB473" s="101" t="str">
        <f t="shared" si="118"/>
        <v>Rock Hill Local SD</v>
      </c>
      <c r="CC473" s="101" t="b">
        <f t="shared" si="115"/>
        <v>1</v>
      </c>
      <c r="CD473" s="101" t="str">
        <f>'Gov Fd Rv'!A473</f>
        <v>Rock Hill Local SD</v>
      </c>
      <c r="CE473" s="8" t="b">
        <f t="shared" si="114"/>
        <v>1</v>
      </c>
      <c r="CG473" s="8" t="str">
        <f t="shared" si="116"/>
        <v>Lawrence</v>
      </c>
      <c r="CH473" s="8" t="b">
        <f t="shared" si="117"/>
        <v>1</v>
      </c>
      <c r="CI473" s="8" t="b">
        <f>C473='Gov Fd Rv'!C473</f>
        <v>1</v>
      </c>
    </row>
    <row r="474" spans="1:87">
      <c r="A474" s="12" t="s">
        <v>753</v>
      </c>
      <c r="B474" s="12"/>
      <c r="C474" s="12" t="s">
        <v>20</v>
      </c>
      <c r="D474" s="12"/>
      <c r="E474" s="12">
        <v>44701</v>
      </c>
      <c r="G474" s="7">
        <v>15293849</v>
      </c>
      <c r="I474" s="7">
        <v>4228153</v>
      </c>
      <c r="K474" s="7">
        <v>407817</v>
      </c>
      <c r="M474" s="7">
        <v>0</v>
      </c>
      <c r="O474" s="7">
        <v>28808</v>
      </c>
      <c r="Q474" s="7">
        <v>2367578</v>
      </c>
      <c r="S474" s="7">
        <v>712031</v>
      </c>
      <c r="U474" s="7">
        <v>35503</v>
      </c>
      <c r="W474" s="7">
        <v>2059252</v>
      </c>
      <c r="Y474" s="7">
        <v>781896</v>
      </c>
      <c r="AA474" s="7">
        <v>492901</v>
      </c>
      <c r="AC474" s="7">
        <v>3617987</v>
      </c>
      <c r="AE474" s="7">
        <v>1635298</v>
      </c>
      <c r="AG474" s="7">
        <v>689364</v>
      </c>
      <c r="AI474" s="7">
        <v>442084</v>
      </c>
      <c r="AK474" s="7">
        <v>1665163</v>
      </c>
      <c r="AL474" s="12" t="s">
        <v>753</v>
      </c>
      <c r="AM474" s="12"/>
      <c r="AN474" s="12" t="s">
        <v>20</v>
      </c>
      <c r="AP474" s="7">
        <v>1343061</v>
      </c>
      <c r="AR474" s="7">
        <v>4885284</v>
      </c>
      <c r="AT474" s="7">
        <v>0</v>
      </c>
      <c r="AV474" s="7">
        <v>2526880</v>
      </c>
      <c r="AX474" s="7">
        <f>2290403+435150</f>
        <v>2725553</v>
      </c>
      <c r="AZ474" s="7">
        <v>0</v>
      </c>
      <c r="BB474" s="8">
        <f t="shared" si="106"/>
        <v>45938462</v>
      </c>
      <c r="BD474" s="7">
        <v>30378</v>
      </c>
      <c r="BF474" s="7">
        <v>0</v>
      </c>
      <c r="BH474" s="7">
        <v>0</v>
      </c>
      <c r="BJ474" s="7">
        <v>0</v>
      </c>
      <c r="BL474" s="8">
        <f t="shared" si="104"/>
        <v>45968840</v>
      </c>
      <c r="BN474" s="8">
        <f>'Gov Fd Rv'!AQ474-'Gov Fnd Exp'!BL474</f>
        <v>37996867</v>
      </c>
      <c r="BP474" s="7">
        <v>4894169</v>
      </c>
      <c r="BR474" s="7">
        <v>0</v>
      </c>
      <c r="BT474" s="7">
        <v>0</v>
      </c>
      <c r="BV474" s="8">
        <f t="shared" si="105"/>
        <v>42891036</v>
      </c>
      <c r="BW474" s="8"/>
      <c r="BX474" s="8">
        <f>BV474-'Gov Fd BS'!AE474</f>
        <v>0</v>
      </c>
      <c r="BY474" s="8"/>
      <c r="CB474" s="101" t="str">
        <f t="shared" si="118"/>
        <v xml:space="preserve">Rocky River City SD </v>
      </c>
      <c r="CC474" s="101" t="b">
        <f t="shared" si="115"/>
        <v>1</v>
      </c>
      <c r="CD474" s="101" t="str">
        <f>'Gov Fd Rv'!A474</f>
        <v xml:space="preserve">Rocky River City SD </v>
      </c>
      <c r="CE474" s="8" t="b">
        <f t="shared" si="114"/>
        <v>1</v>
      </c>
      <c r="CG474" s="8" t="str">
        <f t="shared" si="116"/>
        <v>Cuyahoga</v>
      </c>
      <c r="CH474" s="8" t="b">
        <f t="shared" si="117"/>
        <v>1</v>
      </c>
      <c r="CI474" s="8" t="b">
        <f>C474='Gov Fd Rv'!C474</f>
        <v>1</v>
      </c>
    </row>
    <row r="475" spans="1:87">
      <c r="A475" s="12" t="s">
        <v>329</v>
      </c>
      <c r="B475" s="12"/>
      <c r="C475" s="12" t="s">
        <v>31</v>
      </c>
      <c r="D475" s="12"/>
      <c r="E475" s="12">
        <v>47308</v>
      </c>
      <c r="G475" s="7">
        <v>7269166</v>
      </c>
      <c r="I475" s="7">
        <v>2251844</v>
      </c>
      <c r="K475" s="7">
        <v>357951</v>
      </c>
      <c r="M475" s="7">
        <v>0</v>
      </c>
      <c r="O475" s="7">
        <v>1252480</v>
      </c>
      <c r="Q475" s="7">
        <v>502307</v>
      </c>
      <c r="S475" s="7">
        <v>1218637</v>
      </c>
      <c r="U475" s="7">
        <v>22743</v>
      </c>
      <c r="W475" s="7">
        <v>1119464</v>
      </c>
      <c r="Y475" s="7">
        <v>706422</v>
      </c>
      <c r="AA475" s="7">
        <v>0</v>
      </c>
      <c r="AC475" s="7">
        <v>1501280</v>
      </c>
      <c r="AE475" s="7">
        <v>805521</v>
      </c>
      <c r="AG475" s="7">
        <v>44359</v>
      </c>
      <c r="AI475" s="7">
        <v>931797</v>
      </c>
      <c r="AK475" s="7">
        <v>4322</v>
      </c>
      <c r="AL475" s="12" t="s">
        <v>329</v>
      </c>
      <c r="AM475" s="12"/>
      <c r="AN475" s="12" t="s">
        <v>31</v>
      </c>
      <c r="AP475" s="7">
        <v>231072</v>
      </c>
      <c r="AR475" s="7">
        <v>54501</v>
      </c>
      <c r="AT475" s="7">
        <v>0</v>
      </c>
      <c r="AV475" s="7">
        <v>50000</v>
      </c>
      <c r="AX475" s="7">
        <v>21290</v>
      </c>
      <c r="AZ475" s="7">
        <v>0</v>
      </c>
      <c r="BB475" s="8">
        <f t="shared" si="106"/>
        <v>18345156</v>
      </c>
      <c r="BD475" s="7">
        <v>70000</v>
      </c>
      <c r="BF475" s="7">
        <v>0</v>
      </c>
      <c r="BH475" s="7">
        <v>0</v>
      </c>
      <c r="BJ475" s="7">
        <v>0</v>
      </c>
      <c r="BL475" s="8">
        <f t="shared" si="104"/>
        <v>18415156</v>
      </c>
      <c r="BN475" s="8">
        <f>'Gov Fd Rv'!AQ475-'Gov Fnd Exp'!BL475</f>
        <v>2222436</v>
      </c>
      <c r="BP475" s="7">
        <v>658988</v>
      </c>
      <c r="BR475" s="7">
        <v>0</v>
      </c>
      <c r="BT475" s="7">
        <v>0</v>
      </c>
      <c r="BV475" s="8">
        <f t="shared" si="105"/>
        <v>2881424</v>
      </c>
      <c r="BW475" s="8"/>
      <c r="BX475" s="8">
        <f>BV475-'Gov Fd BS'!AE475</f>
        <v>0</v>
      </c>
      <c r="BY475" s="8"/>
      <c r="CB475" s="101" t="str">
        <f t="shared" si="118"/>
        <v>Rolling Hills Local SD</v>
      </c>
      <c r="CC475" s="101" t="b">
        <f t="shared" si="115"/>
        <v>1</v>
      </c>
      <c r="CD475" s="101" t="str">
        <f>'Gov Fd Rv'!A475</f>
        <v>Rolling Hills Local SD</v>
      </c>
      <c r="CE475" s="8" t="b">
        <f t="shared" si="114"/>
        <v>1</v>
      </c>
      <c r="CG475" s="8" t="str">
        <f t="shared" si="116"/>
        <v>Guernsey</v>
      </c>
      <c r="CH475" s="8" t="b">
        <f t="shared" si="117"/>
        <v>1</v>
      </c>
      <c r="CI475" s="8" t="b">
        <f>C475='Gov Fd Rv'!C475</f>
        <v>1</v>
      </c>
    </row>
    <row r="476" spans="1:87">
      <c r="A476" s="12" t="s">
        <v>477</v>
      </c>
      <c r="B476" s="12"/>
      <c r="C476" s="12" t="s">
        <v>56</v>
      </c>
      <c r="D476" s="12"/>
      <c r="E476" s="12">
        <v>49213</v>
      </c>
      <c r="G476" s="7">
        <f>260706+4801217</f>
        <v>5061923</v>
      </c>
      <c r="I476" s="7">
        <v>1084148</v>
      </c>
      <c r="K476" s="7">
        <v>0</v>
      </c>
      <c r="M476" s="7">
        <v>0</v>
      </c>
      <c r="O476" s="7">
        <v>629481</v>
      </c>
      <c r="Q476" s="7">
        <v>546412</v>
      </c>
      <c r="S476" s="7">
        <v>352505</v>
      </c>
      <c r="U476" s="7">
        <v>24095</v>
      </c>
      <c r="W476" s="7">
        <v>991517</v>
      </c>
      <c r="Y476" s="7">
        <v>365753</v>
      </c>
      <c r="AA476" s="7">
        <v>10943</v>
      </c>
      <c r="AC476" s="7">
        <v>917388</v>
      </c>
      <c r="AE476" s="7">
        <v>685967</v>
      </c>
      <c r="AG476" s="7">
        <v>0</v>
      </c>
      <c r="AI476" s="7">
        <v>349054</v>
      </c>
      <c r="AK476" s="7">
        <v>1671</v>
      </c>
      <c r="AL476" s="12" t="s">
        <v>477</v>
      </c>
      <c r="AM476" s="12"/>
      <c r="AN476" s="12" t="s">
        <v>56</v>
      </c>
      <c r="AP476" s="7">
        <v>349439</v>
      </c>
      <c r="AR476" s="7">
        <v>70609</v>
      </c>
      <c r="AT476" s="7">
        <v>0</v>
      </c>
      <c r="AV476" s="7">
        <v>0</v>
      </c>
      <c r="AX476" s="7">
        <v>3159</v>
      </c>
      <c r="AZ476" s="7">
        <v>0</v>
      </c>
      <c r="BB476" s="8">
        <f t="shared" si="106"/>
        <v>11444064</v>
      </c>
      <c r="BD476" s="7">
        <v>307</v>
      </c>
      <c r="BF476" s="7">
        <v>0</v>
      </c>
      <c r="BH476" s="7">
        <v>0</v>
      </c>
      <c r="BJ476" s="7">
        <v>0</v>
      </c>
      <c r="BL476" s="8">
        <f t="shared" si="104"/>
        <v>11444371</v>
      </c>
      <c r="BN476" s="8">
        <f>'Gov Fd Rv'!AQ476-'Gov Fnd Exp'!BL476</f>
        <v>210539</v>
      </c>
      <c r="BP476" s="7">
        <v>505143</v>
      </c>
      <c r="BR476" s="7">
        <v>0</v>
      </c>
      <c r="BT476" s="7">
        <v>0</v>
      </c>
      <c r="BV476" s="8">
        <f t="shared" si="105"/>
        <v>715682</v>
      </c>
      <c r="BW476" s="8"/>
      <c r="BX476" s="103">
        <f>BV476-'Gov Fd BS'!AE476</f>
        <v>0</v>
      </c>
      <c r="BY476" s="8"/>
      <c r="BZ476" s="7" t="s">
        <v>972</v>
      </c>
      <c r="CB476" s="101" t="str">
        <f t="shared" si="118"/>
        <v>Rootstown Local SD</v>
      </c>
      <c r="CC476" s="101" t="b">
        <f t="shared" si="115"/>
        <v>1</v>
      </c>
      <c r="CD476" s="101" t="str">
        <f>'Gov Fd Rv'!A476</f>
        <v>Rootstown Local SD</v>
      </c>
      <c r="CE476" s="8" t="b">
        <f t="shared" si="114"/>
        <v>1</v>
      </c>
      <c r="CG476" s="8" t="str">
        <f t="shared" si="116"/>
        <v>Portage</v>
      </c>
      <c r="CH476" s="8" t="b">
        <f t="shared" si="117"/>
        <v>1</v>
      </c>
      <c r="CI476" s="8" t="b">
        <f>C476='Gov Fd Rv'!C476</f>
        <v>1</v>
      </c>
    </row>
    <row r="477" spans="1:87">
      <c r="A477" s="12" t="s">
        <v>754</v>
      </c>
      <c r="B477" s="12"/>
      <c r="C477" s="12" t="s">
        <v>223</v>
      </c>
      <c r="D477" s="12"/>
      <c r="E477" s="12">
        <v>46144</v>
      </c>
      <c r="G477" s="7">
        <v>11474365</v>
      </c>
      <c r="I477" s="7">
        <v>1858736</v>
      </c>
      <c r="K477" s="7">
        <v>0</v>
      </c>
      <c r="M477" s="7">
        <v>0</v>
      </c>
      <c r="O477" s="7">
        <v>794252</v>
      </c>
      <c r="Q477" s="7">
        <v>1054805</v>
      </c>
      <c r="S477" s="7">
        <v>1520598</v>
      </c>
      <c r="U477" s="7">
        <v>20266</v>
      </c>
      <c r="W477" s="7">
        <v>1885350</v>
      </c>
      <c r="Y477" s="7">
        <v>724974</v>
      </c>
      <c r="AA477" s="7">
        <v>0</v>
      </c>
      <c r="AC477" s="7">
        <v>1846098</v>
      </c>
      <c r="AE477" s="7">
        <v>1708500</v>
      </c>
      <c r="AG477" s="7">
        <v>9100</v>
      </c>
      <c r="AI477" s="7">
        <v>1030442</v>
      </c>
      <c r="AK477" s="7">
        <v>597558</v>
      </c>
      <c r="AL477" s="12" t="s">
        <v>754</v>
      </c>
      <c r="AM477" s="12"/>
      <c r="AN477" s="12" t="s">
        <v>223</v>
      </c>
      <c r="AP477" s="7">
        <v>310984</v>
      </c>
      <c r="AR477" s="7">
        <v>14995249</v>
      </c>
      <c r="AT477" s="7">
        <v>0</v>
      </c>
      <c r="AV477" s="7">
        <v>1798803</v>
      </c>
      <c r="AX477" s="7">
        <v>833406</v>
      </c>
      <c r="AZ477" s="7">
        <v>0</v>
      </c>
      <c r="BB477" s="8">
        <f t="shared" si="106"/>
        <v>42463486</v>
      </c>
      <c r="BD477" s="7">
        <v>0</v>
      </c>
      <c r="BF477" s="7">
        <v>0</v>
      </c>
      <c r="BH477" s="7">
        <v>0</v>
      </c>
      <c r="BJ477" s="7">
        <v>0</v>
      </c>
      <c r="BL477" s="8">
        <f t="shared" si="104"/>
        <v>42463486</v>
      </c>
      <c r="BN477" s="8">
        <f>'Gov Fd Rv'!AQ477-'Gov Fnd Exp'!BL477</f>
        <v>-972955</v>
      </c>
      <c r="BP477" s="7">
        <v>14046457</v>
      </c>
      <c r="BR477" s="7">
        <v>0</v>
      </c>
      <c r="BT477" s="7">
        <v>0</v>
      </c>
      <c r="BV477" s="8">
        <f t="shared" si="105"/>
        <v>13073502</v>
      </c>
      <c r="BW477" s="8"/>
      <c r="BX477" s="8">
        <f>BV477-'Gov Fd BS'!AE477</f>
        <v>0</v>
      </c>
      <c r="BY477" s="8"/>
      <c r="BZ477" s="14"/>
      <c r="CB477" s="101" t="str">
        <f t="shared" si="118"/>
        <v xml:space="preserve">Ross Local SD </v>
      </c>
      <c r="CC477" s="101" t="b">
        <f t="shared" si="115"/>
        <v>1</v>
      </c>
      <c r="CD477" s="101" t="str">
        <f>'Gov Fd Rv'!A477</f>
        <v xml:space="preserve">Ross Local SD </v>
      </c>
      <c r="CE477" s="8" t="b">
        <f t="shared" si="114"/>
        <v>1</v>
      </c>
      <c r="CG477" s="8" t="str">
        <f t="shared" si="116"/>
        <v>Butler</v>
      </c>
      <c r="CH477" s="8" t="b">
        <f t="shared" si="117"/>
        <v>1</v>
      </c>
      <c r="CI477" s="8" t="b">
        <f>C477='Gov Fd Rv'!C477</f>
        <v>1</v>
      </c>
    </row>
    <row r="478" spans="1:87" ht="12" customHeight="1">
      <c r="A478" s="12" t="s">
        <v>886</v>
      </c>
      <c r="B478" s="12"/>
      <c r="C478" s="12" t="s">
        <v>72</v>
      </c>
      <c r="D478" s="12"/>
      <c r="E478" s="12">
        <v>45609</v>
      </c>
      <c r="G478" s="7">
        <v>10899888</v>
      </c>
      <c r="I478" s="7">
        <v>2596184</v>
      </c>
      <c r="K478" s="7">
        <v>319103</v>
      </c>
      <c r="M478" s="7">
        <v>31901</v>
      </c>
      <c r="O478" s="7">
        <v>0</v>
      </c>
      <c r="Q478" s="7">
        <v>1918746</v>
      </c>
      <c r="S478" s="7">
        <v>1377225</v>
      </c>
      <c r="U478" s="7">
        <v>64983</v>
      </c>
      <c r="W478" s="7">
        <v>2054317</v>
      </c>
      <c r="Y478" s="7">
        <v>435029</v>
      </c>
      <c r="AA478" s="7">
        <v>110132</v>
      </c>
      <c r="AC478" s="7">
        <v>3525758</v>
      </c>
      <c r="AE478" s="7">
        <v>985656</v>
      </c>
      <c r="AG478" s="7">
        <v>494194</v>
      </c>
      <c r="AI478" s="7">
        <v>0</v>
      </c>
      <c r="AK478" s="7">
        <v>975570</v>
      </c>
      <c r="AL478" s="12" t="s">
        <v>886</v>
      </c>
      <c r="AM478" s="12"/>
      <c r="AN478" s="12" t="s">
        <v>72</v>
      </c>
      <c r="AP478" s="7">
        <v>789640</v>
      </c>
      <c r="AR478" s="7">
        <v>6627</v>
      </c>
      <c r="AT478" s="7">
        <v>0</v>
      </c>
      <c r="AV478" s="7">
        <v>0</v>
      </c>
      <c r="AX478" s="7">
        <v>0</v>
      </c>
      <c r="AZ478" s="7">
        <v>0</v>
      </c>
      <c r="BB478" s="8">
        <f t="shared" si="106"/>
        <v>26584953</v>
      </c>
      <c r="BD478" s="7">
        <v>61000</v>
      </c>
      <c r="BF478" s="7">
        <v>0</v>
      </c>
      <c r="BH478" s="7">
        <v>0</v>
      </c>
      <c r="BJ478" s="7">
        <v>0</v>
      </c>
      <c r="BL478" s="8">
        <f t="shared" si="104"/>
        <v>26645953</v>
      </c>
      <c r="BN478" s="8">
        <f>'Gov Fd Rv'!AQ478-'Gov Fnd Exp'!BL478</f>
        <v>47624</v>
      </c>
      <c r="BP478" s="7">
        <v>10679304</v>
      </c>
      <c r="BR478" s="7">
        <v>0</v>
      </c>
      <c r="BT478" s="7">
        <v>0</v>
      </c>
      <c r="BV478" s="8">
        <f t="shared" si="105"/>
        <v>10726928</v>
      </c>
      <c r="BW478" s="8"/>
      <c r="BX478" s="8">
        <f>BV478-'Gov Fd BS'!AE478</f>
        <v>0</v>
      </c>
      <c r="BY478" s="8"/>
      <c r="CB478" s="101" t="str">
        <f t="shared" si="118"/>
        <v>Rossford Exempted Village SD</v>
      </c>
      <c r="CC478" s="101" t="b">
        <f t="shared" si="115"/>
        <v>1</v>
      </c>
      <c r="CD478" s="101" t="str">
        <f>'Gov Fd Rv'!A478</f>
        <v>Rossford Exempted Village SD</v>
      </c>
      <c r="CE478" s="8" t="b">
        <f t="shared" si="114"/>
        <v>1</v>
      </c>
      <c r="CG478" s="8" t="str">
        <f t="shared" si="116"/>
        <v>Wood</v>
      </c>
      <c r="CH478" s="8" t="b">
        <f t="shared" si="117"/>
        <v>1</v>
      </c>
      <c r="CI478" s="8" t="b">
        <f>C478='Gov Fd Rv'!C478</f>
        <v>1</v>
      </c>
    </row>
    <row r="479" spans="1:87">
      <c r="A479" s="12" t="s">
        <v>507</v>
      </c>
      <c r="B479" s="12"/>
      <c r="C479" s="12" t="s">
        <v>61</v>
      </c>
      <c r="D479" s="12"/>
      <c r="E479" s="12">
        <v>49817</v>
      </c>
      <c r="G479" s="7">
        <v>2125897</v>
      </c>
      <c r="I479" s="7">
        <v>523991</v>
      </c>
      <c r="K479" s="7">
        <v>0</v>
      </c>
      <c r="M479" s="7">
        <v>0</v>
      </c>
      <c r="O479" s="7">
        <v>6803</v>
      </c>
      <c r="Q479" s="7">
        <v>91560</v>
      </c>
      <c r="S479" s="7">
        <v>133860</v>
      </c>
      <c r="U479" s="7">
        <v>7723</v>
      </c>
      <c r="W479" s="7">
        <v>370682</v>
      </c>
      <c r="Y479" s="7">
        <v>154063</v>
      </c>
      <c r="AA479" s="7">
        <v>474</v>
      </c>
      <c r="AC479" s="7">
        <v>344269</v>
      </c>
      <c r="AE479" s="7">
        <v>168108</v>
      </c>
      <c r="AG479" s="7">
        <v>136571</v>
      </c>
      <c r="AI479" s="7">
        <v>0</v>
      </c>
      <c r="AK479" s="7">
        <v>163447</v>
      </c>
      <c r="AL479" s="12" t="s">
        <v>507</v>
      </c>
      <c r="AM479" s="12"/>
      <c r="AN479" s="12" t="s">
        <v>61</v>
      </c>
      <c r="AP479" s="7">
        <v>199083</v>
      </c>
      <c r="AR479" s="7">
        <v>4201867</v>
      </c>
      <c r="AT479" s="7">
        <v>0</v>
      </c>
      <c r="AV479" s="7">
        <v>215000</v>
      </c>
      <c r="AX479" s="7">
        <v>216569</v>
      </c>
      <c r="AZ479" s="7">
        <v>0</v>
      </c>
      <c r="BB479" s="8">
        <f t="shared" si="106"/>
        <v>9059967</v>
      </c>
      <c r="BD479" s="7">
        <v>0</v>
      </c>
      <c r="BF479" s="7">
        <v>0</v>
      </c>
      <c r="BH479" s="7">
        <v>0</v>
      </c>
      <c r="BJ479" s="7">
        <v>0</v>
      </c>
      <c r="BL479" s="8">
        <f t="shared" si="104"/>
        <v>9059967</v>
      </c>
      <c r="BN479" s="8">
        <f>'Gov Fd Rv'!AQ479-'Gov Fnd Exp'!BL479</f>
        <v>-2297723</v>
      </c>
      <c r="BP479" s="7">
        <v>6157210</v>
      </c>
      <c r="BR479" s="7">
        <v>0</v>
      </c>
      <c r="BT479" s="7">
        <v>0</v>
      </c>
      <c r="BV479" s="8">
        <f t="shared" si="105"/>
        <v>3859487</v>
      </c>
      <c r="BW479" s="8"/>
      <c r="BX479" s="8">
        <f>BV479-'Gov Fd BS'!AE479</f>
        <v>0</v>
      </c>
      <c r="BY479" s="8"/>
      <c r="CB479" s="101" t="str">
        <f t="shared" si="118"/>
        <v>Russia Local SD</v>
      </c>
      <c r="CC479" s="101" t="b">
        <f t="shared" si="115"/>
        <v>1</v>
      </c>
      <c r="CD479" s="101" t="str">
        <f>'Gov Fd Rv'!A479</f>
        <v>Russia Local SD</v>
      </c>
      <c r="CE479" s="8" t="b">
        <f t="shared" si="114"/>
        <v>1</v>
      </c>
      <c r="CG479" s="8" t="str">
        <f t="shared" si="116"/>
        <v>Shelby</v>
      </c>
      <c r="CH479" s="8" t="b">
        <f t="shared" si="117"/>
        <v>1</v>
      </c>
      <c r="CI479" s="8" t="b">
        <f>C479='Gov Fd Rv'!C479</f>
        <v>1</v>
      </c>
    </row>
    <row r="480" spans="1:87">
      <c r="A480" s="12" t="s">
        <v>632</v>
      </c>
      <c r="B480" s="12"/>
      <c r="C480" s="12" t="s">
        <v>112</v>
      </c>
      <c r="D480" s="12"/>
      <c r="E480" s="12"/>
      <c r="G480" s="7">
        <v>8485047</v>
      </c>
      <c r="I480" s="7">
        <v>2921868</v>
      </c>
      <c r="K480" s="7">
        <v>292730</v>
      </c>
      <c r="M480" s="7">
        <v>596571</v>
      </c>
      <c r="O480" s="7">
        <v>1933517</v>
      </c>
      <c r="Q480" s="7">
        <v>973183</v>
      </c>
      <c r="S480" s="7">
        <v>482888</v>
      </c>
      <c r="U480" s="7">
        <v>39985</v>
      </c>
      <c r="W480" s="7">
        <v>2080897</v>
      </c>
      <c r="Y480" s="7">
        <v>1136360</v>
      </c>
      <c r="AA480" s="7">
        <v>17492</v>
      </c>
      <c r="AC480" s="7">
        <v>1796305</v>
      </c>
      <c r="AE480" s="7">
        <v>897971</v>
      </c>
      <c r="AG480" s="7">
        <v>257721</v>
      </c>
      <c r="AI480" s="7">
        <v>696843</v>
      </c>
      <c r="AK480" s="7">
        <v>127761</v>
      </c>
      <c r="AL480" s="12" t="s">
        <v>632</v>
      </c>
      <c r="AM480" s="12"/>
      <c r="AN480" s="12" t="s">
        <v>112</v>
      </c>
      <c r="AP480" s="7">
        <v>694971</v>
      </c>
      <c r="AR480" s="7">
        <v>2293976</v>
      </c>
      <c r="AT480" s="7">
        <v>0</v>
      </c>
      <c r="AV480" s="7">
        <v>0</v>
      </c>
      <c r="AX480" s="7">
        <f>52751+34800</f>
        <v>87551</v>
      </c>
      <c r="AZ480" s="7">
        <v>0</v>
      </c>
      <c r="BB480" s="8">
        <f t="shared" ref="BB480:BB529" si="119">SUM(G480:AZ480)</f>
        <v>25813637</v>
      </c>
      <c r="BD480" s="7">
        <v>0</v>
      </c>
      <c r="BF480" s="7">
        <v>0</v>
      </c>
      <c r="BH480" s="7">
        <v>0</v>
      </c>
      <c r="BJ480" s="7">
        <v>0</v>
      </c>
      <c r="BL480" s="8">
        <f t="shared" ref="BL480:BL529" si="120">BB480+BD480+BJ480</f>
        <v>25813637</v>
      </c>
      <c r="BN480" s="8">
        <f>'Gov Fd Rv'!AQ480-'Gov Fnd Exp'!BL480</f>
        <v>-1127893</v>
      </c>
      <c r="BP480" s="7">
        <v>2690145</v>
      </c>
      <c r="BR480" s="7">
        <v>6872</v>
      </c>
      <c r="BT480" s="7">
        <v>0</v>
      </c>
      <c r="BV480" s="8">
        <f t="shared" ref="BV480:BV529" si="121">BN480+BP480+BR480+BT480</f>
        <v>1569124</v>
      </c>
      <c r="BW480" s="8"/>
      <c r="BX480" s="8">
        <f>BV480-'Gov Fd BS'!AE480</f>
        <v>0</v>
      </c>
      <c r="BY480" s="8"/>
      <c r="CB480" s="101" t="str">
        <f t="shared" si="118"/>
        <v>Salem City SD</v>
      </c>
      <c r="CC480" s="101" t="b">
        <f t="shared" si="115"/>
        <v>1</v>
      </c>
      <c r="CD480" s="101" t="str">
        <f>'Gov Fd Rv'!A480</f>
        <v>Salem City SD</v>
      </c>
      <c r="CE480" s="8" t="b">
        <f t="shared" si="114"/>
        <v>1</v>
      </c>
      <c r="CG480" s="8" t="str">
        <f t="shared" si="116"/>
        <v>Columbiana</v>
      </c>
      <c r="CH480" s="8" t="b">
        <f t="shared" si="117"/>
        <v>1</v>
      </c>
      <c r="CI480" s="8" t="b">
        <f>C480='Gov Fd Rv'!C480</f>
        <v>1</v>
      </c>
    </row>
    <row r="481" spans="1:87">
      <c r="A481" s="12" t="s">
        <v>296</v>
      </c>
      <c r="B481" s="12"/>
      <c r="C481" s="12" t="s">
        <v>24</v>
      </c>
      <c r="D481" s="12"/>
      <c r="E481" s="12">
        <v>44743</v>
      </c>
      <c r="G481" s="7">
        <v>21139433</v>
      </c>
      <c r="I481" s="7">
        <v>8024527</v>
      </c>
      <c r="K481" s="7">
        <v>1783730</v>
      </c>
      <c r="M481" s="7">
        <v>1207092</v>
      </c>
      <c r="O481" s="7">
        <v>446123</v>
      </c>
      <c r="Q481" s="7">
        <v>1836465</v>
      </c>
      <c r="S481" s="7">
        <v>2206983</v>
      </c>
      <c r="U481" s="7">
        <v>237888</v>
      </c>
      <c r="W481" s="7">
        <v>3117435</v>
      </c>
      <c r="Y481" s="7">
        <v>802536</v>
      </c>
      <c r="AA481" s="7">
        <v>156735</v>
      </c>
      <c r="AC481" s="7">
        <v>3543944</v>
      </c>
      <c r="AE481" s="7">
        <v>1433007</v>
      </c>
      <c r="AG481" s="7">
        <v>1332429</v>
      </c>
      <c r="AI481" s="7">
        <v>0</v>
      </c>
      <c r="AK481" s="7">
        <v>2678475</v>
      </c>
      <c r="AL481" s="12" t="s">
        <v>296</v>
      </c>
      <c r="AM481" s="12"/>
      <c r="AN481" s="12" t="s">
        <v>24</v>
      </c>
      <c r="AP481" s="7">
        <v>1169547</v>
      </c>
      <c r="AR481" s="7">
        <v>412540</v>
      </c>
      <c r="AT481" s="7">
        <v>0</v>
      </c>
      <c r="AV481" s="7">
        <v>192320</v>
      </c>
      <c r="AX481" s="7">
        <v>47986</v>
      </c>
      <c r="AZ481" s="7">
        <v>0</v>
      </c>
      <c r="BB481" s="8">
        <f t="shared" si="119"/>
        <v>51769195</v>
      </c>
      <c r="BD481" s="7">
        <v>271377</v>
      </c>
      <c r="BF481" s="7">
        <v>0</v>
      </c>
      <c r="BH481" s="7">
        <v>0</v>
      </c>
      <c r="BJ481" s="7">
        <v>0</v>
      </c>
      <c r="BL481" s="8">
        <f t="shared" si="120"/>
        <v>52040572</v>
      </c>
      <c r="BN481" s="8">
        <f>'Gov Fd Rv'!AQ481-'Gov Fnd Exp'!BL481</f>
        <v>-997353</v>
      </c>
      <c r="BP481" s="7">
        <v>3090785</v>
      </c>
      <c r="BR481" s="7">
        <v>0</v>
      </c>
      <c r="BT481" s="7">
        <v>0</v>
      </c>
      <c r="BV481" s="8">
        <f t="shared" si="121"/>
        <v>2093432</v>
      </c>
      <c r="BW481" s="8"/>
      <c r="BX481" s="8">
        <f>BV481-'Gov Fd BS'!AE481</f>
        <v>0</v>
      </c>
      <c r="BY481" s="8"/>
      <c r="CB481" s="101" t="str">
        <f t="shared" si="118"/>
        <v>Sandusky City SD</v>
      </c>
      <c r="CC481" s="101" t="b">
        <f t="shared" si="115"/>
        <v>1</v>
      </c>
      <c r="CD481" s="101" t="str">
        <f>'Gov Fd Rv'!A481</f>
        <v>Sandusky City SD</v>
      </c>
      <c r="CE481" s="8" t="b">
        <f t="shared" si="114"/>
        <v>1</v>
      </c>
      <c r="CG481" s="8" t="str">
        <f t="shared" si="116"/>
        <v>Erie</v>
      </c>
      <c r="CH481" s="8" t="b">
        <f t="shared" si="117"/>
        <v>1</v>
      </c>
      <c r="CI481" s="8" t="b">
        <f>C481='Gov Fd Rv'!C481</f>
        <v>1</v>
      </c>
    </row>
    <row r="482" spans="1:87">
      <c r="A482" s="12" t="s">
        <v>520</v>
      </c>
      <c r="B482" s="12"/>
      <c r="C482" s="12" t="s">
        <v>62</v>
      </c>
      <c r="D482" s="12"/>
      <c r="E482" s="12">
        <v>49940</v>
      </c>
      <c r="G482" s="7">
        <v>5531774</v>
      </c>
      <c r="I482" s="7">
        <v>2317370</v>
      </c>
      <c r="K482" s="7">
        <v>383743</v>
      </c>
      <c r="M482" s="7">
        <v>8169</v>
      </c>
      <c r="O482" s="7">
        <v>696319</v>
      </c>
      <c r="Q482" s="7">
        <v>1174423</v>
      </c>
      <c r="S482" s="7">
        <v>188292</v>
      </c>
      <c r="U482" s="7">
        <v>11893</v>
      </c>
      <c r="W482" s="7">
        <v>1369105</v>
      </c>
      <c r="Y482" s="7">
        <v>420518</v>
      </c>
      <c r="AA482" s="7">
        <v>85508</v>
      </c>
      <c r="AC482" s="7">
        <v>1024526</v>
      </c>
      <c r="AE482" s="7">
        <v>905278</v>
      </c>
      <c r="AG482" s="7">
        <v>32549</v>
      </c>
      <c r="AI482" s="7">
        <v>694806</v>
      </c>
      <c r="AK482" s="7">
        <v>54620</v>
      </c>
      <c r="AL482" s="12" t="s">
        <v>520</v>
      </c>
      <c r="AM482" s="12"/>
      <c r="AN482" s="12" t="s">
        <v>62</v>
      </c>
      <c r="AP482" s="7">
        <v>458990</v>
      </c>
      <c r="AR482" s="7">
        <v>29041</v>
      </c>
      <c r="AT482" s="7">
        <v>0</v>
      </c>
      <c r="AV482" s="7">
        <v>390508</v>
      </c>
      <c r="AX482" s="7">
        <v>486397</v>
      </c>
      <c r="AZ482" s="7">
        <v>0</v>
      </c>
      <c r="BB482" s="8">
        <f t="shared" si="119"/>
        <v>16263829</v>
      </c>
      <c r="BD482" s="7">
        <v>3382</v>
      </c>
      <c r="BF482" s="7">
        <v>0</v>
      </c>
      <c r="BH482" s="7">
        <v>0</v>
      </c>
      <c r="BJ482" s="7">
        <v>0</v>
      </c>
      <c r="BL482" s="8">
        <f t="shared" si="120"/>
        <v>16267211</v>
      </c>
      <c r="BN482" s="8">
        <f>'Gov Fd Rv'!AQ482-'Gov Fnd Exp'!BL482</f>
        <v>622946</v>
      </c>
      <c r="BP482" s="7">
        <v>2151095</v>
      </c>
      <c r="BR482" s="7">
        <v>0</v>
      </c>
      <c r="BT482" s="7">
        <v>0</v>
      </c>
      <c r="BV482" s="8">
        <f t="shared" si="121"/>
        <v>2774041</v>
      </c>
      <c r="BW482" s="8"/>
      <c r="BX482" s="8">
        <f>BV482-'Gov Fd BS'!AE482</f>
        <v>0</v>
      </c>
      <c r="BY482" s="8"/>
      <c r="CB482" s="101" t="str">
        <f t="shared" si="118"/>
        <v>Sandy Valley Local SD</v>
      </c>
      <c r="CC482" s="101" t="b">
        <f t="shared" si="115"/>
        <v>1</v>
      </c>
      <c r="CD482" s="101" t="str">
        <f>'Gov Fd Rv'!A482</f>
        <v>Sandy Valley Local SD</v>
      </c>
      <c r="CE482" s="8" t="b">
        <f t="shared" si="114"/>
        <v>1</v>
      </c>
      <c r="CG482" s="8" t="str">
        <f t="shared" si="116"/>
        <v>Stark</v>
      </c>
      <c r="CH482" s="8" t="b">
        <f t="shared" si="117"/>
        <v>1</v>
      </c>
      <c r="CI482" s="8" t="b">
        <f>C482='Gov Fd Rv'!C482</f>
        <v>1</v>
      </c>
    </row>
    <row r="483" spans="1:87">
      <c r="A483" s="12" t="s">
        <v>471</v>
      </c>
      <c r="B483" s="12"/>
      <c r="C483" s="12" t="s">
        <v>55</v>
      </c>
      <c r="D483" s="12"/>
      <c r="E483" s="12">
        <v>49130</v>
      </c>
      <c r="G483" s="7">
        <v>6140042</v>
      </c>
      <c r="I483" s="7">
        <v>2273422</v>
      </c>
      <c r="K483" s="7">
        <v>0</v>
      </c>
      <c r="M483" s="7">
        <v>0</v>
      </c>
      <c r="O483" s="7">
        <v>9746</v>
      </c>
      <c r="Q483" s="7">
        <v>710852</v>
      </c>
      <c r="S483" s="7">
        <v>985327</v>
      </c>
      <c r="U483" s="7">
        <v>20272</v>
      </c>
      <c r="W483" s="7">
        <v>1910707</v>
      </c>
      <c r="Y483" s="7">
        <v>340566</v>
      </c>
      <c r="AA483" s="7">
        <v>0</v>
      </c>
      <c r="AC483" s="7">
        <v>1690461</v>
      </c>
      <c r="AE483" s="7">
        <v>1158519</v>
      </c>
      <c r="AG483" s="7">
        <v>114004</v>
      </c>
      <c r="AI483" s="7">
        <v>0</v>
      </c>
      <c r="AK483" s="7">
        <v>593963</v>
      </c>
      <c r="AL483" s="12" t="s">
        <v>471</v>
      </c>
      <c r="AM483" s="12"/>
      <c r="AN483" s="12" t="s">
        <v>55</v>
      </c>
      <c r="AP483" s="7">
        <v>350760</v>
      </c>
      <c r="AR483" s="7">
        <v>350941</v>
      </c>
      <c r="AT483" s="7">
        <v>0</v>
      </c>
      <c r="AV483" s="7">
        <v>110717</v>
      </c>
      <c r="AX483" s="7">
        <v>50692</v>
      </c>
      <c r="AZ483" s="7">
        <v>52800</v>
      </c>
      <c r="BB483" s="8">
        <f t="shared" si="119"/>
        <v>16863791</v>
      </c>
      <c r="BD483" s="7">
        <v>3657</v>
      </c>
      <c r="BF483" s="7">
        <v>0</v>
      </c>
      <c r="BH483" s="7">
        <v>0</v>
      </c>
      <c r="BJ483" s="7">
        <v>0</v>
      </c>
      <c r="BL483" s="8">
        <f t="shared" si="120"/>
        <v>16867448</v>
      </c>
      <c r="BN483" s="8">
        <f>'Gov Fd Rv'!AQ483-'Gov Fnd Exp'!BL483</f>
        <v>479092</v>
      </c>
      <c r="BP483" s="7">
        <v>7166049</v>
      </c>
      <c r="BR483" s="7">
        <v>0</v>
      </c>
      <c r="BT483" s="7">
        <v>0</v>
      </c>
      <c r="BV483" s="8">
        <f t="shared" si="121"/>
        <v>7645141</v>
      </c>
      <c r="BW483" s="8"/>
      <c r="BX483" s="8">
        <f>BV483-'Gov Fd BS'!AE483</f>
        <v>0</v>
      </c>
      <c r="BY483" s="8"/>
      <c r="CB483" s="101" t="str">
        <f t="shared" si="118"/>
        <v>Scioto Valley Local SD</v>
      </c>
      <c r="CC483" s="101" t="b">
        <f t="shared" si="115"/>
        <v>1</v>
      </c>
      <c r="CD483" s="101" t="str">
        <f>'Gov Fd Rv'!A483</f>
        <v>Scioto Valley Local SD</v>
      </c>
      <c r="CE483" s="8" t="b">
        <f t="shared" si="114"/>
        <v>1</v>
      </c>
      <c r="CG483" s="8" t="str">
        <f t="shared" si="116"/>
        <v>Pike</v>
      </c>
      <c r="CH483" s="8" t="b">
        <f t="shared" si="117"/>
        <v>1</v>
      </c>
      <c r="CI483" s="8" t="b">
        <f>C483='Gov Fd Rv'!C483</f>
        <v>1</v>
      </c>
    </row>
    <row r="484" spans="1:87">
      <c r="A484" s="12" t="s">
        <v>418</v>
      </c>
      <c r="B484" s="12"/>
      <c r="C484" s="12" t="s">
        <v>45</v>
      </c>
      <c r="D484" s="12"/>
      <c r="E484" s="12">
        <v>48355</v>
      </c>
      <c r="G484" s="7">
        <v>2645162</v>
      </c>
      <c r="I484" s="7">
        <v>1761697</v>
      </c>
      <c r="K484" s="7">
        <v>6576</v>
      </c>
      <c r="M484" s="7">
        <v>0</v>
      </c>
      <c r="O484" s="7">
        <v>0</v>
      </c>
      <c r="Q484" s="7">
        <v>197469</v>
      </c>
      <c r="S484" s="7">
        <v>294402</v>
      </c>
      <c r="U484" s="7">
        <v>12509</v>
      </c>
      <c r="W484" s="7">
        <v>749180</v>
      </c>
      <c r="Y484" s="7">
        <v>286176</v>
      </c>
      <c r="AA484" s="7">
        <v>0</v>
      </c>
      <c r="AC484" s="7">
        <v>769272</v>
      </c>
      <c r="AE484" s="7">
        <v>134414</v>
      </c>
      <c r="AG484" s="7">
        <v>837</v>
      </c>
      <c r="AI484" s="7">
        <v>258933</v>
      </c>
      <c r="AK484" s="7">
        <v>0</v>
      </c>
      <c r="AL484" s="12" t="s">
        <v>418</v>
      </c>
      <c r="AM484" s="12"/>
      <c r="AN484" s="12" t="s">
        <v>45</v>
      </c>
      <c r="AP484" s="7">
        <v>240752</v>
      </c>
      <c r="AR484" s="7">
        <v>133442</v>
      </c>
      <c r="AT484" s="7">
        <v>0</v>
      </c>
      <c r="AV484" s="7">
        <v>95000</v>
      </c>
      <c r="AX484" s="7">
        <v>37072</v>
      </c>
      <c r="AZ484" s="7">
        <v>0</v>
      </c>
      <c r="BB484" s="8">
        <f t="shared" si="119"/>
        <v>7622893</v>
      </c>
      <c r="BD484" s="7">
        <v>0</v>
      </c>
      <c r="BF484" s="7">
        <v>0</v>
      </c>
      <c r="BH484" s="7">
        <v>0</v>
      </c>
      <c r="BJ484" s="7">
        <v>0</v>
      </c>
      <c r="BL484" s="8">
        <f t="shared" si="120"/>
        <v>7622893</v>
      </c>
      <c r="BN484" s="8">
        <f>'Gov Fd Rv'!AQ484-'Gov Fnd Exp'!BL484</f>
        <v>-85429</v>
      </c>
      <c r="BP484" s="7">
        <v>887242</v>
      </c>
      <c r="BR484" s="7">
        <v>0</v>
      </c>
      <c r="BT484" s="7">
        <v>0</v>
      </c>
      <c r="BV484" s="8">
        <f t="shared" si="121"/>
        <v>801813</v>
      </c>
      <c r="BW484" s="8"/>
      <c r="BX484" s="8">
        <f>BV484-'Gov Fd BS'!AE484</f>
        <v>0</v>
      </c>
      <c r="BY484" s="8"/>
      <c r="CB484" s="101" t="str">
        <f t="shared" si="118"/>
        <v>Sebring Local SD</v>
      </c>
      <c r="CC484" s="101" t="b">
        <f t="shared" si="115"/>
        <v>1</v>
      </c>
      <c r="CD484" s="101" t="str">
        <f>'Gov Fd Rv'!A484</f>
        <v>Sebring Local SD</v>
      </c>
      <c r="CE484" s="8" t="b">
        <f t="shared" si="114"/>
        <v>1</v>
      </c>
      <c r="CG484" s="8" t="str">
        <f t="shared" si="116"/>
        <v>Mahoning</v>
      </c>
      <c r="CH484" s="8" t="b">
        <f t="shared" si="117"/>
        <v>1</v>
      </c>
      <c r="CI484" s="8" t="b">
        <f>C484='Gov Fd Rv'!C484</f>
        <v>1</v>
      </c>
    </row>
    <row r="485" spans="1:87">
      <c r="A485" s="12" t="s">
        <v>502</v>
      </c>
      <c r="B485" s="12"/>
      <c r="C485" s="12" t="s">
        <v>60</v>
      </c>
      <c r="D485" s="12"/>
      <c r="E485" s="12">
        <v>49684</v>
      </c>
      <c r="G485" s="7">
        <v>4604380</v>
      </c>
      <c r="I485" s="7">
        <v>1241087</v>
      </c>
      <c r="K485" s="7">
        <v>217377</v>
      </c>
      <c r="M485" s="7">
        <v>0</v>
      </c>
      <c r="O485" s="7">
        <v>0</v>
      </c>
      <c r="Q485" s="7">
        <v>181205</v>
      </c>
      <c r="S485" s="7">
        <v>387255</v>
      </c>
      <c r="U485" s="7">
        <v>50530</v>
      </c>
      <c r="W485" s="7">
        <v>619529</v>
      </c>
      <c r="Y485" s="7">
        <v>288796</v>
      </c>
      <c r="AA485" s="7">
        <v>22629</v>
      </c>
      <c r="AC485" s="7">
        <v>713196</v>
      </c>
      <c r="AE485" s="7">
        <v>618236</v>
      </c>
      <c r="AG485" s="7">
        <v>0</v>
      </c>
      <c r="AI485" s="7">
        <v>465526</v>
      </c>
      <c r="AK485" s="7">
        <v>3490</v>
      </c>
      <c r="AL485" s="12" t="s">
        <v>502</v>
      </c>
      <c r="AM485" s="12"/>
      <c r="AN485" s="12" t="s">
        <v>60</v>
      </c>
      <c r="AP485" s="7">
        <v>344900</v>
      </c>
      <c r="AR485" s="7">
        <v>107597</v>
      </c>
      <c r="AT485" s="7">
        <v>0</v>
      </c>
      <c r="AV485" s="7">
        <v>362316</v>
      </c>
      <c r="AX485" s="7">
        <v>477415</v>
      </c>
      <c r="AZ485" s="7">
        <v>0</v>
      </c>
      <c r="BB485" s="8">
        <f t="shared" si="119"/>
        <v>10705464</v>
      </c>
      <c r="BD485" s="7">
        <v>172500</v>
      </c>
      <c r="BF485" s="7">
        <v>0</v>
      </c>
      <c r="BH485" s="7">
        <v>0</v>
      </c>
      <c r="BJ485" s="7">
        <v>0</v>
      </c>
      <c r="BL485" s="8">
        <f t="shared" si="120"/>
        <v>10877964</v>
      </c>
      <c r="BN485" s="8">
        <f>'Gov Fd Rv'!AQ485-'Gov Fnd Exp'!BL485</f>
        <v>-224635</v>
      </c>
      <c r="BP485" s="7">
        <v>3400044</v>
      </c>
      <c r="BR485" s="7">
        <v>0</v>
      </c>
      <c r="BT485" s="7">
        <v>0</v>
      </c>
      <c r="BV485" s="8">
        <f t="shared" si="121"/>
        <v>3175409</v>
      </c>
      <c r="BW485" s="8"/>
      <c r="BX485" s="8">
        <f>BV485-'Gov Fd BS'!AE485</f>
        <v>0</v>
      </c>
      <c r="BY485" s="8"/>
      <c r="CB485" s="101" t="str">
        <f t="shared" si="118"/>
        <v>Seneca East Local SD</v>
      </c>
      <c r="CC485" s="101" t="b">
        <f t="shared" si="115"/>
        <v>1</v>
      </c>
      <c r="CD485" s="101" t="str">
        <f>'Gov Fd Rv'!A485</f>
        <v>Seneca East Local SD</v>
      </c>
      <c r="CE485" s="8" t="b">
        <f t="shared" si="114"/>
        <v>1</v>
      </c>
      <c r="CG485" s="8" t="str">
        <f t="shared" si="116"/>
        <v>Seneca</v>
      </c>
      <c r="CH485" s="8" t="b">
        <f t="shared" si="117"/>
        <v>1</v>
      </c>
      <c r="CI485" s="8" t="b">
        <f>C485='Gov Fd Rv'!C485</f>
        <v>1</v>
      </c>
    </row>
    <row r="486" spans="1:87">
      <c r="A486" s="12" t="s">
        <v>218</v>
      </c>
      <c r="B486" s="12"/>
      <c r="C486" s="12" t="s">
        <v>15</v>
      </c>
      <c r="D486" s="12"/>
      <c r="E486" s="12">
        <v>46003</v>
      </c>
      <c r="G486" s="7">
        <v>4017956</v>
      </c>
      <c r="I486" s="7">
        <v>801202</v>
      </c>
      <c r="K486" s="7">
        <v>21703</v>
      </c>
      <c r="M486" s="7">
        <v>0</v>
      </c>
      <c r="O486" s="7">
        <v>0</v>
      </c>
      <c r="Q486" s="7">
        <v>211536</v>
      </c>
      <c r="S486" s="7">
        <v>149821</v>
      </c>
      <c r="U486" s="7">
        <v>21087</v>
      </c>
      <c r="W486" s="7">
        <v>676996</v>
      </c>
      <c r="Y486" s="7">
        <v>286130</v>
      </c>
      <c r="AA486" s="7">
        <v>0</v>
      </c>
      <c r="AC486" s="7">
        <v>821471</v>
      </c>
      <c r="AE486" s="7">
        <v>249029</v>
      </c>
      <c r="AG486" s="7">
        <v>0</v>
      </c>
      <c r="AI486" s="7">
        <v>142039</v>
      </c>
      <c r="AK486" s="7">
        <v>0</v>
      </c>
      <c r="AL486" s="12" t="s">
        <v>218</v>
      </c>
      <c r="AM486" s="12"/>
      <c r="AN486" s="12" t="s">
        <v>15</v>
      </c>
      <c r="AP486" s="7">
        <v>209476</v>
      </c>
      <c r="AR486" s="7">
        <v>0</v>
      </c>
      <c r="AT486" s="7">
        <v>0</v>
      </c>
      <c r="AV486" s="7">
        <v>10781</v>
      </c>
      <c r="AX486" s="7">
        <v>2401</v>
      </c>
      <c r="AZ486" s="7">
        <v>0</v>
      </c>
      <c r="BB486" s="8">
        <f t="shared" si="119"/>
        <v>7621628</v>
      </c>
      <c r="BD486" s="7">
        <v>13432</v>
      </c>
      <c r="BF486" s="7">
        <v>0</v>
      </c>
      <c r="BH486" s="7">
        <v>0</v>
      </c>
      <c r="BJ486" s="7">
        <v>0</v>
      </c>
      <c r="BL486" s="8">
        <f t="shared" si="120"/>
        <v>7635060</v>
      </c>
      <c r="BN486" s="8">
        <f>'Gov Fd Rv'!AQ486-'Gov Fnd Exp'!BL486</f>
        <v>152950</v>
      </c>
      <c r="BP486" s="7">
        <v>2143928</v>
      </c>
      <c r="BR486" s="7">
        <v>0</v>
      </c>
      <c r="BT486" s="7">
        <v>0</v>
      </c>
      <c r="BV486" s="8">
        <f t="shared" si="121"/>
        <v>2296878</v>
      </c>
      <c r="BW486" s="8"/>
      <c r="BX486" s="8">
        <f>BV486-'Gov Fd BS'!AE486</f>
        <v>0</v>
      </c>
      <c r="BY486" s="8"/>
      <c r="CB486" s="101" t="str">
        <f t="shared" si="118"/>
        <v>Shadyside Local SD</v>
      </c>
      <c r="CC486" s="101" t="b">
        <f t="shared" si="115"/>
        <v>1</v>
      </c>
      <c r="CD486" s="101" t="str">
        <f>'Gov Fd Rv'!A486</f>
        <v>Shadyside Local SD</v>
      </c>
      <c r="CE486" s="8" t="b">
        <f t="shared" si="114"/>
        <v>1</v>
      </c>
      <c r="CG486" s="8" t="str">
        <f t="shared" si="116"/>
        <v>Belmont</v>
      </c>
      <c r="CH486" s="8" t="b">
        <f t="shared" si="117"/>
        <v>1</v>
      </c>
      <c r="CI486" s="8" t="b">
        <f>C486='Gov Fd Rv'!C486</f>
        <v>1</v>
      </c>
    </row>
    <row r="487" spans="1:87">
      <c r="A487" s="12" t="s">
        <v>755</v>
      </c>
      <c r="B487" s="12"/>
      <c r="C487" s="12" t="s">
        <v>20</v>
      </c>
      <c r="D487" s="12"/>
      <c r="E487" s="12">
        <v>44750</v>
      </c>
      <c r="G487" s="7">
        <v>36036746</v>
      </c>
      <c r="I487" s="7">
        <v>12238846</v>
      </c>
      <c r="K487" s="7">
        <v>256888</v>
      </c>
      <c r="M487" s="7">
        <v>0</v>
      </c>
      <c r="O487" s="7">
        <v>135860</v>
      </c>
      <c r="Q487" s="7">
        <v>5662023</v>
      </c>
      <c r="S487" s="7">
        <v>7429728</v>
      </c>
      <c r="U487" s="7">
        <v>17368</v>
      </c>
      <c r="W487" s="7">
        <v>6095570</v>
      </c>
      <c r="Y487" s="7">
        <v>2682520</v>
      </c>
      <c r="AA487" s="7">
        <v>927267</v>
      </c>
      <c r="AC487" s="7">
        <v>13578083</v>
      </c>
      <c r="AE487" s="7">
        <v>4366501</v>
      </c>
      <c r="AG487" s="7">
        <v>2212818</v>
      </c>
      <c r="AI487" s="7">
        <v>1970089</v>
      </c>
      <c r="AK487" s="7">
        <v>1274679</v>
      </c>
      <c r="AL487" s="12" t="s">
        <v>755</v>
      </c>
      <c r="AM487" s="12"/>
      <c r="AN487" s="12" t="s">
        <v>20</v>
      </c>
      <c r="AP487" s="7">
        <v>1263758</v>
      </c>
      <c r="AR487" s="7">
        <v>0</v>
      </c>
      <c r="AT487" s="7">
        <v>0</v>
      </c>
      <c r="AV487" s="7">
        <v>1884995</v>
      </c>
      <c r="AX487" s="7">
        <v>1270687</v>
      </c>
      <c r="AZ487" s="7">
        <v>0</v>
      </c>
      <c r="BB487" s="8">
        <f t="shared" si="119"/>
        <v>99304426</v>
      </c>
      <c r="BD487" s="7">
        <v>400000</v>
      </c>
      <c r="BF487" s="7">
        <v>0</v>
      </c>
      <c r="BH487" s="7">
        <v>0</v>
      </c>
      <c r="BJ487" s="7">
        <v>0</v>
      </c>
      <c r="BL487" s="8">
        <f t="shared" si="120"/>
        <v>99704426</v>
      </c>
      <c r="BN487" s="8">
        <f>'Gov Fd Rv'!AQ487-'Gov Fnd Exp'!BL487</f>
        <v>-135778</v>
      </c>
      <c r="BP487" s="7">
        <v>27716380</v>
      </c>
      <c r="BR487" s="7">
        <v>0</v>
      </c>
      <c r="BT487" s="7">
        <v>0</v>
      </c>
      <c r="BV487" s="8">
        <f>BN487+BP487+BR487+BT487</f>
        <v>27580602</v>
      </c>
      <c r="BW487" s="8"/>
      <c r="BX487" s="8">
        <f>BV487-'Gov Fd BS'!AE487</f>
        <v>0</v>
      </c>
      <c r="BY487" s="8"/>
      <c r="BZ487" s="14"/>
      <c r="CB487" s="101" t="str">
        <f t="shared" si="118"/>
        <v xml:space="preserve">Shaker Heights City SD </v>
      </c>
      <c r="CC487" s="101" t="b">
        <f t="shared" si="115"/>
        <v>1</v>
      </c>
      <c r="CD487" s="101" t="str">
        <f>'Gov Fd Rv'!A487</f>
        <v xml:space="preserve">Shaker Heights City SD </v>
      </c>
      <c r="CE487" s="8" t="b">
        <f t="shared" si="114"/>
        <v>1</v>
      </c>
      <c r="CG487" s="8" t="str">
        <f t="shared" si="116"/>
        <v>Cuyahoga</v>
      </c>
      <c r="CH487" s="8" t="b">
        <f t="shared" si="117"/>
        <v>1</v>
      </c>
      <c r="CI487" s="8" t="b">
        <f>C487='Gov Fd Rv'!C487</f>
        <v>1</v>
      </c>
    </row>
    <row r="488" spans="1:87" hidden="1">
      <c r="A488" s="12" t="s">
        <v>738</v>
      </c>
      <c r="B488" s="12"/>
      <c r="C488" s="12" t="s">
        <v>10</v>
      </c>
      <c r="D488" s="12"/>
      <c r="E488" s="12"/>
      <c r="AL488" s="12" t="s">
        <v>738</v>
      </c>
      <c r="AM488" s="12"/>
      <c r="AN488" s="12" t="s">
        <v>10</v>
      </c>
      <c r="AT488" s="7">
        <v>0</v>
      </c>
      <c r="BB488" s="8">
        <f t="shared" si="119"/>
        <v>0</v>
      </c>
      <c r="BL488" s="8">
        <f t="shared" si="120"/>
        <v>0</v>
      </c>
      <c r="BN488" s="8">
        <f>'Gov Fd Rv'!AQ488-'Gov Fnd Exp'!BL488</f>
        <v>0</v>
      </c>
      <c r="BV488" s="8">
        <f>BN488+BP488+BR488+BT488</f>
        <v>0</v>
      </c>
      <c r="BW488" s="8"/>
      <c r="BX488" s="8">
        <f>BV488-'Gov Fd BS'!AE488</f>
        <v>0</v>
      </c>
      <c r="BY488" s="8"/>
      <c r="BZ488" s="7" t="s">
        <v>973</v>
      </c>
      <c r="CB488" s="101" t="str">
        <f t="shared" si="118"/>
        <v>Shawnee Local SD (CASH)</v>
      </c>
      <c r="CC488" s="101" t="b">
        <f t="shared" si="115"/>
        <v>1</v>
      </c>
      <c r="CD488" s="101" t="str">
        <f>'Gov Fd Rv'!A488</f>
        <v>Shawnee Local SD (CASH)</v>
      </c>
      <c r="CE488" s="8" t="b">
        <f t="shared" si="114"/>
        <v>1</v>
      </c>
      <c r="CG488" s="8" t="str">
        <f t="shared" si="116"/>
        <v>Allen</v>
      </c>
      <c r="CH488" s="8" t="b">
        <f t="shared" si="117"/>
        <v>1</v>
      </c>
      <c r="CI488" s="8" t="b">
        <f>C488='Gov Fd Rv'!C488</f>
        <v>1</v>
      </c>
    </row>
    <row r="489" spans="1:87">
      <c r="A489" s="12" t="s">
        <v>899</v>
      </c>
      <c r="B489" s="12"/>
      <c r="C489" s="12" t="s">
        <v>44</v>
      </c>
      <c r="D489" s="12"/>
      <c r="E489" s="12">
        <v>44768</v>
      </c>
      <c r="G489" s="7">
        <v>9021842</v>
      </c>
      <c r="I489" s="7">
        <v>2836534</v>
      </c>
      <c r="K489" s="7">
        <v>164802</v>
      </c>
      <c r="M489" s="7">
        <v>0</v>
      </c>
      <c r="O489" s="7">
        <v>19421</v>
      </c>
      <c r="Q489" s="7">
        <v>1194394</v>
      </c>
      <c r="S489" s="7">
        <v>983351</v>
      </c>
      <c r="U489" s="7">
        <v>33959</v>
      </c>
      <c r="W489" s="7">
        <v>1460527</v>
      </c>
      <c r="Y489" s="7">
        <v>585605</v>
      </c>
      <c r="AA489" s="7">
        <v>261937</v>
      </c>
      <c r="AC489" s="7">
        <v>1677152</v>
      </c>
      <c r="AE489" s="7">
        <v>975928</v>
      </c>
      <c r="AG489" s="7">
        <v>274104</v>
      </c>
      <c r="AI489" s="7">
        <v>679779</v>
      </c>
      <c r="AK489" s="7">
        <v>29251</v>
      </c>
      <c r="AL489" s="12" t="s">
        <v>899</v>
      </c>
      <c r="AM489" s="12"/>
      <c r="AN489" s="12" t="s">
        <v>44</v>
      </c>
      <c r="AP489" s="7">
        <v>463054</v>
      </c>
      <c r="AR489" s="7">
        <v>1012839</v>
      </c>
      <c r="AT489" s="7">
        <v>0</v>
      </c>
      <c r="AV489" s="7">
        <v>126902</v>
      </c>
      <c r="AX489" s="7">
        <v>24336</v>
      </c>
      <c r="AZ489" s="7">
        <v>0</v>
      </c>
      <c r="BB489" s="8">
        <f t="shared" si="119"/>
        <v>21825717</v>
      </c>
      <c r="BD489" s="7">
        <v>278911</v>
      </c>
      <c r="BF489" s="7">
        <v>0</v>
      </c>
      <c r="BH489" s="7">
        <v>0</v>
      </c>
      <c r="BJ489" s="7">
        <v>0</v>
      </c>
      <c r="BL489" s="8">
        <f t="shared" si="120"/>
        <v>22104628</v>
      </c>
      <c r="BN489" s="8">
        <f>'Gov Fd Rv'!AQ489-'Gov Fnd Exp'!BL489</f>
        <v>-301825</v>
      </c>
      <c r="BP489" s="7">
        <v>10932690</v>
      </c>
      <c r="BR489" s="7">
        <v>0</v>
      </c>
      <c r="BT489" s="7">
        <v>0</v>
      </c>
      <c r="BV489" s="8">
        <f t="shared" si="121"/>
        <v>10630865</v>
      </c>
      <c r="BW489" s="8"/>
      <c r="BX489" s="8">
        <f>BV489-'Gov Fd BS'!AE489</f>
        <v>0</v>
      </c>
      <c r="BY489" s="8"/>
      <c r="CB489" s="101" t="str">
        <f t="shared" si="118"/>
        <v>Sheffield-Sheffield Lake City SD</v>
      </c>
      <c r="CC489" s="101" t="b">
        <f t="shared" si="115"/>
        <v>1</v>
      </c>
      <c r="CD489" s="101" t="str">
        <f>'Gov Fd Rv'!A489</f>
        <v>Sheffield-Sheffield Lake City SD</v>
      </c>
      <c r="CE489" s="8" t="b">
        <f t="shared" si="114"/>
        <v>1</v>
      </c>
      <c r="CG489" s="8" t="str">
        <f t="shared" si="116"/>
        <v>Lorain</v>
      </c>
      <c r="CH489" s="8" t="b">
        <f t="shared" si="117"/>
        <v>1</v>
      </c>
      <c r="CI489" s="8" t="b">
        <f>C489='Gov Fd Rv'!C489</f>
        <v>1</v>
      </c>
    </row>
    <row r="490" spans="1:87">
      <c r="A490" s="12" t="s">
        <v>487</v>
      </c>
      <c r="B490" s="12"/>
      <c r="C490" s="12" t="s">
        <v>110</v>
      </c>
      <c r="D490" s="12"/>
      <c r="E490" s="12">
        <v>44776</v>
      </c>
      <c r="G490" s="7">
        <v>8421682</v>
      </c>
      <c r="I490" s="7">
        <v>2364979</v>
      </c>
      <c r="K490" s="7">
        <v>217923</v>
      </c>
      <c r="M490" s="7">
        <v>0</v>
      </c>
      <c r="O490" s="7">
        <v>20876</v>
      </c>
      <c r="Q490" s="7">
        <v>831237</v>
      </c>
      <c r="S490" s="7">
        <v>1669363</v>
      </c>
      <c r="U490" s="7">
        <v>60192</v>
      </c>
      <c r="W490" s="7">
        <v>1378428</v>
      </c>
      <c r="Y490" s="7">
        <v>671335</v>
      </c>
      <c r="AA490" s="7">
        <v>0</v>
      </c>
      <c r="AC490" s="7">
        <v>1701311</v>
      </c>
      <c r="AE490" s="7">
        <v>988566</v>
      </c>
      <c r="AG490" s="7">
        <v>102310</v>
      </c>
      <c r="AI490" s="7">
        <v>1053337</v>
      </c>
      <c r="AK490" s="7">
        <v>130848</v>
      </c>
      <c r="AL490" s="12" t="s">
        <v>487</v>
      </c>
      <c r="AM490" s="12"/>
      <c r="AN490" s="12" t="s">
        <v>110</v>
      </c>
      <c r="AP490" s="7">
        <v>606156</v>
      </c>
      <c r="AR490" s="7">
        <v>1168672</v>
      </c>
      <c r="AT490" s="7">
        <v>0</v>
      </c>
      <c r="AV490" s="7">
        <v>149283</v>
      </c>
      <c r="AX490" s="7">
        <f>494993+369421</f>
        <v>864414</v>
      </c>
      <c r="AZ490" s="7">
        <v>0</v>
      </c>
      <c r="BB490" s="8">
        <f t="shared" si="119"/>
        <v>22400912</v>
      </c>
      <c r="BD490" s="7">
        <v>0</v>
      </c>
      <c r="BF490" s="7">
        <v>0</v>
      </c>
      <c r="BH490" s="7">
        <v>0</v>
      </c>
      <c r="BJ490" s="7">
        <v>0</v>
      </c>
      <c r="BL490" s="8">
        <f t="shared" si="120"/>
        <v>22400912</v>
      </c>
      <c r="BN490" s="8">
        <f>'Gov Fd Rv'!AQ490-'Gov Fnd Exp'!BL490</f>
        <v>19173521</v>
      </c>
      <c r="BP490" s="7">
        <v>5107481</v>
      </c>
      <c r="BR490" s="7">
        <v>0</v>
      </c>
      <c r="BT490" s="7">
        <v>0</v>
      </c>
      <c r="BV490" s="8">
        <f t="shared" si="121"/>
        <v>24281002</v>
      </c>
      <c r="BW490" s="8"/>
      <c r="BX490" s="8">
        <f>BV490-'Gov Fd BS'!AE490</f>
        <v>0</v>
      </c>
      <c r="BY490" s="8"/>
      <c r="CB490" s="101" t="str">
        <f t="shared" si="118"/>
        <v>Shelby City SD</v>
      </c>
      <c r="CC490" s="101" t="b">
        <f t="shared" si="115"/>
        <v>1</v>
      </c>
      <c r="CD490" s="101" t="str">
        <f>'Gov Fd Rv'!A490</f>
        <v>Shelby City SD</v>
      </c>
      <c r="CE490" s="8" t="b">
        <f t="shared" si="114"/>
        <v>1</v>
      </c>
      <c r="CG490" s="8" t="str">
        <f t="shared" si="116"/>
        <v>Richland</v>
      </c>
      <c r="CH490" s="8" t="b">
        <f t="shared" si="117"/>
        <v>1</v>
      </c>
      <c r="CI490" s="8" t="b">
        <f>C490='Gov Fd Rv'!C490</f>
        <v>1</v>
      </c>
    </row>
    <row r="491" spans="1:87" hidden="1">
      <c r="A491" s="12" t="s">
        <v>985</v>
      </c>
      <c r="B491" s="12"/>
      <c r="C491" s="12" t="s">
        <v>61</v>
      </c>
      <c r="D491" s="12"/>
      <c r="E491" s="12">
        <v>44784</v>
      </c>
      <c r="AL491" s="12" t="s">
        <v>985</v>
      </c>
      <c r="AM491" s="12"/>
      <c r="AN491" s="12" t="s">
        <v>61</v>
      </c>
      <c r="AT491" s="7">
        <v>0</v>
      </c>
      <c r="BB491" s="8">
        <f t="shared" si="119"/>
        <v>0</v>
      </c>
      <c r="BL491" s="8">
        <f t="shared" si="120"/>
        <v>0</v>
      </c>
      <c r="BN491" s="8">
        <f>'Gov Fd Rv'!AQ491-'Gov Fnd Exp'!BL491</f>
        <v>0</v>
      </c>
      <c r="BV491" s="8">
        <f t="shared" si="121"/>
        <v>0</v>
      </c>
      <c r="BW491" s="8"/>
      <c r="BX491" s="8">
        <f>BV491-'Gov Fd BS'!AE491</f>
        <v>0</v>
      </c>
      <c r="BY491" s="8"/>
      <c r="BZ491" s="7" t="s">
        <v>974</v>
      </c>
      <c r="CB491" s="101" t="str">
        <f t="shared" si="118"/>
        <v>Sidney City SD (CASH)</v>
      </c>
      <c r="CC491" s="101" t="b">
        <f t="shared" si="115"/>
        <v>1</v>
      </c>
      <c r="CD491" s="101" t="str">
        <f>'Gov Fd Rv'!A491</f>
        <v>Sidney City SD (CASH)</v>
      </c>
      <c r="CE491" s="8" t="b">
        <f t="shared" si="114"/>
        <v>1</v>
      </c>
      <c r="CG491" s="8" t="str">
        <f t="shared" si="116"/>
        <v>Shelby</v>
      </c>
      <c r="CH491" s="8" t="b">
        <f t="shared" si="117"/>
        <v>1</v>
      </c>
      <c r="CI491" s="8" t="b">
        <f>C491='Gov Fd Rv'!C491</f>
        <v>1</v>
      </c>
    </row>
    <row r="492" spans="1:87">
      <c r="A492" s="12" t="s">
        <v>283</v>
      </c>
      <c r="B492" s="12"/>
      <c r="C492" s="12" t="s">
        <v>20</v>
      </c>
      <c r="D492" s="12"/>
      <c r="E492" s="12">
        <v>46607</v>
      </c>
      <c r="G492" s="7">
        <v>32987431</v>
      </c>
      <c r="I492" s="7">
        <v>7696439</v>
      </c>
      <c r="K492" s="7">
        <v>614864</v>
      </c>
      <c r="M492" s="7">
        <v>161669</v>
      </c>
      <c r="O492" s="7">
        <v>837136</v>
      </c>
      <c r="Q492" s="7">
        <v>4787029</v>
      </c>
      <c r="S492" s="7">
        <v>1793894</v>
      </c>
      <c r="U492" s="7">
        <v>33207</v>
      </c>
      <c r="W492" s="7">
        <v>3317206</v>
      </c>
      <c r="Y492" s="7">
        <v>1785063</v>
      </c>
      <c r="AA492" s="7">
        <v>1036528</v>
      </c>
      <c r="AC492" s="7">
        <v>6605237</v>
      </c>
      <c r="AE492" s="7">
        <v>3582488</v>
      </c>
      <c r="AG492" s="7">
        <v>943559</v>
      </c>
      <c r="AI492" s="7">
        <v>1798536</v>
      </c>
      <c r="AK492" s="7">
        <v>384043</v>
      </c>
      <c r="AL492" s="12" t="s">
        <v>283</v>
      </c>
      <c r="AM492" s="12"/>
      <c r="AN492" s="12" t="s">
        <v>20</v>
      </c>
      <c r="AP492" s="7">
        <v>1669515</v>
      </c>
      <c r="AR492" s="7">
        <f>149781+1629244</f>
        <v>1779025</v>
      </c>
      <c r="AT492" s="7">
        <v>0</v>
      </c>
      <c r="AV492" s="7">
        <v>2193079</v>
      </c>
      <c r="AX492" s="7">
        <v>825522</v>
      </c>
      <c r="AZ492" s="7">
        <v>0</v>
      </c>
      <c r="BB492" s="8">
        <f t="shared" si="119"/>
        <v>74831470</v>
      </c>
      <c r="BD492" s="7">
        <v>90000</v>
      </c>
      <c r="BF492" s="7">
        <v>0</v>
      </c>
      <c r="BH492" s="7">
        <v>0</v>
      </c>
      <c r="BJ492" s="7">
        <v>0</v>
      </c>
      <c r="BL492" s="8">
        <f t="shared" si="120"/>
        <v>74921470</v>
      </c>
      <c r="BN492" s="8">
        <f>'Gov Fd Rv'!AQ492-'Gov Fnd Exp'!BL492</f>
        <v>4252243</v>
      </c>
      <c r="BP492" s="7">
        <v>19214014</v>
      </c>
      <c r="BR492" s="7">
        <v>0</v>
      </c>
      <c r="BT492" s="7">
        <v>0</v>
      </c>
      <c r="BV492" s="8">
        <f t="shared" si="121"/>
        <v>23466257</v>
      </c>
      <c r="BW492" s="8"/>
      <c r="BX492" s="8">
        <f>BV492-'Gov Fd BS'!AE492</f>
        <v>0</v>
      </c>
      <c r="BY492" s="8"/>
      <c r="CB492" s="101" t="str">
        <f t="shared" si="118"/>
        <v>Solon City SD</v>
      </c>
      <c r="CC492" s="101" t="b">
        <f t="shared" si="115"/>
        <v>1</v>
      </c>
      <c r="CD492" s="101" t="str">
        <f>'Gov Fd Rv'!A492</f>
        <v>Solon City SD</v>
      </c>
      <c r="CE492" s="8" t="b">
        <f t="shared" si="114"/>
        <v>1</v>
      </c>
      <c r="CG492" s="8" t="str">
        <f t="shared" si="116"/>
        <v>Cuyahoga</v>
      </c>
      <c r="CH492" s="8" t="b">
        <f t="shared" si="117"/>
        <v>1</v>
      </c>
      <c r="CI492" s="8" t="b">
        <f>C492='Gov Fd Rv'!C492</f>
        <v>1</v>
      </c>
    </row>
    <row r="493" spans="1:87">
      <c r="A493" s="12" t="s">
        <v>660</v>
      </c>
      <c r="B493" s="12"/>
      <c r="C493" s="12" t="s">
        <v>37</v>
      </c>
      <c r="D493" s="12"/>
      <c r="E493" s="12"/>
      <c r="G493" s="7">
        <v>3959092</v>
      </c>
      <c r="I493" s="7">
        <v>545527</v>
      </c>
      <c r="K493" s="7">
        <v>181596</v>
      </c>
      <c r="M493" s="7">
        <v>0</v>
      </c>
      <c r="O493" s="7">
        <v>818964</v>
      </c>
      <c r="Q493" s="7">
        <v>444649</v>
      </c>
      <c r="S493" s="7">
        <v>353780</v>
      </c>
      <c r="U493" s="7">
        <v>31091</v>
      </c>
      <c r="W493" s="7">
        <v>742749</v>
      </c>
      <c r="Y493" s="7">
        <v>232357</v>
      </c>
      <c r="AA493" s="7">
        <v>0</v>
      </c>
      <c r="AC493" s="7">
        <v>699439</v>
      </c>
      <c r="AE493" s="7">
        <v>670011</v>
      </c>
      <c r="AG493" s="7">
        <v>11035</v>
      </c>
      <c r="AI493" s="7">
        <v>378765</v>
      </c>
      <c r="AK493" s="7">
        <v>8150</v>
      </c>
      <c r="AL493" s="12" t="s">
        <v>660</v>
      </c>
      <c r="AM493" s="12"/>
      <c r="AN493" s="12" t="s">
        <v>37</v>
      </c>
      <c r="AP493" s="7">
        <v>298593</v>
      </c>
      <c r="AR493" s="7">
        <v>0</v>
      </c>
      <c r="AT493" s="7">
        <v>0</v>
      </c>
      <c r="AV493" s="7">
        <v>136368</v>
      </c>
      <c r="AX493" s="7">
        <v>26309</v>
      </c>
      <c r="AZ493" s="7">
        <v>0</v>
      </c>
      <c r="BB493" s="8">
        <f t="shared" si="119"/>
        <v>9538475</v>
      </c>
      <c r="BD493" s="7">
        <v>0</v>
      </c>
      <c r="BF493" s="7">
        <v>0</v>
      </c>
      <c r="BH493" s="7">
        <v>0</v>
      </c>
      <c r="BJ493" s="7">
        <v>0</v>
      </c>
      <c r="BL493" s="8">
        <f t="shared" si="120"/>
        <v>9538475</v>
      </c>
      <c r="BN493" s="8">
        <f>'Gov Fd Rv'!AQ493-'Gov Fnd Exp'!BL493</f>
        <v>158673</v>
      </c>
      <c r="BP493" s="7">
        <v>3199743</v>
      </c>
      <c r="BR493" s="7">
        <v>0</v>
      </c>
      <c r="BT493" s="7">
        <v>0</v>
      </c>
      <c r="BV493" s="8">
        <f t="shared" si="121"/>
        <v>3358416</v>
      </c>
      <c r="BW493" s="8"/>
      <c r="BX493" s="8">
        <f>BV493-'Gov Fd BS'!AE493</f>
        <v>0</v>
      </c>
      <c r="BY493" s="8"/>
      <c r="CB493" s="101" t="str">
        <f t="shared" si="118"/>
        <v>South Central Local SD</v>
      </c>
      <c r="CC493" s="101" t="b">
        <f t="shared" si="115"/>
        <v>1</v>
      </c>
      <c r="CD493" s="101" t="str">
        <f>'Gov Fd Rv'!A493</f>
        <v>South Central Local SD</v>
      </c>
      <c r="CE493" s="8" t="b">
        <f t="shared" si="114"/>
        <v>1</v>
      </c>
      <c r="CG493" s="8" t="str">
        <f t="shared" si="116"/>
        <v>Huron</v>
      </c>
      <c r="CH493" s="8" t="b">
        <f t="shared" si="117"/>
        <v>1</v>
      </c>
      <c r="CI493" s="8" t="b">
        <f>C493='Gov Fd Rv'!C493</f>
        <v>1</v>
      </c>
    </row>
    <row r="494" spans="1:87">
      <c r="A494" s="12" t="s">
        <v>284</v>
      </c>
      <c r="B494" s="12"/>
      <c r="C494" s="12" t="s">
        <v>20</v>
      </c>
      <c r="D494" s="12"/>
      <c r="E494" s="12">
        <v>44792</v>
      </c>
      <c r="G494" s="7">
        <v>24611085</v>
      </c>
      <c r="I494" s="7">
        <v>10084826</v>
      </c>
      <c r="K494" s="7">
        <v>2630806</v>
      </c>
      <c r="M494" s="7">
        <v>0</v>
      </c>
      <c r="O494" s="7">
        <v>1000667</v>
      </c>
      <c r="Q494" s="7">
        <v>4072154</v>
      </c>
      <c r="S494" s="7">
        <v>1626187</v>
      </c>
      <c r="U494" s="7">
        <v>194491</v>
      </c>
      <c r="W494" s="7">
        <v>3977330</v>
      </c>
      <c r="Y494" s="7">
        <v>1761144</v>
      </c>
      <c r="AA494" s="7">
        <v>355487</v>
      </c>
      <c r="AC494" s="7">
        <v>7035944</v>
      </c>
      <c r="AE494" s="7">
        <v>3011242</v>
      </c>
      <c r="AG494" s="7">
        <v>1375161</v>
      </c>
      <c r="AI494" s="7">
        <v>1761200</v>
      </c>
      <c r="AK494" s="7">
        <v>1395950</v>
      </c>
      <c r="AL494" s="12" t="s">
        <v>284</v>
      </c>
      <c r="AM494" s="12"/>
      <c r="AN494" s="12" t="s">
        <v>20</v>
      </c>
      <c r="AP494" s="7">
        <v>1029107</v>
      </c>
      <c r="AR494" s="7">
        <v>1367939</v>
      </c>
      <c r="AT494" s="7">
        <v>0</v>
      </c>
      <c r="AV494" s="7">
        <v>569995</v>
      </c>
      <c r="AX494" s="7">
        <f>609937+135005</f>
        <v>744942</v>
      </c>
      <c r="AZ494" s="7">
        <v>0</v>
      </c>
      <c r="BB494" s="8">
        <f t="shared" si="119"/>
        <v>68605657</v>
      </c>
      <c r="BD494" s="7">
        <v>510000</v>
      </c>
      <c r="BF494" s="7">
        <v>0</v>
      </c>
      <c r="BH494" s="7">
        <v>0</v>
      </c>
      <c r="BJ494" s="7">
        <v>250000</v>
      </c>
      <c r="BL494" s="8">
        <f t="shared" si="120"/>
        <v>69365657</v>
      </c>
      <c r="BN494" s="8">
        <f>'Gov Fd Rv'!AQ494-'Gov Fnd Exp'!BL494</f>
        <v>-1356732</v>
      </c>
      <c r="BP494" s="7">
        <v>5224805</v>
      </c>
      <c r="BR494" s="7">
        <v>0</v>
      </c>
      <c r="BT494" s="7">
        <v>0</v>
      </c>
      <c r="BV494" s="8">
        <f t="shared" si="121"/>
        <v>3868073</v>
      </c>
      <c r="BW494" s="8"/>
      <c r="BX494" s="8">
        <f>BV494-'Gov Fd BS'!AE494</f>
        <v>0</v>
      </c>
      <c r="BY494" s="8"/>
      <c r="CB494" s="101" t="str">
        <f t="shared" si="118"/>
        <v>South Euclid-Lyndhurst City SD</v>
      </c>
      <c r="CC494" s="101" t="b">
        <f t="shared" si="115"/>
        <v>1</v>
      </c>
      <c r="CD494" s="101" t="str">
        <f>'Gov Fd Rv'!A494</f>
        <v>South Euclid-Lyndhurst City SD</v>
      </c>
      <c r="CE494" s="8" t="b">
        <f t="shared" si="114"/>
        <v>1</v>
      </c>
      <c r="CG494" s="8" t="str">
        <f t="shared" si="116"/>
        <v>Cuyahoga</v>
      </c>
      <c r="CH494" s="8" t="b">
        <f t="shared" si="117"/>
        <v>1</v>
      </c>
      <c r="CI494" s="8" t="b">
        <f>C494='Gov Fd Rv'!C494</f>
        <v>1</v>
      </c>
    </row>
    <row r="495" spans="1:87">
      <c r="A495" s="12" t="s">
        <v>382</v>
      </c>
      <c r="B495" s="12"/>
      <c r="C495" s="12" t="s">
        <v>377</v>
      </c>
      <c r="D495" s="12"/>
      <c r="E495" s="12">
        <v>47951</v>
      </c>
      <c r="G495" s="7">
        <v>7781388</v>
      </c>
      <c r="I495" s="7">
        <v>2079725</v>
      </c>
      <c r="K495" s="7">
        <v>227045</v>
      </c>
      <c r="M495" s="7">
        <v>0</v>
      </c>
      <c r="O495" s="7">
        <f>26347+15812</f>
        <v>42159</v>
      </c>
      <c r="Q495" s="7">
        <v>529536</v>
      </c>
      <c r="S495" s="7">
        <v>1003702</v>
      </c>
      <c r="U495" s="7">
        <v>222751</v>
      </c>
      <c r="W495" s="7">
        <v>1332629</v>
      </c>
      <c r="Y495" s="7">
        <v>407640</v>
      </c>
      <c r="AA495" s="7">
        <v>0</v>
      </c>
      <c r="AC495" s="7">
        <v>1683456</v>
      </c>
      <c r="AE495" s="7">
        <v>1105057</v>
      </c>
      <c r="AG495" s="7">
        <v>64014</v>
      </c>
      <c r="AI495" s="7">
        <v>834893</v>
      </c>
      <c r="AK495" s="7">
        <v>1060</v>
      </c>
      <c r="AL495" s="12" t="s">
        <v>382</v>
      </c>
      <c r="AM495" s="12"/>
      <c r="AN495" s="12" t="s">
        <v>377</v>
      </c>
      <c r="AP495" s="7">
        <f>268678+3350</f>
        <v>272028</v>
      </c>
      <c r="AR495" s="7">
        <v>1028219</v>
      </c>
      <c r="AT495" s="7">
        <v>0</v>
      </c>
      <c r="AV495" s="7">
        <v>643187</v>
      </c>
      <c r="AX495" s="7">
        <v>454604</v>
      </c>
      <c r="AZ495" s="7">
        <v>0</v>
      </c>
      <c r="BB495" s="8">
        <f t="shared" si="119"/>
        <v>19713093</v>
      </c>
      <c r="BD495" s="7">
        <v>136600</v>
      </c>
      <c r="BF495" s="7">
        <v>0</v>
      </c>
      <c r="BH495" s="7">
        <v>0</v>
      </c>
      <c r="BJ495" s="7">
        <v>0</v>
      </c>
      <c r="BL495" s="8">
        <f t="shared" si="120"/>
        <v>19849693</v>
      </c>
      <c r="BN495" s="8">
        <f>'Gov Fd Rv'!AQ495-'Gov Fnd Exp'!BL495</f>
        <v>224065</v>
      </c>
      <c r="BP495" s="7">
        <v>7133689</v>
      </c>
      <c r="BR495" s="7">
        <v>0</v>
      </c>
      <c r="BT495" s="7">
        <v>0</v>
      </c>
      <c r="BV495" s="8">
        <f t="shared" si="121"/>
        <v>7357754</v>
      </c>
      <c r="BW495" s="8"/>
      <c r="BX495" s="8">
        <f>BV495-'Gov Fd BS'!AE495</f>
        <v>0</v>
      </c>
      <c r="BY495" s="8"/>
      <c r="CB495" s="101" t="str">
        <f t="shared" si="118"/>
        <v>South Point Local SD</v>
      </c>
      <c r="CC495" s="101" t="b">
        <f t="shared" si="115"/>
        <v>1</v>
      </c>
      <c r="CD495" s="101" t="str">
        <f>'Gov Fd Rv'!A495</f>
        <v>South Point Local SD</v>
      </c>
      <c r="CE495" s="8" t="b">
        <f t="shared" si="114"/>
        <v>1</v>
      </c>
      <c r="CG495" s="8" t="str">
        <f t="shared" si="116"/>
        <v>Lawrence</v>
      </c>
      <c r="CH495" s="8" t="b">
        <f t="shared" si="117"/>
        <v>1</v>
      </c>
      <c r="CI495" s="8" t="b">
        <f>C495='Gov Fd Rv'!C495</f>
        <v>1</v>
      </c>
    </row>
    <row r="496" spans="1:87">
      <c r="A496" s="12" t="s">
        <v>419</v>
      </c>
      <c r="B496" s="12"/>
      <c r="C496" s="12" t="s">
        <v>45</v>
      </c>
      <c r="D496" s="12"/>
      <c r="E496" s="12">
        <v>48363</v>
      </c>
      <c r="G496" s="7">
        <v>6347822</v>
      </c>
      <c r="I496" s="7">
        <v>863946</v>
      </c>
      <c r="K496" s="7">
        <v>183438</v>
      </c>
      <c r="M496" s="7">
        <v>0</v>
      </c>
      <c r="O496" s="7">
        <v>237707</v>
      </c>
      <c r="Q496" s="7">
        <v>322343</v>
      </c>
      <c r="S496" s="7">
        <v>612386</v>
      </c>
      <c r="U496" s="7">
        <v>45044</v>
      </c>
      <c r="W496" s="7">
        <v>1010913</v>
      </c>
      <c r="Y496" s="7">
        <v>419327</v>
      </c>
      <c r="AA496" s="7">
        <v>0</v>
      </c>
      <c r="AC496" s="7">
        <v>1190731</v>
      </c>
      <c r="AE496" s="7">
        <v>975658</v>
      </c>
      <c r="AG496" s="7">
        <v>99437</v>
      </c>
      <c r="AI496" s="7">
        <v>364704</v>
      </c>
      <c r="AK496" s="7">
        <v>1521</v>
      </c>
      <c r="AL496" s="12" t="s">
        <v>419</v>
      </c>
      <c r="AM496" s="12"/>
      <c r="AN496" s="12" t="s">
        <v>45</v>
      </c>
      <c r="AP496" s="7">
        <v>536978</v>
      </c>
      <c r="AR496" s="7">
        <f>8702798+51500</f>
        <v>8754298</v>
      </c>
      <c r="AT496" s="7">
        <v>0</v>
      </c>
      <c r="AV496" s="7">
        <v>508674</v>
      </c>
      <c r="AX496" s="7">
        <v>813893</v>
      </c>
      <c r="AZ496" s="7">
        <v>0</v>
      </c>
      <c r="BB496" s="8">
        <f t="shared" si="119"/>
        <v>23288820</v>
      </c>
      <c r="BD496" s="7">
        <v>1329556</v>
      </c>
      <c r="BF496" s="7">
        <v>0</v>
      </c>
      <c r="BH496" s="7">
        <v>0</v>
      </c>
      <c r="BJ496" s="7">
        <v>0</v>
      </c>
      <c r="BL496" s="8">
        <f t="shared" si="120"/>
        <v>24618376</v>
      </c>
      <c r="BN496" s="8">
        <f>'Gov Fd Rv'!AQ496-'Gov Fnd Exp'!BL496</f>
        <v>-9021243</v>
      </c>
      <c r="BP496" s="7">
        <v>14920332</v>
      </c>
      <c r="BR496" s="7">
        <v>0</v>
      </c>
      <c r="BT496" s="7">
        <v>-415548</v>
      </c>
      <c r="BV496" s="8">
        <f t="shared" si="121"/>
        <v>5483541</v>
      </c>
      <c r="BW496" s="8"/>
      <c r="BX496" s="8">
        <f>BV496-'Gov Fd BS'!AE496</f>
        <v>0</v>
      </c>
      <c r="BY496" s="8"/>
      <c r="CB496" s="101" t="str">
        <f t="shared" si="118"/>
        <v>South Range Local SD</v>
      </c>
      <c r="CC496" s="101" t="b">
        <f t="shared" si="115"/>
        <v>1</v>
      </c>
      <c r="CD496" s="101" t="str">
        <f>'Gov Fd Rv'!A496</f>
        <v>South Range Local SD</v>
      </c>
      <c r="CE496" s="8" t="b">
        <f t="shared" si="114"/>
        <v>1</v>
      </c>
      <c r="CG496" s="8" t="str">
        <f t="shared" si="116"/>
        <v>Mahoning</v>
      </c>
      <c r="CH496" s="8" t="b">
        <f t="shared" si="117"/>
        <v>1</v>
      </c>
      <c r="CI496" s="8" t="b">
        <f>C496='Gov Fd Rv'!C496</f>
        <v>1</v>
      </c>
    </row>
    <row r="497" spans="1:87">
      <c r="A497" s="12" t="s">
        <v>478</v>
      </c>
      <c r="B497" s="12"/>
      <c r="C497" s="12" t="s">
        <v>56</v>
      </c>
      <c r="D497" s="12"/>
      <c r="E497" s="12">
        <v>49221</v>
      </c>
      <c r="G497" s="7">
        <v>7288561</v>
      </c>
      <c r="I497" s="7">
        <v>2258161</v>
      </c>
      <c r="K497" s="7">
        <v>105047</v>
      </c>
      <c r="M497" s="7">
        <v>0</v>
      </c>
      <c r="O497" s="7">
        <f>42703+911396</f>
        <v>954099</v>
      </c>
      <c r="Q497" s="7">
        <v>1768006</v>
      </c>
      <c r="S497" s="7">
        <v>311248</v>
      </c>
      <c r="U497" s="7">
        <v>31683</v>
      </c>
      <c r="W497" s="7">
        <v>1422710</v>
      </c>
      <c r="Y497" s="7">
        <v>463139</v>
      </c>
      <c r="AA497" s="7">
        <v>105765</v>
      </c>
      <c r="AC497" s="7">
        <v>1461111</v>
      </c>
      <c r="AE497" s="7">
        <v>1556716</v>
      </c>
      <c r="AG497" s="7">
        <v>86327</v>
      </c>
      <c r="AI497" s="7">
        <v>637810</v>
      </c>
      <c r="AK497" s="7">
        <v>0</v>
      </c>
      <c r="AL497" s="12" t="s">
        <v>478</v>
      </c>
      <c r="AM497" s="12"/>
      <c r="AN497" s="12" t="s">
        <v>56</v>
      </c>
      <c r="AP497" s="7">
        <v>524077</v>
      </c>
      <c r="AR497" s="7">
        <v>89170</v>
      </c>
      <c r="AT497" s="7">
        <v>0</v>
      </c>
      <c r="AV497" s="7">
        <v>15035</v>
      </c>
      <c r="AX497" s="7">
        <f>548460+120012</f>
        <v>668472</v>
      </c>
      <c r="AZ497" s="7">
        <v>0</v>
      </c>
      <c r="BB497" s="8">
        <f t="shared" si="119"/>
        <v>19747137</v>
      </c>
      <c r="BD497" s="7">
        <v>0</v>
      </c>
      <c r="BF497" s="7">
        <v>0</v>
      </c>
      <c r="BH497" s="7">
        <v>0</v>
      </c>
      <c r="BJ497" s="7">
        <v>5136436</v>
      </c>
      <c r="BL497" s="8">
        <f t="shared" si="120"/>
        <v>24883573</v>
      </c>
      <c r="BN497" s="8">
        <f>'Gov Fd Rv'!AQ497-'Gov Fnd Exp'!BL497</f>
        <v>1324529</v>
      </c>
      <c r="BP497" s="7">
        <v>7496293</v>
      </c>
      <c r="BR497" s="7">
        <v>0</v>
      </c>
      <c r="BT497" s="7">
        <v>0</v>
      </c>
      <c r="BV497" s="8">
        <f t="shared" si="121"/>
        <v>8820822</v>
      </c>
      <c r="BW497" s="8"/>
      <c r="BX497" s="8">
        <f>BV497-'Gov Fd BS'!AE497</f>
        <v>0</v>
      </c>
      <c r="BY497" s="8"/>
      <c r="CB497" s="101" t="str">
        <f t="shared" si="118"/>
        <v>Southeast Local SD</v>
      </c>
      <c r="CC497" s="101" t="b">
        <f t="shared" si="115"/>
        <v>1</v>
      </c>
      <c r="CD497" s="101" t="str">
        <f>'Gov Fd Rv'!A497</f>
        <v>Southeast Local SD</v>
      </c>
      <c r="CE497" s="8" t="b">
        <f t="shared" si="114"/>
        <v>1</v>
      </c>
      <c r="CG497" s="8" t="str">
        <f t="shared" si="116"/>
        <v>Portage</v>
      </c>
      <c r="CH497" s="8" t="b">
        <f t="shared" si="117"/>
        <v>1</v>
      </c>
      <c r="CI497" s="8" t="b">
        <f>C497='Gov Fd Rv'!C497</f>
        <v>1</v>
      </c>
    </row>
    <row r="498" spans="1:87">
      <c r="A498" s="12" t="s">
        <v>478</v>
      </c>
      <c r="B498" s="12"/>
      <c r="C498" s="12" t="s">
        <v>71</v>
      </c>
      <c r="D498" s="12"/>
      <c r="E498" s="12">
        <v>50583</v>
      </c>
      <c r="G498" s="7">
        <v>6312664</v>
      </c>
      <c r="I498" s="7">
        <v>2481487</v>
      </c>
      <c r="K498" s="7">
        <v>244474</v>
      </c>
      <c r="M498" s="7">
        <v>0</v>
      </c>
      <c r="O498" s="7">
        <f>9856+586404</f>
        <v>596260</v>
      </c>
      <c r="Q498" s="7">
        <v>762301</v>
      </c>
      <c r="S498" s="7">
        <v>461596</v>
      </c>
      <c r="U498" s="7">
        <v>25305</v>
      </c>
      <c r="W498" s="7">
        <v>1821103</v>
      </c>
      <c r="Y498" s="7">
        <v>381120</v>
      </c>
      <c r="AA498" s="7">
        <v>0</v>
      </c>
      <c r="AC498" s="7">
        <v>1122673</v>
      </c>
      <c r="AE498" s="7">
        <v>1149716</v>
      </c>
      <c r="AG498" s="7">
        <v>180655</v>
      </c>
      <c r="AI498" s="7">
        <v>0</v>
      </c>
      <c r="AK498" s="7">
        <v>801243</v>
      </c>
      <c r="AL498" s="12" t="s">
        <v>478</v>
      </c>
      <c r="AM498" s="12"/>
      <c r="AN498" s="12" t="s">
        <v>71</v>
      </c>
      <c r="AP498" s="7">
        <v>416233</v>
      </c>
      <c r="AR498" s="7">
        <v>371444</v>
      </c>
      <c r="AT498" s="7">
        <v>0</v>
      </c>
      <c r="AV498" s="7">
        <v>54363</v>
      </c>
      <c r="AX498" s="7">
        <v>6650</v>
      </c>
      <c r="AZ498" s="7">
        <v>0</v>
      </c>
      <c r="BB498" s="8">
        <f t="shared" si="119"/>
        <v>17189287</v>
      </c>
      <c r="BD498" s="7">
        <v>0</v>
      </c>
      <c r="BF498" s="7">
        <v>0</v>
      </c>
      <c r="BH498" s="7">
        <v>0</v>
      </c>
      <c r="BJ498" s="7">
        <v>0</v>
      </c>
      <c r="BL498" s="8">
        <f t="shared" si="120"/>
        <v>17189287</v>
      </c>
      <c r="BN498" s="8">
        <f>'Gov Fd Rv'!AQ498-'Gov Fnd Exp'!BL498</f>
        <v>313588</v>
      </c>
      <c r="BP498" s="7">
        <v>447268</v>
      </c>
      <c r="BR498" s="7">
        <v>0</v>
      </c>
      <c r="BT498" s="7">
        <v>0</v>
      </c>
      <c r="BV498" s="8">
        <f t="shared" si="121"/>
        <v>760856</v>
      </c>
      <c r="BW498" s="8"/>
      <c r="BX498" s="8">
        <f>BV498-'Gov Fd BS'!AE498</f>
        <v>0</v>
      </c>
      <c r="BY498" s="8"/>
      <c r="BZ498" s="7" t="s">
        <v>788</v>
      </c>
      <c r="CB498" s="101" t="str">
        <f t="shared" si="118"/>
        <v>Southeast Local SD</v>
      </c>
      <c r="CC498" s="101" t="b">
        <f t="shared" si="115"/>
        <v>1</v>
      </c>
      <c r="CD498" s="101" t="str">
        <f>'Gov Fd Rv'!A498</f>
        <v>Southeast Local SD</v>
      </c>
      <c r="CE498" s="8" t="b">
        <f t="shared" si="114"/>
        <v>1</v>
      </c>
      <c r="CG498" s="8" t="str">
        <f t="shared" si="116"/>
        <v>Wayne</v>
      </c>
      <c r="CH498" s="8" t="b">
        <f t="shared" si="117"/>
        <v>1</v>
      </c>
      <c r="CI498" s="8" t="b">
        <f>C498='Gov Fd Rv'!C498</f>
        <v>1</v>
      </c>
    </row>
    <row r="499" spans="1:87">
      <c r="A499" s="12" t="s">
        <v>240</v>
      </c>
      <c r="B499" s="12"/>
      <c r="C499" s="12" t="s">
        <v>17</v>
      </c>
      <c r="D499" s="12"/>
      <c r="E499" s="12">
        <v>46276</v>
      </c>
      <c r="G499" s="7">
        <v>3818841</v>
      </c>
      <c r="I499" s="7">
        <v>1094947</v>
      </c>
      <c r="K499" s="7">
        <v>237894</v>
      </c>
      <c r="M499" s="7">
        <v>0</v>
      </c>
      <c r="O499" s="7">
        <f>21476+31</f>
        <v>21507</v>
      </c>
      <c r="Q499" s="7">
        <v>400783</v>
      </c>
      <c r="S499" s="7">
        <v>273166</v>
      </c>
      <c r="U499" s="7">
        <v>18029</v>
      </c>
      <c r="W499" s="7">
        <v>619101</v>
      </c>
      <c r="Y499" s="7">
        <v>312306</v>
      </c>
      <c r="AA499" s="7">
        <v>0</v>
      </c>
      <c r="AC499" s="7">
        <v>562423</v>
      </c>
      <c r="AE499" s="7">
        <v>398975</v>
      </c>
      <c r="AG499" s="7">
        <v>45412</v>
      </c>
      <c r="AI499" s="7">
        <v>0</v>
      </c>
      <c r="AK499" s="7">
        <v>218651</v>
      </c>
      <c r="AL499" s="12" t="s">
        <v>240</v>
      </c>
      <c r="AM499" s="12"/>
      <c r="AN499" s="12" t="s">
        <v>17</v>
      </c>
      <c r="AP499" s="7">
        <v>339727</v>
      </c>
      <c r="AR499" s="7">
        <v>3000</v>
      </c>
      <c r="AT499" s="7">
        <v>0</v>
      </c>
      <c r="AV499" s="7">
        <v>157800</v>
      </c>
      <c r="AX499" s="7">
        <v>85638</v>
      </c>
      <c r="AZ499" s="7">
        <v>0</v>
      </c>
      <c r="BB499" s="8">
        <f t="shared" si="119"/>
        <v>8608200</v>
      </c>
      <c r="BD499" s="7">
        <v>0</v>
      </c>
      <c r="BF499" s="7">
        <v>0</v>
      </c>
      <c r="BH499" s="7">
        <v>0</v>
      </c>
      <c r="BJ499" s="7">
        <v>0</v>
      </c>
      <c r="BL499" s="8">
        <f t="shared" si="120"/>
        <v>8608200</v>
      </c>
      <c r="BN499" s="8">
        <f>'Gov Fd Rv'!AQ499-'Gov Fnd Exp'!BL499</f>
        <v>195349</v>
      </c>
      <c r="BP499" s="7">
        <v>6575925</v>
      </c>
      <c r="BR499" s="7">
        <v>0</v>
      </c>
      <c r="BT499" s="7">
        <v>0</v>
      </c>
      <c r="BV499" s="8">
        <f t="shared" si="121"/>
        <v>6771274</v>
      </c>
      <c r="BW499" s="8"/>
      <c r="BX499" s="8">
        <f>BV499-'Gov Fd BS'!AE499</f>
        <v>0</v>
      </c>
      <c r="BY499" s="8"/>
      <c r="CB499" s="101" t="str">
        <f t="shared" si="118"/>
        <v>Southeastern Local SD</v>
      </c>
      <c r="CC499" s="101" t="b">
        <f t="shared" si="115"/>
        <v>1</v>
      </c>
      <c r="CD499" s="101" t="str">
        <f>'Gov Fd Rv'!A499</f>
        <v>Southeastern Local SD</v>
      </c>
      <c r="CE499" s="8" t="b">
        <f t="shared" si="114"/>
        <v>1</v>
      </c>
      <c r="CG499" s="8" t="str">
        <f t="shared" si="116"/>
        <v>Clark</v>
      </c>
      <c r="CH499" s="8" t="b">
        <f t="shared" si="117"/>
        <v>1</v>
      </c>
      <c r="CI499" s="8" t="b">
        <f>C499='Gov Fd Rv'!C499</f>
        <v>1</v>
      </c>
    </row>
    <row r="500" spans="1:87">
      <c r="A500" s="12" t="s">
        <v>240</v>
      </c>
      <c r="B500" s="12"/>
      <c r="C500" s="12" t="s">
        <v>58</v>
      </c>
      <c r="D500" s="12"/>
      <c r="E500" s="12">
        <v>49528</v>
      </c>
      <c r="G500" s="7">
        <v>5073290</v>
      </c>
      <c r="I500" s="7">
        <v>1523370</v>
      </c>
      <c r="K500" s="7">
        <v>0</v>
      </c>
      <c r="M500" s="7">
        <v>0</v>
      </c>
      <c r="O500" s="7">
        <v>403</v>
      </c>
      <c r="Q500" s="7">
        <v>522129</v>
      </c>
      <c r="S500" s="7">
        <v>346520</v>
      </c>
      <c r="U500" s="7">
        <v>4714</v>
      </c>
      <c r="W500" s="7">
        <v>603185</v>
      </c>
      <c r="Y500" s="7">
        <v>285377</v>
      </c>
      <c r="AA500" s="7">
        <v>219210</v>
      </c>
      <c r="AC500" s="7">
        <v>1050950</v>
      </c>
      <c r="AE500" s="7">
        <v>825570</v>
      </c>
      <c r="AG500" s="7">
        <v>136821</v>
      </c>
      <c r="AI500" s="7">
        <v>0</v>
      </c>
      <c r="AK500" s="7">
        <v>487870</v>
      </c>
      <c r="AL500" s="12" t="s">
        <v>240</v>
      </c>
      <c r="AM500" s="12"/>
      <c r="AN500" s="12" t="s">
        <v>58</v>
      </c>
      <c r="AP500" s="7">
        <v>405299</v>
      </c>
      <c r="AR500" s="7">
        <v>7800</v>
      </c>
      <c r="AT500" s="7">
        <v>0</v>
      </c>
      <c r="AV500" s="7">
        <v>251000</v>
      </c>
      <c r="AX500" s="7">
        <v>176308</v>
      </c>
      <c r="AZ500" s="7">
        <v>0</v>
      </c>
      <c r="BB500" s="8">
        <f t="shared" si="119"/>
        <v>11919816</v>
      </c>
      <c r="BD500" s="7">
        <v>8835</v>
      </c>
      <c r="BF500" s="7">
        <v>0</v>
      </c>
      <c r="BH500" s="7">
        <v>0</v>
      </c>
      <c r="BJ500" s="7">
        <v>0</v>
      </c>
      <c r="BL500" s="8">
        <f t="shared" si="120"/>
        <v>11928651</v>
      </c>
      <c r="BN500" s="8">
        <f>'Gov Fd Rv'!AQ500-'Gov Fnd Exp'!BL500</f>
        <v>863159</v>
      </c>
      <c r="BP500" s="7">
        <v>6899133</v>
      </c>
      <c r="BR500" s="7">
        <v>0</v>
      </c>
      <c r="BT500" s="7">
        <v>0</v>
      </c>
      <c r="BV500" s="8">
        <f t="shared" si="121"/>
        <v>7762292</v>
      </c>
      <c r="BW500" s="8"/>
      <c r="BX500" s="8">
        <f>BV500-'Gov Fd BS'!AE500</f>
        <v>0</v>
      </c>
      <c r="BY500" s="8"/>
      <c r="CB500" s="101" t="str">
        <f t="shared" si="118"/>
        <v>Southeastern Local SD</v>
      </c>
      <c r="CC500" s="101" t="b">
        <f t="shared" si="115"/>
        <v>1</v>
      </c>
      <c r="CD500" s="101" t="str">
        <f>'Gov Fd Rv'!A500</f>
        <v>Southeastern Local SD</v>
      </c>
      <c r="CE500" s="8" t="b">
        <f t="shared" si="114"/>
        <v>1</v>
      </c>
      <c r="CG500" s="8" t="str">
        <f t="shared" si="116"/>
        <v>Ross</v>
      </c>
      <c r="CH500" s="8" t="b">
        <f t="shared" si="117"/>
        <v>1</v>
      </c>
      <c r="CI500" s="8" t="b">
        <f>C500='Gov Fd Rv'!C500</f>
        <v>1</v>
      </c>
    </row>
    <row r="501" spans="1:87">
      <c r="A501" s="12" t="s">
        <v>674</v>
      </c>
      <c r="B501" s="12"/>
      <c r="C501" s="12" t="s">
        <v>112</v>
      </c>
      <c r="D501" s="12"/>
      <c r="E501" s="12">
        <v>46441</v>
      </c>
      <c r="G501" s="7">
        <v>3742897</v>
      </c>
      <c r="I501" s="7">
        <v>1102662</v>
      </c>
      <c r="K501" s="7">
        <v>207939</v>
      </c>
      <c r="M501" s="7">
        <v>0</v>
      </c>
      <c r="O501" s="7">
        <v>15260</v>
      </c>
      <c r="Q501" s="7">
        <v>342343</v>
      </c>
      <c r="S501" s="7">
        <v>351238</v>
      </c>
      <c r="U501" s="7">
        <v>1154637</v>
      </c>
      <c r="W501" s="7">
        <v>709599</v>
      </c>
      <c r="Y501" s="7">
        <v>230939</v>
      </c>
      <c r="AA501" s="7">
        <v>57148</v>
      </c>
      <c r="AC501" s="7">
        <v>969102</v>
      </c>
      <c r="AE501" s="7">
        <v>923556</v>
      </c>
      <c r="AG501" s="7">
        <v>25602</v>
      </c>
      <c r="AI501" s="7">
        <v>399791</v>
      </c>
      <c r="AK501" s="7">
        <v>6642</v>
      </c>
      <c r="AL501" s="12" t="s">
        <v>674</v>
      </c>
      <c r="AM501" s="12"/>
      <c r="AN501" s="12" t="s">
        <v>112</v>
      </c>
      <c r="AP501" s="7">
        <v>237485</v>
      </c>
      <c r="AR501" s="7">
        <v>0</v>
      </c>
      <c r="AT501" s="7">
        <v>0</v>
      </c>
      <c r="AV501" s="7">
        <v>183150</v>
      </c>
      <c r="AX501" s="7">
        <v>142647</v>
      </c>
      <c r="AZ501" s="7">
        <v>0</v>
      </c>
      <c r="BB501" s="8">
        <f>SUM(G501:AZ501)</f>
        <v>10802637</v>
      </c>
      <c r="BD501" s="7">
        <v>157334</v>
      </c>
      <c r="BF501" s="7">
        <v>0</v>
      </c>
      <c r="BH501" s="7">
        <v>0</v>
      </c>
      <c r="BJ501" s="7">
        <v>0</v>
      </c>
      <c r="BL501" s="8">
        <f>BB501+BD501+BJ501</f>
        <v>10959971</v>
      </c>
      <c r="BN501" s="8">
        <f>'Gov Fd Rv'!AQ501-'Gov Fnd Exp'!BL501</f>
        <v>157752</v>
      </c>
      <c r="BP501" s="7">
        <v>737072</v>
      </c>
      <c r="BR501" s="7">
        <v>0</v>
      </c>
      <c r="BT501" s="7">
        <v>0</v>
      </c>
      <c r="BV501" s="8">
        <f>BN501+BP501+BR501+BT501</f>
        <v>894824</v>
      </c>
      <c r="BW501" s="8"/>
      <c r="BX501" s="8">
        <f>BV501-'Gov Fd BS'!AE501</f>
        <v>0</v>
      </c>
      <c r="BY501" s="8"/>
      <c r="CB501" s="101" t="str">
        <f t="shared" si="118"/>
        <v xml:space="preserve">Southern Local SD </v>
      </c>
      <c r="CC501" s="101" t="b">
        <f t="shared" si="115"/>
        <v>1</v>
      </c>
      <c r="CD501" s="101" t="str">
        <f>'Gov Fd Rv'!A501</f>
        <v xml:space="preserve">Southern Local SD </v>
      </c>
      <c r="CE501" s="8" t="b">
        <f t="shared" si="114"/>
        <v>1</v>
      </c>
      <c r="CG501" s="8" t="str">
        <f t="shared" si="116"/>
        <v>Columbiana</v>
      </c>
      <c r="CH501" s="8" t="b">
        <f t="shared" si="117"/>
        <v>1</v>
      </c>
      <c r="CI501" s="8" t="b">
        <f>C501='Gov Fd Rv'!C501</f>
        <v>1</v>
      </c>
    </row>
    <row r="502" spans="1:87">
      <c r="A502" s="12" t="s">
        <v>256</v>
      </c>
      <c r="B502" s="12"/>
      <c r="C502" s="12" t="s">
        <v>433</v>
      </c>
      <c r="D502" s="12"/>
      <c r="E502" s="12">
        <v>46441</v>
      </c>
      <c r="G502" s="7">
        <v>2925849</v>
      </c>
      <c r="I502" s="7">
        <v>1014807</v>
      </c>
      <c r="K502" s="7">
        <v>169039</v>
      </c>
      <c r="M502" s="7">
        <v>0</v>
      </c>
      <c r="O502" s="7">
        <v>296127</v>
      </c>
      <c r="Q502" s="7">
        <v>716472</v>
      </c>
      <c r="S502" s="7">
        <v>658215</v>
      </c>
      <c r="U502" s="7">
        <v>116842</v>
      </c>
      <c r="W502" s="7">
        <v>427861</v>
      </c>
      <c r="Y502" s="7">
        <v>313505</v>
      </c>
      <c r="AA502" s="7">
        <v>0</v>
      </c>
      <c r="AC502" s="7">
        <v>668891</v>
      </c>
      <c r="AE502" s="7">
        <v>686829</v>
      </c>
      <c r="AG502" s="7">
        <v>185803</v>
      </c>
      <c r="AI502" s="7">
        <v>0</v>
      </c>
      <c r="AK502" s="7">
        <v>408786</v>
      </c>
      <c r="AL502" s="12" t="s">
        <v>256</v>
      </c>
      <c r="AM502" s="12"/>
      <c r="AN502" s="12" t="s">
        <v>433</v>
      </c>
      <c r="AP502" s="7">
        <v>137861</v>
      </c>
      <c r="AR502" s="7">
        <v>196804</v>
      </c>
      <c r="AT502" s="7">
        <v>0</v>
      </c>
      <c r="AV502" s="7">
        <v>227521</v>
      </c>
      <c r="AX502" s="7">
        <f>212175+90240</f>
        <v>302415</v>
      </c>
      <c r="AZ502" s="7">
        <v>0</v>
      </c>
      <c r="BB502" s="8">
        <f t="shared" si="119"/>
        <v>9453627</v>
      </c>
      <c r="BD502" s="7">
        <v>233035</v>
      </c>
      <c r="BF502" s="7">
        <v>0</v>
      </c>
      <c r="BH502" s="7">
        <v>0</v>
      </c>
      <c r="BJ502" s="7">
        <v>59500</v>
      </c>
      <c r="BL502" s="8">
        <f t="shared" si="120"/>
        <v>9746162</v>
      </c>
      <c r="BN502" s="8">
        <f>'Gov Fd Rv'!AQ502-'Gov Fnd Exp'!BL502</f>
        <v>5094025</v>
      </c>
      <c r="BP502" s="7">
        <v>1824653</v>
      </c>
      <c r="BR502" s="7">
        <v>0</v>
      </c>
      <c r="BT502" s="7">
        <v>0</v>
      </c>
      <c r="BV502" s="8">
        <f t="shared" si="121"/>
        <v>6918678</v>
      </c>
      <c r="BW502" s="8"/>
      <c r="BX502" s="8">
        <f>BV502-'Gov Fd BS'!AE502</f>
        <v>0</v>
      </c>
      <c r="BY502" s="8"/>
      <c r="CB502" s="101" t="str">
        <f t="shared" si="118"/>
        <v>Southern Local SD</v>
      </c>
      <c r="CC502" s="101" t="b">
        <f t="shared" si="115"/>
        <v>1</v>
      </c>
      <c r="CD502" s="101" t="str">
        <f>'Gov Fd Rv'!A502</f>
        <v>Southern Local SD</v>
      </c>
      <c r="CE502" s="8" t="b">
        <f t="shared" si="114"/>
        <v>1</v>
      </c>
      <c r="CG502" s="8" t="str">
        <f t="shared" si="116"/>
        <v>Meigs</v>
      </c>
      <c r="CH502" s="8" t="b">
        <f t="shared" si="117"/>
        <v>1</v>
      </c>
      <c r="CI502" s="8" t="b">
        <f>C502='Gov Fd Rv'!C502</f>
        <v>1</v>
      </c>
    </row>
    <row r="503" spans="1:87" hidden="1">
      <c r="A503" s="12" t="s">
        <v>739</v>
      </c>
      <c r="B503" s="12"/>
      <c r="C503" s="12" t="s">
        <v>466</v>
      </c>
      <c r="D503" s="12"/>
      <c r="E503" s="12"/>
      <c r="AL503" s="12" t="s">
        <v>739</v>
      </c>
      <c r="AM503" s="12"/>
      <c r="AN503" s="12" t="s">
        <v>466</v>
      </c>
      <c r="BB503" s="8">
        <f t="shared" si="119"/>
        <v>0</v>
      </c>
      <c r="BL503" s="8">
        <f t="shared" si="120"/>
        <v>0</v>
      </c>
      <c r="BN503" s="8">
        <f>'Gov Fd Rv'!AQ503-'Gov Fnd Exp'!BL503</f>
        <v>0</v>
      </c>
      <c r="BV503" s="8">
        <f t="shared" si="121"/>
        <v>0</v>
      </c>
      <c r="BW503" s="8"/>
      <c r="BX503" s="8">
        <f>BV503-'Gov Fd BS'!AE503</f>
        <v>0</v>
      </c>
      <c r="BY503" s="8"/>
      <c r="BZ503" s="7" t="s">
        <v>789</v>
      </c>
      <c r="CB503" s="101" t="str">
        <f t="shared" si="118"/>
        <v>Southern Local SD (CASH)</v>
      </c>
      <c r="CC503" s="101" t="b">
        <f t="shared" si="115"/>
        <v>1</v>
      </c>
      <c r="CD503" s="101" t="str">
        <f>'Gov Fd Rv'!A503</f>
        <v>Southern Local SD (CASH)</v>
      </c>
      <c r="CE503" s="8" t="b">
        <f t="shared" si="114"/>
        <v>1</v>
      </c>
      <c r="CG503" s="8" t="str">
        <f t="shared" si="116"/>
        <v>Perry</v>
      </c>
      <c r="CH503" s="8" t="b">
        <f t="shared" si="117"/>
        <v>1</v>
      </c>
      <c r="CI503" s="8" t="b">
        <f>C503='Gov Fd Rv'!C503</f>
        <v>1</v>
      </c>
    </row>
    <row r="504" spans="1:87">
      <c r="A504" s="12" t="s">
        <v>546</v>
      </c>
      <c r="B504" s="12"/>
      <c r="C504" s="12" t="s">
        <v>64</v>
      </c>
      <c r="D504" s="12"/>
      <c r="E504" s="12">
        <v>50237</v>
      </c>
      <c r="G504" s="7">
        <v>2475203</v>
      </c>
      <c r="I504" s="7">
        <v>301030</v>
      </c>
      <c r="K504" s="7">
        <v>0</v>
      </c>
      <c r="M504" s="7">
        <v>0</v>
      </c>
      <c r="O504" s="7">
        <v>0</v>
      </c>
      <c r="Q504" s="7">
        <v>576539</v>
      </c>
      <c r="S504" s="7">
        <v>68984</v>
      </c>
      <c r="U504" s="7">
        <v>51600</v>
      </c>
      <c r="W504" s="7">
        <v>453788</v>
      </c>
      <c r="Y504" s="7">
        <v>243406</v>
      </c>
      <c r="AA504" s="7">
        <v>23575</v>
      </c>
      <c r="AC504" s="7">
        <v>389967</v>
      </c>
      <c r="AE504" s="7">
        <v>308182</v>
      </c>
      <c r="AG504" s="7">
        <v>6825</v>
      </c>
      <c r="AI504" s="7">
        <v>179180</v>
      </c>
      <c r="AK504" s="7">
        <v>100</v>
      </c>
      <c r="AL504" s="12" t="s">
        <v>546</v>
      </c>
      <c r="AM504" s="12"/>
      <c r="AN504" s="12" t="s">
        <v>64</v>
      </c>
      <c r="AP504" s="7">
        <v>206854</v>
      </c>
      <c r="AR504" s="7">
        <v>10228451</v>
      </c>
      <c r="AT504" s="7">
        <v>0</v>
      </c>
      <c r="AV504" s="7">
        <v>100000</v>
      </c>
      <c r="AX504" s="7">
        <v>330600</v>
      </c>
      <c r="AZ504" s="7">
        <v>0</v>
      </c>
      <c r="BB504" s="8">
        <f t="shared" si="119"/>
        <v>15944284</v>
      </c>
      <c r="BD504" s="7">
        <v>17000</v>
      </c>
      <c r="BF504" s="7">
        <v>0</v>
      </c>
      <c r="BH504" s="7">
        <v>0</v>
      </c>
      <c r="BJ504" s="7">
        <v>0</v>
      </c>
      <c r="BL504" s="8">
        <f t="shared" si="120"/>
        <v>15961284</v>
      </c>
      <c r="BN504" s="8">
        <f>'Gov Fd Rv'!AQ504-'Gov Fnd Exp'!BL504</f>
        <v>-8931440</v>
      </c>
      <c r="BP504" s="7">
        <v>16507756</v>
      </c>
      <c r="BR504" s="7">
        <v>0</v>
      </c>
      <c r="BT504" s="7">
        <v>0</v>
      </c>
      <c r="BV504" s="8">
        <f t="shared" si="121"/>
        <v>7576316</v>
      </c>
      <c r="BW504" s="8"/>
      <c r="BX504" s="8">
        <f>BV504-'Gov Fd BS'!AE504</f>
        <v>0</v>
      </c>
      <c r="BY504" s="8"/>
      <c r="CB504" s="101" t="str">
        <f t="shared" si="118"/>
        <v>Southington Local SD</v>
      </c>
      <c r="CC504" s="101" t="b">
        <f t="shared" si="115"/>
        <v>1</v>
      </c>
      <c r="CD504" s="101" t="str">
        <f>'Gov Fd Rv'!A504</f>
        <v>Southington Local SD</v>
      </c>
      <c r="CE504" s="8" t="b">
        <f t="shared" si="114"/>
        <v>1</v>
      </c>
      <c r="CG504" s="8" t="str">
        <f t="shared" si="116"/>
        <v>Trumbull</v>
      </c>
      <c r="CH504" s="8" t="b">
        <f t="shared" si="117"/>
        <v>1</v>
      </c>
      <c r="CI504" s="8" t="b">
        <f>C504='Gov Fd Rv'!C504</f>
        <v>1</v>
      </c>
    </row>
    <row r="505" spans="1:87" hidden="1">
      <c r="A505" s="12" t="s">
        <v>976</v>
      </c>
      <c r="B505" s="12"/>
      <c r="C505" s="12" t="s">
        <v>42</v>
      </c>
      <c r="D505" s="12"/>
      <c r="E505" s="12">
        <v>48041</v>
      </c>
      <c r="AL505" s="12" t="s">
        <v>663</v>
      </c>
      <c r="AM505" s="12"/>
      <c r="AN505" s="12" t="s">
        <v>42</v>
      </c>
      <c r="BB505" s="8">
        <f t="shared" si="119"/>
        <v>0</v>
      </c>
      <c r="BL505" s="8">
        <f t="shared" si="120"/>
        <v>0</v>
      </c>
      <c r="BN505" s="8">
        <f>'Gov Fd Rv'!AQ505-'Gov Fnd Exp'!BL505</f>
        <v>0</v>
      </c>
      <c r="BV505" s="8">
        <f t="shared" si="121"/>
        <v>0</v>
      </c>
      <c r="BW505" s="8"/>
      <c r="BX505" s="8">
        <f>BV505-'Gov Fd BS'!AE505</f>
        <v>0</v>
      </c>
      <c r="BY505" s="8"/>
      <c r="CB505" s="101" t="str">
        <f t="shared" si="118"/>
        <v>Southwest Licking Local SD (CASH)</v>
      </c>
      <c r="CC505" s="101" t="b">
        <f t="shared" si="115"/>
        <v>0</v>
      </c>
      <c r="CD505" s="101" t="str">
        <f>'Gov Fd Rv'!A505</f>
        <v>Southwest Licking Local SD (CASH)</v>
      </c>
      <c r="CE505" s="8" t="b">
        <f t="shared" si="114"/>
        <v>1</v>
      </c>
      <c r="CG505" s="8" t="str">
        <f t="shared" si="116"/>
        <v>Licking</v>
      </c>
      <c r="CH505" s="8" t="b">
        <f t="shared" si="117"/>
        <v>1</v>
      </c>
      <c r="CI505" s="8" t="b">
        <f>C505='Gov Fd Rv'!C505</f>
        <v>1</v>
      </c>
    </row>
    <row r="506" spans="1:87">
      <c r="A506" s="12" t="s">
        <v>339</v>
      </c>
      <c r="B506" s="12"/>
      <c r="C506" s="12" t="s">
        <v>32</v>
      </c>
      <c r="D506" s="12"/>
      <c r="E506" s="12">
        <v>47381</v>
      </c>
      <c r="G506" s="7">
        <v>15734537</v>
      </c>
      <c r="I506" s="7">
        <v>3863985</v>
      </c>
      <c r="K506" s="7">
        <v>1631</v>
      </c>
      <c r="M506" s="7">
        <v>0</v>
      </c>
      <c r="O506" s="7">
        <v>533228</v>
      </c>
      <c r="Q506" s="7">
        <v>1546838</v>
      </c>
      <c r="S506" s="7">
        <v>1286773</v>
      </c>
      <c r="U506" s="7">
        <v>67911</v>
      </c>
      <c r="W506" s="7">
        <v>2694253</v>
      </c>
      <c r="Y506" s="7">
        <v>1130543</v>
      </c>
      <c r="AA506" s="7">
        <v>100</v>
      </c>
      <c r="AC506" s="7">
        <v>3559595</v>
      </c>
      <c r="AE506" s="7">
        <v>1655531</v>
      </c>
      <c r="AG506" s="7">
        <v>56738</v>
      </c>
      <c r="AI506" s="7">
        <v>0</v>
      </c>
      <c r="AK506" s="7">
        <v>1880727</v>
      </c>
      <c r="AL506" s="12" t="s">
        <v>339</v>
      </c>
      <c r="AM506" s="12"/>
      <c r="AN506" s="12" t="s">
        <v>32</v>
      </c>
      <c r="AP506" s="7">
        <v>858869</v>
      </c>
      <c r="AR506" s="7">
        <v>751012</v>
      </c>
      <c r="AT506" s="7">
        <v>0</v>
      </c>
      <c r="AV506" s="7">
        <v>1170000</v>
      </c>
      <c r="AX506" s="7">
        <v>730524</v>
      </c>
      <c r="AZ506" s="7">
        <v>0</v>
      </c>
      <c r="BB506" s="8">
        <f t="shared" si="119"/>
        <v>37522795</v>
      </c>
      <c r="BD506" s="7">
        <v>2860</v>
      </c>
      <c r="BF506" s="7">
        <v>0</v>
      </c>
      <c r="BH506" s="7">
        <v>0</v>
      </c>
      <c r="BJ506" s="7">
        <v>0</v>
      </c>
      <c r="BL506" s="8">
        <f t="shared" si="120"/>
        <v>37525655</v>
      </c>
      <c r="BN506" s="8">
        <f>'Gov Fd Rv'!AQ506-'Gov Fnd Exp'!BL506</f>
        <v>3209166</v>
      </c>
      <c r="BP506" s="7">
        <v>3025027</v>
      </c>
      <c r="BR506" s="7">
        <v>0</v>
      </c>
      <c r="BT506" s="7">
        <v>0</v>
      </c>
      <c r="BV506" s="8">
        <f t="shared" si="121"/>
        <v>6234193</v>
      </c>
      <c r="BW506" s="8"/>
      <c r="BX506" s="8">
        <f>BV506-'Gov Fd BS'!AE506</f>
        <v>0</v>
      </c>
      <c r="BY506" s="8"/>
      <c r="CB506" s="101" t="str">
        <f t="shared" si="118"/>
        <v>Southwest Local SD</v>
      </c>
      <c r="CC506" s="101" t="b">
        <f t="shared" si="115"/>
        <v>1</v>
      </c>
      <c r="CD506" s="101" t="str">
        <f>'Gov Fd Rv'!A506</f>
        <v>Southwest Local SD</v>
      </c>
      <c r="CE506" s="8" t="b">
        <f t="shared" si="114"/>
        <v>1</v>
      </c>
      <c r="CG506" s="8" t="str">
        <f t="shared" si="116"/>
        <v>Hamilton</v>
      </c>
      <c r="CH506" s="8" t="b">
        <f t="shared" si="117"/>
        <v>1</v>
      </c>
      <c r="CI506" s="8" t="b">
        <f>C506='Gov Fd Rv'!C506</f>
        <v>1</v>
      </c>
    </row>
    <row r="507" spans="1:87">
      <c r="A507" s="12" t="s">
        <v>313</v>
      </c>
      <c r="B507" s="12"/>
      <c r="C507" s="12" t="s">
        <v>27</v>
      </c>
      <c r="D507" s="12"/>
      <c r="E507" s="12">
        <v>44800</v>
      </c>
      <c r="G507" s="7">
        <v>94405014</v>
      </c>
      <c r="I507" s="7">
        <v>30555128</v>
      </c>
      <c r="K507" s="7">
        <v>5516509</v>
      </c>
      <c r="M507" s="7">
        <v>0</v>
      </c>
      <c r="O507" s="7">
        <v>982579</v>
      </c>
      <c r="Q507" s="7">
        <v>10525586</v>
      </c>
      <c r="S507" s="7">
        <v>16577081</v>
      </c>
      <c r="U507" s="7">
        <v>36274</v>
      </c>
      <c r="W507" s="7">
        <v>15833157</v>
      </c>
      <c r="Y507" s="7">
        <v>3497286</v>
      </c>
      <c r="AA507" s="7">
        <v>861320</v>
      </c>
      <c r="AC507" s="7">
        <v>15625581</v>
      </c>
      <c r="AE507" s="7">
        <v>10780268</v>
      </c>
      <c r="AG507" s="7">
        <v>3085766</v>
      </c>
      <c r="AI507" s="7">
        <v>8356991</v>
      </c>
      <c r="AK507" s="7">
        <v>1250783</v>
      </c>
      <c r="AL507" s="12" t="s">
        <v>313</v>
      </c>
      <c r="AM507" s="12"/>
      <c r="AN507" s="12" t="s">
        <v>27</v>
      </c>
      <c r="AP507" s="7">
        <v>4077017</v>
      </c>
      <c r="AR507" s="7">
        <v>5321337</v>
      </c>
      <c r="AT507" s="7">
        <v>0</v>
      </c>
      <c r="AV507" s="7">
        <v>13876667</v>
      </c>
      <c r="AX507" s="7">
        <v>3679030</v>
      </c>
      <c r="AZ507" s="7">
        <v>0</v>
      </c>
      <c r="BB507" s="8">
        <f t="shared" si="119"/>
        <v>244843374</v>
      </c>
      <c r="BD507" s="7">
        <v>1003065</v>
      </c>
      <c r="BF507" s="7">
        <v>0</v>
      </c>
      <c r="BH507" s="7">
        <v>0</v>
      </c>
      <c r="BJ507" s="7">
        <v>0</v>
      </c>
      <c r="BL507" s="8">
        <f t="shared" si="120"/>
        <v>245846439</v>
      </c>
      <c r="BN507" s="8">
        <f>'Gov Fd Rv'!AQ507-'Gov Fnd Exp'!BL507</f>
        <v>33844465</v>
      </c>
      <c r="BP507" s="7">
        <v>80319435</v>
      </c>
      <c r="BR507" s="7">
        <v>0</v>
      </c>
      <c r="BT507" s="7">
        <v>0</v>
      </c>
      <c r="BV507" s="8">
        <f t="shared" si="121"/>
        <v>114163900</v>
      </c>
      <c r="BW507" s="8"/>
      <c r="BX507" s="8">
        <f>BV507-'Gov Fd BS'!AE507</f>
        <v>0</v>
      </c>
      <c r="BY507" s="8"/>
      <c r="CB507" s="101" t="str">
        <f t="shared" si="118"/>
        <v>South-Western City SD</v>
      </c>
      <c r="CC507" s="101" t="b">
        <f t="shared" si="115"/>
        <v>1</v>
      </c>
      <c r="CD507" s="101" t="str">
        <f>'Gov Fd Rv'!A507</f>
        <v>South-Western City SD</v>
      </c>
      <c r="CE507" s="8" t="b">
        <f t="shared" si="114"/>
        <v>1</v>
      </c>
      <c r="CG507" s="8" t="str">
        <f t="shared" si="116"/>
        <v>Franklin</v>
      </c>
      <c r="CH507" s="8" t="b">
        <f t="shared" si="117"/>
        <v>1</v>
      </c>
      <c r="CI507" s="8" t="b">
        <f>C507='Gov Fd Rv'!C507</f>
        <v>1</v>
      </c>
    </row>
    <row r="508" spans="1:87" hidden="1">
      <c r="A508" s="12" t="s">
        <v>741</v>
      </c>
      <c r="B508" s="12"/>
      <c r="C508" s="12" t="s">
        <v>10</v>
      </c>
      <c r="D508" s="12"/>
      <c r="E508" s="12">
        <v>45807</v>
      </c>
      <c r="AL508" s="12" t="s">
        <v>741</v>
      </c>
      <c r="AM508" s="12"/>
      <c r="AN508" s="12" t="s">
        <v>10</v>
      </c>
      <c r="BB508" s="8">
        <f t="shared" si="119"/>
        <v>0</v>
      </c>
      <c r="BL508" s="8">
        <f t="shared" si="120"/>
        <v>0</v>
      </c>
      <c r="BN508" s="8">
        <f>'Gov Fd Rv'!AQ508-'Gov Fnd Exp'!BL508</f>
        <v>0</v>
      </c>
      <c r="BV508" s="8">
        <f t="shared" si="121"/>
        <v>0</v>
      </c>
      <c r="BW508" s="8"/>
      <c r="BX508" s="8">
        <f>BV508-'Gov Fd BS'!AE508</f>
        <v>0</v>
      </c>
      <c r="BY508" s="8"/>
      <c r="BZ508" s="7" t="s">
        <v>789</v>
      </c>
      <c r="CB508" s="101" t="str">
        <f t="shared" si="118"/>
        <v>Spencerville Local SD (CASH)</v>
      </c>
      <c r="CC508" s="101" t="b">
        <f t="shared" si="115"/>
        <v>1</v>
      </c>
      <c r="CD508" s="101" t="str">
        <f>'Gov Fd Rv'!A508</f>
        <v>Spencerville Local SD (CASH)</v>
      </c>
      <c r="CE508" s="8" t="b">
        <f t="shared" si="114"/>
        <v>1</v>
      </c>
      <c r="CG508" s="8" t="str">
        <f t="shared" si="116"/>
        <v>Allen</v>
      </c>
      <c r="CH508" s="8" t="b">
        <f t="shared" si="117"/>
        <v>1</v>
      </c>
      <c r="CI508" s="8" t="b">
        <f>C508='Gov Fd Rv'!C508</f>
        <v>1</v>
      </c>
    </row>
    <row r="509" spans="1:87">
      <c r="A509" s="12" t="s">
        <v>977</v>
      </c>
      <c r="B509" s="12"/>
      <c r="C509" s="12" t="s">
        <v>69</v>
      </c>
      <c r="D509" s="12"/>
      <c r="E509" s="12">
        <v>50427</v>
      </c>
      <c r="G509" s="7">
        <v>20435113</v>
      </c>
      <c r="I509" s="7">
        <v>4631888</v>
      </c>
      <c r="K509" s="7">
        <v>86256</v>
      </c>
      <c r="M509" s="7">
        <v>0</v>
      </c>
      <c r="O509" s="7">
        <v>471099</v>
      </c>
      <c r="Q509" s="7">
        <v>2973321</v>
      </c>
      <c r="S509" s="7">
        <v>3064904</v>
      </c>
      <c r="U509" s="7">
        <v>172409</v>
      </c>
      <c r="W509" s="7">
        <v>2790579</v>
      </c>
      <c r="Y509" s="7">
        <v>971293</v>
      </c>
      <c r="AA509" s="7">
        <v>219666</v>
      </c>
      <c r="AC509" s="7">
        <v>4127542</v>
      </c>
      <c r="AE509" s="7">
        <v>2817656</v>
      </c>
      <c r="AG509" s="7">
        <v>228898</v>
      </c>
      <c r="AI509" s="7">
        <v>0</v>
      </c>
      <c r="AK509" s="7">
        <v>1229339</v>
      </c>
      <c r="AL509" s="12" t="s">
        <v>740</v>
      </c>
      <c r="AM509" s="12"/>
      <c r="AN509" s="12" t="s">
        <v>69</v>
      </c>
      <c r="AP509" s="7">
        <v>1040616</v>
      </c>
      <c r="AR509" s="7">
        <v>279842</v>
      </c>
      <c r="AT509" s="7">
        <v>0</v>
      </c>
      <c r="AV509" s="7">
        <v>3271859</v>
      </c>
      <c r="AX509" s="7">
        <v>4399883</v>
      </c>
      <c r="AZ509" s="7">
        <v>0</v>
      </c>
      <c r="BB509" s="8">
        <f t="shared" si="119"/>
        <v>53212163</v>
      </c>
      <c r="BD509" s="7">
        <v>0</v>
      </c>
      <c r="BF509" s="7">
        <v>0</v>
      </c>
      <c r="BH509" s="7">
        <v>0</v>
      </c>
      <c r="BJ509" s="7">
        <v>0</v>
      </c>
      <c r="BL509" s="8">
        <f t="shared" si="120"/>
        <v>53212163</v>
      </c>
      <c r="BN509" s="8">
        <f>'Gov Fd Rv'!AQ509-'Gov Fnd Exp'!BL509</f>
        <v>2701025</v>
      </c>
      <c r="BP509" s="7">
        <v>8956028</v>
      </c>
      <c r="BR509" s="7">
        <v>0</v>
      </c>
      <c r="BT509" s="7">
        <v>0</v>
      </c>
      <c r="BV509" s="8">
        <f t="shared" si="121"/>
        <v>11657053</v>
      </c>
      <c r="BW509" s="8"/>
      <c r="BX509" s="8">
        <f>BV509-'Gov Fd BS'!AE509</f>
        <v>0</v>
      </c>
      <c r="BY509" s="8"/>
      <c r="CB509" s="101" t="str">
        <f t="shared" si="118"/>
        <v xml:space="preserve">Springboro Community City SD </v>
      </c>
      <c r="CC509" s="101" t="b">
        <f t="shared" si="115"/>
        <v>0</v>
      </c>
      <c r="CD509" s="101" t="str">
        <f>'Gov Fd Rv'!A509</f>
        <v xml:space="preserve">Springboro Community City SD </v>
      </c>
      <c r="CE509" s="8" t="b">
        <f t="shared" si="114"/>
        <v>1</v>
      </c>
      <c r="CG509" s="8" t="str">
        <f t="shared" si="116"/>
        <v>Warren</v>
      </c>
      <c r="CH509" s="8" t="b">
        <f t="shared" si="117"/>
        <v>1</v>
      </c>
      <c r="CI509" s="8" t="b">
        <f>C509='Gov Fd Rv'!C509</f>
        <v>1</v>
      </c>
    </row>
    <row r="510" spans="1:87">
      <c r="A510" s="12" t="s">
        <v>656</v>
      </c>
      <c r="B510" s="12"/>
      <c r="C510" s="12" t="s">
        <v>17</v>
      </c>
      <c r="D510" s="12"/>
      <c r="E510" s="12"/>
      <c r="G510" s="7">
        <v>43298640</v>
      </c>
      <c r="I510" s="7">
        <v>10549482</v>
      </c>
      <c r="K510" s="7">
        <v>198329</v>
      </c>
      <c r="M510" s="7">
        <v>128281</v>
      </c>
      <c r="O510" s="7">
        <v>400869</v>
      </c>
      <c r="Q510" s="7">
        <v>6980301</v>
      </c>
      <c r="S510" s="7">
        <v>7190667</v>
      </c>
      <c r="U510" s="7">
        <v>233064</v>
      </c>
      <c r="W510" s="7">
        <v>6905072</v>
      </c>
      <c r="Y510" s="7">
        <v>1532929</v>
      </c>
      <c r="AA510" s="7">
        <v>296916</v>
      </c>
      <c r="AC510" s="7">
        <v>7641074</v>
      </c>
      <c r="AE510" s="7">
        <v>2725609</v>
      </c>
      <c r="AG510" s="7">
        <v>1214151</v>
      </c>
      <c r="AI510" s="7">
        <v>0</v>
      </c>
      <c r="AK510" s="7">
        <v>4758326</v>
      </c>
      <c r="AL510" s="12" t="s">
        <v>656</v>
      </c>
      <c r="AM510" s="12"/>
      <c r="AN510" s="12" t="s">
        <v>17</v>
      </c>
      <c r="AP510" s="7">
        <v>1009326</v>
      </c>
      <c r="AR510" s="7">
        <v>2632858</v>
      </c>
      <c r="AT510" s="7">
        <v>0</v>
      </c>
      <c r="AV510" s="7">
        <v>2523131</v>
      </c>
      <c r="AX510" s="7">
        <f>1428132+1291292+19062</f>
        <v>2738486</v>
      </c>
      <c r="AZ510" s="7">
        <v>0</v>
      </c>
      <c r="BB510" s="8">
        <f t="shared" si="119"/>
        <v>102957511</v>
      </c>
      <c r="BD510" s="7">
        <v>1410085</v>
      </c>
      <c r="BF510" s="7">
        <v>0</v>
      </c>
      <c r="BH510" s="7">
        <v>0</v>
      </c>
      <c r="BJ510" s="7">
        <v>0</v>
      </c>
      <c r="BL510" s="8">
        <f t="shared" si="120"/>
        <v>104367596</v>
      </c>
      <c r="BN510" s="8">
        <f>'Gov Fd Rv'!AQ510-'Gov Fnd Exp'!BL510</f>
        <v>3028516</v>
      </c>
      <c r="BP510" s="7">
        <v>32887082</v>
      </c>
      <c r="BR510" s="7">
        <v>0</v>
      </c>
      <c r="BT510" s="7">
        <v>0</v>
      </c>
      <c r="BV510" s="8">
        <f t="shared" si="121"/>
        <v>35915598</v>
      </c>
      <c r="BW510" s="8"/>
      <c r="BX510" s="8">
        <f>BV510-'Gov Fd BS'!AE510</f>
        <v>0</v>
      </c>
      <c r="BY510" s="8"/>
      <c r="CB510" s="101" t="str">
        <f t="shared" si="118"/>
        <v>Springfield City SD</v>
      </c>
      <c r="CC510" s="101" t="b">
        <f t="shared" si="115"/>
        <v>1</v>
      </c>
      <c r="CD510" s="101" t="str">
        <f>'Gov Fd Rv'!A510</f>
        <v>Springfield City SD</v>
      </c>
      <c r="CE510" s="8" t="b">
        <f t="shared" si="114"/>
        <v>1</v>
      </c>
      <c r="CG510" s="8" t="str">
        <f t="shared" si="116"/>
        <v>Clark</v>
      </c>
      <c r="CH510" s="8" t="b">
        <f t="shared" si="117"/>
        <v>1</v>
      </c>
      <c r="CI510" s="8" t="b">
        <f>C510='Gov Fd Rv'!C510</f>
        <v>1</v>
      </c>
    </row>
    <row r="511" spans="1:87">
      <c r="A511" s="12" t="s">
        <v>756</v>
      </c>
      <c r="B511" s="12"/>
      <c r="C511" s="12" t="s">
        <v>115</v>
      </c>
      <c r="D511" s="12"/>
      <c r="E511" s="12">
        <v>48223</v>
      </c>
      <c r="G511" s="7">
        <v>17109121</v>
      </c>
      <c r="I511" s="7">
        <v>4121765</v>
      </c>
      <c r="K511" s="7">
        <v>301668</v>
      </c>
      <c r="M511" s="7">
        <v>0</v>
      </c>
      <c r="O511" s="7">
        <f>1972242+938323</f>
        <v>2910565</v>
      </c>
      <c r="Q511" s="7">
        <v>1753325</v>
      </c>
      <c r="S511" s="7">
        <v>467770</v>
      </c>
      <c r="U511" s="7">
        <v>26982</v>
      </c>
      <c r="W511" s="7">
        <v>3028419</v>
      </c>
      <c r="Y511" s="7">
        <v>713331</v>
      </c>
      <c r="AA511" s="7">
        <v>0</v>
      </c>
      <c r="AC511" s="7">
        <v>3167999</v>
      </c>
      <c r="AE511" s="7">
        <v>2201514</v>
      </c>
      <c r="AG511" s="7">
        <v>82679</v>
      </c>
      <c r="AI511" s="7">
        <v>0</v>
      </c>
      <c r="AK511" s="7">
        <v>2480823</v>
      </c>
      <c r="AL511" s="12" t="s">
        <v>756</v>
      </c>
      <c r="AM511" s="12"/>
      <c r="AN511" s="12" t="s">
        <v>115</v>
      </c>
      <c r="AP511" s="7">
        <v>1082747</v>
      </c>
      <c r="AR511" s="7">
        <v>61730</v>
      </c>
      <c r="AT511" s="7">
        <v>0</v>
      </c>
      <c r="AV511" s="7">
        <v>1905000</v>
      </c>
      <c r="AX511" s="7">
        <v>569752</v>
      </c>
      <c r="AZ511" s="7">
        <v>0</v>
      </c>
      <c r="BB511" s="8">
        <f t="shared" si="119"/>
        <v>41985190</v>
      </c>
      <c r="BD511" s="24">
        <v>1250000</v>
      </c>
      <c r="BF511" s="7">
        <v>0</v>
      </c>
      <c r="BH511" s="7">
        <v>0</v>
      </c>
      <c r="BJ511" s="7">
        <v>0</v>
      </c>
      <c r="BL511" s="8">
        <f t="shared" si="120"/>
        <v>43235190</v>
      </c>
      <c r="BN511" s="8">
        <f>'Gov Fd Rv'!AQ511-'Gov Fnd Exp'!BL511</f>
        <v>3312390</v>
      </c>
      <c r="BP511" s="7">
        <v>-3038021</v>
      </c>
      <c r="BR511" s="7">
        <v>0</v>
      </c>
      <c r="BT511" s="7">
        <v>0</v>
      </c>
      <c r="BV511" s="8">
        <f t="shared" si="121"/>
        <v>274369</v>
      </c>
      <c r="BW511" s="8"/>
      <c r="BX511" s="8">
        <f>BV511-'Gov Fd BS'!AE511</f>
        <v>0</v>
      </c>
      <c r="BY511" s="8"/>
      <c r="CB511" s="101" t="str">
        <f t="shared" si="118"/>
        <v xml:space="preserve">Springfield Local SD </v>
      </c>
      <c r="CC511" s="101" t="b">
        <f t="shared" si="115"/>
        <v>1</v>
      </c>
      <c r="CD511" s="101" t="str">
        <f>'Gov Fd Rv'!A511</f>
        <v xml:space="preserve">Springfield Local SD </v>
      </c>
      <c r="CE511" s="8" t="b">
        <f t="shared" si="114"/>
        <v>1</v>
      </c>
      <c r="CG511" s="8" t="str">
        <f t="shared" si="116"/>
        <v>Lucas</v>
      </c>
      <c r="CH511" s="8" t="b">
        <f t="shared" si="117"/>
        <v>1</v>
      </c>
      <c r="CI511" s="8" t="b">
        <f>C511='Gov Fd Rv'!C511</f>
        <v>1</v>
      </c>
    </row>
    <row r="512" spans="1:87">
      <c r="A512" s="12" t="s">
        <v>406</v>
      </c>
      <c r="B512" s="12"/>
      <c r="C512" s="12" t="s">
        <v>45</v>
      </c>
      <c r="D512" s="12"/>
      <c r="E512" s="12">
        <v>48371</v>
      </c>
      <c r="G512" s="7">
        <v>4868045</v>
      </c>
      <c r="I512" s="7">
        <v>1079700</v>
      </c>
      <c r="K512" s="7">
        <v>193886</v>
      </c>
      <c r="M512" s="7">
        <v>0</v>
      </c>
      <c r="O512" s="7">
        <v>111976</v>
      </c>
      <c r="Q512" s="7">
        <v>636436</v>
      </c>
      <c r="S512" s="7">
        <v>372639</v>
      </c>
      <c r="U512" s="7">
        <v>28980</v>
      </c>
      <c r="W512" s="7">
        <v>1228255</v>
      </c>
      <c r="Y512" s="7">
        <v>325218</v>
      </c>
      <c r="AA512" s="7">
        <v>5160</v>
      </c>
      <c r="AC512" s="7">
        <v>959959</v>
      </c>
      <c r="AE512" s="7">
        <v>502474</v>
      </c>
      <c r="AG512" s="7">
        <v>37148</v>
      </c>
      <c r="AI512" s="7">
        <v>538107</v>
      </c>
      <c r="AK512" s="7">
        <v>4102</v>
      </c>
      <c r="AL512" s="12" t="s">
        <v>406</v>
      </c>
      <c r="AM512" s="12"/>
      <c r="AN512" s="12" t="s">
        <v>45</v>
      </c>
      <c r="AP512" s="7">
        <v>467123</v>
      </c>
      <c r="AR512" s="7">
        <v>26223</v>
      </c>
      <c r="AT512" s="7">
        <v>0</v>
      </c>
      <c r="AV512" s="7">
        <v>415202</v>
      </c>
      <c r="AX512" s="7">
        <v>41579</v>
      </c>
      <c r="AZ512" s="7">
        <v>0</v>
      </c>
      <c r="BB512" s="8">
        <f t="shared" si="119"/>
        <v>11842212</v>
      </c>
      <c r="BD512" s="7">
        <v>20000</v>
      </c>
      <c r="BF512" s="7">
        <v>0</v>
      </c>
      <c r="BH512" s="7">
        <v>0</v>
      </c>
      <c r="BJ512" s="7">
        <v>0</v>
      </c>
      <c r="BL512" s="8">
        <f t="shared" si="120"/>
        <v>11862212</v>
      </c>
      <c r="BN512" s="8">
        <f>'Gov Fd Rv'!AQ512-'Gov Fnd Exp'!BL512</f>
        <v>-124439</v>
      </c>
      <c r="BP512" s="7">
        <v>2398915</v>
      </c>
      <c r="BR512" s="7">
        <v>0</v>
      </c>
      <c r="BT512" s="7">
        <v>0</v>
      </c>
      <c r="BV512" s="8">
        <f t="shared" si="121"/>
        <v>2274476</v>
      </c>
      <c r="BW512" s="8"/>
      <c r="BX512" s="8">
        <f>BV512-'Gov Fd BS'!AE512</f>
        <v>0</v>
      </c>
      <c r="BY512" s="8"/>
      <c r="CB512" s="101" t="str">
        <f t="shared" si="118"/>
        <v>Springfield Local SD</v>
      </c>
      <c r="CC512" s="101" t="b">
        <f t="shared" si="115"/>
        <v>1</v>
      </c>
      <c r="CD512" s="101" t="str">
        <f>'Gov Fd Rv'!A512</f>
        <v>Springfield Local SD</v>
      </c>
      <c r="CE512" s="8" t="b">
        <f t="shared" si="114"/>
        <v>1</v>
      </c>
      <c r="CG512" s="8" t="str">
        <f t="shared" si="116"/>
        <v>Mahoning</v>
      </c>
      <c r="CH512" s="8" t="b">
        <f t="shared" si="117"/>
        <v>1</v>
      </c>
      <c r="CI512" s="8" t="b">
        <f>C512='Gov Fd Rv'!C512</f>
        <v>1</v>
      </c>
    </row>
    <row r="513" spans="1:87">
      <c r="A513" s="12" t="s">
        <v>406</v>
      </c>
      <c r="B513" s="12"/>
      <c r="C513" s="12" t="s">
        <v>63</v>
      </c>
      <c r="D513" s="12"/>
      <c r="E513" s="12">
        <v>50062</v>
      </c>
      <c r="G513" s="7">
        <v>10593295</v>
      </c>
      <c r="I513" s="7">
        <v>3248986</v>
      </c>
      <c r="K513" s="7">
        <v>282222</v>
      </c>
      <c r="M513" s="7">
        <v>0</v>
      </c>
      <c r="O513" s="7">
        <v>2475878</v>
      </c>
      <c r="Q513" s="7">
        <v>1170233</v>
      </c>
      <c r="S513" s="7">
        <v>924162</v>
      </c>
      <c r="U513" s="7">
        <v>41349</v>
      </c>
      <c r="W513" s="7">
        <v>1584931</v>
      </c>
      <c r="Y513" s="7">
        <v>610231</v>
      </c>
      <c r="AA513" s="7">
        <v>137717</v>
      </c>
      <c r="AC513" s="7">
        <v>2022448</v>
      </c>
      <c r="AE513" s="7">
        <v>1366117</v>
      </c>
      <c r="AG513" s="7">
        <v>60771</v>
      </c>
      <c r="AI513" s="7">
        <v>910788</v>
      </c>
      <c r="AK513" s="7">
        <f>4781+117352</f>
        <v>122133</v>
      </c>
      <c r="AL513" s="12" t="s">
        <v>406</v>
      </c>
      <c r="AM513" s="12"/>
      <c r="AN513" s="12" t="s">
        <v>63</v>
      </c>
      <c r="AP513" s="7">
        <v>670516</v>
      </c>
      <c r="AR513" s="7">
        <v>2193827</v>
      </c>
      <c r="AT513" s="7">
        <v>0</v>
      </c>
      <c r="AV513" s="7">
        <v>95166</v>
      </c>
      <c r="AX513" s="7">
        <f>951032+411998</f>
        <v>1363030</v>
      </c>
      <c r="AZ513" s="7">
        <v>0</v>
      </c>
      <c r="BB513" s="8">
        <f t="shared" si="119"/>
        <v>29873800</v>
      </c>
      <c r="BD513" s="7">
        <v>0</v>
      </c>
      <c r="BF513" s="7">
        <v>0</v>
      </c>
      <c r="BH513" s="7">
        <v>0</v>
      </c>
      <c r="BJ513" s="7">
        <v>0</v>
      </c>
      <c r="BL513" s="8">
        <f t="shared" si="120"/>
        <v>29873800</v>
      </c>
      <c r="BN513" s="8">
        <f>'Gov Fd Rv'!AQ513-'Gov Fnd Exp'!BL513</f>
        <v>39563750</v>
      </c>
      <c r="BP513" s="7">
        <v>-161691</v>
      </c>
      <c r="BR513" s="7">
        <v>0</v>
      </c>
      <c r="BT513" s="7">
        <v>0</v>
      </c>
      <c r="BV513" s="8">
        <f t="shared" si="121"/>
        <v>39402059</v>
      </c>
      <c r="BW513" s="8"/>
      <c r="BX513" s="8">
        <f>BV513-'Gov Fd BS'!AE513</f>
        <v>0</v>
      </c>
      <c r="BY513" s="8"/>
      <c r="CB513" s="101" t="str">
        <f t="shared" si="118"/>
        <v>Springfield Local SD</v>
      </c>
      <c r="CC513" s="101" t="b">
        <f t="shared" si="115"/>
        <v>1</v>
      </c>
      <c r="CD513" s="101" t="str">
        <f>'Gov Fd Rv'!A513</f>
        <v>Springfield Local SD</v>
      </c>
      <c r="CE513" s="8" t="b">
        <f t="shared" si="114"/>
        <v>1</v>
      </c>
      <c r="CG513" s="8" t="str">
        <f t="shared" si="116"/>
        <v>Summit</v>
      </c>
      <c r="CH513" s="8" t="b">
        <f t="shared" si="117"/>
        <v>1</v>
      </c>
      <c r="CI513" s="8" t="b">
        <f>C513='Gov Fd Rv'!C513</f>
        <v>1</v>
      </c>
    </row>
    <row r="514" spans="1:87">
      <c r="A514" s="12" t="s">
        <v>896</v>
      </c>
      <c r="B514" s="12"/>
      <c r="C514" s="12" t="s">
        <v>32</v>
      </c>
      <c r="D514" s="12"/>
      <c r="E514" s="12">
        <v>44719</v>
      </c>
      <c r="G514" s="7">
        <v>5735987</v>
      </c>
      <c r="I514" s="7">
        <v>1587543</v>
      </c>
      <c r="K514" s="7">
        <v>0</v>
      </c>
      <c r="M514" s="7">
        <v>0</v>
      </c>
      <c r="O514" s="7">
        <v>92523</v>
      </c>
      <c r="Q514" s="7">
        <v>918970</v>
      </c>
      <c r="S514" s="7">
        <v>884990</v>
      </c>
      <c r="U514" s="7">
        <v>14907</v>
      </c>
      <c r="W514" s="7">
        <v>911162</v>
      </c>
      <c r="Y514" s="7">
        <v>528094</v>
      </c>
      <c r="AA514" s="7">
        <v>0</v>
      </c>
      <c r="AC514" s="7">
        <v>1279822</v>
      </c>
      <c r="AE514" s="7">
        <v>383060</v>
      </c>
      <c r="AG514" s="7">
        <v>146456</v>
      </c>
      <c r="AI514" s="7">
        <v>0</v>
      </c>
      <c r="AK514" s="7">
        <v>1003911</v>
      </c>
      <c r="AL514" s="12" t="s">
        <v>896</v>
      </c>
      <c r="AM514" s="12"/>
      <c r="AN514" s="12" t="s">
        <v>32</v>
      </c>
      <c r="AP514" s="7">
        <v>224199</v>
      </c>
      <c r="AR514" s="7">
        <v>0</v>
      </c>
      <c r="AT514" s="7">
        <v>0</v>
      </c>
      <c r="AV514" s="7">
        <v>113000</v>
      </c>
      <c r="AX514" s="7">
        <v>58462</v>
      </c>
      <c r="AZ514" s="7">
        <v>0</v>
      </c>
      <c r="BB514" s="8">
        <f t="shared" si="119"/>
        <v>13883086</v>
      </c>
      <c r="BD514" s="7">
        <v>676450</v>
      </c>
      <c r="BF514" s="7">
        <v>0</v>
      </c>
      <c r="BH514" s="7">
        <v>0</v>
      </c>
      <c r="BJ514" s="7">
        <v>0</v>
      </c>
      <c r="BL514" s="8">
        <f t="shared" si="120"/>
        <v>14559536</v>
      </c>
      <c r="BN514" s="8">
        <f>'Gov Fd Rv'!AQ514-'Gov Fnd Exp'!BL514</f>
        <v>1205963</v>
      </c>
      <c r="BP514" s="7">
        <v>5984096</v>
      </c>
      <c r="BR514" s="7">
        <v>0</v>
      </c>
      <c r="BT514" s="7">
        <v>0</v>
      </c>
      <c r="BV514" s="8">
        <f t="shared" si="121"/>
        <v>7190059</v>
      </c>
      <c r="BW514" s="8"/>
      <c r="BX514" s="8">
        <f>BV514-'Gov Fd BS'!AE514</f>
        <v>0</v>
      </c>
      <c r="BY514" s="8"/>
      <c r="CB514" s="101" t="str">
        <f t="shared" si="118"/>
        <v>St. Bernard-Elmwood Place City SD</v>
      </c>
      <c r="CC514" s="101" t="b">
        <f t="shared" si="115"/>
        <v>1</v>
      </c>
      <c r="CD514" s="101" t="str">
        <f>'Gov Fd Rv'!A514</f>
        <v>St. Bernard-Elmwood Place City SD</v>
      </c>
      <c r="CE514" s="8" t="b">
        <f t="shared" si="114"/>
        <v>1</v>
      </c>
      <c r="CG514" s="8" t="str">
        <f t="shared" si="116"/>
        <v>Hamilton</v>
      </c>
      <c r="CH514" s="8" t="b">
        <f t="shared" si="117"/>
        <v>1</v>
      </c>
      <c r="CI514" s="8" t="b">
        <f>C514='Gov Fd Rv'!C514</f>
        <v>1</v>
      </c>
    </row>
    <row r="515" spans="1:87">
      <c r="A515" s="12" t="s">
        <v>897</v>
      </c>
      <c r="B515" s="12"/>
      <c r="C515" s="12" t="s">
        <v>15</v>
      </c>
      <c r="D515" s="12"/>
      <c r="E515" s="12">
        <v>45997</v>
      </c>
      <c r="G515" s="7">
        <v>7492679</v>
      </c>
      <c r="I515" s="7">
        <v>1621809</v>
      </c>
      <c r="K515" s="7">
        <v>5730</v>
      </c>
      <c r="M515" s="7">
        <v>0</v>
      </c>
      <c r="O515" s="7">
        <v>0</v>
      </c>
      <c r="Q515" s="7">
        <v>867735</v>
      </c>
      <c r="S515" s="7">
        <v>634804</v>
      </c>
      <c r="U515" s="7">
        <v>22952</v>
      </c>
      <c r="W515" s="7">
        <v>1053313</v>
      </c>
      <c r="Y515" s="7">
        <v>531232</v>
      </c>
      <c r="AA515" s="7">
        <v>0</v>
      </c>
      <c r="AC515" s="7">
        <v>1363753</v>
      </c>
      <c r="AE515" s="7">
        <v>687356</v>
      </c>
      <c r="AG515" s="7">
        <v>263821</v>
      </c>
      <c r="AI515" s="7">
        <v>355542</v>
      </c>
      <c r="AK515" s="7">
        <v>142134</v>
      </c>
      <c r="AL515" s="12" t="s">
        <v>897</v>
      </c>
      <c r="AM515" s="12"/>
      <c r="AN515" s="12" t="s">
        <v>15</v>
      </c>
      <c r="AP515" s="7">
        <v>718414</v>
      </c>
      <c r="AR515" s="7">
        <v>51366</v>
      </c>
      <c r="AT515" s="7">
        <v>0</v>
      </c>
      <c r="AV515" s="7">
        <v>886658</v>
      </c>
      <c r="AX515" s="7">
        <v>105142</v>
      </c>
      <c r="AZ515" s="7">
        <v>0</v>
      </c>
      <c r="BB515" s="8">
        <f t="shared" si="119"/>
        <v>16804440</v>
      </c>
      <c r="BD515" s="7">
        <v>0</v>
      </c>
      <c r="BF515" s="7">
        <v>0</v>
      </c>
      <c r="BH515" s="7">
        <v>0</v>
      </c>
      <c r="BJ515" s="7">
        <v>0</v>
      </c>
      <c r="BL515" s="8">
        <f t="shared" si="120"/>
        <v>16804440</v>
      </c>
      <c r="BN515" s="8">
        <f>'Gov Fd Rv'!AQ515-'Gov Fnd Exp'!BL515</f>
        <v>-1046646</v>
      </c>
      <c r="BP515" s="7">
        <v>2783721</v>
      </c>
      <c r="BR515" s="7">
        <v>0</v>
      </c>
      <c r="BT515" s="7">
        <v>0</v>
      </c>
      <c r="BV515" s="8">
        <f t="shared" si="121"/>
        <v>1737075</v>
      </c>
      <c r="BW515" s="8"/>
      <c r="BX515" s="8">
        <f>BV515-'Gov Fd BS'!AE515</f>
        <v>0</v>
      </c>
      <c r="BY515" s="8"/>
      <c r="CB515" s="101" t="str">
        <f t="shared" si="118"/>
        <v>St. Clairsville-Richland City SD</v>
      </c>
      <c r="CC515" s="101" t="b">
        <f t="shared" si="115"/>
        <v>1</v>
      </c>
      <c r="CD515" s="101" t="str">
        <f>'Gov Fd Rv'!A515</f>
        <v>St. Clairsville-Richland City SD</v>
      </c>
      <c r="CE515" s="8" t="b">
        <f t="shared" si="114"/>
        <v>1</v>
      </c>
      <c r="CG515" s="8" t="str">
        <f t="shared" si="116"/>
        <v>Belmont</v>
      </c>
      <c r="CH515" s="8" t="b">
        <f t="shared" si="117"/>
        <v>1</v>
      </c>
      <c r="CI515" s="8" t="b">
        <f>C515='Gov Fd Rv'!C515</f>
        <v>1</v>
      </c>
    </row>
    <row r="516" spans="1:87" hidden="1">
      <c r="A516" s="12" t="s">
        <v>742</v>
      </c>
      <c r="B516" s="12"/>
      <c r="C516" s="12" t="s">
        <v>435</v>
      </c>
      <c r="D516" s="12"/>
      <c r="E516" s="12">
        <v>48587</v>
      </c>
      <c r="AL516" s="12" t="s">
        <v>742</v>
      </c>
      <c r="AM516" s="12"/>
      <c r="AN516" s="12" t="s">
        <v>435</v>
      </c>
      <c r="BB516" s="8">
        <f t="shared" si="119"/>
        <v>0</v>
      </c>
      <c r="BL516" s="8">
        <f t="shared" si="120"/>
        <v>0</v>
      </c>
      <c r="BN516" s="8">
        <f>'Gov Fd Rv'!AQ516-'Gov Fnd Exp'!BL516</f>
        <v>0</v>
      </c>
      <c r="BV516" s="8">
        <f t="shared" si="121"/>
        <v>0</v>
      </c>
      <c r="BW516" s="8"/>
      <c r="BX516" s="8">
        <f>BV516-'Gov Fd BS'!AE516</f>
        <v>0</v>
      </c>
      <c r="BY516" s="8"/>
      <c r="BZ516" s="7" t="s">
        <v>789</v>
      </c>
      <c r="CB516" s="101" t="str">
        <f t="shared" si="118"/>
        <v>St Henry Consolidated Local SD (CASH)</v>
      </c>
      <c r="CC516" s="101" t="b">
        <f t="shared" si="115"/>
        <v>1</v>
      </c>
      <c r="CD516" s="101" t="str">
        <f>'Gov Fd Rv'!A516</f>
        <v>St Henry Consolidated Local SD (CASH)</v>
      </c>
      <c r="CE516" s="8" t="b">
        <f t="shared" si="114"/>
        <v>1</v>
      </c>
      <c r="CG516" s="8" t="str">
        <f t="shared" si="116"/>
        <v>Mercer</v>
      </c>
      <c r="CH516" s="8" t="b">
        <f t="shared" si="117"/>
        <v>1</v>
      </c>
      <c r="CI516" s="8" t="b">
        <f>C516='Gov Fd Rv'!C516</f>
        <v>1</v>
      </c>
    </row>
    <row r="517" spans="1:87" hidden="1">
      <c r="A517" s="12" t="s">
        <v>743</v>
      </c>
      <c r="B517" s="12"/>
      <c r="C517" s="12" t="s">
        <v>14</v>
      </c>
      <c r="D517" s="12"/>
      <c r="E517" s="12">
        <v>44727</v>
      </c>
      <c r="AL517" s="12" t="s">
        <v>743</v>
      </c>
      <c r="AM517" s="12"/>
      <c r="AN517" s="12" t="s">
        <v>14</v>
      </c>
      <c r="BB517" s="8">
        <f t="shared" si="119"/>
        <v>0</v>
      </c>
      <c r="BL517" s="8">
        <f t="shared" si="120"/>
        <v>0</v>
      </c>
      <c r="BN517" s="8">
        <f>'Gov Fd Rv'!AQ517-'Gov Fnd Exp'!BL517</f>
        <v>0</v>
      </c>
      <c r="BV517" s="8">
        <f t="shared" si="121"/>
        <v>0</v>
      </c>
      <c r="BW517" s="8"/>
      <c r="BX517" s="8">
        <f>BV517-'Gov Fd BS'!AE517</f>
        <v>0</v>
      </c>
      <c r="BY517" s="8"/>
      <c r="BZ517" s="7" t="s">
        <v>789</v>
      </c>
      <c r="CB517" s="101" t="str">
        <f t="shared" si="118"/>
        <v>St Marys City SD (CASH)</v>
      </c>
      <c r="CC517" s="101" t="b">
        <f t="shared" si="115"/>
        <v>1</v>
      </c>
      <c r="CD517" s="101" t="str">
        <f>'Gov Fd Rv'!A517</f>
        <v>St Marys City SD (CASH)</v>
      </c>
      <c r="CE517" s="8" t="b">
        <f t="shared" si="114"/>
        <v>1</v>
      </c>
      <c r="CG517" s="8" t="str">
        <f t="shared" si="116"/>
        <v>Auglaize</v>
      </c>
      <c r="CH517" s="8" t="b">
        <f t="shared" si="117"/>
        <v>1</v>
      </c>
      <c r="CI517" s="8" t="b">
        <f>C517='Gov Fd Rv'!C517</f>
        <v>1</v>
      </c>
    </row>
    <row r="518" spans="1:87">
      <c r="A518" s="12" t="s">
        <v>374</v>
      </c>
      <c r="B518" s="12"/>
      <c r="C518" s="12" t="s">
        <v>39</v>
      </c>
      <c r="D518" s="12"/>
      <c r="E518" s="12">
        <v>44826</v>
      </c>
      <c r="G518" s="7">
        <v>9600151</v>
      </c>
      <c r="I518" s="7">
        <v>4082572</v>
      </c>
      <c r="K518" s="7">
        <v>823818</v>
      </c>
      <c r="M518" s="7">
        <v>0</v>
      </c>
      <c r="O518" s="7">
        <v>53439</v>
      </c>
      <c r="Q518" s="7">
        <v>1096313</v>
      </c>
      <c r="S518" s="7">
        <v>863702</v>
      </c>
      <c r="U518" s="7">
        <v>43192</v>
      </c>
      <c r="W518" s="7">
        <v>1913663</v>
      </c>
      <c r="Y518" s="7">
        <v>452608</v>
      </c>
      <c r="AA518" s="7">
        <v>209864</v>
      </c>
      <c r="AC518" s="7">
        <v>2465775</v>
      </c>
      <c r="AE518" s="7">
        <v>652647</v>
      </c>
      <c r="AG518" s="7">
        <v>43385</v>
      </c>
      <c r="AI518" s="7">
        <v>904024</v>
      </c>
      <c r="AK518" s="7">
        <v>635051</v>
      </c>
      <c r="AL518" s="12" t="s">
        <v>374</v>
      </c>
      <c r="AM518" s="12"/>
      <c r="AN518" s="12" t="s">
        <v>39</v>
      </c>
      <c r="AP518" s="7">
        <v>656027</v>
      </c>
      <c r="AR518" s="7">
        <v>607635</v>
      </c>
      <c r="AT518" s="7">
        <v>0</v>
      </c>
      <c r="AV518" s="7">
        <v>324622</v>
      </c>
      <c r="AX518" s="7">
        <f>235098+67840+480378</f>
        <v>783316</v>
      </c>
      <c r="AZ518" s="7">
        <v>0</v>
      </c>
      <c r="BB518" s="8">
        <f t="shared" si="119"/>
        <v>26211804</v>
      </c>
      <c r="BD518" s="7">
        <v>0</v>
      </c>
      <c r="BF518" s="7">
        <v>0</v>
      </c>
      <c r="BH518" s="7">
        <v>0</v>
      </c>
      <c r="BJ518" s="7">
        <v>2166484</v>
      </c>
      <c r="BL518" s="8">
        <f t="shared" si="120"/>
        <v>28378288</v>
      </c>
      <c r="BN518" s="8">
        <f>'Gov Fd Rv'!AQ518-'Gov Fnd Exp'!BL518</f>
        <v>94489</v>
      </c>
      <c r="BP518" s="7">
        <v>11869808</v>
      </c>
      <c r="BR518" s="7">
        <v>0</v>
      </c>
      <c r="BT518" s="7">
        <v>0</v>
      </c>
      <c r="BV518" s="8">
        <f t="shared" si="121"/>
        <v>11964297</v>
      </c>
      <c r="BW518" s="8"/>
      <c r="BX518" s="8">
        <f>BV518-'Gov Fd BS'!AE518</f>
        <v>0</v>
      </c>
      <c r="BY518" s="8"/>
      <c r="CB518" s="101" t="str">
        <f t="shared" si="118"/>
        <v>Steubenville City SD</v>
      </c>
      <c r="CC518" s="101" t="b">
        <f t="shared" si="115"/>
        <v>1</v>
      </c>
      <c r="CD518" s="101" t="str">
        <f>'Gov Fd Rv'!A518</f>
        <v>Steubenville City SD</v>
      </c>
      <c r="CE518" s="8" t="b">
        <f t="shared" si="114"/>
        <v>1</v>
      </c>
      <c r="CG518" s="8" t="str">
        <f t="shared" si="116"/>
        <v>Jefferson</v>
      </c>
      <c r="CH518" s="8" t="b">
        <f t="shared" si="117"/>
        <v>1</v>
      </c>
      <c r="CI518" s="8" t="b">
        <f>C518='Gov Fd Rv'!C518</f>
        <v>1</v>
      </c>
    </row>
    <row r="519" spans="1:87">
      <c r="A519" s="12" t="s">
        <v>530</v>
      </c>
      <c r="B519" s="12"/>
      <c r="C519" s="12" t="s">
        <v>63</v>
      </c>
      <c r="D519" s="12"/>
      <c r="E519" s="12">
        <v>44834</v>
      </c>
      <c r="G519" s="7">
        <v>26353173</v>
      </c>
      <c r="I519" s="7">
        <v>5609467</v>
      </c>
      <c r="K519" s="7">
        <v>1594424</v>
      </c>
      <c r="M519" s="7">
        <v>0</v>
      </c>
      <c r="O519" s="7">
        <v>270997</v>
      </c>
      <c r="Q519" s="7">
        <v>3065045</v>
      </c>
      <c r="S519" s="7">
        <v>2446433</v>
      </c>
      <c r="U519" s="7">
        <v>373274</v>
      </c>
      <c r="W519" s="7">
        <v>3595432</v>
      </c>
      <c r="Y519" s="7">
        <v>1296056</v>
      </c>
      <c r="AA519" s="7">
        <v>61971</v>
      </c>
      <c r="AC519" s="7">
        <v>5091881</v>
      </c>
      <c r="AE519" s="7">
        <v>3187402</v>
      </c>
      <c r="AG519" s="7">
        <v>609170</v>
      </c>
      <c r="AI519" s="7">
        <v>1299824</v>
      </c>
      <c r="AK519" s="7">
        <v>371902</v>
      </c>
      <c r="AL519" s="12" t="s">
        <v>530</v>
      </c>
      <c r="AM519" s="12"/>
      <c r="AN519" s="12" t="s">
        <v>63</v>
      </c>
      <c r="AP519" s="7">
        <v>1159404</v>
      </c>
      <c r="AR519" s="7">
        <v>603629</v>
      </c>
      <c r="AT519" s="7">
        <v>0</v>
      </c>
      <c r="AV519" s="7">
        <v>235000</v>
      </c>
      <c r="AX519" s="7">
        <v>132100</v>
      </c>
      <c r="AZ519" s="7">
        <v>0</v>
      </c>
      <c r="BB519" s="8">
        <f t="shared" si="119"/>
        <v>57356584</v>
      </c>
      <c r="BD519" s="7">
        <v>3743</v>
      </c>
      <c r="BF519" s="7">
        <v>0</v>
      </c>
      <c r="BH519" s="7">
        <v>0</v>
      </c>
      <c r="BJ519" s="7">
        <v>0</v>
      </c>
      <c r="BL519" s="8">
        <f t="shared" si="120"/>
        <v>57360327</v>
      </c>
      <c r="BN519" s="8">
        <f>'Gov Fd Rv'!AQ519-'Gov Fnd Exp'!BL519</f>
        <v>874279</v>
      </c>
      <c r="BP519" s="7">
        <v>11966446</v>
      </c>
      <c r="BR519" s="7">
        <v>0</v>
      </c>
      <c r="BT519" s="7">
        <v>0</v>
      </c>
      <c r="BV519" s="8">
        <f t="shared" si="121"/>
        <v>12840725</v>
      </c>
      <c r="BW519" s="8"/>
      <c r="BX519" s="8">
        <f>BV519-'Gov Fd BS'!AE519</f>
        <v>0</v>
      </c>
      <c r="BY519" s="8"/>
      <c r="CB519" s="101" t="str">
        <f t="shared" si="118"/>
        <v>Stow-Munroe Falls City SD</v>
      </c>
      <c r="CC519" s="101" t="b">
        <f t="shared" si="115"/>
        <v>1</v>
      </c>
      <c r="CD519" s="101" t="str">
        <f>'Gov Fd Rv'!A519</f>
        <v>Stow-Munroe Falls City SD</v>
      </c>
      <c r="CE519" s="8" t="b">
        <f t="shared" si="114"/>
        <v>1</v>
      </c>
      <c r="CG519" s="8" t="str">
        <f t="shared" si="116"/>
        <v>Summit</v>
      </c>
      <c r="CH519" s="8" t="b">
        <f t="shared" si="117"/>
        <v>1</v>
      </c>
      <c r="CI519" s="8" t="b">
        <f>C519='Gov Fd Rv'!C519</f>
        <v>1</v>
      </c>
    </row>
    <row r="520" spans="1:87" hidden="1">
      <c r="A520" s="12" t="s">
        <v>744</v>
      </c>
      <c r="B520" s="12"/>
      <c r="C520" s="12" t="s">
        <v>65</v>
      </c>
      <c r="D520" s="12"/>
      <c r="E520" s="12">
        <v>50294</v>
      </c>
      <c r="AL520" s="12" t="s">
        <v>744</v>
      </c>
      <c r="AM520" s="12"/>
      <c r="AN520" s="12" t="s">
        <v>65</v>
      </c>
      <c r="BB520" s="8">
        <f t="shared" si="119"/>
        <v>0</v>
      </c>
      <c r="BL520" s="8">
        <f t="shared" si="120"/>
        <v>0</v>
      </c>
      <c r="BN520" s="8">
        <f>'Gov Fd Rv'!AQ520-'Gov Fnd Exp'!BL520</f>
        <v>0</v>
      </c>
      <c r="BV520" s="8">
        <f t="shared" si="121"/>
        <v>0</v>
      </c>
      <c r="BW520" s="8"/>
      <c r="BX520" s="8">
        <f>BV520-'Gov Fd BS'!AE520</f>
        <v>0</v>
      </c>
      <c r="BY520" s="8"/>
      <c r="BZ520" s="7" t="s">
        <v>792</v>
      </c>
      <c r="CB520" s="101" t="str">
        <f t="shared" si="118"/>
        <v>Strasburg-Franklin Local SD (CASH)</v>
      </c>
      <c r="CC520" s="101" t="b">
        <f t="shared" si="115"/>
        <v>1</v>
      </c>
      <c r="CD520" s="101" t="str">
        <f>'Gov Fd Rv'!A520</f>
        <v>Strasburg-Franklin Local SD (CASH)</v>
      </c>
      <c r="CE520" s="8" t="b">
        <f t="shared" si="114"/>
        <v>1</v>
      </c>
      <c r="CG520" s="8" t="str">
        <f t="shared" si="116"/>
        <v>Tuscarawas</v>
      </c>
      <c r="CH520" s="8" t="b">
        <f t="shared" si="117"/>
        <v>1</v>
      </c>
      <c r="CI520" s="8" t="b">
        <f>C520='Gov Fd Rv'!C520</f>
        <v>1</v>
      </c>
    </row>
    <row r="521" spans="1:87">
      <c r="A521" s="12" t="s">
        <v>479</v>
      </c>
      <c r="B521" s="12"/>
      <c r="C521" s="12" t="s">
        <v>56</v>
      </c>
      <c r="D521" s="12"/>
      <c r="E521" s="12">
        <v>49239</v>
      </c>
      <c r="G521" s="7">
        <v>9752032</v>
      </c>
      <c r="I521" s="7">
        <v>1581498</v>
      </c>
      <c r="K521" s="7">
        <v>93720</v>
      </c>
      <c r="M521" s="7">
        <v>0</v>
      </c>
      <c r="O521" s="7">
        <f>223477+1150927</f>
        <v>1374404</v>
      </c>
      <c r="Q521" s="7">
        <v>1214702</v>
      </c>
      <c r="S521" s="7">
        <v>1243782</v>
      </c>
      <c r="U521" s="7">
        <v>267823</v>
      </c>
      <c r="W521" s="7">
        <v>1472908</v>
      </c>
      <c r="Y521" s="7">
        <v>676164</v>
      </c>
      <c r="AA521" s="7">
        <v>156539</v>
      </c>
      <c r="AC521" s="7">
        <v>1640191</v>
      </c>
      <c r="AE521" s="7">
        <v>971696</v>
      </c>
      <c r="AG521" s="7">
        <v>74385</v>
      </c>
      <c r="AI521" s="7">
        <v>699686</v>
      </c>
      <c r="AK521" s="7">
        <v>135233</v>
      </c>
      <c r="AL521" s="12" t="s">
        <v>479</v>
      </c>
      <c r="AM521" s="12"/>
      <c r="AN521" s="12" t="s">
        <v>56</v>
      </c>
      <c r="AP521" s="7">
        <v>499815</v>
      </c>
      <c r="AR521" s="7">
        <v>4068716</v>
      </c>
      <c r="AT521" s="7">
        <v>0</v>
      </c>
      <c r="AV521" s="7">
        <v>950000</v>
      </c>
      <c r="AX521" s="7">
        <v>523611</v>
      </c>
      <c r="AZ521" s="7">
        <v>0</v>
      </c>
      <c r="BB521" s="8">
        <f t="shared" si="119"/>
        <v>27396905</v>
      </c>
      <c r="BD521" s="7">
        <v>50898</v>
      </c>
      <c r="BF521" s="7">
        <v>0</v>
      </c>
      <c r="BH521" s="7">
        <v>0</v>
      </c>
      <c r="BJ521" s="7">
        <v>0</v>
      </c>
      <c r="BL521" s="8">
        <f t="shared" si="120"/>
        <v>27447803</v>
      </c>
      <c r="BN521" s="8">
        <f>'Gov Fd Rv'!AQ521-'Gov Fnd Exp'!BL521</f>
        <v>1293802</v>
      </c>
      <c r="BP521" s="7">
        <v>1465642</v>
      </c>
      <c r="BR521" s="7">
        <v>0</v>
      </c>
      <c r="BT521" s="7">
        <v>0</v>
      </c>
      <c r="BV521" s="8">
        <f t="shared" si="121"/>
        <v>2759444</v>
      </c>
      <c r="BW521" s="8"/>
      <c r="BX521" s="8">
        <f>BV521-'Gov Fd BS'!AE521</f>
        <v>0</v>
      </c>
      <c r="BY521" s="8"/>
      <c r="CB521" s="101" t="str">
        <f t="shared" si="118"/>
        <v>Streetsboro City SD</v>
      </c>
      <c r="CC521" s="101" t="b">
        <f t="shared" si="115"/>
        <v>1</v>
      </c>
      <c r="CD521" s="101" t="str">
        <f>'Gov Fd Rv'!A521</f>
        <v>Streetsboro City SD</v>
      </c>
      <c r="CE521" s="8" t="b">
        <f t="shared" si="114"/>
        <v>1</v>
      </c>
      <c r="CG521" s="8" t="str">
        <f t="shared" si="116"/>
        <v>Portage</v>
      </c>
      <c r="CH521" s="8" t="b">
        <f t="shared" si="117"/>
        <v>1</v>
      </c>
      <c r="CI521" s="8" t="b">
        <f>C521='Gov Fd Rv'!C521</f>
        <v>1</v>
      </c>
    </row>
    <row r="522" spans="1:87">
      <c r="A522" s="12" t="s">
        <v>285</v>
      </c>
      <c r="B522" s="12"/>
      <c r="C522" s="12" t="s">
        <v>20</v>
      </c>
      <c r="D522" s="12"/>
      <c r="E522" s="12">
        <v>44842</v>
      </c>
      <c r="G522" s="7">
        <v>40424761</v>
      </c>
      <c r="I522" s="7">
        <v>5278095</v>
      </c>
      <c r="K522" s="7">
        <v>301509</v>
      </c>
      <c r="M522" s="7">
        <v>8969</v>
      </c>
      <c r="O522" s="7">
        <v>62845</v>
      </c>
      <c r="Q522" s="7">
        <v>3085303</v>
      </c>
      <c r="S522" s="7">
        <v>3474301</v>
      </c>
      <c r="U522" s="7">
        <v>26569</v>
      </c>
      <c r="W522" s="7">
        <v>3149041</v>
      </c>
      <c r="Y522" s="7">
        <v>5971233</v>
      </c>
      <c r="AA522" s="7">
        <v>586554</v>
      </c>
      <c r="AC522" s="7">
        <v>7224860</v>
      </c>
      <c r="AE522" s="7">
        <v>4038172</v>
      </c>
      <c r="AG522" s="7">
        <v>777975</v>
      </c>
      <c r="AI522" s="7">
        <v>2006042</v>
      </c>
      <c r="AK522" s="7">
        <v>517093</v>
      </c>
      <c r="AL522" s="12" t="s">
        <v>285</v>
      </c>
      <c r="AM522" s="12"/>
      <c r="AN522" s="12" t="s">
        <v>20</v>
      </c>
      <c r="AP522" s="7">
        <v>485814</v>
      </c>
      <c r="AR522" s="7">
        <v>0</v>
      </c>
      <c r="AT522" s="7">
        <v>0</v>
      </c>
      <c r="AV522" s="7">
        <v>3583497</v>
      </c>
      <c r="AX522" s="7">
        <v>929072</v>
      </c>
      <c r="AZ522" s="7">
        <v>0</v>
      </c>
      <c r="BB522" s="8">
        <f t="shared" si="119"/>
        <v>81931705</v>
      </c>
      <c r="BD522" s="7">
        <v>101935</v>
      </c>
      <c r="BF522" s="7">
        <v>0</v>
      </c>
      <c r="BH522" s="7">
        <v>0</v>
      </c>
      <c r="BJ522" s="7">
        <v>0</v>
      </c>
      <c r="BL522" s="8">
        <f t="shared" si="120"/>
        <v>82033640</v>
      </c>
      <c r="BN522" s="8">
        <f>'Gov Fd Rv'!AQ522-'Gov Fnd Exp'!BL522</f>
        <v>1961190</v>
      </c>
      <c r="BP522" s="7">
        <v>-553638</v>
      </c>
      <c r="BR522" s="7">
        <v>0</v>
      </c>
      <c r="BT522" s="7">
        <v>0</v>
      </c>
      <c r="BV522" s="8">
        <f t="shared" si="121"/>
        <v>1407552</v>
      </c>
      <c r="BW522" s="8"/>
      <c r="BX522" s="8">
        <f>BV522-'Gov Fd BS'!AE522</f>
        <v>0</v>
      </c>
      <c r="BY522" s="8"/>
      <c r="CB522" s="101" t="str">
        <f t="shared" si="118"/>
        <v>Strongsville City SD</v>
      </c>
      <c r="CC522" s="101" t="b">
        <f t="shared" si="115"/>
        <v>1</v>
      </c>
      <c r="CD522" s="101" t="str">
        <f>'Gov Fd Rv'!A522</f>
        <v>Strongsville City SD</v>
      </c>
      <c r="CE522" s="8" t="b">
        <f t="shared" si="114"/>
        <v>1</v>
      </c>
      <c r="CG522" s="8" t="str">
        <f t="shared" si="116"/>
        <v>Cuyahoga</v>
      </c>
      <c r="CH522" s="8" t="b">
        <f t="shared" si="117"/>
        <v>1</v>
      </c>
      <c r="CI522" s="8" t="b">
        <f>C522='Gov Fd Rv'!C522</f>
        <v>1</v>
      </c>
    </row>
    <row r="523" spans="1:87">
      <c r="A523" s="12" t="s">
        <v>420</v>
      </c>
      <c r="B523" s="12"/>
      <c r="C523" s="12" t="s">
        <v>45</v>
      </c>
      <c r="D523" s="12"/>
      <c r="E523" s="12">
        <v>44859</v>
      </c>
      <c r="G523" s="7">
        <v>8303438</v>
      </c>
      <c r="I523" s="7">
        <v>3515479</v>
      </c>
      <c r="K523" s="7">
        <v>543123</v>
      </c>
      <c r="M523" s="7">
        <v>0</v>
      </c>
      <c r="O523" s="7">
        <v>1264211</v>
      </c>
      <c r="Q523" s="7">
        <v>594674</v>
      </c>
      <c r="S523" s="7">
        <v>265481</v>
      </c>
      <c r="U523" s="7">
        <v>53028</v>
      </c>
      <c r="W523" s="7">
        <v>1193745</v>
      </c>
      <c r="Y523" s="7">
        <v>501604</v>
      </c>
      <c r="AA523" s="7">
        <v>60352</v>
      </c>
      <c r="AC523" s="7">
        <v>1846423</v>
      </c>
      <c r="AE523" s="7">
        <v>452647</v>
      </c>
      <c r="AG523" s="7">
        <v>53586</v>
      </c>
      <c r="AI523" s="7">
        <v>820211</v>
      </c>
      <c r="AK523" s="7">
        <v>141454</v>
      </c>
      <c r="AL523" s="12" t="s">
        <v>420</v>
      </c>
      <c r="AM523" s="12"/>
      <c r="AN523" s="12" t="s">
        <v>45</v>
      </c>
      <c r="AP523" s="7">
        <v>593697</v>
      </c>
      <c r="AR523" s="7">
        <v>403055</v>
      </c>
      <c r="AT523" s="7">
        <v>0</v>
      </c>
      <c r="AV523" s="7">
        <v>455500</v>
      </c>
      <c r="AX523" s="7">
        <f>159838+62356</f>
        <v>222194</v>
      </c>
      <c r="AZ523" s="7">
        <v>0</v>
      </c>
      <c r="BB523" s="8">
        <f t="shared" si="119"/>
        <v>21283902</v>
      </c>
      <c r="BD523" s="7">
        <v>66365</v>
      </c>
      <c r="BF523" s="7">
        <v>0</v>
      </c>
      <c r="BH523" s="7">
        <v>0</v>
      </c>
      <c r="BJ523" s="7">
        <v>2019830</v>
      </c>
      <c r="BL523" s="8">
        <f t="shared" si="120"/>
        <v>23370097</v>
      </c>
      <c r="BN523" s="8">
        <f>'Gov Fd Rv'!AQ523-'Gov Fnd Exp'!BL523</f>
        <v>1261573</v>
      </c>
      <c r="BP523" s="7">
        <v>6388000</v>
      </c>
      <c r="BR523" s="7">
        <v>0</v>
      </c>
      <c r="BT523" s="7">
        <v>0</v>
      </c>
      <c r="BV523" s="8">
        <f t="shared" si="121"/>
        <v>7649573</v>
      </c>
      <c r="BW523" s="8"/>
      <c r="BX523" s="8">
        <f>BV523-'Gov Fd BS'!AE523</f>
        <v>0</v>
      </c>
      <c r="BY523" s="8"/>
      <c r="CB523" s="101" t="str">
        <f t="shared" si="118"/>
        <v>Struthers City SD</v>
      </c>
      <c r="CC523" s="101" t="b">
        <f t="shared" si="115"/>
        <v>1</v>
      </c>
      <c r="CD523" s="101" t="str">
        <f>'Gov Fd Rv'!A523</f>
        <v>Struthers City SD</v>
      </c>
      <c r="CE523" s="8" t="b">
        <f t="shared" si="114"/>
        <v>1</v>
      </c>
      <c r="CG523" s="8" t="str">
        <f t="shared" si="116"/>
        <v>Mahoning</v>
      </c>
      <c r="CH523" s="8" t="b">
        <f t="shared" si="117"/>
        <v>1</v>
      </c>
      <c r="CI523" s="8" t="b">
        <f>C523='Gov Fd Rv'!C523</f>
        <v>1</v>
      </c>
    </row>
    <row r="524" spans="1:87">
      <c r="A524" s="12" t="s">
        <v>571</v>
      </c>
      <c r="B524" s="12"/>
      <c r="C524" s="12" t="s">
        <v>570</v>
      </c>
      <c r="D524" s="12"/>
      <c r="E524" s="12">
        <v>50658</v>
      </c>
      <c r="G524" s="7">
        <v>2139154</v>
      </c>
      <c r="I524" s="7">
        <v>427794</v>
      </c>
      <c r="K524" s="7">
        <v>264</v>
      </c>
      <c r="M524" s="7">
        <v>3850</v>
      </c>
      <c r="O524" s="7">
        <v>342096</v>
      </c>
      <c r="Q524" s="7">
        <v>146917</v>
      </c>
      <c r="S524" s="7">
        <v>277325</v>
      </c>
      <c r="U524" s="7">
        <v>18165</v>
      </c>
      <c r="W524" s="7">
        <v>398054</v>
      </c>
      <c r="Y524" s="7">
        <v>207271</v>
      </c>
      <c r="AA524" s="7">
        <v>15327</v>
      </c>
      <c r="AC524" s="7">
        <v>408791</v>
      </c>
      <c r="AE524" s="7">
        <v>160637</v>
      </c>
      <c r="AG524" s="7">
        <v>36142</v>
      </c>
      <c r="AI524" s="7">
        <v>0</v>
      </c>
      <c r="AK524" s="7">
        <v>204080</v>
      </c>
      <c r="AL524" s="12" t="s">
        <v>571</v>
      </c>
      <c r="AM524" s="12"/>
      <c r="AN524" s="12" t="s">
        <v>570</v>
      </c>
      <c r="AP524" s="7">
        <v>195388</v>
      </c>
      <c r="AR524" s="7">
        <v>11041</v>
      </c>
      <c r="AT524" s="7">
        <v>0</v>
      </c>
      <c r="AV524" s="7">
        <v>219078</v>
      </c>
      <c r="AX524" s="7">
        <v>219793</v>
      </c>
      <c r="AZ524" s="7">
        <v>0</v>
      </c>
      <c r="BB524" s="8">
        <f t="shared" si="119"/>
        <v>5431167</v>
      </c>
      <c r="BD524" s="7">
        <v>22888</v>
      </c>
      <c r="BF524" s="7">
        <v>0</v>
      </c>
      <c r="BH524" s="7">
        <v>0</v>
      </c>
      <c r="BJ524" s="7">
        <v>0</v>
      </c>
      <c r="BL524" s="8">
        <f t="shared" si="120"/>
        <v>5454055</v>
      </c>
      <c r="BN524" s="8">
        <f>'Gov Fd Rv'!AQ524-'Gov Fnd Exp'!BL524</f>
        <v>363922</v>
      </c>
      <c r="BP524" s="7">
        <v>1180091</v>
      </c>
      <c r="BR524" s="7">
        <v>0</v>
      </c>
      <c r="BT524" s="7">
        <v>0</v>
      </c>
      <c r="BV524" s="8">
        <f t="shared" si="121"/>
        <v>1544013</v>
      </c>
      <c r="BW524" s="8"/>
      <c r="BX524" s="8">
        <f>BV524-'Gov Fd BS'!AE524</f>
        <v>0</v>
      </c>
      <c r="BY524" s="8"/>
      <c r="BZ524" s="7" t="s">
        <v>788</v>
      </c>
      <c r="CB524" s="101" t="str">
        <f t="shared" si="118"/>
        <v>Stryker Local SD</v>
      </c>
      <c r="CC524" s="101" t="b">
        <f t="shared" si="115"/>
        <v>1</v>
      </c>
      <c r="CD524" s="101" t="str">
        <f>'Gov Fd Rv'!A524</f>
        <v>Stryker Local SD</v>
      </c>
      <c r="CE524" s="8" t="b">
        <f t="shared" si="114"/>
        <v>1</v>
      </c>
      <c r="CG524" s="8" t="str">
        <f t="shared" si="116"/>
        <v>Williams</v>
      </c>
      <c r="CH524" s="8" t="b">
        <f t="shared" si="117"/>
        <v>1</v>
      </c>
      <c r="CI524" s="8" t="b">
        <f>C524='Gov Fd Rv'!C524</f>
        <v>1</v>
      </c>
    </row>
    <row r="525" spans="1:87">
      <c r="A525" s="12" t="s">
        <v>319</v>
      </c>
      <c r="B525" s="12"/>
      <c r="C525" s="12" t="s">
        <v>28</v>
      </c>
      <c r="D525" s="12"/>
      <c r="E525" s="12">
        <v>47092</v>
      </c>
      <c r="G525" s="7">
        <v>6775173</v>
      </c>
      <c r="I525" s="7">
        <v>1869974</v>
      </c>
      <c r="K525" s="7">
        <v>0</v>
      </c>
      <c r="M525" s="7">
        <v>0</v>
      </c>
      <c r="O525" s="7">
        <v>0</v>
      </c>
      <c r="Q525" s="7">
        <v>655789</v>
      </c>
      <c r="S525" s="7">
        <v>697127</v>
      </c>
      <c r="U525" s="7">
        <v>35626</v>
      </c>
      <c r="W525" s="7">
        <v>1293705</v>
      </c>
      <c r="Y525" s="7">
        <v>448920</v>
      </c>
      <c r="AA525" s="7">
        <v>8819</v>
      </c>
      <c r="AC525" s="7">
        <v>1275710</v>
      </c>
      <c r="AE525" s="7">
        <v>848854</v>
      </c>
      <c r="AG525" s="7">
        <v>48307</v>
      </c>
      <c r="AI525" s="7">
        <v>0</v>
      </c>
      <c r="AK525" s="7">
        <v>606114</v>
      </c>
      <c r="AL525" s="12" t="s">
        <v>319</v>
      </c>
      <c r="AM525" s="12"/>
      <c r="AN525" s="12" t="s">
        <v>28</v>
      </c>
      <c r="AP525" s="7">
        <v>463245</v>
      </c>
      <c r="AR525" s="7">
        <v>346451</v>
      </c>
      <c r="AT525" s="7">
        <v>0</v>
      </c>
      <c r="AV525" s="7">
        <v>1005000</v>
      </c>
      <c r="AX525" s="7">
        <v>417547</v>
      </c>
      <c r="AZ525" s="7">
        <v>0</v>
      </c>
      <c r="BB525" s="8">
        <f t="shared" si="119"/>
        <v>16796361</v>
      </c>
      <c r="BD525" s="7">
        <v>85783</v>
      </c>
      <c r="BF525" s="7">
        <v>0</v>
      </c>
      <c r="BH525" s="7">
        <v>0</v>
      </c>
      <c r="BJ525" s="7">
        <v>0</v>
      </c>
      <c r="BL525" s="8">
        <f t="shared" si="120"/>
        <v>16882144</v>
      </c>
      <c r="BN525" s="8">
        <f>'Gov Fd Rv'!AQ525-'Gov Fnd Exp'!BL525</f>
        <v>-454995</v>
      </c>
      <c r="BP525" s="7">
        <v>11625505</v>
      </c>
      <c r="BR525" s="7">
        <v>0</v>
      </c>
      <c r="BT525" s="7">
        <v>0</v>
      </c>
      <c r="BV525" s="8">
        <f t="shared" si="121"/>
        <v>11170510</v>
      </c>
      <c r="BW525" s="8"/>
      <c r="BX525" s="8">
        <f>BV525-'Gov Fd BS'!AE525</f>
        <v>0</v>
      </c>
      <c r="BY525" s="8"/>
      <c r="CB525" s="101" t="str">
        <f t="shared" si="118"/>
        <v>Swanton Local SD</v>
      </c>
      <c r="CC525" s="101" t="b">
        <f t="shared" si="115"/>
        <v>1</v>
      </c>
      <c r="CD525" s="101" t="str">
        <f>'Gov Fd Rv'!A525</f>
        <v>Swanton Local SD</v>
      </c>
      <c r="CE525" s="8" t="b">
        <f t="shared" si="114"/>
        <v>1</v>
      </c>
      <c r="CG525" s="8" t="str">
        <f t="shared" si="116"/>
        <v>Fulton</v>
      </c>
      <c r="CH525" s="8" t="b">
        <f t="shared" si="117"/>
        <v>1</v>
      </c>
      <c r="CI525" s="8" t="b">
        <f>C525='Gov Fd Rv'!C525</f>
        <v>1</v>
      </c>
    </row>
    <row r="526" spans="1:87">
      <c r="A526" s="12" t="s">
        <v>655</v>
      </c>
      <c r="B526" s="12"/>
      <c r="C526" s="12" t="s">
        <v>49</v>
      </c>
      <c r="D526" s="12"/>
      <c r="E526" s="12">
        <v>48652</v>
      </c>
      <c r="G526" s="7">
        <v>10718997</v>
      </c>
      <c r="I526" s="7">
        <v>3245752</v>
      </c>
      <c r="K526" s="7">
        <v>2183839</v>
      </c>
      <c r="M526" s="7">
        <v>0</v>
      </c>
      <c r="O526" s="7">
        <v>4672</v>
      </c>
      <c r="Q526" s="7">
        <v>1236450</v>
      </c>
      <c r="S526" s="7">
        <v>823258</v>
      </c>
      <c r="U526" s="7">
        <v>37366</v>
      </c>
      <c r="W526" s="7">
        <v>2096788</v>
      </c>
      <c r="Y526" s="7">
        <v>879131</v>
      </c>
      <c r="AA526" s="7">
        <v>0</v>
      </c>
      <c r="AC526" s="7">
        <v>2337128</v>
      </c>
      <c r="AE526" s="7">
        <v>3079636</v>
      </c>
      <c r="AG526" s="7">
        <v>282899</v>
      </c>
      <c r="AI526" s="7">
        <v>1450449</v>
      </c>
      <c r="AK526" s="7">
        <v>69439</v>
      </c>
      <c r="AL526" s="12" t="s">
        <v>655</v>
      </c>
      <c r="AM526" s="12"/>
      <c r="AN526" s="12" t="s">
        <v>49</v>
      </c>
      <c r="AP526" s="7">
        <v>656666</v>
      </c>
      <c r="AR526" s="7">
        <v>14545187</v>
      </c>
      <c r="AT526" s="7">
        <v>0</v>
      </c>
      <c r="AV526" s="7">
        <v>0</v>
      </c>
      <c r="AX526" s="7">
        <v>1791208</v>
      </c>
      <c r="AZ526" s="7">
        <v>0</v>
      </c>
      <c r="BB526" s="8">
        <f t="shared" si="119"/>
        <v>45438865</v>
      </c>
      <c r="BD526" s="7">
        <v>779396</v>
      </c>
      <c r="BF526" s="7">
        <v>0</v>
      </c>
      <c r="BH526" s="7">
        <v>0</v>
      </c>
      <c r="BJ526" s="7">
        <v>0</v>
      </c>
      <c r="BL526" s="8">
        <f t="shared" si="120"/>
        <v>46218261</v>
      </c>
      <c r="BN526" s="8">
        <f>'Gov Fd Rv'!AQ526-'Gov Fnd Exp'!BL526</f>
        <v>11964035</v>
      </c>
      <c r="BP526" s="7">
        <v>40406302</v>
      </c>
      <c r="BR526" s="7">
        <v>0</v>
      </c>
      <c r="BT526" s="7">
        <v>0</v>
      </c>
      <c r="BV526" s="8">
        <f t="shared" si="121"/>
        <v>52370337</v>
      </c>
      <c r="BW526" s="8"/>
      <c r="BX526" s="8">
        <f>BV526-'Gov Fd BS'!AE526</f>
        <v>0</v>
      </c>
      <c r="BY526" s="8"/>
      <c r="CB526" s="101" t="str">
        <f t="shared" si="118"/>
        <v>Switzerland of Ohio Local SD</v>
      </c>
      <c r="CC526" s="101" t="b">
        <f t="shared" si="115"/>
        <v>1</v>
      </c>
      <c r="CD526" s="101" t="str">
        <f>'Gov Fd Rv'!A526</f>
        <v>Switzerland of Ohio Local SD</v>
      </c>
      <c r="CE526" s="8" t="b">
        <f t="shared" si="114"/>
        <v>1</v>
      </c>
      <c r="CG526" s="8" t="str">
        <f t="shared" si="116"/>
        <v>Monroe</v>
      </c>
      <c r="CH526" s="8" t="b">
        <f t="shared" si="117"/>
        <v>1</v>
      </c>
      <c r="CI526" s="8" t="b">
        <f>C526='Gov Fd Rv'!C526</f>
        <v>1</v>
      </c>
    </row>
    <row r="527" spans="1:87" hidden="1">
      <c r="A527" s="12" t="s">
        <v>340</v>
      </c>
      <c r="B527" s="12"/>
      <c r="C527" s="12" t="s">
        <v>32</v>
      </c>
      <c r="D527" s="12"/>
      <c r="E527" s="12">
        <v>44867</v>
      </c>
      <c r="AL527" s="12" t="s">
        <v>340</v>
      </c>
      <c r="AM527" s="12"/>
      <c r="AN527" s="12" t="s">
        <v>32</v>
      </c>
      <c r="BB527" s="8">
        <f t="shared" si="119"/>
        <v>0</v>
      </c>
      <c r="BL527" s="8">
        <f t="shared" si="120"/>
        <v>0</v>
      </c>
      <c r="BN527" s="8">
        <f>'Gov Fd Rv'!AQ527-'Gov Fnd Exp'!BL527</f>
        <v>0</v>
      </c>
      <c r="BV527" s="8">
        <f t="shared" si="121"/>
        <v>0</v>
      </c>
      <c r="BW527" s="8"/>
      <c r="BX527" s="8">
        <f>BV527-'Gov Fd BS'!AE527</f>
        <v>0</v>
      </c>
      <c r="BY527" s="8"/>
      <c r="BZ527" s="7" t="s">
        <v>793</v>
      </c>
      <c r="CB527" s="101" t="str">
        <f t="shared" si="118"/>
        <v>Sycamore Community City SD</v>
      </c>
      <c r="CC527" s="101" t="b">
        <f t="shared" si="115"/>
        <v>1</v>
      </c>
      <c r="CD527" s="101" t="str">
        <f>'Gov Fd Rv'!A527</f>
        <v>Sycamore Community City SD</v>
      </c>
      <c r="CE527" s="8" t="b">
        <f t="shared" ref="CE527:CE590" si="122">CB527=CD527</f>
        <v>1</v>
      </c>
      <c r="CG527" s="8" t="str">
        <f t="shared" si="116"/>
        <v>Hamilton</v>
      </c>
      <c r="CH527" s="8" t="b">
        <f t="shared" si="117"/>
        <v>1</v>
      </c>
      <c r="CI527" s="8" t="b">
        <f>C527='Gov Fd Rv'!C527</f>
        <v>1</v>
      </c>
    </row>
    <row r="528" spans="1:87">
      <c r="A528" s="12" t="s">
        <v>407</v>
      </c>
      <c r="B528" s="12"/>
      <c r="C528" s="12" t="s">
        <v>115</v>
      </c>
      <c r="D528" s="12"/>
      <c r="E528" s="12">
        <v>44875</v>
      </c>
      <c r="G528" s="7">
        <v>34635264</v>
      </c>
      <c r="I528" s="7">
        <v>8852749</v>
      </c>
      <c r="K528" s="7">
        <v>2131379</v>
      </c>
      <c r="M528" s="7">
        <v>36094</v>
      </c>
      <c r="O528" s="7">
        <v>1717014</v>
      </c>
      <c r="Q528" s="7">
        <v>6732942</v>
      </c>
      <c r="S528" s="7">
        <v>4126904</v>
      </c>
      <c r="U528" s="7">
        <v>16401</v>
      </c>
      <c r="W528" s="7">
        <v>7680862</v>
      </c>
      <c r="Y528" s="7">
        <v>1632530</v>
      </c>
      <c r="AA528" s="7">
        <v>218664</v>
      </c>
      <c r="AC528" s="7">
        <v>8295728</v>
      </c>
      <c r="AE528" s="7">
        <v>4975182</v>
      </c>
      <c r="AG528" s="7">
        <v>1211604</v>
      </c>
      <c r="AI528" s="7">
        <v>2006415</v>
      </c>
      <c r="AK528" s="7">
        <v>1263501</v>
      </c>
      <c r="AL528" s="12" t="s">
        <v>407</v>
      </c>
      <c r="AM528" s="12"/>
      <c r="AN528" s="12" t="s">
        <v>115</v>
      </c>
      <c r="AP528" s="7">
        <v>2196638</v>
      </c>
      <c r="AR528" s="7">
        <v>32505915</v>
      </c>
      <c r="AT528" s="7">
        <v>0</v>
      </c>
      <c r="AV528" s="7">
        <v>3182766</v>
      </c>
      <c r="AX528" s="7">
        <v>4521810</v>
      </c>
      <c r="AZ528" s="7">
        <v>0</v>
      </c>
      <c r="BB528" s="8">
        <f t="shared" si="119"/>
        <v>127940362</v>
      </c>
      <c r="BD528" s="7">
        <v>364690</v>
      </c>
      <c r="BF528" s="7">
        <v>0</v>
      </c>
      <c r="BH528" s="7">
        <v>0</v>
      </c>
      <c r="BJ528" s="7">
        <v>0</v>
      </c>
      <c r="BL528" s="8">
        <f t="shared" si="120"/>
        <v>128305052</v>
      </c>
      <c r="BN528" s="8">
        <f>'Gov Fd Rv'!AQ528-'Gov Fnd Exp'!BL528</f>
        <v>-35716024</v>
      </c>
      <c r="BP528" s="7">
        <v>50559973</v>
      </c>
      <c r="BR528" s="7">
        <v>-24049</v>
      </c>
      <c r="BT528" s="7">
        <v>0</v>
      </c>
      <c r="BV528" s="8">
        <f t="shared" si="121"/>
        <v>14819900</v>
      </c>
      <c r="BW528" s="8"/>
      <c r="BX528" s="8">
        <f>BV528-'Gov Fd BS'!AE528</f>
        <v>0</v>
      </c>
      <c r="BY528" s="8"/>
      <c r="CB528" s="101" t="str">
        <f t="shared" si="118"/>
        <v>Sylvania City SD</v>
      </c>
      <c r="CC528" s="101" t="b">
        <f t="shared" ref="CC528:CC591" si="123">A528=AL528</f>
        <v>1</v>
      </c>
      <c r="CD528" s="101" t="str">
        <f>'Gov Fd Rv'!A528</f>
        <v>Sylvania City SD</v>
      </c>
      <c r="CE528" s="8" t="b">
        <f t="shared" si="122"/>
        <v>1</v>
      </c>
      <c r="CG528" s="8" t="str">
        <f t="shared" ref="CG528:CG591" si="124">C528</f>
        <v>Lucas</v>
      </c>
      <c r="CH528" s="8" t="b">
        <f t="shared" ref="CH528:CH591" si="125">C528=AN528</f>
        <v>1</v>
      </c>
      <c r="CI528" s="8" t="b">
        <f>C528='Gov Fd Rv'!C528</f>
        <v>1</v>
      </c>
    </row>
    <row r="529" spans="1:87">
      <c r="A529" s="12" t="s">
        <v>383</v>
      </c>
      <c r="B529" s="12"/>
      <c r="C529" s="12" t="s">
        <v>377</v>
      </c>
      <c r="D529" s="12"/>
      <c r="E529" s="12">
        <v>47969</v>
      </c>
      <c r="G529" s="7">
        <v>4011019</v>
      </c>
      <c r="I529" s="7">
        <v>1240720</v>
      </c>
      <c r="K529" s="7">
        <v>194371</v>
      </c>
      <c r="M529" s="7">
        <v>0</v>
      </c>
      <c r="O529" s="7">
        <v>0</v>
      </c>
      <c r="Q529" s="7">
        <v>304706</v>
      </c>
      <c r="S529" s="7">
        <v>291251</v>
      </c>
      <c r="U529" s="7">
        <v>99336</v>
      </c>
      <c r="W529" s="7">
        <v>541619</v>
      </c>
      <c r="Y529" s="7">
        <v>336030</v>
      </c>
      <c r="AA529" s="7">
        <v>0</v>
      </c>
      <c r="AC529" s="7">
        <v>838942</v>
      </c>
      <c r="AE529" s="7">
        <v>1081673</v>
      </c>
      <c r="AG529" s="7">
        <v>101285</v>
      </c>
      <c r="AI529" s="7">
        <v>371655</v>
      </c>
      <c r="AK529" s="7">
        <v>5821</v>
      </c>
      <c r="AL529" s="12" t="s">
        <v>383</v>
      </c>
      <c r="AM529" s="12"/>
      <c r="AN529" s="12" t="s">
        <v>377</v>
      </c>
      <c r="AP529" s="7">
        <v>245726</v>
      </c>
      <c r="AR529" s="7">
        <v>0</v>
      </c>
      <c r="AT529" s="7">
        <v>0</v>
      </c>
      <c r="AV529" s="7">
        <v>58400</v>
      </c>
      <c r="AX529" s="7">
        <v>101600</v>
      </c>
      <c r="AZ529" s="7">
        <v>0</v>
      </c>
      <c r="BB529" s="8">
        <f t="shared" si="119"/>
        <v>9824154</v>
      </c>
      <c r="BD529" s="7">
        <v>4228</v>
      </c>
      <c r="BF529" s="7">
        <v>0</v>
      </c>
      <c r="BH529" s="7">
        <v>0</v>
      </c>
      <c r="BJ529" s="7">
        <v>0</v>
      </c>
      <c r="BL529" s="8">
        <f t="shared" si="120"/>
        <v>9828382</v>
      </c>
      <c r="BN529" s="8">
        <f>'Gov Fd Rv'!AQ529-'Gov Fnd Exp'!BL529</f>
        <v>-564812</v>
      </c>
      <c r="BP529" s="7">
        <v>4275015</v>
      </c>
      <c r="BR529" s="7">
        <v>0</v>
      </c>
      <c r="BT529" s="7">
        <v>0</v>
      </c>
      <c r="BV529" s="8">
        <f t="shared" si="121"/>
        <v>3710203</v>
      </c>
      <c r="BW529" s="8"/>
      <c r="BX529" s="8">
        <f>BV529-'Gov Fd BS'!AE529</f>
        <v>0</v>
      </c>
      <c r="BY529" s="8"/>
      <c r="CB529" s="101" t="str">
        <f t="shared" si="118"/>
        <v>Symmes Valley Local SD</v>
      </c>
      <c r="CC529" s="101" t="b">
        <f t="shared" si="123"/>
        <v>1</v>
      </c>
      <c r="CD529" s="101" t="str">
        <f>'Gov Fd Rv'!A529</f>
        <v>Symmes Valley Local SD</v>
      </c>
      <c r="CE529" s="8" t="b">
        <f t="shared" si="122"/>
        <v>1</v>
      </c>
      <c r="CG529" s="8" t="str">
        <f t="shared" si="124"/>
        <v>Lawrence</v>
      </c>
      <c r="CH529" s="8" t="b">
        <f t="shared" si="125"/>
        <v>1</v>
      </c>
      <c r="CI529" s="8" t="b">
        <f>C529='Gov Fd Rv'!C529</f>
        <v>1</v>
      </c>
    </row>
    <row r="530" spans="1:87">
      <c r="A530" s="12" t="s">
        <v>757</v>
      </c>
      <c r="B530" s="12"/>
      <c r="C530" s="12" t="s">
        <v>223</v>
      </c>
      <c r="D530" s="12"/>
      <c r="E530" s="12">
        <v>46151</v>
      </c>
      <c r="G530" s="7">
        <v>14105737</v>
      </c>
      <c r="I530" s="7">
        <v>2783013</v>
      </c>
      <c r="M530" s="7">
        <v>0</v>
      </c>
      <c r="O530" s="7">
        <v>962646</v>
      </c>
      <c r="Q530" s="7">
        <v>1844160</v>
      </c>
      <c r="S530" s="7">
        <v>2057916</v>
      </c>
      <c r="U530" s="7">
        <v>54884</v>
      </c>
      <c r="W530" s="7">
        <v>2387096</v>
      </c>
      <c r="Y530" s="7">
        <v>1305994</v>
      </c>
      <c r="AA530" s="7">
        <v>711</v>
      </c>
      <c r="AC530" s="7">
        <v>2532320</v>
      </c>
      <c r="AE530" s="7">
        <v>2438804</v>
      </c>
      <c r="AG530" s="7">
        <v>120390</v>
      </c>
      <c r="AI530" s="7">
        <v>1143666</v>
      </c>
      <c r="AK530" s="7">
        <v>81106</v>
      </c>
      <c r="AL530" s="12" t="s">
        <v>757</v>
      </c>
      <c r="AM530" s="12"/>
      <c r="AN530" s="12" t="s">
        <v>223</v>
      </c>
      <c r="AP530" s="7">
        <v>734634</v>
      </c>
      <c r="AR530" s="7">
        <v>21562523</v>
      </c>
      <c r="AT530" s="7">
        <v>0</v>
      </c>
      <c r="AV530" s="7">
        <v>1553000</v>
      </c>
      <c r="AX530" s="7">
        <v>2792377</v>
      </c>
      <c r="AZ530" s="7">
        <v>0</v>
      </c>
      <c r="BB530" s="8">
        <f t="shared" ref="BB530:BB557" si="126">SUM(G530:AZ530)</f>
        <v>58460977</v>
      </c>
      <c r="BD530" s="7">
        <v>0</v>
      </c>
      <c r="BF530" s="7">
        <v>0</v>
      </c>
      <c r="BH530" s="7">
        <v>0</v>
      </c>
      <c r="BJ530" s="7">
        <v>0</v>
      </c>
      <c r="BL530" s="8">
        <f t="shared" ref="BL530:BL557" si="127">BB530+BD530+BJ530</f>
        <v>58460977</v>
      </c>
      <c r="BN530" s="8">
        <f>'Gov Fd Rv'!AQ530-'Gov Fnd Exp'!BL530</f>
        <v>-17594242</v>
      </c>
      <c r="BP530" s="7">
        <v>56400282</v>
      </c>
      <c r="BR530" s="7">
        <v>0</v>
      </c>
      <c r="BT530" s="7">
        <v>0</v>
      </c>
      <c r="BV530" s="8">
        <f t="shared" ref="BV530:BV559" si="128">BN530+BP530+BR530+BT530</f>
        <v>38806040</v>
      </c>
      <c r="BW530" s="8"/>
      <c r="BX530" s="8">
        <f>BV530-'Gov Fd BS'!AE530</f>
        <v>0</v>
      </c>
      <c r="BY530" s="8"/>
      <c r="CB530" s="101" t="str">
        <f t="shared" si="118"/>
        <v xml:space="preserve">Talawanda City SD </v>
      </c>
      <c r="CC530" s="101" t="b">
        <f t="shared" si="123"/>
        <v>1</v>
      </c>
      <c r="CD530" s="101" t="str">
        <f>'Gov Fd Rv'!A530</f>
        <v xml:space="preserve">Talawanda City SD </v>
      </c>
      <c r="CE530" s="8" t="b">
        <f t="shared" si="122"/>
        <v>1</v>
      </c>
      <c r="CG530" s="8" t="str">
        <f t="shared" si="124"/>
        <v>Butler</v>
      </c>
      <c r="CH530" s="8" t="b">
        <f t="shared" si="125"/>
        <v>1</v>
      </c>
      <c r="CI530" s="8" t="b">
        <f>C530='Gov Fd Rv'!C530</f>
        <v>1</v>
      </c>
    </row>
    <row r="531" spans="1:87">
      <c r="A531" s="12" t="s">
        <v>531</v>
      </c>
      <c r="B531" s="12"/>
      <c r="C531" s="12" t="s">
        <v>63</v>
      </c>
      <c r="D531" s="12"/>
      <c r="E531" s="12">
        <v>44883</v>
      </c>
      <c r="G531" s="7">
        <v>12516168</v>
      </c>
      <c r="I531" s="7">
        <v>3134683</v>
      </c>
      <c r="K531" s="7">
        <v>863608</v>
      </c>
      <c r="M531" s="7">
        <v>53025</v>
      </c>
      <c r="O531" s="7">
        <v>0</v>
      </c>
      <c r="Q531" s="7">
        <v>1553663</v>
      </c>
      <c r="S531" s="7">
        <v>762974</v>
      </c>
      <c r="U531" s="7">
        <v>43871</v>
      </c>
      <c r="W531" s="7">
        <v>1987677</v>
      </c>
      <c r="Y531" s="7">
        <v>793525</v>
      </c>
      <c r="AA531" s="7">
        <v>108928</v>
      </c>
      <c r="AC531" s="7">
        <v>1968702</v>
      </c>
      <c r="AE531" s="7">
        <v>1734137</v>
      </c>
      <c r="AG531" s="7">
        <v>334395</v>
      </c>
      <c r="AI531" s="7">
        <v>0</v>
      </c>
      <c r="AK531" s="7">
        <v>714023</v>
      </c>
      <c r="AL531" s="12" t="s">
        <v>531</v>
      </c>
      <c r="AM531" s="12"/>
      <c r="AN531" s="12" t="s">
        <v>63</v>
      </c>
      <c r="AP531" s="7">
        <v>938428</v>
      </c>
      <c r="AR531" s="7">
        <v>921085</v>
      </c>
      <c r="AT531" s="7">
        <v>0</v>
      </c>
      <c r="AV531" s="7">
        <v>705000</v>
      </c>
      <c r="AX531" s="7">
        <v>1259128</v>
      </c>
      <c r="AZ531" s="7">
        <v>0</v>
      </c>
      <c r="BB531" s="8">
        <f t="shared" si="126"/>
        <v>30393020</v>
      </c>
      <c r="BD531" s="7">
        <v>0</v>
      </c>
      <c r="BF531" s="7">
        <v>0</v>
      </c>
      <c r="BH531" s="7">
        <v>0</v>
      </c>
      <c r="BJ531" s="7">
        <v>0</v>
      </c>
      <c r="BL531" s="8">
        <f t="shared" si="127"/>
        <v>30393020</v>
      </c>
      <c r="BN531" s="8">
        <f>'Gov Fd Rv'!AQ531-'Gov Fnd Exp'!BL531</f>
        <v>-1045085</v>
      </c>
      <c r="BP531" s="7">
        <v>5211592</v>
      </c>
      <c r="BR531" s="7">
        <v>0</v>
      </c>
      <c r="BT531" s="7">
        <v>0</v>
      </c>
      <c r="BV531" s="8">
        <f t="shared" si="128"/>
        <v>4166507</v>
      </c>
      <c r="BW531" s="8"/>
      <c r="BX531" s="8">
        <f>BV531-'Gov Fd BS'!AE531</f>
        <v>0</v>
      </c>
      <c r="BY531" s="8"/>
      <c r="CB531" s="101" t="str">
        <f t="shared" si="118"/>
        <v>Tallmadge City SD</v>
      </c>
      <c r="CC531" s="101" t="b">
        <f t="shared" si="123"/>
        <v>1</v>
      </c>
      <c r="CD531" s="101" t="str">
        <f>'Gov Fd Rv'!A531</f>
        <v>Tallmadge City SD</v>
      </c>
      <c r="CE531" s="8" t="b">
        <f t="shared" si="122"/>
        <v>1</v>
      </c>
      <c r="CG531" s="8" t="str">
        <f t="shared" si="124"/>
        <v>Summit</v>
      </c>
      <c r="CH531" s="8" t="b">
        <f t="shared" si="125"/>
        <v>1</v>
      </c>
      <c r="CI531" s="8" t="b">
        <f>C531='Gov Fd Rv'!C531</f>
        <v>1</v>
      </c>
    </row>
    <row r="532" spans="1:87">
      <c r="A532" s="12" t="s">
        <v>469</v>
      </c>
      <c r="B532" s="12"/>
      <c r="C532" s="12" t="s">
        <v>54</v>
      </c>
      <c r="D532" s="12"/>
      <c r="E532" s="12">
        <v>49098</v>
      </c>
      <c r="G532" s="7">
        <v>15348083</v>
      </c>
      <c r="I532" s="7">
        <v>3478955</v>
      </c>
      <c r="K532" s="7">
        <v>648286</v>
      </c>
      <c r="M532" s="7">
        <v>0</v>
      </c>
      <c r="O532" s="7">
        <v>331417</v>
      </c>
      <c r="Q532" s="7">
        <v>1312261</v>
      </c>
      <c r="S532" s="7">
        <v>1519242</v>
      </c>
      <c r="U532" s="7">
        <v>52798</v>
      </c>
      <c r="W532" s="7">
        <v>3620556</v>
      </c>
      <c r="Y532" s="7">
        <v>877658</v>
      </c>
      <c r="AA532" s="7">
        <v>272483</v>
      </c>
      <c r="AC532" s="7">
        <v>3673658</v>
      </c>
      <c r="AE532" s="7">
        <v>2135213</v>
      </c>
      <c r="AG532" s="7">
        <v>195699</v>
      </c>
      <c r="AI532" s="7">
        <v>1195353</v>
      </c>
      <c r="AK532" s="7">
        <v>22615</v>
      </c>
      <c r="AL532" s="12" t="s">
        <v>469</v>
      </c>
      <c r="AM532" s="12"/>
      <c r="AN532" s="12" t="s">
        <v>54</v>
      </c>
      <c r="AP532" s="7">
        <v>850274</v>
      </c>
      <c r="AR532" s="7">
        <f>2391658+6069</f>
        <v>2397727</v>
      </c>
      <c r="AT532" s="7">
        <v>0</v>
      </c>
      <c r="AV532" s="7">
        <v>1105744</v>
      </c>
      <c r="AX532" s="7">
        <v>1608485</v>
      </c>
      <c r="AZ532" s="7">
        <v>0</v>
      </c>
      <c r="BB532" s="8">
        <f t="shared" si="126"/>
        <v>40646507</v>
      </c>
      <c r="BD532" s="7">
        <v>386063</v>
      </c>
      <c r="BF532" s="7">
        <v>0</v>
      </c>
      <c r="BH532" s="7">
        <v>0</v>
      </c>
      <c r="BJ532" s="7">
        <v>0</v>
      </c>
      <c r="BL532" s="8">
        <f t="shared" si="127"/>
        <v>41032570</v>
      </c>
      <c r="BN532" s="8">
        <f>'Gov Fd Rv'!AQ532-'Gov Fnd Exp'!BL532</f>
        <v>-1832563</v>
      </c>
      <c r="BP532" s="7">
        <v>12592612</v>
      </c>
      <c r="BR532" s="7">
        <v>58901</v>
      </c>
      <c r="BT532" s="7">
        <v>0</v>
      </c>
      <c r="BV532" s="8">
        <f t="shared" si="128"/>
        <v>10818950</v>
      </c>
      <c r="BW532" s="8"/>
      <c r="BX532" s="8">
        <f>BV532-'Gov Fd BS'!AE532</f>
        <v>0</v>
      </c>
      <c r="BY532" s="8"/>
      <c r="CB532" s="101" t="str">
        <f t="shared" ref="CB532:CB595" si="129">A532</f>
        <v>Teays Valley Local SD</v>
      </c>
      <c r="CC532" s="101" t="b">
        <f t="shared" si="123"/>
        <v>1</v>
      </c>
      <c r="CD532" s="101" t="str">
        <f>'Gov Fd Rv'!A532</f>
        <v>Teays Valley Local SD</v>
      </c>
      <c r="CE532" s="8" t="b">
        <f t="shared" si="122"/>
        <v>1</v>
      </c>
      <c r="CG532" s="8" t="str">
        <f t="shared" si="124"/>
        <v>Pickaway</v>
      </c>
      <c r="CH532" s="8" t="b">
        <f t="shared" si="125"/>
        <v>1</v>
      </c>
      <c r="CI532" s="8" t="b">
        <f>C532='Gov Fd Rv'!C532</f>
        <v>1</v>
      </c>
    </row>
    <row r="533" spans="1:87">
      <c r="A533" s="12" t="s">
        <v>241</v>
      </c>
      <c r="B533" s="12"/>
      <c r="C533" s="12" t="s">
        <v>17</v>
      </c>
      <c r="D533" s="12"/>
      <c r="E533" s="12">
        <v>46243</v>
      </c>
      <c r="G533" s="7">
        <v>12374033</v>
      </c>
      <c r="I533" s="7">
        <v>3863455</v>
      </c>
      <c r="K533" s="7">
        <v>481323</v>
      </c>
      <c r="M533" s="7">
        <v>0</v>
      </c>
      <c r="O533" s="7">
        <f>33620+1105298</f>
        <v>1138918</v>
      </c>
      <c r="Q533" s="7">
        <v>2156876</v>
      </c>
      <c r="S533" s="7">
        <v>1389436</v>
      </c>
      <c r="U533" s="7">
        <v>71175</v>
      </c>
      <c r="W533" s="7">
        <v>2983274</v>
      </c>
      <c r="Y533" s="7">
        <v>616988</v>
      </c>
      <c r="AA533" s="7">
        <v>68760</v>
      </c>
      <c r="AC533" s="7">
        <v>3268423</v>
      </c>
      <c r="AE533" s="7">
        <v>1445588</v>
      </c>
      <c r="AG533" s="7">
        <v>145677</v>
      </c>
      <c r="AI533" s="7">
        <v>0</v>
      </c>
      <c r="AK533" s="7">
        <v>1649198</v>
      </c>
      <c r="AL533" s="12" t="s">
        <v>241</v>
      </c>
      <c r="AM533" s="12"/>
      <c r="AN533" s="12" t="s">
        <v>17</v>
      </c>
      <c r="AP533" s="7">
        <v>540126</v>
      </c>
      <c r="AR533" s="7">
        <v>0</v>
      </c>
      <c r="AT533" s="7">
        <v>0</v>
      </c>
      <c r="AV533" s="7">
        <v>495000</v>
      </c>
      <c r="AX533" s="7">
        <v>796098</v>
      </c>
      <c r="AZ533" s="7">
        <v>0</v>
      </c>
      <c r="BB533" s="8">
        <f t="shared" si="126"/>
        <v>33484348</v>
      </c>
      <c r="BD533" s="7">
        <v>0</v>
      </c>
      <c r="BF533" s="7">
        <v>0</v>
      </c>
      <c r="BH533" s="7">
        <v>0</v>
      </c>
      <c r="BJ533" s="7">
        <v>0</v>
      </c>
      <c r="BL533" s="8">
        <f t="shared" si="127"/>
        <v>33484348</v>
      </c>
      <c r="BN533" s="8">
        <f>'Gov Fd Rv'!AQ533-'Gov Fnd Exp'!BL533</f>
        <v>1860861</v>
      </c>
      <c r="BP533" s="7">
        <v>6134116</v>
      </c>
      <c r="BR533" s="7">
        <v>0</v>
      </c>
      <c r="BT533" s="7">
        <v>0</v>
      </c>
      <c r="BV533" s="8">
        <f t="shared" si="128"/>
        <v>7994977</v>
      </c>
      <c r="BW533" s="8"/>
      <c r="BX533" s="8">
        <f>BV533-'Gov Fd BS'!AE533</f>
        <v>0</v>
      </c>
      <c r="BY533" s="8"/>
      <c r="CB533" s="101" t="str">
        <f t="shared" si="129"/>
        <v>Tecumseh Local SD</v>
      </c>
      <c r="CC533" s="101" t="b">
        <f t="shared" si="123"/>
        <v>1</v>
      </c>
      <c r="CD533" s="101" t="str">
        <f>'Gov Fd Rv'!A533</f>
        <v>Tecumseh Local SD</v>
      </c>
      <c r="CE533" s="8" t="b">
        <f t="shared" si="122"/>
        <v>1</v>
      </c>
      <c r="CG533" s="8" t="str">
        <f t="shared" si="124"/>
        <v>Clark</v>
      </c>
      <c r="CH533" s="8" t="b">
        <f t="shared" si="125"/>
        <v>1</v>
      </c>
      <c r="CI533" s="8" t="b">
        <f>C533='Gov Fd Rv'!C533</f>
        <v>1</v>
      </c>
    </row>
    <row r="534" spans="1:87">
      <c r="A534" s="12" t="s">
        <v>765</v>
      </c>
      <c r="B534" s="12"/>
      <c r="C534" s="12" t="s">
        <v>32</v>
      </c>
      <c r="D534" s="12"/>
      <c r="E534" s="12">
        <v>47399</v>
      </c>
      <c r="G534" s="7">
        <v>8338104</v>
      </c>
      <c r="I534" s="7">
        <v>2854495</v>
      </c>
      <c r="K534" s="7">
        <v>25315</v>
      </c>
      <c r="M534" s="7">
        <v>0</v>
      </c>
      <c r="O534" s="7">
        <v>400121</v>
      </c>
      <c r="Q534" s="7">
        <v>1255986</v>
      </c>
      <c r="S534" s="7">
        <v>1912019</v>
      </c>
      <c r="U534" s="7">
        <v>51995</v>
      </c>
      <c r="W534" s="7">
        <v>1829309</v>
      </c>
      <c r="Y534" s="7">
        <v>565301</v>
      </c>
      <c r="AA534" s="7">
        <v>0</v>
      </c>
      <c r="AC534" s="7">
        <v>1433034</v>
      </c>
      <c r="AE534" s="7">
        <v>1684056</v>
      </c>
      <c r="AG534" s="7">
        <v>669955</v>
      </c>
      <c r="AI534" s="7">
        <v>0</v>
      </c>
      <c r="AK534" s="7">
        <v>836229</v>
      </c>
      <c r="AL534" s="12" t="s">
        <v>765</v>
      </c>
      <c r="AM534" s="12"/>
      <c r="AN534" s="12" t="s">
        <v>32</v>
      </c>
      <c r="AP534" s="7">
        <v>536665</v>
      </c>
      <c r="AR534" s="7">
        <v>6226092</v>
      </c>
      <c r="AT534" s="7">
        <v>0</v>
      </c>
      <c r="AV534" s="7">
        <v>1585838</v>
      </c>
      <c r="AX534" s="7">
        <v>337467</v>
      </c>
      <c r="AZ534" s="7">
        <v>0</v>
      </c>
      <c r="BB534" s="8">
        <f t="shared" si="126"/>
        <v>30541981</v>
      </c>
      <c r="BD534" s="7">
        <v>740936</v>
      </c>
      <c r="BF534" s="7">
        <v>0</v>
      </c>
      <c r="BH534" s="7">
        <v>0</v>
      </c>
      <c r="BJ534" s="7">
        <v>265200</v>
      </c>
      <c r="BL534" s="8">
        <f t="shared" si="127"/>
        <v>31548117</v>
      </c>
      <c r="BN534" s="8">
        <f>'Gov Fd Rv'!AQ534-'Gov Fnd Exp'!BL534</f>
        <v>38712307</v>
      </c>
      <c r="BP534" s="7">
        <v>11210293</v>
      </c>
      <c r="BR534" s="7">
        <v>0</v>
      </c>
      <c r="BT534" s="7">
        <v>0</v>
      </c>
      <c r="BV534" s="8">
        <f t="shared" si="128"/>
        <v>49922600</v>
      </c>
      <c r="BW534" s="8"/>
      <c r="BX534" s="8">
        <f>BV534-'Gov Fd BS'!AE534</f>
        <v>0</v>
      </c>
      <c r="BY534" s="8"/>
      <c r="CB534" s="101" t="str">
        <f t="shared" si="129"/>
        <v xml:space="preserve">Three Rivers Local SD </v>
      </c>
      <c r="CC534" s="101" t="b">
        <f t="shared" si="123"/>
        <v>1</v>
      </c>
      <c r="CD534" s="101" t="str">
        <f>'Gov Fd Rv'!A534</f>
        <v xml:space="preserve">Three Rivers Local SD </v>
      </c>
      <c r="CE534" s="8" t="b">
        <f t="shared" si="122"/>
        <v>1</v>
      </c>
      <c r="CG534" s="8" t="str">
        <f t="shared" si="124"/>
        <v>Hamilton</v>
      </c>
      <c r="CH534" s="8" t="b">
        <f t="shared" si="125"/>
        <v>1</v>
      </c>
      <c r="CI534" s="8" t="b">
        <f>C534='Gov Fd Rv'!C534</f>
        <v>1</v>
      </c>
    </row>
    <row r="535" spans="1:87">
      <c r="A535" s="12" t="s">
        <v>503</v>
      </c>
      <c r="B535" s="12"/>
      <c r="C535" s="12" t="s">
        <v>60</v>
      </c>
      <c r="D535" s="12"/>
      <c r="E535" s="12">
        <v>44891</v>
      </c>
      <c r="G535" s="7">
        <v>11043179</v>
      </c>
      <c r="I535" s="7">
        <v>4756165</v>
      </c>
      <c r="K535" s="7">
        <v>233828</v>
      </c>
      <c r="M535" s="7">
        <v>0</v>
      </c>
      <c r="O535" s="7">
        <v>80034</v>
      </c>
      <c r="Q535" s="7">
        <v>1185571</v>
      </c>
      <c r="S535" s="7">
        <v>1659426</v>
      </c>
      <c r="U535" s="7">
        <v>37763</v>
      </c>
      <c r="W535" s="7">
        <v>2102403</v>
      </c>
      <c r="Y535" s="7">
        <v>625297</v>
      </c>
      <c r="AA535" s="7">
        <v>46238</v>
      </c>
      <c r="AC535" s="7">
        <v>2380751</v>
      </c>
      <c r="AE535" s="7">
        <v>1010685</v>
      </c>
      <c r="AG535" s="7">
        <v>33238</v>
      </c>
      <c r="AI535" s="7">
        <v>797340</v>
      </c>
      <c r="AK535" s="7">
        <v>285987</v>
      </c>
      <c r="AL535" s="12" t="s">
        <v>503</v>
      </c>
      <c r="AM535" s="12"/>
      <c r="AN535" s="12" t="s">
        <v>60</v>
      </c>
      <c r="AP535" s="7">
        <v>715670</v>
      </c>
      <c r="AR535" s="7">
        <v>351636</v>
      </c>
      <c r="AT535" s="7">
        <v>0</v>
      </c>
      <c r="AV535" s="7">
        <v>658067</v>
      </c>
      <c r="AX535" s="7">
        <v>334629</v>
      </c>
      <c r="AZ535" s="7">
        <v>0</v>
      </c>
      <c r="BB535" s="8">
        <f t="shared" si="126"/>
        <v>28337907</v>
      </c>
      <c r="BD535" s="7">
        <v>438009</v>
      </c>
      <c r="BF535" s="7">
        <v>0</v>
      </c>
      <c r="BH535" s="7">
        <v>0</v>
      </c>
      <c r="BJ535" s="7">
        <v>0</v>
      </c>
      <c r="BL535" s="8">
        <f t="shared" si="127"/>
        <v>28775916</v>
      </c>
      <c r="BN535" s="8">
        <f>'Gov Fd Rv'!AQ535-'Gov Fnd Exp'!BL535</f>
        <v>1713998</v>
      </c>
      <c r="BP535" s="7">
        <v>4354080</v>
      </c>
      <c r="BR535" s="7">
        <v>0</v>
      </c>
      <c r="BT535" s="7">
        <v>0</v>
      </c>
      <c r="BV535" s="8">
        <f t="shared" si="128"/>
        <v>6068078</v>
      </c>
      <c r="BW535" s="8"/>
      <c r="BX535" s="8">
        <f>BV535-'Gov Fd BS'!AE535</f>
        <v>0</v>
      </c>
      <c r="BY535" s="8"/>
      <c r="CB535" s="101" t="str">
        <f t="shared" si="129"/>
        <v>Tiffin City SD</v>
      </c>
      <c r="CC535" s="101" t="b">
        <f t="shared" si="123"/>
        <v>1</v>
      </c>
      <c r="CD535" s="101" t="str">
        <f>'Gov Fd Rv'!A535</f>
        <v>Tiffin City SD</v>
      </c>
      <c r="CE535" s="8" t="b">
        <f t="shared" si="122"/>
        <v>1</v>
      </c>
      <c r="CG535" s="8" t="str">
        <f t="shared" si="124"/>
        <v>Seneca</v>
      </c>
      <c r="CH535" s="8" t="b">
        <f t="shared" si="125"/>
        <v>1</v>
      </c>
      <c r="CI535" s="8" t="b">
        <f>C535='Gov Fd Rv'!C535</f>
        <v>1</v>
      </c>
    </row>
    <row r="536" spans="1:87">
      <c r="A536" s="12" t="s">
        <v>887</v>
      </c>
      <c r="B536" s="12"/>
      <c r="C536" s="12" t="s">
        <v>48</v>
      </c>
      <c r="D536" s="12"/>
      <c r="E536" s="12">
        <v>45617</v>
      </c>
      <c r="G536" s="7">
        <v>14856427</v>
      </c>
      <c r="I536" s="7">
        <v>0</v>
      </c>
      <c r="K536" s="7">
        <v>0</v>
      </c>
      <c r="M536" s="7">
        <v>0</v>
      </c>
      <c r="O536" s="7">
        <v>0</v>
      </c>
      <c r="Q536" s="7">
        <v>1053413</v>
      </c>
      <c r="S536" s="7">
        <v>1274490</v>
      </c>
      <c r="U536" s="7">
        <v>17327</v>
      </c>
      <c r="W536" s="7">
        <v>1626843</v>
      </c>
      <c r="Y536" s="7">
        <v>578482</v>
      </c>
      <c r="AA536" s="7">
        <v>122641</v>
      </c>
      <c r="AC536" s="7">
        <v>2200547</v>
      </c>
      <c r="AE536" s="7">
        <v>1113360</v>
      </c>
      <c r="AG536" s="7">
        <v>614429</v>
      </c>
      <c r="AI536" s="7">
        <v>833033</v>
      </c>
      <c r="AK536" s="7">
        <v>9511</v>
      </c>
      <c r="AL536" s="12" t="s">
        <v>887</v>
      </c>
      <c r="AM536" s="12"/>
      <c r="AN536" s="12" t="s">
        <v>48</v>
      </c>
      <c r="AP536" s="7">
        <v>1200013</v>
      </c>
      <c r="AR536" s="7">
        <v>353068</v>
      </c>
      <c r="AT536" s="7">
        <v>0</v>
      </c>
      <c r="AV536" s="7">
        <v>475019</v>
      </c>
      <c r="AX536" s="7">
        <v>1214686</v>
      </c>
      <c r="AZ536" s="7">
        <v>0</v>
      </c>
      <c r="BB536" s="8">
        <f t="shared" si="126"/>
        <v>27543289</v>
      </c>
      <c r="BD536" s="7">
        <v>32000</v>
      </c>
      <c r="BF536" s="7">
        <v>0</v>
      </c>
      <c r="BH536" s="7">
        <v>0</v>
      </c>
      <c r="BJ536" s="7">
        <v>0</v>
      </c>
      <c r="BL536" s="8">
        <f t="shared" si="127"/>
        <v>27575289</v>
      </c>
      <c r="BN536" s="8">
        <f>'Gov Fd Rv'!AQ536-'Gov Fnd Exp'!BL536</f>
        <v>155991</v>
      </c>
      <c r="BP536" s="7">
        <v>2530159</v>
      </c>
      <c r="BR536" s="7">
        <v>-440</v>
      </c>
      <c r="BT536" s="7">
        <v>0</v>
      </c>
      <c r="BV536" s="8">
        <f t="shared" si="128"/>
        <v>2685710</v>
      </c>
      <c r="BW536" s="8"/>
      <c r="BX536" s="8">
        <f>BV536-'Gov Fd BS'!AE536</f>
        <v>0</v>
      </c>
      <c r="BY536" s="8"/>
      <c r="CB536" s="101" t="str">
        <f t="shared" si="129"/>
        <v>Tipp City Exempted Village SD</v>
      </c>
      <c r="CC536" s="101" t="b">
        <f t="shared" si="123"/>
        <v>1</v>
      </c>
      <c r="CD536" s="101" t="str">
        <f>'Gov Fd Rv'!A536</f>
        <v>Tipp City Exempted Village SD</v>
      </c>
      <c r="CE536" s="8" t="b">
        <f t="shared" si="122"/>
        <v>1</v>
      </c>
      <c r="CG536" s="8" t="str">
        <f t="shared" si="124"/>
        <v>Miami</v>
      </c>
      <c r="CH536" s="8" t="b">
        <f t="shared" si="125"/>
        <v>1</v>
      </c>
      <c r="CI536" s="8" t="b">
        <f>C536='Gov Fd Rv'!C536</f>
        <v>1</v>
      </c>
    </row>
    <row r="537" spans="1:87">
      <c r="A537" s="12" t="s">
        <v>408</v>
      </c>
      <c r="B537" s="12"/>
      <c r="C537" s="12" t="s">
        <v>115</v>
      </c>
      <c r="D537" s="12"/>
      <c r="E537" s="12">
        <v>44909</v>
      </c>
      <c r="G537" s="7">
        <v>237995598</v>
      </c>
      <c r="I537" s="7">
        <v>0</v>
      </c>
      <c r="K537" s="7">
        <v>0</v>
      </c>
      <c r="M537" s="7">
        <v>0</v>
      </c>
      <c r="O537" s="7">
        <v>0</v>
      </c>
      <c r="Q537" s="7">
        <v>126115598</v>
      </c>
      <c r="S537" s="7">
        <v>0</v>
      </c>
      <c r="U537" s="7">
        <v>0</v>
      </c>
      <c r="W537" s="7">
        <v>0</v>
      </c>
      <c r="Y537" s="7">
        <v>0</v>
      </c>
      <c r="AA537" s="7">
        <v>0</v>
      </c>
      <c r="AC537" s="7">
        <v>0</v>
      </c>
      <c r="AE537" s="7">
        <v>0</v>
      </c>
      <c r="AG537" s="7">
        <v>0</v>
      </c>
      <c r="AI537" s="7">
        <v>0</v>
      </c>
      <c r="AK537" s="7">
        <v>31375954</v>
      </c>
      <c r="AL537" s="12" t="s">
        <v>408</v>
      </c>
      <c r="AM537" s="12"/>
      <c r="AN537" s="12" t="s">
        <v>115</v>
      </c>
      <c r="AP537" s="7">
        <v>3467440</v>
      </c>
      <c r="AR537" s="7">
        <v>96128614</v>
      </c>
      <c r="AT537" s="7">
        <v>0</v>
      </c>
      <c r="AV537" s="7">
        <v>4260000</v>
      </c>
      <c r="AX537" s="7">
        <v>6446406</v>
      </c>
      <c r="AZ537" s="7">
        <v>0</v>
      </c>
      <c r="BB537" s="8">
        <f t="shared" si="126"/>
        <v>505789610</v>
      </c>
      <c r="BD537" s="7">
        <v>3575875</v>
      </c>
      <c r="BF537" s="7">
        <v>0</v>
      </c>
      <c r="BH537" s="7">
        <v>0</v>
      </c>
      <c r="BJ537" s="7">
        <v>0</v>
      </c>
      <c r="BL537" s="8">
        <f t="shared" si="127"/>
        <v>509365485</v>
      </c>
      <c r="BN537" s="8">
        <f>'Gov Fd Rv'!AQ537-'Gov Fnd Exp'!BL537</f>
        <v>-46199935</v>
      </c>
      <c r="BP537" s="7">
        <v>153046901</v>
      </c>
      <c r="BR537" s="7">
        <v>0</v>
      </c>
      <c r="BT537" s="7">
        <v>0</v>
      </c>
      <c r="BV537" s="8">
        <f t="shared" si="128"/>
        <v>106846966</v>
      </c>
      <c r="BW537" s="8"/>
      <c r="BX537" s="8">
        <f>BV537-'Gov Fd BS'!AE537</f>
        <v>0</v>
      </c>
      <c r="BY537" s="8"/>
      <c r="CB537" s="101" t="str">
        <f t="shared" si="129"/>
        <v>Toledo City SD</v>
      </c>
      <c r="CC537" s="101" t="b">
        <f t="shared" si="123"/>
        <v>1</v>
      </c>
      <c r="CD537" s="101" t="str">
        <f>'Gov Fd Rv'!A537</f>
        <v>Toledo City SD</v>
      </c>
      <c r="CE537" s="8" t="b">
        <f t="shared" si="122"/>
        <v>1</v>
      </c>
      <c r="CG537" s="8" t="str">
        <f t="shared" si="124"/>
        <v>Lucas</v>
      </c>
      <c r="CH537" s="8" t="b">
        <f t="shared" si="125"/>
        <v>1</v>
      </c>
      <c r="CI537" s="8" t="b">
        <f>C537='Gov Fd Rv'!C537</f>
        <v>1</v>
      </c>
    </row>
    <row r="538" spans="1:87" hidden="1">
      <c r="A538" s="12" t="s">
        <v>731</v>
      </c>
      <c r="B538" s="12"/>
      <c r="C538" s="12" t="s">
        <v>115</v>
      </c>
      <c r="D538" s="12"/>
      <c r="E538" s="12"/>
      <c r="AL538" s="12" t="s">
        <v>731</v>
      </c>
      <c r="AM538" s="12"/>
      <c r="AN538" s="12" t="s">
        <v>115</v>
      </c>
      <c r="BB538" s="8">
        <f t="shared" si="126"/>
        <v>0</v>
      </c>
      <c r="BL538" s="8">
        <f t="shared" si="127"/>
        <v>0</v>
      </c>
      <c r="BN538" s="8">
        <f>'Gov Fd Rv'!AQ538-'Gov Fnd Exp'!BL538</f>
        <v>0</v>
      </c>
      <c r="BV538" s="8">
        <f t="shared" si="128"/>
        <v>0</v>
      </c>
      <c r="BW538" s="8"/>
      <c r="BX538" s="8">
        <f>BV538-'Gov Fd BS'!AE538</f>
        <v>0</v>
      </c>
      <c r="BY538" s="8"/>
      <c r="BZ538" s="7" t="s">
        <v>794</v>
      </c>
      <c r="CB538" s="101" t="str">
        <f t="shared" si="129"/>
        <v>Toledo School for the Arts</v>
      </c>
      <c r="CC538" s="101" t="b">
        <f t="shared" si="123"/>
        <v>1</v>
      </c>
      <c r="CD538" s="101" t="str">
        <f>'Gov Fd Rv'!A538</f>
        <v>Toledo School for the Arts</v>
      </c>
      <c r="CE538" s="8" t="b">
        <f t="shared" si="122"/>
        <v>1</v>
      </c>
      <c r="CG538" s="8" t="str">
        <f t="shared" si="124"/>
        <v>Lucas</v>
      </c>
      <c r="CH538" s="8" t="b">
        <f t="shared" si="125"/>
        <v>1</v>
      </c>
      <c r="CI538" s="8" t="b">
        <f>C538='Gov Fd Rv'!C538</f>
        <v>1</v>
      </c>
    </row>
    <row r="539" spans="1:87">
      <c r="A539" s="12" t="s">
        <v>766</v>
      </c>
      <c r="B539" s="12"/>
      <c r="C539" s="12" t="s">
        <v>39</v>
      </c>
      <c r="D539" s="12"/>
      <c r="E539" s="12">
        <v>44917</v>
      </c>
      <c r="G539" s="7">
        <v>3291622</v>
      </c>
      <c r="I539" s="7">
        <v>1062449</v>
      </c>
      <c r="K539" s="7">
        <v>121914</v>
      </c>
      <c r="M539" s="7">
        <v>0</v>
      </c>
      <c r="O539" s="7">
        <f>84641+631008</f>
        <v>715649</v>
      </c>
      <c r="Q539" s="7">
        <v>248890</v>
      </c>
      <c r="S539" s="7">
        <v>277662</v>
      </c>
      <c r="U539" s="7">
        <v>10355</v>
      </c>
      <c r="W539" s="7">
        <v>979066</v>
      </c>
      <c r="Y539" s="7">
        <v>314873</v>
      </c>
      <c r="AA539" s="7">
        <v>65715</v>
      </c>
      <c r="AC539" s="7">
        <v>836721</v>
      </c>
      <c r="AE539" s="7">
        <v>124722</v>
      </c>
      <c r="AG539" s="7">
        <v>0</v>
      </c>
      <c r="AI539" s="7">
        <v>0</v>
      </c>
      <c r="AK539" s="7">
        <v>406900</v>
      </c>
      <c r="AL539" s="12" t="s">
        <v>766</v>
      </c>
      <c r="AM539" s="12"/>
      <c r="AN539" s="12" t="s">
        <v>39</v>
      </c>
      <c r="AP539" s="7">
        <v>276785</v>
      </c>
      <c r="AR539" s="7">
        <v>668635</v>
      </c>
      <c r="AT539" s="7">
        <v>0</v>
      </c>
      <c r="AV539" s="7">
        <v>9607</v>
      </c>
      <c r="AX539" s="7">
        <f>257644+200715</f>
        <v>458359</v>
      </c>
      <c r="AZ539" s="7">
        <v>0</v>
      </c>
      <c r="BB539" s="8">
        <f t="shared" si="126"/>
        <v>9869924</v>
      </c>
      <c r="BD539" s="7">
        <v>20000</v>
      </c>
      <c r="BF539" s="7">
        <v>0</v>
      </c>
      <c r="BH539" s="7">
        <v>0</v>
      </c>
      <c r="BJ539" s="7">
        <v>0</v>
      </c>
      <c r="BL539" s="8">
        <f t="shared" si="127"/>
        <v>9889924</v>
      </c>
      <c r="BN539" s="8">
        <f>'Gov Fd Rv'!AQ539-'Gov Fnd Exp'!BL539</f>
        <v>9159404</v>
      </c>
      <c r="BP539" s="7">
        <v>2373855</v>
      </c>
      <c r="BR539" s="7">
        <v>0</v>
      </c>
      <c r="BT539" s="7">
        <v>0</v>
      </c>
      <c r="BV539" s="8">
        <f t="shared" si="128"/>
        <v>11533259</v>
      </c>
      <c r="BW539" s="8"/>
      <c r="BX539" s="8">
        <f>BV539-'Gov Fd BS'!AE539</f>
        <v>0</v>
      </c>
      <c r="BY539" s="8"/>
      <c r="BZ539" s="7" t="s">
        <v>788</v>
      </c>
      <c r="CB539" s="101" t="str">
        <f t="shared" si="129"/>
        <v xml:space="preserve">Toronto City SD  </v>
      </c>
      <c r="CC539" s="101" t="b">
        <f t="shared" si="123"/>
        <v>1</v>
      </c>
      <c r="CD539" s="101" t="str">
        <f>'Gov Fd Rv'!A539</f>
        <v xml:space="preserve">Toronto City SD  </v>
      </c>
      <c r="CE539" s="8" t="b">
        <f t="shared" si="122"/>
        <v>1</v>
      </c>
      <c r="CG539" s="8" t="str">
        <f t="shared" si="124"/>
        <v>Jefferson</v>
      </c>
      <c r="CH539" s="8" t="b">
        <f t="shared" si="125"/>
        <v>1</v>
      </c>
      <c r="CI539" s="8" t="b">
        <f>C539='Gov Fd Rv'!C539</f>
        <v>1</v>
      </c>
    </row>
    <row r="540" spans="1:87">
      <c r="A540" s="12" t="s">
        <v>233</v>
      </c>
      <c r="B540" s="12"/>
      <c r="C540" s="12" t="s">
        <v>232</v>
      </c>
      <c r="D540" s="12"/>
      <c r="E540" s="12">
        <v>46201</v>
      </c>
      <c r="G540" s="7">
        <v>4555550</v>
      </c>
      <c r="I540" s="7">
        <v>1335111</v>
      </c>
      <c r="K540" s="7">
        <v>235972</v>
      </c>
      <c r="M540" s="7">
        <v>0</v>
      </c>
      <c r="O540" s="7">
        <v>36716</v>
      </c>
      <c r="Q540" s="7">
        <v>352290</v>
      </c>
      <c r="S540" s="7">
        <v>286184</v>
      </c>
      <c r="U540" s="7">
        <v>61517</v>
      </c>
      <c r="W540" s="7">
        <v>865931</v>
      </c>
      <c r="Y540" s="7">
        <v>312551</v>
      </c>
      <c r="AA540" s="7">
        <v>6823</v>
      </c>
      <c r="AC540" s="7">
        <v>2205465</v>
      </c>
      <c r="AE540" s="7">
        <v>584311</v>
      </c>
      <c r="AG540" s="7">
        <v>204184</v>
      </c>
      <c r="AI540" s="7">
        <v>434250</v>
      </c>
      <c r="AK540" s="7">
        <v>0</v>
      </c>
      <c r="AL540" s="12" t="s">
        <v>233</v>
      </c>
      <c r="AM540" s="12"/>
      <c r="AN540" s="12" t="s">
        <v>232</v>
      </c>
      <c r="AP540" s="7">
        <v>420160</v>
      </c>
      <c r="AR540" s="7">
        <v>0</v>
      </c>
      <c r="AT540" s="7">
        <v>0</v>
      </c>
      <c r="AV540" s="7">
        <v>218000</v>
      </c>
      <c r="AX540" s="7">
        <f>222467+9177</f>
        <v>231644</v>
      </c>
      <c r="AZ540" s="7">
        <v>0</v>
      </c>
      <c r="BB540" s="8">
        <f t="shared" si="126"/>
        <v>12346659</v>
      </c>
      <c r="BD540" s="7">
        <v>173453</v>
      </c>
      <c r="BF540" s="7">
        <v>0</v>
      </c>
      <c r="BH540" s="7">
        <v>0</v>
      </c>
      <c r="BJ540" s="7">
        <v>6783</v>
      </c>
      <c r="BL540" s="8">
        <f t="shared" si="127"/>
        <v>12526895</v>
      </c>
      <c r="BN540" s="8">
        <f>'Gov Fd Rv'!AQ540-'Gov Fnd Exp'!BL540</f>
        <v>50902</v>
      </c>
      <c r="BP540" s="7">
        <v>1395585</v>
      </c>
      <c r="BR540" s="7">
        <v>0</v>
      </c>
      <c r="BT540" s="7">
        <v>0</v>
      </c>
      <c r="BV540" s="8">
        <f t="shared" si="128"/>
        <v>1446487</v>
      </c>
      <c r="BW540" s="8"/>
      <c r="BX540" s="8">
        <f>BV540-'Gov Fd BS'!AE540</f>
        <v>0</v>
      </c>
      <c r="BY540" s="8"/>
      <c r="CB540" s="101" t="str">
        <f t="shared" si="129"/>
        <v>Triad Local SD</v>
      </c>
      <c r="CC540" s="101" t="b">
        <f t="shared" si="123"/>
        <v>1</v>
      </c>
      <c r="CD540" s="101" t="str">
        <f>'Gov Fd Rv'!A540</f>
        <v>Triad Local SD</v>
      </c>
      <c r="CE540" s="8" t="b">
        <f t="shared" si="122"/>
        <v>1</v>
      </c>
      <c r="CG540" s="8" t="str">
        <f t="shared" si="124"/>
        <v>Champaign</v>
      </c>
      <c r="CH540" s="8" t="b">
        <f t="shared" si="125"/>
        <v>1</v>
      </c>
      <c r="CI540" s="8" t="b">
        <f>C540='Gov Fd Rv'!C540</f>
        <v>1</v>
      </c>
    </row>
    <row r="541" spans="1:87" s="32" customFormat="1">
      <c r="A541" s="31" t="s">
        <v>481</v>
      </c>
      <c r="B541" s="31"/>
      <c r="C541" s="31" t="s">
        <v>57</v>
      </c>
      <c r="D541" s="31"/>
      <c r="E541" s="31">
        <v>91397</v>
      </c>
      <c r="G541" s="32">
        <v>4891684</v>
      </c>
      <c r="I541" s="32">
        <v>1031844</v>
      </c>
      <c r="K541" s="32">
        <v>66681</v>
      </c>
      <c r="M541" s="32">
        <v>0</v>
      </c>
      <c r="O541" s="32">
        <v>0</v>
      </c>
      <c r="Q541" s="32">
        <v>615272</v>
      </c>
      <c r="S541" s="32">
        <v>657057</v>
      </c>
      <c r="U541" s="32">
        <v>22562</v>
      </c>
      <c r="W541" s="32">
        <v>1100637</v>
      </c>
      <c r="Y541" s="32">
        <v>232777</v>
      </c>
      <c r="AA541" s="32">
        <v>0</v>
      </c>
      <c r="AC541" s="32">
        <v>1052852</v>
      </c>
      <c r="AE541" s="32">
        <v>528068</v>
      </c>
      <c r="AG541" s="32">
        <v>29216</v>
      </c>
      <c r="AI541" s="32">
        <v>0</v>
      </c>
      <c r="AK541" s="32">
        <v>445533</v>
      </c>
      <c r="AL541" s="31" t="s">
        <v>481</v>
      </c>
      <c r="AM541" s="31"/>
      <c r="AN541" s="31" t="s">
        <v>57</v>
      </c>
      <c r="AP541" s="32">
        <v>430455</v>
      </c>
      <c r="AR541" s="32">
        <v>0</v>
      </c>
      <c r="AT541" s="32">
        <v>0</v>
      </c>
      <c r="AV541" s="32">
        <v>0</v>
      </c>
      <c r="AX541" s="32">
        <v>0</v>
      </c>
      <c r="AZ541" s="32">
        <v>0</v>
      </c>
      <c r="BB541" s="36">
        <f t="shared" si="126"/>
        <v>11104638</v>
      </c>
      <c r="BD541" s="32">
        <v>391</v>
      </c>
      <c r="BF541" s="32">
        <v>0</v>
      </c>
      <c r="BH541" s="32">
        <v>0</v>
      </c>
      <c r="BJ541" s="32">
        <v>0</v>
      </c>
      <c r="BL541" s="36">
        <f t="shared" si="127"/>
        <v>11105029</v>
      </c>
      <c r="BN541" s="36">
        <f>'Gov Fd Rv'!AQ541-'Gov Fnd Exp'!BL541</f>
        <v>-358963</v>
      </c>
      <c r="BP541" s="32">
        <v>3830525</v>
      </c>
      <c r="BR541" s="32">
        <v>0</v>
      </c>
      <c r="BT541" s="32">
        <v>0</v>
      </c>
      <c r="BV541" s="36">
        <f t="shared" si="128"/>
        <v>3471562</v>
      </c>
      <c r="BW541" s="36"/>
      <c r="BX541" s="36">
        <f>BV541-'Gov Fd BS'!AE541</f>
        <v>0</v>
      </c>
      <c r="BY541" s="36"/>
      <c r="CB541" s="106" t="str">
        <f t="shared" si="129"/>
        <v>Tri-County North Local SD</v>
      </c>
      <c r="CC541" s="106" t="b">
        <f t="shared" si="123"/>
        <v>1</v>
      </c>
      <c r="CD541" s="106" t="str">
        <f>'Gov Fd Rv'!A541</f>
        <v>Tri-County North Local SD</v>
      </c>
      <c r="CE541" s="36" t="b">
        <f t="shared" si="122"/>
        <v>1</v>
      </c>
      <c r="CG541" s="36" t="str">
        <f t="shared" si="124"/>
        <v>Preble</v>
      </c>
      <c r="CH541" s="36" t="b">
        <f t="shared" si="125"/>
        <v>1</v>
      </c>
      <c r="CI541" s="36" t="b">
        <f>C541='Gov Fd Rv'!C541</f>
        <v>1</v>
      </c>
    </row>
    <row r="542" spans="1:87">
      <c r="A542" s="12" t="s">
        <v>213</v>
      </c>
      <c r="B542" s="12"/>
      <c r="C542" s="12" t="s">
        <v>13</v>
      </c>
      <c r="D542" s="12"/>
      <c r="E542" s="12">
        <v>45922</v>
      </c>
      <c r="G542" s="7">
        <v>3720754</v>
      </c>
      <c r="I542" s="7">
        <v>1981785</v>
      </c>
      <c r="K542" s="7">
        <v>875</v>
      </c>
      <c r="M542" s="7">
        <v>0</v>
      </c>
      <c r="O542" s="7">
        <f>34950+625401</f>
        <v>660351</v>
      </c>
      <c r="Q542" s="7">
        <v>512080</v>
      </c>
      <c r="S542" s="7">
        <v>491516</v>
      </c>
      <c r="U542" s="7">
        <v>123385</v>
      </c>
      <c r="W542" s="7">
        <v>815993</v>
      </c>
      <c r="Y542" s="7">
        <v>285718</v>
      </c>
      <c r="AA542" s="7">
        <v>0</v>
      </c>
      <c r="AC542" s="7">
        <v>938441</v>
      </c>
      <c r="AE542" s="7">
        <v>626467</v>
      </c>
      <c r="AG542" s="7">
        <v>22677</v>
      </c>
      <c r="AI542" s="7">
        <v>0</v>
      </c>
      <c r="AK542" s="7">
        <v>494750</v>
      </c>
      <c r="AL542" s="12" t="s">
        <v>213</v>
      </c>
      <c r="AM542" s="12"/>
      <c r="AN542" s="12" t="s">
        <v>13</v>
      </c>
      <c r="AP542" s="7">
        <v>197795</v>
      </c>
      <c r="AR542" s="7">
        <v>396762</v>
      </c>
      <c r="AT542" s="7">
        <v>0</v>
      </c>
      <c r="AV542" s="7">
        <v>72566</v>
      </c>
      <c r="AX542" s="7">
        <v>26308</v>
      </c>
      <c r="AZ542" s="7">
        <v>0</v>
      </c>
      <c r="BB542" s="8">
        <f t="shared" si="126"/>
        <v>11368223</v>
      </c>
      <c r="BD542" s="7">
        <v>12552</v>
      </c>
      <c r="BF542" s="7">
        <v>0</v>
      </c>
      <c r="BH542" s="7">
        <v>0</v>
      </c>
      <c r="BJ542" s="7">
        <v>0</v>
      </c>
      <c r="BL542" s="8">
        <f t="shared" si="127"/>
        <v>11380775</v>
      </c>
      <c r="BN542" s="8">
        <f>'Gov Fd Rv'!AQ542-'Gov Fnd Exp'!BL542</f>
        <v>503120</v>
      </c>
      <c r="BP542" s="7">
        <v>644126</v>
      </c>
      <c r="BR542" s="7">
        <v>0</v>
      </c>
      <c r="BT542" s="7">
        <v>0</v>
      </c>
      <c r="BV542" s="8">
        <f t="shared" si="128"/>
        <v>1147246</v>
      </c>
      <c r="BW542" s="8"/>
      <c r="BX542" s="8">
        <f>BV542-'Gov Fd BS'!AE542</f>
        <v>0</v>
      </c>
      <c r="BY542" s="8"/>
      <c r="CB542" s="101" t="str">
        <f t="shared" si="129"/>
        <v>Trimble Local SD</v>
      </c>
      <c r="CC542" s="101" t="b">
        <f t="shared" si="123"/>
        <v>1</v>
      </c>
      <c r="CD542" s="101" t="str">
        <f>'Gov Fd Rv'!A542</f>
        <v>Trimble Local SD</v>
      </c>
      <c r="CE542" s="8" t="b">
        <f t="shared" si="122"/>
        <v>1</v>
      </c>
      <c r="CG542" s="8" t="str">
        <f t="shared" si="124"/>
        <v>Athens</v>
      </c>
      <c r="CH542" s="8" t="b">
        <f t="shared" si="125"/>
        <v>1</v>
      </c>
      <c r="CI542" s="8" t="b">
        <f>C542='Gov Fd Rv'!C542</f>
        <v>1</v>
      </c>
    </row>
    <row r="543" spans="1:87">
      <c r="A543" s="12" t="s">
        <v>459</v>
      </c>
      <c r="B543" s="12"/>
      <c r="C543" s="12" t="s">
        <v>51</v>
      </c>
      <c r="D543" s="12"/>
      <c r="E543" s="12">
        <v>48876</v>
      </c>
      <c r="G543" s="7">
        <v>12566009</v>
      </c>
      <c r="I543" s="7">
        <v>3260451</v>
      </c>
      <c r="K543" s="7">
        <v>310344</v>
      </c>
      <c r="M543" s="7">
        <v>0</v>
      </c>
      <c r="O543" s="7">
        <v>43754</v>
      </c>
      <c r="Q543" s="7">
        <v>789127</v>
      </c>
      <c r="S543" s="7">
        <v>1338477</v>
      </c>
      <c r="U543" s="7">
        <v>1079180</v>
      </c>
      <c r="W543" s="7">
        <v>2319331</v>
      </c>
      <c r="Y543" s="7">
        <v>452442</v>
      </c>
      <c r="AA543" s="7">
        <v>0</v>
      </c>
      <c r="AC543" s="7">
        <v>1877440</v>
      </c>
      <c r="AE543" s="7">
        <v>1947305</v>
      </c>
      <c r="AG543" s="7">
        <v>407165</v>
      </c>
      <c r="AI543" s="7">
        <v>1192803</v>
      </c>
      <c r="AK543" s="7">
        <v>97912</v>
      </c>
      <c r="AL543" s="12" t="s">
        <v>459</v>
      </c>
      <c r="AM543" s="12"/>
      <c r="AN543" s="12" t="s">
        <v>51</v>
      </c>
      <c r="AP543" s="7">
        <v>192303</v>
      </c>
      <c r="AR543" s="7">
        <v>60238</v>
      </c>
      <c r="AT543" s="7">
        <v>0</v>
      </c>
      <c r="AV543" s="7">
        <v>423668</v>
      </c>
      <c r="AX543" s="7">
        <v>736115</v>
      </c>
      <c r="AZ543" s="7">
        <v>0</v>
      </c>
      <c r="BB543" s="8">
        <f t="shared" si="126"/>
        <v>29094064</v>
      </c>
      <c r="BD543" s="7">
        <v>0</v>
      </c>
      <c r="BF543" s="7">
        <v>0</v>
      </c>
      <c r="BH543" s="7">
        <v>0</v>
      </c>
      <c r="BJ543" s="7">
        <v>0</v>
      </c>
      <c r="BL543" s="8">
        <f t="shared" si="127"/>
        <v>29094064</v>
      </c>
      <c r="BN543" s="8">
        <f>'Gov Fd Rv'!AQ543-'Gov Fnd Exp'!BL543</f>
        <v>2228702</v>
      </c>
      <c r="BP543" s="7">
        <v>4057999</v>
      </c>
      <c r="BR543" s="7">
        <v>0</v>
      </c>
      <c r="BT543" s="7">
        <v>0</v>
      </c>
      <c r="BV543" s="8">
        <f t="shared" si="128"/>
        <v>6286701</v>
      </c>
      <c r="BW543" s="8"/>
      <c r="BX543" s="8">
        <f>BV543-'Gov Fd BS'!AE543</f>
        <v>0</v>
      </c>
      <c r="BY543" s="8"/>
      <c r="CB543" s="101" t="str">
        <f t="shared" si="129"/>
        <v>Tri-Valley Local SD</v>
      </c>
      <c r="CC543" s="101" t="b">
        <f t="shared" si="123"/>
        <v>1</v>
      </c>
      <c r="CD543" s="101" t="str">
        <f>'Gov Fd Rv'!A543</f>
        <v>Tri-Valley Local SD</v>
      </c>
      <c r="CE543" s="8" t="b">
        <f t="shared" si="122"/>
        <v>1</v>
      </c>
      <c r="CG543" s="8" t="str">
        <f t="shared" si="124"/>
        <v>Muskingum</v>
      </c>
      <c r="CH543" s="8" t="b">
        <f t="shared" si="125"/>
        <v>1</v>
      </c>
      <c r="CI543" s="8" t="b">
        <f>C543='Gov Fd Rv'!C543</f>
        <v>1</v>
      </c>
    </row>
    <row r="544" spans="1:87" hidden="1">
      <c r="A544" s="12" t="s">
        <v>726</v>
      </c>
      <c r="B544" s="12"/>
      <c r="C544" s="12" t="s">
        <v>21</v>
      </c>
      <c r="D544" s="12"/>
      <c r="E544" s="12">
        <v>46680</v>
      </c>
      <c r="AL544" s="12" t="s">
        <v>726</v>
      </c>
      <c r="AM544" s="12"/>
      <c r="AN544" s="12" t="s">
        <v>21</v>
      </c>
      <c r="BB544" s="8">
        <f t="shared" si="126"/>
        <v>0</v>
      </c>
      <c r="BL544" s="8">
        <f t="shared" si="127"/>
        <v>0</v>
      </c>
      <c r="BN544" s="8">
        <f>'Gov Fd Rv'!AQ544-'Gov Fnd Exp'!BL544</f>
        <v>0</v>
      </c>
      <c r="BV544" s="8">
        <f t="shared" si="128"/>
        <v>0</v>
      </c>
      <c r="BW544" s="8"/>
      <c r="BX544" s="8">
        <f>BV544-'Gov Fd BS'!AE544</f>
        <v>0</v>
      </c>
      <c r="BY544" s="8"/>
      <c r="CB544" s="101" t="str">
        <f t="shared" si="129"/>
        <v>Tri-Village Local SD (CASH)</v>
      </c>
      <c r="CC544" s="101" t="b">
        <f t="shared" si="123"/>
        <v>1</v>
      </c>
      <c r="CD544" s="101" t="str">
        <f>'Gov Fd Rv'!A544</f>
        <v>Tri-Village Local SD (CASH)</v>
      </c>
      <c r="CE544" s="8" t="b">
        <f t="shared" si="122"/>
        <v>1</v>
      </c>
      <c r="CG544" s="8" t="str">
        <f t="shared" si="124"/>
        <v>Darke</v>
      </c>
      <c r="CH544" s="8" t="b">
        <f t="shared" si="125"/>
        <v>1</v>
      </c>
      <c r="CI544" s="8" t="b">
        <f>C544='Gov Fd Rv'!C544</f>
        <v>1</v>
      </c>
    </row>
    <row r="545" spans="1:87" hidden="1">
      <c r="A545" s="12" t="s">
        <v>569</v>
      </c>
      <c r="B545" s="12"/>
      <c r="C545" s="12" t="s">
        <v>71</v>
      </c>
      <c r="D545" s="12"/>
      <c r="E545" s="12">
        <v>50591</v>
      </c>
      <c r="AL545" s="12" t="s">
        <v>569</v>
      </c>
      <c r="AM545" s="12"/>
      <c r="AN545" s="12" t="s">
        <v>71</v>
      </c>
      <c r="BB545" s="8">
        <f t="shared" si="126"/>
        <v>0</v>
      </c>
      <c r="BL545" s="8">
        <f t="shared" si="127"/>
        <v>0</v>
      </c>
      <c r="BN545" s="8">
        <f>'Gov Fd Rv'!AQ545-'Gov Fnd Exp'!BL545</f>
        <v>0</v>
      </c>
      <c r="BV545" s="8">
        <f t="shared" si="128"/>
        <v>0</v>
      </c>
      <c r="BW545" s="8"/>
      <c r="BX545" s="8">
        <f>BV545-'Gov Fd BS'!AE545</f>
        <v>0</v>
      </c>
      <c r="BY545" s="8"/>
      <c r="BZ545" s="7" t="s">
        <v>795</v>
      </c>
      <c r="CB545" s="101" t="str">
        <f t="shared" si="129"/>
        <v>Triway Local SD</v>
      </c>
      <c r="CC545" s="101" t="b">
        <f t="shared" si="123"/>
        <v>1</v>
      </c>
      <c r="CD545" s="101" t="str">
        <f>'Gov Fd Rv'!A545</f>
        <v>Triway Local SD</v>
      </c>
      <c r="CE545" s="8" t="b">
        <f t="shared" si="122"/>
        <v>1</v>
      </c>
      <c r="CG545" s="8" t="str">
        <f t="shared" si="124"/>
        <v>Wayne</v>
      </c>
      <c r="CH545" s="8" t="b">
        <f t="shared" si="125"/>
        <v>1</v>
      </c>
      <c r="CI545" s="8" t="b">
        <f>C545='Gov Fd Rv'!C545</f>
        <v>1</v>
      </c>
    </row>
    <row r="546" spans="1:87">
      <c r="A546" s="12" t="s">
        <v>449</v>
      </c>
      <c r="B546" s="12"/>
      <c r="C546" s="12" t="s">
        <v>50</v>
      </c>
      <c r="D546" s="12"/>
      <c r="E546" s="12">
        <v>48694</v>
      </c>
      <c r="G546" s="7">
        <v>15473510</v>
      </c>
      <c r="I546" s="7">
        <v>4383057</v>
      </c>
      <c r="K546" s="7">
        <v>0</v>
      </c>
      <c r="M546" s="7">
        <v>0</v>
      </c>
      <c r="O546" s="7">
        <v>491370</v>
      </c>
      <c r="Q546" s="7">
        <v>2284745</v>
      </c>
      <c r="S546" s="7">
        <v>1542735</v>
      </c>
      <c r="U546" s="7">
        <v>42389</v>
      </c>
      <c r="W546" s="7">
        <v>2523369</v>
      </c>
      <c r="Y546" s="7">
        <v>668293</v>
      </c>
      <c r="AA546" s="7">
        <v>503894</v>
      </c>
      <c r="AC546" s="7">
        <v>3043990</v>
      </c>
      <c r="AE546" s="7">
        <v>1518679</v>
      </c>
      <c r="AG546" s="7">
        <v>1355321</v>
      </c>
      <c r="AI546" s="7">
        <v>0</v>
      </c>
      <c r="AK546" s="7">
        <v>2048874</v>
      </c>
      <c r="AL546" s="12" t="s">
        <v>449</v>
      </c>
      <c r="AM546" s="12"/>
      <c r="AN546" s="12" t="s">
        <v>50</v>
      </c>
      <c r="AP546" s="7">
        <v>517460</v>
      </c>
      <c r="AR546" s="7">
        <v>3691599</v>
      </c>
      <c r="AT546" s="7">
        <v>0</v>
      </c>
      <c r="AV546" s="7">
        <v>790000</v>
      </c>
      <c r="AX546" s="7">
        <v>1697442</v>
      </c>
      <c r="AZ546" s="7">
        <v>0</v>
      </c>
      <c r="BB546" s="8">
        <f t="shared" si="126"/>
        <v>42576727</v>
      </c>
      <c r="BD546" s="7">
        <v>561702</v>
      </c>
      <c r="BF546" s="7">
        <v>0</v>
      </c>
      <c r="BH546" s="7">
        <v>0</v>
      </c>
      <c r="BJ546" s="7">
        <v>0</v>
      </c>
      <c r="BL546" s="8">
        <f t="shared" si="127"/>
        <v>43138429</v>
      </c>
      <c r="BN546" s="8">
        <f>'Gov Fd Rv'!AQ546-'Gov Fnd Exp'!BL546</f>
        <v>231304</v>
      </c>
      <c r="BP546" s="7">
        <v>16929605</v>
      </c>
      <c r="BR546" s="7">
        <v>0</v>
      </c>
      <c r="BT546" s="7">
        <v>0</v>
      </c>
      <c r="BV546" s="8">
        <f t="shared" si="128"/>
        <v>17160909</v>
      </c>
      <c r="BW546" s="8"/>
      <c r="BX546" s="8">
        <f>BV546-'Gov Fd BS'!AE546</f>
        <v>0</v>
      </c>
      <c r="BY546" s="8"/>
      <c r="CB546" s="101" t="str">
        <f t="shared" si="129"/>
        <v>Trotwood-Madison City SD</v>
      </c>
      <c r="CC546" s="101" t="b">
        <f t="shared" si="123"/>
        <v>1</v>
      </c>
      <c r="CD546" s="101" t="str">
        <f>'Gov Fd Rv'!A546</f>
        <v>Trotwood-Madison City SD</v>
      </c>
      <c r="CE546" s="8" t="b">
        <f t="shared" si="122"/>
        <v>1</v>
      </c>
      <c r="CG546" s="8" t="str">
        <f t="shared" si="124"/>
        <v>Montgomery</v>
      </c>
      <c r="CH546" s="8" t="b">
        <f t="shared" si="125"/>
        <v>1</v>
      </c>
      <c r="CI546" s="8" t="b">
        <f>C546='Gov Fd Rv'!C546</f>
        <v>1</v>
      </c>
    </row>
    <row r="547" spans="1:87">
      <c r="A547" s="12" t="s">
        <v>439</v>
      </c>
      <c r="B547" s="12"/>
      <c r="C547" s="12" t="s">
        <v>48</v>
      </c>
      <c r="D547" s="12"/>
      <c r="E547" s="12">
        <v>44925</v>
      </c>
      <c r="G547" s="7">
        <v>23647989</v>
      </c>
      <c r="I547" s="7">
        <v>6091444</v>
      </c>
      <c r="K547" s="7">
        <v>16822</v>
      </c>
      <c r="M547" s="7">
        <v>0</v>
      </c>
      <c r="O547" s="7">
        <v>2380085</v>
      </c>
      <c r="Q547" s="7">
        <v>2192102</v>
      </c>
      <c r="S547" s="7">
        <v>1082831</v>
      </c>
      <c r="U547" s="7">
        <v>691712</v>
      </c>
      <c r="W547" s="7">
        <v>3075508</v>
      </c>
      <c r="Y547" s="7">
        <v>563302</v>
      </c>
      <c r="AA547" s="7">
        <v>596071</v>
      </c>
      <c r="AC547" s="7">
        <v>3587123</v>
      </c>
      <c r="AE547" s="7">
        <v>1708964</v>
      </c>
      <c r="AG547" s="7">
        <v>55829</v>
      </c>
      <c r="AI547" s="7">
        <v>0</v>
      </c>
      <c r="AK547" s="7">
        <v>2510549</v>
      </c>
      <c r="AL547" s="12" t="s">
        <v>439</v>
      </c>
      <c r="AM547" s="12"/>
      <c r="AN547" s="12" t="s">
        <v>48</v>
      </c>
      <c r="AP547" s="7">
        <v>480372</v>
      </c>
      <c r="AR547" s="7">
        <v>1223946</v>
      </c>
      <c r="AT547" s="7">
        <v>0</v>
      </c>
      <c r="AV547" s="7">
        <v>695574</v>
      </c>
      <c r="AX547" s="7">
        <v>819625</v>
      </c>
      <c r="AZ547" s="7">
        <v>0</v>
      </c>
      <c r="BB547" s="8">
        <f t="shared" si="126"/>
        <v>51419848</v>
      </c>
      <c r="BD547" s="7">
        <v>150000</v>
      </c>
      <c r="BF547" s="7">
        <v>0</v>
      </c>
      <c r="BH547" s="7">
        <v>0</v>
      </c>
      <c r="BJ547" s="7">
        <v>0</v>
      </c>
      <c r="BL547" s="8">
        <f t="shared" si="127"/>
        <v>51569848</v>
      </c>
      <c r="BN547" s="8">
        <f>'Gov Fd Rv'!AQ547-'Gov Fnd Exp'!BL547</f>
        <v>1260317</v>
      </c>
      <c r="BP547" s="7">
        <v>13284578</v>
      </c>
      <c r="BR547" s="7">
        <v>0</v>
      </c>
      <c r="BT547" s="7">
        <v>0</v>
      </c>
      <c r="BV547" s="8">
        <f t="shared" si="128"/>
        <v>14544895</v>
      </c>
      <c r="BW547" s="8"/>
      <c r="BX547" s="8">
        <f>BV547-'Gov Fd BS'!AE547</f>
        <v>0</v>
      </c>
      <c r="BY547" s="8"/>
      <c r="CB547" s="101" t="str">
        <f t="shared" si="129"/>
        <v>Troy City SD</v>
      </c>
      <c r="CC547" s="101" t="b">
        <f t="shared" si="123"/>
        <v>1</v>
      </c>
      <c r="CD547" s="101" t="str">
        <f>'Gov Fd Rv'!A547</f>
        <v>Troy City SD</v>
      </c>
      <c r="CE547" s="8" t="b">
        <f t="shared" si="122"/>
        <v>1</v>
      </c>
      <c r="CG547" s="8" t="str">
        <f t="shared" si="124"/>
        <v>Miami</v>
      </c>
      <c r="CH547" s="8" t="b">
        <f t="shared" si="125"/>
        <v>1</v>
      </c>
      <c r="CI547" s="8" t="b">
        <f>C547='Gov Fd Rv'!C547</f>
        <v>1</v>
      </c>
    </row>
    <row r="548" spans="1:87">
      <c r="A548" s="12" t="s">
        <v>554</v>
      </c>
      <c r="B548" s="12"/>
      <c r="C548" s="12" t="s">
        <v>65</v>
      </c>
      <c r="D548" s="12"/>
      <c r="E548" s="12">
        <v>50302</v>
      </c>
      <c r="G548" s="7">
        <v>5857443</v>
      </c>
      <c r="I548" s="7">
        <v>822673</v>
      </c>
      <c r="K548" s="7">
        <v>145126</v>
      </c>
      <c r="M548" s="7">
        <v>0</v>
      </c>
      <c r="O548" s="7">
        <v>1094256</v>
      </c>
      <c r="Q548" s="7">
        <v>316617</v>
      </c>
      <c r="S548" s="7">
        <v>579396</v>
      </c>
      <c r="U548" s="7">
        <v>16931</v>
      </c>
      <c r="W548" s="7">
        <v>1388212</v>
      </c>
      <c r="Y548" s="7">
        <v>345396</v>
      </c>
      <c r="AA548" s="7">
        <v>0</v>
      </c>
      <c r="AC548" s="7">
        <v>976801</v>
      </c>
      <c r="AE548" s="7">
        <v>1121811</v>
      </c>
      <c r="AG548" s="7">
        <v>67501</v>
      </c>
      <c r="AI548" s="7">
        <v>447188</v>
      </c>
      <c r="AK548" s="7">
        <v>0</v>
      </c>
      <c r="AL548" s="12" t="s">
        <v>554</v>
      </c>
      <c r="AM548" s="12"/>
      <c r="AN548" s="12" t="s">
        <v>65</v>
      </c>
      <c r="AP548" s="7">
        <v>412662</v>
      </c>
      <c r="AR548" s="7">
        <v>484771</v>
      </c>
      <c r="AT548" s="7">
        <v>0</v>
      </c>
      <c r="AV548" s="7">
        <v>522499</v>
      </c>
      <c r="AX548" s="7">
        <v>62981</v>
      </c>
      <c r="AZ548" s="7">
        <v>0</v>
      </c>
      <c r="BB548" s="8">
        <f t="shared" si="126"/>
        <v>14662264</v>
      </c>
      <c r="BD548" s="7">
        <v>0</v>
      </c>
      <c r="BF548" s="7">
        <v>0</v>
      </c>
      <c r="BH548" s="7">
        <v>0</v>
      </c>
      <c r="BJ548" s="7">
        <v>0</v>
      </c>
      <c r="BL548" s="8">
        <f t="shared" si="127"/>
        <v>14662264</v>
      </c>
      <c r="BN548" s="8">
        <f>'Gov Fd Rv'!AQ548-'Gov Fnd Exp'!BL548</f>
        <v>63286</v>
      </c>
      <c r="BP548" s="7">
        <v>2355589</v>
      </c>
      <c r="BR548" s="7">
        <v>-15326</v>
      </c>
      <c r="BT548" s="7">
        <v>0</v>
      </c>
      <c r="BV548" s="8">
        <f t="shared" si="128"/>
        <v>2403549</v>
      </c>
      <c r="BW548" s="8"/>
      <c r="BX548" s="8">
        <f>BV548-'Gov Fd BS'!AE548</f>
        <v>0</v>
      </c>
      <c r="BY548" s="8"/>
      <c r="CB548" s="101" t="str">
        <f t="shared" si="129"/>
        <v>Tuscarawas Valley Local SD</v>
      </c>
      <c r="CC548" s="101" t="b">
        <f t="shared" si="123"/>
        <v>1</v>
      </c>
      <c r="CD548" s="101" t="str">
        <f>'Gov Fd Rv'!A548</f>
        <v>Tuscarawas Valley Local SD</v>
      </c>
      <c r="CE548" s="8" t="b">
        <f t="shared" si="122"/>
        <v>1</v>
      </c>
      <c r="CG548" s="8" t="str">
        <f t="shared" si="124"/>
        <v>Tuscarawas</v>
      </c>
      <c r="CH548" s="8" t="b">
        <f t="shared" si="125"/>
        <v>1</v>
      </c>
      <c r="CI548" s="8" t="b">
        <f>C548='Gov Fd Rv'!C548</f>
        <v>1</v>
      </c>
    </row>
    <row r="549" spans="1:87">
      <c r="A549" s="12" t="s">
        <v>521</v>
      </c>
      <c r="B549" s="12"/>
      <c r="C549" s="12" t="s">
        <v>62</v>
      </c>
      <c r="D549" s="12"/>
      <c r="E549" s="12">
        <v>49957</v>
      </c>
      <c r="G549" s="7">
        <v>5304329</v>
      </c>
      <c r="I549" s="7">
        <v>1563911</v>
      </c>
      <c r="K549" s="7">
        <v>199008</v>
      </c>
      <c r="M549" s="7">
        <v>0</v>
      </c>
      <c r="O549" s="7">
        <v>13539</v>
      </c>
      <c r="Q549" s="7">
        <v>710454</v>
      </c>
      <c r="S549" s="7">
        <v>364151</v>
      </c>
      <c r="U549" s="7">
        <v>14353</v>
      </c>
      <c r="W549" s="7">
        <v>997865</v>
      </c>
      <c r="Y549" s="7">
        <v>357992</v>
      </c>
      <c r="AA549" s="7">
        <v>45051</v>
      </c>
      <c r="AC549" s="7">
        <v>1040800</v>
      </c>
      <c r="AE549" s="7">
        <v>727303</v>
      </c>
      <c r="AG549" s="7">
        <v>36834</v>
      </c>
      <c r="AI549" s="7">
        <v>0</v>
      </c>
      <c r="AK549" s="7">
        <v>438970</v>
      </c>
      <c r="AL549" s="12" t="s">
        <v>521</v>
      </c>
      <c r="AM549" s="12"/>
      <c r="AN549" s="12" t="s">
        <v>62</v>
      </c>
      <c r="AP549" s="7">
        <v>652030</v>
      </c>
      <c r="AR549" s="7">
        <v>6529335</v>
      </c>
      <c r="AT549" s="7">
        <v>0</v>
      </c>
      <c r="AV549" s="7">
        <v>203113</v>
      </c>
      <c r="AX549" s="7">
        <f>564192+312485</f>
        <v>876677</v>
      </c>
      <c r="AZ549" s="7">
        <v>0</v>
      </c>
      <c r="BB549" s="8">
        <f t="shared" si="126"/>
        <v>20075715</v>
      </c>
      <c r="BD549" s="7">
        <v>298998</v>
      </c>
      <c r="BF549" s="7">
        <v>0</v>
      </c>
      <c r="BH549" s="7">
        <v>0</v>
      </c>
      <c r="BJ549" s="7">
        <v>0</v>
      </c>
      <c r="BL549" s="8">
        <f t="shared" si="127"/>
        <v>20374713</v>
      </c>
      <c r="BN549" s="8">
        <f>'Gov Fd Rv'!AQ549-'Gov Fnd Exp'!BL549</f>
        <v>-2954266</v>
      </c>
      <c r="BP549" s="7">
        <v>10331882</v>
      </c>
      <c r="BR549" s="7">
        <v>0</v>
      </c>
      <c r="BT549" s="7">
        <v>0</v>
      </c>
      <c r="BV549" s="8">
        <f t="shared" si="128"/>
        <v>7377616</v>
      </c>
      <c r="BW549" s="8"/>
      <c r="BX549" s="8">
        <f>BV549-'Gov Fd BS'!AE549</f>
        <v>0</v>
      </c>
      <c r="BY549" s="8"/>
      <c r="CB549" s="101" t="str">
        <f t="shared" si="129"/>
        <v>Tuslaw Local SD</v>
      </c>
      <c r="CC549" s="101" t="b">
        <f t="shared" si="123"/>
        <v>1</v>
      </c>
      <c r="CD549" s="101" t="str">
        <f>'Gov Fd Rv'!A549</f>
        <v>Tuslaw Local SD</v>
      </c>
      <c r="CE549" s="8" t="b">
        <f t="shared" si="122"/>
        <v>1</v>
      </c>
      <c r="CG549" s="8" t="str">
        <f t="shared" si="124"/>
        <v>Stark</v>
      </c>
      <c r="CH549" s="8" t="b">
        <f t="shared" si="125"/>
        <v>1</v>
      </c>
      <c r="CI549" s="8" t="b">
        <f>C549='Gov Fd Rv'!C549</f>
        <v>1</v>
      </c>
    </row>
    <row r="550" spans="1:87" hidden="1">
      <c r="A550" s="12" t="s">
        <v>732</v>
      </c>
      <c r="B550" s="12"/>
      <c r="C550" s="12" t="s">
        <v>57</v>
      </c>
      <c r="D550" s="12"/>
      <c r="E550" s="12">
        <v>49296</v>
      </c>
      <c r="AL550" s="12" t="s">
        <v>732</v>
      </c>
      <c r="AM550" s="12"/>
      <c r="AN550" s="12" t="s">
        <v>57</v>
      </c>
      <c r="BB550" s="8">
        <f t="shared" si="126"/>
        <v>0</v>
      </c>
      <c r="BL550" s="8">
        <f t="shared" si="127"/>
        <v>0</v>
      </c>
      <c r="BN550" s="8">
        <f>'Gov Fd Rv'!AQ550-'Gov Fnd Exp'!BL550</f>
        <v>0</v>
      </c>
      <c r="BV550" s="8">
        <f t="shared" si="128"/>
        <v>0</v>
      </c>
      <c r="BW550" s="8"/>
      <c r="BX550" s="8">
        <f>BV550-'Gov Fd BS'!AE550</f>
        <v>0</v>
      </c>
      <c r="BY550" s="8"/>
      <c r="BZ550" s="7" t="s">
        <v>789</v>
      </c>
      <c r="CB550" s="101" t="str">
        <f t="shared" si="129"/>
        <v>Twin Valley Community Local SD (CASH)</v>
      </c>
      <c r="CC550" s="101" t="b">
        <f t="shared" si="123"/>
        <v>1</v>
      </c>
      <c r="CD550" s="101" t="str">
        <f>'Gov Fd Rv'!A550</f>
        <v>Twin Valley Community Local SD (CASH)</v>
      </c>
      <c r="CE550" s="8" t="b">
        <f t="shared" si="122"/>
        <v>1</v>
      </c>
      <c r="CG550" s="8" t="str">
        <f t="shared" si="124"/>
        <v>Preble</v>
      </c>
      <c r="CH550" s="8" t="b">
        <f t="shared" si="125"/>
        <v>1</v>
      </c>
      <c r="CI550" s="8" t="b">
        <f>C550='Gov Fd Rv'!C550</f>
        <v>1</v>
      </c>
    </row>
    <row r="551" spans="1:87">
      <c r="A551" s="12" t="s">
        <v>532</v>
      </c>
      <c r="B551" s="12"/>
      <c r="C551" s="12" t="s">
        <v>63</v>
      </c>
      <c r="D551" s="12"/>
      <c r="E551" s="12">
        <v>50070</v>
      </c>
      <c r="G551" s="7">
        <v>20624972</v>
      </c>
      <c r="I551" s="7">
        <v>2904399</v>
      </c>
      <c r="K551" s="7">
        <v>313703</v>
      </c>
      <c r="M551" s="7">
        <v>0</v>
      </c>
      <c r="O551" s="7">
        <v>61741</v>
      </c>
      <c r="Q551" s="7">
        <v>2712163</v>
      </c>
      <c r="S551" s="7">
        <v>2364537</v>
      </c>
      <c r="U551" s="7">
        <v>339020</v>
      </c>
      <c r="W551" s="7">
        <v>3150408</v>
      </c>
      <c r="Y551" s="7">
        <v>1126088</v>
      </c>
      <c r="AA551" s="7">
        <v>96131</v>
      </c>
      <c r="AC551" s="7">
        <v>4734987</v>
      </c>
      <c r="AE551" s="7">
        <v>2711926</v>
      </c>
      <c r="AG551" s="7">
        <v>819332</v>
      </c>
      <c r="AI551" s="7">
        <v>1407658</v>
      </c>
      <c r="AK551" s="7">
        <v>2056</v>
      </c>
      <c r="AL551" s="12" t="s">
        <v>532</v>
      </c>
      <c r="AM551" s="12"/>
      <c r="AN551" s="12" t="s">
        <v>63</v>
      </c>
      <c r="AP551" s="7">
        <v>1159361</v>
      </c>
      <c r="AR551" s="7">
        <v>611143</v>
      </c>
      <c r="AT551" s="7">
        <v>0</v>
      </c>
      <c r="AV551" s="7">
        <v>2380804</v>
      </c>
      <c r="AX551" s="7">
        <v>1161519</v>
      </c>
      <c r="AZ551" s="7">
        <v>0</v>
      </c>
      <c r="BB551" s="8">
        <f t="shared" si="126"/>
        <v>48681948</v>
      </c>
      <c r="BD551" s="7">
        <v>0</v>
      </c>
      <c r="BF551" s="7">
        <v>0</v>
      </c>
      <c r="BH551" s="7">
        <v>0</v>
      </c>
      <c r="BJ551" s="7">
        <v>0</v>
      </c>
      <c r="BL551" s="8">
        <f t="shared" si="127"/>
        <v>48681948</v>
      </c>
      <c r="BN551" s="8">
        <f>'Gov Fd Rv'!AQ551-'Gov Fnd Exp'!BL551</f>
        <v>-537586</v>
      </c>
      <c r="BP551" s="7">
        <v>34801357</v>
      </c>
      <c r="BR551" s="7">
        <v>0</v>
      </c>
      <c r="BT551" s="7">
        <v>0</v>
      </c>
      <c r="BV551" s="8">
        <f t="shared" si="128"/>
        <v>34263771</v>
      </c>
      <c r="BW551" s="8"/>
      <c r="BX551" s="8">
        <f>BV551-'Gov Fd BS'!AE551</f>
        <v>0</v>
      </c>
      <c r="BY551" s="8"/>
      <c r="CB551" s="101" t="str">
        <f t="shared" si="129"/>
        <v>Twinsburg City SD</v>
      </c>
      <c r="CC551" s="101" t="b">
        <f t="shared" si="123"/>
        <v>1</v>
      </c>
      <c r="CD551" s="101" t="str">
        <f>'Gov Fd Rv'!A551</f>
        <v>Twinsburg City SD</v>
      </c>
      <c r="CE551" s="8" t="b">
        <f t="shared" si="122"/>
        <v>1</v>
      </c>
      <c r="CG551" s="8" t="str">
        <f t="shared" si="124"/>
        <v>Summit</v>
      </c>
      <c r="CH551" s="8" t="b">
        <f t="shared" si="125"/>
        <v>1</v>
      </c>
      <c r="CI551" s="8" t="b">
        <f>C551='Gov Fd Rv'!C551</f>
        <v>1</v>
      </c>
    </row>
    <row r="552" spans="1:87" hidden="1">
      <c r="A552" s="12" t="s">
        <v>219</v>
      </c>
      <c r="B552" s="12"/>
      <c r="C552" s="12" t="s">
        <v>15</v>
      </c>
      <c r="D552" s="12"/>
      <c r="E552" s="12">
        <v>46011</v>
      </c>
      <c r="AL552" s="12" t="s">
        <v>219</v>
      </c>
      <c r="AM552" s="12"/>
      <c r="AN552" s="12" t="s">
        <v>15</v>
      </c>
      <c r="BB552" s="8">
        <f t="shared" si="126"/>
        <v>0</v>
      </c>
      <c r="BL552" s="8">
        <f t="shared" si="127"/>
        <v>0</v>
      </c>
      <c r="BN552" s="8">
        <f>'Gov Fd Rv'!AQ552-'Gov Fnd Exp'!BL552</f>
        <v>0</v>
      </c>
      <c r="BV552" s="8">
        <f t="shared" si="128"/>
        <v>0</v>
      </c>
      <c r="BW552" s="8"/>
      <c r="BX552" s="8">
        <f>BV552-'Gov Fd BS'!AE552</f>
        <v>0</v>
      </c>
      <c r="BY552" s="8"/>
      <c r="BZ552" s="7" t="s">
        <v>791</v>
      </c>
      <c r="CB552" s="101" t="str">
        <f t="shared" si="129"/>
        <v>Union Local SD</v>
      </c>
      <c r="CC552" s="101" t="b">
        <f t="shared" si="123"/>
        <v>1</v>
      </c>
      <c r="CD552" s="101" t="str">
        <f>'Gov Fd Rv'!A552</f>
        <v>Union Local SD</v>
      </c>
      <c r="CE552" s="8" t="b">
        <f t="shared" si="122"/>
        <v>1</v>
      </c>
      <c r="CG552" s="8" t="str">
        <f t="shared" si="124"/>
        <v>Belmont</v>
      </c>
      <c r="CH552" s="8" t="b">
        <f t="shared" si="125"/>
        <v>1</v>
      </c>
      <c r="CI552" s="8" t="b">
        <f>C552='Gov Fd Rv'!C552</f>
        <v>1</v>
      </c>
    </row>
    <row r="553" spans="1:87">
      <c r="A553" s="12" t="s">
        <v>491</v>
      </c>
      <c r="B553" s="12"/>
      <c r="C553" s="12" t="s">
        <v>58</v>
      </c>
      <c r="D553" s="12"/>
      <c r="E553" s="12">
        <v>49536</v>
      </c>
      <c r="G553" s="7">
        <v>10663245</v>
      </c>
      <c r="I553" s="7">
        <v>1459333</v>
      </c>
      <c r="K553" s="7">
        <v>9805</v>
      </c>
      <c r="M553" s="7">
        <v>0</v>
      </c>
      <c r="O553" s="7">
        <v>0</v>
      </c>
      <c r="Q553" s="7">
        <v>1003275</v>
      </c>
      <c r="S553" s="7">
        <v>675906</v>
      </c>
      <c r="U553" s="7">
        <v>610074</v>
      </c>
      <c r="W553" s="7">
        <v>1143842</v>
      </c>
      <c r="Y553" s="7">
        <v>444119</v>
      </c>
      <c r="AA553" s="7">
        <v>85507</v>
      </c>
      <c r="AC553" s="7">
        <v>1399044</v>
      </c>
      <c r="AE553" s="7">
        <v>729040</v>
      </c>
      <c r="AG553" s="7">
        <v>0</v>
      </c>
      <c r="AI553" s="7">
        <v>0</v>
      </c>
      <c r="AK553" s="7">
        <v>1008484</v>
      </c>
      <c r="AL553" s="12" t="s">
        <v>491</v>
      </c>
      <c r="AM553" s="12"/>
      <c r="AN553" s="12" t="s">
        <v>58</v>
      </c>
      <c r="AP553" s="7">
        <v>235320</v>
      </c>
      <c r="AR553" s="7">
        <v>0</v>
      </c>
      <c r="AT553" s="7">
        <v>0</v>
      </c>
      <c r="AV553" s="7">
        <v>424620</v>
      </c>
      <c r="AX553" s="7">
        <v>150362</v>
      </c>
      <c r="AZ553" s="7">
        <v>0</v>
      </c>
      <c r="BB553" s="8">
        <f t="shared" si="126"/>
        <v>20041976</v>
      </c>
      <c r="BD553" s="7">
        <v>245000</v>
      </c>
      <c r="BF553" s="7">
        <v>0</v>
      </c>
      <c r="BH553" s="7">
        <v>0</v>
      </c>
      <c r="BJ553" s="7">
        <v>0</v>
      </c>
      <c r="BL553" s="8">
        <f t="shared" si="127"/>
        <v>20286976</v>
      </c>
      <c r="BN553" s="8">
        <f>'Gov Fd Rv'!AQ553-'Gov Fnd Exp'!BL553</f>
        <v>869636</v>
      </c>
      <c r="BP553" s="7">
        <v>11428260</v>
      </c>
      <c r="BR553" s="7">
        <v>0</v>
      </c>
      <c r="BT553" s="7">
        <v>0</v>
      </c>
      <c r="BV553" s="8">
        <f t="shared" si="128"/>
        <v>12297896</v>
      </c>
      <c r="BW553" s="8"/>
      <c r="BX553" s="8">
        <f>BV553-'Gov Fd BS'!AE553</f>
        <v>0</v>
      </c>
      <c r="BY553" s="8"/>
      <c r="CB553" s="101" t="str">
        <f t="shared" si="129"/>
        <v>Union-Scioto Local SD</v>
      </c>
      <c r="CC553" s="101" t="b">
        <f t="shared" si="123"/>
        <v>1</v>
      </c>
      <c r="CD553" s="101" t="str">
        <f>'Gov Fd Rv'!A553</f>
        <v>Union-Scioto Local SD</v>
      </c>
      <c r="CE553" s="8" t="b">
        <f t="shared" si="122"/>
        <v>1</v>
      </c>
      <c r="CG553" s="8" t="str">
        <f t="shared" si="124"/>
        <v>Ross</v>
      </c>
      <c r="CH553" s="8" t="b">
        <f t="shared" si="125"/>
        <v>1</v>
      </c>
      <c r="CI553" s="8" t="b">
        <f>C553='Gov Fd Rv'!C553</f>
        <v>1</v>
      </c>
    </row>
    <row r="554" spans="1:87">
      <c r="A554" s="12" t="s">
        <v>257</v>
      </c>
      <c r="B554" s="12"/>
      <c r="C554" s="12" t="s">
        <v>112</v>
      </c>
      <c r="D554" s="12"/>
      <c r="E554" s="12">
        <v>46458</v>
      </c>
      <c r="G554" s="7">
        <v>5739425</v>
      </c>
      <c r="I554" s="7">
        <v>1631088</v>
      </c>
      <c r="K554" s="7">
        <v>205188</v>
      </c>
      <c r="M554" s="7">
        <v>8681</v>
      </c>
      <c r="O554" s="7">
        <v>2707</v>
      </c>
      <c r="Q554" s="7">
        <v>298343</v>
      </c>
      <c r="S554" s="7">
        <v>545652</v>
      </c>
      <c r="U554" s="7">
        <v>87232</v>
      </c>
      <c r="W554" s="7">
        <v>901309</v>
      </c>
      <c r="Y554" s="7">
        <v>287534</v>
      </c>
      <c r="AA554" s="7">
        <v>30195</v>
      </c>
      <c r="AC554" s="7">
        <v>980375</v>
      </c>
      <c r="AE554" s="7">
        <v>966445</v>
      </c>
      <c r="AG554" s="7">
        <v>16502</v>
      </c>
      <c r="AI554" s="7">
        <v>575448</v>
      </c>
      <c r="AK554" s="7">
        <v>1009</v>
      </c>
      <c r="AL554" s="12" t="s">
        <v>257</v>
      </c>
      <c r="AM554" s="12"/>
      <c r="AN554" s="12" t="s">
        <v>112</v>
      </c>
      <c r="AP554" s="7">
        <v>493541</v>
      </c>
      <c r="AR554" s="7">
        <v>50010</v>
      </c>
      <c r="AT554" s="7">
        <v>0</v>
      </c>
      <c r="AV554" s="7">
        <v>23879</v>
      </c>
      <c r="AX554" s="7">
        <v>2234</v>
      </c>
      <c r="AZ554" s="7">
        <v>0</v>
      </c>
      <c r="BB554" s="8">
        <f t="shared" si="126"/>
        <v>12846797</v>
      </c>
      <c r="BD554" s="7">
        <v>0</v>
      </c>
      <c r="BF554" s="7">
        <v>0</v>
      </c>
      <c r="BH554" s="7">
        <v>0</v>
      </c>
      <c r="BJ554" s="7">
        <v>0</v>
      </c>
      <c r="BL554" s="8">
        <f t="shared" si="127"/>
        <v>12846797</v>
      </c>
      <c r="BN554" s="8">
        <f>'Gov Fd Rv'!AQ554-'Gov Fnd Exp'!BL554</f>
        <v>197445</v>
      </c>
      <c r="BP554" s="7">
        <v>3892943</v>
      </c>
      <c r="BR554" s="7">
        <v>0</v>
      </c>
      <c r="BT554" s="7">
        <v>0</v>
      </c>
      <c r="BV554" s="8">
        <f t="shared" si="128"/>
        <v>4090388</v>
      </c>
      <c r="BW554" s="8"/>
      <c r="BX554" s="8">
        <f>BV554-'Gov Fd BS'!AE554</f>
        <v>0</v>
      </c>
      <c r="BY554" s="8"/>
      <c r="CB554" s="101" t="str">
        <f t="shared" si="129"/>
        <v>United Local SD</v>
      </c>
      <c r="CC554" s="101" t="b">
        <f t="shared" si="123"/>
        <v>1</v>
      </c>
      <c r="CD554" s="101" t="str">
        <f>'Gov Fd Rv'!A554</f>
        <v>United Local SD</v>
      </c>
      <c r="CE554" s="8" t="b">
        <f t="shared" si="122"/>
        <v>1</v>
      </c>
      <c r="CG554" s="8" t="str">
        <f t="shared" si="124"/>
        <v>Columbiana</v>
      </c>
      <c r="CH554" s="8" t="b">
        <f t="shared" si="125"/>
        <v>1</v>
      </c>
      <c r="CI554" s="8" t="b">
        <f>C554='Gov Fd Rv'!C554</f>
        <v>1</v>
      </c>
    </row>
    <row r="555" spans="1:87">
      <c r="A555" s="12" t="s">
        <v>314</v>
      </c>
      <c r="B555" s="12"/>
      <c r="C555" s="12" t="s">
        <v>27</v>
      </c>
      <c r="D555" s="12"/>
      <c r="E555" s="12">
        <v>44933</v>
      </c>
      <c r="G555" s="7">
        <v>41043335</v>
      </c>
      <c r="I555" s="7">
        <v>8548872</v>
      </c>
      <c r="K555" s="7">
        <v>135957</v>
      </c>
      <c r="M555" s="7">
        <v>0</v>
      </c>
      <c r="O555" s="7">
        <v>0</v>
      </c>
      <c r="Q555" s="7">
        <v>4732617</v>
      </c>
      <c r="S555" s="7">
        <v>6063961</v>
      </c>
      <c r="U555" s="7">
        <v>39933</v>
      </c>
      <c r="W555" s="7">
        <v>4807728</v>
      </c>
      <c r="Y555" s="7">
        <v>1740871</v>
      </c>
      <c r="AA555" s="7">
        <v>589180</v>
      </c>
      <c r="AC555" s="7">
        <v>6921002</v>
      </c>
      <c r="AE555" s="7">
        <v>2086348</v>
      </c>
      <c r="AG555" s="7">
        <v>2163908</v>
      </c>
      <c r="AI555" s="7">
        <v>1631385</v>
      </c>
      <c r="AK555" s="7">
        <v>3074541</v>
      </c>
      <c r="AL555" s="12" t="s">
        <v>314</v>
      </c>
      <c r="AM555" s="12"/>
      <c r="AN555" s="12" t="s">
        <v>27</v>
      </c>
      <c r="AP555" s="7">
        <v>2778546</v>
      </c>
      <c r="AR555" s="7">
        <v>1059295</v>
      </c>
      <c r="AT555" s="7">
        <v>0</v>
      </c>
      <c r="AV555" s="7">
        <v>1880000</v>
      </c>
      <c r="AX555" s="7">
        <v>1127619</v>
      </c>
      <c r="AZ555" s="7">
        <v>0</v>
      </c>
      <c r="BB555" s="8">
        <f t="shared" si="126"/>
        <v>90425098</v>
      </c>
      <c r="BD555" s="7">
        <v>151175</v>
      </c>
      <c r="BF555" s="7">
        <v>0</v>
      </c>
      <c r="BH555" s="7">
        <v>0</v>
      </c>
      <c r="BJ555" s="7">
        <v>0</v>
      </c>
      <c r="BL555" s="8">
        <f t="shared" si="127"/>
        <v>90576273</v>
      </c>
      <c r="BN555" s="8">
        <f>'Gov Fd Rv'!AQ555-'Gov Fnd Exp'!BL555</f>
        <v>3368163</v>
      </c>
      <c r="BP555" s="7">
        <v>57387809</v>
      </c>
      <c r="BR555" s="7">
        <v>0</v>
      </c>
      <c r="BT555" s="7">
        <v>0</v>
      </c>
      <c r="BV555" s="8">
        <f t="shared" si="128"/>
        <v>60755972</v>
      </c>
      <c r="BW555" s="8"/>
      <c r="BX555" s="8">
        <f>BV555-'Gov Fd BS'!AE555</f>
        <v>0</v>
      </c>
      <c r="BY555" s="8"/>
      <c r="CB555" s="101" t="str">
        <f t="shared" si="129"/>
        <v>Upper Arlington City SD</v>
      </c>
      <c r="CC555" s="101" t="b">
        <f t="shared" si="123"/>
        <v>1</v>
      </c>
      <c r="CD555" s="101" t="str">
        <f>'Gov Fd Rv'!A555</f>
        <v>Upper Arlington City SD</v>
      </c>
      <c r="CE555" s="8" t="b">
        <f t="shared" si="122"/>
        <v>1</v>
      </c>
      <c r="CG555" s="8" t="str">
        <f t="shared" si="124"/>
        <v>Franklin</v>
      </c>
      <c r="CH555" s="8" t="b">
        <f t="shared" si="125"/>
        <v>1</v>
      </c>
      <c r="CI555" s="8" t="b">
        <f>C555='Gov Fd Rv'!C555</f>
        <v>1</v>
      </c>
    </row>
    <row r="556" spans="1:87" hidden="1">
      <c r="A556" s="12" t="s">
        <v>888</v>
      </c>
      <c r="B556" s="12"/>
      <c r="C556" s="12" t="s">
        <v>577</v>
      </c>
      <c r="D556" s="12"/>
      <c r="E556" s="12">
        <v>45625</v>
      </c>
      <c r="AL556" s="12" t="s">
        <v>888</v>
      </c>
      <c r="AM556" s="12"/>
      <c r="AN556" s="12" t="s">
        <v>577</v>
      </c>
      <c r="BB556" s="8">
        <f t="shared" si="126"/>
        <v>0</v>
      </c>
      <c r="BL556" s="8">
        <f t="shared" si="127"/>
        <v>0</v>
      </c>
      <c r="BN556" s="8">
        <f>'Gov Fd Rv'!AQ556-'Gov Fnd Exp'!BL556</f>
        <v>0</v>
      </c>
      <c r="BV556" s="8">
        <f t="shared" si="128"/>
        <v>0</v>
      </c>
      <c r="BW556" s="8"/>
      <c r="BX556" s="8">
        <f>BV556-'Gov Fd BS'!AE556</f>
        <v>0</v>
      </c>
      <c r="BY556" s="8"/>
      <c r="BZ556" s="7" t="s">
        <v>789</v>
      </c>
      <c r="CB556" s="101" t="str">
        <f t="shared" si="129"/>
        <v>Upper Sandusky Exempted Village SD (CASH)</v>
      </c>
      <c r="CC556" s="101" t="b">
        <f t="shared" si="123"/>
        <v>1</v>
      </c>
      <c r="CD556" s="101" t="str">
        <f>'Gov Fd Rv'!A556</f>
        <v>Upper Sandusky Exempted Village SD (CASH)</v>
      </c>
      <c r="CE556" s="8" t="b">
        <f t="shared" si="122"/>
        <v>1</v>
      </c>
      <c r="CG556" s="8" t="str">
        <f t="shared" si="124"/>
        <v>Wyandot</v>
      </c>
      <c r="CH556" s="8" t="b">
        <f t="shared" si="125"/>
        <v>1</v>
      </c>
      <c r="CI556" s="8" t="b">
        <f>C556='Gov Fd Rv'!C556</f>
        <v>1</v>
      </c>
    </row>
    <row r="557" spans="1:87" hidden="1">
      <c r="A557" s="12" t="s">
        <v>733</v>
      </c>
      <c r="B557" s="12"/>
      <c r="C557" s="12" t="s">
        <v>348</v>
      </c>
      <c r="D557" s="12"/>
      <c r="E557" s="12">
        <v>47522</v>
      </c>
      <c r="AL557" s="12" t="s">
        <v>733</v>
      </c>
      <c r="AM557" s="12"/>
      <c r="AN557" s="12" t="s">
        <v>348</v>
      </c>
      <c r="BB557" s="8">
        <f t="shared" si="126"/>
        <v>0</v>
      </c>
      <c r="BL557" s="8">
        <f t="shared" si="127"/>
        <v>0</v>
      </c>
      <c r="BN557" s="8">
        <f>'Gov Fd Rv'!AQ557-'Gov Fnd Exp'!BL557</f>
        <v>0</v>
      </c>
      <c r="BV557" s="8">
        <f t="shared" si="128"/>
        <v>0</v>
      </c>
      <c r="BW557" s="8"/>
      <c r="BX557" s="8">
        <f>BV557-'Gov Fd BS'!AE557</f>
        <v>0</v>
      </c>
      <c r="BY557" s="8"/>
      <c r="BZ557" s="7" t="s">
        <v>789</v>
      </c>
      <c r="CB557" s="101" t="str">
        <f t="shared" si="129"/>
        <v>Upper Scioto Valley Local SD (CASH)</v>
      </c>
      <c r="CC557" s="101" t="b">
        <f t="shared" si="123"/>
        <v>1</v>
      </c>
      <c r="CD557" s="101" t="str">
        <f>'Gov Fd Rv'!A557</f>
        <v>Upper Scioto Valley Local SD (CASH)</v>
      </c>
      <c r="CE557" s="8" t="b">
        <f t="shared" si="122"/>
        <v>1</v>
      </c>
      <c r="CG557" s="8" t="str">
        <f t="shared" si="124"/>
        <v>Hardin</v>
      </c>
      <c r="CH557" s="8" t="b">
        <f t="shared" si="125"/>
        <v>1</v>
      </c>
      <c r="CI557" s="8" t="b">
        <f>C557='Gov Fd Rv'!C557</f>
        <v>1</v>
      </c>
    </row>
    <row r="558" spans="1:87">
      <c r="A558" s="12" t="s">
        <v>234</v>
      </c>
      <c r="B558" s="12"/>
      <c r="C558" s="12" t="s">
        <v>232</v>
      </c>
      <c r="D558" s="12"/>
      <c r="E558" s="12">
        <v>44941</v>
      </c>
      <c r="G558" s="7">
        <v>12655774</v>
      </c>
      <c r="I558" s="7">
        <v>4348103</v>
      </c>
      <c r="K558" s="7">
        <v>365738</v>
      </c>
      <c r="M558" s="7">
        <v>0</v>
      </c>
      <c r="O558" s="7">
        <v>116350</v>
      </c>
      <c r="Q558" s="7">
        <v>1303885</v>
      </c>
      <c r="S558" s="7">
        <v>511955</v>
      </c>
      <c r="U558" s="7">
        <v>24135</v>
      </c>
      <c r="W558" s="7">
        <v>2054868</v>
      </c>
      <c r="Y558" s="7">
        <v>200560</v>
      </c>
      <c r="AA558" s="7">
        <v>372944</v>
      </c>
      <c r="AC558" s="7">
        <v>1694245</v>
      </c>
      <c r="AE558" s="7">
        <v>765481</v>
      </c>
      <c r="AG558" s="7">
        <v>283267</v>
      </c>
      <c r="AI558" s="7">
        <v>976555</v>
      </c>
      <c r="AK558" s="7">
        <v>142756</v>
      </c>
      <c r="AL558" s="12" t="s">
        <v>234</v>
      </c>
      <c r="AM558" s="12"/>
      <c r="AN558" s="12" t="s">
        <v>232</v>
      </c>
      <c r="AP558" s="7">
        <v>791452</v>
      </c>
      <c r="AR558" s="7">
        <v>294576</v>
      </c>
      <c r="AT558" s="7">
        <v>0</v>
      </c>
      <c r="AV558" s="7">
        <v>142288</v>
      </c>
      <c r="AX558" s="7">
        <v>51269</v>
      </c>
      <c r="AZ558" s="7">
        <v>0</v>
      </c>
      <c r="BB558" s="8">
        <f t="shared" ref="BB558:BB618" si="130">SUM(G558:AZ558)</f>
        <v>27096201</v>
      </c>
      <c r="BD558" s="7">
        <v>0</v>
      </c>
      <c r="BF558" s="7">
        <v>0</v>
      </c>
      <c r="BH558" s="7">
        <v>0</v>
      </c>
      <c r="BJ558" s="7">
        <v>0</v>
      </c>
      <c r="BL558" s="8">
        <f t="shared" ref="BL558:BL618" si="131">BB558+BD558+BJ558</f>
        <v>27096201</v>
      </c>
      <c r="BN558" s="8">
        <f>'Gov Fd Rv'!AQ558-'Gov Fnd Exp'!BL558</f>
        <v>-812718</v>
      </c>
      <c r="BP558" s="7">
        <v>5684309</v>
      </c>
      <c r="BR558" s="7">
        <v>4326</v>
      </c>
      <c r="BT558" s="7">
        <v>0</v>
      </c>
      <c r="BV558" s="8">
        <f t="shared" si="128"/>
        <v>4875917</v>
      </c>
      <c r="BW558" s="8"/>
      <c r="BX558" s="8">
        <f>BV558-'Gov Fd BS'!AE558</f>
        <v>0</v>
      </c>
      <c r="BY558" s="8"/>
      <c r="CB558" s="101" t="str">
        <f t="shared" si="129"/>
        <v>Urbana City SD</v>
      </c>
      <c r="CC558" s="101" t="b">
        <f t="shared" si="123"/>
        <v>1</v>
      </c>
      <c r="CD558" s="101" t="str">
        <f>'Gov Fd Rv'!A558</f>
        <v>Urbana City SD</v>
      </c>
      <c r="CE558" s="8" t="b">
        <f t="shared" si="122"/>
        <v>1</v>
      </c>
      <c r="CG558" s="8" t="str">
        <f t="shared" si="124"/>
        <v>Champaign</v>
      </c>
      <c r="CH558" s="8" t="b">
        <f t="shared" si="125"/>
        <v>1</v>
      </c>
      <c r="CI558" s="8" t="b">
        <f>C558='Gov Fd Rv'!C558</f>
        <v>1</v>
      </c>
    </row>
    <row r="559" spans="1:87" hidden="1">
      <c r="A559" s="12" t="s">
        <v>734</v>
      </c>
      <c r="B559" s="12"/>
      <c r="C559" s="12" t="s">
        <v>59</v>
      </c>
      <c r="D559" s="12"/>
      <c r="E559" s="12">
        <v>49643</v>
      </c>
      <c r="AL559" s="12" t="s">
        <v>734</v>
      </c>
      <c r="AM559" s="12"/>
      <c r="AN559" s="12" t="s">
        <v>59</v>
      </c>
      <c r="BB559" s="8">
        <f t="shared" si="130"/>
        <v>0</v>
      </c>
      <c r="BL559" s="8">
        <f t="shared" si="131"/>
        <v>0</v>
      </c>
      <c r="BN559" s="8">
        <f>'Gov Fd Rv'!AQ559-'Gov Fnd Exp'!BL559</f>
        <v>0</v>
      </c>
      <c r="BV559" s="8">
        <f t="shared" si="128"/>
        <v>0</v>
      </c>
      <c r="BW559" s="8"/>
      <c r="BX559" s="8">
        <f>BV559-'Gov Fd BS'!AE559</f>
        <v>0</v>
      </c>
      <c r="BY559" s="8"/>
      <c r="BZ559" s="7" t="s">
        <v>789</v>
      </c>
      <c r="CB559" s="101" t="str">
        <f t="shared" si="129"/>
        <v>Valley Local SD (CASH)</v>
      </c>
      <c r="CC559" s="101" t="b">
        <f t="shared" si="123"/>
        <v>1</v>
      </c>
      <c r="CD559" s="101" t="str">
        <f>'Gov Fd Rv'!A559</f>
        <v>Valley Local SD (CASH)</v>
      </c>
      <c r="CE559" s="8" t="b">
        <f t="shared" si="122"/>
        <v>1</v>
      </c>
      <c r="CG559" s="8" t="str">
        <f t="shared" si="124"/>
        <v>Scioto</v>
      </c>
      <c r="CH559" s="8" t="b">
        <f t="shared" si="125"/>
        <v>1</v>
      </c>
      <c r="CI559" s="8" t="b">
        <f>C559='Gov Fd Rv'!C559</f>
        <v>1</v>
      </c>
    </row>
    <row r="560" spans="1:87">
      <c r="A560" s="12" t="s">
        <v>450</v>
      </c>
      <c r="B560" s="12"/>
      <c r="C560" s="12" t="s">
        <v>50</v>
      </c>
      <c r="D560" s="12"/>
      <c r="E560" s="12">
        <v>48744</v>
      </c>
      <c r="G560" s="7">
        <v>8803000</v>
      </c>
      <c r="I560" s="7">
        <v>1550229</v>
      </c>
      <c r="K560" s="7">
        <v>350557</v>
      </c>
      <c r="M560" s="7">
        <v>0</v>
      </c>
      <c r="O560" s="7">
        <v>598726</v>
      </c>
      <c r="Q560" s="7">
        <v>1136313</v>
      </c>
      <c r="S560" s="7">
        <v>1589652</v>
      </c>
      <c r="U560" s="7">
        <v>27216</v>
      </c>
      <c r="W560" s="7">
        <v>1522611</v>
      </c>
      <c r="Y560" s="7">
        <v>325368</v>
      </c>
      <c r="AA560" s="7">
        <v>13403</v>
      </c>
      <c r="AC560" s="7">
        <v>2005768</v>
      </c>
      <c r="AE560" s="7">
        <v>1135696</v>
      </c>
      <c r="AG560" s="7">
        <v>527493</v>
      </c>
      <c r="AI560" s="7">
        <v>666653</v>
      </c>
      <c r="AK560" s="7">
        <v>68674</v>
      </c>
      <c r="AL560" s="12" t="s">
        <v>450</v>
      </c>
      <c r="AM560" s="12"/>
      <c r="AN560" s="12" t="s">
        <v>50</v>
      </c>
      <c r="AP560" s="7">
        <v>713368</v>
      </c>
      <c r="AR560" s="7">
        <f>802901+296105</f>
        <v>1099006</v>
      </c>
      <c r="AT560" s="7">
        <v>0</v>
      </c>
      <c r="AV560" s="7">
        <v>147050</v>
      </c>
      <c r="AX560" s="7">
        <v>40749</v>
      </c>
      <c r="AZ560" s="7">
        <v>0</v>
      </c>
      <c r="BB560" s="8">
        <f t="shared" si="130"/>
        <v>22321532</v>
      </c>
      <c r="BD560" s="7">
        <v>41982</v>
      </c>
      <c r="BF560" s="7">
        <v>0</v>
      </c>
      <c r="BH560" s="7">
        <v>0</v>
      </c>
      <c r="BJ560" s="7">
        <v>0</v>
      </c>
      <c r="BL560" s="8">
        <f t="shared" si="131"/>
        <v>22363514</v>
      </c>
      <c r="BN560" s="8">
        <f>'Gov Fd Rv'!AQ560-'Gov Fnd Exp'!BL560</f>
        <v>-2934493</v>
      </c>
      <c r="BP560" s="7">
        <v>4614747</v>
      </c>
      <c r="BR560" s="7">
        <v>-2673</v>
      </c>
      <c r="BT560" s="7">
        <v>0</v>
      </c>
      <c r="BV560" s="8">
        <f t="shared" ref="BV560:BV618" si="132">BN560+BP560+BR560+BT560</f>
        <v>1677581</v>
      </c>
      <c r="BW560" s="8"/>
      <c r="BX560" s="8">
        <f>BV560-'Gov Fd BS'!AE560</f>
        <v>0</v>
      </c>
      <c r="BY560" s="8"/>
      <c r="CB560" s="101" t="str">
        <f t="shared" si="129"/>
        <v>Valley View Local SD</v>
      </c>
      <c r="CC560" s="101" t="b">
        <f t="shared" si="123"/>
        <v>1</v>
      </c>
      <c r="CD560" s="101" t="str">
        <f>'Gov Fd Rv'!A560</f>
        <v>Valley View Local SD</v>
      </c>
      <c r="CE560" s="8" t="b">
        <f t="shared" si="122"/>
        <v>1</v>
      </c>
      <c r="CG560" s="8" t="str">
        <f t="shared" si="124"/>
        <v>Montgomery</v>
      </c>
      <c r="CH560" s="8" t="b">
        <f t="shared" si="125"/>
        <v>1</v>
      </c>
      <c r="CI560" s="8" t="b">
        <f>C560='Gov Fd Rv'!C560</f>
        <v>1</v>
      </c>
    </row>
    <row r="561" spans="1:87">
      <c r="A561" s="12" t="s">
        <v>347</v>
      </c>
      <c r="B561" s="12"/>
      <c r="C561" s="12" t="s">
        <v>33</v>
      </c>
      <c r="D561" s="12"/>
      <c r="E561" s="12">
        <v>47464</v>
      </c>
      <c r="G561" s="7">
        <v>5081262</v>
      </c>
      <c r="I561" s="7">
        <v>648642</v>
      </c>
      <c r="K561" s="7">
        <v>164888</v>
      </c>
      <c r="M561" s="7">
        <v>0</v>
      </c>
      <c r="O561" s="7">
        <v>0</v>
      </c>
      <c r="Q561" s="7">
        <v>756024</v>
      </c>
      <c r="S561" s="7">
        <v>353867</v>
      </c>
      <c r="U561" s="7">
        <v>69757</v>
      </c>
      <c r="W561" s="7">
        <v>805336</v>
      </c>
      <c r="Y561" s="7">
        <v>408709</v>
      </c>
      <c r="AA561" s="7">
        <v>0</v>
      </c>
      <c r="AC561" s="7">
        <v>1127958</v>
      </c>
      <c r="AE561" s="7">
        <v>662728</v>
      </c>
      <c r="AG561" s="7">
        <v>32709</v>
      </c>
      <c r="AI561" s="7">
        <v>0</v>
      </c>
      <c r="AK561" s="7">
        <v>284755</v>
      </c>
      <c r="AL561" s="12" t="s">
        <v>347</v>
      </c>
      <c r="AM561" s="12"/>
      <c r="AN561" s="12" t="s">
        <v>33</v>
      </c>
      <c r="AP561" s="7">
        <v>450291</v>
      </c>
      <c r="AR561" s="7">
        <v>133868</v>
      </c>
      <c r="AT561" s="7">
        <v>0</v>
      </c>
      <c r="AV561" s="7">
        <v>780000</v>
      </c>
      <c r="AX561" s="7">
        <v>266438</v>
      </c>
      <c r="AZ561" s="7">
        <v>0</v>
      </c>
      <c r="BB561" s="8">
        <f t="shared" si="130"/>
        <v>12027232</v>
      </c>
      <c r="BD561" s="7">
        <v>20000</v>
      </c>
      <c r="BF561" s="7">
        <v>0</v>
      </c>
      <c r="BH561" s="7">
        <v>0</v>
      </c>
      <c r="BJ561" s="7">
        <v>0</v>
      </c>
      <c r="BL561" s="8">
        <f t="shared" si="131"/>
        <v>12047232</v>
      </c>
      <c r="BN561" s="8">
        <f>'Gov Fd Rv'!AQ561-'Gov Fnd Exp'!BL561</f>
        <v>632489</v>
      </c>
      <c r="BP561" s="7">
        <v>7476997</v>
      </c>
      <c r="BR561" s="7">
        <v>0</v>
      </c>
      <c r="BT561" s="7">
        <v>0</v>
      </c>
      <c r="BV561" s="8">
        <f t="shared" si="132"/>
        <v>8109486</v>
      </c>
      <c r="BW561" s="8"/>
      <c r="BX561" s="8">
        <f>BV561-'Gov Fd BS'!AE561</f>
        <v>0</v>
      </c>
      <c r="BY561" s="8"/>
      <c r="CB561" s="101" t="str">
        <f t="shared" si="129"/>
        <v>Van Buren Local SD</v>
      </c>
      <c r="CC561" s="101" t="b">
        <f t="shared" si="123"/>
        <v>1</v>
      </c>
      <c r="CD561" s="101" t="str">
        <f>'Gov Fd Rv'!A561</f>
        <v>Van Buren Local SD</v>
      </c>
      <c r="CE561" s="8" t="b">
        <f t="shared" si="122"/>
        <v>1</v>
      </c>
      <c r="CG561" s="8" t="str">
        <f t="shared" si="124"/>
        <v>Hancock</v>
      </c>
      <c r="CH561" s="8" t="b">
        <f t="shared" si="125"/>
        <v>1</v>
      </c>
      <c r="CI561" s="8" t="b">
        <f>C561='Gov Fd Rv'!C561</f>
        <v>1</v>
      </c>
    </row>
    <row r="562" spans="1:87" hidden="1">
      <c r="A562" s="12" t="s">
        <v>978</v>
      </c>
      <c r="B562" s="12"/>
      <c r="C562" s="12" t="s">
        <v>67</v>
      </c>
      <c r="D562" s="12"/>
      <c r="E562" s="12">
        <v>44966</v>
      </c>
      <c r="AL562" s="12" t="s">
        <v>558</v>
      </c>
      <c r="AM562" s="12"/>
      <c r="AN562" s="12" t="s">
        <v>67</v>
      </c>
      <c r="BB562" s="8">
        <f t="shared" si="130"/>
        <v>0</v>
      </c>
      <c r="BL562" s="8">
        <f t="shared" si="131"/>
        <v>0</v>
      </c>
      <c r="BN562" s="8">
        <f>'Gov Fd Rv'!AQ562-'Gov Fnd Exp'!BL562</f>
        <v>0</v>
      </c>
      <c r="BV562" s="8">
        <f t="shared" si="132"/>
        <v>0</v>
      </c>
      <c r="BW562" s="8"/>
      <c r="BX562" s="8">
        <f>BV562-'Gov Fd BS'!AE562</f>
        <v>0</v>
      </c>
      <c r="BY562" s="8"/>
      <c r="BZ562" s="7" t="s">
        <v>979</v>
      </c>
      <c r="CB562" s="101" t="str">
        <f t="shared" si="129"/>
        <v>Van Wert City SD (CASH)</v>
      </c>
      <c r="CC562" s="101" t="b">
        <f t="shared" si="123"/>
        <v>0</v>
      </c>
      <c r="CD562" s="101" t="str">
        <f>'Gov Fd Rv'!A562</f>
        <v>Van Wert City SD (CASH)</v>
      </c>
      <c r="CE562" s="8" t="b">
        <f t="shared" si="122"/>
        <v>1</v>
      </c>
      <c r="CG562" s="8" t="str">
        <f t="shared" si="124"/>
        <v>Van Wert</v>
      </c>
      <c r="CH562" s="8" t="b">
        <f t="shared" si="125"/>
        <v>1</v>
      </c>
      <c r="CI562" s="8" t="b">
        <f>C562='Gov Fd Rv'!C562</f>
        <v>1</v>
      </c>
    </row>
    <row r="563" spans="1:87">
      <c r="A563" s="12" t="s">
        <v>451</v>
      </c>
      <c r="B563" s="12"/>
      <c r="C563" s="12" t="s">
        <v>50</v>
      </c>
      <c r="D563" s="12"/>
      <c r="E563" s="12">
        <v>44958</v>
      </c>
      <c r="G563" s="7">
        <v>16700879</v>
      </c>
      <c r="I563" s="7">
        <v>4748449</v>
      </c>
      <c r="K563" s="7">
        <v>350118</v>
      </c>
      <c r="M563" s="7">
        <v>0</v>
      </c>
      <c r="O563" s="7">
        <v>1815093</v>
      </c>
      <c r="Q563" s="7">
        <v>2800822</v>
      </c>
      <c r="S563" s="7">
        <v>2381820</v>
      </c>
      <c r="U563" s="7">
        <v>44665</v>
      </c>
      <c r="W563" s="7">
        <v>2562957</v>
      </c>
      <c r="Y563" s="7">
        <v>1019362</v>
      </c>
      <c r="AA563" s="7">
        <v>308136</v>
      </c>
      <c r="AC563" s="7">
        <v>3147375</v>
      </c>
      <c r="AE563" s="7">
        <v>1490673</v>
      </c>
      <c r="AG563" s="7">
        <v>1400496</v>
      </c>
      <c r="AI563" s="7">
        <v>1162459</v>
      </c>
      <c r="AK563" s="7">
        <v>639526</v>
      </c>
      <c r="AL563" s="12" t="s">
        <v>451</v>
      </c>
      <c r="AM563" s="12"/>
      <c r="AN563" s="12" t="s">
        <v>50</v>
      </c>
      <c r="AP563" s="7">
        <v>543071</v>
      </c>
      <c r="AR563" s="7">
        <f>25427970+349038</f>
        <v>25777008</v>
      </c>
      <c r="AT563" s="7">
        <v>0</v>
      </c>
      <c r="AV563" s="7">
        <v>162314</v>
      </c>
      <c r="AX563" s="7">
        <f>2616768+90849</f>
        <v>2707617</v>
      </c>
      <c r="AZ563" s="7">
        <v>0</v>
      </c>
      <c r="BB563" s="8">
        <f t="shared" si="130"/>
        <v>69762840</v>
      </c>
      <c r="BD563" s="7">
        <v>28714</v>
      </c>
      <c r="BF563" s="7">
        <v>0</v>
      </c>
      <c r="BH563" s="7">
        <v>0</v>
      </c>
      <c r="BJ563" s="7">
        <v>0</v>
      </c>
      <c r="BL563" s="8">
        <f t="shared" si="131"/>
        <v>69791554</v>
      </c>
      <c r="BN563" s="8">
        <f>'Gov Fd Rv'!AQ563-'Gov Fnd Exp'!BL563</f>
        <v>-25887078</v>
      </c>
      <c r="BP563" s="7">
        <v>56592452</v>
      </c>
      <c r="BR563" s="7">
        <v>0</v>
      </c>
      <c r="BT563" s="7">
        <v>0</v>
      </c>
      <c r="BV563" s="8">
        <f t="shared" si="132"/>
        <v>30705374</v>
      </c>
      <c r="BW563" s="8"/>
      <c r="BX563" s="8">
        <f>BV563-'Gov Fd BS'!AE563</f>
        <v>0</v>
      </c>
      <c r="BY563" s="8"/>
      <c r="CB563" s="101" t="str">
        <f t="shared" si="129"/>
        <v>Vandalia-Butler City SD</v>
      </c>
      <c r="CC563" s="101" t="b">
        <f t="shared" si="123"/>
        <v>1</v>
      </c>
      <c r="CD563" s="101" t="str">
        <f>'Gov Fd Rv'!A563</f>
        <v>Vandalia-Butler City SD</v>
      </c>
      <c r="CE563" s="8" t="b">
        <f t="shared" si="122"/>
        <v>1</v>
      </c>
      <c r="CG563" s="8" t="str">
        <f t="shared" si="124"/>
        <v>Montgomery</v>
      </c>
      <c r="CH563" s="8" t="b">
        <f t="shared" si="125"/>
        <v>1</v>
      </c>
      <c r="CI563" s="8" t="b">
        <f>C563='Gov Fd Rv'!C563</f>
        <v>1</v>
      </c>
    </row>
    <row r="564" spans="1:87" hidden="1">
      <c r="A564" s="12" t="s">
        <v>736</v>
      </c>
      <c r="B564" s="12"/>
      <c r="C564" s="12" t="s">
        <v>33</v>
      </c>
      <c r="D564" s="12"/>
      <c r="E564" s="12">
        <v>47472</v>
      </c>
      <c r="AL564" s="12" t="s">
        <v>736</v>
      </c>
      <c r="AM564" s="12"/>
      <c r="AN564" s="12" t="s">
        <v>33</v>
      </c>
      <c r="BB564" s="8">
        <f t="shared" si="130"/>
        <v>0</v>
      </c>
      <c r="BL564" s="8">
        <f t="shared" si="131"/>
        <v>0</v>
      </c>
      <c r="BN564" s="8">
        <f>'Gov Fd Rv'!AQ564-'Gov Fnd Exp'!BL564</f>
        <v>0</v>
      </c>
      <c r="BV564" s="8">
        <f t="shared" si="132"/>
        <v>0</v>
      </c>
      <c r="BW564" s="8"/>
      <c r="BX564" s="8">
        <f>BV564-'Gov Fd BS'!AE564</f>
        <v>0</v>
      </c>
      <c r="BY564" s="8"/>
      <c r="BZ564" s="7" t="s">
        <v>789</v>
      </c>
      <c r="CB564" s="101" t="str">
        <f t="shared" si="129"/>
        <v>Vanlue Local SD (CASH)</v>
      </c>
      <c r="CC564" s="101" t="b">
        <f t="shared" si="123"/>
        <v>1</v>
      </c>
      <c r="CD564" s="101" t="str">
        <f>'Gov Fd Rv'!A564</f>
        <v>Vanlue Local SD (CASH)</v>
      </c>
      <c r="CE564" s="8" t="b">
        <f t="shared" si="122"/>
        <v>1</v>
      </c>
      <c r="CG564" s="8" t="str">
        <f t="shared" si="124"/>
        <v>Hancock</v>
      </c>
      <c r="CH564" s="8" t="b">
        <f t="shared" si="125"/>
        <v>1</v>
      </c>
      <c r="CI564" s="8" t="b">
        <f>C564='Gov Fd Rv'!C564</f>
        <v>1</v>
      </c>
    </row>
    <row r="565" spans="1:87">
      <c r="A565" s="12" t="s">
        <v>297</v>
      </c>
      <c r="B565" s="12"/>
      <c r="C565" s="12" t="s">
        <v>24</v>
      </c>
      <c r="D565" s="12"/>
      <c r="E565" s="12">
        <v>46821</v>
      </c>
      <c r="G565" s="7">
        <v>9256099</v>
      </c>
      <c r="I565" s="7">
        <v>1938236</v>
      </c>
      <c r="K565" s="7">
        <v>333657</v>
      </c>
      <c r="M565" s="7">
        <v>0</v>
      </c>
      <c r="O565" s="7">
        <v>1325660</v>
      </c>
      <c r="Q565" s="7">
        <v>1128515</v>
      </c>
      <c r="S565" s="7">
        <v>1945423</v>
      </c>
      <c r="U565" s="7">
        <v>187809</v>
      </c>
      <c r="W565" s="7">
        <v>1550067</v>
      </c>
      <c r="Y565" s="7">
        <v>602700</v>
      </c>
      <c r="AA565" s="7">
        <v>116327</v>
      </c>
      <c r="AC565" s="7">
        <v>2334395</v>
      </c>
      <c r="AE565" s="7">
        <v>1194592</v>
      </c>
      <c r="AG565" s="7">
        <v>29917</v>
      </c>
      <c r="AI565" s="7">
        <v>722872</v>
      </c>
      <c r="AK565" s="7">
        <v>91015</v>
      </c>
      <c r="AL565" s="12" t="s">
        <v>297</v>
      </c>
      <c r="AM565" s="12"/>
      <c r="AN565" s="12" t="s">
        <v>24</v>
      </c>
      <c r="AP565" s="7">
        <v>651793</v>
      </c>
      <c r="AR565" s="7">
        <f>18000+87589</f>
        <v>105589</v>
      </c>
      <c r="AT565" s="7">
        <v>0</v>
      </c>
      <c r="AV565" s="7">
        <v>1131681</v>
      </c>
      <c r="AX565" s="7">
        <v>346529</v>
      </c>
      <c r="AZ565" s="7">
        <v>0</v>
      </c>
      <c r="BB565" s="8">
        <f t="shared" si="130"/>
        <v>24992876</v>
      </c>
      <c r="BD565" s="7">
        <v>0</v>
      </c>
      <c r="BF565" s="7">
        <v>0</v>
      </c>
      <c r="BH565" s="7">
        <v>0</v>
      </c>
      <c r="BJ565" s="7">
        <v>0</v>
      </c>
      <c r="BL565" s="8">
        <f t="shared" si="131"/>
        <v>24992876</v>
      </c>
      <c r="BN565" s="8">
        <f>'Gov Fd Rv'!AQ565-'Gov Fnd Exp'!BL565</f>
        <v>1985757</v>
      </c>
      <c r="BP565" s="7">
        <v>13895376</v>
      </c>
      <c r="BR565" s="7">
        <v>7393</v>
      </c>
      <c r="BT565" s="7">
        <v>0</v>
      </c>
      <c r="BV565" s="8">
        <f t="shared" si="132"/>
        <v>15888526</v>
      </c>
      <c r="BW565" s="8"/>
      <c r="BX565" s="8">
        <f>BV565-'Gov Fd BS'!AE565</f>
        <v>0</v>
      </c>
      <c r="BY565" s="8"/>
      <c r="CB565" s="101" t="str">
        <f t="shared" si="129"/>
        <v>Vermilion Local SD</v>
      </c>
      <c r="CC565" s="101" t="b">
        <f t="shared" si="123"/>
        <v>1</v>
      </c>
      <c r="CD565" s="101" t="str">
        <f>'Gov Fd Rv'!A565</f>
        <v>Vermilion Local SD</v>
      </c>
      <c r="CE565" s="8" t="b">
        <f t="shared" si="122"/>
        <v>1</v>
      </c>
      <c r="CG565" s="8" t="str">
        <f t="shared" si="124"/>
        <v>Erie</v>
      </c>
      <c r="CH565" s="8" t="b">
        <f t="shared" si="125"/>
        <v>1</v>
      </c>
      <c r="CI565" s="8" t="b">
        <f>C565='Gov Fd Rv'!C565</f>
        <v>1</v>
      </c>
    </row>
    <row r="566" spans="1:87" hidden="1">
      <c r="A566" s="12" t="s">
        <v>737</v>
      </c>
      <c r="B566" s="12"/>
      <c r="C566" s="12" t="s">
        <v>21</v>
      </c>
      <c r="D566" s="12"/>
      <c r="E566" s="12"/>
      <c r="AL566" s="12" t="s">
        <v>737</v>
      </c>
      <c r="AM566" s="12"/>
      <c r="AN566" s="12" t="s">
        <v>21</v>
      </c>
      <c r="BB566" s="8">
        <f t="shared" ref="BB566" si="133">SUM(G566:AZ566)</f>
        <v>0</v>
      </c>
      <c r="BL566" s="8">
        <f t="shared" ref="BL566" si="134">BB566+BD566+BJ566</f>
        <v>0</v>
      </c>
      <c r="BN566" s="8">
        <f>'Gov Fd Rv'!AQ566-'Gov Fnd Exp'!BL566</f>
        <v>0</v>
      </c>
      <c r="BV566" s="8">
        <f t="shared" ref="BV566" si="135">BN566+BP566+BR566+BT566</f>
        <v>0</v>
      </c>
      <c r="BW566" s="8"/>
      <c r="BX566" s="8">
        <f>BV566-'Gov Fd BS'!AE566</f>
        <v>0</v>
      </c>
      <c r="BY566" s="8"/>
      <c r="BZ566" s="7" t="s">
        <v>789</v>
      </c>
      <c r="CB566" s="101" t="str">
        <f t="shared" si="129"/>
        <v>Versailles Exempted Village SD (CASH)</v>
      </c>
      <c r="CC566" s="101" t="b">
        <f t="shared" si="123"/>
        <v>1</v>
      </c>
      <c r="CD566" s="101" t="str">
        <f>'Gov Fd Rv'!A566</f>
        <v>Versailles Exempted Village SD (CASH)</v>
      </c>
      <c r="CE566" s="8" t="b">
        <f t="shared" si="122"/>
        <v>1</v>
      </c>
      <c r="CG566" s="8" t="str">
        <f t="shared" si="124"/>
        <v>Darke</v>
      </c>
      <c r="CH566" s="8" t="b">
        <f t="shared" si="125"/>
        <v>1</v>
      </c>
      <c r="CI566" s="8" t="b">
        <f>C566='Gov Fd Rv'!C566</f>
        <v>1</v>
      </c>
    </row>
    <row r="567" spans="1:87">
      <c r="A567" s="12" t="s">
        <v>559</v>
      </c>
      <c r="B567" s="12"/>
      <c r="C567" s="12" t="s">
        <v>68</v>
      </c>
      <c r="D567" s="12"/>
      <c r="E567" s="12">
        <v>50393</v>
      </c>
      <c r="G567" s="7">
        <v>10111727</v>
      </c>
      <c r="I567" s="7">
        <v>3151905</v>
      </c>
      <c r="K567" s="7">
        <v>259390</v>
      </c>
      <c r="M567" s="7">
        <v>0</v>
      </c>
      <c r="O567" s="7">
        <f>167025+1225214</f>
        <v>1392239</v>
      </c>
      <c r="Q567" s="7">
        <v>2011559</v>
      </c>
      <c r="S567" s="7">
        <v>1291249</v>
      </c>
      <c r="U567" s="7">
        <v>334342</v>
      </c>
      <c r="W567" s="7">
        <v>2070790</v>
      </c>
      <c r="Y567" s="7">
        <v>399912</v>
      </c>
      <c r="AA567" s="7">
        <v>0</v>
      </c>
      <c r="AC567" s="7">
        <v>2423440</v>
      </c>
      <c r="AE567" s="7">
        <v>2145628</v>
      </c>
      <c r="AG567" s="7">
        <v>362505</v>
      </c>
      <c r="AI567" s="7">
        <v>0</v>
      </c>
      <c r="AK567" s="7">
        <v>1223977</v>
      </c>
      <c r="AL567" s="12" t="s">
        <v>559</v>
      </c>
      <c r="AM567" s="12"/>
      <c r="AN567" s="12" t="s">
        <v>68</v>
      </c>
      <c r="AP567" s="7">
        <v>237844</v>
      </c>
      <c r="AR567" s="7">
        <v>171590</v>
      </c>
      <c r="AT567" s="7">
        <v>0</v>
      </c>
      <c r="AV567" s="7">
        <v>401736</v>
      </c>
      <c r="AX567" s="7">
        <v>335479</v>
      </c>
      <c r="AZ567" s="7">
        <v>0</v>
      </c>
      <c r="BB567" s="8">
        <f t="shared" si="130"/>
        <v>28325312</v>
      </c>
      <c r="BD567" s="7">
        <v>81382</v>
      </c>
      <c r="BF567" s="7">
        <v>0</v>
      </c>
      <c r="BH567" s="7">
        <v>0</v>
      </c>
      <c r="BJ567" s="7">
        <v>0</v>
      </c>
      <c r="BL567" s="8">
        <f t="shared" si="131"/>
        <v>28406694</v>
      </c>
      <c r="BN567" s="8">
        <f>'Gov Fd Rv'!AQ567-'Gov Fnd Exp'!BL567</f>
        <v>879157</v>
      </c>
      <c r="BP567" s="7">
        <v>14277477</v>
      </c>
      <c r="BR567" s="7">
        <v>0</v>
      </c>
      <c r="BT567" s="7">
        <v>0</v>
      </c>
      <c r="BV567" s="8">
        <f t="shared" si="132"/>
        <v>15156634</v>
      </c>
      <c r="BW567" s="8"/>
      <c r="BX567" s="8">
        <f>BV567-'Gov Fd BS'!AE567</f>
        <v>0</v>
      </c>
      <c r="BY567" s="8"/>
      <c r="CB567" s="101" t="str">
        <f t="shared" si="129"/>
        <v>Vinton County Local SD</v>
      </c>
      <c r="CC567" s="101" t="b">
        <f t="shared" si="123"/>
        <v>1</v>
      </c>
      <c r="CD567" s="101" t="str">
        <f>'Gov Fd Rv'!A567</f>
        <v>Vinton County Local SD</v>
      </c>
      <c r="CE567" s="8" t="b">
        <f t="shared" si="122"/>
        <v>1</v>
      </c>
      <c r="CG567" s="8" t="str">
        <f t="shared" si="124"/>
        <v>Vinton</v>
      </c>
      <c r="CH567" s="8" t="b">
        <f t="shared" si="125"/>
        <v>1</v>
      </c>
      <c r="CI567" s="8" t="b">
        <f>C567='Gov Fd Rv'!C567</f>
        <v>1</v>
      </c>
    </row>
    <row r="568" spans="1:87">
      <c r="A568" s="12" t="s">
        <v>432</v>
      </c>
      <c r="B568" s="12"/>
      <c r="C568" s="12" t="s">
        <v>47</v>
      </c>
      <c r="D568" s="12"/>
      <c r="E568" s="12">
        <v>44974</v>
      </c>
      <c r="G568" s="7">
        <v>18708361</v>
      </c>
      <c r="I568" s="7">
        <v>3277507</v>
      </c>
      <c r="K568" s="7">
        <v>1824504</v>
      </c>
      <c r="M568" s="7">
        <v>24577</v>
      </c>
      <c r="O568" s="7">
        <v>1286016</v>
      </c>
      <c r="Q568" s="7">
        <v>2904898</v>
      </c>
      <c r="S568" s="7">
        <v>1416132</v>
      </c>
      <c r="U568" s="7">
        <v>313105</v>
      </c>
      <c r="W568" s="7">
        <v>3589342</v>
      </c>
      <c r="Y568" s="7">
        <v>743125</v>
      </c>
      <c r="AA568" s="7">
        <v>0</v>
      </c>
      <c r="AC568" s="7">
        <v>4001949</v>
      </c>
      <c r="AE568" s="7">
        <v>1355561</v>
      </c>
      <c r="AG568" s="7">
        <v>696485</v>
      </c>
      <c r="AI568" s="7">
        <v>1207515</v>
      </c>
      <c r="AK568" s="7">
        <v>358912</v>
      </c>
      <c r="AL568" s="12" t="s">
        <v>432</v>
      </c>
      <c r="AM568" s="12"/>
      <c r="AN568" s="12" t="s">
        <v>47</v>
      </c>
      <c r="AP568" s="7">
        <v>1007124</v>
      </c>
      <c r="AR568" s="7">
        <v>28811009</v>
      </c>
      <c r="AT568" s="7">
        <v>0</v>
      </c>
      <c r="AV568" s="7">
        <v>32060000</v>
      </c>
      <c r="AX568" s="7">
        <f>5013934+384296</f>
        <v>5398230</v>
      </c>
      <c r="AZ568" s="7">
        <v>0</v>
      </c>
      <c r="BB568" s="8">
        <f t="shared" ref="BB568:BB586" si="136">SUM(G568:AZ568)</f>
        <v>108984352</v>
      </c>
      <c r="BD568" s="7">
        <v>0</v>
      </c>
      <c r="BJ568" s="7">
        <v>0</v>
      </c>
      <c r="BL568" s="8">
        <f t="shared" si="131"/>
        <v>108984352</v>
      </c>
      <c r="BN568" s="8">
        <f>'Gov Fd Rv'!AQ568-'Gov Fnd Exp'!BL568</f>
        <v>-11110026</v>
      </c>
      <c r="BP568" s="7">
        <v>119872985</v>
      </c>
      <c r="BR568" s="7">
        <v>0</v>
      </c>
      <c r="BT568" s="7">
        <v>0</v>
      </c>
      <c r="BV568" s="8">
        <f>BN568+BP568+BR568+BT568</f>
        <v>108762959</v>
      </c>
      <c r="BW568" s="8"/>
      <c r="BX568" s="8">
        <f>BV568-'Gov Fd BS'!AE568</f>
        <v>0</v>
      </c>
      <c r="BY568" s="8"/>
      <c r="CB568" s="101" t="str">
        <f t="shared" si="129"/>
        <v>Wadsworth City SD</v>
      </c>
      <c r="CC568" s="101" t="b">
        <f t="shared" si="123"/>
        <v>1</v>
      </c>
      <c r="CD568" s="101" t="str">
        <f>'Gov Fd Rv'!A568</f>
        <v>Wadsworth City SD</v>
      </c>
      <c r="CE568" s="8" t="b">
        <f t="shared" si="122"/>
        <v>1</v>
      </c>
      <c r="CG568" s="8" t="str">
        <f t="shared" si="124"/>
        <v>Medina</v>
      </c>
      <c r="CH568" s="8" t="b">
        <f t="shared" si="125"/>
        <v>1</v>
      </c>
      <c r="CI568" s="8" t="b">
        <f>C568='Gov Fd Rv'!C568</f>
        <v>1</v>
      </c>
    </row>
    <row r="569" spans="1:87">
      <c r="A569" s="12" t="s">
        <v>547</v>
      </c>
      <c r="B569" s="12"/>
      <c r="C569" s="12" t="s">
        <v>64</v>
      </c>
      <c r="D569" s="12"/>
      <c r="E569" s="12">
        <v>44990</v>
      </c>
      <c r="G569" s="7">
        <v>29157502</v>
      </c>
      <c r="I569" s="7">
        <v>10298278</v>
      </c>
      <c r="K569" s="7">
        <v>218998</v>
      </c>
      <c r="M569" s="7">
        <v>0</v>
      </c>
      <c r="O569" s="7">
        <v>2673703</v>
      </c>
      <c r="Q569" s="7">
        <v>3681851</v>
      </c>
      <c r="S569" s="7">
        <v>5820919</v>
      </c>
      <c r="U569" s="7">
        <v>43310</v>
      </c>
      <c r="W569" s="7">
        <v>5725656</v>
      </c>
      <c r="Y569" s="7">
        <v>1123805</v>
      </c>
      <c r="AA569" s="7">
        <v>712753</v>
      </c>
      <c r="AC569" s="7">
        <v>7614919</v>
      </c>
      <c r="AE569" s="7">
        <v>2771570</v>
      </c>
      <c r="AG569" s="7">
        <v>1323943</v>
      </c>
      <c r="AI569" s="7">
        <v>3292802</v>
      </c>
      <c r="AK569" s="7">
        <v>236297</v>
      </c>
      <c r="AL569" s="12" t="s">
        <v>547</v>
      </c>
      <c r="AM569" s="12"/>
      <c r="AN569" s="12" t="s">
        <v>64</v>
      </c>
      <c r="AP569" s="7">
        <v>1098652</v>
      </c>
      <c r="AR569" s="7">
        <v>5804048</v>
      </c>
      <c r="AT569" s="7">
        <v>0</v>
      </c>
      <c r="AV569" s="7">
        <v>832500</v>
      </c>
      <c r="AX569" s="7">
        <v>1675270</v>
      </c>
      <c r="AZ569" s="7">
        <v>0</v>
      </c>
      <c r="BB569" s="8">
        <f t="shared" si="136"/>
        <v>84106776</v>
      </c>
      <c r="BD569" s="7">
        <v>2586537</v>
      </c>
      <c r="BJ569" s="7">
        <v>0</v>
      </c>
      <c r="BL569" s="8">
        <f t="shared" si="131"/>
        <v>86693313</v>
      </c>
      <c r="BN569" s="8">
        <f>'Gov Fd Rv'!AQ569-'Gov Fnd Exp'!BL569</f>
        <v>-8030133</v>
      </c>
      <c r="BP569" s="7">
        <v>40812791</v>
      </c>
      <c r="BR569" s="7">
        <v>48880</v>
      </c>
      <c r="BT569" s="7">
        <v>0</v>
      </c>
      <c r="BV569" s="8">
        <f t="shared" si="132"/>
        <v>32831538</v>
      </c>
      <c r="BW569" s="8"/>
      <c r="BX569" s="8">
        <f>BV569-'Gov Fd BS'!AE569</f>
        <v>0</v>
      </c>
      <c r="BY569" s="8"/>
      <c r="CB569" s="101" t="str">
        <f t="shared" si="129"/>
        <v>Warren City SD</v>
      </c>
      <c r="CC569" s="101" t="b">
        <f t="shared" si="123"/>
        <v>1</v>
      </c>
      <c r="CD569" s="101" t="str">
        <f>'Gov Fd Rv'!A569</f>
        <v>Warren City SD</v>
      </c>
      <c r="CE569" s="8" t="b">
        <f t="shared" si="122"/>
        <v>1</v>
      </c>
      <c r="CG569" s="8" t="str">
        <f t="shared" si="124"/>
        <v>Trumbull</v>
      </c>
      <c r="CH569" s="8" t="b">
        <f t="shared" si="125"/>
        <v>1</v>
      </c>
      <c r="CI569" s="8" t="b">
        <f>C569='Gov Fd Rv'!C569</f>
        <v>1</v>
      </c>
    </row>
    <row r="570" spans="1:87">
      <c r="A570" s="12" t="s">
        <v>566</v>
      </c>
      <c r="B570" s="12"/>
      <c r="C570" s="12" t="s">
        <v>70</v>
      </c>
      <c r="D570" s="12"/>
      <c r="E570" s="12">
        <v>50500</v>
      </c>
      <c r="G570" s="7">
        <v>10721900</v>
      </c>
      <c r="I570" s="7">
        <v>2074264</v>
      </c>
      <c r="K570" s="7">
        <v>89262</v>
      </c>
      <c r="M570" s="7">
        <v>0</v>
      </c>
      <c r="O570" s="7">
        <v>19209</v>
      </c>
      <c r="Q570" s="7">
        <v>590525</v>
      </c>
      <c r="S570" s="7">
        <v>808316</v>
      </c>
      <c r="U570" s="7">
        <v>759008</v>
      </c>
      <c r="W570" s="7">
        <v>882178</v>
      </c>
      <c r="Y570" s="7">
        <v>513771</v>
      </c>
      <c r="AA570" s="7">
        <v>7755</v>
      </c>
      <c r="AC570" s="7">
        <v>1712218</v>
      </c>
      <c r="AE570" s="7">
        <v>2033878</v>
      </c>
      <c r="AG570" s="7">
        <v>30119</v>
      </c>
      <c r="AI570" s="7">
        <v>0</v>
      </c>
      <c r="AK570" s="7">
        <v>2000</v>
      </c>
      <c r="AL570" s="12" t="s">
        <v>566</v>
      </c>
      <c r="AM570" s="12"/>
      <c r="AN570" s="12" t="s">
        <v>70</v>
      </c>
      <c r="AP570" s="7">
        <v>556555</v>
      </c>
      <c r="AR570" s="7">
        <v>2185</v>
      </c>
      <c r="AT570" s="7">
        <v>0</v>
      </c>
      <c r="AV570" s="7">
        <v>0</v>
      </c>
      <c r="AX570" s="7">
        <v>0</v>
      </c>
      <c r="AZ570" s="7">
        <v>0</v>
      </c>
      <c r="BB570" s="8">
        <f t="shared" si="136"/>
        <v>20803143</v>
      </c>
      <c r="BD570" s="7">
        <v>317986</v>
      </c>
      <c r="BJ570" s="7">
        <v>0</v>
      </c>
      <c r="BL570" s="8">
        <f t="shared" si="131"/>
        <v>21121129</v>
      </c>
      <c r="BN570" s="8">
        <f>'Gov Fd Rv'!AQ570-'Gov Fnd Exp'!BL570</f>
        <v>1491336</v>
      </c>
      <c r="BP570" s="7">
        <v>3000432</v>
      </c>
      <c r="BR570" s="7">
        <v>0</v>
      </c>
      <c r="BT570" s="7">
        <v>0</v>
      </c>
      <c r="BV570" s="8">
        <f t="shared" si="132"/>
        <v>4491768</v>
      </c>
      <c r="BW570" s="8"/>
      <c r="BX570" s="8">
        <f>BV570-'Gov Fd BS'!AE570</f>
        <v>0</v>
      </c>
      <c r="BY570" s="8"/>
      <c r="CB570" s="101" t="str">
        <f t="shared" si="129"/>
        <v>Warren Local SD</v>
      </c>
      <c r="CC570" s="101" t="b">
        <f t="shared" si="123"/>
        <v>1</v>
      </c>
      <c r="CD570" s="101" t="str">
        <f>'Gov Fd Rv'!A570</f>
        <v>Warren Local SD</v>
      </c>
      <c r="CE570" s="8" t="b">
        <f t="shared" si="122"/>
        <v>1</v>
      </c>
      <c r="CG570" s="8" t="str">
        <f t="shared" si="124"/>
        <v>Washington</v>
      </c>
      <c r="CH570" s="8" t="b">
        <f t="shared" si="125"/>
        <v>1</v>
      </c>
      <c r="CI570" s="8" t="b">
        <f>C570='Gov Fd Rv'!C570</f>
        <v>1</v>
      </c>
    </row>
    <row r="571" spans="1:87">
      <c r="A571" s="12" t="s">
        <v>286</v>
      </c>
      <c r="B571" s="12"/>
      <c r="C571" s="12" t="s">
        <v>20</v>
      </c>
      <c r="D571" s="12"/>
      <c r="E571" s="12">
        <v>45005</v>
      </c>
      <c r="G571" s="7">
        <v>12615362</v>
      </c>
      <c r="I571" s="7">
        <v>5138287</v>
      </c>
      <c r="K571" s="7">
        <v>110801</v>
      </c>
      <c r="M571" s="7">
        <v>0</v>
      </c>
      <c r="O571" s="7">
        <v>0</v>
      </c>
      <c r="Q571" s="7">
        <v>1017807</v>
      </c>
      <c r="S571" s="7">
        <v>2858868</v>
      </c>
      <c r="U571" s="7">
        <v>70448</v>
      </c>
      <c r="W571" s="7">
        <v>2478793</v>
      </c>
      <c r="Y571" s="7">
        <v>1306214</v>
      </c>
      <c r="AA571" s="7">
        <v>1684651</v>
      </c>
      <c r="AC571" s="7">
        <v>3515799</v>
      </c>
      <c r="AE571" s="7">
        <v>1091283</v>
      </c>
      <c r="AG571" s="7">
        <v>190842</v>
      </c>
      <c r="AI571" s="7">
        <v>860916</v>
      </c>
      <c r="AK571" s="7">
        <v>40569</v>
      </c>
      <c r="AL571" s="12" t="s">
        <v>286</v>
      </c>
      <c r="AM571" s="12"/>
      <c r="AN571" s="12" t="s">
        <v>20</v>
      </c>
      <c r="AP571" s="7">
        <v>233429</v>
      </c>
      <c r="AR571" s="7">
        <v>291026</v>
      </c>
      <c r="AT571" s="7">
        <v>0</v>
      </c>
      <c r="AV571" s="7">
        <v>1135000</v>
      </c>
      <c r="AX571" s="7">
        <v>938248</v>
      </c>
      <c r="AZ571" s="7">
        <v>0</v>
      </c>
      <c r="BB571" s="8">
        <f t="shared" si="136"/>
        <v>35578343</v>
      </c>
      <c r="BD571" s="7">
        <v>196309</v>
      </c>
      <c r="BJ571" s="7">
        <v>0</v>
      </c>
      <c r="BL571" s="8">
        <f t="shared" si="131"/>
        <v>35774652</v>
      </c>
      <c r="BN571" s="8">
        <f>'Gov Fd Rv'!AQ571-'Gov Fnd Exp'!BL571</f>
        <v>7680507</v>
      </c>
      <c r="BP571" s="7">
        <v>4096181</v>
      </c>
      <c r="BR571" s="7">
        <v>0</v>
      </c>
      <c r="BT571" s="7">
        <v>0</v>
      </c>
      <c r="BV571" s="8">
        <f t="shared" si="132"/>
        <v>11776688</v>
      </c>
      <c r="BW571" s="8"/>
      <c r="BX571" s="8">
        <f>BV571-'Gov Fd BS'!AE571</f>
        <v>0</v>
      </c>
      <c r="BY571" s="8"/>
      <c r="CB571" s="101" t="str">
        <f t="shared" si="129"/>
        <v>Warrensville Heights City SD</v>
      </c>
      <c r="CC571" s="101" t="b">
        <f t="shared" si="123"/>
        <v>1</v>
      </c>
      <c r="CD571" s="101" t="str">
        <f>'Gov Fd Rv'!A571</f>
        <v>Warrensville Heights City SD</v>
      </c>
      <c r="CE571" s="8" t="b">
        <f t="shared" si="122"/>
        <v>1</v>
      </c>
      <c r="CG571" s="8" t="str">
        <f t="shared" si="124"/>
        <v>Cuyahoga</v>
      </c>
      <c r="CH571" s="8" t="b">
        <f t="shared" si="125"/>
        <v>1</v>
      </c>
      <c r="CI571" s="8" t="b">
        <f>C571='Gov Fd Rv'!C571</f>
        <v>1</v>
      </c>
    </row>
    <row r="572" spans="1:87">
      <c r="A572" s="12" t="s">
        <v>304</v>
      </c>
      <c r="B572" s="12"/>
      <c r="C572" s="12" t="s">
        <v>26</v>
      </c>
      <c r="D572" s="12"/>
      <c r="E572" s="12">
        <v>45013</v>
      </c>
      <c r="G572" s="7">
        <v>9462880</v>
      </c>
      <c r="I572" s="7">
        <v>2964968</v>
      </c>
      <c r="K572" s="7">
        <v>0</v>
      </c>
      <c r="M572" s="7">
        <v>25012</v>
      </c>
      <c r="O572" s="7">
        <v>0</v>
      </c>
      <c r="Q572" s="7">
        <v>828670</v>
      </c>
      <c r="S572" s="7">
        <v>958107</v>
      </c>
      <c r="U572" s="7">
        <v>29668</v>
      </c>
      <c r="W572" s="7">
        <v>1767868</v>
      </c>
      <c r="Y572" s="7">
        <v>535090</v>
      </c>
      <c r="AA572" s="7">
        <v>0</v>
      </c>
      <c r="AC572" s="7">
        <v>1888767</v>
      </c>
      <c r="AE572" s="7">
        <v>594436</v>
      </c>
      <c r="AG572" s="7">
        <v>244671</v>
      </c>
      <c r="AI572" s="7">
        <v>952579</v>
      </c>
      <c r="AK572" s="7">
        <v>0</v>
      </c>
      <c r="AL572" s="12" t="s">
        <v>304</v>
      </c>
      <c r="AM572" s="12"/>
      <c r="AN572" s="12" t="s">
        <v>26</v>
      </c>
      <c r="AP572" s="7">
        <v>575524</v>
      </c>
      <c r="AR572" s="7">
        <v>621751</v>
      </c>
      <c r="AT572" s="7">
        <v>0</v>
      </c>
      <c r="AV572" s="7">
        <v>494215</v>
      </c>
      <c r="AX572" s="7">
        <v>880897</v>
      </c>
      <c r="AZ572" s="7">
        <v>0</v>
      </c>
      <c r="BB572" s="8">
        <f t="shared" si="136"/>
        <v>22825103</v>
      </c>
      <c r="BD572" s="7">
        <v>0</v>
      </c>
      <c r="BJ572" s="7">
        <v>0</v>
      </c>
      <c r="BL572" s="8">
        <f t="shared" si="131"/>
        <v>22825103</v>
      </c>
      <c r="BN572" s="8">
        <f>'Gov Fd Rv'!AQ572-'Gov Fnd Exp'!BL572</f>
        <v>1148821</v>
      </c>
      <c r="BP572" s="7">
        <v>3541291</v>
      </c>
      <c r="BR572" s="7">
        <v>0</v>
      </c>
      <c r="BT572" s="7">
        <v>0</v>
      </c>
      <c r="BV572" s="8">
        <f t="shared" si="132"/>
        <v>4690112</v>
      </c>
      <c r="BW572" s="8"/>
      <c r="BX572" s="8">
        <f>BV572-'Gov Fd BS'!AE572</f>
        <v>0</v>
      </c>
      <c r="BY572" s="8"/>
      <c r="CB572" s="101" t="str">
        <f t="shared" si="129"/>
        <v>Washington Court House City SD</v>
      </c>
      <c r="CC572" s="101" t="b">
        <f t="shared" si="123"/>
        <v>1</v>
      </c>
      <c r="CD572" s="101" t="str">
        <f>'Gov Fd Rv'!A572</f>
        <v>Washington Court House City SD</v>
      </c>
      <c r="CE572" s="8" t="b">
        <f t="shared" si="122"/>
        <v>1</v>
      </c>
      <c r="CG572" s="8" t="str">
        <f t="shared" si="124"/>
        <v>Fayette</v>
      </c>
      <c r="CH572" s="8" t="b">
        <f t="shared" si="125"/>
        <v>1</v>
      </c>
      <c r="CI572" s="8" t="b">
        <f>C572='Gov Fd Rv'!C572</f>
        <v>1</v>
      </c>
    </row>
    <row r="573" spans="1:87">
      <c r="A573" s="12" t="s">
        <v>409</v>
      </c>
      <c r="B573" s="12"/>
      <c r="C573" s="12" t="s">
        <v>115</v>
      </c>
      <c r="D573" s="12"/>
      <c r="E573" s="12">
        <v>48231</v>
      </c>
      <c r="G573" s="7">
        <v>30534618</v>
      </c>
      <c r="I573" s="7">
        <v>10106621</v>
      </c>
      <c r="K573" s="7">
        <v>3208646</v>
      </c>
      <c r="M573" s="7">
        <v>6597</v>
      </c>
      <c r="O573" s="7">
        <v>3720341</v>
      </c>
      <c r="Q573" s="7">
        <v>4442383</v>
      </c>
      <c r="S573" s="7">
        <v>3952371</v>
      </c>
      <c r="U573" s="7">
        <v>147309</v>
      </c>
      <c r="W573" s="7">
        <v>5129783</v>
      </c>
      <c r="Y573" s="7">
        <v>1555730</v>
      </c>
      <c r="AA573" s="7">
        <v>593968</v>
      </c>
      <c r="AC573" s="7">
        <v>8725440</v>
      </c>
      <c r="AE573" s="7">
        <v>3636590</v>
      </c>
      <c r="AG573" s="7">
        <v>1701002</v>
      </c>
      <c r="AI573" s="7">
        <v>2450347</v>
      </c>
      <c r="AK573" s="7">
        <v>1102552</v>
      </c>
      <c r="AL573" s="12" t="s">
        <v>409</v>
      </c>
      <c r="AM573" s="12"/>
      <c r="AN573" s="12" t="s">
        <v>115</v>
      </c>
      <c r="AP573" s="7">
        <v>1392855</v>
      </c>
      <c r="AR573" s="7">
        <v>1752248</v>
      </c>
      <c r="AT573" s="7">
        <v>0</v>
      </c>
      <c r="AV573" s="7">
        <v>0</v>
      </c>
      <c r="AX573" s="7">
        <v>70872</v>
      </c>
      <c r="AZ573" s="7">
        <v>0</v>
      </c>
      <c r="BB573" s="8">
        <f t="shared" si="136"/>
        <v>84230273</v>
      </c>
      <c r="BD573" s="7">
        <v>641372</v>
      </c>
      <c r="BJ573" s="7">
        <v>0</v>
      </c>
      <c r="BL573" s="8">
        <f t="shared" si="131"/>
        <v>84871645</v>
      </c>
      <c r="BN573" s="8">
        <f>'Gov Fd Rv'!AQ573-'Gov Fnd Exp'!BL573</f>
        <v>-2138113</v>
      </c>
      <c r="BP573" s="7">
        <v>28760981</v>
      </c>
      <c r="BR573" s="7">
        <v>0</v>
      </c>
      <c r="BT573" s="7">
        <v>0</v>
      </c>
      <c r="BV573" s="8">
        <f t="shared" si="132"/>
        <v>26622868</v>
      </c>
      <c r="BW573" s="8"/>
      <c r="BX573" s="8">
        <f>BV573-'Gov Fd BS'!AE573</f>
        <v>0</v>
      </c>
      <c r="BY573" s="8"/>
      <c r="CB573" s="101" t="str">
        <f t="shared" si="129"/>
        <v>Washington Local SD</v>
      </c>
      <c r="CC573" s="101" t="b">
        <f t="shared" si="123"/>
        <v>1</v>
      </c>
      <c r="CD573" s="101" t="str">
        <f>'Gov Fd Rv'!A573</f>
        <v>Washington Local SD</v>
      </c>
      <c r="CE573" s="8" t="b">
        <f t="shared" si="122"/>
        <v>1</v>
      </c>
      <c r="CG573" s="8" t="str">
        <f t="shared" si="124"/>
        <v>Lucas</v>
      </c>
      <c r="CH573" s="8" t="b">
        <f t="shared" si="125"/>
        <v>1</v>
      </c>
      <c r="CI573" s="8" t="b">
        <f>C573='Gov Fd Rv'!C573</f>
        <v>1</v>
      </c>
    </row>
    <row r="574" spans="1:87">
      <c r="A574" s="12" t="s">
        <v>500</v>
      </c>
      <c r="B574" s="12"/>
      <c r="C574" s="12" t="s">
        <v>59</v>
      </c>
      <c r="D574" s="12"/>
      <c r="E574" s="12">
        <v>49650</v>
      </c>
      <c r="G574" s="7">
        <v>6483370</v>
      </c>
      <c r="I574" s="7">
        <v>2330999</v>
      </c>
      <c r="K574" s="7">
        <v>105249</v>
      </c>
      <c r="M574" s="7">
        <v>176596</v>
      </c>
      <c r="O574" s="7">
        <v>0</v>
      </c>
      <c r="Q574" s="7">
        <v>835136</v>
      </c>
      <c r="S574" s="7">
        <v>878099</v>
      </c>
      <c r="U574" s="7">
        <v>111224</v>
      </c>
      <c r="W574" s="7">
        <v>1145519</v>
      </c>
      <c r="Y574" s="7">
        <v>304182</v>
      </c>
      <c r="AA574" s="7">
        <v>0</v>
      </c>
      <c r="AC574" s="7">
        <v>1581816</v>
      </c>
      <c r="AE574" s="7">
        <v>928525</v>
      </c>
      <c r="AG574" s="7">
        <v>0</v>
      </c>
      <c r="AI574" s="7">
        <v>773575</v>
      </c>
      <c r="AK574" s="7">
        <v>0</v>
      </c>
      <c r="AL574" s="12" t="s">
        <v>500</v>
      </c>
      <c r="AM574" s="12"/>
      <c r="AN574" s="12" t="s">
        <v>59</v>
      </c>
      <c r="AP574" s="7">
        <v>355337</v>
      </c>
      <c r="AR574" s="7">
        <v>11984456</v>
      </c>
      <c r="AT574" s="7">
        <v>0</v>
      </c>
      <c r="AV574" s="7">
        <v>222249</v>
      </c>
      <c r="AX574" s="7">
        <v>137819</v>
      </c>
      <c r="AZ574" s="7">
        <v>0</v>
      </c>
      <c r="BB574" s="8">
        <f t="shared" si="136"/>
        <v>28354151</v>
      </c>
      <c r="BD574" s="7">
        <v>236014</v>
      </c>
      <c r="BJ574" s="7">
        <v>0</v>
      </c>
      <c r="BL574" s="8">
        <f t="shared" si="131"/>
        <v>28590165</v>
      </c>
      <c r="BN574" s="8">
        <f>'Gov Fd Rv'!AQ574-'Gov Fnd Exp'!BL574</f>
        <v>-3326518</v>
      </c>
      <c r="BP574" s="7">
        <v>7732275</v>
      </c>
      <c r="BR574" s="7">
        <v>0</v>
      </c>
      <c r="BT574" s="7">
        <v>0</v>
      </c>
      <c r="BV574" s="8">
        <f t="shared" si="132"/>
        <v>4405757</v>
      </c>
      <c r="BW574" s="8"/>
      <c r="BX574" s="8">
        <f>BV574-'Gov Fd BS'!AE574</f>
        <v>0</v>
      </c>
      <c r="BY574" s="8"/>
      <c r="CB574" s="101" t="str">
        <f t="shared" si="129"/>
        <v>Washington-Nile Local SD</v>
      </c>
      <c r="CC574" s="101" t="b">
        <f t="shared" si="123"/>
        <v>1</v>
      </c>
      <c r="CD574" s="101" t="str">
        <f>'Gov Fd Rv'!A574</f>
        <v>Washington-Nile Local SD</v>
      </c>
      <c r="CE574" s="8" t="b">
        <f t="shared" si="122"/>
        <v>1</v>
      </c>
      <c r="CG574" s="8" t="str">
        <f t="shared" si="124"/>
        <v>Scioto</v>
      </c>
      <c r="CH574" s="8" t="b">
        <f t="shared" si="125"/>
        <v>1</v>
      </c>
      <c r="CI574" s="8" t="b">
        <f>C574='Gov Fd Rv'!C574</f>
        <v>1</v>
      </c>
    </row>
    <row r="575" spans="1:87">
      <c r="A575" s="12" t="s">
        <v>480</v>
      </c>
      <c r="B575" s="12"/>
      <c r="C575" s="12" t="s">
        <v>56</v>
      </c>
      <c r="D575" s="12"/>
      <c r="E575" s="12">
        <v>49247</v>
      </c>
      <c r="G575" s="7">
        <v>5293887</v>
      </c>
      <c r="I575" s="7">
        <v>1670934</v>
      </c>
      <c r="K575" s="7">
        <v>64326</v>
      </c>
      <c r="M575" s="7">
        <v>0</v>
      </c>
      <c r="O575" s="7">
        <v>17909</v>
      </c>
      <c r="Q575" s="7">
        <v>457720</v>
      </c>
      <c r="S575" s="7">
        <v>337149</v>
      </c>
      <c r="U575" s="7">
        <v>36717</v>
      </c>
      <c r="W575" s="7">
        <v>906317</v>
      </c>
      <c r="Y575" s="7">
        <v>362522</v>
      </c>
      <c r="AA575" s="7">
        <v>21320</v>
      </c>
      <c r="AC575" s="7">
        <v>924849</v>
      </c>
      <c r="AE575" s="7">
        <v>905470</v>
      </c>
      <c r="AG575" s="7">
        <v>17381</v>
      </c>
      <c r="AI575" s="7">
        <v>333793</v>
      </c>
      <c r="AK575" s="7">
        <v>65413</v>
      </c>
      <c r="AL575" s="12" t="s">
        <v>480</v>
      </c>
      <c r="AM575" s="12"/>
      <c r="AN575" s="12" t="s">
        <v>56</v>
      </c>
      <c r="AP575" s="7">
        <v>349488</v>
      </c>
      <c r="AR575" s="7">
        <v>5217</v>
      </c>
      <c r="AT575" s="7">
        <v>0</v>
      </c>
      <c r="AV575" s="7">
        <v>554000</v>
      </c>
      <c r="AX575" s="7">
        <v>357053</v>
      </c>
      <c r="AZ575" s="7">
        <v>0</v>
      </c>
      <c r="BB575" s="8">
        <f t="shared" si="136"/>
        <v>12681465</v>
      </c>
      <c r="BD575" s="7">
        <v>0</v>
      </c>
      <c r="BJ575" s="7">
        <v>0</v>
      </c>
      <c r="BL575" s="8">
        <f t="shared" si="131"/>
        <v>12681465</v>
      </c>
      <c r="BN575" s="8">
        <f>'Gov Fd Rv'!AQ575-'Gov Fnd Exp'!BL575</f>
        <v>-645021</v>
      </c>
      <c r="BP575" s="7">
        <v>3154454</v>
      </c>
      <c r="BR575" s="7">
        <v>5517</v>
      </c>
      <c r="BT575" s="7">
        <v>0</v>
      </c>
      <c r="BV575" s="8">
        <f t="shared" si="132"/>
        <v>2514950</v>
      </c>
      <c r="BW575" s="8"/>
      <c r="BX575" s="8">
        <f>BV575-'Gov Fd BS'!AE575</f>
        <v>0</v>
      </c>
      <c r="BY575" s="8"/>
      <c r="CB575" s="101" t="str">
        <f t="shared" si="129"/>
        <v>Waterloo Local SD</v>
      </c>
      <c r="CC575" s="101" t="b">
        <f t="shared" si="123"/>
        <v>1</v>
      </c>
      <c r="CD575" s="101" t="str">
        <f>'Gov Fd Rv'!A575</f>
        <v>Waterloo Local SD</v>
      </c>
      <c r="CE575" s="8" t="b">
        <f t="shared" si="122"/>
        <v>1</v>
      </c>
      <c r="CG575" s="8" t="str">
        <f t="shared" si="124"/>
        <v>Portage</v>
      </c>
      <c r="CH575" s="8" t="b">
        <f t="shared" si="125"/>
        <v>1</v>
      </c>
      <c r="CI575" s="8" t="b">
        <f>C575='Gov Fd Rv'!C575</f>
        <v>1</v>
      </c>
    </row>
    <row r="576" spans="1:87">
      <c r="A576" s="12" t="s">
        <v>889</v>
      </c>
      <c r="B576" s="12"/>
      <c r="C576" s="12" t="s">
        <v>28</v>
      </c>
      <c r="D576" s="12"/>
      <c r="E576" s="12">
        <v>45641</v>
      </c>
      <c r="G576" s="7">
        <v>7720745</v>
      </c>
      <c r="I576" s="7">
        <v>1997032</v>
      </c>
      <c r="K576" s="7">
        <v>258915</v>
      </c>
      <c r="M576" s="7">
        <v>0</v>
      </c>
      <c r="O576" s="7">
        <v>797607</v>
      </c>
      <c r="Q576" s="7">
        <v>704163</v>
      </c>
      <c r="S576" s="7">
        <v>741432</v>
      </c>
      <c r="U576" s="7">
        <v>39221</v>
      </c>
      <c r="W576" s="7">
        <v>1346007</v>
      </c>
      <c r="Y576" s="7">
        <v>387722</v>
      </c>
      <c r="AA576" s="7">
        <v>66838</v>
      </c>
      <c r="AC576" s="7">
        <v>1400345</v>
      </c>
      <c r="AE576" s="7">
        <v>910435</v>
      </c>
      <c r="AG576" s="7">
        <v>116087</v>
      </c>
      <c r="AI576" s="7">
        <v>737781</v>
      </c>
      <c r="AK576" s="7">
        <v>0</v>
      </c>
      <c r="AL576" s="12" t="s">
        <v>889</v>
      </c>
      <c r="AM576" s="12"/>
      <c r="AN576" s="12" t="s">
        <v>28</v>
      </c>
      <c r="AP576" s="7">
        <v>637153</v>
      </c>
      <c r="AR576" s="7">
        <v>2294229</v>
      </c>
      <c r="AT576" s="7">
        <v>0</v>
      </c>
      <c r="AV576" s="7">
        <v>1105000</v>
      </c>
      <c r="AX576" s="7">
        <v>1061289</v>
      </c>
      <c r="AZ576" s="7">
        <v>0</v>
      </c>
      <c r="BB576" s="8">
        <f t="shared" si="136"/>
        <v>22322001</v>
      </c>
      <c r="BD576" s="7">
        <v>161510</v>
      </c>
      <c r="BJ576" s="7">
        <v>0</v>
      </c>
      <c r="BL576" s="8">
        <f t="shared" si="131"/>
        <v>22483511</v>
      </c>
      <c r="BN576" s="8">
        <f>'Gov Fd Rv'!AQ576-'Gov Fnd Exp'!BL576</f>
        <v>-2409418</v>
      </c>
      <c r="BP576" s="7">
        <v>13848315</v>
      </c>
      <c r="BR576" s="7">
        <v>0</v>
      </c>
      <c r="BT576" s="7">
        <v>0</v>
      </c>
      <c r="BV576" s="8">
        <f t="shared" si="132"/>
        <v>11438897</v>
      </c>
      <c r="BW576" s="8"/>
      <c r="BX576" s="8">
        <f>BV576-'Gov Fd BS'!AE576</f>
        <v>0</v>
      </c>
      <c r="BY576" s="8"/>
      <c r="CB576" s="101" t="str">
        <f t="shared" si="129"/>
        <v>Wauseon Exempted Village SD</v>
      </c>
      <c r="CC576" s="101" t="b">
        <f t="shared" si="123"/>
        <v>1</v>
      </c>
      <c r="CD576" s="101" t="str">
        <f>'Gov Fd Rv'!A576</f>
        <v>Wauseon Exempted Village SD</v>
      </c>
      <c r="CE576" s="8" t="b">
        <f t="shared" si="122"/>
        <v>1</v>
      </c>
      <c r="CG576" s="8" t="str">
        <f t="shared" si="124"/>
        <v>Fulton</v>
      </c>
      <c r="CH576" s="8" t="b">
        <f t="shared" si="125"/>
        <v>1</v>
      </c>
      <c r="CI576" s="8" t="b">
        <f>C576='Gov Fd Rv'!C576</f>
        <v>1</v>
      </c>
    </row>
    <row r="577" spans="1:87">
      <c r="A577" s="12" t="s">
        <v>472</v>
      </c>
      <c r="B577" s="12"/>
      <c r="C577" s="12" t="s">
        <v>55</v>
      </c>
      <c r="D577" s="12"/>
      <c r="E577" s="12">
        <v>49148</v>
      </c>
      <c r="G577" s="7">
        <v>8109113</v>
      </c>
      <c r="I577" s="7">
        <v>2113413</v>
      </c>
      <c r="K577" s="7">
        <v>185584</v>
      </c>
      <c r="M577" s="7">
        <v>123190</v>
      </c>
      <c r="O577" s="7">
        <v>0</v>
      </c>
      <c r="Q577" s="7">
        <v>858441</v>
      </c>
      <c r="S577" s="7">
        <v>1271732</v>
      </c>
      <c r="U577" s="7">
        <v>55505</v>
      </c>
      <c r="W577" s="7">
        <v>1229636</v>
      </c>
      <c r="Y577" s="7">
        <v>455057</v>
      </c>
      <c r="AA577" s="7">
        <v>0</v>
      </c>
      <c r="AC577" s="7">
        <v>2130273</v>
      </c>
      <c r="AE577" s="7">
        <v>1060658</v>
      </c>
      <c r="AG577" s="7">
        <v>1825</v>
      </c>
      <c r="AI577" s="7">
        <v>824529</v>
      </c>
      <c r="AK577" s="7">
        <v>87038</v>
      </c>
      <c r="AL577" s="12" t="s">
        <v>472</v>
      </c>
      <c r="AM577" s="12"/>
      <c r="AN577" s="12" t="s">
        <v>55</v>
      </c>
      <c r="AP577" s="7">
        <v>548025</v>
      </c>
      <c r="AR577" s="7">
        <v>77248</v>
      </c>
      <c r="AT577" s="7">
        <v>0</v>
      </c>
      <c r="AV577" s="7">
        <v>444786</v>
      </c>
      <c r="AX577" s="7">
        <v>295684</v>
      </c>
      <c r="AZ577" s="7">
        <v>0</v>
      </c>
      <c r="BB577" s="8">
        <f t="shared" si="136"/>
        <v>19871737</v>
      </c>
      <c r="BD577" s="7">
        <v>0</v>
      </c>
      <c r="BJ577" s="7">
        <v>0</v>
      </c>
      <c r="BL577" s="8">
        <f t="shared" si="131"/>
        <v>19871737</v>
      </c>
      <c r="BN577" s="8">
        <f>'Gov Fd Rv'!AQ577-'Gov Fnd Exp'!BL577</f>
        <v>-221567</v>
      </c>
      <c r="BP577" s="7">
        <v>2257186</v>
      </c>
      <c r="BR577" s="7">
        <v>0</v>
      </c>
      <c r="BT577" s="7">
        <v>0</v>
      </c>
      <c r="BV577" s="8">
        <f t="shared" si="132"/>
        <v>2035619</v>
      </c>
      <c r="BW577" s="8"/>
      <c r="BX577" s="8">
        <f>BV577-'Gov Fd BS'!AE577</f>
        <v>0</v>
      </c>
      <c r="BY577" s="8"/>
      <c r="CB577" s="101" t="str">
        <f t="shared" si="129"/>
        <v>Waverly City SD</v>
      </c>
      <c r="CC577" s="101" t="b">
        <f t="shared" si="123"/>
        <v>1</v>
      </c>
      <c r="CD577" s="101" t="str">
        <f>'Gov Fd Rv'!A577</f>
        <v>Waverly City SD</v>
      </c>
      <c r="CE577" s="8" t="b">
        <f t="shared" si="122"/>
        <v>1</v>
      </c>
      <c r="CG577" s="8" t="str">
        <f t="shared" si="124"/>
        <v>Pike</v>
      </c>
      <c r="CH577" s="8" t="b">
        <f t="shared" si="125"/>
        <v>1</v>
      </c>
      <c r="CI577" s="8" t="b">
        <f>C577='Gov Fd Rv'!C577</f>
        <v>1</v>
      </c>
    </row>
    <row r="578" spans="1:87" hidden="1">
      <c r="A578" s="12" t="s">
        <v>747</v>
      </c>
      <c r="B578" s="12"/>
      <c r="C578" s="12" t="s">
        <v>69</v>
      </c>
      <c r="D578" s="12"/>
      <c r="E578" s="12">
        <v>50468</v>
      </c>
      <c r="AL578" s="12" t="s">
        <v>747</v>
      </c>
      <c r="AM578" s="12"/>
      <c r="AN578" s="12" t="s">
        <v>69</v>
      </c>
      <c r="BB578" s="8">
        <f t="shared" si="136"/>
        <v>0</v>
      </c>
      <c r="BL578" s="8">
        <f t="shared" si="131"/>
        <v>0</v>
      </c>
      <c r="BN578" s="8">
        <f>'Gov Fd Rv'!AQ578-'Gov Fnd Exp'!BL578</f>
        <v>0</v>
      </c>
      <c r="BT578" s="7">
        <v>0</v>
      </c>
      <c r="BV578" s="8">
        <f t="shared" si="132"/>
        <v>0</v>
      </c>
      <c r="BW578" s="8"/>
      <c r="BX578" s="8">
        <f>BV578-'Gov Fd BS'!AE578</f>
        <v>0</v>
      </c>
      <c r="BY578" s="8"/>
      <c r="CB578" s="101" t="str">
        <f t="shared" si="129"/>
        <v>Wayne Local SD (CASH)</v>
      </c>
      <c r="CC578" s="101" t="b">
        <f t="shared" si="123"/>
        <v>1</v>
      </c>
      <c r="CD578" s="101" t="str">
        <f>'Gov Fd Rv'!A578</f>
        <v>Wayne Local SD (CASH)</v>
      </c>
      <c r="CE578" s="8" t="b">
        <f t="shared" si="122"/>
        <v>1</v>
      </c>
      <c r="CG578" s="8" t="str">
        <f t="shared" si="124"/>
        <v>Warren</v>
      </c>
      <c r="CH578" s="8" t="b">
        <f t="shared" si="125"/>
        <v>1</v>
      </c>
      <c r="CI578" s="8" t="b">
        <f>C578='Gov Fd Rv'!C578</f>
        <v>1</v>
      </c>
    </row>
    <row r="579" spans="1:87" hidden="1">
      <c r="A579" s="12" t="s">
        <v>926</v>
      </c>
      <c r="B579" s="12"/>
      <c r="C579" s="12" t="s">
        <v>465</v>
      </c>
      <c r="D579" s="12"/>
      <c r="E579" s="12">
        <v>49031</v>
      </c>
      <c r="AL579" s="12" t="s">
        <v>926</v>
      </c>
      <c r="AM579" s="12"/>
      <c r="AN579" s="12" t="s">
        <v>465</v>
      </c>
      <c r="BB579" s="8">
        <f t="shared" si="136"/>
        <v>0</v>
      </c>
      <c r="BL579" s="8">
        <f t="shared" si="131"/>
        <v>0</v>
      </c>
      <c r="BN579" s="8">
        <f>'Gov Fd Rv'!AQ579-'Gov Fnd Exp'!BL579</f>
        <v>0</v>
      </c>
      <c r="BT579" s="7">
        <v>0</v>
      </c>
      <c r="BV579" s="8">
        <f t="shared" si="132"/>
        <v>0</v>
      </c>
      <c r="BW579" s="8"/>
      <c r="BX579" s="8">
        <f>BV579-'Gov Fd BS'!AE579</f>
        <v>0</v>
      </c>
      <c r="BY579" s="8"/>
      <c r="CB579" s="101" t="str">
        <f t="shared" si="129"/>
        <v>Wayne Trace Local SD (CASH)</v>
      </c>
      <c r="CC579" s="101" t="b">
        <f t="shared" si="123"/>
        <v>1</v>
      </c>
      <c r="CD579" s="101" t="str">
        <f>'Gov Fd Rv'!A579</f>
        <v>Wayne Trace Local SD (CASH)</v>
      </c>
      <c r="CE579" s="8" t="b">
        <f t="shared" si="122"/>
        <v>1</v>
      </c>
      <c r="CG579" s="8" t="str">
        <f t="shared" si="124"/>
        <v>Paulding</v>
      </c>
      <c r="CH579" s="8" t="b">
        <f t="shared" si="125"/>
        <v>1</v>
      </c>
      <c r="CI579" s="8" t="b">
        <f>C579='Gov Fd Rv'!C579</f>
        <v>1</v>
      </c>
    </row>
    <row r="580" spans="1:87" hidden="1">
      <c r="A580" s="12" t="s">
        <v>675</v>
      </c>
      <c r="B580" s="12"/>
      <c r="C580" s="12" t="s">
        <v>14</v>
      </c>
      <c r="D580" s="12"/>
      <c r="E580" s="12">
        <v>45971</v>
      </c>
      <c r="AL580" s="12" t="s">
        <v>675</v>
      </c>
      <c r="AM580" s="12"/>
      <c r="AN580" s="12" t="s">
        <v>14</v>
      </c>
      <c r="BB580" s="8">
        <f t="shared" si="136"/>
        <v>0</v>
      </c>
      <c r="BL580" s="8">
        <f t="shared" si="131"/>
        <v>0</v>
      </c>
      <c r="BN580" s="8">
        <f>'Gov Fd Rv'!AQ580-'Gov Fnd Exp'!BL580</f>
        <v>0</v>
      </c>
      <c r="BT580" s="7">
        <v>0</v>
      </c>
      <c r="BV580" s="8">
        <f t="shared" si="132"/>
        <v>0</v>
      </c>
      <c r="BW580" s="8"/>
      <c r="BX580" s="8">
        <f>BV580-'Gov Fd BS'!AE580</f>
        <v>0</v>
      </c>
      <c r="BY580" s="8"/>
      <c r="CB580" s="101" t="str">
        <f t="shared" si="129"/>
        <v>Waynesfield-Goshen Local SD  (CASH)</v>
      </c>
      <c r="CC580" s="101" t="b">
        <f t="shared" si="123"/>
        <v>1</v>
      </c>
      <c r="CD580" s="101" t="str">
        <f>'Gov Fd Rv'!A580</f>
        <v>Waynesfield-Goshen Local SD  (CASH)</v>
      </c>
      <c r="CE580" s="8" t="b">
        <f t="shared" si="122"/>
        <v>1</v>
      </c>
      <c r="CG580" s="8" t="str">
        <f t="shared" si="124"/>
        <v>Auglaize</v>
      </c>
      <c r="CH580" s="8" t="b">
        <f t="shared" si="125"/>
        <v>1</v>
      </c>
      <c r="CI580" s="8" t="b">
        <f>C580='Gov Fd Rv'!C580</f>
        <v>1</v>
      </c>
    </row>
    <row r="581" spans="1:87">
      <c r="A581" s="12" t="s">
        <v>548</v>
      </c>
      <c r="B581" s="12"/>
      <c r="C581" s="12" t="s">
        <v>64</v>
      </c>
      <c r="D581" s="12"/>
      <c r="E581" s="12">
        <v>50252</v>
      </c>
      <c r="G581" s="7">
        <v>3804146</v>
      </c>
      <c r="I581" s="7">
        <v>1123368</v>
      </c>
      <c r="K581" s="7">
        <v>0</v>
      </c>
      <c r="M581" s="7">
        <v>0</v>
      </c>
      <c r="O581" s="7">
        <v>528727</v>
      </c>
      <c r="Q581" s="7">
        <v>369371</v>
      </c>
      <c r="S581" s="7">
        <v>146042</v>
      </c>
      <c r="U581" s="7">
        <v>21578</v>
      </c>
      <c r="W581" s="7">
        <v>780061</v>
      </c>
      <c r="Y581" s="7">
        <v>292219</v>
      </c>
      <c r="AA581" s="7">
        <v>9144</v>
      </c>
      <c r="AC581" s="7">
        <v>1150006</v>
      </c>
      <c r="AE581" s="7">
        <v>389755</v>
      </c>
      <c r="AG581" s="7">
        <v>6825</v>
      </c>
      <c r="AI581" s="7">
        <v>319642</v>
      </c>
      <c r="AK581" s="7">
        <v>0</v>
      </c>
      <c r="AL581" s="12" t="s">
        <v>548</v>
      </c>
      <c r="AM581" s="12"/>
      <c r="AN581" s="12" t="s">
        <v>64</v>
      </c>
      <c r="AP581" s="7">
        <v>351534</v>
      </c>
      <c r="AR581" s="7">
        <v>0</v>
      </c>
      <c r="AT581" s="7">
        <v>0</v>
      </c>
      <c r="AV581" s="7">
        <v>265068</v>
      </c>
      <c r="AX581" s="7">
        <v>99013</v>
      </c>
      <c r="AZ581" s="7">
        <v>0</v>
      </c>
      <c r="BB581" s="8">
        <f t="shared" si="136"/>
        <v>9656499</v>
      </c>
      <c r="BD581" s="7">
        <v>55043</v>
      </c>
      <c r="BJ581" s="7">
        <v>0</v>
      </c>
      <c r="BL581" s="8">
        <f t="shared" si="131"/>
        <v>9711542</v>
      </c>
      <c r="BN581" s="8">
        <f>'Gov Fd Rv'!AQ581-'Gov Fnd Exp'!BL581</f>
        <v>287612</v>
      </c>
      <c r="BP581" s="7">
        <v>1177434</v>
      </c>
      <c r="BR581" s="7">
        <v>0</v>
      </c>
      <c r="BT581" s="7">
        <v>0</v>
      </c>
      <c r="BV581" s="8">
        <f t="shared" si="132"/>
        <v>1465046</v>
      </c>
      <c r="BW581" s="8"/>
      <c r="BX581" s="8">
        <f>BV581-'Gov Fd BS'!AE581</f>
        <v>0</v>
      </c>
      <c r="BY581" s="8"/>
      <c r="BZ581" s="8"/>
      <c r="CB581" s="101" t="str">
        <f t="shared" si="129"/>
        <v>Weathersfield Local SD</v>
      </c>
      <c r="CC581" s="101" t="b">
        <f t="shared" si="123"/>
        <v>1</v>
      </c>
      <c r="CD581" s="101" t="str">
        <f>'Gov Fd Rv'!A581</f>
        <v>Weathersfield Local SD</v>
      </c>
      <c r="CE581" s="8" t="b">
        <f t="shared" si="122"/>
        <v>1</v>
      </c>
      <c r="CG581" s="8" t="str">
        <f t="shared" si="124"/>
        <v>Trumbull</v>
      </c>
      <c r="CH581" s="8" t="b">
        <f t="shared" si="125"/>
        <v>1</v>
      </c>
      <c r="CI581" s="8" t="b">
        <f>C581='Gov Fd Rv'!C581</f>
        <v>1</v>
      </c>
    </row>
    <row r="582" spans="1:87">
      <c r="A582" s="12" t="s">
        <v>890</v>
      </c>
      <c r="B582" s="12"/>
      <c r="C582" s="12" t="s">
        <v>44</v>
      </c>
      <c r="D582" s="12"/>
      <c r="E582" s="12">
        <v>45658</v>
      </c>
      <c r="G582" s="7">
        <v>6164580</v>
      </c>
      <c r="I582" s="7">
        <v>1449083</v>
      </c>
      <c r="K582" s="7">
        <v>90382</v>
      </c>
      <c r="M582" s="7">
        <v>71</v>
      </c>
      <c r="O582" s="7">
        <v>0</v>
      </c>
      <c r="Q582" s="7">
        <v>479756</v>
      </c>
      <c r="S582" s="7">
        <v>822418</v>
      </c>
      <c r="U582" s="7">
        <v>24305</v>
      </c>
      <c r="W582" s="7">
        <v>1216520</v>
      </c>
      <c r="Y582" s="7">
        <v>358372</v>
      </c>
      <c r="AA582" s="7">
        <v>0</v>
      </c>
      <c r="AC582" s="7">
        <v>1023303</v>
      </c>
      <c r="AE582" s="7">
        <v>679493</v>
      </c>
      <c r="AG582" s="7">
        <v>110593</v>
      </c>
      <c r="AI582" s="7">
        <v>0</v>
      </c>
      <c r="AK582" s="7">
        <v>492420</v>
      </c>
      <c r="AL582" s="12" t="s">
        <v>890</v>
      </c>
      <c r="AM582" s="12"/>
      <c r="AN582" s="12" t="s">
        <v>44</v>
      </c>
      <c r="AP582" s="7">
        <v>430010</v>
      </c>
      <c r="AR582" s="7">
        <v>147090</v>
      </c>
      <c r="AT582" s="7">
        <v>0</v>
      </c>
      <c r="AV582" s="7">
        <v>0</v>
      </c>
      <c r="AX582" s="7">
        <v>0</v>
      </c>
      <c r="AZ582" s="7">
        <v>0</v>
      </c>
      <c r="BB582" s="8">
        <f t="shared" si="136"/>
        <v>13488396</v>
      </c>
      <c r="BD582" s="7">
        <v>527685</v>
      </c>
      <c r="BJ582" s="7">
        <v>0</v>
      </c>
      <c r="BL582" s="8">
        <f t="shared" si="131"/>
        <v>14016081</v>
      </c>
      <c r="BN582" s="8">
        <f>'Gov Fd Rv'!AQ582-'Gov Fnd Exp'!BL582</f>
        <v>390351</v>
      </c>
      <c r="BP582" s="7">
        <v>4798934</v>
      </c>
      <c r="BR582" s="7">
        <v>0</v>
      </c>
      <c r="BT582" s="7">
        <v>0</v>
      </c>
      <c r="BV582" s="8">
        <f t="shared" si="132"/>
        <v>5189285</v>
      </c>
      <c r="BW582" s="8"/>
      <c r="BX582" s="8">
        <f>BV582-'Gov Fd BS'!AE582</f>
        <v>0</v>
      </c>
      <c r="BY582" s="8"/>
      <c r="CB582" s="101" t="str">
        <f t="shared" si="129"/>
        <v>Wellington Exempted Village SD</v>
      </c>
      <c r="CC582" s="101" t="b">
        <f t="shared" si="123"/>
        <v>1</v>
      </c>
      <c r="CD582" s="101" t="str">
        <f>'Gov Fd Rv'!A582</f>
        <v>Wellington Exempted Village SD</v>
      </c>
      <c r="CE582" s="8" t="b">
        <f t="shared" si="122"/>
        <v>1</v>
      </c>
      <c r="CG582" s="8" t="str">
        <f t="shared" si="124"/>
        <v>Lorain</v>
      </c>
      <c r="CH582" s="8" t="b">
        <f t="shared" si="125"/>
        <v>1</v>
      </c>
      <c r="CI582" s="8" t="b">
        <f>C582='Gov Fd Rv'!C582</f>
        <v>1</v>
      </c>
    </row>
    <row r="583" spans="1:87">
      <c r="A583" s="12" t="s">
        <v>371</v>
      </c>
      <c r="B583" s="12"/>
      <c r="C583" s="12" t="s">
        <v>38</v>
      </c>
      <c r="D583" s="12"/>
      <c r="E583" s="12">
        <v>45021</v>
      </c>
      <c r="G583" s="7">
        <v>6586314</v>
      </c>
      <c r="I583" s="7">
        <v>2442763</v>
      </c>
      <c r="K583" s="7">
        <v>94876</v>
      </c>
      <c r="M583" s="7">
        <v>27662</v>
      </c>
      <c r="O583" s="7">
        <v>0</v>
      </c>
      <c r="Q583" s="7">
        <v>744490</v>
      </c>
      <c r="S583" s="7">
        <v>1167708</v>
      </c>
      <c r="U583" s="7">
        <v>130504</v>
      </c>
      <c r="W583" s="7">
        <v>1226251</v>
      </c>
      <c r="Y583" s="7">
        <v>443484</v>
      </c>
      <c r="AA583" s="7">
        <v>0</v>
      </c>
      <c r="AC583" s="7">
        <v>1876138</v>
      </c>
      <c r="AE583" s="7">
        <v>955153</v>
      </c>
      <c r="AG583" s="7">
        <v>267546</v>
      </c>
      <c r="AI583" s="7">
        <v>783479</v>
      </c>
      <c r="AK583" s="7">
        <v>119981</v>
      </c>
      <c r="AL583" s="12" t="s">
        <v>371</v>
      </c>
      <c r="AM583" s="12"/>
      <c r="AN583" s="12" t="s">
        <v>38</v>
      </c>
      <c r="AP583" s="7">
        <v>303698</v>
      </c>
      <c r="AR583" s="7">
        <v>1616915</v>
      </c>
      <c r="AT583" s="7">
        <v>0</v>
      </c>
      <c r="AV583" s="7">
        <v>170000</v>
      </c>
      <c r="AX583" s="7">
        <f>88984+76164</f>
        <v>165148</v>
      </c>
      <c r="AZ583" s="7">
        <v>0</v>
      </c>
      <c r="BB583" s="8">
        <f t="shared" si="136"/>
        <v>19122110</v>
      </c>
      <c r="BD583" s="7">
        <v>0</v>
      </c>
      <c r="BJ583" s="7">
        <v>1308100</v>
      </c>
      <c r="BL583" s="8">
        <f t="shared" si="131"/>
        <v>20430210</v>
      </c>
      <c r="BN583" s="8">
        <f>'Gov Fd Rv'!AQ583-'Gov Fnd Exp'!BL583</f>
        <v>2869330</v>
      </c>
      <c r="BP583" s="7">
        <v>8443677</v>
      </c>
      <c r="BR583" s="7">
        <v>0</v>
      </c>
      <c r="BT583" s="7">
        <v>0</v>
      </c>
      <c r="BV583" s="8">
        <f t="shared" si="132"/>
        <v>11313007</v>
      </c>
      <c r="BW583" s="8"/>
      <c r="BX583" s="8">
        <f>BV583-'Gov Fd BS'!AE583</f>
        <v>0</v>
      </c>
      <c r="BY583" s="8"/>
      <c r="CB583" s="101" t="str">
        <f t="shared" si="129"/>
        <v>Wellston City SD</v>
      </c>
      <c r="CC583" s="101" t="b">
        <f t="shared" si="123"/>
        <v>1</v>
      </c>
      <c r="CD583" s="101" t="str">
        <f>'Gov Fd Rv'!A583</f>
        <v>Wellston City SD</v>
      </c>
      <c r="CE583" s="8" t="b">
        <f t="shared" si="122"/>
        <v>1</v>
      </c>
      <c r="CG583" s="8" t="str">
        <f t="shared" si="124"/>
        <v>Jackson</v>
      </c>
      <c r="CH583" s="8" t="b">
        <f t="shared" si="125"/>
        <v>1</v>
      </c>
      <c r="CI583" s="8" t="b">
        <f>C583='Gov Fd Rv'!C583</f>
        <v>1</v>
      </c>
    </row>
    <row r="584" spans="1:87">
      <c r="A584" s="12" t="s">
        <v>258</v>
      </c>
      <c r="B584" s="12"/>
      <c r="C584" s="12" t="s">
        <v>112</v>
      </c>
      <c r="D584" s="12"/>
      <c r="E584" s="12">
        <v>45039</v>
      </c>
      <c r="G584" s="7">
        <v>4814549</v>
      </c>
      <c r="I584" s="7">
        <v>1121838</v>
      </c>
      <c r="K584" s="7">
        <v>171204</v>
      </c>
      <c r="M584" s="7">
        <v>0</v>
      </c>
      <c r="O584" s="7">
        <v>89481</v>
      </c>
      <c r="Q584" s="7">
        <v>320152</v>
      </c>
      <c r="S584" s="7">
        <v>407154</v>
      </c>
      <c r="U584" s="7">
        <v>13346</v>
      </c>
      <c r="W584" s="7">
        <v>832077</v>
      </c>
      <c r="Y584" s="7">
        <v>233556</v>
      </c>
      <c r="AA584" s="7">
        <v>0</v>
      </c>
      <c r="AC584" s="7">
        <v>1091997</v>
      </c>
      <c r="AE584" s="7">
        <v>139777</v>
      </c>
      <c r="AG584" s="7">
        <v>56731</v>
      </c>
      <c r="AI584" s="7">
        <v>418931</v>
      </c>
      <c r="AK584" s="7">
        <v>7454</v>
      </c>
      <c r="AL584" s="12" t="s">
        <v>258</v>
      </c>
      <c r="AM584" s="12"/>
      <c r="AN584" s="12" t="s">
        <v>112</v>
      </c>
      <c r="AP584" s="7">
        <v>251785</v>
      </c>
      <c r="AR584" s="7">
        <v>40504</v>
      </c>
      <c r="AT584" s="7">
        <v>0</v>
      </c>
      <c r="AV584" s="7">
        <v>105000</v>
      </c>
      <c r="AX584" s="7">
        <v>51421</v>
      </c>
      <c r="AZ584" s="7">
        <v>0</v>
      </c>
      <c r="BB584" s="8">
        <f t="shared" si="136"/>
        <v>10166957</v>
      </c>
      <c r="BD584" s="7">
        <v>0</v>
      </c>
      <c r="BJ584" s="7">
        <v>0</v>
      </c>
      <c r="BL584" s="8">
        <f t="shared" si="131"/>
        <v>10166957</v>
      </c>
      <c r="BN584" s="8">
        <f>'Gov Fd Rv'!AQ584-'Gov Fnd Exp'!BL584</f>
        <v>-374143</v>
      </c>
      <c r="BP584" s="7">
        <v>3441035</v>
      </c>
      <c r="BR584" s="7">
        <v>0</v>
      </c>
      <c r="BT584" s="7">
        <v>0</v>
      </c>
      <c r="BV584" s="8">
        <f t="shared" si="132"/>
        <v>3066892</v>
      </c>
      <c r="BW584" s="8"/>
      <c r="BX584" s="8">
        <f>BV584-'Gov Fd BS'!AE584</f>
        <v>0</v>
      </c>
      <c r="BY584" s="8"/>
      <c r="CB584" s="101" t="str">
        <f t="shared" si="129"/>
        <v>Wellsville Local SD</v>
      </c>
      <c r="CC584" s="101" t="b">
        <f t="shared" si="123"/>
        <v>1</v>
      </c>
      <c r="CD584" s="101" t="str">
        <f>'Gov Fd Rv'!A584</f>
        <v>Wellsville Local SD</v>
      </c>
      <c r="CE584" s="8" t="b">
        <f t="shared" si="122"/>
        <v>1</v>
      </c>
      <c r="CG584" s="8" t="str">
        <f t="shared" si="124"/>
        <v>Columbiana</v>
      </c>
      <c r="CH584" s="8" t="b">
        <f t="shared" si="125"/>
        <v>1</v>
      </c>
      <c r="CI584" s="8" t="b">
        <f>C584='Gov Fd Rv'!C584</f>
        <v>1</v>
      </c>
    </row>
    <row r="585" spans="1:87">
      <c r="A585" s="12" t="s">
        <v>421</v>
      </c>
      <c r="B585" s="12"/>
      <c r="C585" s="12" t="s">
        <v>45</v>
      </c>
      <c r="D585" s="12"/>
      <c r="E585" s="12">
        <v>48389</v>
      </c>
      <c r="G585" s="7">
        <v>9060540</v>
      </c>
      <c r="I585" s="7">
        <v>2486172</v>
      </c>
      <c r="K585" s="7">
        <v>394094</v>
      </c>
      <c r="M585" s="7">
        <v>0</v>
      </c>
      <c r="O585" s="7">
        <v>184771</v>
      </c>
      <c r="Q585" s="7">
        <v>1185319</v>
      </c>
      <c r="S585" s="7">
        <v>1223905</v>
      </c>
      <c r="U585" s="7">
        <v>40311</v>
      </c>
      <c r="W585" s="7">
        <v>1632566</v>
      </c>
      <c r="Y585" s="7">
        <v>448532</v>
      </c>
      <c r="AA585" s="7">
        <v>0</v>
      </c>
      <c r="AC585" s="7">
        <v>2116547</v>
      </c>
      <c r="AE585" s="7">
        <v>1488821</v>
      </c>
      <c r="AG585" s="7">
        <v>249401</v>
      </c>
      <c r="AI585" s="7">
        <v>870930</v>
      </c>
      <c r="AK585" s="7">
        <v>73765</v>
      </c>
      <c r="AL585" s="12" t="s">
        <v>421</v>
      </c>
      <c r="AM585" s="12"/>
      <c r="AN585" s="12" t="s">
        <v>45</v>
      </c>
      <c r="AP585" s="7">
        <v>587495</v>
      </c>
      <c r="AR585" s="7">
        <v>1382443</v>
      </c>
      <c r="AT585" s="7">
        <v>0</v>
      </c>
      <c r="AV585" s="7">
        <v>425000</v>
      </c>
      <c r="AX585" s="7">
        <f>284584+29000</f>
        <v>313584</v>
      </c>
      <c r="AZ585" s="7">
        <v>0</v>
      </c>
      <c r="BB585" s="8">
        <f t="shared" si="136"/>
        <v>24164196</v>
      </c>
      <c r="BD585" s="7">
        <v>95684</v>
      </c>
      <c r="BJ585" s="7">
        <v>0</v>
      </c>
      <c r="BL585" s="8">
        <f t="shared" si="131"/>
        <v>24259880</v>
      </c>
      <c r="BN585" s="8">
        <f>'Gov Fd Rv'!AQ585-'Gov Fnd Exp'!BL585</f>
        <v>-278193</v>
      </c>
      <c r="BP585" s="7">
        <v>3889287</v>
      </c>
      <c r="BR585" s="7">
        <v>15121</v>
      </c>
      <c r="BT585" s="7">
        <v>0</v>
      </c>
      <c r="BV585" s="8">
        <f t="shared" si="132"/>
        <v>3626215</v>
      </c>
      <c r="BW585" s="8"/>
      <c r="BX585" s="8">
        <f>BV585-'Gov Fd BS'!AE585</f>
        <v>0</v>
      </c>
      <c r="BY585" s="8"/>
      <c r="CB585" s="101" t="str">
        <f t="shared" si="129"/>
        <v>West Branch Local SD</v>
      </c>
      <c r="CC585" s="101" t="b">
        <f t="shared" si="123"/>
        <v>1</v>
      </c>
      <c r="CD585" s="101" t="str">
        <f>'Gov Fd Rv'!A585</f>
        <v>West Branch Local SD</v>
      </c>
      <c r="CE585" s="8" t="b">
        <f t="shared" si="122"/>
        <v>1</v>
      </c>
      <c r="CG585" s="8" t="str">
        <f t="shared" si="124"/>
        <v>Mahoning</v>
      </c>
      <c r="CH585" s="8" t="b">
        <f t="shared" si="125"/>
        <v>1</v>
      </c>
      <c r="CI585" s="8" t="b">
        <f>C585='Gov Fd Rv'!C585</f>
        <v>1</v>
      </c>
    </row>
    <row r="586" spans="1:87">
      <c r="A586" s="12" t="s">
        <v>746</v>
      </c>
      <c r="B586" s="12"/>
      <c r="C586" s="12" t="s">
        <v>50</v>
      </c>
      <c r="D586" s="12"/>
      <c r="E586" s="12"/>
      <c r="G586" s="7">
        <v>15717920</v>
      </c>
      <c r="I586" s="7">
        <v>5665347</v>
      </c>
      <c r="K586" s="7">
        <v>204907</v>
      </c>
      <c r="M586" s="7">
        <v>0</v>
      </c>
      <c r="O586" s="7">
        <v>2561941</v>
      </c>
      <c r="Q586" s="7">
        <v>2675003</v>
      </c>
      <c r="S586" s="7">
        <v>2415553</v>
      </c>
      <c r="U586" s="7">
        <v>30365</v>
      </c>
      <c r="W586" s="7">
        <v>2992643</v>
      </c>
      <c r="Y586" s="7">
        <v>733150</v>
      </c>
      <c r="AA586" s="7">
        <v>492556</v>
      </c>
      <c r="AC586" s="7">
        <v>3382419</v>
      </c>
      <c r="AE586" s="7">
        <v>2210918</v>
      </c>
      <c r="AG586" s="7">
        <v>267534</v>
      </c>
      <c r="AI586" s="7">
        <v>1378602</v>
      </c>
      <c r="AK586" s="7">
        <v>51013</v>
      </c>
      <c r="AL586" s="12" t="s">
        <v>746</v>
      </c>
      <c r="AM586" s="12"/>
      <c r="AN586" s="12" t="s">
        <v>50</v>
      </c>
      <c r="AP586" s="7">
        <v>694599</v>
      </c>
      <c r="AR586" s="7">
        <v>921823</v>
      </c>
      <c r="AT586" s="7">
        <v>0</v>
      </c>
      <c r="AV586" s="7">
        <v>413654</v>
      </c>
      <c r="AX586" s="7">
        <v>49280</v>
      </c>
      <c r="AZ586" s="7">
        <v>0</v>
      </c>
      <c r="BB586" s="8">
        <f t="shared" si="136"/>
        <v>42859227</v>
      </c>
      <c r="BD586" s="7">
        <v>0</v>
      </c>
      <c r="BJ586" s="7">
        <v>0</v>
      </c>
      <c r="BL586" s="8">
        <f t="shared" si="131"/>
        <v>42859227</v>
      </c>
      <c r="BN586" s="8">
        <f>'Gov Fd Rv'!AQ586-'Gov Fnd Exp'!BL586</f>
        <v>84201</v>
      </c>
      <c r="BP586" s="7">
        <v>14690843</v>
      </c>
      <c r="BR586" s="7">
        <v>0</v>
      </c>
      <c r="BT586" s="7">
        <v>0</v>
      </c>
      <c r="BV586" s="8">
        <f t="shared" si="132"/>
        <v>14775044</v>
      </c>
      <c r="BW586" s="8"/>
      <c r="BX586" s="8">
        <f>BV586-'Gov Fd BS'!AE586</f>
        <v>0</v>
      </c>
      <c r="BY586" s="8"/>
      <c r="CB586" s="101" t="str">
        <f t="shared" si="129"/>
        <v>West Carrollton City SD</v>
      </c>
      <c r="CC586" s="101" t="b">
        <f t="shared" si="123"/>
        <v>1</v>
      </c>
      <c r="CD586" s="101" t="str">
        <f>'Gov Fd Rv'!A586</f>
        <v>West Carrollton City SD</v>
      </c>
      <c r="CE586" s="8" t="b">
        <f t="shared" si="122"/>
        <v>1</v>
      </c>
      <c r="CG586" s="8" t="str">
        <f t="shared" si="124"/>
        <v>Montgomery</v>
      </c>
      <c r="CH586" s="8" t="b">
        <f t="shared" si="125"/>
        <v>1</v>
      </c>
      <c r="CI586" s="8" t="b">
        <f>C586='Gov Fd Rv'!C586</f>
        <v>1</v>
      </c>
    </row>
    <row r="587" spans="1:87">
      <c r="A587" s="12" t="s">
        <v>246</v>
      </c>
      <c r="B587" s="12"/>
      <c r="C587" s="12" t="s">
        <v>113</v>
      </c>
      <c r="D587" s="12"/>
      <c r="E587" s="12">
        <v>46359</v>
      </c>
      <c r="G587" s="7">
        <v>35158266</v>
      </c>
      <c r="I587" s="7">
        <v>12275843</v>
      </c>
      <c r="K587" s="7">
        <v>181822</v>
      </c>
      <c r="M587" s="7">
        <v>0</v>
      </c>
      <c r="O587" s="7">
        <v>0</v>
      </c>
      <c r="Q587" s="7">
        <v>4840087</v>
      </c>
      <c r="S587" s="7">
        <v>3249931</v>
      </c>
      <c r="U587" s="7">
        <v>84090</v>
      </c>
      <c r="W587" s="7">
        <v>5407246</v>
      </c>
      <c r="Y587" s="7">
        <v>1611901</v>
      </c>
      <c r="AA587" s="7">
        <v>50081</v>
      </c>
      <c r="AC587" s="7">
        <v>6325662</v>
      </c>
      <c r="AE587" s="7">
        <v>7841048</v>
      </c>
      <c r="AG587" s="7">
        <v>1751601</v>
      </c>
      <c r="AI587" s="7">
        <v>0</v>
      </c>
      <c r="AK587" s="7">
        <f>2660873+5241</f>
        <v>2666114</v>
      </c>
      <c r="AL587" s="12" t="s">
        <v>246</v>
      </c>
      <c r="AM587" s="12"/>
      <c r="AN587" s="12" t="s">
        <v>113</v>
      </c>
      <c r="AP587" s="7">
        <v>1292778</v>
      </c>
      <c r="AR587" s="7">
        <v>3449448</v>
      </c>
      <c r="AT587" s="7">
        <v>0</v>
      </c>
      <c r="AV587" s="7">
        <v>2005902</v>
      </c>
      <c r="AX587" s="7">
        <v>1702502</v>
      </c>
      <c r="AZ587" s="7">
        <v>0</v>
      </c>
      <c r="BB587" s="8">
        <f t="shared" si="130"/>
        <v>89894322</v>
      </c>
      <c r="BD587" s="7">
        <v>0</v>
      </c>
      <c r="BJ587" s="7">
        <v>0</v>
      </c>
      <c r="BL587" s="8">
        <f t="shared" si="131"/>
        <v>89894322</v>
      </c>
      <c r="BN587" s="8">
        <f>'Gov Fd Rv'!AQ587-'Gov Fnd Exp'!BL587</f>
        <v>1668426</v>
      </c>
      <c r="BP587" s="7">
        <v>11265883</v>
      </c>
      <c r="BR587" s="7">
        <v>0</v>
      </c>
      <c r="BT587" s="7">
        <v>0</v>
      </c>
      <c r="BV587" s="8">
        <f t="shared" si="132"/>
        <v>12934309</v>
      </c>
      <c r="BW587" s="8"/>
      <c r="BX587" s="8">
        <f>BV587-'Gov Fd BS'!AE587</f>
        <v>0</v>
      </c>
      <c r="BY587" s="8"/>
      <c r="CB587" s="101" t="str">
        <f t="shared" si="129"/>
        <v>West Clermont Local SD</v>
      </c>
      <c r="CC587" s="101" t="b">
        <f t="shared" si="123"/>
        <v>1</v>
      </c>
      <c r="CD587" s="101" t="str">
        <f>'Gov Fd Rv'!A587</f>
        <v>West Clermont Local SD</v>
      </c>
      <c r="CE587" s="8" t="b">
        <f t="shared" si="122"/>
        <v>1</v>
      </c>
      <c r="CG587" s="8" t="str">
        <f t="shared" si="124"/>
        <v>Clermont</v>
      </c>
      <c r="CH587" s="8" t="b">
        <f t="shared" si="125"/>
        <v>1</v>
      </c>
      <c r="CI587" s="8" t="b">
        <f>C587='Gov Fd Rv'!C587</f>
        <v>1</v>
      </c>
    </row>
    <row r="588" spans="1:87">
      <c r="A588" s="12" t="s">
        <v>324</v>
      </c>
      <c r="B588" s="12"/>
      <c r="C588" s="12" t="s">
        <v>30</v>
      </c>
      <c r="D588" s="12"/>
      <c r="E588" s="12">
        <v>47225</v>
      </c>
      <c r="G588" s="7">
        <v>10512559</v>
      </c>
      <c r="I588" s="7">
        <v>3466303</v>
      </c>
      <c r="K588" s="7">
        <v>309061</v>
      </c>
      <c r="M588" s="7">
        <v>42900</v>
      </c>
      <c r="O588" s="7">
        <v>501618</v>
      </c>
      <c r="Q588" s="7">
        <v>1993589</v>
      </c>
      <c r="S588" s="7">
        <v>810116</v>
      </c>
      <c r="U588" s="7">
        <v>45551</v>
      </c>
      <c r="W588" s="7">
        <v>1797065</v>
      </c>
      <c r="Y588" s="7">
        <v>694901</v>
      </c>
      <c r="AA588" s="7">
        <v>317122</v>
      </c>
      <c r="AC588" s="7">
        <v>2160890</v>
      </c>
      <c r="AE588" s="7">
        <v>1947501</v>
      </c>
      <c r="AG588" s="7">
        <v>84487</v>
      </c>
      <c r="AI588" s="7">
        <v>656787</v>
      </c>
      <c r="AK588" s="7">
        <f>442267+1001</f>
        <v>443268</v>
      </c>
      <c r="AL588" s="12" t="s">
        <v>324</v>
      </c>
      <c r="AM588" s="12"/>
      <c r="AN588" s="12" t="s">
        <v>30</v>
      </c>
      <c r="AP588" s="7">
        <v>894287</v>
      </c>
      <c r="AR588" s="7">
        <v>552606</v>
      </c>
      <c r="AT588" s="7">
        <v>0</v>
      </c>
      <c r="AV588" s="7">
        <v>2124948</v>
      </c>
      <c r="AX588" s="7">
        <v>294843</v>
      </c>
      <c r="AZ588" s="7">
        <v>0</v>
      </c>
      <c r="BB588" s="8">
        <f t="shared" si="130"/>
        <v>29650402</v>
      </c>
      <c r="BD588" s="7">
        <v>225056</v>
      </c>
      <c r="BJ588" s="7">
        <v>0</v>
      </c>
      <c r="BL588" s="8">
        <f t="shared" si="131"/>
        <v>29875458</v>
      </c>
      <c r="BN588" s="8">
        <f>'Gov Fd Rv'!AQ588-'Gov Fnd Exp'!BL588</f>
        <v>1342007</v>
      </c>
      <c r="BP588" s="7">
        <v>6004795</v>
      </c>
      <c r="BR588" s="7">
        <v>0</v>
      </c>
      <c r="BT588" s="7">
        <v>0</v>
      </c>
      <c r="BV588" s="8">
        <f t="shared" si="132"/>
        <v>7346802</v>
      </c>
      <c r="BW588" s="8"/>
      <c r="BX588" s="8">
        <f>BV588-'Gov Fd BS'!AE588</f>
        <v>0</v>
      </c>
      <c r="BY588" s="8"/>
      <c r="CB588" s="101" t="str">
        <f t="shared" si="129"/>
        <v>West Geauga Local SD</v>
      </c>
      <c r="CC588" s="101" t="b">
        <f t="shared" si="123"/>
        <v>1</v>
      </c>
      <c r="CD588" s="101" t="str">
        <f>'Gov Fd Rv'!A588</f>
        <v>West Geauga Local SD</v>
      </c>
      <c r="CE588" s="8" t="b">
        <f t="shared" si="122"/>
        <v>1</v>
      </c>
      <c r="CG588" s="8" t="str">
        <f t="shared" si="124"/>
        <v>Geauga</v>
      </c>
      <c r="CH588" s="8" t="b">
        <f t="shared" si="125"/>
        <v>1</v>
      </c>
      <c r="CI588" s="8" t="b">
        <f>C588='Gov Fd Rv'!C588</f>
        <v>1</v>
      </c>
    </row>
    <row r="589" spans="1:87">
      <c r="A589" s="12" t="s">
        <v>364</v>
      </c>
      <c r="B589" s="12"/>
      <c r="C589" s="12" t="s">
        <v>36</v>
      </c>
      <c r="D589" s="12"/>
      <c r="E589" s="12">
        <v>47696</v>
      </c>
      <c r="G589" s="7">
        <v>10970871</v>
      </c>
      <c r="I589" s="7">
        <v>3611040</v>
      </c>
      <c r="K589" s="7">
        <v>242370</v>
      </c>
      <c r="M589" s="7">
        <v>0</v>
      </c>
      <c r="O589" s="7">
        <v>0</v>
      </c>
      <c r="Q589" s="7">
        <v>809653</v>
      </c>
      <c r="S589" s="7">
        <v>969840</v>
      </c>
      <c r="U589" s="7">
        <v>40631</v>
      </c>
      <c r="W589" s="7">
        <v>1971725</v>
      </c>
      <c r="Y589" s="7">
        <v>558309</v>
      </c>
      <c r="AA589" s="7">
        <v>1440</v>
      </c>
      <c r="AC589" s="7">
        <v>2115133</v>
      </c>
      <c r="AE589" s="7">
        <v>1735627</v>
      </c>
      <c r="AG589" s="7">
        <v>76383</v>
      </c>
      <c r="AI589" s="7">
        <v>1029003</v>
      </c>
      <c r="AK589" s="7">
        <v>68713</v>
      </c>
      <c r="AL589" s="12" t="s">
        <v>364</v>
      </c>
      <c r="AM589" s="12"/>
      <c r="AN589" s="12" t="s">
        <v>36</v>
      </c>
      <c r="AP589" s="7">
        <v>507790</v>
      </c>
      <c r="AR589" s="7">
        <v>396264</v>
      </c>
      <c r="AT589" s="7">
        <v>0</v>
      </c>
      <c r="AV589" s="7">
        <v>25826</v>
      </c>
      <c r="AX589" s="7">
        <v>1116050</v>
      </c>
      <c r="AZ589" s="7">
        <v>0</v>
      </c>
      <c r="BB589" s="8">
        <f t="shared" si="130"/>
        <v>26246668</v>
      </c>
      <c r="BD589" s="7">
        <v>0</v>
      </c>
      <c r="BJ589" s="7">
        <v>0</v>
      </c>
      <c r="BL589" s="8">
        <f t="shared" si="131"/>
        <v>26246668</v>
      </c>
      <c r="BN589" s="8">
        <f>'Gov Fd Rv'!AQ589-'Gov Fnd Exp'!BL589</f>
        <v>278568</v>
      </c>
      <c r="BP589" s="7">
        <v>10365992</v>
      </c>
      <c r="BR589" s="7">
        <v>0</v>
      </c>
      <c r="BT589" s="7">
        <v>0</v>
      </c>
      <c r="BV589" s="8">
        <f t="shared" si="132"/>
        <v>10644560</v>
      </c>
      <c r="BW589" s="8"/>
      <c r="BX589" s="8">
        <f>BV589-'Gov Fd BS'!AE589</f>
        <v>0</v>
      </c>
      <c r="BY589" s="8"/>
      <c r="CB589" s="101" t="str">
        <f t="shared" si="129"/>
        <v>West Holmes Local SD</v>
      </c>
      <c r="CC589" s="101" t="b">
        <f t="shared" si="123"/>
        <v>1</v>
      </c>
      <c r="CD589" s="101" t="str">
        <f>'Gov Fd Rv'!A589</f>
        <v>West Holmes Local SD</v>
      </c>
      <c r="CE589" s="8" t="b">
        <f t="shared" si="122"/>
        <v>1</v>
      </c>
      <c r="CG589" s="8" t="str">
        <f t="shared" si="124"/>
        <v>Holmes</v>
      </c>
      <c r="CH589" s="8" t="b">
        <f t="shared" si="125"/>
        <v>1</v>
      </c>
      <c r="CI589" s="8" t="b">
        <f>C589='Gov Fd Rv'!C589</f>
        <v>1</v>
      </c>
    </row>
    <row r="590" spans="1:87">
      <c r="A590" s="12" t="s">
        <v>235</v>
      </c>
      <c r="B590" s="12"/>
      <c r="C590" s="12" t="s">
        <v>232</v>
      </c>
      <c r="D590" s="12"/>
      <c r="E590" s="12">
        <v>46219</v>
      </c>
      <c r="G590" s="7">
        <v>5119828</v>
      </c>
      <c r="I590" s="7">
        <v>1951059</v>
      </c>
      <c r="K590" s="7">
        <v>181437</v>
      </c>
      <c r="M590" s="7">
        <v>0</v>
      </c>
      <c r="O590" s="7">
        <v>416153</v>
      </c>
      <c r="Q590" s="7">
        <v>825015</v>
      </c>
      <c r="S590" s="7">
        <v>636322</v>
      </c>
      <c r="U590" s="7">
        <v>40469</v>
      </c>
      <c r="W590" s="7">
        <v>831256</v>
      </c>
      <c r="Y590" s="7">
        <v>399469</v>
      </c>
      <c r="AA590" s="7">
        <v>0</v>
      </c>
      <c r="AC590" s="7">
        <v>1047908</v>
      </c>
      <c r="AE590" s="7">
        <v>745717</v>
      </c>
      <c r="AG590" s="7">
        <v>289089</v>
      </c>
      <c r="AI590" s="7">
        <v>498932</v>
      </c>
      <c r="AK590" s="7">
        <v>4550</v>
      </c>
      <c r="AL590" s="12" t="s">
        <v>235</v>
      </c>
      <c r="AM590" s="12"/>
      <c r="AN590" s="12" t="s">
        <v>232</v>
      </c>
      <c r="AP590" s="7">
        <v>573450</v>
      </c>
      <c r="AR590" s="7">
        <v>0</v>
      </c>
      <c r="AT590" s="7">
        <v>0</v>
      </c>
      <c r="AV590" s="7">
        <v>55038</v>
      </c>
      <c r="AX590" s="7">
        <v>3016</v>
      </c>
      <c r="AZ590" s="7">
        <v>0</v>
      </c>
      <c r="BB590" s="8">
        <f t="shared" si="130"/>
        <v>13618708</v>
      </c>
      <c r="BD590" s="7">
        <v>3053</v>
      </c>
      <c r="BJ590" s="7">
        <v>0</v>
      </c>
      <c r="BL590" s="8">
        <f t="shared" si="131"/>
        <v>13621761</v>
      </c>
      <c r="BN590" s="8">
        <f>'Gov Fd Rv'!AQ590-'Gov Fnd Exp'!BL590</f>
        <v>27087</v>
      </c>
      <c r="BP590" s="7">
        <v>2148597</v>
      </c>
      <c r="BR590" s="7">
        <v>0</v>
      </c>
      <c r="BT590" s="7">
        <v>0</v>
      </c>
      <c r="BV590" s="8">
        <f t="shared" si="132"/>
        <v>2175684</v>
      </c>
      <c r="BW590" s="8"/>
      <c r="BX590" s="8">
        <f>BV590-'Gov Fd BS'!AE590</f>
        <v>0</v>
      </c>
      <c r="BY590" s="8"/>
      <c r="CB590" s="101" t="str">
        <f t="shared" si="129"/>
        <v>West Liberty-Salem Local SD</v>
      </c>
      <c r="CC590" s="101" t="b">
        <f t="shared" si="123"/>
        <v>1</v>
      </c>
      <c r="CD590" s="101" t="str">
        <f>'Gov Fd Rv'!A590</f>
        <v>West Liberty-Salem Local SD</v>
      </c>
      <c r="CE590" s="8" t="b">
        <f t="shared" si="122"/>
        <v>1</v>
      </c>
      <c r="CG590" s="8" t="str">
        <f t="shared" si="124"/>
        <v>Champaign</v>
      </c>
      <c r="CH590" s="8" t="b">
        <f t="shared" si="125"/>
        <v>1</v>
      </c>
      <c r="CI590" s="8" t="b">
        <f>C590='Gov Fd Rv'!C590</f>
        <v>1</v>
      </c>
    </row>
    <row r="591" spans="1:87">
      <c r="A591" s="12" t="s">
        <v>460</v>
      </c>
      <c r="B591" s="12"/>
      <c r="C591" s="12" t="s">
        <v>51</v>
      </c>
      <c r="D591" s="12"/>
      <c r="E591" s="12">
        <v>48884</v>
      </c>
      <c r="G591" s="7">
        <v>7334722</v>
      </c>
      <c r="I591" s="7">
        <v>2594450</v>
      </c>
      <c r="K591" s="7">
        <v>120604</v>
      </c>
      <c r="M591" s="7">
        <v>94553</v>
      </c>
      <c r="O591" s="7">
        <v>0</v>
      </c>
      <c r="Q591" s="7">
        <v>427481</v>
      </c>
      <c r="S591" s="7">
        <v>926680</v>
      </c>
      <c r="U591" s="7">
        <v>14609</v>
      </c>
      <c r="W591" s="7">
        <v>1219386</v>
      </c>
      <c r="Y591" s="7">
        <v>388647</v>
      </c>
      <c r="AA591" s="7">
        <v>0</v>
      </c>
      <c r="AC591" s="7">
        <v>1434713</v>
      </c>
      <c r="AE591" s="7">
        <v>985880</v>
      </c>
      <c r="AG591" s="7">
        <v>80890</v>
      </c>
      <c r="AI591" s="7">
        <v>637748</v>
      </c>
      <c r="AK591" s="7">
        <v>13162</v>
      </c>
      <c r="AL591" s="12" t="s">
        <v>460</v>
      </c>
      <c r="AM591" s="12"/>
      <c r="AN591" s="12" t="s">
        <v>51</v>
      </c>
      <c r="AP591" s="7">
        <v>184227</v>
      </c>
      <c r="AR591" s="7">
        <v>4800</v>
      </c>
      <c r="AT591" s="7">
        <v>11046</v>
      </c>
      <c r="AV591" s="7">
        <v>461350</v>
      </c>
      <c r="AX591" s="7">
        <v>1048885</v>
      </c>
      <c r="AZ591" s="7">
        <v>0</v>
      </c>
      <c r="BB591" s="8">
        <f t="shared" si="130"/>
        <v>17983833</v>
      </c>
      <c r="BD591" s="7">
        <v>35000</v>
      </c>
      <c r="BJ591" s="7">
        <v>0</v>
      </c>
      <c r="BL591" s="8">
        <f t="shared" si="131"/>
        <v>18018833</v>
      </c>
      <c r="BN591" s="8">
        <f>'Gov Fd Rv'!AQ591-'Gov Fnd Exp'!BL591</f>
        <v>1109668</v>
      </c>
      <c r="BP591" s="7">
        <v>3514956</v>
      </c>
      <c r="BR591" s="7">
        <v>0</v>
      </c>
      <c r="BT591" s="7">
        <v>0</v>
      </c>
      <c r="BV591" s="8">
        <f t="shared" si="132"/>
        <v>4624624</v>
      </c>
      <c r="BW591" s="8"/>
      <c r="BX591" s="8">
        <f>BV591-'Gov Fd BS'!AE591</f>
        <v>0</v>
      </c>
      <c r="BY591" s="8"/>
      <c r="CB591" s="101" t="str">
        <f t="shared" si="129"/>
        <v>West Muskingum Local SD</v>
      </c>
      <c r="CC591" s="101" t="b">
        <f t="shared" si="123"/>
        <v>1</v>
      </c>
      <c r="CD591" s="101" t="str">
        <f>'Gov Fd Rv'!A591</f>
        <v>West Muskingum Local SD</v>
      </c>
      <c r="CE591" s="8" t="b">
        <f t="shared" ref="CE591:CE618" si="137">CB591=CD591</f>
        <v>1</v>
      </c>
      <c r="CG591" s="8" t="str">
        <f t="shared" si="124"/>
        <v>Muskingum</v>
      </c>
      <c r="CH591" s="8" t="b">
        <f t="shared" si="125"/>
        <v>1</v>
      </c>
      <c r="CI591" s="8" t="b">
        <f>C591='Gov Fd Rv'!C591</f>
        <v>1</v>
      </c>
    </row>
    <row r="592" spans="1:87">
      <c r="A592" s="12" t="s">
        <v>222</v>
      </c>
      <c r="B592" s="12"/>
      <c r="C592" s="12" t="s">
        <v>77</v>
      </c>
      <c r="D592" s="12"/>
      <c r="E592" s="12">
        <v>46060</v>
      </c>
      <c r="G592" s="7">
        <v>14639886</v>
      </c>
      <c r="I592" s="7">
        <v>4044393</v>
      </c>
      <c r="K592" s="7">
        <v>273355</v>
      </c>
      <c r="M592" s="7">
        <v>930</v>
      </c>
      <c r="O592" s="7">
        <v>0</v>
      </c>
      <c r="Q592" s="7">
        <v>612813</v>
      </c>
      <c r="S592" s="7">
        <v>1477877</v>
      </c>
      <c r="U592" s="7">
        <v>25568</v>
      </c>
      <c r="W592" s="7">
        <v>1955852</v>
      </c>
      <c r="Y592" s="7">
        <v>564727</v>
      </c>
      <c r="AA592" s="7">
        <v>0</v>
      </c>
      <c r="AC592" s="7">
        <v>3042340</v>
      </c>
      <c r="AE592" s="7">
        <v>2127937</v>
      </c>
      <c r="AG592" s="7">
        <v>317809</v>
      </c>
      <c r="AI592" s="7">
        <v>0</v>
      </c>
      <c r="AK592" s="7">
        <v>11155</v>
      </c>
      <c r="AL592" s="12" t="s">
        <v>222</v>
      </c>
      <c r="AM592" s="12"/>
      <c r="AN592" s="12" t="s">
        <v>77</v>
      </c>
      <c r="AP592" s="7">
        <v>763964</v>
      </c>
      <c r="AR592" s="7">
        <v>406140</v>
      </c>
      <c r="AT592" s="7">
        <v>0</v>
      </c>
      <c r="AV592" s="7">
        <v>391000</v>
      </c>
      <c r="AX592" s="7">
        <f>199469+65745</f>
        <v>265214</v>
      </c>
      <c r="AZ592" s="7">
        <v>0</v>
      </c>
      <c r="BB592" s="8">
        <f t="shared" si="130"/>
        <v>30920960</v>
      </c>
      <c r="BD592" s="7">
        <v>740853</v>
      </c>
      <c r="BJ592" s="7">
        <v>3140610</v>
      </c>
      <c r="BL592" s="8">
        <f t="shared" si="131"/>
        <v>34802423</v>
      </c>
      <c r="BN592" s="8">
        <f>'Gov Fd Rv'!AQ592-'Gov Fnd Exp'!BL592</f>
        <v>106320</v>
      </c>
      <c r="BP592" s="7">
        <v>4330620</v>
      </c>
      <c r="BR592" s="7">
        <v>0</v>
      </c>
      <c r="BT592" s="7">
        <v>0</v>
      </c>
      <c r="BV592" s="8">
        <f t="shared" si="132"/>
        <v>4436940</v>
      </c>
      <c r="BW592" s="8"/>
      <c r="BX592" s="8">
        <f>BV592-'Gov Fd BS'!AE592</f>
        <v>0</v>
      </c>
      <c r="BY592" s="8"/>
      <c r="CB592" s="101" t="str">
        <f t="shared" si="129"/>
        <v>Western Brown Local SD</v>
      </c>
      <c r="CC592" s="101" t="b">
        <f t="shared" ref="CC592:CC618" si="138">A592=AL592</f>
        <v>1</v>
      </c>
      <c r="CD592" s="101" t="str">
        <f>'Gov Fd Rv'!A592</f>
        <v>Western Brown Local SD</v>
      </c>
      <c r="CE592" s="8" t="b">
        <f t="shared" si="137"/>
        <v>1</v>
      </c>
      <c r="CG592" s="8" t="str">
        <f t="shared" ref="CG592:CG618" si="139">C592</f>
        <v>Brown</v>
      </c>
      <c r="CH592" s="8" t="b">
        <f t="shared" ref="CH592:CH618" si="140">C592=AN592</f>
        <v>1</v>
      </c>
      <c r="CI592" s="8" t="b">
        <f>C592='Gov Fd Rv'!C592</f>
        <v>1</v>
      </c>
    </row>
    <row r="593" spans="1:87">
      <c r="A593" s="12" t="s">
        <v>473</v>
      </c>
      <c r="B593" s="12"/>
      <c r="C593" s="12" t="s">
        <v>55</v>
      </c>
      <c r="D593" s="12"/>
      <c r="E593" s="12">
        <v>49155</v>
      </c>
      <c r="G593" s="7">
        <v>3233112</v>
      </c>
      <c r="I593" s="7">
        <v>1574536</v>
      </c>
      <c r="K593" s="7">
        <v>0</v>
      </c>
      <c r="M593" s="7">
        <v>0</v>
      </c>
      <c r="O593" s="7">
        <v>725615</v>
      </c>
      <c r="Q593" s="7">
        <v>480367</v>
      </c>
      <c r="S593" s="7">
        <v>486301</v>
      </c>
      <c r="U593" s="7">
        <v>17031</v>
      </c>
      <c r="W593" s="7">
        <v>857334</v>
      </c>
      <c r="Y593" s="7">
        <v>312998</v>
      </c>
      <c r="AA593" s="7">
        <v>0</v>
      </c>
      <c r="AC593" s="7">
        <v>1041639</v>
      </c>
      <c r="AE593" s="7">
        <v>783295</v>
      </c>
      <c r="AG593" s="7">
        <v>110062</v>
      </c>
      <c r="AI593" s="7">
        <v>0</v>
      </c>
      <c r="AK593" s="7">
        <v>384707</v>
      </c>
      <c r="AL593" s="12" t="s">
        <v>473</v>
      </c>
      <c r="AM593" s="12"/>
      <c r="AN593" s="12" t="s">
        <v>55</v>
      </c>
      <c r="AP593" s="7">
        <v>172723</v>
      </c>
      <c r="AR593" s="7">
        <v>57618</v>
      </c>
      <c r="AT593" s="7">
        <v>52487</v>
      </c>
      <c r="AV593" s="7">
        <v>78913</v>
      </c>
      <c r="AX593" s="7">
        <v>43425</v>
      </c>
      <c r="AZ593" s="7">
        <v>0</v>
      </c>
      <c r="BB593" s="8">
        <f t="shared" si="130"/>
        <v>10412163</v>
      </c>
      <c r="BD593" s="7">
        <v>126911</v>
      </c>
      <c r="BJ593" s="7">
        <v>0</v>
      </c>
      <c r="BL593" s="8">
        <f t="shared" si="131"/>
        <v>10539074</v>
      </c>
      <c r="BN593" s="8">
        <f>'Gov Fd Rv'!AQ593-'Gov Fnd Exp'!BL593</f>
        <v>-969023</v>
      </c>
      <c r="BP593" s="7">
        <v>5063808</v>
      </c>
      <c r="BR593" s="7">
        <v>0</v>
      </c>
      <c r="BT593" s="7">
        <v>0</v>
      </c>
      <c r="BV593" s="8">
        <f t="shared" si="132"/>
        <v>4094785</v>
      </c>
      <c r="BW593" s="8"/>
      <c r="BX593" s="8">
        <f>BV593-'Gov Fd BS'!AE593</f>
        <v>0</v>
      </c>
      <c r="BY593" s="8"/>
      <c r="CB593" s="101" t="str">
        <f t="shared" si="129"/>
        <v>Western Local SD</v>
      </c>
      <c r="CC593" s="101" t="b">
        <f t="shared" si="138"/>
        <v>1</v>
      </c>
      <c r="CD593" s="101" t="str">
        <f>'Gov Fd Rv'!A593</f>
        <v>Western Local SD</v>
      </c>
      <c r="CE593" s="8" t="b">
        <f t="shared" si="137"/>
        <v>1</v>
      </c>
      <c r="CG593" s="8" t="str">
        <f t="shared" si="139"/>
        <v>Pike</v>
      </c>
      <c r="CH593" s="8" t="b">
        <f t="shared" si="140"/>
        <v>1</v>
      </c>
      <c r="CI593" s="8" t="b">
        <f>C593='Gov Fd Rv'!C593</f>
        <v>1</v>
      </c>
    </row>
    <row r="594" spans="1:87" ht="12" customHeight="1">
      <c r="A594" s="12" t="s">
        <v>369</v>
      </c>
      <c r="B594" s="12"/>
      <c r="C594" s="12" t="s">
        <v>37</v>
      </c>
      <c r="D594" s="12"/>
      <c r="E594" s="12">
        <v>47746</v>
      </c>
      <c r="G594" s="7">
        <v>5529390</v>
      </c>
      <c r="I594" s="7">
        <v>1612688</v>
      </c>
      <c r="K594" s="7">
        <v>167799</v>
      </c>
      <c r="M594" s="7">
        <v>0</v>
      </c>
      <c r="O594" s="7">
        <v>267914</v>
      </c>
      <c r="Q594" s="7">
        <v>229223</v>
      </c>
      <c r="S594" s="7">
        <v>691625</v>
      </c>
      <c r="U594" s="7">
        <v>143557</v>
      </c>
      <c r="W594" s="7">
        <v>868289</v>
      </c>
      <c r="Y594" s="7">
        <v>462886</v>
      </c>
      <c r="AA594" s="7">
        <v>32710</v>
      </c>
      <c r="AC594" s="7">
        <v>981034</v>
      </c>
      <c r="AE594" s="7">
        <v>710518</v>
      </c>
      <c r="AG594" s="7">
        <v>26462</v>
      </c>
      <c r="AI594" s="7">
        <v>428749</v>
      </c>
      <c r="AK594" s="7">
        <v>302721</v>
      </c>
      <c r="AL594" s="12" t="s">
        <v>369</v>
      </c>
      <c r="AM594" s="12"/>
      <c r="AN594" s="12" t="s">
        <v>37</v>
      </c>
      <c r="AP594" s="7">
        <v>477512</v>
      </c>
      <c r="AR594" s="7">
        <v>5462</v>
      </c>
      <c r="AT594" s="7">
        <v>0</v>
      </c>
      <c r="AV594" s="7">
        <v>201935</v>
      </c>
      <c r="AX594" s="7">
        <f>48389+79519</f>
        <v>127908</v>
      </c>
      <c r="AZ594" s="7">
        <v>0</v>
      </c>
      <c r="BB594" s="8">
        <f t="shared" si="130"/>
        <v>13268382</v>
      </c>
      <c r="BD594" s="7">
        <v>0</v>
      </c>
      <c r="BJ594" s="7">
        <v>2699146</v>
      </c>
      <c r="BL594" s="8">
        <f t="shared" si="131"/>
        <v>15967528</v>
      </c>
      <c r="BN594" s="8">
        <f>'Gov Fd Rv'!AQ594-'Gov Fnd Exp'!BL594</f>
        <v>603196</v>
      </c>
      <c r="BP594" s="7">
        <v>1413345</v>
      </c>
      <c r="BR594" s="7">
        <v>0</v>
      </c>
      <c r="BT594" s="7">
        <v>0</v>
      </c>
      <c r="BV594" s="8">
        <f t="shared" si="132"/>
        <v>2016541</v>
      </c>
      <c r="BW594" s="8"/>
      <c r="BX594" s="8">
        <f>BV594-'Gov Fd BS'!AE594</f>
        <v>0</v>
      </c>
      <c r="BY594" s="8"/>
      <c r="CB594" s="101" t="str">
        <f t="shared" si="129"/>
        <v>Western Reserve Local SD</v>
      </c>
      <c r="CC594" s="101" t="b">
        <f t="shared" si="138"/>
        <v>1</v>
      </c>
      <c r="CD594" s="101" t="str">
        <f>'Gov Fd Rv'!A594</f>
        <v>Western Reserve Local SD</v>
      </c>
      <c r="CE594" s="8" t="b">
        <f t="shared" si="137"/>
        <v>1</v>
      </c>
      <c r="CG594" s="8" t="str">
        <f t="shared" si="139"/>
        <v>Huron</v>
      </c>
      <c r="CH594" s="8" t="b">
        <f t="shared" si="140"/>
        <v>1</v>
      </c>
      <c r="CI594" s="8" t="b">
        <f>C594='Gov Fd Rv'!C594</f>
        <v>1</v>
      </c>
    </row>
    <row r="595" spans="1:87">
      <c r="A595" s="12" t="s">
        <v>369</v>
      </c>
      <c r="B595" s="12"/>
      <c r="C595" s="12" t="s">
        <v>45</v>
      </c>
      <c r="D595" s="12"/>
      <c r="E595" s="12">
        <v>48397</v>
      </c>
      <c r="G595" s="7">
        <v>3136645</v>
      </c>
      <c r="I595" s="7">
        <v>875315</v>
      </c>
      <c r="K595" s="7">
        <v>117094</v>
      </c>
      <c r="M595" s="7">
        <v>11389</v>
      </c>
      <c r="O595" s="7">
        <v>2508</v>
      </c>
      <c r="Q595" s="7">
        <v>362007</v>
      </c>
      <c r="S595" s="7">
        <v>308867</v>
      </c>
      <c r="U595" s="7">
        <v>23266</v>
      </c>
      <c r="W595" s="7">
        <v>695097</v>
      </c>
      <c r="Y595" s="7">
        <v>304990</v>
      </c>
      <c r="AA595" s="7">
        <v>25054</v>
      </c>
      <c r="AC595" s="7">
        <v>461337</v>
      </c>
      <c r="AE595" s="7">
        <v>418793</v>
      </c>
      <c r="AG595" s="7">
        <v>18204</v>
      </c>
      <c r="AI595" s="7">
        <v>237881</v>
      </c>
      <c r="AK595" s="7">
        <v>1641</v>
      </c>
      <c r="AL595" s="12" t="s">
        <v>369</v>
      </c>
      <c r="AM595" s="12"/>
      <c r="AN595" s="12" t="s">
        <v>45</v>
      </c>
      <c r="AP595" s="7">
        <v>406695</v>
      </c>
      <c r="AR595" s="7">
        <v>12810949</v>
      </c>
      <c r="AT595" s="7">
        <v>0</v>
      </c>
      <c r="AV595" s="7">
        <v>190000</v>
      </c>
      <c r="AX595" s="7">
        <v>453100</v>
      </c>
      <c r="AZ595" s="7">
        <v>0</v>
      </c>
      <c r="BB595" s="8">
        <f t="shared" si="130"/>
        <v>20860832</v>
      </c>
      <c r="BD595" s="7">
        <v>67752</v>
      </c>
      <c r="BJ595" s="7">
        <v>0</v>
      </c>
      <c r="BL595" s="8">
        <f t="shared" si="131"/>
        <v>20928584</v>
      </c>
      <c r="BN595" s="8">
        <f>'Gov Fd Rv'!AQ595-'Gov Fnd Exp'!BL595</f>
        <v>-9977674</v>
      </c>
      <c r="BP595" s="7">
        <v>17131060</v>
      </c>
      <c r="BR595" s="7">
        <v>0</v>
      </c>
      <c r="BT595" s="7">
        <v>0</v>
      </c>
      <c r="BV595" s="8">
        <f t="shared" si="132"/>
        <v>7153386</v>
      </c>
      <c r="BW595" s="8"/>
      <c r="BX595" s="8">
        <f>BV595-'Gov Fd BS'!AE595</f>
        <v>0</v>
      </c>
      <c r="BY595" s="8"/>
      <c r="CB595" s="101" t="str">
        <f t="shared" si="129"/>
        <v>Western Reserve Local SD</v>
      </c>
      <c r="CC595" s="101" t="b">
        <f t="shared" si="138"/>
        <v>1</v>
      </c>
      <c r="CD595" s="101" t="str">
        <f>'Gov Fd Rv'!A595</f>
        <v>Western Reserve Local SD</v>
      </c>
      <c r="CE595" s="8" t="b">
        <f t="shared" si="137"/>
        <v>1</v>
      </c>
      <c r="CG595" s="8" t="str">
        <f t="shared" si="139"/>
        <v>Mahoning</v>
      </c>
      <c r="CH595" s="8" t="b">
        <f t="shared" si="140"/>
        <v>1</v>
      </c>
      <c r="CI595" s="8" t="b">
        <f>C595='Gov Fd Rv'!C595</f>
        <v>1</v>
      </c>
    </row>
    <row r="596" spans="1:87">
      <c r="A596" s="12" t="s">
        <v>315</v>
      </c>
      <c r="B596" s="12"/>
      <c r="C596" s="12" t="s">
        <v>27</v>
      </c>
      <c r="D596" s="12"/>
      <c r="E596" s="12">
        <v>45047</v>
      </c>
      <c r="G596" s="7">
        <v>66458161</v>
      </c>
      <c r="I596" s="7">
        <v>22876833</v>
      </c>
      <c r="K596" s="7">
        <v>888488</v>
      </c>
      <c r="M596" s="7">
        <v>0</v>
      </c>
      <c r="O596" s="7">
        <v>4807010</v>
      </c>
      <c r="Q596" s="7">
        <v>12869176</v>
      </c>
      <c r="S596" s="7">
        <v>6349461</v>
      </c>
      <c r="U596" s="7">
        <v>1728431</v>
      </c>
      <c r="W596" s="7">
        <v>11323936</v>
      </c>
      <c r="Y596" s="7">
        <v>2793321</v>
      </c>
      <c r="AA596" s="7">
        <v>1174471</v>
      </c>
      <c r="AC596" s="7">
        <v>15635931</v>
      </c>
      <c r="AE596" s="7">
        <v>8331020</v>
      </c>
      <c r="AG596" s="7">
        <v>2384339</v>
      </c>
      <c r="AI596" s="7">
        <v>4455617</v>
      </c>
      <c r="AK596" s="7">
        <v>1055554</v>
      </c>
      <c r="AL596" s="12" t="s">
        <v>315</v>
      </c>
      <c r="AM596" s="12"/>
      <c r="AN596" s="12" t="s">
        <v>27</v>
      </c>
      <c r="AP596" s="7">
        <v>3194118</v>
      </c>
      <c r="AR596" s="7">
        <v>20716089</v>
      </c>
      <c r="AT596" s="7">
        <v>0</v>
      </c>
      <c r="AV596" s="7">
        <v>7660000</v>
      </c>
      <c r="AX596" s="7">
        <v>5178619</v>
      </c>
      <c r="AZ596" s="7">
        <v>0</v>
      </c>
      <c r="BB596" s="8">
        <f t="shared" si="130"/>
        <v>199880575</v>
      </c>
      <c r="BD596" s="7">
        <v>467959</v>
      </c>
      <c r="BJ596" s="7">
        <v>0</v>
      </c>
      <c r="BL596" s="8">
        <f t="shared" si="131"/>
        <v>200348534</v>
      </c>
      <c r="BN596" s="8">
        <f>'Gov Fd Rv'!AQ596-'Gov Fnd Exp'!BL596</f>
        <v>-15595620</v>
      </c>
      <c r="BP596" s="7">
        <v>62090482</v>
      </c>
      <c r="BR596" s="7">
        <v>0</v>
      </c>
      <c r="BT596" s="7">
        <v>0</v>
      </c>
      <c r="BV596" s="8">
        <f t="shared" si="132"/>
        <v>46494862</v>
      </c>
      <c r="BW596" s="8"/>
      <c r="BX596" s="8">
        <f>BV596-'Gov Fd BS'!AE596</f>
        <v>0</v>
      </c>
      <c r="BY596" s="8"/>
      <c r="CB596" s="101" t="str">
        <f t="shared" ref="CB596:CB618" si="141">A596</f>
        <v>Westerville City SD</v>
      </c>
      <c r="CC596" s="101" t="b">
        <f t="shared" si="138"/>
        <v>1</v>
      </c>
      <c r="CD596" s="101" t="str">
        <f>'Gov Fd Rv'!A596</f>
        <v>Westerville City SD</v>
      </c>
      <c r="CE596" s="8" t="b">
        <f t="shared" si="137"/>
        <v>1</v>
      </c>
      <c r="CG596" s="8" t="str">
        <f t="shared" si="139"/>
        <v>Franklin</v>
      </c>
      <c r="CH596" s="8" t="b">
        <f t="shared" si="140"/>
        <v>1</v>
      </c>
      <c r="CI596" s="8" t="b">
        <f>C596='Gov Fd Rv'!C596</f>
        <v>1</v>
      </c>
    </row>
    <row r="597" spans="1:87">
      <c r="A597" s="12" t="s">
        <v>470</v>
      </c>
      <c r="B597" s="12"/>
      <c r="C597" s="12" t="s">
        <v>54</v>
      </c>
      <c r="D597" s="12"/>
      <c r="E597" s="12">
        <v>49106</v>
      </c>
      <c r="G597" s="7">
        <v>6579418</v>
      </c>
      <c r="I597" s="7">
        <v>1693915</v>
      </c>
      <c r="K597" s="7">
        <v>0</v>
      </c>
      <c r="M597" s="7">
        <v>0</v>
      </c>
      <c r="O597" s="7">
        <v>5186</v>
      </c>
      <c r="Q597" s="7">
        <v>543776</v>
      </c>
      <c r="S597" s="7">
        <v>532698</v>
      </c>
      <c r="U597" s="7">
        <v>164915</v>
      </c>
      <c r="W597" s="7">
        <v>1392282</v>
      </c>
      <c r="Y597" s="7">
        <v>371611</v>
      </c>
      <c r="AA597" s="7">
        <v>50247</v>
      </c>
      <c r="AC597" s="7">
        <v>915620</v>
      </c>
      <c r="AE597" s="7">
        <v>1099746</v>
      </c>
      <c r="AG597" s="7">
        <v>293774</v>
      </c>
      <c r="AI597" s="7">
        <v>0</v>
      </c>
      <c r="AK597" s="7">
        <v>491110</v>
      </c>
      <c r="AL597" s="12" t="s">
        <v>470</v>
      </c>
      <c r="AM597" s="12"/>
      <c r="AN597" s="12" t="s">
        <v>54</v>
      </c>
      <c r="AP597" s="7">
        <v>392626</v>
      </c>
      <c r="AR597" s="7">
        <v>124586</v>
      </c>
      <c r="AT597" s="7">
        <v>0</v>
      </c>
      <c r="AV597" s="7">
        <v>359000</v>
      </c>
      <c r="AX597" s="7">
        <v>197856</v>
      </c>
      <c r="AZ597" s="7">
        <v>0</v>
      </c>
      <c r="BB597" s="8">
        <f t="shared" si="130"/>
        <v>15208366</v>
      </c>
      <c r="BD597" s="7">
        <v>82447</v>
      </c>
      <c r="BJ597" s="7">
        <v>0</v>
      </c>
      <c r="BL597" s="8">
        <f t="shared" si="131"/>
        <v>15290813</v>
      </c>
      <c r="BN597" s="8">
        <f>'Gov Fd Rv'!AQ597-'Gov Fnd Exp'!BL597</f>
        <v>3232326</v>
      </c>
      <c r="BP597" s="7">
        <v>3833142</v>
      </c>
      <c r="BR597" s="7">
        <v>0</v>
      </c>
      <c r="BT597" s="7">
        <v>0</v>
      </c>
      <c r="BV597" s="8">
        <f t="shared" si="132"/>
        <v>7065468</v>
      </c>
      <c r="BW597" s="8"/>
      <c r="BX597" s="8">
        <f>BV597-'Gov Fd BS'!AE597</f>
        <v>0</v>
      </c>
      <c r="BY597" s="8"/>
      <c r="CB597" s="101" t="str">
        <f t="shared" si="141"/>
        <v>Westfall Local SD</v>
      </c>
      <c r="CC597" s="101" t="b">
        <f t="shared" si="138"/>
        <v>1</v>
      </c>
      <c r="CD597" s="101" t="str">
        <f>'Gov Fd Rv'!A597</f>
        <v>Westfall Local SD</v>
      </c>
      <c r="CE597" s="8" t="b">
        <f t="shared" si="137"/>
        <v>1</v>
      </c>
      <c r="CG597" s="8" t="str">
        <f t="shared" si="139"/>
        <v>Pickaway</v>
      </c>
      <c r="CH597" s="8" t="b">
        <f t="shared" si="140"/>
        <v>1</v>
      </c>
      <c r="CI597" s="8" t="b">
        <f>C597='Gov Fd Rv'!C597</f>
        <v>1</v>
      </c>
    </row>
    <row r="598" spans="1:87">
      <c r="A598" s="12" t="s">
        <v>287</v>
      </c>
      <c r="B598" s="12"/>
      <c r="C598" s="12" t="s">
        <v>20</v>
      </c>
      <c r="D598" s="12"/>
      <c r="E598" s="12">
        <v>45062</v>
      </c>
      <c r="G598" s="7">
        <v>22340830</v>
      </c>
      <c r="I598" s="7">
        <v>5270067</v>
      </c>
      <c r="K598" s="7">
        <v>258978</v>
      </c>
      <c r="M598" s="7">
        <v>86987</v>
      </c>
      <c r="O598" s="7">
        <v>1579574</v>
      </c>
      <c r="Q598" s="7">
        <v>3630520</v>
      </c>
      <c r="S598" s="7">
        <v>3569005</v>
      </c>
      <c r="U598" s="7">
        <v>31539</v>
      </c>
      <c r="W598" s="7">
        <v>2960532</v>
      </c>
      <c r="Y598" s="7">
        <v>1226200</v>
      </c>
      <c r="AA598" s="7">
        <v>383740</v>
      </c>
      <c r="AC598" s="7">
        <v>4720517</v>
      </c>
      <c r="AE598" s="7">
        <v>4691657</v>
      </c>
      <c r="AG598" s="7">
        <v>147655</v>
      </c>
      <c r="AI598" s="7">
        <v>1230889</v>
      </c>
      <c r="AK598" s="7">
        <v>734860</v>
      </c>
      <c r="AL598" s="12" t="s">
        <v>287</v>
      </c>
      <c r="AM598" s="12"/>
      <c r="AN598" s="12" t="s">
        <v>20</v>
      </c>
      <c r="AP598" s="7">
        <v>1576940</v>
      </c>
      <c r="AR598" s="7">
        <v>2979138</v>
      </c>
      <c r="AT598" s="7">
        <v>0</v>
      </c>
      <c r="AV598" s="7">
        <v>2103859</v>
      </c>
      <c r="AX598" s="7">
        <f>4209828+714366</f>
        <v>4924194</v>
      </c>
      <c r="AZ598" s="7">
        <v>0</v>
      </c>
      <c r="BB598" s="8">
        <f t="shared" si="130"/>
        <v>64447681</v>
      </c>
      <c r="BD598" s="7">
        <v>10000</v>
      </c>
      <c r="BJ598" s="7">
        <v>0</v>
      </c>
      <c r="BL598" s="8">
        <f t="shared" si="131"/>
        <v>64457681</v>
      </c>
      <c r="BN598" s="8">
        <f>'Gov Fd Rv'!AQ598-'Gov Fnd Exp'!BL598</f>
        <v>84734144</v>
      </c>
      <c r="BP598" s="7">
        <v>25522850</v>
      </c>
      <c r="BR598" s="7">
        <v>0</v>
      </c>
      <c r="BT598" s="7">
        <v>0</v>
      </c>
      <c r="BV598" s="8">
        <f t="shared" si="132"/>
        <v>110256994</v>
      </c>
      <c r="BW598" s="8"/>
      <c r="BX598" s="8">
        <f>BV598-'Gov Fd BS'!AE598</f>
        <v>0</v>
      </c>
      <c r="BY598" s="8"/>
      <c r="CB598" s="101" t="str">
        <f t="shared" si="141"/>
        <v>Westlake City SD</v>
      </c>
      <c r="CC598" s="101" t="b">
        <f t="shared" si="138"/>
        <v>1</v>
      </c>
      <c r="CD598" s="101" t="str">
        <f>'Gov Fd Rv'!A598</f>
        <v>Westlake City SD</v>
      </c>
      <c r="CE598" s="8" t="b">
        <f t="shared" si="137"/>
        <v>1</v>
      </c>
      <c r="CG598" s="8" t="str">
        <f t="shared" si="139"/>
        <v>Cuyahoga</v>
      </c>
      <c r="CH598" s="8" t="b">
        <f t="shared" si="140"/>
        <v>1</v>
      </c>
      <c r="CI598" s="8" t="b">
        <f>C598='Gov Fd Rv'!C598</f>
        <v>1</v>
      </c>
    </row>
    <row r="599" spans="1:87">
      <c r="A599" s="12" t="s">
        <v>501</v>
      </c>
      <c r="B599" s="12"/>
      <c r="C599" s="12" t="s">
        <v>59</v>
      </c>
      <c r="D599" s="12"/>
      <c r="E599" s="12">
        <v>49668</v>
      </c>
      <c r="G599" s="7">
        <v>7170630</v>
      </c>
      <c r="I599" s="7">
        <v>1297110</v>
      </c>
      <c r="K599" s="7">
        <v>5525</v>
      </c>
      <c r="M599" s="7">
        <v>0</v>
      </c>
      <c r="O599" s="7">
        <v>19204</v>
      </c>
      <c r="Q599" s="7">
        <v>766488</v>
      </c>
      <c r="S599" s="7">
        <v>754817</v>
      </c>
      <c r="U599" s="7">
        <v>87536</v>
      </c>
      <c r="W599" s="7">
        <v>1033948</v>
      </c>
      <c r="Y599" s="7">
        <v>346771</v>
      </c>
      <c r="AA599" s="7">
        <v>0</v>
      </c>
      <c r="AC599" s="7">
        <v>1311628</v>
      </c>
      <c r="AE599" s="7">
        <v>475814</v>
      </c>
      <c r="AG599" s="7">
        <v>117436</v>
      </c>
      <c r="AI599" s="7">
        <v>562766</v>
      </c>
      <c r="AK599" s="7">
        <v>151644</v>
      </c>
      <c r="AL599" s="12" t="s">
        <v>501</v>
      </c>
      <c r="AM599" s="12"/>
      <c r="AN599" s="12" t="s">
        <v>59</v>
      </c>
      <c r="AP599" s="7">
        <v>579421</v>
      </c>
      <c r="AR599" s="7">
        <v>319488</v>
      </c>
      <c r="AT599" s="7">
        <v>0</v>
      </c>
      <c r="AV599" s="7">
        <v>295667</v>
      </c>
      <c r="AX599" s="7">
        <v>430611</v>
      </c>
      <c r="AZ599" s="7">
        <v>0</v>
      </c>
      <c r="BB599" s="8">
        <f t="shared" si="130"/>
        <v>15726504</v>
      </c>
      <c r="BD599" s="7">
        <v>0</v>
      </c>
      <c r="BJ599" s="7">
        <v>0</v>
      </c>
      <c r="BL599" s="8">
        <f t="shared" si="131"/>
        <v>15726504</v>
      </c>
      <c r="BN599" s="8">
        <f>'Gov Fd Rv'!AQ599-'Gov Fnd Exp'!BL599</f>
        <v>156074</v>
      </c>
      <c r="BP599" s="7">
        <v>3508214</v>
      </c>
      <c r="BR599" s="7">
        <v>0</v>
      </c>
      <c r="BT599" s="7">
        <v>0</v>
      </c>
      <c r="BV599" s="8">
        <f t="shared" si="132"/>
        <v>3664288</v>
      </c>
      <c r="BW599" s="8"/>
      <c r="BX599" s="8">
        <f>BV599-'Gov Fd BS'!AE599</f>
        <v>0</v>
      </c>
      <c r="BY599" s="8"/>
      <c r="CB599" s="101" t="str">
        <f t="shared" si="141"/>
        <v>Wheelersburg Local SD</v>
      </c>
      <c r="CC599" s="101" t="b">
        <f t="shared" si="138"/>
        <v>1</v>
      </c>
      <c r="CD599" s="101" t="str">
        <f>'Gov Fd Rv'!A599</f>
        <v>Wheelersburg Local SD</v>
      </c>
      <c r="CE599" s="8" t="b">
        <f t="shared" si="137"/>
        <v>1</v>
      </c>
      <c r="CG599" s="8" t="str">
        <f t="shared" si="139"/>
        <v>Scioto</v>
      </c>
      <c r="CH599" s="8" t="b">
        <f t="shared" si="140"/>
        <v>1</v>
      </c>
      <c r="CI599" s="8" t="b">
        <f>C599='Gov Fd Rv'!C599</f>
        <v>1</v>
      </c>
    </row>
    <row r="600" spans="1:87">
      <c r="A600" s="12" t="s">
        <v>316</v>
      </c>
      <c r="B600" s="12"/>
      <c r="C600" s="12" t="s">
        <v>27</v>
      </c>
      <c r="D600" s="12"/>
      <c r="E600" s="12">
        <v>45070</v>
      </c>
      <c r="G600" s="7">
        <v>15618765</v>
      </c>
      <c r="I600" s="7">
        <v>6265851</v>
      </c>
      <c r="K600" s="7">
        <v>682864</v>
      </c>
      <c r="M600" s="7">
        <v>0</v>
      </c>
      <c r="O600" s="7">
        <v>325011</v>
      </c>
      <c r="Q600" s="7">
        <v>1712303</v>
      </c>
      <c r="S600" s="7">
        <v>1584364</v>
      </c>
      <c r="U600" s="7">
        <v>107386</v>
      </c>
      <c r="W600" s="7">
        <v>2758805</v>
      </c>
      <c r="Y600" s="7">
        <v>0</v>
      </c>
      <c r="AA600" s="7">
        <v>814692</v>
      </c>
      <c r="AC600" s="7">
        <v>2674192</v>
      </c>
      <c r="AE600" s="7">
        <v>1404048</v>
      </c>
      <c r="AG600" s="7">
        <v>496532</v>
      </c>
      <c r="AI600" s="7">
        <v>1134200</v>
      </c>
      <c r="AK600" s="7">
        <v>98145</v>
      </c>
      <c r="AL600" s="12" t="s">
        <v>316</v>
      </c>
      <c r="AM600" s="12"/>
      <c r="AN600" s="12" t="s">
        <v>27</v>
      </c>
      <c r="AP600" s="7">
        <v>617901</v>
      </c>
      <c r="AR600" s="7">
        <v>20093470</v>
      </c>
      <c r="AT600" s="7">
        <v>0</v>
      </c>
      <c r="AV600" s="7">
        <v>807006</v>
      </c>
      <c r="AX600" s="7">
        <v>1301757</v>
      </c>
      <c r="AZ600" s="7">
        <v>0</v>
      </c>
      <c r="BB600" s="8">
        <f t="shared" si="130"/>
        <v>58497292</v>
      </c>
      <c r="BD600" s="7">
        <v>0</v>
      </c>
      <c r="BJ600" s="7">
        <v>0</v>
      </c>
      <c r="BL600" s="8">
        <f t="shared" si="131"/>
        <v>58497292</v>
      </c>
      <c r="BN600" s="8">
        <f>'Gov Fd Rv'!AQ600-'Gov Fnd Exp'!BL600</f>
        <v>12275126</v>
      </c>
      <c r="BP600" s="7">
        <v>56486233</v>
      </c>
      <c r="BR600" s="7">
        <v>0</v>
      </c>
      <c r="BT600" s="7">
        <v>0</v>
      </c>
      <c r="BV600" s="8">
        <f t="shared" si="132"/>
        <v>68761359</v>
      </c>
      <c r="BW600" s="8"/>
      <c r="BX600" s="8">
        <f>BV600-'Gov Fd BS'!AE600</f>
        <v>0</v>
      </c>
      <c r="BY600" s="8"/>
      <c r="CB600" s="101" t="str">
        <f t="shared" si="141"/>
        <v>Whitehall City SD</v>
      </c>
      <c r="CC600" s="101" t="b">
        <f t="shared" si="138"/>
        <v>1</v>
      </c>
      <c r="CD600" s="101" t="str">
        <f>'Gov Fd Rv'!A600</f>
        <v>Whitehall City SD</v>
      </c>
      <c r="CE600" s="8" t="b">
        <f t="shared" si="137"/>
        <v>1</v>
      </c>
      <c r="CG600" s="8" t="str">
        <f t="shared" si="139"/>
        <v>Franklin</v>
      </c>
      <c r="CH600" s="8" t="b">
        <f t="shared" si="140"/>
        <v>1</v>
      </c>
      <c r="CI600" s="8" t="b">
        <f>C600='Gov Fd Rv'!C600</f>
        <v>1</v>
      </c>
    </row>
    <row r="601" spans="1:87" hidden="1">
      <c r="A601" s="12" t="s">
        <v>649</v>
      </c>
      <c r="B601" s="12"/>
      <c r="C601" s="12" t="s">
        <v>41</v>
      </c>
      <c r="D601" s="12"/>
      <c r="E601" s="12">
        <v>45088</v>
      </c>
      <c r="AL601" s="12" t="s">
        <v>649</v>
      </c>
      <c r="AM601" s="12"/>
      <c r="AN601" s="12" t="s">
        <v>41</v>
      </c>
      <c r="BB601" s="8">
        <f t="shared" si="130"/>
        <v>0</v>
      </c>
      <c r="BL601" s="8">
        <f t="shared" si="131"/>
        <v>0</v>
      </c>
      <c r="BN601" s="8">
        <f>'Gov Fd Rv'!AQ601-'Gov Fnd Exp'!BL601</f>
        <v>0</v>
      </c>
      <c r="BT601" s="7">
        <v>0</v>
      </c>
      <c r="BV601" s="8">
        <f t="shared" si="132"/>
        <v>0</v>
      </c>
      <c r="BW601" s="8"/>
      <c r="BX601" s="8">
        <f>BV601-'Gov Fd BS'!AE601</f>
        <v>0</v>
      </c>
      <c r="BY601" s="8"/>
      <c r="CB601" s="101" t="str">
        <f t="shared" si="141"/>
        <v>Wickliffe City SD (CASH)</v>
      </c>
      <c r="CC601" s="101" t="b">
        <f t="shared" si="138"/>
        <v>1</v>
      </c>
      <c r="CD601" s="101" t="str">
        <f>'Gov Fd Rv'!A601</f>
        <v>Wickliffe City SD (CASH)</v>
      </c>
      <c r="CE601" s="8" t="b">
        <f t="shared" si="137"/>
        <v>1</v>
      </c>
      <c r="CG601" s="8" t="str">
        <f t="shared" si="139"/>
        <v>Lake</v>
      </c>
      <c r="CH601" s="8" t="b">
        <f t="shared" si="140"/>
        <v>1</v>
      </c>
      <c r="CI601" s="8" t="b">
        <f>C601='Gov Fd Rv'!C601</f>
        <v>1</v>
      </c>
    </row>
    <row r="602" spans="1:87">
      <c r="A602" s="12" t="s">
        <v>370</v>
      </c>
      <c r="B602" s="12"/>
      <c r="C602" s="12" t="s">
        <v>37</v>
      </c>
      <c r="D602" s="12"/>
      <c r="E602" s="12">
        <v>45096</v>
      </c>
      <c r="G602" s="7">
        <v>7609470</v>
      </c>
      <c r="I602" s="7">
        <v>1735717</v>
      </c>
      <c r="K602" s="7">
        <v>205903</v>
      </c>
      <c r="M602" s="7">
        <v>0</v>
      </c>
      <c r="O602" s="7">
        <v>2322196</v>
      </c>
      <c r="Q602" s="7">
        <v>794854</v>
      </c>
      <c r="S602" s="7">
        <v>583910</v>
      </c>
      <c r="U602" s="7">
        <v>438862</v>
      </c>
      <c r="W602" s="7">
        <v>1818522</v>
      </c>
      <c r="Y602" s="7">
        <v>402594</v>
      </c>
      <c r="AA602" s="7">
        <v>41836</v>
      </c>
      <c r="AC602" s="7">
        <v>1280990</v>
      </c>
      <c r="AE602" s="7">
        <v>787150</v>
      </c>
      <c r="AG602" s="7">
        <v>4962</v>
      </c>
      <c r="AI602" s="7">
        <v>901516</v>
      </c>
      <c r="AK602" s="7">
        <v>214582</v>
      </c>
      <c r="AL602" s="12" t="s">
        <v>370</v>
      </c>
      <c r="AM602" s="12"/>
      <c r="AN602" s="12" t="s">
        <v>37</v>
      </c>
      <c r="AP602" s="7">
        <v>619845</v>
      </c>
      <c r="AR602" s="7">
        <f>392377+130086</f>
        <v>522463</v>
      </c>
      <c r="AT602" s="7">
        <v>0</v>
      </c>
      <c r="AV602" s="7">
        <v>285472</v>
      </c>
      <c r="AX602" s="7">
        <v>154548</v>
      </c>
      <c r="AZ602" s="7">
        <v>0</v>
      </c>
      <c r="BB602" s="8">
        <f t="shared" si="130"/>
        <v>20725392</v>
      </c>
      <c r="BD602" s="7">
        <v>58248</v>
      </c>
      <c r="BJ602" s="7">
        <v>0</v>
      </c>
      <c r="BL602" s="8">
        <f t="shared" si="131"/>
        <v>20783640</v>
      </c>
      <c r="BN602" s="8">
        <f>'Gov Fd Rv'!AQ602-'Gov Fnd Exp'!BL602</f>
        <v>219581</v>
      </c>
      <c r="BP602" s="7">
        <v>2331163</v>
      </c>
      <c r="BR602" s="7">
        <v>0</v>
      </c>
      <c r="BT602" s="7">
        <v>0</v>
      </c>
      <c r="BV602" s="8">
        <f t="shared" si="132"/>
        <v>2550744</v>
      </c>
      <c r="BW602" s="8"/>
      <c r="BX602" s="8">
        <f>BV602-'Gov Fd BS'!AE602</f>
        <v>0</v>
      </c>
      <c r="BY602" s="8"/>
      <c r="CB602" s="101" t="str">
        <f t="shared" si="141"/>
        <v>Willard City SD</v>
      </c>
      <c r="CC602" s="101" t="b">
        <f t="shared" si="138"/>
        <v>1</v>
      </c>
      <c r="CD602" s="101" t="str">
        <f>'Gov Fd Rv'!A602</f>
        <v>Willard City SD</v>
      </c>
      <c r="CE602" s="8" t="b">
        <f t="shared" si="137"/>
        <v>1</v>
      </c>
      <c r="CG602" s="8" t="str">
        <f t="shared" si="139"/>
        <v>Huron</v>
      </c>
      <c r="CH602" s="8" t="b">
        <f t="shared" si="140"/>
        <v>1</v>
      </c>
      <c r="CI602" s="8" t="b">
        <f>C602='Gov Fd Rv'!C602</f>
        <v>1</v>
      </c>
    </row>
    <row r="603" spans="1:87">
      <c r="A603" s="12" t="s">
        <v>247</v>
      </c>
      <c r="B603" s="12"/>
      <c r="C603" s="12" t="s">
        <v>113</v>
      </c>
      <c r="D603" s="12"/>
      <c r="E603" s="12">
        <v>46367</v>
      </c>
      <c r="G603" s="7">
        <v>4649088</v>
      </c>
      <c r="I603" s="7">
        <v>1416583</v>
      </c>
      <c r="K603" s="7">
        <v>85612</v>
      </c>
      <c r="M603" s="7">
        <v>0</v>
      </c>
      <c r="O603" s="7">
        <v>25384</v>
      </c>
      <c r="Q603" s="7">
        <v>395690</v>
      </c>
      <c r="S603" s="7">
        <v>488601</v>
      </c>
      <c r="U603" s="7">
        <v>22187</v>
      </c>
      <c r="W603" s="7">
        <v>681790</v>
      </c>
      <c r="Y603" s="7">
        <v>321326</v>
      </c>
      <c r="AA603" s="7">
        <v>0</v>
      </c>
      <c r="AC603" s="7">
        <v>968338</v>
      </c>
      <c r="AE603" s="7">
        <v>563504</v>
      </c>
      <c r="AG603" s="7">
        <v>739</v>
      </c>
      <c r="AI603" s="7">
        <v>0</v>
      </c>
      <c r="AK603" s="7">
        <v>512121</v>
      </c>
      <c r="AL603" s="12" t="s">
        <v>247</v>
      </c>
      <c r="AM603" s="12"/>
      <c r="AN603" s="12" t="s">
        <v>113</v>
      </c>
      <c r="AP603" s="7">
        <v>291019</v>
      </c>
      <c r="AR603" s="7">
        <v>306052</v>
      </c>
      <c r="AT603" s="7">
        <v>0</v>
      </c>
      <c r="AV603" s="7">
        <v>265618</v>
      </c>
      <c r="AX603" s="7">
        <v>95717</v>
      </c>
      <c r="AZ603" s="7">
        <v>0</v>
      </c>
      <c r="BB603" s="8">
        <f t="shared" si="130"/>
        <v>11089369</v>
      </c>
      <c r="BD603" s="7">
        <v>267635</v>
      </c>
      <c r="BJ603" s="7">
        <v>0</v>
      </c>
      <c r="BL603" s="8">
        <f t="shared" si="131"/>
        <v>11357004</v>
      </c>
      <c r="BN603" s="8">
        <f>'Gov Fd Rv'!AQ603-'Gov Fnd Exp'!BL603</f>
        <v>222525</v>
      </c>
      <c r="BP603" s="7">
        <v>2393026</v>
      </c>
      <c r="BR603" s="7">
        <v>0</v>
      </c>
      <c r="BT603" s="7">
        <v>0</v>
      </c>
      <c r="BV603" s="8">
        <f t="shared" si="132"/>
        <v>2615551</v>
      </c>
      <c r="BW603" s="8"/>
      <c r="BX603" s="8">
        <f>BV603-'Gov Fd BS'!AE603</f>
        <v>0</v>
      </c>
      <c r="BY603" s="8"/>
      <c r="CB603" s="101" t="str">
        <f t="shared" si="141"/>
        <v>Williamsburg Local SD</v>
      </c>
      <c r="CC603" s="101" t="b">
        <f t="shared" si="138"/>
        <v>1</v>
      </c>
      <c r="CD603" s="101" t="str">
        <f>'Gov Fd Rv'!A603</f>
        <v>Williamsburg Local SD</v>
      </c>
      <c r="CE603" s="8" t="b">
        <f t="shared" si="137"/>
        <v>1</v>
      </c>
      <c r="CG603" s="8" t="str">
        <f t="shared" si="139"/>
        <v>Clermont</v>
      </c>
      <c r="CH603" s="8" t="b">
        <f t="shared" si="140"/>
        <v>1</v>
      </c>
      <c r="CI603" s="8" t="b">
        <f>C603='Gov Fd Rv'!C603</f>
        <v>1</v>
      </c>
    </row>
    <row r="604" spans="1:87">
      <c r="A604" s="12" t="s">
        <v>376</v>
      </c>
      <c r="B604" s="12"/>
      <c r="C604" s="12" t="s">
        <v>41</v>
      </c>
      <c r="D604" s="12"/>
      <c r="E604" s="12">
        <v>45104</v>
      </c>
      <c r="G604" s="7">
        <v>40299126</v>
      </c>
      <c r="I604" s="7">
        <v>17112815</v>
      </c>
      <c r="K604" s="7">
        <v>1337281</v>
      </c>
      <c r="M604" s="7">
        <v>332067</v>
      </c>
      <c r="O604" s="7">
        <v>0</v>
      </c>
      <c r="Q604" s="7">
        <v>8083200</v>
      </c>
      <c r="S604" s="7">
        <v>3750682</v>
      </c>
      <c r="U604" s="7">
        <v>386092</v>
      </c>
      <c r="W604" s="7">
        <v>5527046</v>
      </c>
      <c r="Y604" s="7">
        <v>1731613</v>
      </c>
      <c r="AA604" s="7">
        <v>362265</v>
      </c>
      <c r="AC604" s="7">
        <v>8684457</v>
      </c>
      <c r="AE604" s="7">
        <v>7347276</v>
      </c>
      <c r="AG604" s="7">
        <v>1424385</v>
      </c>
      <c r="AI604" s="7">
        <v>2509880</v>
      </c>
      <c r="AK604" s="7">
        <v>1284894</v>
      </c>
      <c r="AL604" s="12" t="s">
        <v>376</v>
      </c>
      <c r="AM604" s="12"/>
      <c r="AN604" s="12" t="s">
        <v>41</v>
      </c>
      <c r="AP604" s="7">
        <v>2110497</v>
      </c>
      <c r="AR604" s="7">
        <v>996436</v>
      </c>
      <c r="AT604" s="7">
        <v>0</v>
      </c>
      <c r="AV604" s="7">
        <v>305000</v>
      </c>
      <c r="AX604" s="7">
        <f>51619+725215</f>
        <v>776834</v>
      </c>
      <c r="AZ604" s="7">
        <v>0</v>
      </c>
      <c r="BB604" s="8">
        <f t="shared" si="130"/>
        <v>104361846</v>
      </c>
      <c r="BD604" s="7">
        <v>375222</v>
      </c>
      <c r="BJ604" s="7">
        <v>0</v>
      </c>
      <c r="BL604" s="8">
        <f t="shared" si="131"/>
        <v>104737068</v>
      </c>
      <c r="BN604" s="8">
        <f>'Gov Fd Rv'!AQ604-'Gov Fnd Exp'!BL604</f>
        <v>19848731</v>
      </c>
      <c r="BP604" s="7">
        <v>12002555</v>
      </c>
      <c r="BR604" s="7">
        <v>0</v>
      </c>
      <c r="BT604" s="7">
        <v>0</v>
      </c>
      <c r="BV604" s="8">
        <f t="shared" si="132"/>
        <v>31851286</v>
      </c>
      <c r="BW604" s="8"/>
      <c r="BX604" s="8">
        <f>BV604-'Gov Fd BS'!AE604</f>
        <v>0</v>
      </c>
      <c r="BY604" s="8"/>
      <c r="CB604" s="101" t="str">
        <f t="shared" si="141"/>
        <v>Willoughby-Eastlake City SD</v>
      </c>
      <c r="CC604" s="101" t="b">
        <f t="shared" si="138"/>
        <v>1</v>
      </c>
      <c r="CD604" s="101" t="str">
        <f>'Gov Fd Rv'!A604</f>
        <v>Willoughby-Eastlake City SD</v>
      </c>
      <c r="CE604" s="8" t="b">
        <f t="shared" si="137"/>
        <v>1</v>
      </c>
      <c r="CG604" s="8" t="str">
        <f t="shared" si="139"/>
        <v>Lake</v>
      </c>
      <c r="CH604" s="8" t="b">
        <f t="shared" si="140"/>
        <v>1</v>
      </c>
      <c r="CI604" s="8" t="b">
        <f>C604='Gov Fd Rv'!C604</f>
        <v>1</v>
      </c>
    </row>
    <row r="605" spans="1:87">
      <c r="A605" s="12" t="s">
        <v>251</v>
      </c>
      <c r="B605" s="12"/>
      <c r="C605" s="12" t="s">
        <v>18</v>
      </c>
      <c r="D605" s="12"/>
      <c r="E605" s="12">
        <v>45112</v>
      </c>
      <c r="G605" s="7">
        <v>13578715</v>
      </c>
      <c r="I605" s="7">
        <v>2427757</v>
      </c>
      <c r="K605" s="7">
        <v>227636</v>
      </c>
      <c r="M605" s="7">
        <v>0</v>
      </c>
      <c r="O605" s="7">
        <v>503703</v>
      </c>
      <c r="Q605" s="7">
        <v>1525553</v>
      </c>
      <c r="S605" s="7">
        <v>1815295</v>
      </c>
      <c r="U605" s="7">
        <v>172728</v>
      </c>
      <c r="W605" s="7">
        <v>1518210</v>
      </c>
      <c r="Y605" s="7">
        <v>701000</v>
      </c>
      <c r="AA605" s="7">
        <v>287952</v>
      </c>
      <c r="AC605" s="7">
        <v>2276754</v>
      </c>
      <c r="AE605" s="7">
        <v>1231826</v>
      </c>
      <c r="AG605" s="7">
        <v>298360</v>
      </c>
      <c r="AI605" s="7">
        <v>0</v>
      </c>
      <c r="AK605" s="7">
        <v>1384156</v>
      </c>
      <c r="AL605" s="12" t="s">
        <v>251</v>
      </c>
      <c r="AM605" s="12"/>
      <c r="AN605" s="12" t="s">
        <v>18</v>
      </c>
      <c r="AP605" s="7">
        <v>532446</v>
      </c>
      <c r="AR605" s="7">
        <v>336281</v>
      </c>
      <c r="AT605" s="7">
        <v>0</v>
      </c>
      <c r="AV605" s="7">
        <v>1317000</v>
      </c>
      <c r="AX605" s="7">
        <v>300565</v>
      </c>
      <c r="AZ605" s="7">
        <v>0</v>
      </c>
      <c r="BB605" s="8">
        <f t="shared" si="130"/>
        <v>30435937</v>
      </c>
      <c r="BD605" s="7">
        <v>0</v>
      </c>
      <c r="BJ605" s="7">
        <v>0</v>
      </c>
      <c r="BL605" s="8">
        <f t="shared" si="131"/>
        <v>30435937</v>
      </c>
      <c r="BN605" s="8">
        <f>'Gov Fd Rv'!AQ605-'Gov Fnd Exp'!BL605</f>
        <v>-1256331</v>
      </c>
      <c r="BP605" s="7">
        <v>7814264</v>
      </c>
      <c r="BR605" s="7">
        <v>0</v>
      </c>
      <c r="BT605" s="7">
        <v>0</v>
      </c>
      <c r="BV605" s="8">
        <f t="shared" si="132"/>
        <v>6557933</v>
      </c>
      <c r="BW605" s="8"/>
      <c r="BX605" s="8">
        <f>BV605-'Gov Fd BS'!AE605</f>
        <v>0</v>
      </c>
      <c r="BY605" s="8"/>
      <c r="CB605" s="101" t="str">
        <f t="shared" si="141"/>
        <v>Wilmington City SD</v>
      </c>
      <c r="CC605" s="101" t="b">
        <f t="shared" si="138"/>
        <v>1</v>
      </c>
      <c r="CD605" s="101" t="str">
        <f>'Gov Fd Rv'!A605</f>
        <v>Wilmington City SD</v>
      </c>
      <c r="CE605" s="8" t="b">
        <f t="shared" si="137"/>
        <v>1</v>
      </c>
      <c r="CG605" s="8" t="str">
        <f t="shared" si="139"/>
        <v>Clinton</v>
      </c>
      <c r="CH605" s="8" t="b">
        <f t="shared" si="140"/>
        <v>1</v>
      </c>
      <c r="CI605" s="8" t="b">
        <f>C605='Gov Fd Rv'!C605</f>
        <v>1</v>
      </c>
    </row>
    <row r="606" spans="1:87">
      <c r="A606" s="12" t="s">
        <v>891</v>
      </c>
      <c r="B606" s="12"/>
      <c r="C606" s="12" t="s">
        <v>56</v>
      </c>
      <c r="D606" s="12"/>
      <c r="E606" s="12">
        <v>45666</v>
      </c>
      <c r="G606" s="7">
        <v>3702250</v>
      </c>
      <c r="I606" s="7">
        <v>1711145</v>
      </c>
      <c r="K606" s="7">
        <v>185477</v>
      </c>
      <c r="M606" s="7">
        <v>0</v>
      </c>
      <c r="O606" s="7">
        <v>4227</v>
      </c>
      <c r="Q606" s="7">
        <v>510966</v>
      </c>
      <c r="S606" s="7">
        <v>457809</v>
      </c>
      <c r="U606" s="7">
        <v>38373</v>
      </c>
      <c r="W606" s="7">
        <v>652987</v>
      </c>
      <c r="Y606" s="7">
        <v>216278</v>
      </c>
      <c r="AA606" s="7">
        <v>9415</v>
      </c>
      <c r="AC606" s="7">
        <v>716227</v>
      </c>
      <c r="AE606" s="7">
        <v>350091</v>
      </c>
      <c r="AG606" s="7">
        <v>79575</v>
      </c>
      <c r="AI606" s="7">
        <v>330180</v>
      </c>
      <c r="AK606" s="7">
        <v>0</v>
      </c>
      <c r="AL606" s="12" t="s">
        <v>891</v>
      </c>
      <c r="AM606" s="12"/>
      <c r="AN606" s="12" t="s">
        <v>56</v>
      </c>
      <c r="AP606" s="7">
        <v>220640</v>
      </c>
      <c r="AR606" s="7">
        <v>0</v>
      </c>
      <c r="AT606" s="7">
        <v>0</v>
      </c>
      <c r="AV606" s="7">
        <v>74891</v>
      </c>
      <c r="AX606" s="7">
        <v>35618</v>
      </c>
      <c r="AZ606" s="7">
        <v>0</v>
      </c>
      <c r="BB606" s="8">
        <f t="shared" si="130"/>
        <v>9296149</v>
      </c>
      <c r="BD606" s="7">
        <v>0</v>
      </c>
      <c r="BJ606" s="7">
        <v>0</v>
      </c>
      <c r="BL606" s="8">
        <f t="shared" si="131"/>
        <v>9296149</v>
      </c>
      <c r="BN606" s="8">
        <f>'Gov Fd Rv'!AQ606-'Gov Fnd Exp'!BL606</f>
        <v>374551</v>
      </c>
      <c r="BP606" s="7">
        <v>1273720</v>
      </c>
      <c r="BR606" s="7">
        <v>5817</v>
      </c>
      <c r="BT606" s="7">
        <v>0</v>
      </c>
      <c r="BV606" s="8">
        <f t="shared" si="132"/>
        <v>1654088</v>
      </c>
      <c r="BW606" s="8"/>
      <c r="BX606" s="8">
        <f>BV606-'Gov Fd BS'!AE606</f>
        <v>0</v>
      </c>
      <c r="BY606" s="8"/>
      <c r="CB606" s="101" t="str">
        <f t="shared" si="141"/>
        <v>Windham Exempted Village SD</v>
      </c>
      <c r="CC606" s="101" t="b">
        <f t="shared" si="138"/>
        <v>1</v>
      </c>
      <c r="CD606" s="101" t="str">
        <f>'Gov Fd Rv'!A606</f>
        <v>Windham Exempted Village SD</v>
      </c>
      <c r="CE606" s="8" t="b">
        <f t="shared" si="137"/>
        <v>1</v>
      </c>
      <c r="CG606" s="8" t="str">
        <f t="shared" si="139"/>
        <v>Portage</v>
      </c>
      <c r="CH606" s="8" t="b">
        <f t="shared" si="140"/>
        <v>1</v>
      </c>
      <c r="CI606" s="8" t="b">
        <f>C606='Gov Fd Rv'!C606</f>
        <v>1</v>
      </c>
    </row>
    <row r="607" spans="1:87">
      <c r="A607" s="12" t="s">
        <v>341</v>
      </c>
      <c r="B607" s="12"/>
      <c r="C607" s="12" t="s">
        <v>32</v>
      </c>
      <c r="D607" s="12"/>
      <c r="E607" s="12">
        <v>44081</v>
      </c>
      <c r="G607" s="7">
        <v>19280470</v>
      </c>
      <c r="I607" s="7">
        <v>6591785</v>
      </c>
      <c r="K607" s="7">
        <v>332140</v>
      </c>
      <c r="M607" s="7">
        <v>0</v>
      </c>
      <c r="O607" s="7">
        <v>1316</v>
      </c>
      <c r="Q607" s="7">
        <v>2325310</v>
      </c>
      <c r="S607" s="7">
        <v>3842449</v>
      </c>
      <c r="U607" s="7">
        <v>81299</v>
      </c>
      <c r="W607" s="7">
        <v>3578292</v>
      </c>
      <c r="Y607" s="7">
        <v>1279374</v>
      </c>
      <c r="AA607" s="7">
        <v>436816</v>
      </c>
      <c r="AC607" s="7">
        <v>3601789</v>
      </c>
      <c r="AE607" s="7">
        <v>2322825</v>
      </c>
      <c r="AG607" s="7">
        <v>788598</v>
      </c>
      <c r="AI607" s="7">
        <v>0</v>
      </c>
      <c r="AK607" s="7">
        <v>1730150</v>
      </c>
      <c r="AL607" s="12" t="s">
        <v>341</v>
      </c>
      <c r="AM607" s="12"/>
      <c r="AN607" s="12" t="s">
        <v>32</v>
      </c>
      <c r="AP607" s="7">
        <v>888714</v>
      </c>
      <c r="AR607" s="7">
        <v>148242</v>
      </c>
      <c r="AT607" s="7">
        <v>0</v>
      </c>
      <c r="AV607" s="7">
        <v>376068</v>
      </c>
      <c r="AX607" s="7">
        <v>177588</v>
      </c>
      <c r="AZ607" s="7">
        <v>0</v>
      </c>
      <c r="BB607" s="8">
        <f t="shared" si="130"/>
        <v>47783225</v>
      </c>
      <c r="BD607" s="7">
        <v>0</v>
      </c>
      <c r="BJ607" s="7">
        <v>0</v>
      </c>
      <c r="BL607" s="8">
        <f t="shared" si="131"/>
        <v>47783225</v>
      </c>
      <c r="BN607" s="8">
        <f>'Gov Fd Rv'!AQ607-'Gov Fnd Exp'!BL607</f>
        <v>1907492</v>
      </c>
      <c r="BP607" s="7">
        <v>8311953</v>
      </c>
      <c r="BR607" s="7">
        <v>0</v>
      </c>
      <c r="BT607" s="7">
        <v>0</v>
      </c>
      <c r="BV607" s="8">
        <f t="shared" si="132"/>
        <v>10219445</v>
      </c>
      <c r="BW607" s="8"/>
      <c r="BX607" s="8">
        <f>BV607-'Gov Fd BS'!AE607</f>
        <v>0</v>
      </c>
      <c r="BY607" s="8"/>
      <c r="CB607" s="101" t="str">
        <f t="shared" si="141"/>
        <v>Winton Woods City SD</v>
      </c>
      <c r="CC607" s="101" t="b">
        <f t="shared" si="138"/>
        <v>1</v>
      </c>
      <c r="CD607" s="101" t="str">
        <f>'Gov Fd Rv'!A607</f>
        <v>Winton Woods City SD</v>
      </c>
      <c r="CE607" s="8" t="b">
        <f t="shared" si="137"/>
        <v>1</v>
      </c>
      <c r="CG607" s="8" t="str">
        <f t="shared" si="139"/>
        <v>Hamilton</v>
      </c>
      <c r="CH607" s="8" t="b">
        <f t="shared" si="140"/>
        <v>1</v>
      </c>
      <c r="CI607" s="8" t="b">
        <f>C607='Gov Fd Rv'!C607</f>
        <v>1</v>
      </c>
    </row>
    <row r="608" spans="1:87">
      <c r="A608" s="12" t="s">
        <v>567</v>
      </c>
      <c r="B608" s="12"/>
      <c r="C608" s="12" t="s">
        <v>70</v>
      </c>
      <c r="D608" s="12"/>
      <c r="E608" s="12">
        <v>50518</v>
      </c>
      <c r="G608" s="7">
        <v>3066954</v>
      </c>
      <c r="I608" s="7">
        <v>541362</v>
      </c>
      <c r="K608" s="7">
        <v>163102</v>
      </c>
      <c r="M608" s="7">
        <v>0</v>
      </c>
      <c r="O608" s="7">
        <v>0</v>
      </c>
      <c r="Q608" s="7">
        <v>244450</v>
      </c>
      <c r="S608" s="7">
        <v>422283</v>
      </c>
      <c r="U608" s="7">
        <v>28830</v>
      </c>
      <c r="W608" s="7">
        <v>472414</v>
      </c>
      <c r="Y608" s="7">
        <v>583878</v>
      </c>
      <c r="AA608" s="7">
        <v>0</v>
      </c>
      <c r="AC608" s="7">
        <v>602794</v>
      </c>
      <c r="AE608" s="7">
        <v>458014</v>
      </c>
      <c r="AG608" s="7">
        <v>33708</v>
      </c>
      <c r="AI608" s="7">
        <v>0</v>
      </c>
      <c r="AK608" s="7">
        <v>223106</v>
      </c>
      <c r="AL608" s="12" t="s">
        <v>567</v>
      </c>
      <c r="AM608" s="12"/>
      <c r="AN608" s="12" t="s">
        <v>70</v>
      </c>
      <c r="AP608" s="7">
        <v>542585</v>
      </c>
      <c r="AR608" s="7">
        <v>80121</v>
      </c>
      <c r="AT608" s="7">
        <v>0</v>
      </c>
      <c r="AV608" s="7">
        <v>170000</v>
      </c>
      <c r="AX608" s="7">
        <v>254643</v>
      </c>
      <c r="AZ608" s="7">
        <v>0</v>
      </c>
      <c r="BB608" s="8">
        <f t="shared" si="130"/>
        <v>7888244</v>
      </c>
      <c r="BD608" s="7">
        <v>100000</v>
      </c>
      <c r="BJ608" s="7">
        <v>0</v>
      </c>
      <c r="BL608" s="8">
        <f t="shared" si="131"/>
        <v>7988244</v>
      </c>
      <c r="BN608" s="8">
        <f>'Gov Fd Rv'!AQ608-'Gov Fnd Exp'!BL608</f>
        <v>880758</v>
      </c>
      <c r="BP608" s="7">
        <v>7532148</v>
      </c>
      <c r="BR608" s="7">
        <v>0</v>
      </c>
      <c r="BT608" s="7">
        <v>0</v>
      </c>
      <c r="BV608" s="8">
        <f t="shared" si="132"/>
        <v>8412906</v>
      </c>
      <c r="BW608" s="8"/>
      <c r="BX608" s="8">
        <f>BV608-'Gov Fd BS'!AE608</f>
        <v>0</v>
      </c>
      <c r="BY608" s="8"/>
      <c r="CB608" s="101" t="str">
        <f t="shared" si="141"/>
        <v>Wolf Creek Local SD</v>
      </c>
      <c r="CC608" s="101" t="b">
        <f t="shared" si="138"/>
        <v>1</v>
      </c>
      <c r="CD608" s="101" t="str">
        <f>'Gov Fd Rv'!A608</f>
        <v>Wolf Creek Local SD</v>
      </c>
      <c r="CE608" s="8" t="b">
        <f t="shared" si="137"/>
        <v>1</v>
      </c>
      <c r="CG608" s="8" t="str">
        <f t="shared" si="139"/>
        <v>Washington</v>
      </c>
      <c r="CH608" s="8" t="b">
        <f t="shared" si="140"/>
        <v>1</v>
      </c>
      <c r="CI608" s="8" t="b">
        <f>C608='Gov Fd Rv'!C608</f>
        <v>1</v>
      </c>
    </row>
    <row r="609" spans="1:87">
      <c r="A609" s="12" t="s">
        <v>493</v>
      </c>
      <c r="B609" s="12"/>
      <c r="C609" s="12" t="s">
        <v>79</v>
      </c>
      <c r="D609" s="12"/>
      <c r="E609" s="12">
        <v>49577</v>
      </c>
      <c r="G609" s="7">
        <v>5282727</v>
      </c>
      <c r="I609" s="7">
        <v>858161</v>
      </c>
      <c r="K609" s="7">
        <v>5731</v>
      </c>
      <c r="M609" s="7">
        <v>0</v>
      </c>
      <c r="O609" s="7">
        <v>4026</v>
      </c>
      <c r="Q609" s="7">
        <v>581075</v>
      </c>
      <c r="S609" s="7">
        <v>203924</v>
      </c>
      <c r="U609" s="7">
        <v>52983</v>
      </c>
      <c r="W609" s="7">
        <v>870616</v>
      </c>
      <c r="Y609" s="7">
        <v>311286</v>
      </c>
      <c r="AA609" s="7">
        <v>0</v>
      </c>
      <c r="AC609" s="7">
        <v>1495318</v>
      </c>
      <c r="AE609" s="7">
        <v>568741</v>
      </c>
      <c r="AG609" s="7">
        <v>0</v>
      </c>
      <c r="AI609" s="7">
        <v>340382</v>
      </c>
      <c r="AK609" s="7">
        <v>52513</v>
      </c>
      <c r="AL609" s="12" t="s">
        <v>493</v>
      </c>
      <c r="AM609" s="12"/>
      <c r="AN609" s="12" t="s">
        <v>79</v>
      </c>
      <c r="AP609" s="7">
        <v>356455</v>
      </c>
      <c r="AR609" s="7">
        <v>74118</v>
      </c>
      <c r="AT609" s="7">
        <v>0</v>
      </c>
      <c r="AV609" s="7">
        <v>68468</v>
      </c>
      <c r="AX609" s="7">
        <v>8197</v>
      </c>
      <c r="AZ609" s="7">
        <v>0</v>
      </c>
      <c r="BB609" s="8">
        <f t="shared" si="130"/>
        <v>11134721</v>
      </c>
      <c r="BD609" s="7">
        <v>0</v>
      </c>
      <c r="BJ609" s="7">
        <v>0</v>
      </c>
      <c r="BL609" s="8">
        <f t="shared" si="131"/>
        <v>11134721</v>
      </c>
      <c r="BN609" s="8">
        <f>'Gov Fd Rv'!AQ609-'Gov Fnd Exp'!BL609</f>
        <v>-75872</v>
      </c>
      <c r="BP609" s="7">
        <v>1702276</v>
      </c>
      <c r="BR609" s="7">
        <v>580548</v>
      </c>
      <c r="BT609" s="7">
        <v>0</v>
      </c>
      <c r="BV609" s="8">
        <f t="shared" si="132"/>
        <v>2206952</v>
      </c>
      <c r="BW609" s="8"/>
      <c r="BX609" s="8">
        <f>BV609-'Gov Fd BS'!AE609</f>
        <v>0</v>
      </c>
      <c r="BY609" s="8"/>
      <c r="CB609" s="101" t="str">
        <f t="shared" si="141"/>
        <v>Woodmore Local SD</v>
      </c>
      <c r="CC609" s="101" t="b">
        <f t="shared" si="138"/>
        <v>1</v>
      </c>
      <c r="CD609" s="101" t="str">
        <f>'Gov Fd Rv'!A609</f>
        <v>Woodmore Local SD</v>
      </c>
      <c r="CE609" s="8" t="b">
        <f t="shared" si="137"/>
        <v>1</v>
      </c>
      <c r="CG609" s="8" t="str">
        <f t="shared" si="139"/>
        <v>Sandusky</v>
      </c>
      <c r="CH609" s="8" t="b">
        <f t="shared" si="140"/>
        <v>1</v>
      </c>
      <c r="CI609" s="8" t="b">
        <f>C609='Gov Fd Rv'!C609</f>
        <v>1</v>
      </c>
    </row>
    <row r="610" spans="1:87">
      <c r="A610" s="12" t="s">
        <v>533</v>
      </c>
      <c r="B610" s="12"/>
      <c r="C610" s="12" t="s">
        <v>63</v>
      </c>
      <c r="D610" s="12"/>
      <c r="E610" s="12">
        <v>49973</v>
      </c>
      <c r="G610" s="7">
        <v>10522889</v>
      </c>
      <c r="I610" s="7">
        <v>3575847</v>
      </c>
      <c r="K610" s="7">
        <v>342177</v>
      </c>
      <c r="M610" s="7">
        <v>0</v>
      </c>
      <c r="O610" s="7">
        <v>461447</v>
      </c>
      <c r="Q610" s="7">
        <v>1416462</v>
      </c>
      <c r="S610" s="7">
        <v>488470</v>
      </c>
      <c r="U610" s="7">
        <v>31052</v>
      </c>
      <c r="W610" s="7">
        <v>2100094</v>
      </c>
      <c r="Y610" s="7">
        <v>611858</v>
      </c>
      <c r="AA610" s="7">
        <v>48598</v>
      </c>
      <c r="AC610" s="7">
        <v>1895759</v>
      </c>
      <c r="AE610" s="7">
        <v>1637470</v>
      </c>
      <c r="AG610" s="7">
        <v>235430</v>
      </c>
      <c r="AI610" s="7">
        <v>766443</v>
      </c>
      <c r="AK610" s="7">
        <v>18398</v>
      </c>
      <c r="AL610" s="12" t="s">
        <v>533</v>
      </c>
      <c r="AM610" s="12"/>
      <c r="AN610" s="12" t="s">
        <v>63</v>
      </c>
      <c r="AP610" s="7">
        <v>730095</v>
      </c>
      <c r="AR610" s="7">
        <v>205349</v>
      </c>
      <c r="AT610" s="7">
        <v>0</v>
      </c>
      <c r="AV610" s="7">
        <v>1077028</v>
      </c>
      <c r="AX610" s="7">
        <v>656451</v>
      </c>
      <c r="AZ610" s="7">
        <v>0</v>
      </c>
      <c r="BB610" s="8">
        <f t="shared" si="130"/>
        <v>26821317</v>
      </c>
      <c r="BD610" s="7">
        <v>148460</v>
      </c>
      <c r="BJ610" s="7">
        <v>0</v>
      </c>
      <c r="BL610" s="8">
        <f t="shared" si="131"/>
        <v>26969777</v>
      </c>
      <c r="BN610" s="8">
        <f>'Gov Fd Rv'!AQ610-'Gov Fnd Exp'!BL610</f>
        <v>-1244734</v>
      </c>
      <c r="BP610" s="7">
        <v>8823721</v>
      </c>
      <c r="BR610" s="7">
        <v>0</v>
      </c>
      <c r="BT610" s="7">
        <v>0</v>
      </c>
      <c r="BV610" s="8">
        <f t="shared" si="132"/>
        <v>7578987</v>
      </c>
      <c r="BW610" s="8"/>
      <c r="BX610" s="8">
        <f>BV610-'Gov Fd BS'!AE610</f>
        <v>0</v>
      </c>
      <c r="BY610" s="8"/>
      <c r="CB610" s="101" t="str">
        <f t="shared" si="141"/>
        <v>Woodridge Local SD</v>
      </c>
      <c r="CC610" s="101" t="b">
        <f t="shared" si="138"/>
        <v>1</v>
      </c>
      <c r="CD610" s="101" t="str">
        <f>'Gov Fd Rv'!A610</f>
        <v>Woodridge Local SD</v>
      </c>
      <c r="CE610" s="8" t="b">
        <f t="shared" si="137"/>
        <v>1</v>
      </c>
      <c r="CG610" s="8" t="str">
        <f t="shared" si="139"/>
        <v>Summit</v>
      </c>
      <c r="CH610" s="8" t="b">
        <f t="shared" si="140"/>
        <v>1</v>
      </c>
      <c r="CI610" s="8" t="b">
        <f>C610='Gov Fd Rv'!C610</f>
        <v>1</v>
      </c>
    </row>
    <row r="611" spans="1:87">
      <c r="A611" s="12" t="s">
        <v>650</v>
      </c>
      <c r="B611" s="12"/>
      <c r="C611" s="12" t="s">
        <v>71</v>
      </c>
      <c r="D611" s="12"/>
      <c r="E611" s="12">
        <v>45138</v>
      </c>
      <c r="G611" s="7">
        <v>17393917</v>
      </c>
      <c r="I611" s="7">
        <v>5575764</v>
      </c>
      <c r="K611" s="7">
        <v>383741</v>
      </c>
      <c r="M611" s="7">
        <v>158489</v>
      </c>
      <c r="O611" s="7">
        <v>2354936</v>
      </c>
      <c r="Q611" s="7">
        <v>2017381</v>
      </c>
      <c r="S611" s="7">
        <v>2160823</v>
      </c>
      <c r="U611" s="7">
        <v>51587</v>
      </c>
      <c r="W611" s="7">
        <v>2836113</v>
      </c>
      <c r="Y611" s="7">
        <v>964512</v>
      </c>
      <c r="AA611" s="7">
        <v>220504</v>
      </c>
      <c r="AC611" s="7">
        <v>4518110</v>
      </c>
      <c r="AE611" s="7">
        <v>1656398</v>
      </c>
      <c r="AG611" s="7">
        <v>703769</v>
      </c>
      <c r="AI611" s="7">
        <v>0</v>
      </c>
      <c r="AK611" s="7">
        <v>412310</v>
      </c>
      <c r="AL611" s="12" t="s">
        <v>650</v>
      </c>
      <c r="AM611" s="12"/>
      <c r="AN611" s="12" t="s">
        <v>71</v>
      </c>
      <c r="AP611" s="7">
        <v>635823</v>
      </c>
      <c r="AR611" s="7">
        <v>222388</v>
      </c>
      <c r="AT611" s="7">
        <v>0</v>
      </c>
      <c r="AV611" s="7">
        <v>1168427</v>
      </c>
      <c r="AX611" s="7">
        <v>1969495</v>
      </c>
      <c r="AZ611" s="7">
        <v>0</v>
      </c>
      <c r="BB611" s="8">
        <f t="shared" si="130"/>
        <v>45404487</v>
      </c>
      <c r="BD611" s="7">
        <v>355343</v>
      </c>
      <c r="BJ611" s="7">
        <v>0</v>
      </c>
      <c r="BL611" s="8">
        <f t="shared" si="131"/>
        <v>45759830</v>
      </c>
      <c r="BN611" s="8">
        <f>'Gov Fd Rv'!AQ611-'Gov Fnd Exp'!BL611</f>
        <v>3381733</v>
      </c>
      <c r="BP611" s="7">
        <v>16745422</v>
      </c>
      <c r="BR611" s="7">
        <v>0</v>
      </c>
      <c r="BT611" s="7">
        <v>0</v>
      </c>
      <c r="BV611" s="8">
        <f t="shared" si="132"/>
        <v>20127155</v>
      </c>
      <c r="BW611" s="8"/>
      <c r="BX611" s="8">
        <f>BV611-'Gov Fd BS'!AE611</f>
        <v>0</v>
      </c>
      <c r="BY611" s="8"/>
      <c r="CB611" s="101" t="str">
        <f t="shared" si="141"/>
        <v>Wooster City SD</v>
      </c>
      <c r="CC611" s="101" t="b">
        <f t="shared" si="138"/>
        <v>1</v>
      </c>
      <c r="CD611" s="101" t="str">
        <f>'Gov Fd Rv'!A611</f>
        <v>Wooster City SD</v>
      </c>
      <c r="CE611" s="8" t="b">
        <f t="shared" si="137"/>
        <v>1</v>
      </c>
      <c r="CG611" s="8" t="str">
        <f t="shared" si="139"/>
        <v>Wayne</v>
      </c>
      <c r="CH611" s="8" t="b">
        <f t="shared" si="140"/>
        <v>1</v>
      </c>
      <c r="CI611" s="8" t="b">
        <f>C611='Gov Fd Rv'!C611</f>
        <v>1</v>
      </c>
    </row>
    <row r="612" spans="1:87">
      <c r="A612" s="12" t="s">
        <v>317</v>
      </c>
      <c r="B612" s="12"/>
      <c r="C612" s="12" t="s">
        <v>27</v>
      </c>
      <c r="D612" s="12"/>
      <c r="E612" s="12">
        <v>46524</v>
      </c>
      <c r="G612" s="7">
        <v>59327720</v>
      </c>
      <c r="I612" s="7">
        <v>13921845</v>
      </c>
      <c r="K612" s="7">
        <v>1292106</v>
      </c>
      <c r="M612" s="7">
        <v>2320</v>
      </c>
      <c r="O612" s="7">
        <v>0</v>
      </c>
      <c r="Q612" s="7">
        <v>6179192</v>
      </c>
      <c r="S612" s="7">
        <v>11042607</v>
      </c>
      <c r="U612" s="7">
        <v>54509</v>
      </c>
      <c r="W612" s="7">
        <v>8700643</v>
      </c>
      <c r="Y612" s="7">
        <v>0</v>
      </c>
      <c r="AA612" s="7">
        <v>2828823</v>
      </c>
      <c r="AC612" s="7">
        <v>13793802</v>
      </c>
      <c r="AE612" s="7">
        <v>3846098</v>
      </c>
      <c r="AG612" s="7">
        <v>1478562</v>
      </c>
      <c r="AI612" s="7">
        <v>3374734</v>
      </c>
      <c r="AK612" s="7">
        <v>1582257</v>
      </c>
      <c r="AL612" s="12" t="s">
        <v>317</v>
      </c>
      <c r="AM612" s="12"/>
      <c r="AN612" s="12" t="s">
        <v>27</v>
      </c>
      <c r="AP612" s="7">
        <v>2559653</v>
      </c>
      <c r="AR612" s="7">
        <v>2493339</v>
      </c>
      <c r="AT612" s="7">
        <v>0</v>
      </c>
      <c r="AV612" s="7">
        <v>6225000</v>
      </c>
      <c r="AX612" s="7">
        <f>2360550+149226</f>
        <v>2509776</v>
      </c>
      <c r="AZ612" s="7">
        <v>0</v>
      </c>
      <c r="BB612" s="8">
        <f t="shared" si="130"/>
        <v>141212986</v>
      </c>
      <c r="BD612" s="7">
        <v>987401</v>
      </c>
      <c r="BJ612" s="7">
        <v>0</v>
      </c>
      <c r="BL612" s="8">
        <f t="shared" si="131"/>
        <v>142200387</v>
      </c>
      <c r="BN612" s="8">
        <f>'Gov Fd Rv'!AQ612-'Gov Fnd Exp'!BL612</f>
        <v>6720846</v>
      </c>
      <c r="BP612" s="7">
        <v>68659825</v>
      </c>
      <c r="BR612" s="7">
        <v>0</v>
      </c>
      <c r="BT612" s="7">
        <v>0</v>
      </c>
      <c r="BV612" s="8">
        <f t="shared" si="132"/>
        <v>75380671</v>
      </c>
      <c r="BW612" s="8"/>
      <c r="BX612" s="8">
        <f>BV612-'Gov Fd BS'!AE612</f>
        <v>0</v>
      </c>
      <c r="BY612" s="8"/>
      <c r="CB612" s="101" t="str">
        <f t="shared" si="141"/>
        <v>Worthington City SD</v>
      </c>
      <c r="CC612" s="101" t="b">
        <f t="shared" si="138"/>
        <v>1</v>
      </c>
      <c r="CD612" s="101" t="str">
        <f>'Gov Fd Rv'!A612</f>
        <v>Worthington City SD</v>
      </c>
      <c r="CE612" s="8" t="b">
        <f t="shared" si="137"/>
        <v>1</v>
      </c>
      <c r="CG612" s="8" t="str">
        <f t="shared" si="139"/>
        <v>Franklin</v>
      </c>
      <c r="CH612" s="8" t="b">
        <f t="shared" si="140"/>
        <v>1</v>
      </c>
      <c r="CI612" s="8" t="b">
        <f>C612='Gov Fd Rv'!C612</f>
        <v>1</v>
      </c>
    </row>
    <row r="613" spans="1:87">
      <c r="A613" s="12" t="s">
        <v>266</v>
      </c>
      <c r="B613" s="12"/>
      <c r="C613" s="12" t="s">
        <v>111</v>
      </c>
      <c r="D613" s="12"/>
      <c r="E613" s="12">
        <v>45146</v>
      </c>
      <c r="G613" s="7">
        <v>4816781</v>
      </c>
      <c r="I613" s="7">
        <v>1257181</v>
      </c>
      <c r="K613" s="7">
        <v>5013</v>
      </c>
      <c r="M613" s="7">
        <v>0</v>
      </c>
      <c r="O613" s="7">
        <v>617617</v>
      </c>
      <c r="Q613" s="7">
        <v>1002425</v>
      </c>
      <c r="S613" s="7">
        <v>487770</v>
      </c>
      <c r="U613" s="7">
        <v>6706</v>
      </c>
      <c r="W613" s="7">
        <v>851059</v>
      </c>
      <c r="Y613" s="7">
        <v>381688</v>
      </c>
      <c r="AA613" s="7">
        <v>16870</v>
      </c>
      <c r="AC613" s="7">
        <v>675998</v>
      </c>
      <c r="AE613" s="7">
        <v>731274</v>
      </c>
      <c r="AG613" s="7">
        <v>49150</v>
      </c>
      <c r="AI613" s="7">
        <v>491373</v>
      </c>
      <c r="AK613" s="7">
        <v>600</v>
      </c>
      <c r="AL613" s="12" t="s">
        <v>266</v>
      </c>
      <c r="AM613" s="12"/>
      <c r="AN613" s="12" t="s">
        <v>111</v>
      </c>
      <c r="AP613" s="7">
        <v>360880</v>
      </c>
      <c r="AR613" s="7">
        <v>10036</v>
      </c>
      <c r="AT613" s="7">
        <v>0</v>
      </c>
      <c r="AV613" s="7">
        <v>265388</v>
      </c>
      <c r="AX613" s="7">
        <v>249588</v>
      </c>
      <c r="AZ613" s="7">
        <v>0</v>
      </c>
      <c r="BB613" s="8">
        <f t="shared" si="130"/>
        <v>12277397</v>
      </c>
      <c r="BD613" s="7">
        <v>31985</v>
      </c>
      <c r="BJ613" s="7">
        <v>0</v>
      </c>
      <c r="BL613" s="8">
        <f t="shared" si="131"/>
        <v>12309382</v>
      </c>
      <c r="BN613" s="8">
        <f>'Gov Fd Rv'!AQ613-'Gov Fnd Exp'!BL613</f>
        <v>-103467</v>
      </c>
      <c r="BP613" s="7">
        <v>2034411</v>
      </c>
      <c r="BR613" s="7">
        <v>0</v>
      </c>
      <c r="BT613" s="7">
        <v>0</v>
      </c>
      <c r="BV613" s="8">
        <f t="shared" si="132"/>
        <v>1930944</v>
      </c>
      <c r="BW613" s="8"/>
      <c r="BX613" s="8">
        <f>BV613-'Gov Fd BS'!AE613</f>
        <v>0</v>
      </c>
      <c r="BY613" s="8"/>
      <c r="CB613" s="101" t="str">
        <f t="shared" si="141"/>
        <v>Wynford Local SD</v>
      </c>
      <c r="CC613" s="101" t="b">
        <f t="shared" si="138"/>
        <v>1</v>
      </c>
      <c r="CD613" s="101" t="str">
        <f>'Gov Fd Rv'!A613</f>
        <v>Wynford Local SD</v>
      </c>
      <c r="CE613" s="8" t="b">
        <f t="shared" si="137"/>
        <v>1</v>
      </c>
      <c r="CG613" s="8" t="str">
        <f t="shared" si="139"/>
        <v>Crawford</v>
      </c>
      <c r="CH613" s="8" t="b">
        <f t="shared" si="140"/>
        <v>1</v>
      </c>
      <c r="CI613" s="8" t="b">
        <f>C613='Gov Fd Rv'!C613</f>
        <v>1</v>
      </c>
    </row>
    <row r="614" spans="1:87">
      <c r="A614" s="12" t="s">
        <v>342</v>
      </c>
      <c r="B614" s="12"/>
      <c r="C614" s="12" t="s">
        <v>32</v>
      </c>
      <c r="D614" s="12"/>
      <c r="E614" s="12">
        <v>45153</v>
      </c>
      <c r="G614" s="7">
        <v>11359368</v>
      </c>
      <c r="I614" s="7">
        <v>2200194</v>
      </c>
      <c r="K614" s="7">
        <v>106326</v>
      </c>
      <c r="M614" s="7">
        <v>0</v>
      </c>
      <c r="O614" s="7">
        <v>18396</v>
      </c>
      <c r="Q614" s="7">
        <v>1760639</v>
      </c>
      <c r="S614" s="7">
        <v>1031406</v>
      </c>
      <c r="U614" s="7">
        <v>225222</v>
      </c>
      <c r="W614" s="7">
        <v>1715374</v>
      </c>
      <c r="Y614" s="7">
        <v>936130</v>
      </c>
      <c r="AA614" s="7">
        <v>1113</v>
      </c>
      <c r="AC614" s="7">
        <v>1952798</v>
      </c>
      <c r="AE614" s="7">
        <v>422826</v>
      </c>
      <c r="AG614" s="7">
        <v>131455</v>
      </c>
      <c r="AI614" s="7">
        <v>0</v>
      </c>
      <c r="AK614" s="7">
        <v>691344</v>
      </c>
      <c r="AL614" s="12" t="s">
        <v>342</v>
      </c>
      <c r="AM614" s="12"/>
      <c r="AN614" s="12" t="s">
        <v>32</v>
      </c>
      <c r="AP614" s="7">
        <v>723714</v>
      </c>
      <c r="AR614" s="7">
        <v>734158</v>
      </c>
      <c r="AT614" s="7">
        <v>0</v>
      </c>
      <c r="AV614" s="7">
        <v>1068600</v>
      </c>
      <c r="AX614" s="7">
        <v>955981</v>
      </c>
      <c r="AZ614" s="7">
        <v>0</v>
      </c>
      <c r="BB614" s="8">
        <f t="shared" si="130"/>
        <v>26035044</v>
      </c>
      <c r="BD614" s="7">
        <v>35000</v>
      </c>
      <c r="BJ614" s="7">
        <v>0</v>
      </c>
      <c r="BL614" s="8">
        <f t="shared" si="131"/>
        <v>26070044</v>
      </c>
      <c r="BN614" s="8">
        <f>'Gov Fd Rv'!AQ614-'Gov Fnd Exp'!BL614</f>
        <v>843359</v>
      </c>
      <c r="BP614" s="7">
        <v>16527075</v>
      </c>
      <c r="BR614" s="7">
        <v>0</v>
      </c>
      <c r="BT614" s="7">
        <v>0</v>
      </c>
      <c r="BV614" s="8">
        <f t="shared" si="132"/>
        <v>17370434</v>
      </c>
      <c r="BW614" s="8"/>
      <c r="BX614" s="8">
        <f>BV614-'Gov Fd BS'!AE614</f>
        <v>0</v>
      </c>
      <c r="BY614" s="8"/>
      <c r="CB614" s="101" t="str">
        <f t="shared" si="141"/>
        <v>Wyoming City SD</v>
      </c>
      <c r="CC614" s="101" t="b">
        <f t="shared" si="138"/>
        <v>1</v>
      </c>
      <c r="CD614" s="101" t="str">
        <f>'Gov Fd Rv'!A614</f>
        <v>Wyoming City SD</v>
      </c>
      <c r="CE614" s="8" t="b">
        <f t="shared" si="137"/>
        <v>1</v>
      </c>
      <c r="CG614" s="8" t="str">
        <f t="shared" si="139"/>
        <v>Hamilton</v>
      </c>
      <c r="CH614" s="8" t="b">
        <f t="shared" si="140"/>
        <v>1</v>
      </c>
      <c r="CI614" s="8" t="b">
        <f>C614='Gov Fd Rv'!C614</f>
        <v>1</v>
      </c>
    </row>
    <row r="615" spans="1:87">
      <c r="A615" s="12" t="s">
        <v>892</v>
      </c>
      <c r="B615" s="12"/>
      <c r="C615" s="12" t="s">
        <v>114</v>
      </c>
      <c r="D615" s="12"/>
      <c r="E615" s="12">
        <v>45674</v>
      </c>
      <c r="G615" s="7">
        <v>4005173</v>
      </c>
      <c r="I615" s="7">
        <v>804062</v>
      </c>
      <c r="K615" s="7">
        <v>0</v>
      </c>
      <c r="M615" s="7">
        <v>17672</v>
      </c>
      <c r="O615" s="7">
        <v>229002</v>
      </c>
      <c r="Q615" s="7">
        <v>445850</v>
      </c>
      <c r="S615" s="7">
        <v>496468</v>
      </c>
      <c r="U615" s="7">
        <v>46346</v>
      </c>
      <c r="W615" s="7">
        <v>811061</v>
      </c>
      <c r="Y615" s="7">
        <v>368598</v>
      </c>
      <c r="AA615" s="7">
        <v>0</v>
      </c>
      <c r="AC615" s="7">
        <v>643692</v>
      </c>
      <c r="AE615" s="7">
        <v>222961</v>
      </c>
      <c r="AG615" s="7">
        <v>34307</v>
      </c>
      <c r="AI615" s="7">
        <v>0</v>
      </c>
      <c r="AK615" s="7">
        <v>239593</v>
      </c>
      <c r="AL615" s="12" t="s">
        <v>892</v>
      </c>
      <c r="AM615" s="12"/>
      <c r="AN615" s="12" t="s">
        <v>114</v>
      </c>
      <c r="AP615" s="7">
        <v>215066</v>
      </c>
      <c r="AR615" s="7">
        <v>462730</v>
      </c>
      <c r="AT615" s="7">
        <v>0</v>
      </c>
      <c r="AV615" s="7">
        <v>227750</v>
      </c>
      <c r="AX615" s="7">
        <v>177652</v>
      </c>
      <c r="AZ615" s="7">
        <v>0</v>
      </c>
      <c r="BB615" s="8">
        <f t="shared" si="130"/>
        <v>9447983</v>
      </c>
      <c r="BD615" s="7">
        <v>0</v>
      </c>
      <c r="BJ615" s="7">
        <v>0</v>
      </c>
      <c r="BL615" s="8">
        <f t="shared" si="131"/>
        <v>9447983</v>
      </c>
      <c r="BN615" s="8">
        <f>'Gov Fd Rv'!AQ615-'Gov Fnd Exp'!BL615</f>
        <v>-255533</v>
      </c>
      <c r="BP615" s="7">
        <v>2557484</v>
      </c>
      <c r="BR615" s="7">
        <v>0</v>
      </c>
      <c r="BT615" s="7">
        <v>0</v>
      </c>
      <c r="BV615" s="8">
        <f t="shared" si="132"/>
        <v>2301951</v>
      </c>
      <c r="BW615" s="8"/>
      <c r="BX615" s="8">
        <f>BV615-'Gov Fd BS'!AE615</f>
        <v>0</v>
      </c>
      <c r="BY615" s="8"/>
      <c r="CB615" s="101" t="str">
        <f t="shared" si="141"/>
        <v>Yellow Springs Exempted Village SD</v>
      </c>
      <c r="CC615" s="101" t="b">
        <f t="shared" si="138"/>
        <v>1</v>
      </c>
      <c r="CD615" s="101" t="str">
        <f>'Gov Fd Rv'!A615</f>
        <v>Yellow Springs Exempted Village SD</v>
      </c>
      <c r="CE615" s="8" t="b">
        <f t="shared" si="137"/>
        <v>1</v>
      </c>
      <c r="CG615" s="8" t="str">
        <f t="shared" si="139"/>
        <v>Greene</v>
      </c>
      <c r="CH615" s="8" t="b">
        <f t="shared" si="140"/>
        <v>1</v>
      </c>
      <c r="CI615" s="8" t="b">
        <f>C615='Gov Fd Rv'!C615</f>
        <v>1</v>
      </c>
    </row>
    <row r="616" spans="1:87">
      <c r="A616" s="12" t="s">
        <v>422</v>
      </c>
      <c r="B616" s="12"/>
      <c r="C616" s="12" t="s">
        <v>45</v>
      </c>
      <c r="D616" s="12"/>
      <c r="E616" s="12">
        <v>45161</v>
      </c>
      <c r="G616" s="7">
        <v>59706161</v>
      </c>
      <c r="I616" s="7">
        <v>15558748</v>
      </c>
      <c r="K616" s="7">
        <v>3222233</v>
      </c>
      <c r="M616" s="7">
        <v>306523</v>
      </c>
      <c r="O616" s="7">
        <v>1895333</v>
      </c>
      <c r="Q616" s="7">
        <v>6037835</v>
      </c>
      <c r="S616" s="7">
        <v>9304942</v>
      </c>
      <c r="U616" s="7">
        <v>501528</v>
      </c>
      <c r="W616" s="7">
        <v>6475218</v>
      </c>
      <c r="Y616" s="7">
        <v>1824956</v>
      </c>
      <c r="AA616" s="7">
        <v>750306</v>
      </c>
      <c r="AC616" s="7">
        <v>11418152</v>
      </c>
      <c r="AE616" s="7">
        <v>5294846</v>
      </c>
      <c r="AG616" s="7">
        <v>942352</v>
      </c>
      <c r="AI616" s="7">
        <v>3350543</v>
      </c>
      <c r="AK616" s="7">
        <v>1548298</v>
      </c>
      <c r="AL616" s="12" t="s">
        <v>422</v>
      </c>
      <c r="AM616" s="12"/>
      <c r="AN616" s="12" t="s">
        <v>45</v>
      </c>
      <c r="AP616" s="7">
        <v>376256</v>
      </c>
      <c r="AR616" s="7">
        <v>3528595</v>
      </c>
      <c r="AT616" s="7">
        <v>0</v>
      </c>
      <c r="AV616" s="7">
        <v>1180000</v>
      </c>
      <c r="AX616" s="7">
        <v>1298204</v>
      </c>
      <c r="AZ616" s="7">
        <v>0</v>
      </c>
      <c r="BB616" s="8">
        <f t="shared" si="130"/>
        <v>134521029</v>
      </c>
      <c r="BD616" s="7">
        <v>42696</v>
      </c>
      <c r="BJ616" s="7">
        <v>0</v>
      </c>
      <c r="BL616" s="8">
        <f t="shared" si="131"/>
        <v>134563725</v>
      </c>
      <c r="BN616" s="8">
        <f>'Gov Fd Rv'!AQ616-'Gov Fnd Exp'!BL616</f>
        <v>3843287</v>
      </c>
      <c r="BP616" s="7">
        <v>21360536</v>
      </c>
      <c r="BR616" s="7">
        <v>-11000000</v>
      </c>
      <c r="BT616" s="7">
        <v>0</v>
      </c>
      <c r="BV616" s="8">
        <f t="shared" si="132"/>
        <v>14203823</v>
      </c>
      <c r="BW616" s="8"/>
      <c r="BX616" s="8">
        <f>BV616-'Gov Fd BS'!AE616</f>
        <v>0</v>
      </c>
      <c r="BY616" s="8"/>
      <c r="CB616" s="101" t="str">
        <f t="shared" si="141"/>
        <v>Youngstown City SD</v>
      </c>
      <c r="CC616" s="101" t="b">
        <f t="shared" si="138"/>
        <v>1</v>
      </c>
      <c r="CD616" s="101" t="str">
        <f>'Gov Fd Rv'!A616</f>
        <v>Youngstown City SD</v>
      </c>
      <c r="CE616" s="8" t="b">
        <f t="shared" si="137"/>
        <v>1</v>
      </c>
      <c r="CG616" s="8" t="str">
        <f t="shared" si="139"/>
        <v>Mahoning</v>
      </c>
      <c r="CH616" s="8" t="b">
        <f t="shared" si="140"/>
        <v>1</v>
      </c>
      <c r="CI616" s="8" t="b">
        <f>C616='Gov Fd Rv'!C616</f>
        <v>1</v>
      </c>
    </row>
    <row r="617" spans="1:87">
      <c r="A617" s="12" t="s">
        <v>492</v>
      </c>
      <c r="B617" s="12"/>
      <c r="C617" s="12" t="s">
        <v>58</v>
      </c>
      <c r="D617" s="12"/>
      <c r="E617" s="12">
        <v>49544</v>
      </c>
      <c r="G617" s="7">
        <v>6855314</v>
      </c>
      <c r="I617" s="7">
        <v>1343170</v>
      </c>
      <c r="K617" s="7">
        <v>7150</v>
      </c>
      <c r="M617" s="7">
        <v>0</v>
      </c>
      <c r="O617" s="7">
        <v>79795</v>
      </c>
      <c r="Q617" s="7">
        <v>595255</v>
      </c>
      <c r="S617" s="7">
        <v>389268</v>
      </c>
      <c r="U617" s="7">
        <v>209350</v>
      </c>
      <c r="W617" s="7">
        <v>936411</v>
      </c>
      <c r="Y617" s="7">
        <v>419672</v>
      </c>
      <c r="AA617" s="7">
        <v>0</v>
      </c>
      <c r="AC617" s="7">
        <v>1206387</v>
      </c>
      <c r="AE617" s="7">
        <v>999169</v>
      </c>
      <c r="AG617" s="7">
        <v>140678</v>
      </c>
      <c r="AI617" s="7">
        <v>0</v>
      </c>
      <c r="AK617" s="7">
        <v>584235</v>
      </c>
      <c r="AL617" s="12" t="s">
        <v>492</v>
      </c>
      <c r="AM617" s="12"/>
      <c r="AN617" s="12" t="s">
        <v>58</v>
      </c>
      <c r="AP617" s="7">
        <v>437659</v>
      </c>
      <c r="AR617" s="7">
        <v>25831</v>
      </c>
      <c r="AT617" s="7">
        <v>0</v>
      </c>
      <c r="AV617" s="7">
        <v>427409</v>
      </c>
      <c r="AX617" s="7">
        <v>218403</v>
      </c>
      <c r="AZ617" s="7">
        <v>0</v>
      </c>
      <c r="BB617" s="8">
        <f t="shared" si="130"/>
        <v>14875156</v>
      </c>
      <c r="BD617" s="7">
        <v>10000</v>
      </c>
      <c r="BJ617" s="7">
        <v>0</v>
      </c>
      <c r="BL617" s="8">
        <f t="shared" si="131"/>
        <v>14885156</v>
      </c>
      <c r="BN617" s="8">
        <f>'Gov Fd Rv'!AQ617-'Gov Fnd Exp'!BL617</f>
        <v>-355253</v>
      </c>
      <c r="BP617" s="7">
        <v>5908298</v>
      </c>
      <c r="BR617" s="7">
        <v>0</v>
      </c>
      <c r="BT617" s="7">
        <v>0</v>
      </c>
      <c r="BV617" s="8">
        <f t="shared" si="132"/>
        <v>5553045</v>
      </c>
      <c r="BW617" s="8"/>
      <c r="BX617" s="8">
        <f>BV617-'Gov Fd BS'!AE617</f>
        <v>0</v>
      </c>
      <c r="BY617" s="8"/>
      <c r="CB617" s="101" t="str">
        <f t="shared" si="141"/>
        <v>Zane Trace Local SD</v>
      </c>
      <c r="CC617" s="101" t="b">
        <f t="shared" si="138"/>
        <v>1</v>
      </c>
      <c r="CD617" s="101" t="str">
        <f>'Gov Fd Rv'!A617</f>
        <v>Zane Trace Local SD</v>
      </c>
      <c r="CE617" s="8" t="b">
        <f t="shared" si="137"/>
        <v>1</v>
      </c>
      <c r="CG617" s="8" t="str">
        <f t="shared" si="139"/>
        <v>Ross</v>
      </c>
      <c r="CH617" s="8" t="b">
        <f t="shared" si="140"/>
        <v>1</v>
      </c>
      <c r="CI617" s="8" t="b">
        <f>C617='Gov Fd Rv'!C617</f>
        <v>1</v>
      </c>
    </row>
    <row r="618" spans="1:87">
      <c r="A618" s="12" t="s">
        <v>461</v>
      </c>
      <c r="B618" s="12"/>
      <c r="C618" s="12" t="s">
        <v>51</v>
      </c>
      <c r="D618" s="12"/>
      <c r="E618" s="12">
        <v>45179</v>
      </c>
      <c r="G618" s="7">
        <v>16092539</v>
      </c>
      <c r="I618" s="7">
        <v>7235872</v>
      </c>
      <c r="K618" s="7">
        <v>416946</v>
      </c>
      <c r="M618" s="7">
        <v>0</v>
      </c>
      <c r="O618" s="7">
        <v>1566811</v>
      </c>
      <c r="Q618" s="7">
        <v>2697410</v>
      </c>
      <c r="S618" s="7">
        <v>3785429</v>
      </c>
      <c r="U618" s="7">
        <v>147733</v>
      </c>
      <c r="W618" s="7">
        <v>2205420</v>
      </c>
      <c r="Y618" s="7">
        <v>725641</v>
      </c>
      <c r="AA618" s="7">
        <v>0</v>
      </c>
      <c r="AC618" s="7">
        <v>4779856</v>
      </c>
      <c r="AE618" s="7">
        <v>1582187</v>
      </c>
      <c r="AG618" s="7">
        <v>1421678</v>
      </c>
      <c r="AI618" s="7">
        <v>1776235</v>
      </c>
      <c r="AK618" s="7">
        <v>479456</v>
      </c>
      <c r="AL618" s="12" t="s">
        <v>461</v>
      </c>
      <c r="AM618" s="12"/>
      <c r="AN618" s="12" t="s">
        <v>51</v>
      </c>
      <c r="AP618" s="7">
        <v>666279</v>
      </c>
      <c r="AR618" s="7">
        <v>10944391</v>
      </c>
      <c r="AT618" s="7">
        <v>0</v>
      </c>
      <c r="AV618" s="7">
        <v>857299</v>
      </c>
      <c r="AX618" s="7">
        <f>1491074+260708+725000</f>
        <v>2476782</v>
      </c>
      <c r="AZ618" s="7">
        <v>0</v>
      </c>
      <c r="BB618" s="8">
        <f t="shared" si="130"/>
        <v>59857964</v>
      </c>
      <c r="BD618" s="7">
        <v>0</v>
      </c>
      <c r="BJ618" s="7">
        <v>17517478</v>
      </c>
      <c r="BL618" s="8">
        <f t="shared" si="131"/>
        <v>77375442</v>
      </c>
      <c r="BN618" s="8">
        <f>'Gov Fd Rv'!AQ618-'Gov Fnd Exp'!BL618</f>
        <v>-8882709</v>
      </c>
      <c r="BP618" s="7">
        <v>16897539</v>
      </c>
      <c r="BR618" s="7">
        <v>0</v>
      </c>
      <c r="BT618" s="7">
        <v>0</v>
      </c>
      <c r="BV618" s="8">
        <f t="shared" si="132"/>
        <v>8014830</v>
      </c>
      <c r="BW618" s="8"/>
      <c r="BX618" s="8">
        <f>BV618-'Gov Fd BS'!AE618</f>
        <v>0</v>
      </c>
      <c r="BY618" s="8"/>
      <c r="CB618" s="101" t="str">
        <f t="shared" si="141"/>
        <v>Zanesville City SD</v>
      </c>
      <c r="CC618" s="101" t="b">
        <f t="shared" si="138"/>
        <v>1</v>
      </c>
      <c r="CD618" s="101" t="str">
        <f>'Gov Fd Rv'!A618</f>
        <v>Zanesville City SD</v>
      </c>
      <c r="CE618" s="8" t="b">
        <f t="shared" si="137"/>
        <v>1</v>
      </c>
      <c r="CG618" s="8" t="str">
        <f t="shared" si="139"/>
        <v>Muskingum</v>
      </c>
      <c r="CH618" s="8" t="b">
        <f t="shared" si="140"/>
        <v>1</v>
      </c>
      <c r="CI618" s="8" t="b">
        <f>C618='Gov Fd Rv'!C618</f>
        <v>1</v>
      </c>
    </row>
    <row r="619" spans="1:87">
      <c r="A619" s="12"/>
      <c r="B619" s="12"/>
      <c r="C619" s="12"/>
      <c r="D619" s="12"/>
      <c r="AK619" s="8"/>
    </row>
    <row r="620" spans="1:87">
      <c r="A620" s="12"/>
      <c r="B620" s="12"/>
      <c r="C620" s="12"/>
      <c r="D620" s="12"/>
    </row>
    <row r="621" spans="1:87">
      <c r="A621" s="12"/>
      <c r="B621" s="12"/>
      <c r="C621" s="12"/>
      <c r="D621" s="12"/>
    </row>
  </sheetData>
  <mergeCells count="1">
    <mergeCell ref="AV6:AX6"/>
  </mergeCells>
  <pageMargins left="0.8" right="0.75" top="0.5" bottom="0.5" header="0.25" footer="0.25"/>
  <pageSetup scale="77" firstPageNumber="180" pageOrder="overThenDown" orientation="portrait" useFirstPageNumber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St of Net Assets - GA</vt:lpstr>
      <vt:lpstr>St of Activites - GA Rev</vt:lpstr>
      <vt:lpstr>St of Activities - GA Exp</vt:lpstr>
      <vt:lpstr>Gen Fd BS</vt:lpstr>
      <vt:lpstr>GenRev</vt:lpstr>
      <vt:lpstr>GenExp</vt:lpstr>
      <vt:lpstr>Gov Fd BS</vt:lpstr>
      <vt:lpstr>Gov Fd Rv</vt:lpstr>
      <vt:lpstr>Gov Fnd Exp</vt:lpstr>
      <vt:lpstr>LT _Lia - GA</vt:lpstr>
      <vt:lpstr>'Gen Fd BS'!Print_Area</vt:lpstr>
      <vt:lpstr>GenExp!Print_Area</vt:lpstr>
      <vt:lpstr>GenRev!Print_Area</vt:lpstr>
      <vt:lpstr>'Gov Fd BS'!Print_Area</vt:lpstr>
      <vt:lpstr>'Gov Fd Rv'!Print_Area</vt:lpstr>
      <vt:lpstr>'Gov Fnd Exp'!Print_Area</vt:lpstr>
      <vt:lpstr>'LT _Lia - GA'!Print_Area</vt:lpstr>
      <vt:lpstr>'St of Activites - GA Rev'!Print_Area</vt:lpstr>
      <vt:lpstr>'St of Activities - GA Exp'!Print_Area</vt:lpstr>
      <vt:lpstr>'St of Net Assets - GA'!Print_Area</vt:lpstr>
      <vt:lpstr>'Gen Fd BS'!Print_Titles</vt:lpstr>
      <vt:lpstr>GenExp!Print_Titles</vt:lpstr>
      <vt:lpstr>GenRev!Print_Titles</vt:lpstr>
      <vt:lpstr>'Gov Fd BS'!Print_Titles</vt:lpstr>
      <vt:lpstr>'Gov Fd Rv'!Print_Titles</vt:lpstr>
      <vt:lpstr>'Gov Fnd Exp'!Print_Titles</vt:lpstr>
      <vt:lpstr>'LT _Lia - GA'!Print_Titles</vt:lpstr>
      <vt:lpstr>'St of Activites - GA Rev'!Print_Titles</vt:lpstr>
      <vt:lpstr>'St of Activities - GA Exp'!Print_Titles</vt:lpstr>
      <vt:lpstr>'St of Net Assets - GA'!Print_Titles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Christopher S. McKee</dc:creator>
  <cp:lastModifiedBy>Christopher S. McKee</cp:lastModifiedBy>
  <cp:lastPrinted>2013-04-26T19:16:44Z</cp:lastPrinted>
  <dcterms:created xsi:type="dcterms:W3CDTF">2002-06-04T12:17:39Z</dcterms:created>
  <dcterms:modified xsi:type="dcterms:W3CDTF">2013-04-26T19:32:15Z</dcterms:modified>
</cp:coreProperties>
</file>